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53.xml" ContentType="application/vnd.openxmlformats-officedocument.spreadsheetml.externalLink+xml"/>
  <Override PartName="/xl/externalLinks/externalLink54.xml" ContentType="application/vnd.openxmlformats-officedocument.spreadsheetml.externalLink+xml"/>
  <Override PartName="/xl/externalLinks/externalLink55.xml" ContentType="application/vnd.openxmlformats-officedocument.spreadsheetml.externalLink+xml"/>
  <Override PartName="/xl/externalLinks/externalLink56.xml" ContentType="application/vnd.openxmlformats-officedocument.spreadsheetml.externalLink+xml"/>
  <Override PartName="/xl/externalLinks/externalLink57.xml" ContentType="application/vnd.openxmlformats-officedocument.spreadsheetml.externalLink+xml"/>
  <Override PartName="/xl/externalLinks/externalLink58.xml" ContentType="application/vnd.openxmlformats-officedocument.spreadsheetml.externalLink+xml"/>
  <Override PartName="/xl/externalLinks/externalLink59.xml" ContentType="application/vnd.openxmlformats-officedocument.spreadsheetml.externalLink+xml"/>
  <Override PartName="/xl/externalLinks/externalLink60.xml" ContentType="application/vnd.openxmlformats-officedocument.spreadsheetml.externalLink+xml"/>
  <Override PartName="/xl/externalLinks/externalLink61.xml" ContentType="application/vnd.openxmlformats-officedocument.spreadsheetml.externalLink+xml"/>
  <Override PartName="/xl/externalLinks/externalLink62.xml" ContentType="application/vnd.openxmlformats-officedocument.spreadsheetml.externalLink+xml"/>
  <Override PartName="/xl/externalLinks/externalLink63.xml" ContentType="application/vnd.openxmlformats-officedocument.spreadsheetml.externalLink+xml"/>
  <Override PartName="/xl/externalLinks/externalLink64.xml" ContentType="application/vnd.openxmlformats-officedocument.spreadsheetml.externalLink+xml"/>
  <Override PartName="/xl/externalLinks/externalLink65.xml" ContentType="application/vnd.openxmlformats-officedocument.spreadsheetml.externalLink+xml"/>
  <Override PartName="/xl/externalLinks/externalLink66.xml" ContentType="application/vnd.openxmlformats-officedocument.spreadsheetml.externalLink+xml"/>
  <Override PartName="/xl/externalLinks/externalLink67.xml" ContentType="application/vnd.openxmlformats-officedocument.spreadsheetml.externalLink+xml"/>
  <Override PartName="/xl/externalLinks/externalLink68.xml" ContentType="application/vnd.openxmlformats-officedocument.spreadsheetml.externalLink+xml"/>
  <Override PartName="/xl/externalLinks/externalLink69.xml" ContentType="application/vnd.openxmlformats-officedocument.spreadsheetml.externalLink+xml"/>
  <Override PartName="/xl/externalLinks/externalLink70.xml" ContentType="application/vnd.openxmlformats-officedocument.spreadsheetml.externalLink+xml"/>
  <Override PartName="/xl/externalLinks/externalLink71.xml" ContentType="application/vnd.openxmlformats-officedocument.spreadsheetml.externalLink+xml"/>
  <Override PartName="/xl/externalLinks/externalLink72.xml" ContentType="application/vnd.openxmlformats-officedocument.spreadsheetml.externalLink+xml"/>
  <Override PartName="/xl/externalLinks/externalLink73.xml" ContentType="application/vnd.openxmlformats-officedocument.spreadsheetml.externalLink+xml"/>
  <Override PartName="/xl/externalLinks/externalLink74.xml" ContentType="application/vnd.openxmlformats-officedocument.spreadsheetml.externalLink+xml"/>
  <Override PartName="/xl/externalLinks/externalLink75.xml" ContentType="application/vnd.openxmlformats-officedocument.spreadsheetml.externalLink+xml"/>
  <Override PartName="/xl/externalLinks/externalLink76.xml" ContentType="application/vnd.openxmlformats-officedocument.spreadsheetml.externalLink+xml"/>
  <Override PartName="/xl/externalLinks/externalLink77.xml" ContentType="application/vnd.openxmlformats-officedocument.spreadsheetml.externalLink+xml"/>
  <Override PartName="/xl/externalLinks/externalLink78.xml" ContentType="application/vnd.openxmlformats-officedocument.spreadsheetml.externalLink+xml"/>
  <Override PartName="/xl/externalLinks/externalLink79.xml" ContentType="application/vnd.openxmlformats-officedocument.spreadsheetml.externalLink+xml"/>
  <Override PartName="/xl/externalLinks/externalLink80.xml" ContentType="application/vnd.openxmlformats-officedocument.spreadsheetml.externalLink+xml"/>
  <Override PartName="/xl/externalLinks/externalLink81.xml" ContentType="application/vnd.openxmlformats-officedocument.spreadsheetml.externalLink+xml"/>
  <Override PartName="/xl/externalLinks/externalLink82.xml" ContentType="application/vnd.openxmlformats-officedocument.spreadsheetml.externalLink+xml"/>
  <Override PartName="/xl/externalLinks/externalLink83.xml" ContentType="application/vnd.openxmlformats-officedocument.spreadsheetml.externalLink+xml"/>
  <Override PartName="/xl/externalLinks/externalLink84.xml" ContentType="application/vnd.openxmlformats-officedocument.spreadsheetml.externalLink+xml"/>
  <Override PartName="/xl/externalLinks/externalLink85.xml" ContentType="application/vnd.openxmlformats-officedocument.spreadsheetml.externalLink+xml"/>
  <Override PartName="/xl/externalLinks/externalLink86.xml" ContentType="application/vnd.openxmlformats-officedocument.spreadsheetml.externalLink+xml"/>
  <Override PartName="/xl/externalLinks/externalLink87.xml" ContentType="application/vnd.openxmlformats-officedocument.spreadsheetml.externalLink+xml"/>
  <Override PartName="/xl/externalLinks/externalLink88.xml" ContentType="application/vnd.openxmlformats-officedocument.spreadsheetml.externalLink+xml"/>
  <Override PartName="/xl/externalLinks/externalLink89.xml" ContentType="application/vnd.openxmlformats-officedocument.spreadsheetml.externalLink+xml"/>
  <Override PartName="/xl/externalLinks/externalLink90.xml" ContentType="application/vnd.openxmlformats-officedocument.spreadsheetml.externalLink+xml"/>
  <Override PartName="/xl/externalLinks/externalLink91.xml" ContentType="application/vnd.openxmlformats-officedocument.spreadsheetml.externalLink+xml"/>
  <Override PartName="/xl/externalLinks/externalLink92.xml" ContentType="application/vnd.openxmlformats-officedocument.spreadsheetml.externalLink+xml"/>
  <Override PartName="/xl/externalLinks/externalLink93.xml" ContentType="application/vnd.openxmlformats-officedocument.spreadsheetml.externalLink+xml"/>
  <Override PartName="/xl/externalLinks/externalLink94.xml" ContentType="application/vnd.openxmlformats-officedocument.spreadsheetml.externalLink+xml"/>
  <Override PartName="/xl/externalLinks/externalLink95.xml" ContentType="application/vnd.openxmlformats-officedocument.spreadsheetml.externalLink+xml"/>
  <Override PartName="/xl/externalLinks/externalLink96.xml" ContentType="application/vnd.openxmlformats-officedocument.spreadsheetml.externalLink+xml"/>
  <Override PartName="/xl/externalLinks/externalLink97.xml" ContentType="application/vnd.openxmlformats-officedocument.spreadsheetml.externalLink+xml"/>
  <Override PartName="/xl/externalLinks/externalLink98.xml" ContentType="application/vnd.openxmlformats-officedocument.spreadsheetml.externalLink+xml"/>
  <Override PartName="/xl/externalLinks/externalLink99.xml" ContentType="application/vnd.openxmlformats-officedocument.spreadsheetml.externalLink+xml"/>
  <Override PartName="/xl/externalLinks/externalLink100.xml" ContentType="application/vnd.openxmlformats-officedocument.spreadsheetml.externalLink+xml"/>
  <Override PartName="/xl/externalLinks/externalLink101.xml" ContentType="application/vnd.openxmlformats-officedocument.spreadsheetml.externalLink+xml"/>
  <Override PartName="/xl/externalLinks/externalLink102.xml" ContentType="application/vnd.openxmlformats-officedocument.spreadsheetml.externalLink+xml"/>
  <Override PartName="/xl/externalLinks/externalLink103.xml" ContentType="application/vnd.openxmlformats-officedocument.spreadsheetml.externalLink+xml"/>
  <Override PartName="/xl/externalLinks/externalLink104.xml" ContentType="application/vnd.openxmlformats-officedocument.spreadsheetml.externalLink+xml"/>
  <Override PartName="/xl/externalLinks/externalLink105.xml" ContentType="application/vnd.openxmlformats-officedocument.spreadsheetml.externalLink+xml"/>
  <Override PartName="/xl/externalLinks/externalLink106.xml" ContentType="application/vnd.openxmlformats-officedocument.spreadsheetml.externalLink+xml"/>
  <Override PartName="/xl/externalLinks/externalLink107.xml" ContentType="application/vnd.openxmlformats-officedocument.spreadsheetml.externalLink+xml"/>
  <Override PartName="/xl/externalLinks/externalLink108.xml" ContentType="application/vnd.openxmlformats-officedocument.spreadsheetml.externalLink+xml"/>
  <Override PartName="/xl/externalLinks/externalLink109.xml" ContentType="application/vnd.openxmlformats-officedocument.spreadsheetml.externalLink+xml"/>
  <Override PartName="/xl/externalLinks/externalLink110.xml" ContentType="application/vnd.openxmlformats-officedocument.spreadsheetml.externalLink+xml"/>
  <Override PartName="/xl/externalLinks/externalLink111.xml" ContentType="application/vnd.openxmlformats-officedocument.spreadsheetml.externalLink+xml"/>
  <Override PartName="/xl/externalLinks/externalLink112.xml" ContentType="application/vnd.openxmlformats-officedocument.spreadsheetml.externalLink+xml"/>
  <Override PartName="/xl/externalLinks/externalLink113.xml" ContentType="application/vnd.openxmlformats-officedocument.spreadsheetml.externalLink+xml"/>
  <Override PartName="/xl/externalLinks/externalLink114.xml" ContentType="application/vnd.openxmlformats-officedocument.spreadsheetml.externalLink+xml"/>
  <Override PartName="/xl/externalLinks/externalLink115.xml" ContentType="application/vnd.openxmlformats-officedocument.spreadsheetml.externalLink+xml"/>
  <Override PartName="/xl/externalLinks/externalLink116.xml" ContentType="application/vnd.openxmlformats-officedocument.spreadsheetml.externalLink+xml"/>
  <Override PartName="/xl/externalLinks/externalLink117.xml" ContentType="application/vnd.openxmlformats-officedocument.spreadsheetml.externalLink+xml"/>
  <Override PartName="/xl/externalLinks/externalLink118.xml" ContentType="application/vnd.openxmlformats-officedocument.spreadsheetml.externalLink+xml"/>
  <Override PartName="/xl/externalLinks/externalLink119.xml" ContentType="application/vnd.openxmlformats-officedocument.spreadsheetml.externalLink+xml"/>
  <Override PartName="/xl/externalLinks/externalLink120.xml" ContentType="application/vnd.openxmlformats-officedocument.spreadsheetml.externalLink+xml"/>
  <Override PartName="/xl/externalLinks/externalLink121.xml" ContentType="application/vnd.openxmlformats-officedocument.spreadsheetml.externalLink+xml"/>
  <Override PartName="/xl/externalLinks/externalLink122.xml" ContentType="application/vnd.openxmlformats-officedocument.spreadsheetml.externalLink+xml"/>
  <Override PartName="/xl/externalLinks/externalLink123.xml" ContentType="application/vnd.openxmlformats-officedocument.spreadsheetml.externalLink+xml"/>
  <Override PartName="/xl/externalLinks/externalLink124.xml" ContentType="application/vnd.openxmlformats-officedocument.spreadsheetml.externalLink+xml"/>
  <Override PartName="/xl/externalLinks/externalLink125.xml" ContentType="application/vnd.openxmlformats-officedocument.spreadsheetml.externalLink+xml"/>
  <Override PartName="/xl/externalLinks/externalLink126.xml" ContentType="application/vnd.openxmlformats-officedocument.spreadsheetml.externalLink+xml"/>
  <Override PartName="/xl/externalLinks/externalLink127.xml" ContentType="application/vnd.openxmlformats-officedocument.spreadsheetml.externalLink+xml"/>
  <Override PartName="/xl/externalLinks/externalLink128.xml" ContentType="application/vnd.openxmlformats-officedocument.spreadsheetml.externalLink+xml"/>
  <Override PartName="/xl/externalLinks/externalLink129.xml" ContentType="application/vnd.openxmlformats-officedocument.spreadsheetml.externalLink+xml"/>
  <Override PartName="/xl/externalLinks/externalLink130.xml" ContentType="application/vnd.openxmlformats-officedocument.spreadsheetml.externalLink+xml"/>
  <Override PartName="/xl/externalLinks/externalLink131.xml" ContentType="application/vnd.openxmlformats-officedocument.spreadsheetml.externalLink+xml"/>
  <Override PartName="/xl/externalLinks/externalLink132.xml" ContentType="application/vnd.openxmlformats-officedocument.spreadsheetml.externalLink+xml"/>
  <Override PartName="/xl/externalLinks/externalLink133.xml" ContentType="application/vnd.openxmlformats-officedocument.spreadsheetml.externalLink+xml"/>
  <Override PartName="/xl/externalLinks/externalLink134.xml" ContentType="application/vnd.openxmlformats-officedocument.spreadsheetml.externalLink+xml"/>
  <Override PartName="/xl/externalLinks/externalLink135.xml" ContentType="application/vnd.openxmlformats-officedocument.spreadsheetml.externalLink+xml"/>
  <Override PartName="/xl/externalLinks/externalLink136.xml" ContentType="application/vnd.openxmlformats-officedocument.spreadsheetml.externalLink+xml"/>
  <Override PartName="/xl/externalLinks/externalLink137.xml" ContentType="application/vnd.openxmlformats-officedocument.spreadsheetml.externalLink+xml"/>
  <Override PartName="/xl/externalLinks/externalLink138.xml" ContentType="application/vnd.openxmlformats-officedocument.spreadsheetml.externalLink+xml"/>
  <Override PartName="/xl/externalLinks/externalLink139.xml" ContentType="application/vnd.openxmlformats-officedocument.spreadsheetml.externalLink+xml"/>
  <Override PartName="/xl/externalLinks/externalLink140.xml" ContentType="application/vnd.openxmlformats-officedocument.spreadsheetml.externalLink+xml"/>
  <Override PartName="/xl/externalLinks/externalLink141.xml" ContentType="application/vnd.openxmlformats-officedocument.spreadsheetml.externalLink+xml"/>
  <Override PartName="/xl/externalLinks/externalLink142.xml" ContentType="application/vnd.openxmlformats-officedocument.spreadsheetml.externalLink+xml"/>
  <Override PartName="/xl/externalLinks/externalLink143.xml" ContentType="application/vnd.openxmlformats-officedocument.spreadsheetml.externalLink+xml"/>
  <Override PartName="/xl/externalLinks/externalLink144.xml" ContentType="application/vnd.openxmlformats-officedocument.spreadsheetml.externalLink+xml"/>
  <Override PartName="/xl/externalLinks/externalLink145.xml" ContentType="application/vnd.openxmlformats-officedocument.spreadsheetml.externalLink+xml"/>
  <Override PartName="/xl/externalLinks/externalLink146.xml" ContentType="application/vnd.openxmlformats-officedocument.spreadsheetml.externalLink+xml"/>
  <Override PartName="/xl/externalLinks/externalLink147.xml" ContentType="application/vnd.openxmlformats-officedocument.spreadsheetml.externalLink+xml"/>
  <Override PartName="/xl/externalLinks/externalLink148.xml" ContentType="application/vnd.openxmlformats-officedocument.spreadsheetml.externalLink+xml"/>
  <Override PartName="/xl/externalLinks/externalLink149.xml" ContentType="application/vnd.openxmlformats-officedocument.spreadsheetml.externalLink+xml"/>
  <Override PartName="/xl/externalLinks/externalLink150.xml" ContentType="application/vnd.openxmlformats-officedocument.spreadsheetml.externalLink+xml"/>
  <Override PartName="/xl/externalLinks/externalLink151.xml" ContentType="application/vnd.openxmlformats-officedocument.spreadsheetml.externalLink+xml"/>
  <Override PartName="/xl/externalLinks/externalLink152.xml" ContentType="application/vnd.openxmlformats-officedocument.spreadsheetml.externalLink+xml"/>
  <Override PartName="/xl/externalLinks/externalLink153.xml" ContentType="application/vnd.openxmlformats-officedocument.spreadsheetml.externalLink+xml"/>
  <Override PartName="/xl/externalLinks/externalLink154.xml" ContentType="application/vnd.openxmlformats-officedocument.spreadsheetml.externalLink+xml"/>
  <Override PartName="/xl/externalLinks/externalLink155.xml" ContentType="application/vnd.openxmlformats-officedocument.spreadsheetml.externalLink+xml"/>
  <Override PartName="/xl/externalLinks/externalLink156.xml" ContentType="application/vnd.openxmlformats-officedocument.spreadsheetml.externalLink+xml"/>
  <Override PartName="/xl/externalLinks/externalLink157.xml" ContentType="application/vnd.openxmlformats-officedocument.spreadsheetml.externalLink+xml"/>
  <Override PartName="/xl/externalLinks/externalLink158.xml" ContentType="application/vnd.openxmlformats-officedocument.spreadsheetml.externalLink+xml"/>
  <Override PartName="/xl/externalLinks/externalLink159.xml" ContentType="application/vnd.openxmlformats-officedocument.spreadsheetml.externalLink+xml"/>
  <Override PartName="/xl/externalLinks/externalLink160.xml" ContentType="application/vnd.openxmlformats-officedocument.spreadsheetml.externalLink+xml"/>
  <Override PartName="/xl/externalLinks/externalLink161.xml" ContentType="application/vnd.openxmlformats-officedocument.spreadsheetml.externalLink+xml"/>
  <Override PartName="/xl/externalLinks/externalLink162.xml" ContentType="application/vnd.openxmlformats-officedocument.spreadsheetml.externalLink+xml"/>
  <Override PartName="/xl/externalLinks/externalLink163.xml" ContentType="application/vnd.openxmlformats-officedocument.spreadsheetml.externalLink+xml"/>
  <Override PartName="/xl/externalLinks/externalLink164.xml" ContentType="application/vnd.openxmlformats-officedocument.spreadsheetml.externalLink+xml"/>
  <Override PartName="/xl/externalLinks/externalLink165.xml" ContentType="application/vnd.openxmlformats-officedocument.spreadsheetml.externalLink+xml"/>
  <Override PartName="/xl/externalLinks/externalLink166.xml" ContentType="application/vnd.openxmlformats-officedocument.spreadsheetml.externalLink+xml"/>
  <Override PartName="/xl/externalLinks/externalLink167.xml" ContentType="application/vnd.openxmlformats-officedocument.spreadsheetml.externalLink+xml"/>
  <Override PartName="/xl/externalLinks/externalLink168.xml" ContentType="application/vnd.openxmlformats-officedocument.spreadsheetml.externalLink+xml"/>
  <Override PartName="/xl/externalLinks/externalLink169.xml" ContentType="application/vnd.openxmlformats-officedocument.spreadsheetml.externalLink+xml"/>
  <Override PartName="/xl/externalLinks/externalLink170.xml" ContentType="application/vnd.openxmlformats-officedocument.spreadsheetml.externalLink+xml"/>
  <Override PartName="/xl/externalLinks/externalLink171.xml" ContentType="application/vnd.openxmlformats-officedocument.spreadsheetml.externalLink+xml"/>
  <Override PartName="/xl/externalLinks/externalLink172.xml" ContentType="application/vnd.openxmlformats-officedocument.spreadsheetml.externalLink+xml"/>
  <Override PartName="/xl/externalLinks/externalLink173.xml" ContentType="application/vnd.openxmlformats-officedocument.spreadsheetml.externalLink+xml"/>
  <Override PartName="/xl/externalLinks/externalLink174.xml" ContentType="application/vnd.openxmlformats-officedocument.spreadsheetml.externalLink+xml"/>
  <Override PartName="/xl/externalLinks/externalLink175.xml" ContentType="application/vnd.openxmlformats-officedocument.spreadsheetml.externalLink+xml"/>
  <Override PartName="/xl/externalLinks/externalLink176.xml" ContentType="application/vnd.openxmlformats-officedocument.spreadsheetml.externalLink+xml"/>
  <Override PartName="/xl/externalLinks/externalLink177.xml" ContentType="application/vnd.openxmlformats-officedocument.spreadsheetml.externalLink+xml"/>
  <Override PartName="/xl/externalLinks/externalLink178.xml" ContentType="application/vnd.openxmlformats-officedocument.spreadsheetml.externalLink+xml"/>
  <Override PartName="/xl/externalLinks/externalLink179.xml" ContentType="application/vnd.openxmlformats-officedocument.spreadsheetml.externalLink+xml"/>
  <Override PartName="/xl/externalLinks/externalLink180.xml" ContentType="application/vnd.openxmlformats-officedocument.spreadsheetml.externalLink+xml"/>
  <Override PartName="/xl/externalLinks/externalLink181.xml" ContentType="application/vnd.openxmlformats-officedocument.spreadsheetml.externalLink+xml"/>
  <Override PartName="/xl/externalLinks/externalLink182.xml" ContentType="application/vnd.openxmlformats-officedocument.spreadsheetml.externalLink+xml"/>
  <Override PartName="/xl/externalLinks/externalLink183.xml" ContentType="application/vnd.openxmlformats-officedocument.spreadsheetml.externalLink+xml"/>
  <Override PartName="/xl/externalLinks/externalLink184.xml" ContentType="application/vnd.openxmlformats-officedocument.spreadsheetml.externalLink+xml"/>
  <Override PartName="/xl/externalLinks/externalLink185.xml" ContentType="application/vnd.openxmlformats-officedocument.spreadsheetml.externalLink+xml"/>
  <Override PartName="/xl/externalLinks/externalLink186.xml" ContentType="application/vnd.openxmlformats-officedocument.spreadsheetml.externalLink+xml"/>
  <Override PartName="/xl/externalLinks/externalLink187.xml" ContentType="application/vnd.openxmlformats-officedocument.spreadsheetml.externalLink+xml"/>
  <Override PartName="/xl/externalLinks/externalLink188.xml" ContentType="application/vnd.openxmlformats-officedocument.spreadsheetml.externalLink+xml"/>
  <Override PartName="/xl/externalLinks/externalLink189.xml" ContentType="application/vnd.openxmlformats-officedocument.spreadsheetml.externalLink+xml"/>
  <Override PartName="/xl/externalLinks/externalLink190.xml" ContentType="application/vnd.openxmlformats-officedocument.spreadsheetml.externalLink+xml"/>
  <Override PartName="/xl/externalLinks/externalLink191.xml" ContentType="application/vnd.openxmlformats-officedocument.spreadsheetml.externalLink+xml"/>
  <Override PartName="/xl/externalLinks/externalLink192.xml" ContentType="application/vnd.openxmlformats-officedocument.spreadsheetml.externalLink+xml"/>
  <Override PartName="/xl/externalLinks/externalLink193.xml" ContentType="application/vnd.openxmlformats-officedocument.spreadsheetml.externalLink+xml"/>
  <Override PartName="/xl/externalLinks/externalLink194.xml" ContentType="application/vnd.openxmlformats-officedocument.spreadsheetml.externalLink+xml"/>
  <Override PartName="/xl/externalLinks/externalLink195.xml" ContentType="application/vnd.openxmlformats-officedocument.spreadsheetml.externalLink+xml"/>
  <Override PartName="/xl/externalLinks/externalLink196.xml" ContentType="application/vnd.openxmlformats-officedocument.spreadsheetml.externalLink+xml"/>
  <Override PartName="/xl/externalLinks/externalLink197.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Metadata/LabelInfo.xml" ContentType="application/vnd.ms-office.classificationlabels+xml"/>
</Types>
</file>

<file path=_rels/.rels><?xml version="1.0" encoding="utf-8" standalone="yes"?><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microsoft.com/office/2020/02/relationships/classificationlabels" Target="docMetadata/LabelInfo.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codeName="현재_통합_문서"/>
  <mc:AlternateContent xmlns:mc="http://schemas.openxmlformats.org/markup-compatibility/2006">
    <mc:Choice Requires="x15">
      <x15ac:absPath xmlns:x15ac="http://schemas.microsoft.com/office/spreadsheetml/2010/11/ac" url="D:\00. 개인\02. 개인재무\"/>
    </mc:Choice>
  </mc:AlternateContent>
  <bookViews>
    <workbookView xWindow="-25320" yWindow="105" windowWidth="25440" windowHeight="15270" tabRatio="972" firstSheet="6" activeTab="7" xr2:uid="{00000000-000D-0000-FFFF-FFFF00000000}"/>
  </bookViews>
  <sheets>
    <sheet name="Acro Riverheim" sheetId="168" r:id="rId1"/>
    <sheet name="Congratulatory Money" sheetId="143" r:id="rId2"/>
    <sheet name="Condolence Money" sheetId="152" r:id="rId3"/>
    <sheet name="Overseas(新)" sheetId="177" r:id="rId4"/>
    <sheet name="Overseas(舊)" sheetId="174" r:id="rId5"/>
    <sheet name="PSPI" sheetId="156" r:id="rId6"/>
    <sheet name="Salary Table" sheetId="58" r:id="rId7"/>
    <sheet name="Financial Statements" sheetId="139" r:id="rId8"/>
    <sheet name="Expenditure Details" sheetId="140" r:id="rId9"/>
    <sheet name="KB증권 투자금 내역" sheetId="181" r:id="rId10"/>
    <sheet name="Summary" sheetId="158" r:id="rId11"/>
    <sheet name="자금조달계획서" sheetId="180" r:id="rId12"/>
    <sheet name="APT" sheetId="179" r:id="rId13"/>
    <sheet name="룸비니TT" sheetId="169" r:id="rId14"/>
    <sheet name="Life Plan" sheetId="165" r:id="rId15"/>
    <sheet name="Grandeur" sheetId="134" r:id="rId16"/>
    <sheet name="Golf WITB" sheetId="99" r:id="rId17"/>
    <sheet name="Golf Score" sheetId="106" r:id="rId18"/>
    <sheet name="Golf Score Summary" sheetId="159" r:id="rId19"/>
    <sheet name="Anniversary" sheetId="142" r:id="rId20"/>
    <sheet name="2. 지출 내역 요약 (19-06-20)" sheetId="146" r:id="rId21"/>
    <sheet name="2. 지출 내역 요약" sheetId="147" r:id="rId22"/>
    <sheet name="3. 비용 지출 대장" sheetId="148" r:id="rId23"/>
    <sheet name="4. 비용 수입 대장" sheetId="149" r:id="rId24"/>
    <sheet name="5. 항목별 수입결제 잔금" sheetId="150" r:id="rId25"/>
    <sheet name="10. 꾸밈비 지출 대장" sheetId="151" r:id="rId26"/>
    <sheet name="11. 혼수비용 지출대장" sheetId="182" r:id="rId27"/>
  </sheets>
  <externalReferences>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 r:id="rId110"/>
    <externalReference r:id="rId111"/>
    <externalReference r:id="rId112"/>
    <externalReference r:id="rId113"/>
    <externalReference r:id="rId114"/>
    <externalReference r:id="rId115"/>
    <externalReference r:id="rId116"/>
    <externalReference r:id="rId117"/>
    <externalReference r:id="rId118"/>
    <externalReference r:id="rId119"/>
    <externalReference r:id="rId120"/>
    <externalReference r:id="rId121"/>
    <externalReference r:id="rId122"/>
    <externalReference r:id="rId123"/>
    <externalReference r:id="rId124"/>
    <externalReference r:id="rId125"/>
    <externalReference r:id="rId126"/>
    <externalReference r:id="rId127"/>
    <externalReference r:id="rId128"/>
    <externalReference r:id="rId129"/>
    <externalReference r:id="rId130"/>
    <externalReference r:id="rId131"/>
    <externalReference r:id="rId132"/>
    <externalReference r:id="rId133"/>
    <externalReference r:id="rId134"/>
    <externalReference r:id="rId135"/>
    <externalReference r:id="rId136"/>
    <externalReference r:id="rId137"/>
    <externalReference r:id="rId138"/>
    <externalReference r:id="rId139"/>
    <externalReference r:id="rId140"/>
    <externalReference r:id="rId141"/>
    <externalReference r:id="rId142"/>
    <externalReference r:id="rId143"/>
    <externalReference r:id="rId144"/>
    <externalReference r:id="rId145"/>
    <externalReference r:id="rId146"/>
    <externalReference r:id="rId147"/>
    <externalReference r:id="rId148"/>
    <externalReference r:id="rId149"/>
    <externalReference r:id="rId150"/>
    <externalReference r:id="rId151"/>
    <externalReference r:id="rId152"/>
    <externalReference r:id="rId153"/>
    <externalReference r:id="rId154"/>
    <externalReference r:id="rId155"/>
    <externalReference r:id="rId156"/>
    <externalReference r:id="rId157"/>
    <externalReference r:id="rId158"/>
    <externalReference r:id="rId159"/>
    <externalReference r:id="rId160"/>
    <externalReference r:id="rId161"/>
    <externalReference r:id="rId162"/>
    <externalReference r:id="rId163"/>
    <externalReference r:id="rId164"/>
    <externalReference r:id="rId165"/>
    <externalReference r:id="rId166"/>
    <externalReference r:id="rId167"/>
    <externalReference r:id="rId168"/>
    <externalReference r:id="rId169"/>
    <externalReference r:id="rId170"/>
    <externalReference r:id="rId171"/>
    <externalReference r:id="rId172"/>
    <externalReference r:id="rId173"/>
    <externalReference r:id="rId174"/>
    <externalReference r:id="rId175"/>
    <externalReference r:id="rId176"/>
    <externalReference r:id="rId177"/>
    <externalReference r:id="rId178"/>
    <externalReference r:id="rId179"/>
    <externalReference r:id="rId180"/>
    <externalReference r:id="rId181"/>
    <externalReference r:id="rId182"/>
    <externalReference r:id="rId183"/>
    <externalReference r:id="rId184"/>
    <externalReference r:id="rId185"/>
    <externalReference r:id="rId186"/>
    <externalReference r:id="rId187"/>
    <externalReference r:id="rId188"/>
    <externalReference r:id="rId189"/>
    <externalReference r:id="rId190"/>
    <externalReference r:id="rId191"/>
    <externalReference r:id="rId192"/>
    <externalReference r:id="rId193"/>
    <externalReference r:id="rId194"/>
    <externalReference r:id="rId195"/>
    <externalReference r:id="rId196"/>
    <externalReference r:id="rId197"/>
    <externalReference r:id="rId198"/>
    <externalReference r:id="rId199"/>
    <externalReference r:id="rId200"/>
    <externalReference r:id="rId201"/>
    <externalReference r:id="rId202"/>
    <externalReference r:id="rId203"/>
    <externalReference r:id="rId204"/>
    <externalReference r:id="rId205"/>
    <externalReference r:id="rId206"/>
    <externalReference r:id="rId207"/>
    <externalReference r:id="rId208"/>
    <externalReference r:id="rId209"/>
    <externalReference r:id="rId210"/>
    <externalReference r:id="rId211"/>
    <externalReference r:id="rId212"/>
    <externalReference r:id="rId213"/>
    <externalReference r:id="rId214"/>
    <externalReference r:id="rId215"/>
    <externalReference r:id="rId216"/>
    <externalReference r:id="rId217"/>
    <externalReference r:id="rId218"/>
    <externalReference r:id="rId219"/>
    <externalReference r:id="rId220"/>
    <externalReference r:id="rId221"/>
    <externalReference r:id="rId222"/>
    <externalReference r:id="rId223"/>
    <externalReference r:id="rId224"/>
  </externalReferences>
  <definedNames>
    <definedName name="_?18">#REF!</definedName>
    <definedName name="_?쾴?" localSheetId="3">#REF!</definedName>
    <definedName name="_?쾴?">#REF!</definedName>
    <definedName name="_?쾴?_?" localSheetId="3">#REF!</definedName>
    <definedName name="_?쾴?_?">#REF!</definedName>
    <definedName name="_?쾴?___P" localSheetId="3">#REF!</definedName>
    <definedName name="_?쾴?___P">#REF!</definedName>
    <definedName name="_?쾴?_T" localSheetId="3">#REF!</definedName>
    <definedName name="_?쾴?_T">#REF!</definedName>
    <definedName name="___" hidden="1">'[1]TOWER 10TON'!#REF!</definedName>
    <definedName name="____" hidden="1">'[1]TOWER 10TON'!#REF!</definedName>
    <definedName name="______arf1" localSheetId="3" hidden="1">{#N/A,#N/A,FALSE,"Çaykara ataköy (1)";#N/A,#N/A,FALSE,"Çaykara ataköy (2)";#N/A,#N/A,FALSE,"Rize Kalkandere ";#N/A,#N/A,FALSE,"meydancık";#N/A,#N/A,FALSE,"muratlı"}</definedName>
    <definedName name="______arf1" hidden="1">{#N/A,#N/A,FALSE,"Çaykara ataköy (1)";#N/A,#N/A,FALSE,"Çaykara ataköy (2)";#N/A,#N/A,FALSE,"Rize Kalkandere ";#N/A,#N/A,FALSE,"meydancık";#N/A,#N/A,FALSE,"muratlı"}</definedName>
    <definedName name="____arf1" localSheetId="3" hidden="1">{#N/A,#N/A,FALSE,"Çaykara ataköy (1)";#N/A,#N/A,FALSE,"Çaykara ataköy (2)";#N/A,#N/A,FALSE,"Rize Kalkandere ";#N/A,#N/A,FALSE,"meydancık";#N/A,#N/A,FALSE,"muratlı"}</definedName>
    <definedName name="____arf1" hidden="1">{#N/A,#N/A,FALSE,"Çaykara ataköy (1)";#N/A,#N/A,FALSE,"Çaykara ataköy (2)";#N/A,#N/A,FALSE,"Rize Kalkandere ";#N/A,#N/A,FALSE,"meydancık";#N/A,#N/A,FALSE,"muratlı"}</definedName>
    <definedName name="____hk4645" localSheetId="3" hidden="1">{#N/A,#N/A,FALSE,"ihz. icmal";#N/A,#N/A,FALSE,"avans";#N/A,#N/A,FALSE,"mal_FF_icm";#N/A,#N/A,FALSE,"fat_ihz";#N/A,#N/A,FALSE,"söz_fiy_fark";#N/A,#N/A,FALSE,"kap2"}</definedName>
    <definedName name="____hk4645" hidden="1">{#N/A,#N/A,FALSE,"ihz. icmal";#N/A,#N/A,FALSE,"avans";#N/A,#N/A,FALSE,"mal_FF_icm";#N/A,#N/A,FALSE,"fat_ihz";#N/A,#N/A,FALSE,"söz_fiy_fark";#N/A,#N/A,FALSE,"kap2"}</definedName>
    <definedName name="___arf1" localSheetId="3" hidden="1">{#N/A,#N/A,FALSE,"Çaykara ataköy (1)";#N/A,#N/A,FALSE,"Çaykara ataköy (2)";#N/A,#N/A,FALSE,"Rize Kalkandere ";#N/A,#N/A,FALSE,"meydancık";#N/A,#N/A,FALSE,"muratlı"}</definedName>
    <definedName name="___arf1" hidden="1">{#N/A,#N/A,FALSE,"Çaykara ataköy (1)";#N/A,#N/A,FALSE,"Çaykara ataköy (2)";#N/A,#N/A,FALSE,"Rize Kalkandere ";#N/A,#N/A,FALSE,"meydancık";#N/A,#N/A,FALSE,"muratlı"}</definedName>
    <definedName name="___hk4645" localSheetId="3" hidden="1">{#N/A,#N/A,FALSE,"ihz. icmal";#N/A,#N/A,FALSE,"avans";#N/A,#N/A,FALSE,"mal_FF_icm";#N/A,#N/A,FALSE,"fat_ihz";#N/A,#N/A,FALSE,"söz_fiy_fark";#N/A,#N/A,FALSE,"kap2"}</definedName>
    <definedName name="___hk4645" hidden="1">{#N/A,#N/A,FALSE,"ihz. icmal";#N/A,#N/A,FALSE,"avans";#N/A,#N/A,FALSE,"mal_FF_icm";#N/A,#N/A,FALSE,"fat_ihz";#N/A,#N/A,FALSE,"söz_fiy_fark";#N/A,#N/A,FALSE,"kap2"}</definedName>
    <definedName name="__123Graph_A" localSheetId="3" hidden="1">#REF!</definedName>
    <definedName name="__123Graph_A" hidden="1">#REF!</definedName>
    <definedName name="__123Graph_ACurrent" localSheetId="3" hidden="1">'[2]Eq. Mobilization'!#REF!</definedName>
    <definedName name="__123Graph_ACurrent" hidden="1">'[3]#REF'!#REF!</definedName>
    <definedName name="__123Graph_AGraph1" hidden="1">#REF!</definedName>
    <definedName name="__123Graph_AGraph2" hidden="1">#REF!</definedName>
    <definedName name="__123Graph_Aｶﾚﾝﾄ" hidden="1">#REF!</definedName>
    <definedName name="__123Graph_A자금수지" hidden="1">#REF!</definedName>
    <definedName name="__123Graph_A자금운용" hidden="1">#REF!</definedName>
    <definedName name="__123Graph_B" localSheetId="3" hidden="1">#REF!</definedName>
    <definedName name="__123Graph_B" hidden="1">#REF!</definedName>
    <definedName name="__123Graph_BCurrent" localSheetId="3" hidden="1">'[2]Eq. Mobilization'!#REF!</definedName>
    <definedName name="__123Graph_BCurrent" hidden="1">'[3]#REF'!#REF!</definedName>
    <definedName name="__123Graph_BGraph1" hidden="1">#REF!</definedName>
    <definedName name="__123Graph_BGraph2" hidden="1">#REF!</definedName>
    <definedName name="__123Graph_BPERFORMANCE" hidden="1">[4]BQMPALOC!#REF!</definedName>
    <definedName name="__123Graph_Bｶﾚﾝﾄ" hidden="1">#REF!</definedName>
    <definedName name="__123Graph_B자금수지" hidden="1">#REF!</definedName>
    <definedName name="__123Graph_B자금운용" hidden="1">#REF!</definedName>
    <definedName name="__123Graph_C" localSheetId="3" hidden="1">'[5]TABLO-3'!$B$6:$B$6</definedName>
    <definedName name="__123Graph_C" hidden="1">'[6]C1 (calcolo)'!$N$194:$AK$194</definedName>
    <definedName name="__123Graph_Cc" hidden="1">'[7]TABLO-3'!$B$6:$B$6</definedName>
    <definedName name="__123Graph_CGraph1" hidden="1">#REF!</definedName>
    <definedName name="__123Graph_CGraph2" hidden="1">#REF!</definedName>
    <definedName name="__123Graph_Cｶﾚﾝﾄ" hidden="1">#REF!</definedName>
    <definedName name="__123Graph_C자금운용" hidden="1">#REF!</definedName>
    <definedName name="__123Graph_D" localSheetId="3" hidden="1">#REF!</definedName>
    <definedName name="__123Graph_D" hidden="1">#REF!</definedName>
    <definedName name="__123Graph_DGraph1" hidden="1">#REF!</definedName>
    <definedName name="__123Graph_DGraph2" hidden="1">#REF!</definedName>
    <definedName name="__123Graph_Dｶﾚﾝﾄ" hidden="1">#REF!</definedName>
    <definedName name="__123Graph_E" localSheetId="3" hidden="1">'[1]TOWER 12TON'!#REF!</definedName>
    <definedName name="__123Graph_E" hidden="1">'[1]TOWER 12TON'!#REF!</definedName>
    <definedName name="__123Graph_EGraph1" hidden="1">#REF!</definedName>
    <definedName name="__123Graph_EGraph2" hidden="1">#REF!</definedName>
    <definedName name="__123Graph_Eｶﾚﾝﾄ" hidden="1">#REF!</definedName>
    <definedName name="__123Graph_F" hidden="1">[8]B!#REF!</definedName>
    <definedName name="__123Graph_FGraph1" hidden="1">#REF!</definedName>
    <definedName name="__123Graph_FGraph2" hidden="1">#REF!</definedName>
    <definedName name="__123Graph_Fｶﾚﾝﾄ" hidden="1">#REF!</definedName>
    <definedName name="__123Graph_LBL_A" localSheetId="3" hidden="1">'[2]Eq. Mobilization'!#REF!</definedName>
    <definedName name="__123Graph_LBL_A" hidden="1">'[3]#REF'!#REF!</definedName>
    <definedName name="__123Graph_LBL_B" localSheetId="3" hidden="1">'[2]Eq. Mobilization'!#REF!</definedName>
    <definedName name="__123Graph_LBL_B" hidden="1">'[3]#REF'!#REF!</definedName>
    <definedName name="__123Graph_X" localSheetId="3" hidden="1">'[2]Eq. Mobilization'!#REF!</definedName>
    <definedName name="__123Graph_X" hidden="1">'[3]#REF'!#REF!</definedName>
    <definedName name="__123Graph_XCurrent" localSheetId="3" hidden="1">'[2]Eq. Mobilization'!#REF!</definedName>
    <definedName name="__123Graph_XCurrent" hidden="1">'[3]#REF'!#REF!</definedName>
    <definedName name="__123Graph_X자금수지" hidden="1">#REF!</definedName>
    <definedName name="__123Graph_X자금운용" hidden="1">#REF!</definedName>
    <definedName name="__1A1_" hidden="1">{#N/A,#N/A,TRUE,"Basic";#N/A,#N/A,TRUE,"EXT-TABLE";#N/A,#N/A,TRUE,"STEEL";#N/A,#N/A,TRUE,"INT-Table";#N/A,#N/A,TRUE,"STEEL";#N/A,#N/A,TRUE,"Door"}</definedName>
    <definedName name="__A1" hidden="1">{#N/A,#N/A,TRUE,"Basic";#N/A,#N/A,TRUE,"EXT-TABLE";#N/A,#N/A,TRUE,"STEEL";#N/A,#N/A,TRUE,"INT-Table";#N/A,#N/A,TRUE,"STEEL";#N/A,#N/A,TRUE,"Door"}</definedName>
    <definedName name="__arf1" localSheetId="3" hidden="1">{#N/A,#N/A,FALSE,"Çaykara ataköy (1)";#N/A,#N/A,FALSE,"Çaykara ataköy (2)";#N/A,#N/A,FALSE,"Rize Kalkandere ";#N/A,#N/A,FALSE,"meydancık";#N/A,#N/A,FALSE,"muratlı"}</definedName>
    <definedName name="__arf1" hidden="1">{#N/A,#N/A,FALSE,"Çaykara ataköy (1)";#N/A,#N/A,FALSE,"Çaykara ataköy (2)";#N/A,#N/A,FALSE,"Rize Kalkandere ";#N/A,#N/A,FALSE,"meydancık";#N/A,#N/A,FALSE,"muratlı"}</definedName>
    <definedName name="__BP01" hidden="1">{#N/A,#N/A,FALSE,"TABLE"}</definedName>
    <definedName name="__D6" localSheetId="3" hidden="1">{"'표지'!$B$5"}</definedName>
    <definedName name="__D6" hidden="1">{"'표지'!$B$5"}</definedName>
    <definedName name="__h1" localSheetId="3" hidden="1">{"'표지'!$B$5"}</definedName>
    <definedName name="__h1" hidden="1">{"'표지'!$B$5"}</definedName>
    <definedName name="__h2" localSheetId="3" hidden="1">{"'표지'!$B$5"}</definedName>
    <definedName name="__h2" hidden="1">{"'표지'!$B$5"}</definedName>
    <definedName name="__h3" localSheetId="3" hidden="1">{"'표지'!$B$5"}</definedName>
    <definedName name="__h3" hidden="1">{"'표지'!$B$5"}</definedName>
    <definedName name="__h4" localSheetId="3" hidden="1">{"'표지'!$B$5"}</definedName>
    <definedName name="__h4" hidden="1">{"'표지'!$B$5"}</definedName>
    <definedName name="__h5" localSheetId="3" hidden="1">{"'표지'!$B$5"}</definedName>
    <definedName name="__h5" hidden="1">{"'표지'!$B$5"}</definedName>
    <definedName name="__hk4645" localSheetId="3" hidden="1">{#N/A,#N/A,FALSE,"ihz. icmal";#N/A,#N/A,FALSE,"avans";#N/A,#N/A,FALSE,"mal_FF_icm";#N/A,#N/A,FALSE,"fat_ihz";#N/A,#N/A,FALSE,"söz_fiy_fark";#N/A,#N/A,FALSE,"kap2"}</definedName>
    <definedName name="__hk4645" hidden="1">{#N/A,#N/A,FALSE,"ihz. icmal";#N/A,#N/A,FALSE,"avans";#N/A,#N/A,FALSE,"mal_FF_icm";#N/A,#N/A,FALSE,"fat_ihz";#N/A,#N/A,FALSE,"söz_fiy_fark";#N/A,#N/A,FALSE,"kap2"}</definedName>
    <definedName name="__IntlFixup" hidden="1">TRUE</definedName>
    <definedName name="__Key11" hidden="1">#REF!</definedName>
    <definedName name="__MCC3" hidden="1">{#N/A,#N/A,FALSE,"CCTV"}</definedName>
    <definedName name="__MS275" hidden="1">{#N/A,#N/A,FALSE,"TABLE"}</definedName>
    <definedName name="__PC1079">'[9]General Data'!$B$8</definedName>
    <definedName name="__PRINT_ALL_IN" localSheetId="3">#REF!</definedName>
    <definedName name="__PRINT_ALL_IN">#REF!</definedName>
    <definedName name="__soc2" localSheetId="3"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__soc2"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__tg1" hidden="1">{"LKD",#N/A,FALSE,"표지"}</definedName>
    <definedName name="__tg3" hidden="1">{"LKD",#N/A,FALSE,"표지"}</definedName>
    <definedName name="__tg4" hidden="1">{"LKD",#N/A,FALSE,"표지"}</definedName>
    <definedName name="_010908_01_bmbq_1" localSheetId="3">#REF!</definedName>
    <definedName name="_010908_01_bmbq_1">#REF!</definedName>
    <definedName name="_020325_BM_1차_SUM_TOTAL" localSheetId="3">#REF!</definedName>
    <definedName name="_020325_BM_1차_SUM_TOTAL">#REF!</definedName>
    <definedName name="_030520_12차_pung_bmbqsum_pcwbs" localSheetId="3">#REF!</definedName>
    <definedName name="_030520_12차_pung_bmbqsum_pcwbs">#REF!</definedName>
    <definedName name="_1">[10]당초!#REF!</definedName>
    <definedName name="_1_">[11]Sheet1!#REF!</definedName>
    <definedName name="_1_?18">#REF!</definedName>
    <definedName name="_1__________________0__123Grap" localSheetId="3" hidden="1">'[1]TOWER 12TON'!#REF!</definedName>
    <definedName name="_1__________________0__123Grap" hidden="1">'[1]TOWER 12TON'!#REF!</definedName>
    <definedName name="_1___123Graph_AChart_1A" hidden="1">'[12]Eq. Mobilization'!#REF!</definedName>
    <definedName name="_1__123Graph_AChart_1A" hidden="1">'[13]Eq. Mobilization'!#REF!</definedName>
    <definedName name="_1_0__123Grap" hidden="1">#REF!</definedName>
    <definedName name="_1_123Grap" hidden="1">#REF!</definedName>
    <definedName name="_10">#N/A</definedName>
    <definedName name="_10______________0_0__123Grap" localSheetId="3" hidden="1">[14]유림골조!#REF!</definedName>
    <definedName name="_10______________0_0__123Grap" hidden="1">[14]유림골조!#REF!</definedName>
    <definedName name="_10_____G_0Extr" localSheetId="3">#REF!</definedName>
    <definedName name="_10_____G_0Extr">#REF!</definedName>
    <definedName name="_10__123Graph_BChart_1A" hidden="1">'[12]Eq. Mobilization'!#REF!</definedName>
    <definedName name="_10__123Graph_B자금운용" hidden="1">#REF!</definedName>
    <definedName name="_10__123Graph_DMOB_02" hidden="1">#REF!</definedName>
    <definedName name="_10__123Graph_EMOB_02" hidden="1">#REF!</definedName>
    <definedName name="_10_0_0코아공" hidden="1">[15]공통비총괄표!#REF!</definedName>
    <definedName name="_1000A01">#N/A</definedName>
    <definedName name="_106_0_Dist_" localSheetId="3" hidden="1">#REF!</definedName>
    <definedName name="_106_0_Dist_" hidden="1">#REF!</definedName>
    <definedName name="_107_0_Dist_" localSheetId="3" hidden="1">#REF!</definedName>
    <definedName name="_107_0_Dist_" hidden="1">#REF!</definedName>
    <definedName name="_10A_">[16]연돌일위집계!#REF!</definedName>
    <definedName name="_10A_1">[16]연돌일위집계!#REF!</definedName>
    <definedName name="_10A_10">[16]연돌일위집계!#REF!</definedName>
    <definedName name="_10A_11">[16]연돌일위집계!#REF!</definedName>
    <definedName name="_10A_12">[16]연돌일위집계!#REF!</definedName>
    <definedName name="_10A_13">[16]연돌일위집계!#REF!</definedName>
    <definedName name="_10A_14">[16]연돌일위집계!#REF!</definedName>
    <definedName name="_10A_15">[16]연돌일위집계!#REF!</definedName>
    <definedName name="_10A_16">[16]연돌일위집계!#REF!</definedName>
    <definedName name="_10A_17">[16]연돌일위집계!#REF!</definedName>
    <definedName name="_10A_18">[16]연돌일위집계!#REF!</definedName>
    <definedName name="_10A_19">[16]연돌일위집계!#REF!</definedName>
    <definedName name="_10A_2">[16]연돌일위집계!#REF!</definedName>
    <definedName name="_10A_20">[16]연돌일위집계!#REF!</definedName>
    <definedName name="_10A_21">[16]연돌일위집계!#REF!</definedName>
    <definedName name="_10A_22">[16]연돌일위집계!#REF!</definedName>
    <definedName name="_10A_23">[16]연돌일위집계!#REF!</definedName>
    <definedName name="_10A_24">[16]연돌일위집계!#REF!</definedName>
    <definedName name="_10A_25">[16]연돌일위집계!#REF!</definedName>
    <definedName name="_10A_26">[16]연돌일위집계!#REF!</definedName>
    <definedName name="_10A_27">[16]연돌일위집계!#REF!</definedName>
    <definedName name="_10A_28">[16]연돌일위집계!#REF!</definedName>
    <definedName name="_10A_29">[16]연돌일위집계!#REF!</definedName>
    <definedName name="_10A_3">[16]연돌일위집계!#REF!</definedName>
    <definedName name="_10A_30">[16]연돌일위집계!#REF!</definedName>
    <definedName name="_10A_31">[16]연돌일위집계!#REF!</definedName>
    <definedName name="_10A_32">[16]연돌일위집계!#REF!</definedName>
    <definedName name="_10A_33">[16]연돌일위집계!#REF!</definedName>
    <definedName name="_10A_34">[16]연돌일위집계!#REF!</definedName>
    <definedName name="_10A_35">[16]연돌일위집계!#REF!</definedName>
    <definedName name="_10A_36">[16]연돌일위집계!#REF!</definedName>
    <definedName name="_10A_37">[16]연돌일위집계!#REF!</definedName>
    <definedName name="_10A_38">[16]연돌일위집계!#REF!</definedName>
    <definedName name="_10A_39">[16]연돌일위집계!#REF!</definedName>
    <definedName name="_10A_4">[16]연돌일위집계!#REF!</definedName>
    <definedName name="_10A_40">[16]연돌일위집계!#REF!</definedName>
    <definedName name="_10A_41">[16]연돌일위집계!#REF!</definedName>
    <definedName name="_10A_42">[16]연돌일위집계!#REF!</definedName>
    <definedName name="_10A_43">[16]연돌일위집계!#REF!</definedName>
    <definedName name="_10A_44">[16]연돌일위집계!#REF!</definedName>
    <definedName name="_10A_45">[16]연돌일위집계!#REF!</definedName>
    <definedName name="_10A_46">[16]연돌일위집계!#REF!</definedName>
    <definedName name="_10A_47">[16]연돌일위집계!#REF!</definedName>
    <definedName name="_10A_48">[16]연돌일위집계!#REF!</definedName>
    <definedName name="_10A_49">[16]연돌일위집계!#REF!</definedName>
    <definedName name="_10A_5">[16]연돌일위집계!#REF!</definedName>
    <definedName name="_10A_50">[16]연돌일위집계!#REF!</definedName>
    <definedName name="_10A_51">[16]연돌일위집계!#REF!</definedName>
    <definedName name="_10A_52">[16]연돌일위집계!#REF!</definedName>
    <definedName name="_10A_53">[16]연돌일위집계!#REF!</definedName>
    <definedName name="_10A_54">[16]연돌일위집계!#REF!</definedName>
    <definedName name="_10A_55">[16]연돌일위집계!#REF!</definedName>
    <definedName name="_10A_56">[16]연돌일위집계!#REF!</definedName>
    <definedName name="_10A_57">[16]연돌일위집계!#REF!</definedName>
    <definedName name="_10A_58">[16]연돌일위집계!#REF!</definedName>
    <definedName name="_10A_59">[16]연돌일위집계!#REF!</definedName>
    <definedName name="_10A_6">[16]연돌일위집계!#REF!</definedName>
    <definedName name="_10A_60">[16]연돌일위집계!#REF!</definedName>
    <definedName name="_10A_61">#N/A</definedName>
    <definedName name="_10A_62">#N/A</definedName>
    <definedName name="_10A_63">#N/A</definedName>
    <definedName name="_10A_64">#N/A</definedName>
    <definedName name="_10A_65">#N/A</definedName>
    <definedName name="_10A_66">#N/A</definedName>
    <definedName name="_10A_67">#N/A</definedName>
    <definedName name="_10A_68">#N/A</definedName>
    <definedName name="_10A_69">#N/A</definedName>
    <definedName name="_10A_7">[16]연돌일위집계!#REF!</definedName>
    <definedName name="_10A_70">#N/A</definedName>
    <definedName name="_10A_71">#N/A</definedName>
    <definedName name="_10A_72">#N/A</definedName>
    <definedName name="_10A_73">#N/A</definedName>
    <definedName name="_10A_74">#N/A</definedName>
    <definedName name="_10A_75">#N/A</definedName>
    <definedName name="_10A_76">#N/A</definedName>
    <definedName name="_10A_77">#N/A</definedName>
    <definedName name="_10A_78">#N/A</definedName>
    <definedName name="_10A_79">#N/A</definedName>
    <definedName name="_10A_8">[16]연돌일위집계!#REF!</definedName>
    <definedName name="_10A_80">#N/A</definedName>
    <definedName name="_10A_81">#N/A</definedName>
    <definedName name="_10A_82">#N/A</definedName>
    <definedName name="_10A_83">#N/A</definedName>
    <definedName name="_10A_84">#N/A</definedName>
    <definedName name="_10A_85">#N/A</definedName>
    <definedName name="_10A_86">#N/A</definedName>
    <definedName name="_10A_87">#N/A</definedName>
    <definedName name="_10A_88">#N/A</definedName>
    <definedName name="_10A_89">#N/A</definedName>
    <definedName name="_10A_9">[16]연돌일위집계!#REF!</definedName>
    <definedName name="_10A_90">#N/A</definedName>
    <definedName name="_10B_">[16]연돌일위집계!#REF!</definedName>
    <definedName name="_10B_1">[16]연돌일위집계!#REF!</definedName>
    <definedName name="_10B_10">[16]연돌일위집계!#REF!</definedName>
    <definedName name="_10B_11">[16]연돌일위집계!#REF!</definedName>
    <definedName name="_10B_12">[16]연돌일위집계!#REF!</definedName>
    <definedName name="_10B_13">[16]연돌일위집계!#REF!</definedName>
    <definedName name="_10B_14">[16]연돌일위집계!#REF!</definedName>
    <definedName name="_10B_15">[16]연돌일위집계!#REF!</definedName>
    <definedName name="_10B_16">[16]연돌일위집계!#REF!</definedName>
    <definedName name="_10B_17">[16]연돌일위집계!#REF!</definedName>
    <definedName name="_10B_18">[16]연돌일위집계!#REF!</definedName>
    <definedName name="_10B_19">[16]연돌일위집계!#REF!</definedName>
    <definedName name="_10B_2">[16]연돌일위집계!#REF!</definedName>
    <definedName name="_10B_20">[16]연돌일위집계!#REF!</definedName>
    <definedName name="_10B_21">[16]연돌일위집계!#REF!</definedName>
    <definedName name="_10B_22">[16]연돌일위집계!#REF!</definedName>
    <definedName name="_10B_23">[16]연돌일위집계!#REF!</definedName>
    <definedName name="_10B_24">[16]연돌일위집계!#REF!</definedName>
    <definedName name="_10B_25">[16]연돌일위집계!#REF!</definedName>
    <definedName name="_10B_26">[16]연돌일위집계!#REF!</definedName>
    <definedName name="_10B_27">[16]연돌일위집계!#REF!</definedName>
    <definedName name="_10B_28">[16]연돌일위집계!#REF!</definedName>
    <definedName name="_10B_29">[16]연돌일위집계!#REF!</definedName>
    <definedName name="_10B_3">[16]연돌일위집계!#REF!</definedName>
    <definedName name="_10B_30">[16]연돌일위집계!#REF!</definedName>
    <definedName name="_10B_31">[16]연돌일위집계!#REF!</definedName>
    <definedName name="_10B_32">[16]연돌일위집계!#REF!</definedName>
    <definedName name="_10B_33">[16]연돌일위집계!#REF!</definedName>
    <definedName name="_10B_34">[16]연돌일위집계!#REF!</definedName>
    <definedName name="_10B_35">[16]연돌일위집계!#REF!</definedName>
    <definedName name="_10B_36">[16]연돌일위집계!#REF!</definedName>
    <definedName name="_10B_37">[16]연돌일위집계!#REF!</definedName>
    <definedName name="_10B_38">[16]연돌일위집계!#REF!</definedName>
    <definedName name="_10B_39">[16]연돌일위집계!#REF!</definedName>
    <definedName name="_10B_4">[16]연돌일위집계!#REF!</definedName>
    <definedName name="_10B_40">[16]연돌일위집계!#REF!</definedName>
    <definedName name="_10B_41">[16]연돌일위집계!#REF!</definedName>
    <definedName name="_10B_42">[16]연돌일위집계!#REF!</definedName>
    <definedName name="_10B_43">[16]연돌일위집계!#REF!</definedName>
    <definedName name="_10B_44">[16]연돌일위집계!#REF!</definedName>
    <definedName name="_10B_45">[16]연돌일위집계!#REF!</definedName>
    <definedName name="_10B_46">[16]연돌일위집계!#REF!</definedName>
    <definedName name="_10B_47">[16]연돌일위집계!#REF!</definedName>
    <definedName name="_10B_48">[16]연돌일위집계!#REF!</definedName>
    <definedName name="_10B_49">[16]연돌일위집계!#REF!</definedName>
    <definedName name="_10B_5">[16]연돌일위집계!#REF!</definedName>
    <definedName name="_10B_50">[16]연돌일위집계!#REF!</definedName>
    <definedName name="_10B_51">[16]연돌일위집계!#REF!</definedName>
    <definedName name="_10B_52">[16]연돌일위집계!#REF!</definedName>
    <definedName name="_10B_53">[16]연돌일위집계!#REF!</definedName>
    <definedName name="_10B_54">[16]연돌일위집계!#REF!</definedName>
    <definedName name="_10B_55">[16]연돌일위집계!#REF!</definedName>
    <definedName name="_10B_56">[16]연돌일위집계!#REF!</definedName>
    <definedName name="_10B_57">[16]연돌일위집계!#REF!</definedName>
    <definedName name="_10B_58">[16]연돌일위집계!#REF!</definedName>
    <definedName name="_10B_59">[16]연돌일위집계!#REF!</definedName>
    <definedName name="_10B_6">[16]연돌일위집계!#REF!</definedName>
    <definedName name="_10B_60">[16]연돌일위집계!#REF!</definedName>
    <definedName name="_10B_61">#N/A</definedName>
    <definedName name="_10B_62">#N/A</definedName>
    <definedName name="_10B_63">#N/A</definedName>
    <definedName name="_10B_64">#N/A</definedName>
    <definedName name="_10B_65">#N/A</definedName>
    <definedName name="_10B_66">#N/A</definedName>
    <definedName name="_10B_67">#N/A</definedName>
    <definedName name="_10B_68">#N/A</definedName>
    <definedName name="_10B_69">#N/A</definedName>
    <definedName name="_10B_7">[16]연돌일위집계!#REF!</definedName>
    <definedName name="_10B_70">#N/A</definedName>
    <definedName name="_10B_71">#N/A</definedName>
    <definedName name="_10B_72">#N/A</definedName>
    <definedName name="_10B_73">#N/A</definedName>
    <definedName name="_10B_74">#N/A</definedName>
    <definedName name="_10B_75">#N/A</definedName>
    <definedName name="_10B_76">#N/A</definedName>
    <definedName name="_10B_77">#N/A</definedName>
    <definedName name="_10B_78">#N/A</definedName>
    <definedName name="_10B_79">#N/A</definedName>
    <definedName name="_10B_8">[16]연돌일위집계!#REF!</definedName>
    <definedName name="_10B_80">#N/A</definedName>
    <definedName name="_10B_81">#N/A</definedName>
    <definedName name="_10B_82">#N/A</definedName>
    <definedName name="_10B_83">#N/A</definedName>
    <definedName name="_10B_84">#N/A</definedName>
    <definedName name="_10B_85">#N/A</definedName>
    <definedName name="_10B_86">#N/A</definedName>
    <definedName name="_10B_87">#N/A</definedName>
    <definedName name="_10B_88">#N/A</definedName>
    <definedName name="_10B_89">#N/A</definedName>
    <definedName name="_10B_9">[16]연돌일위집계!#REF!</definedName>
    <definedName name="_10B_90">#N/A</definedName>
    <definedName name="_10C_">[16]연돌일위집계!#REF!</definedName>
    <definedName name="_10C_1">[16]연돌일위집계!#REF!</definedName>
    <definedName name="_10C_10">[16]연돌일위집계!#REF!</definedName>
    <definedName name="_10C_11">[16]연돌일위집계!#REF!</definedName>
    <definedName name="_10C_12">[16]연돌일위집계!#REF!</definedName>
    <definedName name="_10C_13">[16]연돌일위집계!#REF!</definedName>
    <definedName name="_10C_14">[16]연돌일위집계!#REF!</definedName>
    <definedName name="_10C_15">[16]연돌일위집계!#REF!</definedName>
    <definedName name="_10C_16">[16]연돌일위집계!#REF!</definedName>
    <definedName name="_10C_17">[16]연돌일위집계!#REF!</definedName>
    <definedName name="_10C_18">[16]연돌일위집계!#REF!</definedName>
    <definedName name="_10C_19">[16]연돌일위집계!#REF!</definedName>
    <definedName name="_10C_2">[16]연돌일위집계!#REF!</definedName>
    <definedName name="_10C_20">[16]연돌일위집계!#REF!</definedName>
    <definedName name="_10C_21">[16]연돌일위집계!#REF!</definedName>
    <definedName name="_10C_22">[16]연돌일위집계!#REF!</definedName>
    <definedName name="_10C_23">[16]연돌일위집계!#REF!</definedName>
    <definedName name="_10C_24">[16]연돌일위집계!#REF!</definedName>
    <definedName name="_10C_25">[16]연돌일위집계!#REF!</definedName>
    <definedName name="_10C_26">[16]연돌일위집계!#REF!</definedName>
    <definedName name="_10C_27">[16]연돌일위집계!#REF!</definedName>
    <definedName name="_10C_28">[16]연돌일위집계!#REF!</definedName>
    <definedName name="_10C_29">[16]연돌일위집계!#REF!</definedName>
    <definedName name="_10C_3">[16]연돌일위집계!#REF!</definedName>
    <definedName name="_10C_30">[16]연돌일위집계!#REF!</definedName>
    <definedName name="_10C_31">[16]연돌일위집계!#REF!</definedName>
    <definedName name="_10C_32">[16]연돌일위집계!#REF!</definedName>
    <definedName name="_10C_33">[16]연돌일위집계!#REF!</definedName>
    <definedName name="_10C_34">[16]연돌일위집계!#REF!</definedName>
    <definedName name="_10C_35">[16]연돌일위집계!#REF!</definedName>
    <definedName name="_10C_36">[16]연돌일위집계!#REF!</definedName>
    <definedName name="_10C_37">[16]연돌일위집계!#REF!</definedName>
    <definedName name="_10C_38">[16]연돌일위집계!#REF!</definedName>
    <definedName name="_10C_39">[16]연돌일위집계!#REF!</definedName>
    <definedName name="_10C_4">[16]연돌일위집계!#REF!</definedName>
    <definedName name="_10C_40">[16]연돌일위집계!#REF!</definedName>
    <definedName name="_10C_41">[16]연돌일위집계!#REF!</definedName>
    <definedName name="_10C_42">[16]연돌일위집계!#REF!</definedName>
    <definedName name="_10C_43">[16]연돌일위집계!#REF!</definedName>
    <definedName name="_10C_44">[16]연돌일위집계!#REF!</definedName>
    <definedName name="_10C_45">[16]연돌일위집계!#REF!</definedName>
    <definedName name="_10C_46">[16]연돌일위집계!#REF!</definedName>
    <definedName name="_10C_47">[16]연돌일위집계!#REF!</definedName>
    <definedName name="_10C_48">[16]연돌일위집계!#REF!</definedName>
    <definedName name="_10C_49">[16]연돌일위집계!#REF!</definedName>
    <definedName name="_10C_5">[16]연돌일위집계!#REF!</definedName>
    <definedName name="_10C_50">[16]연돌일위집계!#REF!</definedName>
    <definedName name="_10C_51">[16]연돌일위집계!#REF!</definedName>
    <definedName name="_10C_52">[16]연돌일위집계!#REF!</definedName>
    <definedName name="_10C_53">[16]연돌일위집계!#REF!</definedName>
    <definedName name="_10C_54">[16]연돌일위집계!#REF!</definedName>
    <definedName name="_10C_55">[16]연돌일위집계!#REF!</definedName>
    <definedName name="_10C_56">[16]연돌일위집계!#REF!</definedName>
    <definedName name="_10C_57">[16]연돌일위집계!#REF!</definedName>
    <definedName name="_10C_58">[16]연돌일위집계!#REF!</definedName>
    <definedName name="_10C_59">[16]연돌일위집계!#REF!</definedName>
    <definedName name="_10C_6">[16]연돌일위집계!#REF!</definedName>
    <definedName name="_10C_60">[16]연돌일위집계!#REF!</definedName>
    <definedName name="_10C_61">#N/A</definedName>
    <definedName name="_10C_62">#N/A</definedName>
    <definedName name="_10C_63">#N/A</definedName>
    <definedName name="_10C_64">#N/A</definedName>
    <definedName name="_10C_65">#N/A</definedName>
    <definedName name="_10C_66">#N/A</definedName>
    <definedName name="_10C_67">#N/A</definedName>
    <definedName name="_10C_68">#N/A</definedName>
    <definedName name="_10C_69">#N/A</definedName>
    <definedName name="_10C_7">[16]연돌일위집계!#REF!</definedName>
    <definedName name="_10C_70">#N/A</definedName>
    <definedName name="_10C_71">#N/A</definedName>
    <definedName name="_10C_72">#N/A</definedName>
    <definedName name="_10C_73">#N/A</definedName>
    <definedName name="_10C_74">#N/A</definedName>
    <definedName name="_10C_75">#N/A</definedName>
    <definedName name="_10C_76">#N/A</definedName>
    <definedName name="_10C_77">#N/A</definedName>
    <definedName name="_10C_78">#N/A</definedName>
    <definedName name="_10C_79">#N/A</definedName>
    <definedName name="_10C_8">[16]연돌일위집계!#REF!</definedName>
    <definedName name="_10C_80">#N/A</definedName>
    <definedName name="_10C_81">#N/A</definedName>
    <definedName name="_10C_82">#N/A</definedName>
    <definedName name="_10C_83">#N/A</definedName>
    <definedName name="_10C_84">#N/A</definedName>
    <definedName name="_10C_85">#N/A</definedName>
    <definedName name="_10C_86">#N/A</definedName>
    <definedName name="_10C_87">#N/A</definedName>
    <definedName name="_10C_88">#N/A</definedName>
    <definedName name="_10C_89">#N/A</definedName>
    <definedName name="_10C_9">[16]연돌일위집계!#REF!</definedName>
    <definedName name="_10C_90">#N/A</definedName>
    <definedName name="_10P14_">#REF!</definedName>
    <definedName name="_11">#N/A</definedName>
    <definedName name="_11_____G_0Extract" localSheetId="3">#REF!</definedName>
    <definedName name="_11_____G_0Extract">#REF!</definedName>
    <definedName name="_11__123Graph_B자금운용" hidden="1">#REF!</definedName>
    <definedName name="_11__123Graph_EMOB_02" hidden="1">#REF!</definedName>
    <definedName name="_11__123Graph_FMOB_02" hidden="1">#REF!</definedName>
    <definedName name="_11_0공통비" hidden="1">[15]공통비총괄표!#REF!</definedName>
    <definedName name="_112_________0__123Grap" localSheetId="3" hidden="1">#REF!</definedName>
    <definedName name="_112_________0__123Grap" hidden="1">#REF!</definedName>
    <definedName name="_116_________0_Dist_" localSheetId="3" hidden="1">#REF!</definedName>
    <definedName name="_116_________0_Dist_" hidden="1">#REF!</definedName>
    <definedName name="_11A_1">[16]연돌일위집계!#REF!</definedName>
    <definedName name="_11A_10">[16]연돌일위집계!#REF!</definedName>
    <definedName name="_11A_11">[16]연돌일위집계!#REF!</definedName>
    <definedName name="_11A_12">[16]연돌일위집계!#REF!</definedName>
    <definedName name="_11A_13">[16]연돌일위집계!#REF!</definedName>
    <definedName name="_11A_14">[16]연돌일위집계!#REF!</definedName>
    <definedName name="_11A_15">[16]연돌일위집계!#REF!</definedName>
    <definedName name="_11A_16">[16]연돌일위집계!#REF!</definedName>
    <definedName name="_11A_17">[16]연돌일위집계!#REF!</definedName>
    <definedName name="_11A_18">[16]연돌일위집계!#REF!</definedName>
    <definedName name="_11A_19">[16]연돌일위집계!#REF!</definedName>
    <definedName name="_11A_2">[16]연돌일위집계!#REF!</definedName>
    <definedName name="_11A_20">[16]연돌일위집계!#REF!</definedName>
    <definedName name="_11A_21">[16]연돌일위집계!#REF!</definedName>
    <definedName name="_11A_22">[16]연돌일위집계!#REF!</definedName>
    <definedName name="_11A_23">[16]연돌일위집계!#REF!</definedName>
    <definedName name="_11A_24">[16]연돌일위집계!#REF!</definedName>
    <definedName name="_11A_25">[16]연돌일위집계!#REF!</definedName>
    <definedName name="_11A_26">[16]연돌일위집계!#REF!</definedName>
    <definedName name="_11A_27">[16]연돌일위집계!#REF!</definedName>
    <definedName name="_11A_28">[16]연돌일위집계!#REF!</definedName>
    <definedName name="_11A_29">[16]연돌일위집계!#REF!</definedName>
    <definedName name="_11A_3">[16]연돌일위집계!#REF!</definedName>
    <definedName name="_11A_30">[16]연돌일위집계!#REF!</definedName>
    <definedName name="_11A_4">[16]연돌일위집계!#REF!</definedName>
    <definedName name="_11A_5">[16]연돌일위집계!#REF!</definedName>
    <definedName name="_11A_6">[16]연돌일위집계!#REF!</definedName>
    <definedName name="_11A_7">[16]연돌일위집계!#REF!</definedName>
    <definedName name="_11A_8">[16]연돌일위집계!#REF!</definedName>
    <definedName name="_11A_9">[16]연돌일위집계!#REF!</definedName>
    <definedName name="_11B_1">[16]연돌일위집계!#REF!</definedName>
    <definedName name="_11B_10">[16]연돌일위집계!#REF!</definedName>
    <definedName name="_11B_11">[16]연돌일위집계!#REF!</definedName>
    <definedName name="_11B_12">[16]연돌일위집계!#REF!</definedName>
    <definedName name="_11B_13">[16]연돌일위집계!#REF!</definedName>
    <definedName name="_11B_14">[16]연돌일위집계!#REF!</definedName>
    <definedName name="_11B_15">[16]연돌일위집계!#REF!</definedName>
    <definedName name="_11B_16">[16]연돌일위집계!#REF!</definedName>
    <definedName name="_11B_17">[16]연돌일위집계!#REF!</definedName>
    <definedName name="_11B_18">[16]연돌일위집계!#REF!</definedName>
    <definedName name="_11B_19">[16]연돌일위집계!#REF!</definedName>
    <definedName name="_11B_2">[16]연돌일위집계!#REF!</definedName>
    <definedName name="_11B_20">[16]연돌일위집계!#REF!</definedName>
    <definedName name="_11B_21">[16]연돌일위집계!#REF!</definedName>
    <definedName name="_11B_22">[16]연돌일위집계!#REF!</definedName>
    <definedName name="_11B_23">[16]연돌일위집계!#REF!</definedName>
    <definedName name="_11B_24">[16]연돌일위집계!#REF!</definedName>
    <definedName name="_11B_25">[16]연돌일위집계!#REF!</definedName>
    <definedName name="_11B_26">[16]연돌일위집계!#REF!</definedName>
    <definedName name="_11B_27">[16]연돌일위집계!#REF!</definedName>
    <definedName name="_11B_28">[16]연돌일위집계!#REF!</definedName>
    <definedName name="_11B_29">[16]연돌일위집계!#REF!</definedName>
    <definedName name="_11B_3">[16]연돌일위집계!#REF!</definedName>
    <definedName name="_11B_30">[16]연돌일위집계!#REF!</definedName>
    <definedName name="_11B_4">[16]연돌일위집계!#REF!</definedName>
    <definedName name="_11B_5">[16]연돌일위집계!#REF!</definedName>
    <definedName name="_11B_6">[16]연돌일위집계!#REF!</definedName>
    <definedName name="_11B_7">[16]연돌일위집계!#REF!</definedName>
    <definedName name="_11B_8">[16]연돌일위집계!#REF!</definedName>
    <definedName name="_11B_9">[16]연돌일위집계!#REF!</definedName>
    <definedName name="_11C_1">[16]연돌일위집계!#REF!</definedName>
    <definedName name="_11C_10">[16]연돌일위집계!#REF!</definedName>
    <definedName name="_11C_11">[16]연돌일위집계!#REF!</definedName>
    <definedName name="_11C_12">[16]연돌일위집계!#REF!</definedName>
    <definedName name="_11C_13">[16]연돌일위집계!#REF!</definedName>
    <definedName name="_11C_14">[16]연돌일위집계!#REF!</definedName>
    <definedName name="_11C_15">[16]연돌일위집계!#REF!</definedName>
    <definedName name="_11C_16">[16]연돌일위집계!#REF!</definedName>
    <definedName name="_11C_17">[16]연돌일위집계!#REF!</definedName>
    <definedName name="_11C_18">[16]연돌일위집계!#REF!</definedName>
    <definedName name="_11C_19">[16]연돌일위집계!#REF!</definedName>
    <definedName name="_11C_2">[16]연돌일위집계!#REF!</definedName>
    <definedName name="_11C_20">[16]연돌일위집계!#REF!</definedName>
    <definedName name="_11C_21">[16]연돌일위집계!#REF!</definedName>
    <definedName name="_11C_22">[16]연돌일위집계!#REF!</definedName>
    <definedName name="_11C_23">[16]연돌일위집계!#REF!</definedName>
    <definedName name="_11C_24">[16]연돌일위집계!#REF!</definedName>
    <definedName name="_11C_25">[16]연돌일위집계!#REF!</definedName>
    <definedName name="_11C_26">[16]연돌일위집계!#REF!</definedName>
    <definedName name="_11C_27">[16]연돌일위집계!#REF!</definedName>
    <definedName name="_11C_28">[16]연돌일위집계!#REF!</definedName>
    <definedName name="_11C_29">[16]연돌일위집계!#REF!</definedName>
    <definedName name="_11C_3">[16]연돌일위집계!#REF!</definedName>
    <definedName name="_11C_30">[16]연돌일위집계!#REF!</definedName>
    <definedName name="_11C_4">[16]연돌일위집계!#REF!</definedName>
    <definedName name="_11C_5">[16]연돌일위집계!#REF!</definedName>
    <definedName name="_11C_6">[16]연돌일위집계!#REF!</definedName>
    <definedName name="_11C_7">[16]연돌일위집계!#REF!</definedName>
    <definedName name="_11C_8">[16]연돌일위집계!#REF!</definedName>
    <definedName name="_11C_9">[16]연돌일위집계!#REF!</definedName>
    <definedName name="_11P15_">#REF!</definedName>
    <definedName name="_12_______________0__123Grap" localSheetId="3" hidden="1">'[1]TOWER 12TON'!#REF!</definedName>
    <definedName name="_12_______________0__123Grap" hidden="1">'[1]TOWER 12TON'!#REF!</definedName>
    <definedName name="_12__123Graph_C자금운용" hidden="1">#REF!</definedName>
    <definedName name="_12__123Graph_FMOB_02" hidden="1">#REF!</definedName>
    <definedName name="_12__123Graph_LBL_AMOB_01" hidden="1">#REF!</definedName>
    <definedName name="_12_0현대코아공" hidden="1">[15]공통비총괄표!#REF!</definedName>
    <definedName name="_126BP01_" hidden="1">{#N/A,#N/A,FALSE,"TABLE"}</definedName>
    <definedName name="_12A_1">#N/A</definedName>
    <definedName name="_12A_10">#N/A</definedName>
    <definedName name="_12A_11">#N/A</definedName>
    <definedName name="_12A_12">#N/A</definedName>
    <definedName name="_12A_13">#N/A</definedName>
    <definedName name="_12A_14">#N/A</definedName>
    <definedName name="_12A_15">#N/A</definedName>
    <definedName name="_12A_16">#N/A</definedName>
    <definedName name="_12A_17">#N/A</definedName>
    <definedName name="_12A_18">#N/A</definedName>
    <definedName name="_12A_19">#N/A</definedName>
    <definedName name="_12A_2">#N/A</definedName>
    <definedName name="_12A_20">#N/A</definedName>
    <definedName name="_12A_21">#N/A</definedName>
    <definedName name="_12A_22">#N/A</definedName>
    <definedName name="_12A_23">#N/A</definedName>
    <definedName name="_12A_24">#N/A</definedName>
    <definedName name="_12A_25">#N/A</definedName>
    <definedName name="_12A_26">#N/A</definedName>
    <definedName name="_12A_27">#N/A</definedName>
    <definedName name="_12A_28">#N/A</definedName>
    <definedName name="_12A_29">#N/A</definedName>
    <definedName name="_12A_3">#N/A</definedName>
    <definedName name="_12A_30">#N/A</definedName>
    <definedName name="_12A_31">#N/A</definedName>
    <definedName name="_12A_32">#N/A</definedName>
    <definedName name="_12A_33">#N/A</definedName>
    <definedName name="_12A_34">#N/A</definedName>
    <definedName name="_12A_35">#N/A</definedName>
    <definedName name="_12A_36">#N/A</definedName>
    <definedName name="_12A_37">#N/A</definedName>
    <definedName name="_12A_38">#N/A</definedName>
    <definedName name="_12A_39">#N/A</definedName>
    <definedName name="_12A_4">#N/A</definedName>
    <definedName name="_12A_40">#N/A</definedName>
    <definedName name="_12A_41">#N/A</definedName>
    <definedName name="_12A_42">#N/A</definedName>
    <definedName name="_12A_43">#N/A</definedName>
    <definedName name="_12A_44">#N/A</definedName>
    <definedName name="_12A_45">#N/A</definedName>
    <definedName name="_12A_46">#N/A</definedName>
    <definedName name="_12A_47">#N/A</definedName>
    <definedName name="_12A_48">#N/A</definedName>
    <definedName name="_12A_49">#N/A</definedName>
    <definedName name="_12A_5">#N/A</definedName>
    <definedName name="_12A_50">#N/A</definedName>
    <definedName name="_12A_51">#N/A</definedName>
    <definedName name="_12A_52">#N/A</definedName>
    <definedName name="_12A_53">#N/A</definedName>
    <definedName name="_12A_54">#N/A</definedName>
    <definedName name="_12A_55">#N/A</definedName>
    <definedName name="_12A_56">#N/A</definedName>
    <definedName name="_12A_57">#N/A</definedName>
    <definedName name="_12A_58">#N/A</definedName>
    <definedName name="_12A_59">#N/A</definedName>
    <definedName name="_12A_6">#N/A</definedName>
    <definedName name="_12A_60">#N/A</definedName>
    <definedName name="_12A_61">#N/A</definedName>
    <definedName name="_12A_62">#N/A</definedName>
    <definedName name="_12A_63">#N/A</definedName>
    <definedName name="_12A_64">#N/A</definedName>
    <definedName name="_12A_65">#N/A</definedName>
    <definedName name="_12A_66">#N/A</definedName>
    <definedName name="_12A_67">#N/A</definedName>
    <definedName name="_12A_68">#N/A</definedName>
    <definedName name="_12A_69">#N/A</definedName>
    <definedName name="_12A_7">#N/A</definedName>
    <definedName name="_12A_70">#N/A</definedName>
    <definedName name="_12A_71">#N/A</definedName>
    <definedName name="_12A_72">#N/A</definedName>
    <definedName name="_12A_73">#N/A</definedName>
    <definedName name="_12A_74">#N/A</definedName>
    <definedName name="_12A_75">#N/A</definedName>
    <definedName name="_12A_76">#N/A</definedName>
    <definedName name="_12A_77">#N/A</definedName>
    <definedName name="_12A_78">#N/A</definedName>
    <definedName name="_12A_79">#N/A</definedName>
    <definedName name="_12A_8">#N/A</definedName>
    <definedName name="_12A_80">#N/A</definedName>
    <definedName name="_12A_81">#N/A</definedName>
    <definedName name="_12A_9">#N/A</definedName>
    <definedName name="_12B_1">#N/A</definedName>
    <definedName name="_12B_10">#N/A</definedName>
    <definedName name="_12B_11">#N/A</definedName>
    <definedName name="_12B_12">#N/A</definedName>
    <definedName name="_12B_13">#N/A</definedName>
    <definedName name="_12B_14">#N/A</definedName>
    <definedName name="_12B_15">#N/A</definedName>
    <definedName name="_12B_16">#N/A</definedName>
    <definedName name="_12B_17">#N/A</definedName>
    <definedName name="_12B_18">#N/A</definedName>
    <definedName name="_12B_19">#N/A</definedName>
    <definedName name="_12B_2">#N/A</definedName>
    <definedName name="_12B_20">#N/A</definedName>
    <definedName name="_12B_21">#N/A</definedName>
    <definedName name="_12B_22">#N/A</definedName>
    <definedName name="_12B_23">#N/A</definedName>
    <definedName name="_12B_24">#N/A</definedName>
    <definedName name="_12B_25">#N/A</definedName>
    <definedName name="_12B_26">#N/A</definedName>
    <definedName name="_12B_27">#N/A</definedName>
    <definedName name="_12B_28">#N/A</definedName>
    <definedName name="_12B_29">#N/A</definedName>
    <definedName name="_12B_3">#N/A</definedName>
    <definedName name="_12B_30">#N/A</definedName>
    <definedName name="_12B_31">#N/A</definedName>
    <definedName name="_12B_32">#N/A</definedName>
    <definedName name="_12B_33">#N/A</definedName>
    <definedName name="_12B_34">#N/A</definedName>
    <definedName name="_12B_35">#N/A</definedName>
    <definedName name="_12B_36">#N/A</definedName>
    <definedName name="_12B_37">#N/A</definedName>
    <definedName name="_12B_38">#N/A</definedName>
    <definedName name="_12B_39">#N/A</definedName>
    <definedName name="_12B_4">#N/A</definedName>
    <definedName name="_12B_40">#N/A</definedName>
    <definedName name="_12B_41">#N/A</definedName>
    <definedName name="_12B_42">#N/A</definedName>
    <definedName name="_12B_43">#N/A</definedName>
    <definedName name="_12B_44">#N/A</definedName>
    <definedName name="_12B_45">#N/A</definedName>
    <definedName name="_12B_46">#N/A</definedName>
    <definedName name="_12B_47">#N/A</definedName>
    <definedName name="_12B_48">#N/A</definedName>
    <definedName name="_12B_49">#N/A</definedName>
    <definedName name="_12B_5">#N/A</definedName>
    <definedName name="_12B_50">#N/A</definedName>
    <definedName name="_12B_51">#N/A</definedName>
    <definedName name="_12B_52">#N/A</definedName>
    <definedName name="_12B_53">#N/A</definedName>
    <definedName name="_12B_54">#N/A</definedName>
    <definedName name="_12B_55">#N/A</definedName>
    <definedName name="_12B_56">#N/A</definedName>
    <definedName name="_12B_57">#N/A</definedName>
    <definedName name="_12B_58">#N/A</definedName>
    <definedName name="_12B_59">#N/A</definedName>
    <definedName name="_12B_6">#N/A</definedName>
    <definedName name="_12B_60">#N/A</definedName>
    <definedName name="_12B_61">#N/A</definedName>
    <definedName name="_12B_62">#N/A</definedName>
    <definedName name="_12B_63">#N/A</definedName>
    <definedName name="_12B_64">#N/A</definedName>
    <definedName name="_12B_65">#N/A</definedName>
    <definedName name="_12B_66">#N/A</definedName>
    <definedName name="_12B_67">#N/A</definedName>
    <definedName name="_12B_68">#N/A</definedName>
    <definedName name="_12B_69">#N/A</definedName>
    <definedName name="_12B_7">#N/A</definedName>
    <definedName name="_12B_70">#N/A</definedName>
    <definedName name="_12B_71">#N/A</definedName>
    <definedName name="_12B_72">#N/A</definedName>
    <definedName name="_12B_73">#N/A</definedName>
    <definedName name="_12B_74">#N/A</definedName>
    <definedName name="_12B_75">#N/A</definedName>
    <definedName name="_12B_76">#N/A</definedName>
    <definedName name="_12B_77">#N/A</definedName>
    <definedName name="_12B_78">#N/A</definedName>
    <definedName name="_12B_79">#N/A</definedName>
    <definedName name="_12B_8">#N/A</definedName>
    <definedName name="_12B_80">#N/A</definedName>
    <definedName name="_12B_81">#N/A</definedName>
    <definedName name="_12B_9">#N/A</definedName>
    <definedName name="_12C_1">#N/A</definedName>
    <definedName name="_12C_10">#N/A</definedName>
    <definedName name="_12C_11">#N/A</definedName>
    <definedName name="_12C_12">#N/A</definedName>
    <definedName name="_12C_13">#N/A</definedName>
    <definedName name="_12C_14">#N/A</definedName>
    <definedName name="_12C_15">#N/A</definedName>
    <definedName name="_12C_16">#N/A</definedName>
    <definedName name="_12C_17">#N/A</definedName>
    <definedName name="_12C_18">#N/A</definedName>
    <definedName name="_12C_19">#N/A</definedName>
    <definedName name="_12C_2">#N/A</definedName>
    <definedName name="_12C_20">#N/A</definedName>
    <definedName name="_12C_21">#N/A</definedName>
    <definedName name="_12C_22">#N/A</definedName>
    <definedName name="_12C_23">#N/A</definedName>
    <definedName name="_12C_24">#N/A</definedName>
    <definedName name="_12C_25">#N/A</definedName>
    <definedName name="_12C_26">#N/A</definedName>
    <definedName name="_12C_27">#N/A</definedName>
    <definedName name="_12C_28">#N/A</definedName>
    <definedName name="_12C_29">#N/A</definedName>
    <definedName name="_12C_3">#N/A</definedName>
    <definedName name="_12C_30">#N/A</definedName>
    <definedName name="_12C_31">#N/A</definedName>
    <definedName name="_12C_32">#N/A</definedName>
    <definedName name="_12C_33">#N/A</definedName>
    <definedName name="_12C_34">#N/A</definedName>
    <definedName name="_12C_35">#N/A</definedName>
    <definedName name="_12C_36">#N/A</definedName>
    <definedName name="_12C_37">#N/A</definedName>
    <definedName name="_12C_38">#N/A</definedName>
    <definedName name="_12C_39">#N/A</definedName>
    <definedName name="_12C_4">#N/A</definedName>
    <definedName name="_12C_40">#N/A</definedName>
    <definedName name="_12C_41">#N/A</definedName>
    <definedName name="_12C_42">#N/A</definedName>
    <definedName name="_12C_43">#N/A</definedName>
    <definedName name="_12C_44">#N/A</definedName>
    <definedName name="_12C_45">#N/A</definedName>
    <definedName name="_12C_46">#N/A</definedName>
    <definedName name="_12C_47">#N/A</definedName>
    <definedName name="_12C_48">#N/A</definedName>
    <definedName name="_12C_49">#N/A</definedName>
    <definedName name="_12C_5">#N/A</definedName>
    <definedName name="_12C_50">#N/A</definedName>
    <definedName name="_12C_51">#N/A</definedName>
    <definedName name="_12C_52">#N/A</definedName>
    <definedName name="_12C_53">#N/A</definedName>
    <definedName name="_12C_54">#N/A</definedName>
    <definedName name="_12C_55">#N/A</definedName>
    <definedName name="_12C_56">#N/A</definedName>
    <definedName name="_12C_57">#N/A</definedName>
    <definedName name="_12C_58">#N/A</definedName>
    <definedName name="_12C_59">#N/A</definedName>
    <definedName name="_12C_6">#N/A</definedName>
    <definedName name="_12C_60">#N/A</definedName>
    <definedName name="_12C_61">#N/A</definedName>
    <definedName name="_12C_62">#N/A</definedName>
    <definedName name="_12C_63">#N/A</definedName>
    <definedName name="_12C_64">#N/A</definedName>
    <definedName name="_12C_65">#N/A</definedName>
    <definedName name="_12C_66">#N/A</definedName>
    <definedName name="_12C_67">#N/A</definedName>
    <definedName name="_12C_68">#N/A</definedName>
    <definedName name="_12C_69">#N/A</definedName>
    <definedName name="_12C_7">#N/A</definedName>
    <definedName name="_12C_70">#N/A</definedName>
    <definedName name="_12C_71">#N/A</definedName>
    <definedName name="_12C_72">#N/A</definedName>
    <definedName name="_12C_73">#N/A</definedName>
    <definedName name="_12C_74">#N/A</definedName>
    <definedName name="_12C_75">#N/A</definedName>
    <definedName name="_12C_76">#N/A</definedName>
    <definedName name="_12C_77">#N/A</definedName>
    <definedName name="_12C_78">#N/A</definedName>
    <definedName name="_12C_79">#N/A</definedName>
    <definedName name="_12C_8">#N/A</definedName>
    <definedName name="_12C_80">#N/A</definedName>
    <definedName name="_12C_81">#N/A</definedName>
    <definedName name="_12C_9">#N/A</definedName>
    <definedName name="_12P16_">#REF!</definedName>
    <definedName name="_13_______________0_Dist_" localSheetId="3" hidden="1">'[1]TOWER 10TON'!#REF!</definedName>
    <definedName name="_13_______________0_Dist_" hidden="1">'[1]TOWER 10TON'!#REF!</definedName>
    <definedName name="_13__123Graph_AChart_1A" localSheetId="3" hidden="1">'[17]Eq. Mobilization'!#REF!</definedName>
    <definedName name="_13__123Graph_AChart_1A" hidden="1">'[17]Eq. Mobilization'!#REF!</definedName>
    <definedName name="_13__123Graph_LBL_AMOB_01" hidden="1">#REF!</definedName>
    <definedName name="_13__123Graph_LBL_AMOB_02" hidden="1">#REF!</definedName>
    <definedName name="_13__123Graph_XChart_1A" hidden="1">'[12]Eq. Mobilization'!#REF!</definedName>
    <definedName name="_132_______0_0_F" localSheetId="3" hidden="1">#REF!</definedName>
    <definedName name="_132_______0_0_F" hidden="1">#REF!</definedName>
    <definedName name="_13A_1">[16]연돌일위집계!#REF!</definedName>
    <definedName name="_13A_10">[16]연돌일위집계!#REF!</definedName>
    <definedName name="_13A_11">[16]연돌일위집계!#REF!</definedName>
    <definedName name="_13A_12">[16]연돌일위집계!#REF!</definedName>
    <definedName name="_13A_13">[16]연돌일위집계!#REF!</definedName>
    <definedName name="_13A_14">[16]연돌일위집계!#REF!</definedName>
    <definedName name="_13A_15">[16]연돌일위집계!#REF!</definedName>
    <definedName name="_13A_16">[16]연돌일위집계!#REF!</definedName>
    <definedName name="_13A_17">[16]연돌일위집계!#REF!</definedName>
    <definedName name="_13A_18">[16]연돌일위집계!#REF!</definedName>
    <definedName name="_13A_19">[16]연돌일위집계!#REF!</definedName>
    <definedName name="_13A_2">[16]연돌일위집계!#REF!</definedName>
    <definedName name="_13A_20">[16]연돌일위집계!#REF!</definedName>
    <definedName name="_13A_21">[16]연돌일위집계!#REF!</definedName>
    <definedName name="_13A_22">[16]연돌일위집계!#REF!</definedName>
    <definedName name="_13A_23">[16]연돌일위집계!#REF!</definedName>
    <definedName name="_13A_24">[16]연돌일위집계!#REF!</definedName>
    <definedName name="_13A_25">[16]연돌일위집계!#REF!</definedName>
    <definedName name="_13A_26">[16]연돌일위집계!#REF!</definedName>
    <definedName name="_13A_27">[16]연돌일위집계!#REF!</definedName>
    <definedName name="_13A_28">[16]연돌일위집계!#REF!</definedName>
    <definedName name="_13A_29">[16]연돌일위집계!#REF!</definedName>
    <definedName name="_13A_3">[16]연돌일위집계!#REF!</definedName>
    <definedName name="_13A_30">[16]연돌일위집계!#REF!</definedName>
    <definedName name="_13A_31">[16]연돌일위집계!#REF!</definedName>
    <definedName name="_13A_32">[16]연돌일위집계!#REF!</definedName>
    <definedName name="_13A_33">[16]연돌일위집계!#REF!</definedName>
    <definedName name="_13A_34">[16]연돌일위집계!#REF!</definedName>
    <definedName name="_13A_35">[16]연돌일위집계!#REF!</definedName>
    <definedName name="_13A_36">[16]연돌일위집계!#REF!</definedName>
    <definedName name="_13A_37">[16]연돌일위집계!#REF!</definedName>
    <definedName name="_13A_38">[16]연돌일위집계!#REF!</definedName>
    <definedName name="_13A_39">[16]연돌일위집계!#REF!</definedName>
    <definedName name="_13A_4">[16]연돌일위집계!#REF!</definedName>
    <definedName name="_13A_40">[16]연돌일위집계!#REF!</definedName>
    <definedName name="_13A_41">[16]연돌일위집계!#REF!</definedName>
    <definedName name="_13A_42">[16]연돌일위집계!#REF!</definedName>
    <definedName name="_13A_43">[16]연돌일위집계!#REF!</definedName>
    <definedName name="_13A_44">[16]연돌일위집계!#REF!</definedName>
    <definedName name="_13A_45">[16]연돌일위집계!#REF!</definedName>
    <definedName name="_13A_46">[16]연돌일위집계!#REF!</definedName>
    <definedName name="_13A_47">[16]연돌일위집계!#REF!</definedName>
    <definedName name="_13A_48">[16]연돌일위집계!#REF!</definedName>
    <definedName name="_13A_49">[16]연돌일위집계!#REF!</definedName>
    <definedName name="_13A_5">[16]연돌일위집계!#REF!</definedName>
    <definedName name="_13A_50">[16]연돌일위집계!#REF!</definedName>
    <definedName name="_13A_51">[16]연돌일위집계!#REF!</definedName>
    <definedName name="_13A_52">[16]연돌일위집계!#REF!</definedName>
    <definedName name="_13A_53">[16]연돌일위집계!#REF!</definedName>
    <definedName name="_13A_54">[16]연돌일위집계!#REF!</definedName>
    <definedName name="_13A_55">[16]연돌일위집계!#REF!</definedName>
    <definedName name="_13A_56">[16]연돌일위집계!#REF!</definedName>
    <definedName name="_13A_57">[16]연돌일위집계!#REF!</definedName>
    <definedName name="_13A_58">[16]연돌일위집계!#REF!</definedName>
    <definedName name="_13A_59">[16]연돌일위집계!#REF!</definedName>
    <definedName name="_13A_6">[16]연돌일위집계!#REF!</definedName>
    <definedName name="_13A_60">[16]연돌일위집계!#REF!</definedName>
    <definedName name="_13A_7">[16]연돌일위집계!#REF!</definedName>
    <definedName name="_13A_8">[16]연돌일위집계!#REF!</definedName>
    <definedName name="_13A_9">[16]연돌일위집계!#REF!</definedName>
    <definedName name="_13B_1">[16]연돌일위집계!#REF!</definedName>
    <definedName name="_13B_10">[16]연돌일위집계!#REF!</definedName>
    <definedName name="_13B_11">[16]연돌일위집계!#REF!</definedName>
    <definedName name="_13B_12">[16]연돌일위집계!#REF!</definedName>
    <definedName name="_13B_13">[16]연돌일위집계!#REF!</definedName>
    <definedName name="_13B_14">[16]연돌일위집계!#REF!</definedName>
    <definedName name="_13B_15">[16]연돌일위집계!#REF!</definedName>
    <definedName name="_13B_16">[16]연돌일위집계!#REF!</definedName>
    <definedName name="_13B_17">[16]연돌일위집계!#REF!</definedName>
    <definedName name="_13B_18">[16]연돌일위집계!#REF!</definedName>
    <definedName name="_13B_19">[16]연돌일위집계!#REF!</definedName>
    <definedName name="_13B_2">[16]연돌일위집계!#REF!</definedName>
    <definedName name="_13B_20">[16]연돌일위집계!#REF!</definedName>
    <definedName name="_13B_21">[16]연돌일위집계!#REF!</definedName>
    <definedName name="_13B_22">[16]연돌일위집계!#REF!</definedName>
    <definedName name="_13B_23">[16]연돌일위집계!#REF!</definedName>
    <definedName name="_13B_24">[16]연돌일위집계!#REF!</definedName>
    <definedName name="_13B_25">[16]연돌일위집계!#REF!</definedName>
    <definedName name="_13B_26">[16]연돌일위집계!#REF!</definedName>
    <definedName name="_13B_27">[16]연돌일위집계!#REF!</definedName>
    <definedName name="_13B_28">[16]연돌일위집계!#REF!</definedName>
    <definedName name="_13B_29">[16]연돌일위집계!#REF!</definedName>
    <definedName name="_13B_3">[16]연돌일위집계!#REF!</definedName>
    <definedName name="_13B_30">[16]연돌일위집계!#REF!</definedName>
    <definedName name="_13B_31">[16]연돌일위집계!#REF!</definedName>
    <definedName name="_13B_32">[16]연돌일위집계!#REF!</definedName>
    <definedName name="_13B_33">[16]연돌일위집계!#REF!</definedName>
    <definedName name="_13B_34">[16]연돌일위집계!#REF!</definedName>
    <definedName name="_13B_35">[16]연돌일위집계!#REF!</definedName>
    <definedName name="_13B_36">[16]연돌일위집계!#REF!</definedName>
    <definedName name="_13B_37">[16]연돌일위집계!#REF!</definedName>
    <definedName name="_13B_38">[16]연돌일위집계!#REF!</definedName>
    <definedName name="_13B_39">[16]연돌일위집계!#REF!</definedName>
    <definedName name="_13B_4">[16]연돌일위집계!#REF!</definedName>
    <definedName name="_13B_40">[16]연돌일위집계!#REF!</definedName>
    <definedName name="_13B_41">[16]연돌일위집계!#REF!</definedName>
    <definedName name="_13B_42">[16]연돌일위집계!#REF!</definedName>
    <definedName name="_13B_43">[16]연돌일위집계!#REF!</definedName>
    <definedName name="_13B_44">[16]연돌일위집계!#REF!</definedName>
    <definedName name="_13B_45">[16]연돌일위집계!#REF!</definedName>
    <definedName name="_13B_46">[16]연돌일위집계!#REF!</definedName>
    <definedName name="_13B_47">[16]연돌일위집계!#REF!</definedName>
    <definedName name="_13B_48">[16]연돌일위집계!#REF!</definedName>
    <definedName name="_13B_49">[16]연돌일위집계!#REF!</definedName>
    <definedName name="_13B_5">[16]연돌일위집계!#REF!</definedName>
    <definedName name="_13B_50">[16]연돌일위집계!#REF!</definedName>
    <definedName name="_13B_51">[16]연돌일위집계!#REF!</definedName>
    <definedName name="_13B_52">[16]연돌일위집계!#REF!</definedName>
    <definedName name="_13B_53">[16]연돌일위집계!#REF!</definedName>
    <definedName name="_13B_54">[16]연돌일위집계!#REF!</definedName>
    <definedName name="_13B_55">[16]연돌일위집계!#REF!</definedName>
    <definedName name="_13B_56">[16]연돌일위집계!#REF!</definedName>
    <definedName name="_13B_57">[16]연돌일위집계!#REF!</definedName>
    <definedName name="_13B_58">[16]연돌일위집계!#REF!</definedName>
    <definedName name="_13B_59">[16]연돌일위집계!#REF!</definedName>
    <definedName name="_13B_6">[16]연돌일위집계!#REF!</definedName>
    <definedName name="_13B_60">[16]연돌일위집계!#REF!</definedName>
    <definedName name="_13B_7">[16]연돌일위집계!#REF!</definedName>
    <definedName name="_13B_8">[16]연돌일위집계!#REF!</definedName>
    <definedName name="_13B_9">[16]연돌일위집계!#REF!</definedName>
    <definedName name="_13C_1">[16]연돌일위집계!#REF!</definedName>
    <definedName name="_13C_10">[16]연돌일위집계!#REF!</definedName>
    <definedName name="_13C_11">[16]연돌일위집계!#REF!</definedName>
    <definedName name="_13C_12">[16]연돌일위집계!#REF!</definedName>
    <definedName name="_13C_13">[16]연돌일위집계!#REF!</definedName>
    <definedName name="_13C_14">[16]연돌일위집계!#REF!</definedName>
    <definedName name="_13C_15">[16]연돌일위집계!#REF!</definedName>
    <definedName name="_13C_16">[16]연돌일위집계!#REF!</definedName>
    <definedName name="_13C_17">[16]연돌일위집계!#REF!</definedName>
    <definedName name="_13C_18">[16]연돌일위집계!#REF!</definedName>
    <definedName name="_13C_19">[16]연돌일위집계!#REF!</definedName>
    <definedName name="_13C_2">[16]연돌일위집계!#REF!</definedName>
    <definedName name="_13C_20">[16]연돌일위집계!#REF!</definedName>
    <definedName name="_13C_21">[16]연돌일위집계!#REF!</definedName>
    <definedName name="_13C_22">[16]연돌일위집계!#REF!</definedName>
    <definedName name="_13C_23">[16]연돌일위집계!#REF!</definedName>
    <definedName name="_13C_24">[16]연돌일위집계!#REF!</definedName>
    <definedName name="_13C_25">[16]연돌일위집계!#REF!</definedName>
    <definedName name="_13C_26">[16]연돌일위집계!#REF!</definedName>
    <definedName name="_13C_27">[16]연돌일위집계!#REF!</definedName>
    <definedName name="_13C_28">[16]연돌일위집계!#REF!</definedName>
    <definedName name="_13C_29">[16]연돌일위집계!#REF!</definedName>
    <definedName name="_13C_3">[16]연돌일위집계!#REF!</definedName>
    <definedName name="_13C_30">[16]연돌일위집계!#REF!</definedName>
    <definedName name="_13C_31">[16]연돌일위집계!#REF!</definedName>
    <definedName name="_13C_32">[16]연돌일위집계!#REF!</definedName>
    <definedName name="_13C_33">[16]연돌일위집계!#REF!</definedName>
    <definedName name="_13C_34">[16]연돌일위집계!#REF!</definedName>
    <definedName name="_13C_35">[16]연돌일위집계!#REF!</definedName>
    <definedName name="_13C_36">[16]연돌일위집계!#REF!</definedName>
    <definedName name="_13C_37">[16]연돌일위집계!#REF!</definedName>
    <definedName name="_13C_38">[16]연돌일위집계!#REF!</definedName>
    <definedName name="_13C_39">[16]연돌일위집계!#REF!</definedName>
    <definedName name="_13C_4">[16]연돌일위집계!#REF!</definedName>
    <definedName name="_13C_40">[16]연돌일위집계!#REF!</definedName>
    <definedName name="_13C_41">[16]연돌일위집계!#REF!</definedName>
    <definedName name="_13C_42">[16]연돌일위집계!#REF!</definedName>
    <definedName name="_13C_43">[16]연돌일위집계!#REF!</definedName>
    <definedName name="_13C_44">[16]연돌일위집계!#REF!</definedName>
    <definedName name="_13C_45">[16]연돌일위집계!#REF!</definedName>
    <definedName name="_13C_46">[16]연돌일위집계!#REF!</definedName>
    <definedName name="_13C_47">[16]연돌일위집계!#REF!</definedName>
    <definedName name="_13C_48">[16]연돌일위집계!#REF!</definedName>
    <definedName name="_13C_49">[16]연돌일위집계!#REF!</definedName>
    <definedName name="_13C_5">[16]연돌일위집계!#REF!</definedName>
    <definedName name="_13C_50">[16]연돌일위집계!#REF!</definedName>
    <definedName name="_13C_51">[16]연돌일위집계!#REF!</definedName>
    <definedName name="_13C_52">[16]연돌일위집계!#REF!</definedName>
    <definedName name="_13C_53">[16]연돌일위집계!#REF!</definedName>
    <definedName name="_13C_54">[16]연돌일위집계!#REF!</definedName>
    <definedName name="_13C_55">[16]연돌일위집계!#REF!</definedName>
    <definedName name="_13C_56">[16]연돌일위집계!#REF!</definedName>
    <definedName name="_13C_57">[16]연돌일위집계!#REF!</definedName>
    <definedName name="_13C_58">[16]연돌일위집계!#REF!</definedName>
    <definedName name="_13C_59">[16]연돌일위집계!#REF!</definedName>
    <definedName name="_13C_6">[16]연돌일위집계!#REF!</definedName>
    <definedName name="_13C_60">[16]연돌일위집계!#REF!</definedName>
    <definedName name="_13C_7">[16]연돌일위집계!#REF!</definedName>
    <definedName name="_13C_8">[16]연돌일위집계!#REF!</definedName>
    <definedName name="_13C_9">[16]연돌일위집계!#REF!</definedName>
    <definedName name="_13Graph_LBL_B" localSheetId="3" hidden="1">'[2]Eq. Mobilization'!#REF!</definedName>
    <definedName name="_13Graph_LBL_B" hidden="1">'[12]Eq. Mobilization'!#REF!</definedName>
    <definedName name="_13P17_">#REF!</definedName>
    <definedName name="_14_____________0_0__123Grap" localSheetId="3" hidden="1">[14]유림골조!#REF!</definedName>
    <definedName name="_14_____________0_0__123Grap" hidden="1">[14]유림골조!#REF!</definedName>
    <definedName name="_14__123Graph_C자금운용" hidden="1">#REF!</definedName>
    <definedName name="_14__123Graph_LBL_AMOB_02" hidden="1">#REF!</definedName>
    <definedName name="_14__123Graph_LBL_BMOB_01" hidden="1">#REF!</definedName>
    <definedName name="_14__123Graph_X자금운용" hidden="1">#REF!</definedName>
    <definedName name="_140_0_0_F" localSheetId="3" hidden="1">#REF!</definedName>
    <definedName name="_140_0_0_F" hidden="1">#REF!</definedName>
    <definedName name="_141_0_0_F" localSheetId="3" hidden="1">#REF!</definedName>
    <definedName name="_141_0_0_F" hidden="1">#REF!</definedName>
    <definedName name="_148_______0__123Grap" localSheetId="3" hidden="1">#REF!</definedName>
    <definedName name="_148_______0__123Grap" hidden="1">#REF!</definedName>
    <definedName name="_14A_1">#N/A</definedName>
    <definedName name="_14A_10">#N/A</definedName>
    <definedName name="_14A_11">#N/A</definedName>
    <definedName name="_14A_12">#N/A</definedName>
    <definedName name="_14A_13">#N/A</definedName>
    <definedName name="_14A_14">#N/A</definedName>
    <definedName name="_14A_15">#N/A</definedName>
    <definedName name="_14A_16">#N/A</definedName>
    <definedName name="_14A_17">#N/A</definedName>
    <definedName name="_14A_18">#N/A</definedName>
    <definedName name="_14A_19">#N/A</definedName>
    <definedName name="_14A_2">#N/A</definedName>
    <definedName name="_14A_20">#N/A</definedName>
    <definedName name="_14A_21">#N/A</definedName>
    <definedName name="_14A_22">#N/A</definedName>
    <definedName name="_14A_23">#N/A</definedName>
    <definedName name="_14A_24">#N/A</definedName>
    <definedName name="_14A_25">#N/A</definedName>
    <definedName name="_14A_26">#N/A</definedName>
    <definedName name="_14A_27">#N/A</definedName>
    <definedName name="_14A_28">#N/A</definedName>
    <definedName name="_14A_29">#N/A</definedName>
    <definedName name="_14A_3">#N/A</definedName>
    <definedName name="_14A_30">#N/A</definedName>
    <definedName name="_14A_4">#N/A</definedName>
    <definedName name="_14A_5">#N/A</definedName>
    <definedName name="_14A_6">#N/A</definedName>
    <definedName name="_14A_7">#N/A</definedName>
    <definedName name="_14A_8">#N/A</definedName>
    <definedName name="_14A_9">#N/A</definedName>
    <definedName name="_14B_1">#N/A</definedName>
    <definedName name="_14B_10">#N/A</definedName>
    <definedName name="_14B_11">#N/A</definedName>
    <definedName name="_14B_12">#N/A</definedName>
    <definedName name="_14B_13">#N/A</definedName>
    <definedName name="_14B_14">#N/A</definedName>
    <definedName name="_14B_15">#N/A</definedName>
    <definedName name="_14B_16">#N/A</definedName>
    <definedName name="_14B_17">#N/A</definedName>
    <definedName name="_14B_18">#N/A</definedName>
    <definedName name="_14B_19">#N/A</definedName>
    <definedName name="_14B_2">#N/A</definedName>
    <definedName name="_14B_20">#N/A</definedName>
    <definedName name="_14B_21">#N/A</definedName>
    <definedName name="_14B_22">#N/A</definedName>
    <definedName name="_14B_23">#N/A</definedName>
    <definedName name="_14B_24">#N/A</definedName>
    <definedName name="_14B_25">#N/A</definedName>
    <definedName name="_14B_26">#N/A</definedName>
    <definedName name="_14B_27">#N/A</definedName>
    <definedName name="_14B_28">#N/A</definedName>
    <definedName name="_14B_29">#N/A</definedName>
    <definedName name="_14B_3">#N/A</definedName>
    <definedName name="_14B_30">#N/A</definedName>
    <definedName name="_14B_4">#N/A</definedName>
    <definedName name="_14B_5">#N/A</definedName>
    <definedName name="_14B_6">#N/A</definedName>
    <definedName name="_14B_7">#N/A</definedName>
    <definedName name="_14B_8">#N/A</definedName>
    <definedName name="_14B_9">#N/A</definedName>
    <definedName name="_14C_1">#N/A</definedName>
    <definedName name="_14C_10">#N/A</definedName>
    <definedName name="_14C_11">#N/A</definedName>
    <definedName name="_14C_12">#N/A</definedName>
    <definedName name="_14C_13">#N/A</definedName>
    <definedName name="_14C_14">#N/A</definedName>
    <definedName name="_14C_15">#N/A</definedName>
    <definedName name="_14C_16">#N/A</definedName>
    <definedName name="_14C_17">#N/A</definedName>
    <definedName name="_14C_18">#N/A</definedName>
    <definedName name="_14C_19">#N/A</definedName>
    <definedName name="_14C_2">#N/A</definedName>
    <definedName name="_14C_20">#N/A</definedName>
    <definedName name="_14C_21">#N/A</definedName>
    <definedName name="_14C_22">#N/A</definedName>
    <definedName name="_14C_23">#N/A</definedName>
    <definedName name="_14C_24">#N/A</definedName>
    <definedName name="_14C_25">#N/A</definedName>
    <definedName name="_14C_26">#N/A</definedName>
    <definedName name="_14C_27">#N/A</definedName>
    <definedName name="_14C_28">#N/A</definedName>
    <definedName name="_14C_29">#N/A</definedName>
    <definedName name="_14C_3">#N/A</definedName>
    <definedName name="_14C_30">#N/A</definedName>
    <definedName name="_14C_4">#N/A</definedName>
    <definedName name="_14C_5">#N/A</definedName>
    <definedName name="_14C_6">#N/A</definedName>
    <definedName name="_14C_7">#N/A</definedName>
    <definedName name="_14C_8">#N/A</definedName>
    <definedName name="_14C_9">#N/A</definedName>
    <definedName name="_14P2_">#REF!</definedName>
    <definedName name="_15_____________0_0_F" localSheetId="3" hidden="1">'[1]TOWER 10TON'!#REF!</definedName>
    <definedName name="_15_____________0_0_F" hidden="1">'[1]TOWER 10TON'!#REF!</definedName>
    <definedName name="_15__123Graph_LBL_BMOB_01" hidden="1">#REF!</definedName>
    <definedName name="_15__123Graph_LBL_BMOB_02" hidden="1">#REF!</definedName>
    <definedName name="_15__123Graph_X자금운용" hidden="1">#REF!</definedName>
    <definedName name="_15A_1">#N/A</definedName>
    <definedName name="_15A_10">#N/A</definedName>
    <definedName name="_15A_11">#N/A</definedName>
    <definedName name="_15A_12">#N/A</definedName>
    <definedName name="_15A_13">#N/A</definedName>
    <definedName name="_15A_14">#N/A</definedName>
    <definedName name="_15A_15">#N/A</definedName>
    <definedName name="_15A_16">#N/A</definedName>
    <definedName name="_15A_17">#N/A</definedName>
    <definedName name="_15A_18">#N/A</definedName>
    <definedName name="_15A_19">#N/A</definedName>
    <definedName name="_15A_2">#N/A</definedName>
    <definedName name="_15A_20">#N/A</definedName>
    <definedName name="_15A_21">#N/A</definedName>
    <definedName name="_15A_22">#N/A</definedName>
    <definedName name="_15A_23">#N/A</definedName>
    <definedName name="_15A_24">#N/A</definedName>
    <definedName name="_15A_25">#N/A</definedName>
    <definedName name="_15A_26">#N/A</definedName>
    <definedName name="_15A_27">#N/A</definedName>
    <definedName name="_15A_28">#N/A</definedName>
    <definedName name="_15A_29">#N/A</definedName>
    <definedName name="_15A_3">#N/A</definedName>
    <definedName name="_15A_30">#N/A</definedName>
    <definedName name="_15A_31">#N/A</definedName>
    <definedName name="_15A_32">#N/A</definedName>
    <definedName name="_15A_33">#N/A</definedName>
    <definedName name="_15A_34">#N/A</definedName>
    <definedName name="_15A_35">#N/A</definedName>
    <definedName name="_15A_36">#N/A</definedName>
    <definedName name="_15A_37">#N/A</definedName>
    <definedName name="_15A_38">#N/A</definedName>
    <definedName name="_15A_39">#N/A</definedName>
    <definedName name="_15A_4">#N/A</definedName>
    <definedName name="_15A_40">#N/A</definedName>
    <definedName name="_15A_41">#N/A</definedName>
    <definedName name="_15A_42">#N/A</definedName>
    <definedName name="_15A_43">#N/A</definedName>
    <definedName name="_15A_44">#N/A</definedName>
    <definedName name="_15A_45">#N/A</definedName>
    <definedName name="_15A_46">#N/A</definedName>
    <definedName name="_15A_47">#N/A</definedName>
    <definedName name="_15A_48">#N/A</definedName>
    <definedName name="_15A_49">#N/A</definedName>
    <definedName name="_15A_5">#N/A</definedName>
    <definedName name="_15A_50">#N/A</definedName>
    <definedName name="_15A_51">#N/A</definedName>
    <definedName name="_15A_52">#N/A</definedName>
    <definedName name="_15A_53">#N/A</definedName>
    <definedName name="_15A_54">#N/A</definedName>
    <definedName name="_15A_55">#N/A</definedName>
    <definedName name="_15A_56">#N/A</definedName>
    <definedName name="_15A_57">#N/A</definedName>
    <definedName name="_15A_58">#N/A</definedName>
    <definedName name="_15A_59">#N/A</definedName>
    <definedName name="_15A_6">#N/A</definedName>
    <definedName name="_15A_60">#N/A</definedName>
    <definedName name="_15A_61">#N/A</definedName>
    <definedName name="_15A_62">#N/A</definedName>
    <definedName name="_15A_63">#N/A</definedName>
    <definedName name="_15A_64">#N/A</definedName>
    <definedName name="_15A_65">#N/A</definedName>
    <definedName name="_15A_66">#N/A</definedName>
    <definedName name="_15A_67">#N/A</definedName>
    <definedName name="_15A_68">#N/A</definedName>
    <definedName name="_15A_69">#N/A</definedName>
    <definedName name="_15A_7">#N/A</definedName>
    <definedName name="_15A_70">#N/A</definedName>
    <definedName name="_15A_71">#N/A</definedName>
    <definedName name="_15A_72">#N/A</definedName>
    <definedName name="_15A_73">#N/A</definedName>
    <definedName name="_15A_74">#N/A</definedName>
    <definedName name="_15A_75">#N/A</definedName>
    <definedName name="_15A_76">#N/A</definedName>
    <definedName name="_15A_77">#N/A</definedName>
    <definedName name="_15A_78">#N/A</definedName>
    <definedName name="_15A_79">#N/A</definedName>
    <definedName name="_15A_8">#N/A</definedName>
    <definedName name="_15A_80">#N/A</definedName>
    <definedName name="_15A_81">#N/A</definedName>
    <definedName name="_15A_82">#N/A</definedName>
    <definedName name="_15A_83">#N/A</definedName>
    <definedName name="_15A_84">#N/A</definedName>
    <definedName name="_15A_85">#N/A</definedName>
    <definedName name="_15A_86">#N/A</definedName>
    <definedName name="_15A_87">#N/A</definedName>
    <definedName name="_15A_88">#N/A</definedName>
    <definedName name="_15A_89">#N/A</definedName>
    <definedName name="_15A_9">#N/A</definedName>
    <definedName name="_15A_90">#N/A</definedName>
    <definedName name="_15B_1">#N/A</definedName>
    <definedName name="_15B_10">#N/A</definedName>
    <definedName name="_15B_11">#N/A</definedName>
    <definedName name="_15B_12">#N/A</definedName>
    <definedName name="_15B_13">#N/A</definedName>
    <definedName name="_15B_14">#N/A</definedName>
    <definedName name="_15B_15">#N/A</definedName>
    <definedName name="_15B_16">#N/A</definedName>
    <definedName name="_15B_17">#N/A</definedName>
    <definedName name="_15B_18">#N/A</definedName>
    <definedName name="_15B_19">#N/A</definedName>
    <definedName name="_15B_2">#N/A</definedName>
    <definedName name="_15B_20">#N/A</definedName>
    <definedName name="_15B_21">#N/A</definedName>
    <definedName name="_15B_22">#N/A</definedName>
    <definedName name="_15B_23">#N/A</definedName>
    <definedName name="_15B_24">#N/A</definedName>
    <definedName name="_15B_25">#N/A</definedName>
    <definedName name="_15B_26">#N/A</definedName>
    <definedName name="_15B_27">#N/A</definedName>
    <definedName name="_15B_28">#N/A</definedName>
    <definedName name="_15B_29">#N/A</definedName>
    <definedName name="_15B_3">#N/A</definedName>
    <definedName name="_15B_30">#N/A</definedName>
    <definedName name="_15B_31">#N/A</definedName>
    <definedName name="_15B_32">#N/A</definedName>
    <definedName name="_15B_33">#N/A</definedName>
    <definedName name="_15B_34">#N/A</definedName>
    <definedName name="_15B_35">#N/A</definedName>
    <definedName name="_15B_36">#N/A</definedName>
    <definedName name="_15B_37">#N/A</definedName>
    <definedName name="_15B_38">#N/A</definedName>
    <definedName name="_15B_39">#N/A</definedName>
    <definedName name="_15B_4">#N/A</definedName>
    <definedName name="_15B_40">#N/A</definedName>
    <definedName name="_15B_41">#N/A</definedName>
    <definedName name="_15B_42">#N/A</definedName>
    <definedName name="_15B_43">#N/A</definedName>
    <definedName name="_15B_44">#N/A</definedName>
    <definedName name="_15B_45">#N/A</definedName>
    <definedName name="_15B_46">#N/A</definedName>
    <definedName name="_15B_47">#N/A</definedName>
    <definedName name="_15B_48">#N/A</definedName>
    <definedName name="_15B_49">#N/A</definedName>
    <definedName name="_15B_5">#N/A</definedName>
    <definedName name="_15B_50">#N/A</definedName>
    <definedName name="_15B_51">#N/A</definedName>
    <definedName name="_15B_52">#N/A</definedName>
    <definedName name="_15B_53">#N/A</definedName>
    <definedName name="_15B_54">#N/A</definedName>
    <definedName name="_15B_55">#N/A</definedName>
    <definedName name="_15B_56">#N/A</definedName>
    <definedName name="_15B_57">#N/A</definedName>
    <definedName name="_15B_58">#N/A</definedName>
    <definedName name="_15B_59">#N/A</definedName>
    <definedName name="_15B_6">#N/A</definedName>
    <definedName name="_15B_60">#N/A</definedName>
    <definedName name="_15B_61">#N/A</definedName>
    <definedName name="_15B_62">#N/A</definedName>
    <definedName name="_15B_63">#N/A</definedName>
    <definedName name="_15B_64">#N/A</definedName>
    <definedName name="_15B_65">#N/A</definedName>
    <definedName name="_15B_66">#N/A</definedName>
    <definedName name="_15B_67">#N/A</definedName>
    <definedName name="_15B_68">#N/A</definedName>
    <definedName name="_15B_69">#N/A</definedName>
    <definedName name="_15B_7">#N/A</definedName>
    <definedName name="_15B_70">#N/A</definedName>
    <definedName name="_15B_71">#N/A</definedName>
    <definedName name="_15B_72">#N/A</definedName>
    <definedName name="_15B_73">#N/A</definedName>
    <definedName name="_15B_74">#N/A</definedName>
    <definedName name="_15B_75">#N/A</definedName>
    <definedName name="_15B_76">#N/A</definedName>
    <definedName name="_15B_77">#N/A</definedName>
    <definedName name="_15B_78">#N/A</definedName>
    <definedName name="_15B_79">#N/A</definedName>
    <definedName name="_15B_8">#N/A</definedName>
    <definedName name="_15B_80">#N/A</definedName>
    <definedName name="_15B_81">#N/A</definedName>
    <definedName name="_15B_82">#N/A</definedName>
    <definedName name="_15B_83">#N/A</definedName>
    <definedName name="_15B_84">#N/A</definedName>
    <definedName name="_15B_85">#N/A</definedName>
    <definedName name="_15B_86">#N/A</definedName>
    <definedName name="_15B_87">#N/A</definedName>
    <definedName name="_15B_88">#N/A</definedName>
    <definedName name="_15B_89">#N/A</definedName>
    <definedName name="_15B_9">#N/A</definedName>
    <definedName name="_15B_90">#N/A</definedName>
    <definedName name="_15C_1">#N/A</definedName>
    <definedName name="_15C_10">#N/A</definedName>
    <definedName name="_15C_11">#N/A</definedName>
    <definedName name="_15C_12">#N/A</definedName>
    <definedName name="_15C_13">#N/A</definedName>
    <definedName name="_15C_14">#N/A</definedName>
    <definedName name="_15C_15">#N/A</definedName>
    <definedName name="_15C_16">#N/A</definedName>
    <definedName name="_15C_17">#N/A</definedName>
    <definedName name="_15C_18">#N/A</definedName>
    <definedName name="_15C_19">#N/A</definedName>
    <definedName name="_15C_2">#N/A</definedName>
    <definedName name="_15C_20">#N/A</definedName>
    <definedName name="_15C_21">#N/A</definedName>
    <definedName name="_15C_22">#N/A</definedName>
    <definedName name="_15C_23">#N/A</definedName>
    <definedName name="_15C_24">#N/A</definedName>
    <definedName name="_15C_25">#N/A</definedName>
    <definedName name="_15C_26">#N/A</definedName>
    <definedName name="_15C_27">#N/A</definedName>
    <definedName name="_15C_28">#N/A</definedName>
    <definedName name="_15C_29">#N/A</definedName>
    <definedName name="_15C_3">#N/A</definedName>
    <definedName name="_15C_30">#N/A</definedName>
    <definedName name="_15C_31">#N/A</definedName>
    <definedName name="_15C_32">#N/A</definedName>
    <definedName name="_15C_33">#N/A</definedName>
    <definedName name="_15C_34">#N/A</definedName>
    <definedName name="_15C_35">#N/A</definedName>
    <definedName name="_15C_36">#N/A</definedName>
    <definedName name="_15C_37">#N/A</definedName>
    <definedName name="_15C_38">#N/A</definedName>
    <definedName name="_15C_39">#N/A</definedName>
    <definedName name="_15C_4">#N/A</definedName>
    <definedName name="_15C_40">#N/A</definedName>
    <definedName name="_15C_41">#N/A</definedName>
    <definedName name="_15C_42">#N/A</definedName>
    <definedName name="_15C_43">#N/A</definedName>
    <definedName name="_15C_44">#N/A</definedName>
    <definedName name="_15C_45">#N/A</definedName>
    <definedName name="_15C_46">#N/A</definedName>
    <definedName name="_15C_47">#N/A</definedName>
    <definedName name="_15C_48">#N/A</definedName>
    <definedName name="_15C_49">#N/A</definedName>
    <definedName name="_15C_5">#N/A</definedName>
    <definedName name="_15C_50">#N/A</definedName>
    <definedName name="_15C_51">#N/A</definedName>
    <definedName name="_15C_52">#N/A</definedName>
    <definedName name="_15C_53">#N/A</definedName>
    <definedName name="_15C_54">#N/A</definedName>
    <definedName name="_15C_55">#N/A</definedName>
    <definedName name="_15C_56">#N/A</definedName>
    <definedName name="_15C_57">#N/A</definedName>
    <definedName name="_15C_58">#N/A</definedName>
    <definedName name="_15C_59">#N/A</definedName>
    <definedName name="_15C_6">#N/A</definedName>
    <definedName name="_15C_60">#N/A</definedName>
    <definedName name="_15C_61">#N/A</definedName>
    <definedName name="_15C_62">#N/A</definedName>
    <definedName name="_15C_63">#N/A</definedName>
    <definedName name="_15C_64">#N/A</definedName>
    <definedName name="_15C_65">#N/A</definedName>
    <definedName name="_15C_66">#N/A</definedName>
    <definedName name="_15C_67">#N/A</definedName>
    <definedName name="_15C_68">#N/A</definedName>
    <definedName name="_15C_69">#N/A</definedName>
    <definedName name="_15C_7">#N/A</definedName>
    <definedName name="_15C_70">#N/A</definedName>
    <definedName name="_15C_71">#N/A</definedName>
    <definedName name="_15C_72">#N/A</definedName>
    <definedName name="_15C_73">#N/A</definedName>
    <definedName name="_15C_74">#N/A</definedName>
    <definedName name="_15C_75">#N/A</definedName>
    <definedName name="_15C_76">#N/A</definedName>
    <definedName name="_15C_77">#N/A</definedName>
    <definedName name="_15C_78">#N/A</definedName>
    <definedName name="_15C_79">#N/A</definedName>
    <definedName name="_15C_8">#N/A</definedName>
    <definedName name="_15C_80">#N/A</definedName>
    <definedName name="_15C_81">#N/A</definedName>
    <definedName name="_15C_82">#N/A</definedName>
    <definedName name="_15C_83">#N/A</definedName>
    <definedName name="_15C_84">#N/A</definedName>
    <definedName name="_15C_85">#N/A</definedName>
    <definedName name="_15C_86">#N/A</definedName>
    <definedName name="_15C_87">#N/A</definedName>
    <definedName name="_15C_88">#N/A</definedName>
    <definedName name="_15C_89">#N/A</definedName>
    <definedName name="_15C_9">#N/A</definedName>
    <definedName name="_15C_90">#N/A</definedName>
    <definedName name="_15P3_">#REF!</definedName>
    <definedName name="_16______________0__123Grap" localSheetId="3" hidden="1">'[1]TOWER 12TON'!#REF!</definedName>
    <definedName name="_16______________0__123Grap" hidden="1">'[1]TOWER 12TON'!#REF!</definedName>
    <definedName name="_16__123Graph_LBL_BMOB_02" hidden="1">#REF!</definedName>
    <definedName name="_16__123Graph_LBL_CMOB_01" hidden="1">#REF!</definedName>
    <definedName name="_16A_1">[16]연돌일위집계!#REF!</definedName>
    <definedName name="_16A_10" localSheetId="3">#REF!</definedName>
    <definedName name="_16A_10">#REF!</definedName>
    <definedName name="_16A_11" localSheetId="3">#REF!</definedName>
    <definedName name="_16A_11">#REF!</definedName>
    <definedName name="_16A_12" localSheetId="3">#REF!</definedName>
    <definedName name="_16A_12">#REF!</definedName>
    <definedName name="_16A_13" localSheetId="3">#REF!</definedName>
    <definedName name="_16A_13">#REF!</definedName>
    <definedName name="_16A_14" localSheetId="3">#REF!</definedName>
    <definedName name="_16A_14">#REF!</definedName>
    <definedName name="_16A_15" localSheetId="3">#REF!</definedName>
    <definedName name="_16A_15">#REF!</definedName>
    <definedName name="_16A_2">[16]연돌일위집계!#REF!</definedName>
    <definedName name="_16A_3">[16]연돌일위집계!#REF!</definedName>
    <definedName name="_16A_4">[16]연돌일위집계!#REF!</definedName>
    <definedName name="_16A_5">[16]연돌일위집계!#REF!</definedName>
    <definedName name="_16A_6">[16]연돌일위집계!#REF!</definedName>
    <definedName name="_16A_7">[16]연돌일위집계!#REF!</definedName>
    <definedName name="_16A_8" localSheetId="3">#REF!</definedName>
    <definedName name="_16A_8">#REF!</definedName>
    <definedName name="_16A_9" localSheetId="3">#REF!</definedName>
    <definedName name="_16A_9">#REF!</definedName>
    <definedName name="_16B_1">[16]연돌일위집계!#REF!</definedName>
    <definedName name="_16B_10" localSheetId="3">#REF!</definedName>
    <definedName name="_16B_10">#REF!</definedName>
    <definedName name="_16B_11" localSheetId="3">#REF!</definedName>
    <definedName name="_16B_11">#REF!</definedName>
    <definedName name="_16B_12" localSheetId="3">#REF!</definedName>
    <definedName name="_16B_12">#REF!</definedName>
    <definedName name="_16B_13" localSheetId="3">#REF!</definedName>
    <definedName name="_16B_13">#REF!</definedName>
    <definedName name="_16B_14" localSheetId="3">#REF!</definedName>
    <definedName name="_16B_14">#REF!</definedName>
    <definedName name="_16B_15" localSheetId="3">#REF!</definedName>
    <definedName name="_16B_15">#REF!</definedName>
    <definedName name="_16B_2">[16]연돌일위집계!#REF!</definedName>
    <definedName name="_16B_3">[16]연돌일위집계!#REF!</definedName>
    <definedName name="_16B_4">[16]연돌일위집계!#REF!</definedName>
    <definedName name="_16B_5">[16]연돌일위집계!#REF!</definedName>
    <definedName name="_16B_6">[16]연돌일위집계!#REF!</definedName>
    <definedName name="_16B_7">[16]연돌일위집계!#REF!</definedName>
    <definedName name="_16B_8" localSheetId="3">#REF!</definedName>
    <definedName name="_16B_8">#REF!</definedName>
    <definedName name="_16B_9" localSheetId="3">#REF!</definedName>
    <definedName name="_16B_9">#REF!</definedName>
    <definedName name="_16C_1">[16]연돌일위집계!#REF!</definedName>
    <definedName name="_16C_10" localSheetId="3">#REF!</definedName>
    <definedName name="_16C_10">#REF!</definedName>
    <definedName name="_16C_11" localSheetId="3">#REF!</definedName>
    <definedName name="_16C_11">#REF!</definedName>
    <definedName name="_16C_12" localSheetId="3">#REF!</definedName>
    <definedName name="_16C_12">#REF!</definedName>
    <definedName name="_16C_13" localSheetId="3">#REF!</definedName>
    <definedName name="_16C_13">#REF!</definedName>
    <definedName name="_16C_14" localSheetId="3">#REF!</definedName>
    <definedName name="_16C_14">#REF!</definedName>
    <definedName name="_16C_15" localSheetId="3">#REF!</definedName>
    <definedName name="_16C_15">#REF!</definedName>
    <definedName name="_16C_2">[16]연돌일위집계!#REF!</definedName>
    <definedName name="_16C_3">[16]연돌일위집계!#REF!</definedName>
    <definedName name="_16C_4">[16]연돌일위집계!#REF!</definedName>
    <definedName name="_16C_5">[16]연돌일위집계!#REF!</definedName>
    <definedName name="_16C_6">[16]연돌일위집계!#REF!</definedName>
    <definedName name="_16C_7">[16]연돌일위집계!#REF!</definedName>
    <definedName name="_16C_8" localSheetId="3">#REF!</definedName>
    <definedName name="_16C_8">#REF!</definedName>
    <definedName name="_16C_9" localSheetId="3">#REF!</definedName>
    <definedName name="_16C_9">#REF!</definedName>
    <definedName name="_16Dist_" hidden="1">#REF!</definedName>
    <definedName name="_16P4_">#REF!</definedName>
    <definedName name="_17______________0_Dist_" localSheetId="3" hidden="1">'[1]TOWER 10TON'!#REF!</definedName>
    <definedName name="_17______________0_Dist_" hidden="1">'[1]TOWER 10TON'!#REF!</definedName>
    <definedName name="_17__123Graph_LBL_CMOB_01" hidden="1">#REF!</definedName>
    <definedName name="_17__123Graph_LBL_CMOB_02" hidden="1">#REF!</definedName>
    <definedName name="_17A_1">#N/A</definedName>
    <definedName name="_17A_10">#N/A</definedName>
    <definedName name="_17A_11">#N/A</definedName>
    <definedName name="_17A_12">#N/A</definedName>
    <definedName name="_17A_13">#N/A</definedName>
    <definedName name="_17A_14">#N/A</definedName>
    <definedName name="_17A_15">#N/A</definedName>
    <definedName name="_17A_2">#N/A</definedName>
    <definedName name="_17A_3">#N/A</definedName>
    <definedName name="_17A_4">#N/A</definedName>
    <definedName name="_17A_5">#N/A</definedName>
    <definedName name="_17A_6">#N/A</definedName>
    <definedName name="_17A_7">#N/A</definedName>
    <definedName name="_17A_8">#N/A</definedName>
    <definedName name="_17A_9">#N/A</definedName>
    <definedName name="_17B_1">#N/A</definedName>
    <definedName name="_17B_10">#N/A</definedName>
    <definedName name="_17B_11">#N/A</definedName>
    <definedName name="_17B_12">#N/A</definedName>
    <definedName name="_17B_13">#N/A</definedName>
    <definedName name="_17B_14">#N/A</definedName>
    <definedName name="_17B_15">#N/A</definedName>
    <definedName name="_17B_2">#N/A</definedName>
    <definedName name="_17B_3">#N/A</definedName>
    <definedName name="_17B_4">#N/A</definedName>
    <definedName name="_17B_5">#N/A</definedName>
    <definedName name="_17B_6">#N/A</definedName>
    <definedName name="_17B_7">#N/A</definedName>
    <definedName name="_17B_8">#N/A</definedName>
    <definedName name="_17B_9">#N/A</definedName>
    <definedName name="_17C_1">#N/A</definedName>
    <definedName name="_17C_10">#N/A</definedName>
    <definedName name="_17C_11">#N/A</definedName>
    <definedName name="_17C_12">#N/A</definedName>
    <definedName name="_17C_13">#N/A</definedName>
    <definedName name="_17C_14">#N/A</definedName>
    <definedName name="_17C_15">#N/A</definedName>
    <definedName name="_17C_2">#N/A</definedName>
    <definedName name="_17C_3">#N/A</definedName>
    <definedName name="_17C_4">#N/A</definedName>
    <definedName name="_17C_5">#N/A</definedName>
    <definedName name="_17C_6">#N/A</definedName>
    <definedName name="_17C_7">#N/A</definedName>
    <definedName name="_17C_8">#N/A</definedName>
    <definedName name="_17C_9">#N/A</definedName>
    <definedName name="_17P5_">#REF!</definedName>
    <definedName name="_18____________0_0__123Grap" localSheetId="3" hidden="1">[14]유림골조!#REF!</definedName>
    <definedName name="_18____________0_0__123Grap" hidden="1">[14]유림골조!#REF!</definedName>
    <definedName name="_18____3_0Crite" localSheetId="3">#REF!</definedName>
    <definedName name="_18____3_0Crite">#REF!</definedName>
    <definedName name="_18__123Graph_LBL_CMOB_02" hidden="1">#REF!</definedName>
    <definedName name="_18__123Graph_LBL_DMOB_01" hidden="1">#REF!</definedName>
    <definedName name="_180______0__123Grap" localSheetId="3" hidden="1">#REF!</definedName>
    <definedName name="_180______0__123Grap" hidden="1">#REF!</definedName>
    <definedName name="_184______0_Dist_" localSheetId="3" hidden="1">#REF!</definedName>
    <definedName name="_184______0_Dist_" hidden="1">#REF!</definedName>
    <definedName name="_18A_1">#N/A</definedName>
    <definedName name="_18A_10">#N/A</definedName>
    <definedName name="_18A_11">#N/A</definedName>
    <definedName name="_18A_12">#N/A</definedName>
    <definedName name="_18A_13">#N/A</definedName>
    <definedName name="_18A_14">#N/A</definedName>
    <definedName name="_18A_15">#N/A</definedName>
    <definedName name="_18A_2">#N/A</definedName>
    <definedName name="_18A_3">#N/A</definedName>
    <definedName name="_18A_4">#N/A</definedName>
    <definedName name="_18A_5">#N/A</definedName>
    <definedName name="_18A_6">#N/A</definedName>
    <definedName name="_18A_7">#N/A</definedName>
    <definedName name="_18A_8">#N/A</definedName>
    <definedName name="_18A_9">#N/A</definedName>
    <definedName name="_18B_1">#N/A</definedName>
    <definedName name="_18B_10">#N/A</definedName>
    <definedName name="_18B_11">#N/A</definedName>
    <definedName name="_18B_12">#N/A</definedName>
    <definedName name="_18B_13">#N/A</definedName>
    <definedName name="_18B_14">#N/A</definedName>
    <definedName name="_18B_15">#N/A</definedName>
    <definedName name="_18B_2">#N/A</definedName>
    <definedName name="_18B_3">#N/A</definedName>
    <definedName name="_18B_4">#N/A</definedName>
    <definedName name="_18B_5">#N/A</definedName>
    <definedName name="_18B_6">#N/A</definedName>
    <definedName name="_18B_7">#N/A</definedName>
    <definedName name="_18B_8">#N/A</definedName>
    <definedName name="_18B_9">#N/A</definedName>
    <definedName name="_18BP01_" hidden="1">{#N/A,#N/A,FALSE,"TABLE"}</definedName>
    <definedName name="_18C_1">#N/A</definedName>
    <definedName name="_18C_10">#N/A</definedName>
    <definedName name="_18C_11">#N/A</definedName>
    <definedName name="_18C_12">#N/A</definedName>
    <definedName name="_18C_13">#N/A</definedName>
    <definedName name="_18C_14">#N/A</definedName>
    <definedName name="_18C_15">#N/A</definedName>
    <definedName name="_18C_2">#N/A</definedName>
    <definedName name="_18C_3">#N/A</definedName>
    <definedName name="_18C_4">#N/A</definedName>
    <definedName name="_18C_5">#N/A</definedName>
    <definedName name="_18C_6">#N/A</definedName>
    <definedName name="_18C_7">#N/A</definedName>
    <definedName name="_18C_8">#N/A</definedName>
    <definedName name="_18C_9">#N/A</definedName>
    <definedName name="_18P6_">#REF!</definedName>
    <definedName name="_19____________0_0_F" localSheetId="3" hidden="1">'[1]TOWER 10TON'!#REF!</definedName>
    <definedName name="_19____________0_0_F" hidden="1">'[1]TOWER 10TON'!#REF!</definedName>
    <definedName name="_19____3_0Criteria" localSheetId="3">#REF!</definedName>
    <definedName name="_19____3_0Criteria">#REF!</definedName>
    <definedName name="_19__123Graph_LBL_DMOB_01" hidden="1">#REF!</definedName>
    <definedName name="_19__123Graph_LBL_DMOB_02" hidden="1">#REF!</definedName>
    <definedName name="_19P7_">#REF!</definedName>
    <definedName name="_1A_1">[16]연돌일위집계!#REF!</definedName>
    <definedName name="_1A_10">[16]연돌일위집계!#REF!</definedName>
    <definedName name="_1A_11">[16]연돌일위집계!#REF!</definedName>
    <definedName name="_1A_12">[16]연돌일위집계!#REF!</definedName>
    <definedName name="_1A_13">[16]연돌일위집계!#REF!</definedName>
    <definedName name="_1A_14">[16]연돌일위집계!#REF!</definedName>
    <definedName name="_1A_15">[16]연돌일위집계!#REF!</definedName>
    <definedName name="_1A_16">[16]연돌일위집계!#REF!</definedName>
    <definedName name="_1A_17">[16]연돌일위집계!#REF!</definedName>
    <definedName name="_1A_18">[16]연돌일위집계!#REF!</definedName>
    <definedName name="_1A_19">[16]연돌일위집계!#REF!</definedName>
    <definedName name="_1A_2">[16]연돌일위집계!#REF!</definedName>
    <definedName name="_1A_20">[16]연돌일위집계!#REF!</definedName>
    <definedName name="_1A_21">[16]연돌일위집계!#REF!</definedName>
    <definedName name="_1A_22">[16]연돌일위집계!#REF!</definedName>
    <definedName name="_1A_23">[16]연돌일위집계!#REF!</definedName>
    <definedName name="_1A_24">[16]연돌일위집계!#REF!</definedName>
    <definedName name="_1A_25">[16]연돌일위집계!#REF!</definedName>
    <definedName name="_1A_26">[16]연돌일위집계!#REF!</definedName>
    <definedName name="_1A_27">[16]연돌일위집계!#REF!</definedName>
    <definedName name="_1A_28">[16]연돌일위집계!#REF!</definedName>
    <definedName name="_1A_29">[16]연돌일위집계!#REF!</definedName>
    <definedName name="_1A_3">[16]연돌일위집계!#REF!</definedName>
    <definedName name="_1A_30">[16]연돌일위집계!#REF!</definedName>
    <definedName name="_1A_4">[16]연돌일위집계!#REF!</definedName>
    <definedName name="_1A_5">[16]연돌일위집계!#REF!</definedName>
    <definedName name="_1A_6">[16]연돌일위집계!#REF!</definedName>
    <definedName name="_1A_7">[16]연돌일위집계!#REF!</definedName>
    <definedName name="_1A_8">[16]연돌일위집계!#REF!</definedName>
    <definedName name="_1A_9">[16]연돌일위집계!#REF!</definedName>
    <definedName name="_1A1_" hidden="1">{#N/A,#N/A,TRUE,"Basic";#N/A,#N/A,TRUE,"EXT-TABLE";#N/A,#N/A,TRUE,"STEEL";#N/A,#N/A,TRUE,"INT-Table";#N/A,#N/A,TRUE,"STEEL";#N/A,#N/A,TRUE,"Door"}</definedName>
    <definedName name="_1B_1">[16]연돌일위집계!#REF!</definedName>
    <definedName name="_1B_10">[16]연돌일위집계!#REF!</definedName>
    <definedName name="_1B_11">[16]연돌일위집계!#REF!</definedName>
    <definedName name="_1B_12">[16]연돌일위집계!#REF!</definedName>
    <definedName name="_1B_13">[16]연돌일위집계!#REF!</definedName>
    <definedName name="_1B_14">[16]연돌일위집계!#REF!</definedName>
    <definedName name="_1B_15">[16]연돌일위집계!#REF!</definedName>
    <definedName name="_1B_16">[16]연돌일위집계!#REF!</definedName>
    <definedName name="_1B_17">[16]연돌일위집계!#REF!</definedName>
    <definedName name="_1B_18">[16]연돌일위집계!#REF!</definedName>
    <definedName name="_1B_19">[16]연돌일위집계!#REF!</definedName>
    <definedName name="_1B_2">[16]연돌일위집계!#REF!</definedName>
    <definedName name="_1B_20">[16]연돌일위집계!#REF!</definedName>
    <definedName name="_1B_21">[16]연돌일위집계!#REF!</definedName>
    <definedName name="_1B_22">[16]연돌일위집계!#REF!</definedName>
    <definedName name="_1B_23">[16]연돌일위집계!#REF!</definedName>
    <definedName name="_1B_24">[16]연돌일위집계!#REF!</definedName>
    <definedName name="_1B_25">[16]연돌일위집계!#REF!</definedName>
    <definedName name="_1B_26">[16]연돌일위집계!#REF!</definedName>
    <definedName name="_1B_27">[16]연돌일위집계!#REF!</definedName>
    <definedName name="_1B_28">[16]연돌일위집계!#REF!</definedName>
    <definedName name="_1B_29">[16]연돌일위집계!#REF!</definedName>
    <definedName name="_1B_3">[16]연돌일위집계!#REF!</definedName>
    <definedName name="_1B_30">[16]연돌일위집계!#REF!</definedName>
    <definedName name="_1B_4">[16]연돌일위집계!#REF!</definedName>
    <definedName name="_1B_5">[16]연돌일위집계!#REF!</definedName>
    <definedName name="_1B_6">[16]연돌일위집계!#REF!</definedName>
    <definedName name="_1B_7">[16]연돌일위집계!#REF!</definedName>
    <definedName name="_1B_8">[16]연돌일위집계!#REF!</definedName>
    <definedName name="_1B_9">[16]연돌일위집계!#REF!</definedName>
    <definedName name="_1C_1">[16]연돌일위집계!#REF!</definedName>
    <definedName name="_1C_10">[16]연돌일위집계!#REF!</definedName>
    <definedName name="_1C_11">[16]연돌일위집계!#REF!</definedName>
    <definedName name="_1C_12">[16]연돌일위집계!#REF!</definedName>
    <definedName name="_1C_13">[16]연돌일위집계!#REF!</definedName>
    <definedName name="_1C_14">[16]연돌일위집계!#REF!</definedName>
    <definedName name="_1C_15">[16]연돌일위집계!#REF!</definedName>
    <definedName name="_1C_16">[16]연돌일위집계!#REF!</definedName>
    <definedName name="_1C_17">[16]연돌일위집계!#REF!</definedName>
    <definedName name="_1C_18">[16]연돌일위집계!#REF!</definedName>
    <definedName name="_1C_19">[16]연돌일위집계!#REF!</definedName>
    <definedName name="_1C_2">[16]연돌일위집계!#REF!</definedName>
    <definedName name="_1C_20">[16]연돌일위집계!#REF!</definedName>
    <definedName name="_1C_21">[16]연돌일위집계!#REF!</definedName>
    <definedName name="_1C_22">[16]연돌일위집계!#REF!</definedName>
    <definedName name="_1C_23">[16]연돌일위집계!#REF!</definedName>
    <definedName name="_1C_24">[16]연돌일위집계!#REF!</definedName>
    <definedName name="_1C_25">[16]연돌일위집계!#REF!</definedName>
    <definedName name="_1C_26">[16]연돌일위집계!#REF!</definedName>
    <definedName name="_1C_27">[16]연돌일위집계!#REF!</definedName>
    <definedName name="_1C_28">[16]연돌일위집계!#REF!</definedName>
    <definedName name="_1C_29">[16]연돌일위집계!#REF!</definedName>
    <definedName name="_1C_3">[16]연돌일위집계!#REF!</definedName>
    <definedName name="_1C_30">[16]연돌일위집계!#REF!</definedName>
    <definedName name="_1C_4">[16]연돌일위집계!#REF!</definedName>
    <definedName name="_1C_5">[16]연돌일위집계!#REF!</definedName>
    <definedName name="_1C_6">[16]연돌일위집계!#REF!</definedName>
    <definedName name="_1C_7">[16]연돌일위집계!#REF!</definedName>
    <definedName name="_1C_8">[16]연돌일위집계!#REF!</definedName>
    <definedName name="_1C_9">[16]연돌일위집계!#REF!</definedName>
    <definedName name="_1F" localSheetId="3" hidden="1">#REF!</definedName>
    <definedName name="_1F" hidden="1">#REF!</definedName>
    <definedName name="_2">[10]당초!#REF!</definedName>
    <definedName name="_2__________________0_Dist_" localSheetId="3" hidden="1">'[1]TOWER 10TON'!#REF!</definedName>
    <definedName name="_2__________________0_Dist_" hidden="1">'[1]TOWER 10TON'!#REF!</definedName>
    <definedName name="_2___123Graph_A자금운용" hidden="1">#REF!</definedName>
    <definedName name="_2__123Graph_AChart_1A" localSheetId="3" hidden="1">'[2]Eq. Mobilization'!#REF!</definedName>
    <definedName name="_2__123Graph_AChart_1A" hidden="1">'[17]Eq. Mobilization'!#REF!</definedName>
    <definedName name="_2__123Graph_AMOB_01" hidden="1">#REF!</definedName>
    <definedName name="_2__123Graph_BChart_1A" hidden="1">'[13]Eq. Mobilization'!#REF!</definedName>
    <definedName name="_2_0__123Grap" hidden="1">#REF!</definedName>
    <definedName name="_2_0_Dist_" hidden="1">#REF!</definedName>
    <definedName name="_20_____________0__123Grap" localSheetId="3" hidden="1">'[1]TOWER 12TON'!#REF!</definedName>
    <definedName name="_20_____________0__123Grap" hidden="1">'[1]TOWER 12TON'!#REF!</definedName>
    <definedName name="_20__________0__123Grap" localSheetId="3" hidden="1">#REF!</definedName>
    <definedName name="_20__________0__123Grap" hidden="1">#REF!</definedName>
    <definedName name="_20____G_0Extr" localSheetId="3">#REF!</definedName>
    <definedName name="_20____G_0Extr">#REF!</definedName>
    <definedName name="_20__123Graph_LBL_DMOB_02" hidden="1">#REF!</definedName>
    <definedName name="_20__123Graph_LBL_EMOB_02" hidden="1">#REF!</definedName>
    <definedName name="_200____0_0_F" localSheetId="3" hidden="1">#REF!</definedName>
    <definedName name="_200____0_0_F" hidden="1">#REF!</definedName>
    <definedName name="_20P8_">#REF!</definedName>
    <definedName name="_21_____________0_Dist_" localSheetId="3" hidden="1">'[1]TOWER 10TON'!#REF!</definedName>
    <definedName name="_21_____________0_Dist_" hidden="1">'[1]TOWER 10TON'!#REF!</definedName>
    <definedName name="_21__________0_Dist_" localSheetId="3" hidden="1">#REF!</definedName>
    <definedName name="_21__________0_Dist_" hidden="1">#REF!</definedName>
    <definedName name="_21____G_0Extract" localSheetId="3">#REF!</definedName>
    <definedName name="_21____G_0Extract">#REF!</definedName>
    <definedName name="_21__123Graph_LBL_EMOB_02" hidden="1">#REF!</definedName>
    <definedName name="_21__123Graph_LBL_FMOB_02" hidden="1">#REF!</definedName>
    <definedName name="_21P9_">#REF!</definedName>
    <definedName name="_22">#N/A</definedName>
    <definedName name="_22___________0_0__123Grap" localSheetId="3" hidden="1">[14]유림골조!#REF!</definedName>
    <definedName name="_22___________0_0__123Grap" hidden="1">[14]유림골조!#REF!</definedName>
    <definedName name="_22__123Graph_LBL_FMOB_02" hidden="1">#REF!</definedName>
    <definedName name="_22__123Graph_XMOB_01" hidden="1">#REF!</definedName>
    <definedName name="_23___________0_0_F" localSheetId="3" hidden="1">'[1]TOWER 10TON'!#REF!</definedName>
    <definedName name="_23___________0_0_F" hidden="1">'[1]TOWER 10TON'!#REF!</definedName>
    <definedName name="_23________0_0_F" localSheetId="3" hidden="1">#REF!</definedName>
    <definedName name="_23________0_0_F" hidden="1">#REF!</definedName>
    <definedName name="_23__123Graph_A자금운용" hidden="1">#REF!</definedName>
    <definedName name="_23__123Graph_XMOB_01" hidden="1">#REF!</definedName>
    <definedName name="_23__123Graph_XMOB_02" hidden="1">#REF!</definedName>
    <definedName name="_24____________0__123Grap" localSheetId="3" hidden="1">'[1]TOWER 12TON'!#REF!</definedName>
    <definedName name="_24____________0__123Grap" hidden="1">'[1]TOWER 12TON'!#REF!</definedName>
    <definedName name="_24__123Graph_AChart_1A" hidden="1">'[18]Eq. Mobilization'!#REF!</definedName>
    <definedName name="_24__123Graph_XMOB_02" hidden="1">#REF!</definedName>
    <definedName name="_24F" hidden="1">#REF!</definedName>
    <definedName name="_25____________0_Dist_" localSheetId="3" hidden="1">'[1]TOWER 10TON'!#REF!</definedName>
    <definedName name="_25____________0_Dist_" hidden="1">'[1]TOWER 10TON'!#REF!</definedName>
    <definedName name="_25__123Graph_B자금운용" hidden="1">#REF!</definedName>
    <definedName name="_25__Å__·¹_ÀÓ">#N/A</definedName>
    <definedName name="_26__________0_0__123Grap" localSheetId="3" hidden="1">[14]유림골조!#REF!</definedName>
    <definedName name="_26__________0_0__123Grap" hidden="1">[14]유림골조!#REF!</definedName>
    <definedName name="_26__123Graph_BChart_1A" localSheetId="3" hidden="1">'[17]Eq. Mobilization'!#REF!</definedName>
    <definedName name="_26__123Graph_BChart_1A" hidden="1">'[18]Eq. Mobilization'!#REF!</definedName>
    <definedName name="_26__ãæÐ_ÍïÞÀ_Íª">#N/A</definedName>
    <definedName name="_27__________0_0_F" localSheetId="3" hidden="1">'[1]TOWER 10TON'!#REF!</definedName>
    <definedName name="_27__________0_0_F" hidden="1">'[1]TOWER 10TON'!#REF!</definedName>
    <definedName name="_27__123Graph_C자금운용" hidden="1">#REF!</definedName>
    <definedName name="_27_0_0_F" hidden="1">[19]산근!#REF!</definedName>
    <definedName name="_28___________0__123Grap" localSheetId="3" hidden="1">'[1]TOWER 12TON'!#REF!</definedName>
    <definedName name="_28___________0__123Grap" hidden="1">'[1]TOWER 12TON'!#REF!</definedName>
    <definedName name="_28_________0__123Grap" localSheetId="3" hidden="1">#REF!</definedName>
    <definedName name="_28_________0__123Grap" hidden="1">#REF!</definedName>
    <definedName name="_28__123Graph_X자금운용" hidden="1">#REF!</definedName>
    <definedName name="_281_0__123Grap" hidden="1">#N/A</definedName>
    <definedName name="_28³_¿ª" hidden="1">{#N/A,#N/A,FALSE,"CCTV"}</definedName>
    <definedName name="_29___________0_Dist_" localSheetId="3" hidden="1">'[1]TOWER 10TON'!#REF!</definedName>
    <definedName name="_29___________0_Dist_" hidden="1">'[1]TOWER 10TON'!#REF!</definedName>
    <definedName name="_29_________0_Dist_" localSheetId="3" hidden="1">#REF!</definedName>
    <definedName name="_29_________0_Dist_" hidden="1">#REF!</definedName>
    <definedName name="_29__123Graph_XChart_1A" hidden="1">'[18]Eq. Mobilization'!#REF!</definedName>
    <definedName name="_297_0_Dist_" hidden="1">#N/A</definedName>
    <definedName name="_2A_1">[16]연돌일위집계!#REF!</definedName>
    <definedName name="_2A_10">[16]연돌일위집계!#REF!</definedName>
    <definedName name="_2A_11">[16]연돌일위집계!#REF!</definedName>
    <definedName name="_2A_12">[16]연돌일위집계!#REF!</definedName>
    <definedName name="_2A_13">[16]연돌일위집계!#REF!</definedName>
    <definedName name="_2A_14">[16]연돌일위집계!#REF!</definedName>
    <definedName name="_2A_15">[16]연돌일위집계!#REF!</definedName>
    <definedName name="_2A_16">[16]연돌일위집계!#REF!</definedName>
    <definedName name="_2A_17">[16]연돌일위집계!#REF!</definedName>
    <definedName name="_2A_18">[16]연돌일위집계!#REF!</definedName>
    <definedName name="_2A_19">[16]연돌일위집계!#REF!</definedName>
    <definedName name="_2A_2">[16]연돌일위집계!#REF!</definedName>
    <definedName name="_2A_20">[16]연돌일위집계!#REF!</definedName>
    <definedName name="_2A_21">[16]연돌일위집계!#REF!</definedName>
    <definedName name="_2A_22">[16]연돌일위집계!#REF!</definedName>
    <definedName name="_2A_23">[16]연돌일위집계!#REF!</definedName>
    <definedName name="_2A_24">[16]연돌일위집계!#REF!</definedName>
    <definedName name="_2A_25">[16]연돌일위집계!#REF!</definedName>
    <definedName name="_2A_26">[16]연돌일위집계!#REF!</definedName>
    <definedName name="_2A_27">[16]연돌일위집계!#REF!</definedName>
    <definedName name="_2A_28">[16]연돌일위집계!#REF!</definedName>
    <definedName name="_2A_29">[16]연돌일위집계!#REF!</definedName>
    <definedName name="_2A_3">[16]연돌일위집계!#REF!</definedName>
    <definedName name="_2A_30">[16]연돌일위집계!#REF!</definedName>
    <definedName name="_2A_4">[16]연돌일위집계!#REF!</definedName>
    <definedName name="_2A_5">[16]연돌일위집계!#REF!</definedName>
    <definedName name="_2A_6">[16]연돌일위집계!#REF!</definedName>
    <definedName name="_2A_7">[16]연돌일위집계!#REF!</definedName>
    <definedName name="_2A_8">[16]연돌일위집계!#REF!</definedName>
    <definedName name="_2A_9">[16]연돌일위집계!#REF!</definedName>
    <definedName name="_2B_1">[16]연돌일위집계!#REF!</definedName>
    <definedName name="_2B_10">[16]연돌일위집계!#REF!</definedName>
    <definedName name="_2B_11">[16]연돌일위집계!#REF!</definedName>
    <definedName name="_2B_12">[16]연돌일위집계!#REF!</definedName>
    <definedName name="_2B_13">[16]연돌일위집계!#REF!</definedName>
    <definedName name="_2B_14">[16]연돌일위집계!#REF!</definedName>
    <definedName name="_2B_15">[16]연돌일위집계!#REF!</definedName>
    <definedName name="_2B_16">[16]연돌일위집계!#REF!</definedName>
    <definedName name="_2B_17">[16]연돌일위집계!#REF!</definedName>
    <definedName name="_2B_18">[16]연돌일위집계!#REF!</definedName>
    <definedName name="_2B_19">[16]연돌일위집계!#REF!</definedName>
    <definedName name="_2B_2">[16]연돌일위집계!#REF!</definedName>
    <definedName name="_2B_20">[16]연돌일위집계!#REF!</definedName>
    <definedName name="_2B_21">[16]연돌일위집계!#REF!</definedName>
    <definedName name="_2B_22">[16]연돌일위집계!#REF!</definedName>
    <definedName name="_2B_23">[16]연돌일위집계!#REF!</definedName>
    <definedName name="_2B_24">[16]연돌일위집계!#REF!</definedName>
    <definedName name="_2B_25">[16]연돌일위집계!#REF!</definedName>
    <definedName name="_2B_26">[16]연돌일위집계!#REF!</definedName>
    <definedName name="_2B_27">[16]연돌일위집계!#REF!</definedName>
    <definedName name="_2B_28">[16]연돌일위집계!#REF!</definedName>
    <definedName name="_2B_29">[16]연돌일위집계!#REF!</definedName>
    <definedName name="_2B_3">[16]연돌일위집계!#REF!</definedName>
    <definedName name="_2B_30">[16]연돌일위집계!#REF!</definedName>
    <definedName name="_2B_4">[16]연돌일위집계!#REF!</definedName>
    <definedName name="_2B_5">[16]연돌일위집계!#REF!</definedName>
    <definedName name="_2B_6">[16]연돌일위집계!#REF!</definedName>
    <definedName name="_2B_7">[16]연돌일위집계!#REF!</definedName>
    <definedName name="_2B_8">[16]연돌일위집계!#REF!</definedName>
    <definedName name="_2B_9">[16]연돌일위집계!#REF!</definedName>
    <definedName name="_2C_1">[16]연돌일위집계!#REF!</definedName>
    <definedName name="_2C_10">[16]연돌일위집계!#REF!</definedName>
    <definedName name="_2C_11">[16]연돌일위집계!#REF!</definedName>
    <definedName name="_2C_12">[16]연돌일위집계!#REF!</definedName>
    <definedName name="_2C_13">[16]연돌일위집계!#REF!</definedName>
    <definedName name="_2C_14">[16]연돌일위집계!#REF!</definedName>
    <definedName name="_2C_15">[16]연돌일위집계!#REF!</definedName>
    <definedName name="_2C_16">[16]연돌일위집계!#REF!</definedName>
    <definedName name="_2C_17">[16]연돌일위집계!#REF!</definedName>
    <definedName name="_2C_18">[16]연돌일위집계!#REF!</definedName>
    <definedName name="_2C_19">[16]연돌일위집계!#REF!</definedName>
    <definedName name="_2C_2">[16]연돌일위집계!#REF!</definedName>
    <definedName name="_2C_20">[16]연돌일위집계!#REF!</definedName>
    <definedName name="_2C_21">[16]연돌일위집계!#REF!</definedName>
    <definedName name="_2C_22">[16]연돌일위집계!#REF!</definedName>
    <definedName name="_2C_23">[16]연돌일위집계!#REF!</definedName>
    <definedName name="_2C_24">[16]연돌일위집계!#REF!</definedName>
    <definedName name="_2C_25">[16]연돌일위집계!#REF!</definedName>
    <definedName name="_2C_26">[16]연돌일위집계!#REF!</definedName>
    <definedName name="_2C_27">[16]연돌일위집계!#REF!</definedName>
    <definedName name="_2C_28">[16]연돌일위집계!#REF!</definedName>
    <definedName name="_2C_29">[16]연돌일위집계!#REF!</definedName>
    <definedName name="_2C_3">[16]연돌일위집계!#REF!</definedName>
    <definedName name="_2C_30">[16]연돌일위집계!#REF!</definedName>
    <definedName name="_2C_4">[16]연돌일위집계!#REF!</definedName>
    <definedName name="_2C_5">[16]연돌일위집계!#REF!</definedName>
    <definedName name="_2C_6">[16]연돌일위집계!#REF!</definedName>
    <definedName name="_2C_7">[16]연돌일위집계!#REF!</definedName>
    <definedName name="_2C_8">[16]연돌일위집계!#REF!</definedName>
    <definedName name="_2C_9">[16]연돌일위집계!#REF!</definedName>
    <definedName name="_2Dist_" hidden="1">#REF!</definedName>
    <definedName name="_2u¨­OUⓒ￡uueⓒ￢A¨­AIee_YA" localSheetId="17">[20]수입!#REF!</definedName>
    <definedName name="_2u¨­OUⓒ￡uueⓒ￢A¨­AIee_YA" localSheetId="15">[20]수입!#REF!</definedName>
    <definedName name="_2u¨­OUⓒ￡uueⓒ￢A¨­AIee_YA">[20]수입!#REF!</definedName>
    <definedName name="_2도급">[21]갑지!#REF!</definedName>
    <definedName name="_3" localSheetId="3">#REF!</definedName>
    <definedName name="_3">#N/A</definedName>
    <definedName name="_3________________0_0_F" localSheetId="3" hidden="1">'[1]TOWER 10TON'!#REF!</definedName>
    <definedName name="_3________________0_0_F" hidden="1">'[1]TOWER 10TON'!#REF!</definedName>
    <definedName name="_3___123Graph_BChart_1A" hidden="1">'[12]Eq. Mobilization'!#REF!</definedName>
    <definedName name="_3__123Graph_AMOB_01" hidden="1">#REF!</definedName>
    <definedName name="_3__123Graph_AMOB_02" hidden="1">#REF!</definedName>
    <definedName name="_3__123Graph_XChart_1A" hidden="1">'[13]Eq. Mobilization'!#REF!</definedName>
    <definedName name="_3_0_0__123Grap" hidden="1">[14]유림골조!#REF!</definedName>
    <definedName name="_3_0_0_F" hidden="1">[19]산근!#REF!</definedName>
    <definedName name="_3_0_Dist_" hidden="1">#REF!</definedName>
    <definedName name="_30_________0_0__123Grap" localSheetId="3" hidden="1">[14]유림골조!#REF!</definedName>
    <definedName name="_30_________0_0__123Grap" hidden="1">[14]유림골조!#REF!</definedName>
    <definedName name="_309_0_F" hidden="1">#N/A</definedName>
    <definedName name="_31_________0_0_F" localSheetId="3" hidden="1">'[1]TOWER 10TON'!#REF!</definedName>
    <definedName name="_31_________0_0_F" hidden="1">'[1]TOWER 10TON'!#REF!</definedName>
    <definedName name="_32__________0__123Grap" localSheetId="3" hidden="1">#REF!</definedName>
    <definedName name="_32__________0__123Grap" hidden="1">#REF!</definedName>
    <definedName name="_32_0_0_F" hidden="1">[19]산근!#REF!</definedName>
    <definedName name="_324_0_0_F" hidden="1">#N/A</definedName>
    <definedName name="_33__________0_Dist_" localSheetId="3" hidden="1">#REF!</definedName>
    <definedName name="_33__________0_Dist_" hidden="1">#REF!</definedName>
    <definedName name="_33_______0_0_F" localSheetId="3" hidden="1">#REF!</definedName>
    <definedName name="_33_______0_0_F" hidden="1">#REF!</definedName>
    <definedName name="_33³_¿ª" hidden="1">{#N/A,#N/A,FALSE,"CCTV"}</definedName>
    <definedName name="_336_2_0_Parse" hidden="1">#N/A</definedName>
    <definedName name="_34________0_0__123Grap" localSheetId="3" hidden="1">[14]유림골조!#REF!</definedName>
    <definedName name="_34________0_0__123Grap" hidden="1">[14]유림골조!#REF!</definedName>
    <definedName name="_35________0_0_F" localSheetId="3" hidden="1">#REF!</definedName>
    <definedName name="_35________0_0_F" hidden="1">#REF!</definedName>
    <definedName name="_36_________0__123Grap" localSheetId="3" hidden="1">'[1]TOWER 12TON'!#REF!</definedName>
    <definedName name="_36_________0__123Grap" hidden="1">'[1]TOWER 12TON'!#REF!</definedName>
    <definedName name="_363a122_" localSheetId="3" hidden="1">{#N/A,#N/A,FALSE,"속도"}</definedName>
    <definedName name="_363a122_" hidden="1">{#N/A,#N/A,FALSE,"속도"}</definedName>
    <definedName name="_37_________0_Dist_" hidden="1">'[1]TOWER 10TON'!#REF!</definedName>
    <definedName name="_37_______0__123Grap" localSheetId="3" hidden="1">#REF!</definedName>
    <definedName name="_37_______0__123Grap" hidden="1">#REF!</definedName>
    <definedName name="_37_0__123Grap" hidden="1">#REF!</definedName>
    <definedName name="_38_______0_0__123Grap" localSheetId="3" hidden="1">[14]유림골조!#REF!</definedName>
    <definedName name="_38_______0_0__123Grap" hidden="1">[14]유림골조!#REF!</definedName>
    <definedName name="_39_______0_0_F" localSheetId="3" hidden="1">'[1]TOWER 10TON'!#REF!</definedName>
    <definedName name="_39_______0_0_F" hidden="1">'[1]TOWER 10TON'!#REF!</definedName>
    <definedName name="_39__123Graph_XChart_1A" hidden="1">'[17]Eq. Mobilization'!#REF!</definedName>
    <definedName name="_3A_1">[16]연돌일위집계!#REF!</definedName>
    <definedName name="_3A_10">[16]연돌일위집계!#REF!</definedName>
    <definedName name="_3A_11">[16]연돌일위집계!#REF!</definedName>
    <definedName name="_3A_12">[16]연돌일위집계!#REF!</definedName>
    <definedName name="_3A_13">[16]연돌일위집계!#REF!</definedName>
    <definedName name="_3A_14">[16]연돌일위집계!#REF!</definedName>
    <definedName name="_3A_15">[16]연돌일위집계!#REF!</definedName>
    <definedName name="_3A_16">[16]연돌일위집계!#REF!</definedName>
    <definedName name="_3A_17">[16]연돌일위집계!#REF!</definedName>
    <definedName name="_3A_18">[16]연돌일위집계!#REF!</definedName>
    <definedName name="_3A_19">[16]연돌일위집계!#REF!</definedName>
    <definedName name="_3A_2">[16]연돌일위집계!#REF!</definedName>
    <definedName name="_3A_20">[16]연돌일위집계!#REF!</definedName>
    <definedName name="_3A_21">[16]연돌일위집계!#REF!</definedName>
    <definedName name="_3A_22">[16]연돌일위집계!#REF!</definedName>
    <definedName name="_3A_23">[16]연돌일위집계!#REF!</definedName>
    <definedName name="_3A_24">[16]연돌일위집계!#REF!</definedName>
    <definedName name="_3A_25">[16]연돌일위집계!#REF!</definedName>
    <definedName name="_3A_26">[16]연돌일위집계!#REF!</definedName>
    <definedName name="_3A_27">[16]연돌일위집계!#REF!</definedName>
    <definedName name="_3A_28">[16]연돌일위집계!#REF!</definedName>
    <definedName name="_3A_29">[16]연돌일위집계!#REF!</definedName>
    <definedName name="_3A_3">[16]연돌일위집계!#REF!</definedName>
    <definedName name="_3A_30">[16]연돌일위집계!#REF!</definedName>
    <definedName name="_3A_4">[16]연돌일위집계!#REF!</definedName>
    <definedName name="_3A_5">[16]연돌일위집계!#REF!</definedName>
    <definedName name="_3A_6">[16]연돌일위집계!#REF!</definedName>
    <definedName name="_3A_7">[16]연돌일위집계!#REF!</definedName>
    <definedName name="_3A_8">[16]연돌일위집계!#REF!</definedName>
    <definedName name="_3A_9">[16]연돌일위집계!#REF!</definedName>
    <definedName name="_3B_1">[16]연돌일위집계!#REF!</definedName>
    <definedName name="_3B_10">[16]연돌일위집계!#REF!</definedName>
    <definedName name="_3B_11">[16]연돌일위집계!#REF!</definedName>
    <definedName name="_3B_12">[16]연돌일위집계!#REF!</definedName>
    <definedName name="_3B_13">[16]연돌일위집계!#REF!</definedName>
    <definedName name="_3B_14">[16]연돌일위집계!#REF!</definedName>
    <definedName name="_3B_15">[16]연돌일위집계!#REF!</definedName>
    <definedName name="_3B_16">[16]연돌일위집계!#REF!</definedName>
    <definedName name="_3B_17">[16]연돌일위집계!#REF!</definedName>
    <definedName name="_3B_18">[16]연돌일위집계!#REF!</definedName>
    <definedName name="_3B_19">[16]연돌일위집계!#REF!</definedName>
    <definedName name="_3B_2">[16]연돌일위집계!#REF!</definedName>
    <definedName name="_3B_20">[16]연돌일위집계!#REF!</definedName>
    <definedName name="_3B_21">[16]연돌일위집계!#REF!</definedName>
    <definedName name="_3B_22">[16]연돌일위집계!#REF!</definedName>
    <definedName name="_3B_23">[16]연돌일위집계!#REF!</definedName>
    <definedName name="_3B_24">[16]연돌일위집계!#REF!</definedName>
    <definedName name="_3B_25">[16]연돌일위집계!#REF!</definedName>
    <definedName name="_3B_26">[16]연돌일위집계!#REF!</definedName>
    <definedName name="_3B_27">[16]연돌일위집계!#REF!</definedName>
    <definedName name="_3B_28">[16]연돌일위집계!#REF!</definedName>
    <definedName name="_3B_29">[16]연돌일위집계!#REF!</definedName>
    <definedName name="_3B_3">[16]연돌일위집계!#REF!</definedName>
    <definedName name="_3B_30">[16]연돌일위집계!#REF!</definedName>
    <definedName name="_3B_4">[16]연돌일위집계!#REF!</definedName>
    <definedName name="_3B_5">[16]연돌일위집계!#REF!</definedName>
    <definedName name="_3B_6">[16]연돌일위집계!#REF!</definedName>
    <definedName name="_3B_7">[16]연돌일위집계!#REF!</definedName>
    <definedName name="_3B_8">[16]연돌일위집계!#REF!</definedName>
    <definedName name="_3B_9">[16]연돌일위집계!#REF!</definedName>
    <definedName name="_3C_1">[16]연돌일위집계!#REF!</definedName>
    <definedName name="_3C_10">[16]연돌일위집계!#REF!</definedName>
    <definedName name="_3C_11">[16]연돌일위집계!#REF!</definedName>
    <definedName name="_3C_12">[16]연돌일위집계!#REF!</definedName>
    <definedName name="_3C_13">[16]연돌일위집계!#REF!</definedName>
    <definedName name="_3C_14">[16]연돌일위집계!#REF!</definedName>
    <definedName name="_3C_15">[16]연돌일위집계!#REF!</definedName>
    <definedName name="_3C_16">[16]연돌일위집계!#REF!</definedName>
    <definedName name="_3C_17">[16]연돌일위집계!#REF!</definedName>
    <definedName name="_3C_18">[16]연돌일위집계!#REF!</definedName>
    <definedName name="_3C_19">[16]연돌일위집계!#REF!</definedName>
    <definedName name="_3C_2">[16]연돌일위집계!#REF!</definedName>
    <definedName name="_3C_20">[16]연돌일위집계!#REF!</definedName>
    <definedName name="_3C_21">[16]연돌일위집계!#REF!</definedName>
    <definedName name="_3C_22">[16]연돌일위집계!#REF!</definedName>
    <definedName name="_3C_23">[16]연돌일위집계!#REF!</definedName>
    <definedName name="_3C_24">[16]연돌일위집계!#REF!</definedName>
    <definedName name="_3C_25">[16]연돌일위집계!#REF!</definedName>
    <definedName name="_3C_26">[16]연돌일위집계!#REF!</definedName>
    <definedName name="_3C_27">[16]연돌일위집계!#REF!</definedName>
    <definedName name="_3C_28">[16]연돌일위집계!#REF!</definedName>
    <definedName name="_3C_29">[16]연돌일위집계!#REF!</definedName>
    <definedName name="_3C_3">[16]연돌일위집계!#REF!</definedName>
    <definedName name="_3C_30">[16]연돌일위집계!#REF!</definedName>
    <definedName name="_3C_4">[16]연돌일위집계!#REF!</definedName>
    <definedName name="_3C_5">[16]연돌일위집계!#REF!</definedName>
    <definedName name="_3C_6">[16]연돌일위집계!#REF!</definedName>
    <definedName name="_3C_7">[16]연돌일위집계!#REF!</definedName>
    <definedName name="_3C_8">[16]연돌일위집계!#REF!</definedName>
    <definedName name="_3C_9">[16]연돌일위집계!#REF!</definedName>
    <definedName name="_3F" hidden="1">#REF!</definedName>
    <definedName name="_4" localSheetId="3">#REF!</definedName>
    <definedName name="_4">#N/A</definedName>
    <definedName name="_4_________________0__123Grap" localSheetId="3" hidden="1">'[1]TOWER 12TON'!#REF!</definedName>
    <definedName name="_4_________________0__123Grap" hidden="1">'[1]TOWER 12TON'!#REF!</definedName>
    <definedName name="_4___123Graph_B자금운용" hidden="1">#REF!</definedName>
    <definedName name="_4__123Graph_AMOB_02" hidden="1">#REF!</definedName>
    <definedName name="_4__123Graph_BChart_1A" localSheetId="3" hidden="1">'[2]Eq. Mobilization'!#REF!</definedName>
    <definedName name="_4__123Graph_BChart_1A" hidden="1">'[17]Eq. Mobilization'!#REF!</definedName>
    <definedName name="_4__123Graph_BMOB_01" hidden="1">#REF!</definedName>
    <definedName name="_4_0__123Grap" hidden="1">#REF!</definedName>
    <definedName name="_4_0_0__123Grap" hidden="1">[22]공문!#REF!</definedName>
    <definedName name="_4_0_0_F" hidden="1">#REF!</definedName>
    <definedName name="_4_0_Dist_" hidden="1">#REF!</definedName>
    <definedName name="_40________0__123Grap" localSheetId="3" hidden="1">'[1]TOWER 12TON'!#REF!</definedName>
    <definedName name="_40________0__123Grap" hidden="1">'[1]TOWER 12TON'!#REF!</definedName>
    <definedName name="_41________0_Dist_" localSheetId="3" hidden="1">'[1]TOWER 10TON'!#REF!</definedName>
    <definedName name="_41________0_Dist_" hidden="1">'[1]TOWER 10TON'!#REF!</definedName>
    <definedName name="_42______0_0__123Grap" localSheetId="3" hidden="1">[14]유림골조!#REF!</definedName>
    <definedName name="_42______0_0__123Grap" hidden="1">[14]유림골조!#REF!</definedName>
    <definedName name="_43______0_0_F" localSheetId="3" hidden="1">'[1]TOWER 10TON'!#REF!</definedName>
    <definedName name="_43______0_0_F" hidden="1">'[1]TOWER 10TON'!#REF!</definedName>
    <definedName name="_44_______0__123Grap" localSheetId="3" hidden="1">'[1]TOWER 12TON'!#REF!</definedName>
    <definedName name="_44_______0__123Grap" hidden="1">'[1]TOWER 12TON'!#REF!</definedName>
    <definedName name="_４４__分_期" localSheetId="3">#REF!</definedName>
    <definedName name="_４４__分_期">#REF!</definedName>
    <definedName name="_45_______0_Dist_" localSheetId="3" hidden="1">'[1]TOWER 10TON'!#REF!</definedName>
    <definedName name="_45_______0_Dist_" hidden="1">'[1]TOWER 10TON'!#REF!</definedName>
    <definedName name="_45______0__123Grap" localSheetId="3" hidden="1">#REF!</definedName>
    <definedName name="_45______0__123Grap" hidden="1">#REF!</definedName>
    <definedName name="_46______0_Dist_" localSheetId="3" hidden="1">#REF!</definedName>
    <definedName name="_46______0_Dist_" hidden="1">#REF!</definedName>
    <definedName name="_46_____0_0__123Grap" localSheetId="3" hidden="1">[14]유림골조!#REF!</definedName>
    <definedName name="_46_____0_0__123Grap" hidden="1">[14]유림골조!#REF!</definedName>
    <definedName name="_47_____0_0_F" localSheetId="3" hidden="1">'[1]TOWER 10TON'!#REF!</definedName>
    <definedName name="_47_____0_0_F" hidden="1">'[1]TOWER 10TON'!#REF!</definedName>
    <definedName name="_48______0__123Grap" localSheetId="3" hidden="1">#REF!</definedName>
    <definedName name="_48______0__123Grap" hidden="1">#REF!</definedName>
    <definedName name="_49______0_Dist_" localSheetId="3" hidden="1">#REF!</definedName>
    <definedName name="_49______0_Dist_" hidden="1">#REF!</definedName>
    <definedName name="_4A_1">[16]연돌일위집계!#REF!</definedName>
    <definedName name="_4A_10">[16]연돌일위집계!#REF!</definedName>
    <definedName name="_4A_11">[16]연돌일위집계!#REF!</definedName>
    <definedName name="_4A_12">[16]연돌일위집계!#REF!</definedName>
    <definedName name="_4A_13">[16]연돌일위집계!#REF!</definedName>
    <definedName name="_4A_14">[16]연돌일위집계!#REF!</definedName>
    <definedName name="_4A_15">[16]연돌일위집계!#REF!</definedName>
    <definedName name="_4A_16">[16]연돌일위집계!#REF!</definedName>
    <definedName name="_4A_17">[16]연돌일위집계!#REF!</definedName>
    <definedName name="_4A_18">[16]연돌일위집계!#REF!</definedName>
    <definedName name="_4A_19">[16]연돌일위집계!#REF!</definedName>
    <definedName name="_4A_2">[16]연돌일위집계!#REF!</definedName>
    <definedName name="_4A_20">[16]연돌일위집계!#REF!</definedName>
    <definedName name="_4A_21">[16]연돌일위집계!#REF!</definedName>
    <definedName name="_4A_22">[16]연돌일위집계!#REF!</definedName>
    <definedName name="_4A_23">[16]연돌일위집계!#REF!</definedName>
    <definedName name="_4A_24">[16]연돌일위집계!#REF!</definedName>
    <definedName name="_4A_25">[16]연돌일위집계!#REF!</definedName>
    <definedName name="_4A_26">[16]연돌일위집계!#REF!</definedName>
    <definedName name="_4A_27">[16]연돌일위집계!#REF!</definedName>
    <definedName name="_4A_28">[16]연돌일위집계!#REF!</definedName>
    <definedName name="_4A_29">[16]연돌일위집계!#REF!</definedName>
    <definedName name="_4A_3">[16]연돌일위집계!#REF!</definedName>
    <definedName name="_4A_30">[16]연돌일위집계!#REF!</definedName>
    <definedName name="_4A_4">[16]연돌일위집계!#REF!</definedName>
    <definedName name="_4A_5">[16]연돌일위집계!#REF!</definedName>
    <definedName name="_4A_6">[16]연돌일위집계!#REF!</definedName>
    <definedName name="_4A_7">[16]연돌일위집계!#REF!</definedName>
    <definedName name="_4A_8">[16]연돌일위집계!#REF!</definedName>
    <definedName name="_4A_9">[16]연돌일위집계!#REF!</definedName>
    <definedName name="_4B_1">[16]연돌일위집계!#REF!</definedName>
    <definedName name="_4B_10">[16]연돌일위집계!#REF!</definedName>
    <definedName name="_4B_11">[16]연돌일위집계!#REF!</definedName>
    <definedName name="_4B_12">[16]연돌일위집계!#REF!</definedName>
    <definedName name="_4B_13">[16]연돌일위집계!#REF!</definedName>
    <definedName name="_4B_14">[16]연돌일위집계!#REF!</definedName>
    <definedName name="_4B_15">[16]연돌일위집계!#REF!</definedName>
    <definedName name="_4B_16">[16]연돌일위집계!#REF!</definedName>
    <definedName name="_4B_17">[16]연돌일위집계!#REF!</definedName>
    <definedName name="_4B_18">[16]연돌일위집계!#REF!</definedName>
    <definedName name="_4B_19">[16]연돌일위집계!#REF!</definedName>
    <definedName name="_4B_2">[16]연돌일위집계!#REF!</definedName>
    <definedName name="_4B_20">[16]연돌일위집계!#REF!</definedName>
    <definedName name="_4B_21">[16]연돌일위집계!#REF!</definedName>
    <definedName name="_4B_22">[16]연돌일위집계!#REF!</definedName>
    <definedName name="_4B_23">[16]연돌일위집계!#REF!</definedName>
    <definedName name="_4B_24">[16]연돌일위집계!#REF!</definedName>
    <definedName name="_4B_25">[16]연돌일위집계!#REF!</definedName>
    <definedName name="_4B_26">[16]연돌일위집계!#REF!</definedName>
    <definedName name="_4B_27">[16]연돌일위집계!#REF!</definedName>
    <definedName name="_4B_28">[16]연돌일위집계!#REF!</definedName>
    <definedName name="_4B_29">[16]연돌일위집계!#REF!</definedName>
    <definedName name="_4B_3">[16]연돌일위집계!#REF!</definedName>
    <definedName name="_4B_30">[16]연돌일위집계!#REF!</definedName>
    <definedName name="_4B_4">[16]연돌일위집계!#REF!</definedName>
    <definedName name="_4B_5">[16]연돌일위집계!#REF!</definedName>
    <definedName name="_4B_6">[16]연돌일위집계!#REF!</definedName>
    <definedName name="_4B_7">[16]연돌일위집계!#REF!</definedName>
    <definedName name="_4B_8">[16]연돌일위집계!#REF!</definedName>
    <definedName name="_4B_9">[16]연돌일위집계!#REF!</definedName>
    <definedName name="_4C_1">[16]연돌일위집계!#REF!</definedName>
    <definedName name="_4C_10">[16]연돌일위집계!#REF!</definedName>
    <definedName name="_4C_11">[16]연돌일위집계!#REF!</definedName>
    <definedName name="_4C_12">[16]연돌일위집계!#REF!</definedName>
    <definedName name="_4C_13">[16]연돌일위집계!#REF!</definedName>
    <definedName name="_4C_14">[16]연돌일위집계!#REF!</definedName>
    <definedName name="_4C_15">[16]연돌일위집계!#REF!</definedName>
    <definedName name="_4C_16">[16]연돌일위집계!#REF!</definedName>
    <definedName name="_4C_17">[16]연돌일위집계!#REF!</definedName>
    <definedName name="_4C_18">[16]연돌일위집계!#REF!</definedName>
    <definedName name="_4C_19">[16]연돌일위집계!#REF!</definedName>
    <definedName name="_4C_2">[16]연돌일위집계!#REF!</definedName>
    <definedName name="_4C_20">[16]연돌일위집계!#REF!</definedName>
    <definedName name="_4C_21">[16]연돌일위집계!#REF!</definedName>
    <definedName name="_4C_22">[16]연돌일위집계!#REF!</definedName>
    <definedName name="_4C_23">[16]연돌일위집계!#REF!</definedName>
    <definedName name="_4C_24">[16]연돌일위집계!#REF!</definedName>
    <definedName name="_4C_25">[16]연돌일위집계!#REF!</definedName>
    <definedName name="_4C_26">[16]연돌일위집계!#REF!</definedName>
    <definedName name="_4C_27">[16]연돌일위집계!#REF!</definedName>
    <definedName name="_4C_28">[16]연돌일위집계!#REF!</definedName>
    <definedName name="_4C_29">[16]연돌일위집계!#REF!</definedName>
    <definedName name="_4C_3">[16]연돌일위집계!#REF!</definedName>
    <definedName name="_4C_30">[16]연돌일위집계!#REF!</definedName>
    <definedName name="_4C_4">[16]연돌일위집계!#REF!</definedName>
    <definedName name="_4C_5">[16]연돌일위집계!#REF!</definedName>
    <definedName name="_4C_6">[16]연돌일위집계!#REF!</definedName>
    <definedName name="_4C_7">[16]연돌일위집계!#REF!</definedName>
    <definedName name="_4C_8">[16]연돌일위집계!#REF!</definedName>
    <definedName name="_4C_9">[16]연돌일위집계!#REF!</definedName>
    <definedName name="_4ELECB">'[23]#REF'!#REF!</definedName>
    <definedName name="_4uÞOUðuueßAÞAIee_YA" localSheetId="17">[24]수입!#REF!</definedName>
    <definedName name="_4uÞOUðuueßAÞAIee_YA" localSheetId="15">[24]수입!#REF!</definedName>
    <definedName name="_4uÞOUðuueßAÞAIee_YA">[24]수입!#REF!</definedName>
    <definedName name="_5">#N/A</definedName>
    <definedName name="_5_________________0_Dist_" localSheetId="3" hidden="1">'[1]TOWER 10TON'!#REF!</definedName>
    <definedName name="_5_________________0_Dist_" hidden="1">'[1]TOWER 10TON'!#REF!</definedName>
    <definedName name="_5___123Graph_C자금운용" hidden="1">#REF!</definedName>
    <definedName name="_5__123Graph_BMOB_01" hidden="1">#REF!</definedName>
    <definedName name="_5__123Graph_BMOB_02" hidden="1">#REF!</definedName>
    <definedName name="_5_0_0__123Grap" hidden="1">[14]유림골조!#REF!</definedName>
    <definedName name="_5_0_Dist_" hidden="1">[25]Sheet4!#REF!</definedName>
    <definedName name="_50____0_0__123Grap" localSheetId="3" hidden="1">[14]유림골조!#REF!</definedName>
    <definedName name="_50____0_0__123Grap" hidden="1">[14]유림골조!#REF!</definedName>
    <definedName name="_50____0_0_F" localSheetId="3" hidden="1">#REF!</definedName>
    <definedName name="_50____0_0_F" hidden="1">#REF!</definedName>
    <definedName name="_50_0_Dist_" hidden="1">#REF!</definedName>
    <definedName name="_50BP01_" hidden="1">{#N/A,#N/A,FALSE,"TABLE"}</definedName>
    <definedName name="_51____0_0_F" localSheetId="3" hidden="1">#REF!</definedName>
    <definedName name="_51____0_0_F" hidden="1">#REF!</definedName>
    <definedName name="_51k1_" hidden="1">#N/A</definedName>
    <definedName name="_52____123Graph_AChart_1A" localSheetId="3" hidden="1">'[2]Eq. Mobilization'!#REF!</definedName>
    <definedName name="_52____123Graph_AChart_1A" hidden="1">'[2]Eq. Mobilization'!#REF!</definedName>
    <definedName name="_53____123Graph_BChart_1A" localSheetId="3" hidden="1">'[2]Eq. Mobilization'!#REF!</definedName>
    <definedName name="_53____123Graph_BChart_1A" hidden="1">'[2]Eq. Mobilization'!#REF!</definedName>
    <definedName name="_54____123Graph_XChart_1A" localSheetId="3" hidden="1">'[2]Eq. Mobilization'!#REF!</definedName>
    <definedName name="_54____123Graph_XChart_1A" hidden="1">'[2]Eq. Mobilization'!#REF!</definedName>
    <definedName name="_55___123Graph_AChart_1A" localSheetId="3" hidden="1">'[2]Eq. Mobilization'!#REF!</definedName>
    <definedName name="_55___123Graph_AChart_1A" hidden="1">'[2]Eq. Mobilization'!#REF!</definedName>
    <definedName name="_56___123Graph_BChart_1A" hidden="1">'[2]Eq. Mobilization'!#REF!</definedName>
    <definedName name="_56BP01_" hidden="1">{#N/A,#N/A,FALSE,"TABLE"}</definedName>
    <definedName name="_57___123Graph_XChart_1A" hidden="1">'[2]Eq. Mobilization'!#REF!</definedName>
    <definedName name="_59_0_0__123Grap" hidden="1">[14]유림골조!#REF!</definedName>
    <definedName name="_5A_1">[16]연돌일위집계!#REF!</definedName>
    <definedName name="_5A_10">[16]연돌일위집계!#REF!</definedName>
    <definedName name="_5A_11">[16]연돌일위집계!#REF!</definedName>
    <definedName name="_5A_12">[16]연돌일위집계!#REF!</definedName>
    <definedName name="_5A_13">[16]연돌일위집계!#REF!</definedName>
    <definedName name="_5A_14">[16]연돌일위집계!#REF!</definedName>
    <definedName name="_5A_15">[16]연돌일위집계!#REF!</definedName>
    <definedName name="_5A_16">[16]연돌일위집계!#REF!</definedName>
    <definedName name="_5A_17">[16]연돌일위집계!#REF!</definedName>
    <definedName name="_5A_18">[16]연돌일위집계!#REF!</definedName>
    <definedName name="_5A_19">[16]연돌일위집계!#REF!</definedName>
    <definedName name="_5A_2">[16]연돌일위집계!#REF!</definedName>
    <definedName name="_5A_20">[16]연돌일위집계!#REF!</definedName>
    <definedName name="_5A_21">[16]연돌일위집계!#REF!</definedName>
    <definedName name="_5A_22">[16]연돌일위집계!#REF!</definedName>
    <definedName name="_5A_23">[16]연돌일위집계!#REF!</definedName>
    <definedName name="_5A_24">[16]연돌일위집계!#REF!</definedName>
    <definedName name="_5A_25">[16]연돌일위집계!#REF!</definedName>
    <definedName name="_5A_26">[16]연돌일위집계!#REF!</definedName>
    <definedName name="_5A_27">[16]연돌일위집계!#REF!</definedName>
    <definedName name="_5A_28">[16]연돌일위집계!#REF!</definedName>
    <definedName name="_5A_29">[16]연돌일위집계!#REF!</definedName>
    <definedName name="_5A_3">[16]연돌일위집계!#REF!</definedName>
    <definedName name="_5A_30">[16]연돌일위집계!#REF!</definedName>
    <definedName name="_5A_4">[16]연돌일위집계!#REF!</definedName>
    <definedName name="_5A_5">[16]연돌일위집계!#REF!</definedName>
    <definedName name="_5A_6">[16]연돌일위집계!#REF!</definedName>
    <definedName name="_5A_7">[16]연돌일위집계!#REF!</definedName>
    <definedName name="_5A_8">[16]연돌일위집계!#REF!</definedName>
    <definedName name="_5A_9">[16]연돌일위집계!#REF!</definedName>
    <definedName name="_5B_1">[16]연돌일위집계!#REF!</definedName>
    <definedName name="_5B_10">[16]연돌일위집계!#REF!</definedName>
    <definedName name="_5B_11">[16]연돌일위집계!#REF!</definedName>
    <definedName name="_5B_12">[16]연돌일위집계!#REF!</definedName>
    <definedName name="_5B_13">[16]연돌일위집계!#REF!</definedName>
    <definedName name="_5B_14">[16]연돌일위집계!#REF!</definedName>
    <definedName name="_5B_15">[16]연돌일위집계!#REF!</definedName>
    <definedName name="_5B_16">[16]연돌일위집계!#REF!</definedName>
    <definedName name="_5B_17">[16]연돌일위집계!#REF!</definedName>
    <definedName name="_5B_18">[16]연돌일위집계!#REF!</definedName>
    <definedName name="_5B_19">[16]연돌일위집계!#REF!</definedName>
    <definedName name="_5B_2">[16]연돌일위집계!#REF!</definedName>
    <definedName name="_5B_20">[16]연돌일위집계!#REF!</definedName>
    <definedName name="_5B_21">[16]연돌일위집계!#REF!</definedName>
    <definedName name="_5B_22">[16]연돌일위집계!#REF!</definedName>
    <definedName name="_5B_23">[16]연돌일위집계!#REF!</definedName>
    <definedName name="_5B_24">[16]연돌일위집계!#REF!</definedName>
    <definedName name="_5B_25">[16]연돌일위집계!#REF!</definedName>
    <definedName name="_5B_26">[16]연돌일위집계!#REF!</definedName>
    <definedName name="_5B_27">[16]연돌일위집계!#REF!</definedName>
    <definedName name="_5B_28">[16]연돌일위집계!#REF!</definedName>
    <definedName name="_5B_29">[16]연돌일위집계!#REF!</definedName>
    <definedName name="_5B_3">[16]연돌일위집계!#REF!</definedName>
    <definedName name="_5B_30">[16]연돌일위집계!#REF!</definedName>
    <definedName name="_5B_4">[16]연돌일위집계!#REF!</definedName>
    <definedName name="_5B_5">[16]연돌일위집계!#REF!</definedName>
    <definedName name="_5B_6">[16]연돌일위집계!#REF!</definedName>
    <definedName name="_5B_7">[16]연돌일위집계!#REF!</definedName>
    <definedName name="_5B_8">[16]연돌일위집계!#REF!</definedName>
    <definedName name="_5B_9">[16]연돌일위집계!#REF!</definedName>
    <definedName name="_5C_1">[16]연돌일위집계!#REF!</definedName>
    <definedName name="_5C_10">[16]연돌일위집계!#REF!</definedName>
    <definedName name="_5C_11">[16]연돌일위집계!#REF!</definedName>
    <definedName name="_5C_12">[16]연돌일위집계!#REF!</definedName>
    <definedName name="_5C_13">[16]연돌일위집계!#REF!</definedName>
    <definedName name="_5C_14">[16]연돌일위집계!#REF!</definedName>
    <definedName name="_5C_15">[16]연돌일위집계!#REF!</definedName>
    <definedName name="_5C_16">[16]연돌일위집계!#REF!</definedName>
    <definedName name="_5C_17">[16]연돌일위집계!#REF!</definedName>
    <definedName name="_5C_18">[16]연돌일위집계!#REF!</definedName>
    <definedName name="_5C_19">[16]연돌일위집계!#REF!</definedName>
    <definedName name="_5C_2">[16]연돌일위집계!#REF!</definedName>
    <definedName name="_5C_20">[16]연돌일위집계!#REF!</definedName>
    <definedName name="_5C_21">[16]연돌일위집계!#REF!</definedName>
    <definedName name="_5C_22">[16]연돌일위집계!#REF!</definedName>
    <definedName name="_5C_23">[16]연돌일위집계!#REF!</definedName>
    <definedName name="_5C_24">[16]연돌일위집계!#REF!</definedName>
    <definedName name="_5C_25">[16]연돌일위집계!#REF!</definedName>
    <definedName name="_5C_26">[16]연돌일위집계!#REF!</definedName>
    <definedName name="_5C_27">[16]연돌일위집계!#REF!</definedName>
    <definedName name="_5C_28">[16]연돌일위집계!#REF!</definedName>
    <definedName name="_5C_29">[16]연돌일위집계!#REF!</definedName>
    <definedName name="_5C_3">[16]연돌일위집계!#REF!</definedName>
    <definedName name="_5C_30">[16]연돌일위집계!#REF!</definedName>
    <definedName name="_5C_4">[16]연돌일위집계!#REF!</definedName>
    <definedName name="_5C_5">[16]연돌일위집계!#REF!</definedName>
    <definedName name="_5C_6">[16]연돌일위집계!#REF!</definedName>
    <definedName name="_5C_7">[16]연돌일위집계!#REF!</definedName>
    <definedName name="_5C_8">[16]연돌일위집계!#REF!</definedName>
    <definedName name="_5C_9">[16]연돌일위집계!#REF!</definedName>
    <definedName name="_5P1_">#REF!</definedName>
    <definedName name="_6" localSheetId="3">#REF!</definedName>
    <definedName name="_6">#N/A</definedName>
    <definedName name="_6_______________0_0__123Grap" localSheetId="3" hidden="1">[14]유림골조!#REF!</definedName>
    <definedName name="_6_______________0_0__123Grap" hidden="1">[14]유림골조!#REF!</definedName>
    <definedName name="_6___123Graph_XChart_1A" hidden="1">'[12]Eq. Mobilization'!#REF!</definedName>
    <definedName name="_6__123Graph_A자금운용" hidden="1">#REF!</definedName>
    <definedName name="_6__123Graph_BMOB_02" hidden="1">#REF!</definedName>
    <definedName name="_6__123Graph_CMOB_01" hidden="1">#REF!</definedName>
    <definedName name="_6__123Graph_XChart_1A" localSheetId="3" hidden="1">'[2]Eq. Mobilization'!#REF!</definedName>
    <definedName name="_6__123Graph_XChart_1A" hidden="1">'[17]Eq. Mobilization'!#REF!</definedName>
    <definedName name="_6_0_0__123Grap" hidden="1">[14]유림골조!#REF!</definedName>
    <definedName name="_6_0_0_F" hidden="1">#REF!</definedName>
    <definedName name="_6_0_0코아공" hidden="1">[15]공통비총괄표!#REF!</definedName>
    <definedName name="_68_0__123Grap" hidden="1">#N/A</definedName>
    <definedName name="_69_0_Dist_" hidden="1">#N/A</definedName>
    <definedName name="_6A_1">[16]연돌일위집계!#REF!</definedName>
    <definedName name="_6A_10">[16]연돌일위집계!#REF!</definedName>
    <definedName name="_6A_11">[16]연돌일위집계!#REF!</definedName>
    <definedName name="_6A_12">[16]연돌일위집계!#REF!</definedName>
    <definedName name="_6A_13">[16]연돌일위집계!#REF!</definedName>
    <definedName name="_6A_14">[16]연돌일위집계!#REF!</definedName>
    <definedName name="_6A_15">[16]연돌일위집계!#REF!</definedName>
    <definedName name="_6A_16">[16]연돌일위집계!#REF!</definedName>
    <definedName name="_6A_17">[16]연돌일위집계!#REF!</definedName>
    <definedName name="_6A_18">[16]연돌일위집계!#REF!</definedName>
    <definedName name="_6A_19">[16]연돌일위집계!#REF!</definedName>
    <definedName name="_6A_2">[16]연돌일위집계!#REF!</definedName>
    <definedName name="_6A_20">[16]연돌일위집계!#REF!</definedName>
    <definedName name="_6A_21">[16]연돌일위집계!#REF!</definedName>
    <definedName name="_6A_22">[16]연돌일위집계!#REF!</definedName>
    <definedName name="_6A_23">[16]연돌일위집계!#REF!</definedName>
    <definedName name="_6A_24">[16]연돌일위집계!#REF!</definedName>
    <definedName name="_6A_25">[16]연돌일위집계!#REF!</definedName>
    <definedName name="_6A_26">[16]연돌일위집계!#REF!</definedName>
    <definedName name="_6A_27">[16]연돌일위집계!#REF!</definedName>
    <definedName name="_6A_28">[16]연돌일위집계!#REF!</definedName>
    <definedName name="_6A_29">[16]연돌일위집계!#REF!</definedName>
    <definedName name="_6A_3">[16]연돌일위집계!#REF!</definedName>
    <definedName name="_6A_30">[16]연돌일위집계!#REF!</definedName>
    <definedName name="_6A_4">[16]연돌일위집계!#REF!</definedName>
    <definedName name="_6A_5">[16]연돌일위집계!#REF!</definedName>
    <definedName name="_6A_6">[16]연돌일위집계!#REF!</definedName>
    <definedName name="_6A_7">[16]연돌일위집계!#REF!</definedName>
    <definedName name="_6A_8">[16]연돌일위집계!#REF!</definedName>
    <definedName name="_6A_9">[16]연돌일위집계!#REF!</definedName>
    <definedName name="_6B_1">[16]연돌일위집계!#REF!</definedName>
    <definedName name="_6B_10">[16]연돌일위집계!#REF!</definedName>
    <definedName name="_6B_11">[16]연돌일위집계!#REF!</definedName>
    <definedName name="_6B_12">[16]연돌일위집계!#REF!</definedName>
    <definedName name="_6B_13">[16]연돌일위집계!#REF!</definedName>
    <definedName name="_6B_14">[16]연돌일위집계!#REF!</definedName>
    <definedName name="_6B_15">[16]연돌일위집계!#REF!</definedName>
    <definedName name="_6B_16">[16]연돌일위집계!#REF!</definedName>
    <definedName name="_6B_17">[16]연돌일위집계!#REF!</definedName>
    <definedName name="_6B_18">[16]연돌일위집계!#REF!</definedName>
    <definedName name="_6B_19">[16]연돌일위집계!#REF!</definedName>
    <definedName name="_6B_2">[16]연돌일위집계!#REF!</definedName>
    <definedName name="_6B_20">[16]연돌일위집계!#REF!</definedName>
    <definedName name="_6B_21">[16]연돌일위집계!#REF!</definedName>
    <definedName name="_6B_22">[16]연돌일위집계!#REF!</definedName>
    <definedName name="_6B_23">[16]연돌일위집계!#REF!</definedName>
    <definedName name="_6B_24">[16]연돌일위집계!#REF!</definedName>
    <definedName name="_6B_25">[16]연돌일위집계!#REF!</definedName>
    <definedName name="_6B_26">[16]연돌일위집계!#REF!</definedName>
    <definedName name="_6B_27">[16]연돌일위집계!#REF!</definedName>
    <definedName name="_6B_28">[16]연돌일위집계!#REF!</definedName>
    <definedName name="_6B_29">[16]연돌일위집계!#REF!</definedName>
    <definedName name="_6B_3">[16]연돌일위집계!#REF!</definedName>
    <definedName name="_6B_30">[16]연돌일위집계!#REF!</definedName>
    <definedName name="_6B_4">[16]연돌일위집계!#REF!</definedName>
    <definedName name="_6B_5">[16]연돌일위집계!#REF!</definedName>
    <definedName name="_6B_6">[16]연돌일위집계!#REF!</definedName>
    <definedName name="_6B_7">[16]연돌일위집계!#REF!</definedName>
    <definedName name="_6B_8">[16]연돌일위집계!#REF!</definedName>
    <definedName name="_6B_9">[16]연돌일위집계!#REF!</definedName>
    <definedName name="_6C_1">[16]연돌일위집계!#REF!</definedName>
    <definedName name="_6C_10">[16]연돌일위집계!#REF!</definedName>
    <definedName name="_6C_11">[16]연돌일위집계!#REF!</definedName>
    <definedName name="_6C_12">[16]연돌일위집계!#REF!</definedName>
    <definedName name="_6C_13">[16]연돌일위집계!#REF!</definedName>
    <definedName name="_6C_14">[16]연돌일위집계!#REF!</definedName>
    <definedName name="_6C_15">[16]연돌일위집계!#REF!</definedName>
    <definedName name="_6C_16">[16]연돌일위집계!#REF!</definedName>
    <definedName name="_6C_17">[16]연돌일위집계!#REF!</definedName>
    <definedName name="_6C_18">[16]연돌일위집계!#REF!</definedName>
    <definedName name="_6C_19">[16]연돌일위집계!#REF!</definedName>
    <definedName name="_6C_2">[16]연돌일위집계!#REF!</definedName>
    <definedName name="_6C_20">[16]연돌일위집계!#REF!</definedName>
    <definedName name="_6C_21">[16]연돌일위집계!#REF!</definedName>
    <definedName name="_6C_22">[16]연돌일위집계!#REF!</definedName>
    <definedName name="_6C_23">[16]연돌일위집계!#REF!</definedName>
    <definedName name="_6C_24">[16]연돌일위집계!#REF!</definedName>
    <definedName name="_6C_25">[16]연돌일위집계!#REF!</definedName>
    <definedName name="_6C_26">[16]연돌일위집계!#REF!</definedName>
    <definedName name="_6C_27">[16]연돌일위집계!#REF!</definedName>
    <definedName name="_6C_28">[16]연돌일위집계!#REF!</definedName>
    <definedName name="_6C_29">[16]연돌일위집계!#REF!</definedName>
    <definedName name="_6C_3">[16]연돌일위집계!#REF!</definedName>
    <definedName name="_6C_30">[16]연돌일위집계!#REF!</definedName>
    <definedName name="_6C_4">[16]연돌일위집계!#REF!</definedName>
    <definedName name="_6C_5">[16]연돌일위집계!#REF!</definedName>
    <definedName name="_6C_6">[16]연돌일위집계!#REF!</definedName>
    <definedName name="_6C_7">[16]연돌일위집계!#REF!</definedName>
    <definedName name="_6C_8">[16]연돌일위집계!#REF!</definedName>
    <definedName name="_6C_9">[16]연돌일위집계!#REF!</definedName>
    <definedName name="_6P10_">#REF!</definedName>
    <definedName name="_7" localSheetId="3">#REF!</definedName>
    <definedName name="_7">#N/A</definedName>
    <definedName name="_7_______________0_0_F" localSheetId="3" hidden="1">'[1]TOWER 10TON'!#REF!</definedName>
    <definedName name="_7_______________0_0_F" hidden="1">'[1]TOWER 10TON'!#REF!</definedName>
    <definedName name="_7___123Graph_X자금운용" hidden="1">#REF!</definedName>
    <definedName name="_7__123Graph_CMOB_01" hidden="1">#REF!</definedName>
    <definedName name="_7__123Graph_CMOB_02" hidden="1">#REF!</definedName>
    <definedName name="_7_0_0_F" hidden="1">#REF!</definedName>
    <definedName name="_7_0공통비" hidden="1">[15]공통비총괄표!#REF!</definedName>
    <definedName name="_70_0_F" hidden="1">#N/A</definedName>
    <definedName name="_71_0_0_F" hidden="1">#N/A</definedName>
    <definedName name="_72_0__123Grap" localSheetId="3" hidden="1">#REF!</definedName>
    <definedName name="_72_0__123Grap" hidden="1">#REF!</definedName>
    <definedName name="_72_0_0_F" hidden="1">#REF!</definedName>
    <definedName name="_72_2_0_Parse" hidden="1">#N/A</definedName>
    <definedName name="_72BP01_" hidden="1">{#N/A,#N/A,FALSE,"TABLE"}</definedName>
    <definedName name="_73_0__123Grap" localSheetId="3" hidden="1">#REF!</definedName>
    <definedName name="_73_0__123Grap" hidden="1">#REF!</definedName>
    <definedName name="_75a122_" localSheetId="3" hidden="1">{#N/A,#N/A,FALSE,"속도"}</definedName>
    <definedName name="_75a122_" hidden="1">{#N/A,#N/A,FALSE,"속도"}</definedName>
    <definedName name="_7A_1">[16]연돌일위집계!#REF!</definedName>
    <definedName name="_7A_10">[16]연돌일위집계!#REF!</definedName>
    <definedName name="_7A_11">[16]연돌일위집계!#REF!</definedName>
    <definedName name="_7A_12">[16]연돌일위집계!#REF!</definedName>
    <definedName name="_7A_13">[16]연돌일위집계!#REF!</definedName>
    <definedName name="_7A_14">[16]연돌일위집계!#REF!</definedName>
    <definedName name="_7A_15">[16]연돌일위집계!#REF!</definedName>
    <definedName name="_7A_16">[16]연돌일위집계!#REF!</definedName>
    <definedName name="_7A_17">[16]연돌일위집계!#REF!</definedName>
    <definedName name="_7A_18">[16]연돌일위집계!#REF!</definedName>
    <definedName name="_7A_19">[16]연돌일위집계!#REF!</definedName>
    <definedName name="_7A_2">[16]연돌일위집계!#REF!</definedName>
    <definedName name="_7A_20">[16]연돌일위집계!#REF!</definedName>
    <definedName name="_7A_21">[16]연돌일위집계!#REF!</definedName>
    <definedName name="_7A_22">[16]연돌일위집계!#REF!</definedName>
    <definedName name="_7A_23">[16]연돌일위집계!#REF!</definedName>
    <definedName name="_7A_24">[16]연돌일위집계!#REF!</definedName>
    <definedName name="_7A_25">[16]연돌일위집계!#REF!</definedName>
    <definedName name="_7A_26">[16]연돌일위집계!#REF!</definedName>
    <definedName name="_7A_27">[16]연돌일위집계!#REF!</definedName>
    <definedName name="_7A_28">[16]연돌일위집계!#REF!</definedName>
    <definedName name="_7A_29">[16]연돌일위집계!#REF!</definedName>
    <definedName name="_7A_3">[16]연돌일위집계!#REF!</definedName>
    <definedName name="_7A_30">[16]연돌일위집계!#REF!</definedName>
    <definedName name="_7A_4">[16]연돌일위집계!#REF!</definedName>
    <definedName name="_7A_5">[16]연돌일위집계!#REF!</definedName>
    <definedName name="_7A_6">[16]연돌일위집계!#REF!</definedName>
    <definedName name="_7A_7">[16]연돌일위집계!#REF!</definedName>
    <definedName name="_7A_8">[16]연돌일위집계!#REF!</definedName>
    <definedName name="_7A_9">[16]연돌일위집계!#REF!</definedName>
    <definedName name="_7B_1">[16]연돌일위집계!#REF!</definedName>
    <definedName name="_7B_10">[16]연돌일위집계!#REF!</definedName>
    <definedName name="_7B_11">[16]연돌일위집계!#REF!</definedName>
    <definedName name="_7B_12">[16]연돌일위집계!#REF!</definedName>
    <definedName name="_7B_13">[16]연돌일위집계!#REF!</definedName>
    <definedName name="_7B_14">[16]연돌일위집계!#REF!</definedName>
    <definedName name="_7B_15">[16]연돌일위집계!#REF!</definedName>
    <definedName name="_7B_16">[16]연돌일위집계!#REF!</definedName>
    <definedName name="_7B_17">[16]연돌일위집계!#REF!</definedName>
    <definedName name="_7B_18">[16]연돌일위집계!#REF!</definedName>
    <definedName name="_7B_19">[16]연돌일위집계!#REF!</definedName>
    <definedName name="_7B_2">[16]연돌일위집계!#REF!</definedName>
    <definedName name="_7B_20">[16]연돌일위집계!#REF!</definedName>
    <definedName name="_7B_21">[16]연돌일위집계!#REF!</definedName>
    <definedName name="_7B_22">[16]연돌일위집계!#REF!</definedName>
    <definedName name="_7B_23">[16]연돌일위집계!#REF!</definedName>
    <definedName name="_7B_24">[16]연돌일위집계!#REF!</definedName>
    <definedName name="_7B_25">[16]연돌일위집계!#REF!</definedName>
    <definedName name="_7B_26">[16]연돌일위집계!#REF!</definedName>
    <definedName name="_7B_27">[16]연돌일위집계!#REF!</definedName>
    <definedName name="_7B_28">[16]연돌일위집계!#REF!</definedName>
    <definedName name="_7B_29">[16]연돌일위집계!#REF!</definedName>
    <definedName name="_7B_3">[16]연돌일위집계!#REF!</definedName>
    <definedName name="_7B_30">[16]연돌일위집계!#REF!</definedName>
    <definedName name="_7B_4">[16]연돌일위집계!#REF!</definedName>
    <definedName name="_7B_5">[16]연돌일위집계!#REF!</definedName>
    <definedName name="_7B_6">[16]연돌일위집계!#REF!</definedName>
    <definedName name="_7B_7">[16]연돌일위집계!#REF!</definedName>
    <definedName name="_7B_8">[16]연돌일위집계!#REF!</definedName>
    <definedName name="_7B_9">[16]연돌일위집계!#REF!</definedName>
    <definedName name="_7C_1">[16]연돌일위집계!#REF!</definedName>
    <definedName name="_7C_10">[16]연돌일위집계!#REF!</definedName>
    <definedName name="_7C_11">[16]연돌일위집계!#REF!</definedName>
    <definedName name="_7C_12">[16]연돌일위집계!#REF!</definedName>
    <definedName name="_7C_13">[16]연돌일위집계!#REF!</definedName>
    <definedName name="_7C_14">[16]연돌일위집계!#REF!</definedName>
    <definedName name="_7C_15">[16]연돌일위집계!#REF!</definedName>
    <definedName name="_7C_16">[16]연돌일위집계!#REF!</definedName>
    <definedName name="_7C_17">[16]연돌일위집계!#REF!</definedName>
    <definedName name="_7C_18">[16]연돌일위집계!#REF!</definedName>
    <definedName name="_7C_19">[16]연돌일위집계!#REF!</definedName>
    <definedName name="_7C_2">[16]연돌일위집계!#REF!</definedName>
    <definedName name="_7C_20">[16]연돌일위집계!#REF!</definedName>
    <definedName name="_7C_21">[16]연돌일위집계!#REF!</definedName>
    <definedName name="_7C_22">[16]연돌일위집계!#REF!</definedName>
    <definedName name="_7C_23">[16]연돌일위집계!#REF!</definedName>
    <definedName name="_7C_24">[16]연돌일위집계!#REF!</definedName>
    <definedName name="_7C_25">[16]연돌일위집계!#REF!</definedName>
    <definedName name="_7C_26">[16]연돌일위집계!#REF!</definedName>
    <definedName name="_7C_27">[16]연돌일위집계!#REF!</definedName>
    <definedName name="_7C_28">[16]연돌일위집계!#REF!</definedName>
    <definedName name="_7C_29">[16]연돌일위집계!#REF!</definedName>
    <definedName name="_7C_3">[16]연돌일위집계!#REF!</definedName>
    <definedName name="_7C_30">[16]연돌일위집계!#REF!</definedName>
    <definedName name="_7C_4">[16]연돌일위집계!#REF!</definedName>
    <definedName name="_7C_5">[16]연돌일위집계!#REF!</definedName>
    <definedName name="_7C_6">[16]연돌일위집계!#REF!</definedName>
    <definedName name="_7C_7">[16]연돌일위집계!#REF!</definedName>
    <definedName name="_7C_8">[16]연돌일위집계!#REF!</definedName>
    <definedName name="_7C_9">[16]연돌일위집계!#REF!</definedName>
    <definedName name="_7P11_">#REF!</definedName>
    <definedName name="_8">#N/A</definedName>
    <definedName name="_8_____3_0Crite" localSheetId="3">#REF!</definedName>
    <definedName name="_8_____3_0Crite">#REF!</definedName>
    <definedName name="_8__123Graph_AChart_1A" hidden="1">'[12]Eq. Mobilization'!#REF!</definedName>
    <definedName name="_8__123Graph_CMOB_02" hidden="1">#REF!</definedName>
    <definedName name="_8__123Graph_DMOB_01" hidden="1">#REF!</definedName>
    <definedName name="_8_0현대코아공" hidden="1">[15]공통비총괄표!#REF!</definedName>
    <definedName name="_8_123Grap" hidden="1">#REF!</definedName>
    <definedName name="_80__________0__123Grap" localSheetId="3" hidden="1">#REF!</definedName>
    <definedName name="_80__________0__123Grap" hidden="1">#REF!</definedName>
    <definedName name="_81_0_0코아공" hidden="1">[15]공통비총괄표!#REF!</definedName>
    <definedName name="_84__________0_Dist_" localSheetId="3" hidden="1">#REF!</definedName>
    <definedName name="_84__________0_Dist_" hidden="1">#REF!</definedName>
    <definedName name="_87__123Graph_A자금운용" hidden="1">#REF!</definedName>
    <definedName name="_89__123Graph_B자금운용" hidden="1">#REF!</definedName>
    <definedName name="_8A_1">[16]연돌일위집계!#REF!</definedName>
    <definedName name="_8A_10">[16]연돌일위집계!#REF!</definedName>
    <definedName name="_8A_11">[16]연돌일위집계!#REF!</definedName>
    <definedName name="_8A_12">[16]연돌일위집계!#REF!</definedName>
    <definedName name="_8A_13">[16]연돌일위집계!#REF!</definedName>
    <definedName name="_8A_14">[16]연돌일위집계!#REF!</definedName>
    <definedName name="_8A_15">[16]연돌일위집계!#REF!</definedName>
    <definedName name="_8A_16">[16]연돌일위집계!#REF!</definedName>
    <definedName name="_8A_17">[16]연돌일위집계!#REF!</definedName>
    <definedName name="_8A_18">[16]연돌일위집계!#REF!</definedName>
    <definedName name="_8A_19">[16]연돌일위집계!#REF!</definedName>
    <definedName name="_8A_2">[16]연돌일위집계!#REF!</definedName>
    <definedName name="_8A_20">[16]연돌일위집계!#REF!</definedName>
    <definedName name="_8A_21">[16]연돌일위집계!#REF!</definedName>
    <definedName name="_8A_22">[16]연돌일위집계!#REF!</definedName>
    <definedName name="_8A_23">[16]연돌일위집계!#REF!</definedName>
    <definedName name="_8A_24">[16]연돌일위집계!#REF!</definedName>
    <definedName name="_8A_25">[16]연돌일위집계!#REF!</definedName>
    <definedName name="_8A_26">[16]연돌일위집계!#REF!</definedName>
    <definedName name="_8A_27">[16]연돌일위집계!#REF!</definedName>
    <definedName name="_8A_28">[16]연돌일위집계!#REF!</definedName>
    <definedName name="_8A_29">[16]연돌일위집계!#REF!</definedName>
    <definedName name="_8A_3">[16]연돌일위집계!#REF!</definedName>
    <definedName name="_8A_30">[16]연돌일위집계!#REF!</definedName>
    <definedName name="_8A_4">[16]연돌일위집계!#REF!</definedName>
    <definedName name="_8A_5">[16]연돌일위집계!#REF!</definedName>
    <definedName name="_8A_6">[16]연돌일위집계!#REF!</definedName>
    <definedName name="_8A_7">[16]연돌일위집계!#REF!</definedName>
    <definedName name="_8A_8">[16]연돌일위집계!#REF!</definedName>
    <definedName name="_8A_9">[16]연돌일위집계!#REF!</definedName>
    <definedName name="_8a1_">{"'Sheet1'!$L$16"}</definedName>
    <definedName name="_8B_1">[16]연돌일위집계!#REF!</definedName>
    <definedName name="_8B_10">[16]연돌일위집계!#REF!</definedName>
    <definedName name="_8B_11">[16]연돌일위집계!#REF!</definedName>
    <definedName name="_8B_12">[16]연돌일위집계!#REF!</definedName>
    <definedName name="_8B_13">[16]연돌일위집계!#REF!</definedName>
    <definedName name="_8B_14">[16]연돌일위집계!#REF!</definedName>
    <definedName name="_8B_15">[16]연돌일위집계!#REF!</definedName>
    <definedName name="_8B_16">[16]연돌일위집계!#REF!</definedName>
    <definedName name="_8B_17">[16]연돌일위집계!#REF!</definedName>
    <definedName name="_8B_18">[16]연돌일위집계!#REF!</definedName>
    <definedName name="_8B_19">[16]연돌일위집계!#REF!</definedName>
    <definedName name="_8B_2">[16]연돌일위집계!#REF!</definedName>
    <definedName name="_8B_20">[16]연돌일위집계!#REF!</definedName>
    <definedName name="_8B_21">[16]연돌일위집계!#REF!</definedName>
    <definedName name="_8B_22">[16]연돌일위집계!#REF!</definedName>
    <definedName name="_8B_23">[16]연돌일위집계!#REF!</definedName>
    <definedName name="_8B_24">[16]연돌일위집계!#REF!</definedName>
    <definedName name="_8B_25">[16]연돌일위집계!#REF!</definedName>
    <definedName name="_8B_26">[16]연돌일위집계!#REF!</definedName>
    <definedName name="_8B_27">[16]연돌일위집계!#REF!</definedName>
    <definedName name="_8B_28">[16]연돌일위집계!#REF!</definedName>
    <definedName name="_8B_29">[16]연돌일위집계!#REF!</definedName>
    <definedName name="_8B_3">[16]연돌일위집계!#REF!</definedName>
    <definedName name="_8B_30">[16]연돌일위집계!#REF!</definedName>
    <definedName name="_8B_4">[16]연돌일위집계!#REF!</definedName>
    <definedName name="_8B_5">[16]연돌일위집계!#REF!</definedName>
    <definedName name="_8B_6">[16]연돌일위집계!#REF!</definedName>
    <definedName name="_8B_7">[16]연돌일위집계!#REF!</definedName>
    <definedName name="_8B_8">[16]연돌일위집계!#REF!</definedName>
    <definedName name="_8B_9">[16]연돌일위집계!#REF!</definedName>
    <definedName name="_8C_1">[16]연돌일위집계!#REF!</definedName>
    <definedName name="_8C_10">[16]연돌일위집계!#REF!</definedName>
    <definedName name="_8C_11">[16]연돌일위집계!#REF!</definedName>
    <definedName name="_8C_12">[16]연돌일위집계!#REF!</definedName>
    <definedName name="_8C_13">[16]연돌일위집계!#REF!</definedName>
    <definedName name="_8C_14">[16]연돌일위집계!#REF!</definedName>
    <definedName name="_8C_15">[16]연돌일위집계!#REF!</definedName>
    <definedName name="_8C_16">[16]연돌일위집계!#REF!</definedName>
    <definedName name="_8C_17">[16]연돌일위집계!#REF!</definedName>
    <definedName name="_8C_18">[16]연돌일위집계!#REF!</definedName>
    <definedName name="_8C_19">[16]연돌일위집계!#REF!</definedName>
    <definedName name="_8C_2">[16]연돌일위집계!#REF!</definedName>
    <definedName name="_8C_20">[16]연돌일위집계!#REF!</definedName>
    <definedName name="_8C_21">[16]연돌일위집계!#REF!</definedName>
    <definedName name="_8C_22">[16]연돌일위집계!#REF!</definedName>
    <definedName name="_8C_23">[16]연돌일위집계!#REF!</definedName>
    <definedName name="_8C_24">[16]연돌일위집계!#REF!</definedName>
    <definedName name="_8C_25">[16]연돌일위집계!#REF!</definedName>
    <definedName name="_8C_26">[16]연돌일위집계!#REF!</definedName>
    <definedName name="_8C_27">[16]연돌일위집계!#REF!</definedName>
    <definedName name="_8C_28">[16]연돌일위집계!#REF!</definedName>
    <definedName name="_8C_29">[16]연돌일위집계!#REF!</definedName>
    <definedName name="_8C_3">[16]연돌일위집계!#REF!</definedName>
    <definedName name="_8C_30">[16]연돌일위집계!#REF!</definedName>
    <definedName name="_8C_4">[16]연돌일위집계!#REF!</definedName>
    <definedName name="_8C_5">[16]연돌일위집계!#REF!</definedName>
    <definedName name="_8C_6">[16]연돌일위집계!#REF!</definedName>
    <definedName name="_8C_7">[16]연돌일위집계!#REF!</definedName>
    <definedName name="_8C_8">[16]연돌일위집계!#REF!</definedName>
    <definedName name="_8C_9">[16]연돌일위집계!#REF!</definedName>
    <definedName name="_8P12_">#REF!</definedName>
    <definedName name="_9" localSheetId="3">#REF!</definedName>
    <definedName name="_9">#N/A</definedName>
    <definedName name="_9_____3_0Criteria" localSheetId="3">#REF!</definedName>
    <definedName name="_9_____3_0Criteria">#REF!</definedName>
    <definedName name="_9__123Graph_A자금운용" hidden="1">#REF!</definedName>
    <definedName name="_9__123Graph_DMOB_01" hidden="1">#REF!</definedName>
    <definedName name="_9__123Graph_DMOB_02" hidden="1">#REF!</definedName>
    <definedName name="_90_0공통비" hidden="1">[15]공통비총괄표!#REF!</definedName>
    <definedName name="_91__123Graph_C자금운용" hidden="1">#REF!</definedName>
    <definedName name="_92________0_0_F" localSheetId="3" hidden="1">#REF!</definedName>
    <definedName name="_92________0_0_F" hidden="1">#REF!</definedName>
    <definedName name="_92__123Graph_X자금운용" hidden="1">#REF!</definedName>
    <definedName name="_99_0현대코아공" hidden="1">[15]공통비총괄표!#REF!</definedName>
    <definedName name="_9A_1">[16]연돌일위집계!#REF!</definedName>
    <definedName name="_9A_10">[16]연돌일위집계!#REF!</definedName>
    <definedName name="_9A_11">[16]연돌일위집계!#REF!</definedName>
    <definedName name="_9A_12">[16]연돌일위집계!#REF!</definedName>
    <definedName name="_9A_13">[16]연돌일위집계!#REF!</definedName>
    <definedName name="_9A_14">[16]연돌일위집계!#REF!</definedName>
    <definedName name="_9A_15">[16]연돌일위집계!#REF!</definedName>
    <definedName name="_9A_16">[16]연돌일위집계!#REF!</definedName>
    <definedName name="_9A_17">[16]연돌일위집계!#REF!</definedName>
    <definedName name="_9A_18">[16]연돌일위집계!#REF!</definedName>
    <definedName name="_9A_19">[16]연돌일위집계!#REF!</definedName>
    <definedName name="_9A_2">[16]연돌일위집계!#REF!</definedName>
    <definedName name="_9A_20">[16]연돌일위집계!#REF!</definedName>
    <definedName name="_9A_21">[16]연돌일위집계!#REF!</definedName>
    <definedName name="_9A_22">[16]연돌일위집계!#REF!</definedName>
    <definedName name="_9A_23">[16]연돌일위집계!#REF!</definedName>
    <definedName name="_9A_24">[16]연돌일위집계!#REF!</definedName>
    <definedName name="_9A_25">[16]연돌일위집계!#REF!</definedName>
    <definedName name="_9A_26">[16]연돌일위집계!#REF!</definedName>
    <definedName name="_9A_27">[16]연돌일위집계!#REF!</definedName>
    <definedName name="_9A_28">[16]연돌일위집계!#REF!</definedName>
    <definedName name="_9A_29">[16]연돌일위집계!#REF!</definedName>
    <definedName name="_9A_3">[16]연돌일위집계!#REF!</definedName>
    <definedName name="_9A_30">[16]연돌일위집계!#REF!</definedName>
    <definedName name="_9A_4">[16]연돌일위집계!#REF!</definedName>
    <definedName name="_9A_5">[16]연돌일위집계!#REF!</definedName>
    <definedName name="_9A_6">[16]연돌일위집계!#REF!</definedName>
    <definedName name="_9A_7">[16]연돌일위집계!#REF!</definedName>
    <definedName name="_9A_8">[16]연돌일위집계!#REF!</definedName>
    <definedName name="_9A_9">[16]연돌일위집계!#REF!</definedName>
    <definedName name="_9B_1">[16]연돌일위집계!#REF!</definedName>
    <definedName name="_9B_10">[16]연돌일위집계!#REF!</definedName>
    <definedName name="_9B_11">[16]연돌일위집계!#REF!</definedName>
    <definedName name="_9B_12">[16]연돌일위집계!#REF!</definedName>
    <definedName name="_9B_13">[16]연돌일위집계!#REF!</definedName>
    <definedName name="_9B_14">[16]연돌일위집계!#REF!</definedName>
    <definedName name="_9B_15">[16]연돌일위집계!#REF!</definedName>
    <definedName name="_9B_16">[16]연돌일위집계!#REF!</definedName>
    <definedName name="_9B_17">[16]연돌일위집계!#REF!</definedName>
    <definedName name="_9B_18">[16]연돌일위집계!#REF!</definedName>
    <definedName name="_9B_19">[16]연돌일위집계!#REF!</definedName>
    <definedName name="_9B_2">[16]연돌일위집계!#REF!</definedName>
    <definedName name="_9B_20">[16]연돌일위집계!#REF!</definedName>
    <definedName name="_9B_21">[16]연돌일위집계!#REF!</definedName>
    <definedName name="_9B_22">[16]연돌일위집계!#REF!</definedName>
    <definedName name="_9B_23">[16]연돌일위집계!#REF!</definedName>
    <definedName name="_9B_24">[16]연돌일위집계!#REF!</definedName>
    <definedName name="_9B_25">[16]연돌일위집계!#REF!</definedName>
    <definedName name="_9B_26">[16]연돌일위집계!#REF!</definedName>
    <definedName name="_9B_27">[16]연돌일위집계!#REF!</definedName>
    <definedName name="_9B_28">[16]연돌일위집계!#REF!</definedName>
    <definedName name="_9B_29">[16]연돌일위집계!#REF!</definedName>
    <definedName name="_9B_3">[16]연돌일위집계!#REF!</definedName>
    <definedName name="_9B_30">[16]연돌일위집계!#REF!</definedName>
    <definedName name="_9B_4">[16]연돌일위집계!#REF!</definedName>
    <definedName name="_9B_5">[16]연돌일위집계!#REF!</definedName>
    <definedName name="_9B_6">[16]연돌일위집계!#REF!</definedName>
    <definedName name="_9B_7">[16]연돌일위집계!#REF!</definedName>
    <definedName name="_9B_8">[16]연돌일위집계!#REF!</definedName>
    <definedName name="_9B_9">[16]연돌일위집계!#REF!</definedName>
    <definedName name="_9C_1">[16]연돌일위집계!#REF!</definedName>
    <definedName name="_9C_10">[16]연돌일위집계!#REF!</definedName>
    <definedName name="_9C_11">[16]연돌일위집계!#REF!</definedName>
    <definedName name="_9C_12">[16]연돌일위집계!#REF!</definedName>
    <definedName name="_9C_13">[16]연돌일위집계!#REF!</definedName>
    <definedName name="_9C_14">[16]연돌일위집계!#REF!</definedName>
    <definedName name="_9C_15">[16]연돌일위집계!#REF!</definedName>
    <definedName name="_9C_16">[16]연돌일위집계!#REF!</definedName>
    <definedName name="_9C_17">[16]연돌일위집계!#REF!</definedName>
    <definedName name="_9C_18">[16]연돌일위집계!#REF!</definedName>
    <definedName name="_9C_19">[16]연돌일위집계!#REF!</definedName>
    <definedName name="_9C_2">[16]연돌일위집계!#REF!</definedName>
    <definedName name="_9C_20">[16]연돌일위집계!#REF!</definedName>
    <definedName name="_9C_21">[16]연돌일위집계!#REF!</definedName>
    <definedName name="_9C_22">[16]연돌일위집계!#REF!</definedName>
    <definedName name="_9C_23">[16]연돌일위집계!#REF!</definedName>
    <definedName name="_9C_24">[16]연돌일위집계!#REF!</definedName>
    <definedName name="_9C_25">[16]연돌일위집계!#REF!</definedName>
    <definedName name="_9C_26">[16]연돌일위집계!#REF!</definedName>
    <definedName name="_9C_27">[16]연돌일위집계!#REF!</definedName>
    <definedName name="_9C_28">[16]연돌일위집계!#REF!</definedName>
    <definedName name="_9C_29">[16]연돌일위집계!#REF!</definedName>
    <definedName name="_9C_3">[16]연돌일위집계!#REF!</definedName>
    <definedName name="_9C_30">[16]연돌일위집계!#REF!</definedName>
    <definedName name="_9C_4">[16]연돌일위집계!#REF!</definedName>
    <definedName name="_9C_5">[16]연돌일위집계!#REF!</definedName>
    <definedName name="_9C_6">[16]연돌일위집계!#REF!</definedName>
    <definedName name="_9C_7">[16]연돌일위집계!#REF!</definedName>
    <definedName name="_9C_8">[16]연돌일위집계!#REF!</definedName>
    <definedName name="_9C_9">[16]연돌일위집계!#REF!</definedName>
    <definedName name="_9P13_">#REF!</definedName>
    <definedName name="_A" localSheetId="3">#REF!</definedName>
    <definedName name="_A">#REF!</definedName>
    <definedName name="_A1" localSheetId="3">#REF!</definedName>
    <definedName name="_A1" hidden="1">{#N/A,#N/A,TRUE,"Basic";#N/A,#N/A,TRUE,"EXT-TABLE";#N/A,#N/A,TRUE,"STEEL";#N/A,#N/A,TRUE,"INT-Table";#N/A,#N/A,TRUE,"STEEL";#N/A,#N/A,TRUE,"Door"}</definedName>
    <definedName name="_a122" hidden="1">{#N/A,#N/A,FALSE,"속도"}</definedName>
    <definedName name="_AOC2" localSheetId="3">#REF!</definedName>
    <definedName name="_AOC2">#REF!</definedName>
    <definedName name="_arf1" localSheetId="3" hidden="1">{#N/A,#N/A,FALSE,"Çaykara ataköy (1)";#N/A,#N/A,FALSE,"Çaykara ataköy (2)";#N/A,#N/A,FALSE,"Rize Kalkandere ";#N/A,#N/A,FALSE,"meydancık";#N/A,#N/A,FALSE,"muratlı"}</definedName>
    <definedName name="_arf1" hidden="1">{#N/A,#N/A,FALSE,"Çaykara ataköy (1)";#N/A,#N/A,FALSE,"Çaykara ataköy (2)";#N/A,#N/A,FALSE,"Rize Kalkandere ";#N/A,#N/A,FALSE,"meydancık";#N/A,#N/A,FALSE,"muratlı"}</definedName>
    <definedName name="_AtRisk_SimSetting_AutomaticallyGenerateReports">FALSE</definedName>
    <definedName name="_AtRisk_SimSetting_AutomaticResultsDisplayMode">0</definedName>
    <definedName name="_AtRisk_SimSetting_ConvergenceConfidenceLevel">0.95</definedName>
    <definedName name="_AtRisk_SimSetting_ConvergencePercentileToTest">0.9</definedName>
    <definedName name="_AtRisk_SimSetting_ConvergencePerformMeanTest">TRUE</definedName>
    <definedName name="_AtRisk_SimSetting_ConvergencePerformPercentileTest">FALSE</definedName>
    <definedName name="_AtRisk_SimSetting_ConvergencePerformStdDeviationTest">FALSE</definedName>
    <definedName name="_AtRisk_SimSetting_ConvergenceTestAllOutputs">TRUE</definedName>
    <definedName name="_AtRisk_SimSetting_ConvergenceTestingPeriod">100</definedName>
    <definedName name="_AtRisk_SimSetting_ConvergenceTolerance">0.03</definedName>
    <definedName name="_AtRisk_SimSetting_LiveUpdate">TRUE</definedName>
    <definedName name="_AtRisk_SimSetting_LiveUpdatePeriod">-1</definedName>
    <definedName name="_AtRisk_SimSetting_RandomNumberGenerator" localSheetId="3" hidden="1">7</definedName>
    <definedName name="_AtRisk_SimSetting_RandomNumberGenerator">0</definedName>
    <definedName name="_AtRisk_SimSetting_ReportsList">0</definedName>
    <definedName name="_AtRisk_SimSetting_SimNameCount">0</definedName>
    <definedName name="_AtRisk_SimSetting_SmartSensitivityAnalysisEnabled">TRUE</definedName>
    <definedName name="_AtRisk_SimSetting_StatisticFunctionUpdating">1</definedName>
    <definedName name="_AtRisk_SimSetting_StdRecalcBehavior" localSheetId="3" hidden="1">1</definedName>
    <definedName name="_AtRisk_SimSetting_StdRecalcBehavior">0</definedName>
    <definedName name="_AtRisk_SimSetting_StdRecalcWithoutRiskStatic">0</definedName>
    <definedName name="_AtRisk_SimSetting_StdRecalcWithoutRiskStaticPercentile">0.5</definedName>
    <definedName name="_B1" localSheetId="3">#REF!</definedName>
    <definedName name="_B1">#REF!</definedName>
    <definedName name="_BBJ3" localSheetId="17">'[26]95삼성급(본사)'!#REF!</definedName>
    <definedName name="_BBJ3" localSheetId="15">'[26]95삼성급(본사)'!#REF!</definedName>
    <definedName name="_BBJ3">'[26]95삼성급(본사)'!#REF!</definedName>
    <definedName name="_BBQ1" localSheetId="3">'Overseas(新)'!_BBQ1</definedName>
    <definedName name="_BBQ1">[0]!_BBQ1</definedName>
    <definedName name="_BCJ3" localSheetId="17">'[26]95삼성급(본사)'!#REF!</definedName>
    <definedName name="_BCJ3" localSheetId="15">'[26]95삼성급(본사)'!#REF!</definedName>
    <definedName name="_BCJ3">'[26]95삼성급(본사)'!#REF!</definedName>
    <definedName name="_BDR3" localSheetId="17">'[26]95삼성급(본사)'!#REF!</definedName>
    <definedName name="_BDR3" localSheetId="15">'[26]95삼성급(본사)'!#REF!</definedName>
    <definedName name="_BDR3">'[26]95삼성급(본사)'!#REF!</definedName>
    <definedName name="_BGJ3" localSheetId="17">'[26]95삼성급(본사)'!#REF!</definedName>
    <definedName name="_BGJ3" localSheetId="15">'[26]95삼성급(본사)'!#REF!</definedName>
    <definedName name="_BGJ3">'[26]95삼성급(본사)'!#REF!</definedName>
    <definedName name="_BP01" hidden="1">{#N/A,#N/A,FALSE,"TABLE"}</definedName>
    <definedName name="_CDT2" localSheetId="3">#REF!</definedName>
    <definedName name="_CDT2">#REF!</definedName>
    <definedName name="_cey" localSheetId="3" hidden="1">#REF!</definedName>
    <definedName name="_cey" hidden="1">#REF!</definedName>
    <definedName name="_CIS1" localSheetId="3" hidden="1">{"'Grafik Kontrol'!$A$1:$J$8"}</definedName>
    <definedName name="_CIS1" hidden="1">{"'Grafik Kontrol'!$A$1:$J$8"}</definedName>
    <definedName name="_cort" localSheetId="3" hidden="1">#REF!</definedName>
    <definedName name="_cort" hidden="1">#REF!</definedName>
    <definedName name="_Dist_Bin" hidden="1">'[1]JIB CRANE,HOIST'!$F$58:$F$73</definedName>
    <definedName name="_Dist_Values" localSheetId="3" hidden="1">#REF!</definedName>
    <definedName name="_Dist_Values" hidden="1">#REF!</definedName>
    <definedName name="_ELL45" localSheetId="3">#REF!</definedName>
    <definedName name="_ELL45">#REF!</definedName>
    <definedName name="_ELL90" localSheetId="3">#REF!</definedName>
    <definedName name="_ELL90">#REF!</definedName>
    <definedName name="_END1">'[27]개시대사 (2)'!$G$49</definedName>
    <definedName name="_f2" localSheetId="3">#REF!</definedName>
    <definedName name="_f2">#REF!</definedName>
    <definedName name="_F3" localSheetId="3">#REF!</definedName>
    <definedName name="_F3">#REF!</definedName>
    <definedName name="_FF3" localSheetId="3">#REF!</definedName>
    <definedName name="_FF3">#REF!</definedName>
    <definedName name="_Fil" localSheetId="3" hidden="1">#REF!</definedName>
    <definedName name="_Fil" hidden="1">#REF!</definedName>
    <definedName name="_Fill" localSheetId="17" hidden="1">#REF!</definedName>
    <definedName name="_Fill" localSheetId="15" hidden="1">#REF!</definedName>
    <definedName name="_Fill" localSheetId="4" hidden="1">'[1]TOWER 10TON'!#REF!</definedName>
    <definedName name="_Fill" localSheetId="3" hidden="1">[28]외주현황.wq1!$A$403:$A$435</definedName>
    <definedName name="_Fill" hidden="1">#REF!</definedName>
    <definedName name="_Fill1" hidden="1">[29]S1BOQ!#REF!</definedName>
    <definedName name="_FILL2" hidden="1">#REF!</definedName>
    <definedName name="_xlnm._FilterDatabase" localSheetId="26" hidden="1">'11. 혼수비용 지출대장'!$A$2:$J$53</definedName>
    <definedName name="_xlnm._FilterDatabase" localSheetId="21" hidden="1">'2. 지출 내역 요약'!$A$3:$R$44</definedName>
    <definedName name="_xlnm._FilterDatabase" localSheetId="20" hidden="1">'2. 지출 내역 요약 (19-06-20)'!$A$3:$R$37</definedName>
    <definedName name="_xlnm._FilterDatabase" localSheetId="22" hidden="1">'3. 비용 지출 대장'!$A$2:$K$108</definedName>
    <definedName name="_xlnm._FilterDatabase" localSheetId="23" hidden="1">'4. 비용 수입 대장'!$A$2:$J$54</definedName>
    <definedName name="_xlnm._FilterDatabase" localSheetId="0" hidden="1">'Acro Riverheim'!$B$3:$G$35</definedName>
    <definedName name="_xlnm._FilterDatabase" localSheetId="12" hidden="1">APT!$A$2:$P$55</definedName>
    <definedName name="_xlnm._FilterDatabase" localSheetId="2" hidden="1">'Condolence Money'!$A$6:$L$111</definedName>
    <definedName name="_xlnm._FilterDatabase" localSheetId="1" hidden="1">'Congratulatory Money'!$A$2:$I$303</definedName>
    <definedName name="_xlnm._FilterDatabase" localSheetId="8" hidden="1">'Expenditure Details'!$A$1:$H$1</definedName>
    <definedName name="_xlnm._FilterDatabase" localSheetId="7" hidden="1">'Financial Statements'!$A$3:$DZ$3</definedName>
    <definedName name="_xlnm._FilterDatabase" localSheetId="17" hidden="1">'Golf Score'!$A$1:$AS$281</definedName>
    <definedName name="_xlnm._FilterDatabase" localSheetId="18" hidden="1">'Golf Score Summary'!$A$1:$O$89</definedName>
    <definedName name="_xlnm._FilterDatabase" localSheetId="16" hidden="1">'Golf WITB'!$A$2:$AC$104</definedName>
    <definedName name="_xlnm._FilterDatabase" localSheetId="15" hidden="1">Grandeur!$A$5:$G$75</definedName>
    <definedName name="_xlnm._FilterDatabase" localSheetId="3" hidden="1">#REF!</definedName>
    <definedName name="_xlnm._FilterDatabase" hidden="1">#REF!</definedName>
    <definedName name="_GO1" localSheetId="3">#REF!</definedName>
    <definedName name="_GO1">#REF!</definedName>
    <definedName name="_GO2" localSheetId="3">#REF!</definedName>
    <definedName name="_GO2">#REF!</definedName>
    <definedName name="_go3" localSheetId="3">#REF!</definedName>
    <definedName name="_go3">#REF!</definedName>
    <definedName name="_Goi8">{"'Sheet1'!$L$16"}</definedName>
    <definedName name="_hk4645" localSheetId="3" hidden="1">{#N/A,#N/A,FALSE,"ihz. icmal";#N/A,#N/A,FALSE,"avans";#N/A,#N/A,FALSE,"mal_FF_icm";#N/A,#N/A,FALSE,"fat_ihz";#N/A,#N/A,FALSE,"söz_fiy_fark";#N/A,#N/A,FALSE,"kap2"}</definedName>
    <definedName name="_hk4645" hidden="1">{#N/A,#N/A,FALSE,"ihz. icmal";#N/A,#N/A,FALSE,"avans";#N/A,#N/A,FALSE,"mal_FF_icm";#N/A,#N/A,FALSE,"fat_ihz";#N/A,#N/A,FALSE,"söz_fiy_fark";#N/A,#N/A,FALSE,"kap2"}</definedName>
    <definedName name="_Key1" localSheetId="17" hidden="1">#REF!</definedName>
    <definedName name="_Key1" localSheetId="15" hidden="1">#REF!</definedName>
    <definedName name="_Key1" localSheetId="4" hidden="1">#REF!</definedName>
    <definedName name="_Key1" localSheetId="3" hidden="1">[28]외주현황.wq1!$E$403:$E$455</definedName>
    <definedName name="_Key1" hidden="1">#REF!</definedName>
    <definedName name="_Key11" hidden="1">#REF!</definedName>
    <definedName name="_Key2" localSheetId="17" hidden="1">#REF!</definedName>
    <definedName name="_Key2" localSheetId="15" hidden="1">#REF!</definedName>
    <definedName name="_Key2" localSheetId="4" hidden="1">#REF!</definedName>
    <definedName name="_Key2" localSheetId="3" hidden="1">#REF!</definedName>
    <definedName name="_Key2" hidden="1">#REF!</definedName>
    <definedName name="_KEY3" hidden="1">#REF!</definedName>
    <definedName name="_key4" hidden="1">#REF!</definedName>
    <definedName name="_KWS1">#N/A</definedName>
    <definedName name="_KWS2">#N/A</definedName>
    <definedName name="_KWS3">#N/A</definedName>
    <definedName name="_MCC3" hidden="1">{#N/A,#N/A,FALSE,"CCTV"}</definedName>
    <definedName name="_MS275" localSheetId="3" hidden="1">{#N/A,#N/A,FALSE,"TABLE"}</definedName>
    <definedName name="_MS275" hidden="1">{#N/A,#N/A,FALSE,"TABLE"}</definedName>
    <definedName name="_num2" localSheetId="3">#REF!</definedName>
    <definedName name="_num2">#REF!</definedName>
    <definedName name="_Order1" localSheetId="4" hidden="1">0</definedName>
    <definedName name="_Order1" hidden="1">255</definedName>
    <definedName name="_Order2" localSheetId="3" hidden="1">0</definedName>
    <definedName name="_Order2" hidden="1">255</definedName>
    <definedName name="_ordr2">0</definedName>
    <definedName name="_ordwre2">0</definedName>
    <definedName name="_ou809" localSheetId="3">#REF!</definedName>
    <definedName name="_ou809">#REF!</definedName>
    <definedName name="_P1" localSheetId="3">#REF!</definedName>
    <definedName name="_P1">#REF!</definedName>
    <definedName name="_P10" localSheetId="3">#REF!</definedName>
    <definedName name="_P10">#REF!</definedName>
    <definedName name="_P11" localSheetId="3">#REF!</definedName>
    <definedName name="_P11">#REF!</definedName>
    <definedName name="_P12" localSheetId="3">#REF!</definedName>
    <definedName name="_P12">#REF!</definedName>
    <definedName name="_P13" localSheetId="3">#REF!</definedName>
    <definedName name="_P13">#REF!</definedName>
    <definedName name="_P14" localSheetId="3">#REF!</definedName>
    <definedName name="_P14">#REF!</definedName>
    <definedName name="_P15" localSheetId="3">#REF!</definedName>
    <definedName name="_P15">#REF!</definedName>
    <definedName name="_P16" localSheetId="3">#REF!</definedName>
    <definedName name="_P16">#REF!</definedName>
    <definedName name="_P17" localSheetId="3">#REF!</definedName>
    <definedName name="_P17">#REF!</definedName>
    <definedName name="_P2" localSheetId="3">#REF!</definedName>
    <definedName name="_P2">#REF!</definedName>
    <definedName name="_P3" localSheetId="3">#REF!</definedName>
    <definedName name="_P3">#REF!</definedName>
    <definedName name="_P4" localSheetId="3">#REF!</definedName>
    <definedName name="_P4">#REF!</definedName>
    <definedName name="_P5" localSheetId="3">#REF!</definedName>
    <definedName name="_P5">#REF!</definedName>
    <definedName name="_P6" localSheetId="3">#REF!</definedName>
    <definedName name="_P6">#REF!</definedName>
    <definedName name="_P7" localSheetId="3">#REF!</definedName>
    <definedName name="_P7">#REF!</definedName>
    <definedName name="_P8" localSheetId="3">#REF!</definedName>
    <definedName name="_P8">#REF!</definedName>
    <definedName name="_P9" localSheetId="3">#REF!</definedName>
    <definedName name="_P9">#REF!</definedName>
    <definedName name="_Parse_In" localSheetId="3" hidden="1">#REF!</definedName>
    <definedName name="_Parse_In" hidden="1">#REF!</definedName>
    <definedName name="_Parse_Out" localSheetId="3" hidden="1">#REF!</definedName>
    <definedName name="_Parse_Out" hidden="1">[30]갑지1!#REF!</definedName>
    <definedName name="_PC1" localSheetId="3">#REF!</definedName>
    <definedName name="_PC1">#REF!</definedName>
    <definedName name="_PC1079">'[9]General Data'!$B$8</definedName>
    <definedName name="_PH1" localSheetId="3">#REF!</definedName>
    <definedName name="_PH1">#REF!</definedName>
    <definedName name="_pill" localSheetId="3" hidden="1">#REF!</definedName>
    <definedName name="_pill" hidden="1">#REF!</definedName>
    <definedName name="_plc1">[31]INSTR!$A$5:$M$208</definedName>
    <definedName name="_PR1">#N/A</definedName>
    <definedName name="_PRO1" localSheetId="3">#REF!</definedName>
    <definedName name="_PRO1">#REF!</definedName>
    <definedName name="_PRO2" localSheetId="3">#REF!</definedName>
    <definedName name="_PRO2">#REF!</definedName>
    <definedName name="_PRO4" localSheetId="3">#REF!</definedName>
    <definedName name="_PRO4">#REF!</definedName>
    <definedName name="_PRO5" localSheetId="3">#REF!</definedName>
    <definedName name="_PRO5">#REF!</definedName>
    <definedName name="_PRO6" localSheetId="3">#REF!</definedName>
    <definedName name="_PRO6">#REF!</definedName>
    <definedName name="_PRO7" localSheetId="3">#REF!</definedName>
    <definedName name="_PRO7">#REF!</definedName>
    <definedName name="_PRO8" localSheetId="3">#REF!</definedName>
    <definedName name="_PRO8">#REF!</definedName>
    <definedName name="_PRO9" localSheetId="3">#REF!</definedName>
    <definedName name="_PRO9">#REF!</definedName>
    <definedName name="_RAD14" localSheetId="3" hidden="1">{#VALUE!,#N/A,FALSE,0;#N/A,#N/A,FALSE,0;#N/A,#N/A,FALSE,0;#N/A,#N/A,FALSE,0;#N/A,#N/A,FALSE,0;#N/A,#N/A,FALSE,0;#N/A,#N/A,FALSE,0;#N/A,#N/A,FALSE,0;#N/A,#N/A,FALSE,0;#N/A,#N/A,FALSE,0;#N/A,#N/A,FALSE,0;#N/A,#N/A,FALSE,0;#N/A,#N/A,FALSE,0;#N/A,#N/A,FALSE,0;#N/A,#N/A,FALSE,0;#N/A,#N/A,FALSE,0;#N/A,#N/A,FALSE,0;#N/A,#N/A,FALSE,0;#N/A,#N/A,FALSE,0;#N/A,#N/A,FALSE,0}</definedName>
    <definedName name="_RAD14" hidden="1">{#VALUE!,#N/A,FALSE,0;#N/A,#N/A,FALSE,0;#N/A,#N/A,FALSE,0;#N/A,#N/A,FALSE,0;#N/A,#N/A,FALSE,0;#N/A,#N/A,FALSE,0;#N/A,#N/A,FALSE,0;#N/A,#N/A,FALSE,0;#N/A,#N/A,FALSE,0;#N/A,#N/A,FALSE,0;#N/A,#N/A,FALSE,0;#N/A,#N/A,FALSE,0;#N/A,#N/A,FALSE,0;#N/A,#N/A,FALSE,0;#N/A,#N/A,FALSE,0;#N/A,#N/A,FALSE,0;#N/A,#N/A,FALSE,0;#N/A,#N/A,FALSE,0;#N/A,#N/A,FALSE,0;#N/A,#N/A,FALSE,0}</definedName>
    <definedName name="_RAD15" localSheetId="3" hidden="1">{#VALUE!,#N/A,FALSE,0;#N/A,#N/A,FALSE,0;#N/A,#N/A,FALSE,0;#N/A,#N/A,FALSE,0;#N/A,#N/A,FALSE,0}</definedName>
    <definedName name="_RAD15" hidden="1">{#VALUE!,#N/A,FALSE,0;#N/A,#N/A,FALSE,0;#N/A,#N/A,FALSE,0;#N/A,#N/A,FALSE,0;#N/A,#N/A,FALSE,0}</definedName>
    <definedName name="_RAD16" localSheetId="3" hidden="1">{#VALUE!,#N/A,FALSE,0;#N/A,#N/A,FALSE,0;#N/A,#N/A,FALSE,0;#N/A,#N/A,FALSE,0}</definedName>
    <definedName name="_RAD16" hidden="1">{#VALUE!,#N/A,FALSE,0;#N/A,#N/A,FALSE,0;#N/A,#N/A,FALSE,0;#N/A,#N/A,FALSE,0}</definedName>
    <definedName name="_RAD17" localSheetId="3" hidden="1">{#VALUE!,#N/A,TRUE,0;#N/A,#N/A,TRUE,0;#N/A,#N/A,TRUE,0;#N/A,#N/A,TRUE,0;#N/A,#N/A,TRUE,0;#N/A,#N/A,TRUE,0;#N/A,#N/A,TRUE,0;#N/A,#N/A,TRUE,0}</definedName>
    <definedName name="_RAD17" hidden="1">{#VALUE!,#N/A,TRUE,0;#N/A,#N/A,TRUE,0;#N/A,#N/A,TRUE,0;#N/A,#N/A,TRUE,0;#N/A,#N/A,TRUE,0;#N/A,#N/A,TRUE,0;#N/A,#N/A,TRUE,0;#N/A,#N/A,TRUE,0}</definedName>
    <definedName name="_RAD18" localSheetId="3" hidden="1">{#VALUE!,#N/A,FALSE,0;#N/A,#N/A,FALSE,0;#N/A,#N/A,FALSE,0;#N/A,#N/A,FALSE,0;#N/A,#N/A,FALSE,0;#N/A,#N/A,FALSE,0;#N/A,#N/A,FALSE,0;#N/A,#N/A,FALSE,0;#N/A,#N/A,FALSE,0;#N/A,#N/A,FALSE,0;#N/A,#N/A,FALSE,0}</definedName>
    <definedName name="_RAD18" hidden="1">{#VALUE!,#N/A,FALSE,0;#N/A,#N/A,FALSE,0;#N/A,#N/A,FALSE,0;#N/A,#N/A,FALSE,0;#N/A,#N/A,FALSE,0;#N/A,#N/A,FALSE,0;#N/A,#N/A,FALSE,0;#N/A,#N/A,FALSE,0;#N/A,#N/A,FALSE,0;#N/A,#N/A,FALSE,0;#N/A,#N/A,FALSE,0}</definedName>
    <definedName name="_RAD19" localSheetId="3" hidden="1">{#VALUE!,#N/A,FALSE,0;#N/A,#N/A,FALSE,0;#N/A,#N/A,FALSE,0;#N/A,#N/A,FALSE,0;#N/A,#N/A,FALSE,0;#N/A,#N/A,FALSE,0}</definedName>
    <definedName name="_RAD19" hidden="1">{#VALUE!,#N/A,FALSE,0;#N/A,#N/A,FALSE,0;#N/A,#N/A,FALSE,0;#N/A,#N/A,FALSE,0;#N/A,#N/A,FALSE,0;#N/A,#N/A,FALSE,0}</definedName>
    <definedName name="_RAD20" localSheetId="3" hidden="1">{#VALUE!,#N/A,FALSE,0;#N/A,#N/A,FALSE,0;#N/A,#N/A,FALSE,0;#N/A,#N/A,FALSE,0;#N/A,#N/A,FALSE,0;#N/A,#N/A,FALSE,0;#N/A,#N/A,FALSE,0;#N/A,#N/A,FALSE,0;#N/A,#N/A,FALSE,0;#N/A,#N/A,FALSE,0;#N/A,#N/A,FALSE,0;#N/A,#N/A,FALSE,0}</definedName>
    <definedName name="_RAD20" hidden="1">{#VALUE!,#N/A,FALSE,0;#N/A,#N/A,FALSE,0;#N/A,#N/A,FALSE,0;#N/A,#N/A,FALSE,0;#N/A,#N/A,FALSE,0;#N/A,#N/A,FALSE,0;#N/A,#N/A,FALSE,0;#N/A,#N/A,FALSE,0;#N/A,#N/A,FALSE,0;#N/A,#N/A,FALSE,0;#N/A,#N/A,FALSE,0;#N/A,#N/A,FALSE,0}</definedName>
    <definedName name="_RAD21" localSheetId="3" hidden="1">{#VALUE!,#N/A,TRUE,0;#N/A,#N/A,TRUE,0;#N/A,#N/A,TRUE,0;#N/A,#N/A,TRUE,0;#N/A,#N/A,TRUE,0;#N/A,#N/A,TRUE,0;#N/A,#N/A,TRUE,0}</definedName>
    <definedName name="_RAD21" hidden="1">{#VALUE!,#N/A,TRUE,0;#N/A,#N/A,TRUE,0;#N/A,#N/A,TRUE,0;#N/A,#N/A,TRUE,0;#N/A,#N/A,TRUE,0;#N/A,#N/A,TRUE,0;#N/A,#N/A,TRUE,0}</definedName>
    <definedName name="_RAD22" localSheetId="3" hidden="1">{#VALUE!,#N/A,FALSE,0;#N/A,#N/A,FALSE,0;#N/A,#N/A,FALSE,0;#N/A,#N/A,FALSE,0;#N/A,#N/A,FALSE,0;#N/A,#N/A,FALSE,0;#N/A,#N/A,FALSE,0;#N/A,#N/A,FALSE,0;#N/A,#N/A,FALSE,0;#N/A,#N/A,FALSE,0;#N/A,#N/A,FALSE,0;#N/A,#N/A,FALSE,0;#N/A,#N/A,FALSE,0;#N/A,#N/A,FALSE,0;#N/A,#N/A,FALSE,0;#N/A,#N/A,FALSE,0}</definedName>
    <definedName name="_RAD22" hidden="1">{#VALUE!,#N/A,FALSE,0;#N/A,#N/A,FALSE,0;#N/A,#N/A,FALSE,0;#N/A,#N/A,FALSE,0;#N/A,#N/A,FALSE,0;#N/A,#N/A,FALSE,0;#N/A,#N/A,FALSE,0;#N/A,#N/A,FALSE,0;#N/A,#N/A,FALSE,0;#N/A,#N/A,FALSE,0;#N/A,#N/A,FALSE,0;#N/A,#N/A,FALSE,0;#N/A,#N/A,FALSE,0;#N/A,#N/A,FALSE,0;#N/A,#N/A,FALSE,0;#N/A,#N/A,FALSE,0}</definedName>
    <definedName name="_RAD23" localSheetId="3" hidden="1">{#VALUE!,#N/A,FALSE,0;#N/A,#N/A,FALSE,0;#N/A,#N/A,FALSE,0;#N/A,#N/A,FALSE,0;#N/A,#N/A,FALSE,0;#N/A,#N/A,FALSE,0;#N/A,#N/A,FALSE,0;#N/A,#N/A,FALSE,0;#N/A,#N/A,FALSE,0;#N/A,#N/A,FALSE,0;#N/A,#N/A,FALSE,0;#N/A,#N/A,FALSE,0;#N/A,#N/A,FALSE,0;#N/A,#N/A,FALSE,0;#N/A,#N/A,FALSE,0;#N/A,#N/A,FALSE,0;#N/A,#N/A,FALSE,0}</definedName>
    <definedName name="_RAD23" hidden="1">{#VALUE!,#N/A,FALSE,0;#N/A,#N/A,FALSE,0;#N/A,#N/A,FALSE,0;#N/A,#N/A,FALSE,0;#N/A,#N/A,FALSE,0;#N/A,#N/A,FALSE,0;#N/A,#N/A,FALSE,0;#N/A,#N/A,FALSE,0;#N/A,#N/A,FALSE,0;#N/A,#N/A,FALSE,0;#N/A,#N/A,FALSE,0;#N/A,#N/A,FALSE,0;#N/A,#N/A,FALSE,0;#N/A,#N/A,FALSE,0;#N/A,#N/A,FALSE,0;#N/A,#N/A,FALSE,0;#N/A,#N/A,FALSE,0}</definedName>
    <definedName name="_RAD24" localSheetId="3" hidden="1">{#VALUE!,#N/A,FALSE,0;#N/A,#N/A,FALSE,0;#N/A,#N/A,FALSE,0;#N/A,#N/A,FALSE,0;#N/A,#N/A,FALSE,0;#N/A,#N/A,FALSE,0;#N/A,#N/A,FALSE,0;#N/A,#N/A,FALSE,0}</definedName>
    <definedName name="_RAD24" hidden="1">{#VALUE!,#N/A,FALSE,0;#N/A,#N/A,FALSE,0;#N/A,#N/A,FALSE,0;#N/A,#N/A,FALSE,0;#N/A,#N/A,FALSE,0;#N/A,#N/A,FALSE,0;#N/A,#N/A,FALSE,0;#N/A,#N/A,FALSE,0}</definedName>
    <definedName name="_RAD25" localSheetId="3" hidden="1">{#VALUE!,#N/A,FALSE,0;#N/A,#N/A,FALSE,0;#N/A,#N/A,FALSE,0;#N/A,#N/A,FALSE,0;#N/A,#N/A,FALSE,0;#N/A,#N/A,FALSE,0;#N/A,#N/A,FALSE,0;#N/A,#N/A,FALSE,0}</definedName>
    <definedName name="_RAD25" hidden="1">{#VALUE!,#N/A,FALSE,0;#N/A,#N/A,FALSE,0;#N/A,#N/A,FALSE,0;#N/A,#N/A,FALSE,0;#N/A,#N/A,FALSE,0;#N/A,#N/A,FALSE,0;#N/A,#N/A,FALSE,0;#N/A,#N/A,FALSE,0}</definedName>
    <definedName name="_RAD26" localSheetId="3" hidden="1">{#VALUE!,#N/A,FALSE,0;#N/A,#N/A,FALSE,0;#N/A,#N/A,FALSE,0;#N/A,#N/A,FALSE,0;#N/A,#N/A,FALSE,0;#N/A,#N/A,FALSE,0;#N/A,#N/A,FALSE,0;#N/A,#N/A,FALSE,0;#N/A,#N/A,FALSE,0;#N/A,#N/A,FALSE,0;#N/A,#N/A,FALSE,0;#N/A,#N/A,FALSE,0;#N/A,#N/A,FALSE,0;#N/A,#N/A,FALSE,0;#N/A,#N/A,FALSE,0;#N/A,#N/A,FALSE,0;#N/A,#N/A,FALSE,0;#N/A,#N/A,FALSE,0;#N/A,#N/A,FALSE,0;#N/A,#N/A,FALSE,0;#N/A,#N/A,FALSE,0}</definedName>
    <definedName name="_RAD26" hidden="1">{#VALUE!,#N/A,FALSE,0;#N/A,#N/A,FALSE,0;#N/A,#N/A,FALSE,0;#N/A,#N/A,FALSE,0;#N/A,#N/A,FALSE,0;#N/A,#N/A,FALSE,0;#N/A,#N/A,FALSE,0;#N/A,#N/A,FALSE,0;#N/A,#N/A,FALSE,0;#N/A,#N/A,FALSE,0;#N/A,#N/A,FALSE,0;#N/A,#N/A,FALSE,0;#N/A,#N/A,FALSE,0;#N/A,#N/A,FALSE,0;#N/A,#N/A,FALSE,0;#N/A,#N/A,FALSE,0;#N/A,#N/A,FALSE,0;#N/A,#N/A,FALSE,0;#N/A,#N/A,FALSE,0;#N/A,#N/A,FALSE,0;#N/A,#N/A,FALSE,0}</definedName>
    <definedName name="_RAD27" localSheetId="3" hidden="1">{#VALUE!,#N/A,FALSE,0;#N/A,#N/A,FALSE,0;#N/A,#N/A,FALSE,0;#N/A,#N/A,FALSE,0;#N/A,#N/A,FALSE,0;#N/A,#N/A,FALSE,0;#N/A,#N/A,FALSE,0}</definedName>
    <definedName name="_RAD27" hidden="1">{#VALUE!,#N/A,FALSE,0;#N/A,#N/A,FALSE,0;#N/A,#N/A,FALSE,0;#N/A,#N/A,FALSE,0;#N/A,#N/A,FALSE,0;#N/A,#N/A,FALSE,0;#N/A,#N/A,FALSE,0}</definedName>
    <definedName name="_RAD28" localSheetId="3" hidden="1">{#VALUE!,#N/A,FALSE,0;#N/A,#N/A,FALSE,0;#N/A,#N/A,FALSE,0;#N/A,#N/A,FALSE,0;#N/A,#N/A,FALSE,0;#N/A,#N/A,FALSE,0;#N/A,#N/A,FALSE,0;#N/A,#N/A,FALSE,0;#N/A,#N/A,FALSE,0;#N/A,#N/A,FALSE,0;#N/A,#N/A,FALSE,0;#N/A,#N/A,FALSE,0;#N/A,#N/A,FALSE,0;#N/A,#N/A,FALSE,0;#N/A,#N/A,FALSE,0;#N/A,#N/A,FALSE,0;#N/A,#N/A,FALSE,0;#N/A,#N/A,FALSE,0;#N/A,#N/A,FALSE,0;#N/A,#N/A,FALSE,0;#N/A,#N/A,FALSE,0;#N/A,#N/A,FALSE,0;#N/A,#N/A,FALSE,0;#N/A,#N/A,FALSE,0;#N/A,#N/A,FALSE,0;#N/A,#N/A,FALSE,0;#N/A,#N/A,FALSE,0;#N/A,#N/A,FALSE,0;#N/A,#N/A,FALSE,0;#N/A,#N/A,FALSE,0;#N/A,#N/A,FALSE,0;#N/A,#N/A,FALSE,0;#N/A,#N/A,FALSE,0;#N/A,#N/A,FALSE,0;#N/A,#N/A,FALSE,0;#N/A,#N/A,FALSE,0;#N/A,#N/A,FALSE,0;#N/A,#N/A,FALSE,0;#N/A,#N/A,FALSE,0;#N/A,#N/A,FALSE,0}</definedName>
    <definedName name="_RAD28" hidden="1">{#VALUE!,#N/A,FALSE,0;#N/A,#N/A,FALSE,0;#N/A,#N/A,FALSE,0;#N/A,#N/A,FALSE,0;#N/A,#N/A,FALSE,0;#N/A,#N/A,FALSE,0;#N/A,#N/A,FALSE,0;#N/A,#N/A,FALSE,0;#N/A,#N/A,FALSE,0;#N/A,#N/A,FALSE,0;#N/A,#N/A,FALSE,0;#N/A,#N/A,FALSE,0;#N/A,#N/A,FALSE,0;#N/A,#N/A,FALSE,0;#N/A,#N/A,FALSE,0;#N/A,#N/A,FALSE,0;#N/A,#N/A,FALSE,0;#N/A,#N/A,FALSE,0;#N/A,#N/A,FALSE,0;#N/A,#N/A,FALSE,0;#N/A,#N/A,FALSE,0;#N/A,#N/A,FALSE,0;#N/A,#N/A,FALSE,0;#N/A,#N/A,FALSE,0;#N/A,#N/A,FALSE,0;#N/A,#N/A,FALSE,0;#N/A,#N/A,FALSE,0;#N/A,#N/A,FALSE,0;#N/A,#N/A,FALSE,0;#N/A,#N/A,FALSE,0;#N/A,#N/A,FALSE,0;#N/A,#N/A,FALSE,0;#N/A,#N/A,FALSE,0;#N/A,#N/A,FALSE,0;#N/A,#N/A,FALSE,0;#N/A,#N/A,FALSE,0;#N/A,#N/A,FALSE,0;#N/A,#N/A,FALSE,0;#N/A,#N/A,FALSE,0;#N/A,#N/A,FALSE,0}</definedName>
    <definedName name="_RAD29" localSheetId="3" hidden="1">{#VALUE!,#N/A,FALSE,0;#N/A,#N/A,FALSE,0;#N/A,#N/A,FALSE,0;#N/A,#N/A,FALSE,0;#N/A,#N/A,FALSE,0;#N/A,#N/A,FALSE,0;#N/A,#N/A,FALSE,0;#N/A,#N/A,FALSE,0;#N/A,#N/A,FALSE,0;#N/A,#N/A,FALSE,0}</definedName>
    <definedName name="_RAD29" hidden="1">{#VALUE!,#N/A,FALSE,0;#N/A,#N/A,FALSE,0;#N/A,#N/A,FALSE,0;#N/A,#N/A,FALSE,0;#N/A,#N/A,FALSE,0;#N/A,#N/A,FALSE,0;#N/A,#N/A,FALSE,0;#N/A,#N/A,FALSE,0;#N/A,#N/A,FALSE,0;#N/A,#N/A,FALSE,0}</definedName>
    <definedName name="_RAD3" localSheetId="3" hidden="1">{#VALUE!,#N/A,FALSE,0;#N/A,#N/A,FALSE,0;#N/A,#N/A,FALSE,0;#N/A,#N/A,FALSE,0;#N/A,#N/A,FALSE,0}</definedName>
    <definedName name="_RAD3" hidden="1">{#VALUE!,#N/A,FALSE,0;#N/A,#N/A,FALSE,0;#N/A,#N/A,FALSE,0;#N/A,#N/A,FALSE,0;#N/A,#N/A,FALSE,0}</definedName>
    <definedName name="_RAD30" localSheetId="3" hidden="1">{#VALUE!,#N/A,FALSE,0;#N/A,#N/A,FALSE,0;#N/A,#N/A,FALSE,0;#N/A,#N/A,FALSE,0;#N/A,#N/A,FALSE,0;#N/A,#N/A,FALSE,0;#N/A,#N/A,FALSE,0;#N/A,#N/A,FALSE,0;#N/A,#N/A,FALSE,0;#N/A,#N/A,FALSE,0;#N/A,#N/A,FALSE,0;#N/A,#N/A,FALSE,0;#N/A,#N/A,FALSE,0;#N/A,#N/A,FALSE,0;#N/A,#N/A,FALSE,0;#N/A,#N/A,FALSE,0;#N/A,#N/A,FALSE,0;#N/A,#N/A,FALSE,0;#N/A,#N/A,FALSE,0;#N/A,#N/A,FALSE,0;#N/A,#N/A,FALSE,0}</definedName>
    <definedName name="_RAD30" hidden="1">{#VALUE!,#N/A,FALSE,0;#N/A,#N/A,FALSE,0;#N/A,#N/A,FALSE,0;#N/A,#N/A,FALSE,0;#N/A,#N/A,FALSE,0;#N/A,#N/A,FALSE,0;#N/A,#N/A,FALSE,0;#N/A,#N/A,FALSE,0;#N/A,#N/A,FALSE,0;#N/A,#N/A,FALSE,0;#N/A,#N/A,FALSE,0;#N/A,#N/A,FALSE,0;#N/A,#N/A,FALSE,0;#N/A,#N/A,FALSE,0;#N/A,#N/A,FALSE,0;#N/A,#N/A,FALSE,0;#N/A,#N/A,FALSE,0;#N/A,#N/A,FALSE,0;#N/A,#N/A,FALSE,0;#N/A,#N/A,FALSE,0;#N/A,#N/A,FALSE,0}</definedName>
    <definedName name="_RAD31" localSheetId="3" hidden="1">{#VALUE!,#N/A,FALSE,0;#N/A,#N/A,FALSE,0;#N/A,#N/A,FALSE,0;#N/A,#N/A,FALSE,0;#N/A,#N/A,FALSE,0;#N/A,#N/A,FALSE,0;#N/A,#N/A,FALSE,0;#N/A,#N/A,FALSE,0;#N/A,#N/A,FALSE,0;#N/A,#N/A,FALSE,0;#N/A,#N/A,FALSE,0;#N/A,#N/A,FALSE,0;#N/A,#N/A,FALSE,0;#N/A,#N/A,FALSE,0;#N/A,#N/A,FALSE,0;#N/A,#N/A,FALSE,0;#N/A,#N/A,FALSE,0;#N/A,#N/A,FALSE,0;#N/A,#N/A,FALSE,0;#N/A,#N/A,FALSE,0;#N/A,#N/A,FALSE,0;#N/A,#N/A,FALSE,0;#N/A,#N/A,FALSE,0;#N/A,#N/A,FALSE,0;#N/A,#N/A,FALSE,0;#N/A,#N/A,FALSE,0}</definedName>
    <definedName name="_RAD31" hidden="1">{#VALUE!,#N/A,FALSE,0;#N/A,#N/A,FALSE,0;#N/A,#N/A,FALSE,0;#N/A,#N/A,FALSE,0;#N/A,#N/A,FALSE,0;#N/A,#N/A,FALSE,0;#N/A,#N/A,FALSE,0;#N/A,#N/A,FALSE,0;#N/A,#N/A,FALSE,0;#N/A,#N/A,FALSE,0;#N/A,#N/A,FALSE,0;#N/A,#N/A,FALSE,0;#N/A,#N/A,FALSE,0;#N/A,#N/A,FALSE,0;#N/A,#N/A,FALSE,0;#N/A,#N/A,FALSE,0;#N/A,#N/A,FALSE,0;#N/A,#N/A,FALSE,0;#N/A,#N/A,FALSE,0;#N/A,#N/A,FALSE,0;#N/A,#N/A,FALSE,0;#N/A,#N/A,FALSE,0;#N/A,#N/A,FALSE,0;#N/A,#N/A,FALSE,0;#N/A,#N/A,FALSE,0;#N/A,#N/A,FALSE,0}</definedName>
    <definedName name="_RAD32" localSheetId="3" hidden="1">{#VALUE!,#N/A,FALSE,0;#N/A,#N/A,FALSE,0;#N/A,#N/A,FALSE,0;#N/A,#N/A,FALSE,0;#N/A,#N/A,FALSE,0;#N/A,#N/A,FALSE,0;#N/A,#N/A,FALSE,0;#N/A,#N/A,FALSE,0;#N/A,#N/A,FALSE,0;#N/A,#N/A,FALSE,0;#N/A,#N/A,FALSE,0;#N/A,#N/A,FALSE,0;#N/A,#N/A,FALSE,0;#N/A,#N/A,FALSE,0;#N/A,#N/A,FALSE,0;#N/A,#N/A,FALSE,0;#N/A,#N/A,FALSE,0;#N/A,#N/A,FALSE,0;#N/A,#N/A,FALSE,0;#N/A,#N/A,FALSE,0;#N/A,#N/A,FALSE,0;#N/A,#N/A,FALSE,0;#N/A,#N/A,FALSE,0;#N/A,#N/A,FALSE,0;#N/A,#N/A,FALSE,0;#N/A,#N/A,FALSE,0;#N/A,#N/A,FALSE,0;#N/A,#N/A,FALSE,0;#N/A,#N/A,FALSE,0;#N/A,#N/A,FALSE,0;#N/A,#N/A,FALSE,0;#N/A,#N/A,FALSE,0;#N/A,#N/A,FALSE,0;#N/A,#N/A,FALSE,0;#N/A,#N/A,FALSE,0;#N/A,#N/A,FALSE,0;#N/A,#N/A,FALSE,0;#N/A,#N/A,FALSE,0;#N/A,#N/A,FALSE,0}</definedName>
    <definedName name="_RAD32" hidden="1">{#VALUE!,#N/A,FALSE,0;#N/A,#N/A,FALSE,0;#N/A,#N/A,FALSE,0;#N/A,#N/A,FALSE,0;#N/A,#N/A,FALSE,0;#N/A,#N/A,FALSE,0;#N/A,#N/A,FALSE,0;#N/A,#N/A,FALSE,0;#N/A,#N/A,FALSE,0;#N/A,#N/A,FALSE,0;#N/A,#N/A,FALSE,0;#N/A,#N/A,FALSE,0;#N/A,#N/A,FALSE,0;#N/A,#N/A,FALSE,0;#N/A,#N/A,FALSE,0;#N/A,#N/A,FALSE,0;#N/A,#N/A,FALSE,0;#N/A,#N/A,FALSE,0;#N/A,#N/A,FALSE,0;#N/A,#N/A,FALSE,0;#N/A,#N/A,FALSE,0;#N/A,#N/A,FALSE,0;#N/A,#N/A,FALSE,0;#N/A,#N/A,FALSE,0;#N/A,#N/A,FALSE,0;#N/A,#N/A,FALSE,0;#N/A,#N/A,FALSE,0;#N/A,#N/A,FALSE,0;#N/A,#N/A,FALSE,0;#N/A,#N/A,FALSE,0;#N/A,#N/A,FALSE,0;#N/A,#N/A,FALSE,0;#N/A,#N/A,FALSE,0;#N/A,#N/A,FALSE,0;#N/A,#N/A,FALSE,0;#N/A,#N/A,FALSE,0;#N/A,#N/A,FALSE,0;#N/A,#N/A,FALSE,0;#N/A,#N/A,FALSE,0}</definedName>
    <definedName name="_RAD33" localSheetId="3" hidden="1">{#VALUE!,#N/A,FALSE,0;#N/A,#N/A,FALSE,0;#N/A,#N/A,FALSE,0;#N/A,#N/A,FALSE,0;#N/A,#N/A,FALSE,0;#N/A,#N/A,FALSE,0;#N/A,#N/A,FALSE,0;#N/A,#N/A,FALSE,0;#N/A,#N/A,FALSE,0;#N/A,#N/A,FALSE,0;#N/A,#N/A,FALSE,0;#N/A,#N/A,FALSE,0;#N/A,#N/A,FALSE,0;#N/A,#N/A,FALSE,0;#N/A,#N/A,FALSE,0;#N/A,#N/A,FALSE,0;#N/A,#N/A,FALSE,0;#N/A,#N/A,FALSE,0;#N/A,#N/A,FALSE,0;#N/A,#N/A,FALSE,0;#N/A,#N/A,FALSE,0;#N/A,#N/A,FALSE,0}</definedName>
    <definedName name="_RAD33" hidden="1">{#VALUE!,#N/A,FALSE,0;#N/A,#N/A,FALSE,0;#N/A,#N/A,FALSE,0;#N/A,#N/A,FALSE,0;#N/A,#N/A,FALSE,0;#N/A,#N/A,FALSE,0;#N/A,#N/A,FALSE,0;#N/A,#N/A,FALSE,0;#N/A,#N/A,FALSE,0;#N/A,#N/A,FALSE,0;#N/A,#N/A,FALSE,0;#N/A,#N/A,FALSE,0;#N/A,#N/A,FALSE,0;#N/A,#N/A,FALSE,0;#N/A,#N/A,FALSE,0;#N/A,#N/A,FALSE,0;#N/A,#N/A,FALSE,0;#N/A,#N/A,FALSE,0;#N/A,#N/A,FALSE,0;#N/A,#N/A,FALSE,0;#N/A,#N/A,FALSE,0;#N/A,#N/A,FALSE,0}</definedName>
    <definedName name="_RAD34" localSheetId="3" hidden="1">{#VALUE!,#N/A,TRUE,0;#N/A,#N/A,TRUE,0;#N/A,#N/A,TRUE,0}</definedName>
    <definedName name="_RAD34" hidden="1">{#VALUE!,#N/A,TRUE,0;#N/A,#N/A,TRUE,0;#N/A,#N/A,TRUE,0}</definedName>
    <definedName name="_RAD35" localSheetId="3" hidden="1">{#VALUE!,#N/A,FALSE,0;#N/A,#N/A,FALSE,0;#N/A,#N/A,FALSE,0;#N/A,#N/A,FALSE,0;#N/A,#N/A,FALSE,0;#N/A,#N/A,FALSE,0;#N/A,#N/A,FALSE,0;#N/A,#N/A,FALSE,0;#N/A,#N/A,FALSE,0;#N/A,#N/A,FALSE,0;#N/A,#N/A,FALSE,0;#N/A,#N/A,FALSE,0;#N/A,#N/A,FALSE,0;#N/A,#N/A,FALSE,0;#N/A,#N/A,FALSE,0;#N/A,#N/A,FALSE,0;#N/A,#N/A,FALSE,0;#N/A,#N/A,FALSE,0}</definedName>
    <definedName name="_RAD35" hidden="1">{#VALUE!,#N/A,FALSE,0;#N/A,#N/A,FALSE,0;#N/A,#N/A,FALSE,0;#N/A,#N/A,FALSE,0;#N/A,#N/A,FALSE,0;#N/A,#N/A,FALSE,0;#N/A,#N/A,FALSE,0;#N/A,#N/A,FALSE,0;#N/A,#N/A,FALSE,0;#N/A,#N/A,FALSE,0;#N/A,#N/A,FALSE,0;#N/A,#N/A,FALSE,0;#N/A,#N/A,FALSE,0;#N/A,#N/A,FALSE,0;#N/A,#N/A,FALSE,0;#N/A,#N/A,FALSE,0;#N/A,#N/A,FALSE,0;#N/A,#N/A,FALSE,0}</definedName>
    <definedName name="_RAD36" localSheetId="3" hidden="1">{#VALUE!,#N/A,FALSE,0;#N/A,#N/A,FALSE,0;#N/A,#N/A,FALSE,0;#N/A,#N/A,FALSE,0;#N/A,#N/A,FALSE,0;#N/A,#N/A,FALSE,0;#N/A,#N/A,FALSE,0;#N/A,#N/A,FALSE,0;#N/A,#N/A,FALSE,0;#N/A,#N/A,FALSE,0;#N/A,#N/A,FALSE,0;#N/A,#N/A,FALSE,0;#N/A,#N/A,FALSE,0;#N/A,#N/A,FALSE,0;#N/A,#N/A,FALSE,0;#N/A,#N/A,FALSE,0;#N/A,#N/A,FALSE,0;#N/A,#N/A,FALSE,0;#N/A,#N/A,FALSE,0;#N/A,#N/A,FALSE,0}</definedName>
    <definedName name="_RAD36" hidden="1">{#VALUE!,#N/A,FALSE,0;#N/A,#N/A,FALSE,0;#N/A,#N/A,FALSE,0;#N/A,#N/A,FALSE,0;#N/A,#N/A,FALSE,0;#N/A,#N/A,FALSE,0;#N/A,#N/A,FALSE,0;#N/A,#N/A,FALSE,0;#N/A,#N/A,FALSE,0;#N/A,#N/A,FALSE,0;#N/A,#N/A,FALSE,0;#N/A,#N/A,FALSE,0;#N/A,#N/A,FALSE,0;#N/A,#N/A,FALSE,0;#N/A,#N/A,FALSE,0;#N/A,#N/A,FALSE,0;#N/A,#N/A,FALSE,0;#N/A,#N/A,FALSE,0;#N/A,#N/A,FALSE,0;#N/A,#N/A,FALSE,0}</definedName>
    <definedName name="_RAD4" localSheetId="3" hidden="1">{#VALUE!,#N/A,FALSE,0;#N/A,#N/A,FALSE,0;#N/A,#N/A,FALSE,0;#N/A,#N/A,FALSE,0;#N/A,#N/A,FALSE,0}</definedName>
    <definedName name="_RAD4" hidden="1">{#VALUE!,#N/A,FALSE,0;#N/A,#N/A,FALSE,0;#N/A,#N/A,FALSE,0;#N/A,#N/A,FALSE,0;#N/A,#N/A,FALSE,0}</definedName>
    <definedName name="_RAD7" localSheetId="3" hidden="1">{#VALUE!,#N/A,TRUE,0;#N/A,#N/A,TRUE,0;#N/A,#N/A,TRUE,0;#N/A,#N/A,TRUE,0;#N/A,#N/A,TRUE,0;#N/A,#N/A,TRUE,0;#N/A,#N/A,TRUE,0;#N/A,#N/A,TRUE,0}</definedName>
    <definedName name="_RAD7" hidden="1">{#VALUE!,#N/A,TRUE,0;#N/A,#N/A,TRUE,0;#N/A,#N/A,TRUE,0;#N/A,#N/A,TRUE,0;#N/A,#N/A,TRUE,0;#N/A,#N/A,TRUE,0;#N/A,#N/A,TRUE,0;#N/A,#N/A,TRUE,0}</definedName>
    <definedName name="_RAD8" localSheetId="3" hidden="1">{#VALUE!,#N/A,FALSE,0;#N/A,#N/A,FALSE,0;#N/A,#N/A,FALSE,0;#N/A,#N/A,FALSE,0;#N/A,#N/A,FALSE,0;#N/A,#N/A,FALSE,0;#N/A,#N/A,FALSE,0;#N/A,#N/A,FALSE,0;#N/A,#N/A,FALSE,0;#N/A,#N/A,FALSE,0;#N/A,#N/A,FALSE,0;#N/A,#N/A,FALSE,0;#N/A,#N/A,FALSE,0;#N/A,#N/A,FALSE,0;#N/A,#N/A,FALSE,0;#N/A,#N/A,FALSE,0;#N/A,#N/A,FALSE,0;#N/A,#N/A,FALSE,0;#N/A,#N/A,FALSE,0;#N/A,#N/A,FALSE,0;#N/A,#N/A,FALSE,0;#N/A,#N/A,FALSE,0}</definedName>
    <definedName name="_RAD8" hidden="1">{#VALUE!,#N/A,FALSE,0;#N/A,#N/A,FALSE,0;#N/A,#N/A,FALSE,0;#N/A,#N/A,FALSE,0;#N/A,#N/A,FALSE,0;#N/A,#N/A,FALSE,0;#N/A,#N/A,FALSE,0;#N/A,#N/A,FALSE,0;#N/A,#N/A,FALSE,0;#N/A,#N/A,FALSE,0;#N/A,#N/A,FALSE,0;#N/A,#N/A,FALSE,0;#N/A,#N/A,FALSE,0;#N/A,#N/A,FALSE,0;#N/A,#N/A,FALSE,0;#N/A,#N/A,FALSE,0;#N/A,#N/A,FALSE,0;#N/A,#N/A,FALSE,0;#N/A,#N/A,FALSE,0;#N/A,#N/A,FALSE,0;#N/A,#N/A,FALSE,0;#N/A,#N/A,FALSE,0}</definedName>
    <definedName name="_RE100" localSheetId="3">#REF!</definedName>
    <definedName name="_RE100">#REF!</definedName>
    <definedName name="_RE104" localSheetId="3">#REF!</definedName>
    <definedName name="_RE104">#REF!</definedName>
    <definedName name="_RE112" localSheetId="3">#REF!</definedName>
    <definedName name="_RE112">#REF!</definedName>
    <definedName name="_RE26" localSheetId="3">#REF!</definedName>
    <definedName name="_RE26">#REF!</definedName>
    <definedName name="_RE28" localSheetId="3">#REF!</definedName>
    <definedName name="_RE28">#REF!</definedName>
    <definedName name="_RE30" localSheetId="3">#REF!</definedName>
    <definedName name="_RE30">#REF!</definedName>
    <definedName name="_RE32" localSheetId="3">#REF!</definedName>
    <definedName name="_RE32">#REF!</definedName>
    <definedName name="_RE34" localSheetId="3">#REF!</definedName>
    <definedName name="_RE34">#REF!</definedName>
    <definedName name="_RE36" localSheetId="3">#REF!</definedName>
    <definedName name="_RE36">#REF!</definedName>
    <definedName name="_RE38" localSheetId="3">#REF!</definedName>
    <definedName name="_RE38">#REF!</definedName>
    <definedName name="_RE40" localSheetId="3">#REF!</definedName>
    <definedName name="_RE40">#REF!</definedName>
    <definedName name="_RE42" localSheetId="3">#REF!</definedName>
    <definedName name="_RE42">#REF!</definedName>
    <definedName name="_RE44" localSheetId="3">#REF!</definedName>
    <definedName name="_RE44">#REF!</definedName>
    <definedName name="_RE48" localSheetId="3">#REF!</definedName>
    <definedName name="_RE48">#REF!</definedName>
    <definedName name="_RE52" localSheetId="3">#REF!</definedName>
    <definedName name="_RE52">#REF!</definedName>
    <definedName name="_RE56" localSheetId="3">#REF!</definedName>
    <definedName name="_RE56">#REF!</definedName>
    <definedName name="_RE60" localSheetId="3">#REF!</definedName>
    <definedName name="_RE60">#REF!</definedName>
    <definedName name="_RE64" localSheetId="3">#REF!</definedName>
    <definedName name="_RE64">#REF!</definedName>
    <definedName name="_RE68" localSheetId="3">#REF!</definedName>
    <definedName name="_RE68">#REF!</definedName>
    <definedName name="_RE72" localSheetId="3">#REF!</definedName>
    <definedName name="_RE72">#REF!</definedName>
    <definedName name="_RE76" localSheetId="3">#REF!</definedName>
    <definedName name="_RE76">#REF!</definedName>
    <definedName name="_RE80" localSheetId="3">#REF!</definedName>
    <definedName name="_RE80">#REF!</definedName>
    <definedName name="_RE88" localSheetId="3">#REF!</definedName>
    <definedName name="_RE88">#REF!</definedName>
    <definedName name="_RE92" localSheetId="3">#REF!</definedName>
    <definedName name="_RE92">#REF!</definedName>
    <definedName name="_RE96" localSheetId="3">#REF!</definedName>
    <definedName name="_RE96">#REF!</definedName>
    <definedName name="_Regression_Int" hidden="1">1</definedName>
    <definedName name="_Regression_Out" localSheetId="3" hidden="1">#REF!</definedName>
    <definedName name="_Regression_Out" hidden="1">#REF!</definedName>
    <definedName name="_Regression_X" localSheetId="3" hidden="1">#REF!</definedName>
    <definedName name="_Regression_X" hidden="1">#REF!</definedName>
    <definedName name="_Regression_Y" localSheetId="3" hidden="1">#REF!</definedName>
    <definedName name="_Regression_Y" hidden="1">#REF!</definedName>
    <definedName name="_rev1" localSheetId="3">#REF!</definedName>
    <definedName name="_rev1">#REF!</definedName>
    <definedName name="_rev3" localSheetId="3">#REF!</definedName>
    <definedName name="_rev3">#REF!</definedName>
    <definedName name="_rev4" localSheetId="3">#REF!</definedName>
    <definedName name="_rev4">#REF!</definedName>
    <definedName name="_rev5" localSheetId="3">#REF!</definedName>
    <definedName name="_rev5">#REF!</definedName>
    <definedName name="_rev6" localSheetId="3">#REF!</definedName>
    <definedName name="_rev6">#REF!</definedName>
    <definedName name="_s3">'[32]h-013211-2'!$C$5</definedName>
    <definedName name="_SHT48" localSheetId="3">#REF!</definedName>
    <definedName name="_SHT48">#REF!</definedName>
    <definedName name="_soc2" localSheetId="3"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_soc2"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_Sort" localSheetId="17" hidden="1">#REF!</definedName>
    <definedName name="_Sort" localSheetId="15" hidden="1">#REF!</definedName>
    <definedName name="_Sort" localSheetId="4" hidden="1">#REF!</definedName>
    <definedName name="_Sort" localSheetId="3" hidden="1">#N/A</definedName>
    <definedName name="_Sort" hidden="1">#REF!</definedName>
    <definedName name="_SUN1">#N/A</definedName>
    <definedName name="_SUN2">#N/A</definedName>
    <definedName name="_t1" hidden="1">#REF!</definedName>
    <definedName name="_t2" hidden="1">#REF!</definedName>
    <definedName name="_Table1_In1" localSheetId="3" hidden="1">#REF!</definedName>
    <definedName name="_Table1_In1" hidden="1">#REF!</definedName>
    <definedName name="_Table1_Out" localSheetId="3" hidden="1">#REF!</definedName>
    <definedName name="_Table1_Out" hidden="1">#REF!</definedName>
    <definedName name="_TB1" localSheetId="3">#REF!</definedName>
    <definedName name="_TB1">#REF!</definedName>
    <definedName name="_tg1" hidden="1">{"LKD",#N/A,FALSE,"표지"}</definedName>
    <definedName name="_tg3" hidden="1">{"LKD",#N/A,FALSE,"표지"}</definedName>
    <definedName name="_tg4" hidden="1">{"LKD",#N/A,FALSE,"표지"}</definedName>
    <definedName name="_tgt25" localSheetId="3">#REF!</definedName>
    <definedName name="_tgt25">#REF!</definedName>
    <definedName name="_TMAutoChartCount" hidden="1">1</definedName>
    <definedName name="_tut2" hidden="1">'[33]Tut 1'!$G$3:$G$3</definedName>
    <definedName name="¡ÆC">#N/A</definedName>
    <definedName name="´cAE°eE¹" localSheetId="17" hidden="1">#REF!</definedName>
    <definedName name="´cAE°eE¹" localSheetId="15" hidden="1">#REF!</definedName>
    <definedName name="´cAE°eE¹" localSheetId="4" hidden="1">#REF!</definedName>
    <definedName name="´cAE°eE¹" localSheetId="3" hidden="1">#REF!</definedName>
    <definedName name="´cAE°eE¹" hidden="1">#REF!</definedName>
    <definedName name="¿uº°¿μ¾÷" localSheetId="17">#REF!</definedName>
    <definedName name="¿uº°¿μ¾÷" localSheetId="15">#REF!</definedName>
    <definedName name="¿uº°¿μ¾÷" localSheetId="3">#REF!</definedName>
    <definedName name="¿uº°¿μ¾÷">#REF!</definedName>
    <definedName name="￠?u¨￢¡Æ￠?￥i¨u¡A" localSheetId="17">#REF!</definedName>
    <definedName name="￠?u¨￢¡Æ￠?￥i¨u¡A" localSheetId="15">#REF!</definedName>
    <definedName name="￠?u¨￢¡Æ￠?￥i¨u¡A" localSheetId="3">#REF!</definedName>
    <definedName name="￠?u¨￢¡Æ￠?￥i¨u¡A">#REF!</definedName>
    <definedName name="￠´¡¤">#N/A</definedName>
    <definedName name="￠´¡¤￠´¡¤">#N/A</definedName>
    <definedName name="￠´¡¤￠´¡¤￠´¡¤">#N/A</definedName>
    <definedName name="￠´¡¤￠´¡¤￠´¡¤￠´¡¤">#N/A</definedName>
    <definedName name="￠´¡¤￠´¨I￠´¨I">#N/A</definedName>
    <definedName name="￠´¡¤￠´￠´￠´¡¤">#N/A</definedName>
    <definedName name="￠´¡¤￠´￠´￠´¡¾￠´￠´￠´¡¾￠´￠´￠´¡¤￠´￠´￠´¡¤￠´¡¾￠´￠´￠´¡¤￠´¡¾￠´￠´￠´¡¤￠´¡¾￠´￠´￠´¡¤￠´¡¤￠´￠´￠´￠´￠´¡¤￠´¡¤￠´￠´￠´¡¾">#N/A</definedName>
    <definedName name="￠´¡×￠´¡×">#N/A</definedName>
    <definedName name="￠´¡¾">#N/A</definedName>
    <definedName name="￠´¡¾￠´￠´￠´¡¾￠´¡¾">#N/A</definedName>
    <definedName name="￠´¨￠￠´I￠´¨￠￠´I￠´I￠´I">#N/A</definedName>
    <definedName name="￠´¨I￠´¨I￠´¨I￠´¨I￠´¡Æ￠´¨u">#N/A</definedName>
    <definedName name="￠´¨o￠´¨o￠´¨o">#N/A</definedName>
    <definedName name="￠´¨u￠´¨u">#N/A</definedName>
    <definedName name="￠´￠?￠´￠?￠´￠?￠´￠?￠´￠?">#N/A</definedName>
    <definedName name="￠´￠´￠´¡¾￠´¡¾￠´￠´￠´￠´￠´¡¾">#N/A</definedName>
    <definedName name="￠´￠´￠´￠´￠´￠´">#N/A</definedName>
    <definedName name="￠´￠´￠´￠´￠´￠´￠´￠´￠´¡¤">#N/A</definedName>
    <definedName name="￠´￠￢" localSheetId="17">[34]상반기손익차2총괄!#REF!</definedName>
    <definedName name="￠´￠￢" localSheetId="15">[34]상반기손익차2총괄!#REF!</definedName>
    <definedName name="￠´￠￢">[34]상반기손익차2총괄!#REF!</definedName>
    <definedName name="￠´￠￢￠´¡×￠´￠￢￠´¡×">#N/A</definedName>
    <definedName name="￠´A￠´A￠´A￠´A￠´A">#N/A</definedName>
    <definedName name="￠´A￠´A￠´C￠Oo￠´A￠´￠´￠?A￠Oo￠´A￠´¡¾￠´￠´￠?A￠OoⓒøN￠?A￠O¡A￠´￠´¨uo￠´￠´￠´¡¤￠´¡¤￠´￠´￠´¡¾￠´¡¾￠´￠´￠´¡¤￠´¡¤￠´￠´￠´￠´￠´¡¤￠´¡¾">#N/A</definedName>
    <definedName name="￠´C￠´C￠´C￠´C">#N/A</definedName>
    <definedName name="￠´ⓒ÷">#N/A</definedName>
    <definedName name="￠´ⓒ÷￠´ⓒ÷￠´ⓒ÷">#N/A</definedName>
    <definedName name="￠´ⓒ÷￠´ⓒ÷￠´ⓒ÷￠´ⓒ÷￠´ⓒ÷">#N/A</definedName>
    <definedName name="￠´E￠´A￠´A￠´A">#N/A</definedName>
    <definedName name="￠´I" localSheetId="17">'[35]9-1차이내역'!#REF!</definedName>
    <definedName name="￠´I" localSheetId="15">'[35]9-1차이내역'!#REF!</definedName>
    <definedName name="￠´I">'[35]9-1차이내역'!#REF!</definedName>
    <definedName name="￠´I￠´I￠´I">#N/A</definedName>
    <definedName name="￠￥cAE¡ÆeEⓒo" localSheetId="17" hidden="1">#REF!</definedName>
    <definedName name="￠￥cAE¡ÆeEⓒo" localSheetId="15" hidden="1">#REF!</definedName>
    <definedName name="￠￥cAE¡ÆeEⓒo" localSheetId="4" hidden="1">#REF!</definedName>
    <definedName name="￠￥cAE¡ÆeEⓒo" localSheetId="3" hidden="1">#REF!</definedName>
    <definedName name="￠￥cAE¡ÆeEⓒo" hidden="1">#REF!</definedName>
    <definedName name="￡">#REF!</definedName>
    <definedName name="¤¸" localSheetId="17">[36]상반기손익차2총괄!#REF!</definedName>
    <definedName name="¤¸" localSheetId="15">[36]상반기손익차2총괄!#REF!</definedName>
    <definedName name="¤¸">[36]상반기손익차2총괄!#REF!</definedName>
    <definedName name="¤¸¤§¤¸¤§">#N/A</definedName>
    <definedName name="¤¿¤¿¤¿¤¿¤¿">#N/A</definedName>
    <definedName name="¤¤¤¤¤¤">#N/A</definedName>
    <definedName name="¤¤¤¤¤¤¤¤¤·">#N/A</definedName>
    <definedName name="¤¤¤±¤±¤¤¤¤¤±">#N/A</definedName>
    <definedName name="¤±">#N/A</definedName>
    <definedName name="¤±¤¤¤±¤±">#N/A</definedName>
    <definedName name="¤§¤§">#N/A</definedName>
    <definedName name="¤·">#N/A</definedName>
    <definedName name="¤·¤¤¤±¤¤¤±¤¤¤·¤¤¤·¤±¤¤¤·¤±¤¤¤·¤±¤¤¤·¤·¤¤¤¤¤·¤·¤¤¤±">#N/A</definedName>
    <definedName name="¤·¤¤¤·">#N/A</definedName>
    <definedName name="¤·¤·">#N/A</definedName>
    <definedName name="¤·¤·¤·">#N/A</definedName>
    <definedName name="¤·¤·¤·¤·">#N/A</definedName>
    <definedName name="¤·¤ⓒ¤ⓒ">#N/A</definedName>
    <definedName name="¤½¤½¤½">#N/A</definedName>
    <definedName name="¤¾¤¾">#N/A</definedName>
    <definedName name="¤²">#N/A</definedName>
    <definedName name="¤²¤²¤²">#N/A</definedName>
    <definedName name="¤²¤²¤²¤²¤²">#N/A</definedName>
    <definedName name="¤A¤A¤A¤A¤A">#N/A</definedName>
    <definedName name="¤A¤A¤C¶o¤A¤¤¿A¶o¤A¤±¤¤¿A¶o³N¿A¶÷¤¤¾o¤¤¤·¤·¤¤¤±¤±¤¤¤·¤·¤¤¤¤¤·¤±">#N/A</definedName>
    <definedName name="¤C¤C¤C¤C">#N/A</definedName>
    <definedName name="¤ⓒ¤ⓒ¤ⓒ¤ⓒ¤°¤¾">#N/A</definedName>
    <definedName name="¤Ð¤I¤Ð¤I¤I¤I">#N/A</definedName>
    <definedName name="¤E¤A¤A¤A">#N/A</definedName>
    <definedName name="¤I" localSheetId="17">'[35]9-1차이내역'!#REF!</definedName>
    <definedName name="¤I" localSheetId="15">'[35]9-1차이내역'!#REF!</definedName>
    <definedName name="¤I">'[35]9-1차이내역'!#REF!</definedName>
    <definedName name="¤I¤I¤I">#N/A</definedName>
    <definedName name="￥">#REF!</definedName>
    <definedName name="\" localSheetId="3">#REF!</definedName>
    <definedName name="￦">#REF!</definedName>
    <definedName name="\0" localSheetId="3">#REF!</definedName>
    <definedName name="\0">#N/A</definedName>
    <definedName name="\a">#N/A</definedName>
    <definedName name="\b">#N/A</definedName>
    <definedName name="\c">#N/A</definedName>
    <definedName name="\d">#N/A</definedName>
    <definedName name="\E" localSheetId="17">#REF!</definedName>
    <definedName name="\E" localSheetId="15">#REF!</definedName>
    <definedName name="\e" localSheetId="4">#N/A</definedName>
    <definedName name="\e" localSheetId="3">#N/A</definedName>
    <definedName name="\E">#REF!</definedName>
    <definedName name="\f">#N/A</definedName>
    <definedName name="\FF" localSheetId="17">'[37]97 사업추정(WEKI)'!#REF!</definedName>
    <definedName name="\FF" localSheetId="15">'[37]97 사업추정(WEKI)'!#REF!</definedName>
    <definedName name="\FF">'[37]97 사업추정(WEKI)'!#REF!</definedName>
    <definedName name="\FG" localSheetId="17">[38]손익차9월2!#REF!</definedName>
    <definedName name="\FG" localSheetId="15">[38]손익차9월2!#REF!</definedName>
    <definedName name="\FG">[38]손익차9월2!#REF!</definedName>
    <definedName name="\g">#N/A</definedName>
    <definedName name="\h">#N/A</definedName>
    <definedName name="\i">#N/A</definedName>
    <definedName name="\j">#N/A</definedName>
    <definedName name="\k">#N/A</definedName>
    <definedName name="\KWS123">#N/A</definedName>
    <definedName name="\LARGE" localSheetId="3">#REF!</definedName>
    <definedName name="\LARGE">#REF!</definedName>
    <definedName name="\LL" localSheetId="3">#REF!</definedName>
    <definedName name="\LL">#REF!</definedName>
    <definedName name="\m">#N/A</definedName>
    <definedName name="\MIDDLE" localSheetId="3">#REF!</definedName>
    <definedName name="\MIDDLE">#REF!</definedName>
    <definedName name="\n">#N/A</definedName>
    <definedName name="\O" localSheetId="17">#REF!</definedName>
    <definedName name="\O" localSheetId="15">#REF!</definedName>
    <definedName name="\O" localSheetId="3">#REF!</definedName>
    <definedName name="\O">#REF!</definedName>
    <definedName name="\p">#N/A</definedName>
    <definedName name="\PP" localSheetId="17">#REF!</definedName>
    <definedName name="\PP" localSheetId="15">#REF!</definedName>
    <definedName name="\PP" localSheetId="3">#REF!</definedName>
    <definedName name="\PP">#REF!</definedName>
    <definedName name="\q" localSheetId="3">#N/A</definedName>
    <definedName name="\q">#REF!</definedName>
    <definedName name="\r">#N/A</definedName>
    <definedName name="\s" localSheetId="17">'[26]95삼성급(본사)'!#REF!</definedName>
    <definedName name="\s" localSheetId="15">'[26]95삼성급(본사)'!#REF!</definedName>
    <definedName name="\s" localSheetId="4">#N/A</definedName>
    <definedName name="\s">'[26]95삼성급(본사)'!#REF!</definedName>
    <definedName name="\SMALL" localSheetId="3">#REF!</definedName>
    <definedName name="\SMALL">#REF!</definedName>
    <definedName name="\t">#N/A</definedName>
    <definedName name="\v" localSheetId="3">#REF!</definedName>
    <definedName name="\v">#REF!</definedName>
    <definedName name="\w" localSheetId="3">#REF!</definedName>
    <definedName name="\w">#REF!</definedName>
    <definedName name="\X" localSheetId="3">#REF!</definedName>
    <definedName name="\X">#REF!</definedName>
    <definedName name="\y" localSheetId="3">#REF!</definedName>
    <definedName name="\y">#REF!</definedName>
    <definedName name="\Z" localSheetId="17">#REF!</definedName>
    <definedName name="\Z" localSheetId="15">#REF!</definedName>
    <definedName name="\z" localSheetId="4">#N/A</definedName>
    <definedName name="\Z" localSheetId="3">#REF!</definedName>
    <definedName name="\Z">#REF!</definedName>
    <definedName name="°C">#N/A</definedName>
    <definedName name="°Ç">#N/A</definedName>
    <definedName name="¼o¼o½CAu7¿u">#N/A</definedName>
    <definedName name="¼ö¼ö½ÇÀû7¿ù">#N/A</definedName>
    <definedName name="¹eºI³≫¿ª" localSheetId="17">[39]주관사업!#REF!</definedName>
    <definedName name="¹eºI³≫¿ª" localSheetId="15">[39]주관사업!#REF!</definedName>
    <definedName name="¹eºI³≫¿ª">[39]주관사업!#REF!</definedName>
    <definedName name="A" localSheetId="17">[40]영업소실적!#REF!</definedName>
    <definedName name="A" localSheetId="15">[40]영업소실적!#REF!</definedName>
    <definedName name="A" localSheetId="4">#REF!</definedName>
    <definedName name="A" localSheetId="3">#REF!</definedName>
    <definedName name="A">[40]영업소실적!#REF!</definedName>
    <definedName name="A_1" localSheetId="3" hidden="1">{#N/A,#N/A,FALSE,"BRIM_ICMAL";#N/A,#N/A,FALSE,"ASE_KUR";#N/A,#N/A,FALSE,"ASE_YES";#N/A,#N/A,FALSE,"AM_KUR";#N/A,#N/A,FALSE,"AMU_YES";#N/A,#N/A,FALSE,"PAR_KUR";#N/A,#N/A,FALSE,"PAR_YES";#N/A,#N/A,FALSE,"YSE_KUR";#N/A,#N/A,FALSE,"YSE_YES";#N/A,#N/A,FALSE,"YMU_KUR";#N/A,#N/A,FALSE,"YM_YES"}</definedName>
    <definedName name="A_1" hidden="1">{#N/A,#N/A,FALSE,"BRIM_ICMAL";#N/A,#N/A,FALSE,"ASE_KUR";#N/A,#N/A,FALSE,"ASE_YES";#N/A,#N/A,FALSE,"AM_KUR";#N/A,#N/A,FALSE,"AMU_YES";#N/A,#N/A,FALSE,"PAR_KUR";#N/A,#N/A,FALSE,"PAR_YES";#N/A,#N/A,FALSE,"YSE_KUR";#N/A,#N/A,FALSE,"YSE_YES";#N/A,#N/A,FALSE,"YMU_KUR";#N/A,#N/A,FALSE,"YM_YES"}</definedName>
    <definedName name="A_3100INQ" localSheetId="3">#REF!</definedName>
    <definedName name="A_3100INQ">#REF!</definedName>
    <definedName name="A_3100REV" localSheetId="3">#REF!</definedName>
    <definedName name="A_3100REV">#REF!</definedName>
    <definedName name="A_3200INQ" localSheetId="3">#REF!</definedName>
    <definedName name="A_3200INQ">#REF!</definedName>
    <definedName name="A_3200REV" localSheetId="3">#REF!</definedName>
    <definedName name="A_3200REV">#REF!</definedName>
    <definedName name="a_dash" localSheetId="17">#REF!</definedName>
    <definedName name="a_dash" localSheetId="15">#REF!</definedName>
    <definedName name="a_dash" localSheetId="3">#REF!</definedName>
    <definedName name="a_dash">#REF!</definedName>
    <definedName name="A_EQUIP" localSheetId="3">#REF!</definedName>
    <definedName name="A_EQUIP">#REF!</definedName>
    <definedName name="A_LABOR" localSheetId="3">#REF!</definedName>
    <definedName name="A_LABOR">#REF!</definedName>
    <definedName name="A_MATL" localSheetId="3">#REF!</definedName>
    <definedName name="A_MATL">#REF!</definedName>
    <definedName name="A_MH" localSheetId="3">#REF!</definedName>
    <definedName name="A_MH">#REF!</definedName>
    <definedName name="A_OTHER" localSheetId="3">#REF!</definedName>
    <definedName name="A_OTHER">#REF!</definedName>
    <definedName name="A_REV_TOTAL" localSheetId="3">#REF!</definedName>
    <definedName name="A_REV_TOTAL">#REF!</definedName>
    <definedName name="A¡þ_¡¤ⓒo_AO">#N/A</definedName>
    <definedName name="A￢_·¹_AO">#N/A</definedName>
    <definedName name="a0">#REF!</definedName>
    <definedName name="A01_">#N/A</definedName>
    <definedName name="A01AC">#N/A</definedName>
    <definedName name="A01CAT">#N/A</definedName>
    <definedName name="A01CODE">#N/A</definedName>
    <definedName name="A01DATA">#N/A</definedName>
    <definedName name="A01MI">#N/A</definedName>
    <definedName name="A01TO">#N/A</definedName>
    <definedName name="A2_" localSheetId="3">#REF!</definedName>
    <definedName name="A2_">#REF!</definedName>
    <definedName name="A3_" localSheetId="3">#REF!</definedName>
    <definedName name="A3_">#REF!</definedName>
    <definedName name="A4_" localSheetId="3">#REF!</definedName>
    <definedName name="A4_">#REF!</definedName>
    <definedName name="A5_" localSheetId="3">#REF!</definedName>
    <definedName name="A5_">#REF!</definedName>
    <definedName name="A6_" localSheetId="3">#REF!</definedName>
    <definedName name="A6_">#REF!</definedName>
    <definedName name="A7_" localSheetId="3">#REF!</definedName>
    <definedName name="A7_">#REF!</definedName>
    <definedName name="A90P" localSheetId="3">#REF!</definedName>
    <definedName name="A90P">#REF!</definedName>
    <definedName name="AA" localSheetId="4" hidden="1">{"MAN H.O.",#N/A,FALSE,"tabella"}</definedName>
    <definedName name="AA" localSheetId="3">#REF!</definedName>
    <definedName name="AA">#N/A</definedName>
    <definedName name="Åä">#N/A</definedName>
    <definedName name="aa_1" localSheetId="3" hidden="1">{"'Grafik Kontrol'!$A$1:$J$8"}</definedName>
    <definedName name="aa_1" hidden="1">{"'Grafik Kontrol'!$A$1:$J$8"}</definedName>
    <definedName name="AAA" localSheetId="17">#REF!</definedName>
    <definedName name="AAA" localSheetId="15">#REF!</definedName>
    <definedName name="aaa" localSheetId="4">"기술자료"</definedName>
    <definedName name="aaa" localSheetId="3">"기술자료"</definedName>
    <definedName name="AAA">#REF!</definedName>
    <definedName name="aaaa" localSheetId="0">BlankMacro1</definedName>
    <definedName name="aaaa" localSheetId="2">BlankMacro1</definedName>
    <definedName name="aaaa" localSheetId="17">BlankMacro1</definedName>
    <definedName name="aaaa" localSheetId="15">BlankMacro1</definedName>
    <definedName name="aaaa" localSheetId="4">#REF!</definedName>
    <definedName name="AAAA" localSheetId="3" hidden="1">#REF!</definedName>
    <definedName name="aaaa">BlankMacro1</definedName>
    <definedName name="aaaa1" localSheetId="3" hidden="1">{#N/A,#N/A,TRUE,"Basic";#N/A,#N/A,TRUE,"EXT-TABLE";#N/A,#N/A,TRUE,"STEEL";#N/A,#N/A,TRUE,"INT-Table";#N/A,#N/A,TRUE,"STEEL";#N/A,#N/A,TRUE,"Door"}</definedName>
    <definedName name="aaaa1" hidden="1">{#N/A,#N/A,TRUE,"Basic";#N/A,#N/A,TRUE,"EXT-TABLE";#N/A,#N/A,TRUE,"STEEL";#N/A,#N/A,TRUE,"INT-Table";#N/A,#N/A,TRUE,"STEEL";#N/A,#N/A,TRUE,"Door"}</definedName>
    <definedName name="aaaaa" localSheetId="3" hidden="1">{#N/A,#N/A,TRUE,"Basic";#N/A,#N/A,TRUE,"EXT-TABLE";#N/A,#N/A,TRUE,"STEEL";#N/A,#N/A,TRUE,"INT-Table";#N/A,#N/A,TRUE,"STEEL";#N/A,#N/A,TRUE,"Door"}</definedName>
    <definedName name="aaaaa" hidden="1">{#N/A,#N/A,TRUE,"Basic";#N/A,#N/A,TRUE,"EXT-TABLE";#N/A,#N/A,TRUE,"STEEL";#N/A,#N/A,TRUE,"INT-Table";#N/A,#N/A,TRUE,"STEEL";#N/A,#N/A,TRUE,"Door"}</definedName>
    <definedName name="aaaaa_1" hidden="1">{#N/A,#N/A,TRUE,"Basic";#N/A,#N/A,TRUE,"EXT-TABLE";#N/A,#N/A,TRUE,"STEEL";#N/A,#N/A,TRUE,"INT-Table";#N/A,#N/A,TRUE,"STEEL";#N/A,#N/A,TRUE,"Door"}</definedName>
    <definedName name="AAAAA1" hidden="1">{#N/A,#N/A,TRUE,"Basic";#N/A,#N/A,TRUE,"EXT-TABLE";#N/A,#N/A,TRUE,"STEEL";#N/A,#N/A,TRUE,"INT-Table";#N/A,#N/A,TRUE,"STEEL";#N/A,#N/A,TRUE,"Door"}</definedName>
    <definedName name="aaaaaa" localSheetId="3" hidden="1">{#N/A,#N/A,FALSE,"ihz. icmal";#N/A,#N/A,FALSE,"inş_iç_ihz";#N/A,#N/A,FALSE,"inş_iç_tut";#N/A,#N/A,FALSE,"inş_iç_er";#N/A,#N/A,FALSE,"1";#N/A,#N/A,FALSE,"sıh_iç_ihz";#N/A,#N/A,FALSE,"sıh_iç_tut";#N/A,#N/A,FALSE,"sıh_iç_er";#N/A,#N/A,FALSE,"2";#N/A,#N/A,FALSE,"müş_iç_ihz";#N/A,#N/A,FALSE,"müş_iç_tut";#N/A,#N/A,FALSE,"müş_iç_er";#N/A,#N/A,FALSE,"3";#N/A,#N/A,FALSE,"kal_iç_ihz";#N/A,#N/A,FALSE,"kal_iç_tut";#N/A,#N/A,FALSE,"kal_iç_er";#N/A,#N/A,FALSE,"4";#N/A,#N/A,FALSE,"oto_ihz";#N/A,#N/A,FALSE,"oto_tut";#N/A,#N/A,FALSE,"oto_er";#N/A,#N/A,FALSE,"5";#N/A,#N/A,FALSE,"brü_ihz";#N/A,#N/A,FALSE,"brü_tut";#N/A,#N/A,FALSE,"brü_er";#N/A,#N/A,FALSE,"elk_iç_ihz";#N/A,#N/A,FALSE,"elk_iç_tut";#N/A,#N/A,FALSE,"elk_iç_er"}</definedName>
    <definedName name="aaaaaa" hidden="1">{#N/A,#N/A,FALSE,"ihz. icmal";#N/A,#N/A,FALSE,"inş_iç_ihz";#N/A,#N/A,FALSE,"inş_iç_tut";#N/A,#N/A,FALSE,"inş_iç_er";#N/A,#N/A,FALSE,"1";#N/A,#N/A,FALSE,"sıh_iç_ihz";#N/A,#N/A,FALSE,"sıh_iç_tut";#N/A,#N/A,FALSE,"sıh_iç_er";#N/A,#N/A,FALSE,"2";#N/A,#N/A,FALSE,"müş_iç_ihz";#N/A,#N/A,FALSE,"müş_iç_tut";#N/A,#N/A,FALSE,"müş_iç_er";#N/A,#N/A,FALSE,"3";#N/A,#N/A,FALSE,"kal_iç_ihz";#N/A,#N/A,FALSE,"kal_iç_tut";#N/A,#N/A,FALSE,"kal_iç_er";#N/A,#N/A,FALSE,"4";#N/A,#N/A,FALSE,"oto_ihz";#N/A,#N/A,FALSE,"oto_tut";#N/A,#N/A,FALSE,"oto_er";#N/A,#N/A,FALSE,"5";#N/A,#N/A,FALSE,"brü_ihz";#N/A,#N/A,FALSE,"brü_tut";#N/A,#N/A,FALSE,"brü_er";#N/A,#N/A,FALSE,"elk_iç_ihz";#N/A,#N/A,FALSE,"elk_iç_tut";#N/A,#N/A,FALSE,"elk_iç_er"}</definedName>
    <definedName name="aaaaaaa" localSheetId="3" hidden="1">{#N/A,#N/A,FALSE,"type1";#N/A,#N/A,FALSE,"지지력";#N/A,#N/A,FALSE,"PILE계산";#N/A,#N/A,FALSE,"PILE ";#N/A,#N/A,FALSE,"철근량";#N/A,#N/A,FALSE,"균열검토";#N/A,#N/A,FALSE,"날개벽";#N/A,#N/A,FALSE,"주철근조립도";#N/A,#N/A,FALSE,"교좌"}</definedName>
    <definedName name="aaaaaaa" hidden="1">{#N/A,#N/A,FALSE,"type1";#N/A,#N/A,FALSE,"지지력";#N/A,#N/A,FALSE,"PILE계산";#N/A,#N/A,FALSE,"PILE ";#N/A,#N/A,FALSE,"철근량";#N/A,#N/A,FALSE,"균열검토";#N/A,#N/A,FALSE,"날개벽";#N/A,#N/A,FALSE,"주철근조립도";#N/A,#N/A,FALSE,"교좌"}</definedName>
    <definedName name="aaaaaaaa" localSheetId="3" hidden="1">{#N/A,#N/A,FALSE,"söz_fiy_fark";#N/A,#N/A,FALSE,"ihz. icmal";#N/A,#N/A,FALSE,"1";#N/A,#N/A,FALSE,"sıh_iç_ihz";#N/A,#N/A,FALSE,"sıh_iç_tut";#N/A,#N/A,FALSE,"sıh_iç_er";#N/A,#N/A,FALSE,"2";#N/A,#N/A,FALSE,"müş_iç_ihz";#N/A,#N/A,FALSE,"müş_iç_tut";#N/A,#N/A,FALSE,"müş_iç_er";#N/A,#N/A,FALSE,"3";#N/A,#N/A,FALSE,"kal_iç_ihz";#N/A,#N/A,FALSE,"kal_iç_tut";#N/A,#N/A,FALSE,"kal_iç_er";#N/A,#N/A,FALSE,"4";#N/A,#N/A,FALSE,"oto_ihz";#N/A,#N/A,FALSE,"oto_tut";#N/A,#N/A,FALSE,"oto_er";#N/A,#N/A,FALSE,"5";#N/A,#N/A,FALSE,"brü_ihz";#N/A,#N/A,FALSE,"brü_tut";#N/A,#N/A,FALSE,"brü_er"}</definedName>
    <definedName name="aaaaaaaa" hidden="1">{#N/A,#N/A,FALSE,"söz_fiy_fark";#N/A,#N/A,FALSE,"ihz. icmal";#N/A,#N/A,FALSE,"1";#N/A,#N/A,FALSE,"sıh_iç_ihz";#N/A,#N/A,FALSE,"sıh_iç_tut";#N/A,#N/A,FALSE,"sıh_iç_er";#N/A,#N/A,FALSE,"2";#N/A,#N/A,FALSE,"müş_iç_ihz";#N/A,#N/A,FALSE,"müş_iç_tut";#N/A,#N/A,FALSE,"müş_iç_er";#N/A,#N/A,FALSE,"3";#N/A,#N/A,FALSE,"kal_iç_ihz";#N/A,#N/A,FALSE,"kal_iç_tut";#N/A,#N/A,FALSE,"kal_iç_er";#N/A,#N/A,FALSE,"4";#N/A,#N/A,FALSE,"oto_ihz";#N/A,#N/A,FALSE,"oto_tut";#N/A,#N/A,FALSE,"oto_er";#N/A,#N/A,FALSE,"5";#N/A,#N/A,FALSE,"brü_ihz";#N/A,#N/A,FALSE,"brü_tut";#N/A,#N/A,FALSE,"brü_er"}</definedName>
    <definedName name="aaaaaaaaa" localSheetId="3" hidden="1">{#N/A,#N/A,FALSE,"ihz. icmal";#N/A,#N/A,FALSE,"avans";#N/A,#N/A,FALSE,"mal_FF_icm";#N/A,#N/A,FALSE,"fat_ihz";#N/A,#N/A,FALSE,"söz_fiy_fark";#N/A,#N/A,FALSE,"kap2"}</definedName>
    <definedName name="aaaaaaaaa" hidden="1">{#N/A,#N/A,FALSE,"ihz. icmal";#N/A,#N/A,FALSE,"avans";#N/A,#N/A,FALSE,"mal_FF_icm";#N/A,#N/A,FALSE,"fat_ihz";#N/A,#N/A,FALSE,"söz_fiy_fark";#N/A,#N/A,FALSE,"kap2"}</definedName>
    <definedName name="aaaaaaaaas" localSheetId="3" hidden="1">{#N/A,#N/A,FALSE,"ihz. icmal";#N/A,#N/A,FALSE,"inş_iç_ihz";#N/A,#N/A,FALSE,"inş_iç_tut";#N/A,#N/A,FALSE,"inş_iç_er";#N/A,#N/A,FALSE,"1";#N/A,#N/A,FALSE,"sıh_iç_ihz";#N/A,#N/A,FALSE,"sıh_iç_tut";#N/A,#N/A,FALSE,"sıh_iç_er";#N/A,#N/A,FALSE,"2";#N/A,#N/A,FALSE,"müş_iç_ihz";#N/A,#N/A,FALSE,"müş_iç_tut";#N/A,#N/A,FALSE,"müş_iç_er";#N/A,#N/A,FALSE,"3";#N/A,#N/A,FALSE,"kal_iç_ihz";#N/A,#N/A,FALSE,"kal_iç_tut";#N/A,#N/A,FALSE,"kal_iç_er";#N/A,#N/A,FALSE,"4";#N/A,#N/A,FALSE,"oto_ihz";#N/A,#N/A,FALSE,"oto_tut";#N/A,#N/A,FALSE,"oto_er";#N/A,#N/A,FALSE,"5";#N/A,#N/A,FALSE,"brü_ihz";#N/A,#N/A,FALSE,"brü_tut";#N/A,#N/A,FALSE,"brü_er";#N/A,#N/A,FALSE,"elk_iç_ihz";#N/A,#N/A,FALSE,"elk_iç_tut";#N/A,#N/A,FALSE,"elk_iç_er"}</definedName>
    <definedName name="aaaaaaaaas" hidden="1">{#N/A,#N/A,FALSE,"ihz. icmal";#N/A,#N/A,FALSE,"inş_iç_ihz";#N/A,#N/A,FALSE,"inş_iç_tut";#N/A,#N/A,FALSE,"inş_iç_er";#N/A,#N/A,FALSE,"1";#N/A,#N/A,FALSE,"sıh_iç_ihz";#N/A,#N/A,FALSE,"sıh_iç_tut";#N/A,#N/A,FALSE,"sıh_iç_er";#N/A,#N/A,FALSE,"2";#N/A,#N/A,FALSE,"müş_iç_ihz";#N/A,#N/A,FALSE,"müş_iç_tut";#N/A,#N/A,FALSE,"müş_iç_er";#N/A,#N/A,FALSE,"3";#N/A,#N/A,FALSE,"kal_iç_ihz";#N/A,#N/A,FALSE,"kal_iç_tut";#N/A,#N/A,FALSE,"kal_iç_er";#N/A,#N/A,FALSE,"4";#N/A,#N/A,FALSE,"oto_ihz";#N/A,#N/A,FALSE,"oto_tut";#N/A,#N/A,FALSE,"oto_er";#N/A,#N/A,FALSE,"5";#N/A,#N/A,FALSE,"brü_ihz";#N/A,#N/A,FALSE,"brü_tut";#N/A,#N/A,FALSE,"brü_er";#N/A,#N/A,FALSE,"elk_iç_ihz";#N/A,#N/A,FALSE,"elk_iç_tut";#N/A,#N/A,FALSE,"elk_iç_er"}</definedName>
    <definedName name="aaafff">{"'장비'!$A$3:$M$12"}</definedName>
    <definedName name="aæÐRIiÞA_Iª">#N/A</definedName>
    <definedName name="AAS">{"Book1","DOC&amp;DWG.xls"}</definedName>
    <definedName name="aasdsd" localSheetId="3" hidden="1">{#N/A,#N/A,TRUE,"ÝCMAL";#N/A,#N/A,TRUE,"12221CO";#N/A,#N/A,TRUE,"12222CO";#N/A,#N/A,TRUE,"12223CK";#N/A,#N/A,TRUE,"12224CO";#N/A,#N/A,TRUE,"12225CO";#N/A,#N/A,TRUE,"12231BO";#N/A,#N/A,TRUE,"12232BO";#N/A,#N/A,TRUE,"12233BO";#N/A,#N/A,TRUE,"12234BO";#N/A,#N/A,TRUE,"12235BO";#N/A,#N/A,TRUE,"12236BO";#N/A,#N/A,TRUE,"12237BK";#N/A,#N/A,TRUE,"12238CK";#N/A,#N/A,TRUE,"12239CO";#N/A,#N/A,TRUE,"12241BO";#N/A,#N/A,TRUE,"12242BK";#N/A,#N/A,TRUE,"12243BO";#N/A,#N/A,TRUE,"12244BO";#N/A,#N/A,TRUE,"12245BO";#N/A,#N/A,TRUE,"12246CK";#N/A,#N/A,TRUE,"12247CO";#N/A,#N/A,TRUE,"12248CO";#N/A,#N/A,TRUE,"12251BO";#N/A,#N/A,TRUE,"12252BO";#N/A,#N/A,TRUE,"12253BO";#N/A,#N/A,TRUE,"12254BO";#N/A,#N/A,TRUE,"12255CK";#N/A,#N/A,TRUE,"12256CO";#N/A,#N/A,TRUE,"12257CO";#N/A,#N/A,TRUE,"12261BO";#N/A,#N/A,TRUE,"12262BO";#N/A,#N/A,TRUE,"12263BO";#N/A,#N/A,TRUE,"12264CK";#N/A,#N/A,TRUE,"12265CO";#N/A,#N/A,TRUE,"12266CO";#N/A,#N/A,TRUE,"12271CO";#N/A,#N/A,TRUE,"12272CK";#N/A,#N/A,TRUE,"12273BO";#N/A,#N/A,TRUE,"12274BO";#N/A,#N/A,TRUE,"12275BO";#N/A,#N/A,TRUE,"12276CO";#N/A,#N/A,TRUE,"12277CO";#N/A,#N/A,TRUE,"12321CO";#N/A,#N/A,TRUE,"12322CK";#N/A,#N/A,TRUE,"12323CO";#N/A,#N/A,TRUE,"12324CK";#N/A,#N/A,TRUE,"12325CO";#N/A,#N/A,TRUE,"12326CO";#N/A,#N/A,TRUE,"12327CO";#N/A,#N/A,TRUE,"12328CO";#N/A,#N/A,TRUE,"12331CO";#N/A,#N/A,TRUE,"12332CO";#N/A,#N/A,TRUE,"12333CO";#N/A,#N/A,TRUE,"12334CK";#N/A,#N/A,TRUE,"12335CO";#N/A,#N/A,TRUE,"12336CO"}</definedName>
    <definedName name="aasdsd" hidden="1">{#N/A,#N/A,TRUE,"ÝCMAL";#N/A,#N/A,TRUE,"12221CO";#N/A,#N/A,TRUE,"12222CO";#N/A,#N/A,TRUE,"12223CK";#N/A,#N/A,TRUE,"12224CO";#N/A,#N/A,TRUE,"12225CO";#N/A,#N/A,TRUE,"12231BO";#N/A,#N/A,TRUE,"12232BO";#N/A,#N/A,TRUE,"12233BO";#N/A,#N/A,TRUE,"12234BO";#N/A,#N/A,TRUE,"12235BO";#N/A,#N/A,TRUE,"12236BO";#N/A,#N/A,TRUE,"12237BK";#N/A,#N/A,TRUE,"12238CK";#N/A,#N/A,TRUE,"12239CO";#N/A,#N/A,TRUE,"12241BO";#N/A,#N/A,TRUE,"12242BK";#N/A,#N/A,TRUE,"12243BO";#N/A,#N/A,TRUE,"12244BO";#N/A,#N/A,TRUE,"12245BO";#N/A,#N/A,TRUE,"12246CK";#N/A,#N/A,TRUE,"12247CO";#N/A,#N/A,TRUE,"12248CO";#N/A,#N/A,TRUE,"12251BO";#N/A,#N/A,TRUE,"12252BO";#N/A,#N/A,TRUE,"12253BO";#N/A,#N/A,TRUE,"12254BO";#N/A,#N/A,TRUE,"12255CK";#N/A,#N/A,TRUE,"12256CO";#N/A,#N/A,TRUE,"12257CO";#N/A,#N/A,TRUE,"12261BO";#N/A,#N/A,TRUE,"12262BO";#N/A,#N/A,TRUE,"12263BO";#N/A,#N/A,TRUE,"12264CK";#N/A,#N/A,TRUE,"12265CO";#N/A,#N/A,TRUE,"12266CO";#N/A,#N/A,TRUE,"12271CO";#N/A,#N/A,TRUE,"12272CK";#N/A,#N/A,TRUE,"12273BO";#N/A,#N/A,TRUE,"12274BO";#N/A,#N/A,TRUE,"12275BO";#N/A,#N/A,TRUE,"12276CO";#N/A,#N/A,TRUE,"12277CO";#N/A,#N/A,TRUE,"12321CO";#N/A,#N/A,TRUE,"12322CK";#N/A,#N/A,TRUE,"12323CO";#N/A,#N/A,TRUE,"12324CK";#N/A,#N/A,TRUE,"12325CO";#N/A,#N/A,TRUE,"12326CO";#N/A,#N/A,TRUE,"12327CO";#N/A,#N/A,TRUE,"12328CO";#N/A,#N/A,TRUE,"12331CO";#N/A,#N/A,TRUE,"12332CO";#N/A,#N/A,TRUE,"12333CO";#N/A,#N/A,TRUE,"12334CK";#N/A,#N/A,TRUE,"12335CO";#N/A,#N/A,TRUE,"12336CO"}</definedName>
    <definedName name="ab" localSheetId="3" hidden="1">{#N/A,#N/A,TRUE,"Basic";#N/A,#N/A,TRUE,"EXT-TABLE";#N/A,#N/A,TRUE,"STEEL";#N/A,#N/A,TRUE,"INT-Table";#N/A,#N/A,TRUE,"STEEL";#N/A,#N/A,TRUE,"Door"}</definedName>
    <definedName name="ab" hidden="1">#REF!</definedName>
    <definedName name="ab_1" hidden="1">{#N/A,#N/A,TRUE,"Basic";#N/A,#N/A,TRUE,"EXT-TABLE";#N/A,#N/A,TRUE,"STEEL";#N/A,#N/A,TRUE,"INT-Table";#N/A,#N/A,TRUE,"STEEL";#N/A,#N/A,TRUE,"Door"}</definedName>
    <definedName name="ab_R_BREAKDOWN_PART1">[41]XZLC003_PART1!$A$7:$G$7</definedName>
    <definedName name="ab_R_BREAKDOWN_PART2">[42]XZLC004_PART2!$A$7:$G$7</definedName>
    <definedName name="abb" localSheetId="3" hidden="1">{#N/A,#N/A,FALSE,"TABLE"}</definedName>
    <definedName name="abb" hidden="1">{#N/A,#N/A,FALSE,"TABLE"}</definedName>
    <definedName name="abc" localSheetId="3" hidden="1">{#N/A,#N/A,TRUE,"Basic";#N/A,#N/A,TRUE,"EXT-TABLE";#N/A,#N/A,TRUE,"STEEL";#N/A,#N/A,TRUE,"INT-Table";#N/A,#N/A,TRUE,"STEEL";#N/A,#N/A,TRUE,"Door"}</definedName>
    <definedName name="abc" hidden="1">{#N/A,#N/A,TRUE,"Basic";#N/A,#N/A,TRUE,"EXT-TABLE";#N/A,#N/A,TRUE,"STEEL";#N/A,#N/A,TRUE,"INT-Table";#N/A,#N/A,TRUE,"STEEL";#N/A,#N/A,TRUE,"Door"}</definedName>
    <definedName name="abc_1" hidden="1">{#N/A,#N/A,TRUE,"Basic";#N/A,#N/A,TRUE,"EXT-TABLE";#N/A,#N/A,TRUE,"STEEL";#N/A,#N/A,TRUE,"INT-Table";#N/A,#N/A,TRUE,"STEEL";#N/A,#N/A,TRUE,"Door"}</definedName>
    <definedName name="ac" hidden="1">#REF!</definedName>
    <definedName name="aⓒ¡¨￠RIi¨­A_I¨￡">#N/A</definedName>
    <definedName name="acbd" localSheetId="3" hidden="1">{#N/A,#N/A,FALSE,"DIZIPUSU.XLS";#N/A,#N/A,FALSE,"2SAYFA.XLS";#N/A,#N/A,FALSE,"ODECET.XLS";#N/A,#N/A,FALSE,"MAFIFAIC.XLS";#N/A,#N/A,FALSE,"ICMAL.XLS";#N/A,#N/A,FALSE,"TOPRAK.XLS";#N/A,#N/A,FALSE,"SANAT.XLS";#N/A,#N/A,FALSE,"USTYAPI.XLS";#N/A,#N/A,FALSE,"CESITLI.XLS";#N/A,#N/A,FALSE,"IHZARAT.XLS";#N/A,#N/A,FALSE,"ODEDIL.XLS";#N/A,#N/A,FALSE,"YESDEF1.XLS";#N/A,#N/A,FALSE,"TOPYESDE.XLS";#N/A,#N/A,FALSE,"SANYESDE.XLS";#N/A,#N/A,FALSE,"USTYESDE.XLS";#N/A,#N/A,FALSE,"CESYESDE.XLS";#N/A,#N/A,FALSE,"IHZYESDE.XLS";#N/A,#N/A,FALSE,"ALTTEMEL&lt;10";#N/A,#N/A,FALSE,"ALTTEMEL&gt;10";#N/A,#N/A,FALSE,"TEMEL&lt;10";#N/A,#N/A,FALSE,"TEMEL&gt;10"}</definedName>
    <definedName name="acbd" hidden="1">{#N/A,#N/A,FALSE,"DIZIPUSU.XLS";#N/A,#N/A,FALSE,"2SAYFA.XLS";#N/A,#N/A,FALSE,"ODECET.XLS";#N/A,#N/A,FALSE,"MAFIFAIC.XLS";#N/A,#N/A,FALSE,"ICMAL.XLS";#N/A,#N/A,FALSE,"TOPRAK.XLS";#N/A,#N/A,FALSE,"SANAT.XLS";#N/A,#N/A,FALSE,"USTYAPI.XLS";#N/A,#N/A,FALSE,"CESITLI.XLS";#N/A,#N/A,FALSE,"IHZARAT.XLS";#N/A,#N/A,FALSE,"ODEDIL.XLS";#N/A,#N/A,FALSE,"YESDEF1.XLS";#N/A,#N/A,FALSE,"TOPYESDE.XLS";#N/A,#N/A,FALSE,"SANYESDE.XLS";#N/A,#N/A,FALSE,"USTYESDE.XLS";#N/A,#N/A,FALSE,"CESYESDE.XLS";#N/A,#N/A,FALSE,"IHZYESDE.XLS";#N/A,#N/A,FALSE,"ALTTEMEL&lt;10";#N/A,#N/A,FALSE,"ALTTEMEL&gt;10";#N/A,#N/A,FALSE,"TEMEL&lt;10";#N/A,#N/A,FALSE,"TEMEL&gt;10"}</definedName>
    <definedName name="acbe" localSheetId="3" hidden="1">{#N/A,#N/A,FALSE,"DIZIPUSU.XLS";#N/A,#N/A,FALSE,"2SAYFA.XLS";#N/A,#N/A,FALSE,"ODECET.XLS";#N/A,#N/A,FALSE,"MAFIFAIC.XLS";#N/A,#N/A,FALSE,"ICMAL.XLS";#N/A,#N/A,FALSE,"TOPRAK.XLS";#N/A,#N/A,FALSE,"SANAT.XLS";#N/A,#N/A,FALSE,"USTYAPI.XLS";#N/A,#N/A,FALSE,"CESITLI.XLS";#N/A,#N/A,FALSE,"IHZARAT.XLS";#N/A,#N/A,FALSE,"ODEDIL.XLS";#N/A,#N/A,FALSE,"YESDEF1.XLS";#N/A,#N/A,FALSE,"TOPYESDE.XLS";#N/A,#N/A,FALSE,"SANYESDE.XLS";#N/A,#N/A,FALSE,"USTYESDE.XLS";#N/A,#N/A,FALSE,"CESYESDE.XLS";#N/A,#N/A,FALSE,"IHZYESDE.XLS";#N/A,#N/A,FALSE,"ALTTEMEL&lt;10";#N/A,#N/A,FALSE,"ALTTEMEL&gt;10";#N/A,#N/A,FALSE,"TEMEL&lt;10";#N/A,#N/A,FALSE,"TEMEL&gt;10"}</definedName>
    <definedName name="acbe" hidden="1">{#N/A,#N/A,FALSE,"DIZIPUSU.XLS";#N/A,#N/A,FALSE,"2SAYFA.XLS";#N/A,#N/A,FALSE,"ODECET.XLS";#N/A,#N/A,FALSE,"MAFIFAIC.XLS";#N/A,#N/A,FALSE,"ICMAL.XLS";#N/A,#N/A,FALSE,"TOPRAK.XLS";#N/A,#N/A,FALSE,"SANAT.XLS";#N/A,#N/A,FALSE,"USTYAPI.XLS";#N/A,#N/A,FALSE,"CESITLI.XLS";#N/A,#N/A,FALSE,"IHZARAT.XLS";#N/A,#N/A,FALSE,"ODEDIL.XLS";#N/A,#N/A,FALSE,"YESDEF1.XLS";#N/A,#N/A,FALSE,"TOPYESDE.XLS";#N/A,#N/A,FALSE,"SANYESDE.XLS";#N/A,#N/A,FALSE,"USTYESDE.XLS";#N/A,#N/A,FALSE,"CESYESDE.XLS";#N/A,#N/A,FALSE,"IHZYESDE.XLS";#N/A,#N/A,FALSE,"ALTTEMEL&lt;10";#N/A,#N/A,FALSE,"ALTTEMEL&gt;10";#N/A,#N/A,FALSE,"TEMEL&lt;10";#N/A,#N/A,FALSE,"TEMEL&gt;10"}</definedName>
    <definedName name="acbf" localSheetId="3" hidden="1">{#N/A,#N/A,FALSE,"DIZIPUSU.XLS";#N/A,#N/A,FALSE,"2SAYFA.XLS";#N/A,#N/A,FALSE,"ODECET.XLS";#N/A,#N/A,FALSE,"MAFIFAIC.XLS";#N/A,#N/A,FALSE,"ICMAL.XLS";#N/A,#N/A,FALSE,"TOPRAK.XLS";#N/A,#N/A,FALSE,"SANAT.XLS";#N/A,#N/A,FALSE,"USTYAPI.XLS";#N/A,#N/A,FALSE,"CESITLI.XLS";#N/A,#N/A,FALSE,"IHZARAT.XLS";#N/A,#N/A,FALSE,"ODEDIL.XLS";#N/A,#N/A,FALSE,"YESDEF1.XLS";#N/A,#N/A,FALSE,"TOPYESDE.XLS";#N/A,#N/A,FALSE,"SANYESDE.XLS";#N/A,#N/A,FALSE,"USTYESDE.XLS";#N/A,#N/A,FALSE,"CESYESDE.XLS";#N/A,#N/A,FALSE,"IHZYESDE.XLS";#N/A,#N/A,FALSE,"ALTTEMEL&lt;10";#N/A,#N/A,FALSE,"ALTTEMEL&gt;10";#N/A,#N/A,FALSE,"TEMEL&lt;10";#N/A,#N/A,FALSE,"TEMEL&gt;10"}</definedName>
    <definedName name="acbf" hidden="1">{#N/A,#N/A,FALSE,"DIZIPUSU.XLS";#N/A,#N/A,FALSE,"2SAYFA.XLS";#N/A,#N/A,FALSE,"ODECET.XLS";#N/A,#N/A,FALSE,"MAFIFAIC.XLS";#N/A,#N/A,FALSE,"ICMAL.XLS";#N/A,#N/A,FALSE,"TOPRAK.XLS";#N/A,#N/A,FALSE,"SANAT.XLS";#N/A,#N/A,FALSE,"USTYAPI.XLS";#N/A,#N/A,FALSE,"CESITLI.XLS";#N/A,#N/A,FALSE,"IHZARAT.XLS";#N/A,#N/A,FALSE,"ODEDIL.XLS";#N/A,#N/A,FALSE,"YESDEF1.XLS";#N/A,#N/A,FALSE,"TOPYESDE.XLS";#N/A,#N/A,FALSE,"SANYESDE.XLS";#N/A,#N/A,FALSE,"USTYESDE.XLS";#N/A,#N/A,FALSE,"CESYESDE.XLS";#N/A,#N/A,FALSE,"IHZYESDE.XLS";#N/A,#N/A,FALSE,"ALTTEMEL&lt;10";#N/A,#N/A,FALSE,"ALTTEMEL&gt;10";#N/A,#N/A,FALSE,"TEMEL&lt;10";#N/A,#N/A,FALSE,"TEMEL&gt;10"}</definedName>
    <definedName name="acbg" localSheetId="3" hidden="1">{#N/A,#N/A,FALSE,"DIZIPUSU.XLS";#N/A,#N/A,FALSE,"2SAYFA.XLS";#N/A,#N/A,FALSE,"ODECET.XLS";#N/A,#N/A,FALSE,"MAFIFAIC.XLS";#N/A,#N/A,FALSE,"ICMAL.XLS";#N/A,#N/A,FALSE,"TOPRAK.XLS";#N/A,#N/A,FALSE,"SANAT.XLS";#N/A,#N/A,FALSE,"USTYAPI.XLS";#N/A,#N/A,FALSE,"CESITLI.XLS";#N/A,#N/A,FALSE,"IHZARAT.XLS";#N/A,#N/A,FALSE,"ODEDIL.XLS";#N/A,#N/A,FALSE,"YESDEF1.XLS";#N/A,#N/A,FALSE,"TOPYESDE.XLS";#N/A,#N/A,FALSE,"SANYESDE.XLS";#N/A,#N/A,FALSE,"USTYESDE.XLS";#N/A,#N/A,FALSE,"CESYESDE.XLS";#N/A,#N/A,FALSE,"IHZYESDE.XLS";#N/A,#N/A,FALSE,"ALTTEMEL&lt;10";#N/A,#N/A,FALSE,"ALTTEMEL&gt;10";#N/A,#N/A,FALSE,"TEMEL&lt;10";#N/A,#N/A,FALSE,"TEMEL&gt;10"}</definedName>
    <definedName name="acbg" hidden="1">{#N/A,#N/A,FALSE,"DIZIPUSU.XLS";#N/A,#N/A,FALSE,"2SAYFA.XLS";#N/A,#N/A,FALSE,"ODECET.XLS";#N/A,#N/A,FALSE,"MAFIFAIC.XLS";#N/A,#N/A,FALSE,"ICMAL.XLS";#N/A,#N/A,FALSE,"TOPRAK.XLS";#N/A,#N/A,FALSE,"SANAT.XLS";#N/A,#N/A,FALSE,"USTYAPI.XLS";#N/A,#N/A,FALSE,"CESITLI.XLS";#N/A,#N/A,FALSE,"IHZARAT.XLS";#N/A,#N/A,FALSE,"ODEDIL.XLS";#N/A,#N/A,FALSE,"YESDEF1.XLS";#N/A,#N/A,FALSE,"TOPYESDE.XLS";#N/A,#N/A,FALSE,"SANYESDE.XLS";#N/A,#N/A,FALSE,"USTYESDE.XLS";#N/A,#N/A,FALSE,"CESYESDE.XLS";#N/A,#N/A,FALSE,"IHZYESDE.XLS";#N/A,#N/A,FALSE,"ALTTEMEL&lt;10";#N/A,#N/A,FALSE,"ALTTEMEL&gt;10";#N/A,#N/A,FALSE,"TEMEL&lt;10";#N/A,#N/A,FALSE,"TEMEL&gt;10"}</definedName>
    <definedName name="ACC" localSheetId="3">#REF!</definedName>
    <definedName name="ACC">#REF!</definedName>
    <definedName name="ACC_PROD" localSheetId="3">#REF!</definedName>
    <definedName name="ACC_PROD">#REF!</definedName>
    <definedName name="AccArea">#N/A</definedName>
    <definedName name="Access_Button" localSheetId="3" hidden="1">"업체현황_카드발송_List"</definedName>
    <definedName name="Access_Button">"PJTFINAL_F02F11_List"</definedName>
    <definedName name="Access_Button1" hidden="1">"업체현황_카드발송_List"</definedName>
    <definedName name="Access_Button2" hidden="1">"업체현황_카드발송_List"</definedName>
    <definedName name="Access_Button3" hidden="1">"카드발송_카드발송_List1"</definedName>
    <definedName name="Access_Button4" hidden="1">"업체현황_카드발송_List"</definedName>
    <definedName name="AccessDatabase" localSheetId="3" hidden="1">"C:\My Documents\SCD\업무연락안양식.mdb"</definedName>
    <definedName name="AccessDatabase" hidden="1">"E:\WORK\VISUAL\MIRAE\LOADSYS\LoadDB.mdb"</definedName>
    <definedName name="AccVol">#N/A</definedName>
    <definedName name="ACDA" hidden="1">[43]GAEYO!#REF!</definedName>
    <definedName name="ad" hidden="1">{#N/A,#N/A,FALSE,"이태원철근"}</definedName>
    <definedName name="ada" hidden="1">{#N/A,#N/A,FALSE,"이태원철근"}</definedName>
    <definedName name="adadadadad" hidden="1">[44]METRAJ!#REF!</definedName>
    <definedName name="ADBA" localSheetId="3" hidden="1">{#N/A,#N/A,FALSE,"müş_iç_ihz";#N/A,#N/A,FALSE,"müş_iç_er";#N/A,#N/A,FALSE,"müş_iç_tut"}</definedName>
    <definedName name="ADBA" hidden="1">{#N/A,#N/A,FALSE,"müş_iç_ihz";#N/A,#N/A,FALSE,"müş_iç_er";#N/A,#N/A,FALSE,"müş_iç_tut"}</definedName>
    <definedName name="ADC" localSheetId="3" hidden="1">#REF!</definedName>
    <definedName name="ADC" hidden="1">#REF!</definedName>
    <definedName name="adip_num" localSheetId="3">#REF!</definedName>
    <definedName name="adip_num">#REF!</definedName>
    <definedName name="adryadry" localSheetId="3" hidden="1">'[45]Eq. Mobilization'!#REF!</definedName>
    <definedName name="adryadry" hidden="1">'[45]Eq. Mobilization'!#REF!</definedName>
    <definedName name="ads" localSheetId="3" hidden="1">{#N/A,#N/A,FALSE,"imalat_keşif";#N/A,#N/A,FALSE,"imalat_seviye";#N/A,#N/A,FALSE,"141";#N/A,#N/A,FALSE,"142";#N/A,#N/A,FALSE,"143";#N/A,#N/A,FALSE,"144";#N/A,#N/A,FALSE,"145";#N/A,#N/A,FALSE,"146";#N/A,#N/A,FALSE,"147";#N/A,#N/A,FALSE,"148";#N/A,#N/A,FALSE,"149"}</definedName>
    <definedName name="ads" hidden="1">{#N/A,#N/A,FALSE,"imalat_keşif";#N/A,#N/A,FALSE,"imalat_seviye";#N/A,#N/A,FALSE,"141";#N/A,#N/A,FALSE,"142";#N/A,#N/A,FALSE,"143";#N/A,#N/A,FALSE,"144";#N/A,#N/A,FALSE,"145";#N/A,#N/A,FALSE,"146";#N/A,#N/A,FALSE,"147";#N/A,#N/A,FALSE,"148";#N/A,#N/A,FALSE,"149"}</definedName>
    <definedName name="ae" hidden="1">{#N/A,#N/A,FALSE,"이태원철근"}</definedName>
    <definedName name="AED">'[46]Ex-Rate'!$C$13</definedName>
    <definedName name="AED_USD">#REF!</definedName>
    <definedName name="af" hidden="1">{#N/A,#N/A,FALSE,"이태원철근"}</definedName>
    <definedName name="afasd" localSheetId="3" hidden="1">{#N/A,#N/A,FALSE,"단가표지"}</definedName>
    <definedName name="afasd" hidden="1">{#N/A,#N/A,FALSE,"단가표지"}</definedName>
    <definedName name="AFC설비" localSheetId="3">#REF!</definedName>
    <definedName name="AFC설비">#REF!</definedName>
    <definedName name="afd" localSheetId="3" hidden="1">{#N/A,#N/A,FALSE,"운반시간"}</definedName>
    <definedName name="afd" hidden="1">{#N/A,#N/A,FALSE,"운반시간"}</definedName>
    <definedName name="afdasgh" localSheetId="3" hidden="1">{#N/A,#N/A,FALSE,"CCTV"}</definedName>
    <definedName name="afdasgh" hidden="1">{#N/A,#N/A,FALSE,"CCTV"}</definedName>
    <definedName name="afdsfdg" localSheetId="3" hidden="1">{#N/A,#N/A,FALSE,"CCTV"}</definedName>
    <definedName name="afdsfdg" hidden="1">{#N/A,#N/A,FALSE,"CCTV"}</definedName>
    <definedName name="afffgff" localSheetId="3" hidden="1">{#N/A,#N/A,FALSE,"CCTV"}</definedName>
    <definedName name="afffgff" hidden="1">{#N/A,#N/A,FALSE,"CCTV"}</definedName>
    <definedName name="ag" hidden="1">{#N/A,#N/A,FALSE,"이태원철근"}</definedName>
    <definedName name="agdump" localSheetId="17">#REF!</definedName>
    <definedName name="agdump" localSheetId="15">#REF!</definedName>
    <definedName name="agdump" localSheetId="3">#REF!</definedName>
    <definedName name="agdump">#REF!</definedName>
    <definedName name="agedump" localSheetId="17">#REF!</definedName>
    <definedName name="agedump" localSheetId="15">#REF!</definedName>
    <definedName name="agedump" localSheetId="3">#REF!</definedName>
    <definedName name="agedump">#REF!</definedName>
    <definedName name="agencydump" localSheetId="17">#REF!</definedName>
    <definedName name="agencydump" localSheetId="15">#REF!</definedName>
    <definedName name="agencydump" localSheetId="3">#REF!</definedName>
    <definedName name="agencydump">#REF!</definedName>
    <definedName name="AGENCYLY" localSheetId="17">#REF!</definedName>
    <definedName name="AGENCYLY" localSheetId="15">#REF!</definedName>
    <definedName name="AGENCYLY" localSheetId="3">#REF!</definedName>
    <definedName name="AGENCYLY">#REF!</definedName>
    <definedName name="AGENCYPLAN" localSheetId="17">#REF!</definedName>
    <definedName name="AGENCYPLAN" localSheetId="15">#REF!</definedName>
    <definedName name="AGENCYPLAN" localSheetId="3">#REF!</definedName>
    <definedName name="AGENCYPLAN">#REF!</definedName>
    <definedName name="agfg">{"'장비'!$A$3:$M$12"}</definedName>
    <definedName name="agp" localSheetId="3">#REF!</definedName>
    <definedName name="agp">#REF!</definedName>
    <definedName name="AG통합" localSheetId="3">#REF!</definedName>
    <definedName name="AG통합">#REF!</definedName>
    <definedName name="ah" hidden="1">{#N/A,#N/A,FALSE,"이태원철근"}</definedName>
    <definedName name="aheh" hidden="1">{#N/A,#N/A,FALSE,"이태원철근"}</definedName>
    <definedName name="Ahmet" localSheetId="3" hidden="1">{#N/A,#N/A,FALSE,"BRIM_ICMAL";#N/A,#N/A,FALSE,"ASE_KUR";#N/A,#N/A,FALSE,"ASE_YES";#N/A,#N/A,FALSE,"AM_KUR";#N/A,#N/A,FALSE,"AMU_YES";#N/A,#N/A,FALSE,"PAR_KUR";#N/A,#N/A,FALSE,"PAR_YES";#N/A,#N/A,FALSE,"YSE_YES";#N/A,#N/A,FALSE,"YSE_YES";#N/A,#N/A,FALSE,"YM_KUR";#N/A,#N/A,FALSE,"YM_YES";#N/A,#N/A,FALSE,"YAB_KUR";#N/A,#N/A,FALSE,"YAB_YES";#N/A,#N/A,FALSE,"elek_kur";#N/A,#N/A,FALSE,"elek_yes";#N/A,#N/A,FALSE,"içm_KUR";#N/A,#N/A,FALSE,"içm_YES";#N/A,#N/A,FALSE,"TEL_KUR";#N/A,#N/A,FALSE,"TEL_YES";#N/A,#N/A,FALSE,"ISI_TES_KUR";#N/A,#N/A,FALSE,"ISI_TES_YES";#N/A,#N/A,FALSE,"ISIKAN_KUR";#N/A,#N/A,FALSE,"ISI_KAN_YES";#N/A,#N/A,FALSE,"YOLOT_KUR";#N/A,#N/A,FALSE,"YOLOT_YES";#N/A,#N/A,FALSE,"İST_KUR";#N/A,#N/A,FALSE,"İST_YES";#N/A,#N/A,FALSE,"ÇEVR_KUR";#N/A,#N/A,FALSE,"ÇEVRE_YES";#N/A,#N/A,FALSE,"PEY_KUR";#N/A,#N/A,FALSE,"PEY_YES";#N/A,#N/A,FALSE,"SULAMA_KUR";#N/A,#N/A,FALSE,"SULAMA_YES"}</definedName>
    <definedName name="Ahmet" hidden="1">{#N/A,#N/A,FALSE,"BRIM_ICMAL";#N/A,#N/A,FALSE,"ASE_KUR";#N/A,#N/A,FALSE,"ASE_YES";#N/A,#N/A,FALSE,"AM_KUR";#N/A,#N/A,FALSE,"AMU_YES";#N/A,#N/A,FALSE,"PAR_KUR";#N/A,#N/A,FALSE,"PAR_YES";#N/A,#N/A,FALSE,"YSE_YES";#N/A,#N/A,FALSE,"YSE_YES";#N/A,#N/A,FALSE,"YM_KUR";#N/A,#N/A,FALSE,"YM_YES";#N/A,#N/A,FALSE,"YAB_KUR";#N/A,#N/A,FALSE,"YAB_YES";#N/A,#N/A,FALSE,"elek_kur";#N/A,#N/A,FALSE,"elek_yes";#N/A,#N/A,FALSE,"içm_KUR";#N/A,#N/A,FALSE,"içm_YES";#N/A,#N/A,FALSE,"TEL_KUR";#N/A,#N/A,FALSE,"TEL_YES";#N/A,#N/A,FALSE,"ISI_TES_KUR";#N/A,#N/A,FALSE,"ISI_TES_YES";#N/A,#N/A,FALSE,"ISIKAN_KUR";#N/A,#N/A,FALSE,"ISI_KAN_YES";#N/A,#N/A,FALSE,"YOLOT_KUR";#N/A,#N/A,FALSE,"YOLOT_YES";#N/A,#N/A,FALSE,"İST_KUR";#N/A,#N/A,FALSE,"İST_YES";#N/A,#N/A,FALSE,"ÇEVR_KUR";#N/A,#N/A,FALSE,"ÇEVRE_YES";#N/A,#N/A,FALSE,"PEY_KUR";#N/A,#N/A,FALSE,"PEY_YES";#N/A,#N/A,FALSE,"SULAMA_KUR";#N/A,#N/A,FALSE,"SULAMA_YES"}</definedName>
    <definedName name="ai" hidden="1">{#N/A,#N/A,FALSE,"이태원철근"}</definedName>
    <definedName name="air_trap" localSheetId="3">#REF!</definedName>
    <definedName name="air_trap">#REF!</definedName>
    <definedName name="AJ" localSheetId="3" hidden="1">{#N/A,#N/A,FALSE,"이태원철근"}</definedName>
    <definedName name="AJ" hidden="1">{#N/A,#N/A,FALSE,"이태원철근"}</definedName>
    <definedName name="ak" hidden="1">{#N/A,#N/A,FALSE,"이태원철근"}</definedName>
    <definedName name="AKLSPOAEIW" localSheetId="3" hidden="1">{#N/A,#N/A,FALSE,"TABLE"}</definedName>
    <definedName name="AKLSPOAEIW" hidden="1">{#N/A,#N/A,FALSE,"TABLE"}</definedName>
    <definedName name="aky" localSheetId="3" hidden="1">{#N/A,#N/A,FALSE,"sıh_iç_ihz";#N/A,#N/A,FALSE,"sıh_iç_er";#N/A,#N/A,FALSE,"sıh_iç_tut"}</definedName>
    <definedName name="aky" hidden="1">{#N/A,#N/A,FALSE,"sıh_iç_ihz";#N/A,#N/A,FALSE,"sıh_iç_er";#N/A,#N/A,FALSE,"sıh_iç_tut"}</definedName>
    <definedName name="al" hidden="1">{#N/A,#N/A,FALSE,"이태원철근"}</definedName>
    <definedName name="ALÇAKDERE" localSheetId="3" hidden="1">{#N/A,#N/A,FALSE,"Çaykara ataköy (1)";#N/A,#N/A,FALSE,"Çaykara ataköy (2)";#N/A,#N/A,FALSE,"Rize Kalkandere ";#N/A,#N/A,FALSE,"meydancık";#N/A,#N/A,FALSE,"muratlı"}</definedName>
    <definedName name="ALÇAKDERE" hidden="1">{#N/A,#N/A,FALSE,"Çaykara ataköy (1)";#N/A,#N/A,FALSE,"Çaykara ataköy (2)";#N/A,#N/A,FALSE,"Rize Kalkandere ";#N/A,#N/A,FALSE,"meydancık";#N/A,#N/A,FALSE,"muratlı"}</definedName>
    <definedName name="ali" localSheetId="3" hidden="1">{#N/A,#N/A,FALSE,"Çaykara ataköy (1)";#N/A,#N/A,FALSE,"Çaykara ataköy (2)";#N/A,#N/A,FALSE,"Rize Kalkandere ";#N/A,#N/A,FALSE,"meydancık";#N/A,#N/A,FALSE,"muratlı"}</definedName>
    <definedName name="ali" hidden="1">{#N/A,#N/A,FALSE,"Çaykara ataköy (1)";#N/A,#N/A,FALSE,"Çaykara ataköy (2)";#N/A,#N/A,FALSE,"Rize Kalkandere ";#N/A,#N/A,FALSE,"meydancık";#N/A,#N/A,FALSE,"muratlı"}</definedName>
    <definedName name="ALL" hidden="1">{#N/A,#N/A,TRUE,"Basic";#N/A,#N/A,TRUE,"EXT-TABLE";#N/A,#N/A,TRUE,"STEEL";#N/A,#N/A,TRUE,"INT-Table";#N/A,#N/A,TRUE,"STEEL";#N/A,#N/A,TRUE,"Door"}</definedName>
    <definedName name="All_Item" localSheetId="3">#REF!</definedName>
    <definedName name="All_Item">#REF!</definedName>
    <definedName name="alllines">#REF!</definedName>
    <definedName name="ALPIN">#N/A</definedName>
    <definedName name="ALPJYOU">#N/A</definedName>
    <definedName name="ALPTOI">#N/A</definedName>
    <definedName name="am" localSheetId="3">#REF!</definedName>
    <definedName name="am">#REF!</definedName>
    <definedName name="amatl" localSheetId="3">#REF!</definedName>
    <definedName name="amatl">#REF!</definedName>
    <definedName name="ammonia" localSheetId="3">#REF!</definedName>
    <definedName name="ammonia">#REF!</definedName>
    <definedName name="an" hidden="1">{#N/A,#N/A,FALSE,"이태원철근"}</definedName>
    <definedName name="analiz" localSheetId="3" hidden="1">{#N/A,#N/A,FALSE,"Çaykara ataköy (1)";#N/A,#N/A,FALSE,"Çaykara ataköy (2)";#N/A,#N/A,FALSE,"Rize Kalkandere ";#N/A,#N/A,FALSE,"meydancık";#N/A,#N/A,FALSE,"muratlı"}</definedName>
    <definedName name="analiz" hidden="1">{#N/A,#N/A,FALSE,"Çaykara ataköy (1)";#N/A,#N/A,FALSE,"Çaykara ataköy (2)";#N/A,#N/A,FALSE,"Rize Kalkandere ";#N/A,#N/A,FALSE,"meydancık";#N/A,#N/A,FALSE,"muratlı"}</definedName>
    <definedName name="anchor" localSheetId="17">#REF!</definedName>
    <definedName name="anchor" localSheetId="15">#REF!</definedName>
    <definedName name="anchor" localSheetId="3">#REF!</definedName>
    <definedName name="anchor">#REF!</definedName>
    <definedName name="angle" localSheetId="3">#REF!</definedName>
    <definedName name="angle">#REF!</definedName>
    <definedName name="ans" localSheetId="3" hidden="1">{#N/A,#N/A,FALSE,"이태원철근"}</definedName>
    <definedName name="ans" hidden="1">{#N/A,#N/A,FALSE,"이태원철근"}</definedName>
    <definedName name="anscount" hidden="1">1</definedName>
    <definedName name="ao" hidden="1">{#N/A,#N/A,FALSE,"이태원철근"}</definedName>
    <definedName name="ap" hidden="1">{#N/A,#N/A,FALSE,"이태원철근"}</definedName>
    <definedName name="APPO" hidden="1">#REF!</definedName>
    <definedName name="aq" localSheetId="3" hidden="1">{#N/A,#N/A,FALSE,"배수2"}</definedName>
    <definedName name="aq" hidden="1">{#N/A,#N/A,FALSE,"이태원철근"}</definedName>
    <definedName name="ar" hidden="1">{#N/A,#N/A,FALSE,"이태원철근"}</definedName>
    <definedName name="arch" localSheetId="3">#REF!</definedName>
    <definedName name="arch">#REF!</definedName>
    <definedName name="AREA">#REF!</definedName>
    <definedName name="Area_stampa_MI" localSheetId="3">#REF!</definedName>
    <definedName name="Area_stampa_MI">#REF!</definedName>
    <definedName name="area_sum" localSheetId="3">#REF!</definedName>
    <definedName name="area_sum">#REF!</definedName>
    <definedName name="AREA100" localSheetId="3">#REF!</definedName>
    <definedName name="AREA100">#REF!</definedName>
    <definedName name="AREA125" localSheetId="3">#REF!</definedName>
    <definedName name="AREA125">#REF!</definedName>
    <definedName name="AREA150" localSheetId="3">#REF!</definedName>
    <definedName name="AREA150">#REF!</definedName>
    <definedName name="AREA175" localSheetId="3">#REF!</definedName>
    <definedName name="AREA175">#REF!</definedName>
    <definedName name="AREA25" localSheetId="3">#REF!</definedName>
    <definedName name="AREA25">#REF!</definedName>
    <definedName name="AREA30" localSheetId="3">#REF!</definedName>
    <definedName name="AREA30">#REF!</definedName>
    <definedName name="AREA40" localSheetId="3">#REF!</definedName>
    <definedName name="AREA40">#REF!</definedName>
    <definedName name="AREA50" localSheetId="3">#REF!</definedName>
    <definedName name="AREA50">#REF!</definedName>
    <definedName name="AREA65" localSheetId="3">#REF!</definedName>
    <definedName name="AREA65">#REF!</definedName>
    <definedName name="AREA75" localSheetId="3">#REF!</definedName>
    <definedName name="AREA75">#REF!</definedName>
    <definedName name="AREASORT" localSheetId="3">#REF!</definedName>
    <definedName name="AREASORT">#REF!</definedName>
    <definedName name="arf" localSheetId="3" hidden="1">{#N/A,#N/A,FALSE,"Çaykara ataköy (1)";#N/A,#N/A,FALSE,"Çaykara ataköy (2)";#N/A,#N/A,FALSE,"Rize Kalkandere ";#N/A,#N/A,FALSE,"meydancık";#N/A,#N/A,FALSE,"muratlı"}</definedName>
    <definedName name="arf" hidden="1">{#N/A,#N/A,FALSE,"Çaykara ataköy (1)";#N/A,#N/A,FALSE,"Çaykara ataköy (2)";#N/A,#N/A,FALSE,"Rize Kalkandere ";#N/A,#N/A,FALSE,"meydancık";#N/A,#N/A,FALSE,"muratlı"}</definedName>
    <definedName name="Arial" localSheetId="3">#REF!</definedName>
    <definedName name="Arial">#REF!</definedName>
    <definedName name="arif" localSheetId="3" hidden="1">{#N/A,#N/A,FALSE,"Çaykara ataköy (1)";#N/A,#N/A,FALSE,"Çaykara ataköy (2)";#N/A,#N/A,FALSE,"Rize Kalkandere ";#N/A,#N/A,FALSE,"meydancık";#N/A,#N/A,FALSE,"muratlı"}</definedName>
    <definedName name="arif" hidden="1">{#N/A,#N/A,FALSE,"Çaykara ataköy (1)";#N/A,#N/A,FALSE,"Çaykara ataköy (2)";#N/A,#N/A,FALSE,"Rize Kalkandere ";#N/A,#N/A,FALSE,"meydancık";#N/A,#N/A,FALSE,"muratlı"}</definedName>
    <definedName name="arrotonda" localSheetId="3">#REF!</definedName>
    <definedName name="arrotonda">#REF!</definedName>
    <definedName name="AS" localSheetId="3">#REF!</definedName>
    <definedName name="AS">#REF!</definedName>
    <definedName name="AS1_" localSheetId="3">#REF!</definedName>
    <definedName name="AS1_">#REF!</definedName>
    <definedName name="AS2DocOpenMode" hidden="1">"AS2DocumentEdit"</definedName>
    <definedName name="asa" localSheetId="3" hidden="1">{#N/A,#N/A,FALSE,"imalat_keşif";#N/A,#N/A,FALSE,"imalat_seviye";#N/A,#N/A,FALSE,"141";#N/A,#N/A,FALSE,"142";#N/A,#N/A,FALSE,"143";#N/A,#N/A,FALSE,"144";#N/A,#N/A,FALSE,"145";#N/A,#N/A,FALSE,"146";#N/A,#N/A,FALSE,"147";#N/A,#N/A,FALSE,"148";#N/A,#N/A,FALSE,"149"}</definedName>
    <definedName name="asa" hidden="1">{#N/A,#N/A,FALSE,"imalat_keşif";#N/A,#N/A,FALSE,"imalat_seviye";#N/A,#N/A,FALSE,"141";#N/A,#N/A,FALSE,"142";#N/A,#N/A,FALSE,"143";#N/A,#N/A,FALSE,"144";#N/A,#N/A,FALSE,"145";#N/A,#N/A,FALSE,"146";#N/A,#N/A,FALSE,"147";#N/A,#N/A,FALSE,"148";#N/A,#N/A,FALSE,"149"}</definedName>
    <definedName name="asas" hidden="1">{#N/A,#N/A,TRUE,"Basic";#N/A,#N/A,TRUE,"EXT-TABLE";#N/A,#N/A,TRUE,"STEEL";#N/A,#N/A,TRUE,"INT-Table";#N/A,#N/A,TRUE,"STEEL";#N/A,#N/A,TRUE,"Door"}</definedName>
    <definedName name="asasa" localSheetId="3" hidden="1">{#N/A,#N/A,FALSE,"ihz. icmal";#N/A,#N/A,FALSE,"avans";#N/A,#N/A,FALSE,"mal_FF_icm";#N/A,#N/A,FALSE,"fat_ihz";#N/A,#N/A,FALSE,"söz_fiy_fark";#N/A,#N/A,FALSE,"kap2"}</definedName>
    <definedName name="asasa" hidden="1">{#N/A,#N/A,FALSE,"ihz. icmal";#N/A,#N/A,FALSE,"avans";#N/A,#N/A,FALSE,"mal_FF_icm";#N/A,#N/A,FALSE,"fat_ihz";#N/A,#N/A,FALSE,"söz_fiy_fark";#N/A,#N/A,FALSE,"kap2"}</definedName>
    <definedName name="asasasa" localSheetId="3" hidden="1">{#N/A,#N/A,FALSE,"ihz. icmal";#N/A,#N/A,FALSE,"avans";#N/A,#N/A,FALSE,"mal_FF_icm";#N/A,#N/A,FALSE,"fat_ihz";#N/A,#N/A,FALSE,"söz_fiy_fark";#N/A,#N/A,FALSE,"kap2"}</definedName>
    <definedName name="asasasa" hidden="1">{#N/A,#N/A,FALSE,"ihz. icmal";#N/A,#N/A,FALSE,"avans";#N/A,#N/A,FALSE,"mal_FF_icm";#N/A,#N/A,FALSE,"fat_ihz";#N/A,#N/A,FALSE,"söz_fiy_fark";#N/A,#N/A,FALSE,"kap2"}</definedName>
    <definedName name="asasasasa" hidden="1">[44]METRAJ!#REF!</definedName>
    <definedName name="asd">{"Book1","DOC&amp;DWG.xls"}</definedName>
    <definedName name="ASDA" hidden="1">[44]METRAJ!#REF!</definedName>
    <definedName name="asdasd" hidden="1">#REF!</definedName>
    <definedName name="asdga" hidden="1">{#N/A,#N/A,FALSE,"이태원철근"}</definedName>
    <definedName name="ase" localSheetId="3" hidden="1">{#N/A,#N/A,FALSE,"söz_fiy_fark";#N/A,#N/A,FALSE,"ihz. icmal";#N/A,#N/A,FALSE,"1";#N/A,#N/A,FALSE,"sıh_iç_ihz";#N/A,#N/A,FALSE,"sıh_iç_tut";#N/A,#N/A,FALSE,"sıh_iç_er";#N/A,#N/A,FALSE,"2";#N/A,#N/A,FALSE,"müş_iç_ihz";#N/A,#N/A,FALSE,"müş_iç_tut";#N/A,#N/A,FALSE,"müş_iç_er";#N/A,#N/A,FALSE,"3";#N/A,#N/A,FALSE,"kal_iç_ihz";#N/A,#N/A,FALSE,"kal_iç_tut";#N/A,#N/A,FALSE,"kal_iç_er";#N/A,#N/A,FALSE,"4";#N/A,#N/A,FALSE,"oto_ihz";#N/A,#N/A,FALSE,"oto_tut";#N/A,#N/A,FALSE,"oto_er";#N/A,#N/A,FALSE,"5";#N/A,#N/A,FALSE,"brü_ihz";#N/A,#N/A,FALSE,"brü_tut";#N/A,#N/A,FALSE,"brü_er"}</definedName>
    <definedName name="ase">[47]Main!#REF!</definedName>
    <definedName name="asfas" localSheetId="3" hidden="1">{#N/A,#N/A,FALSE,"표지목차"}</definedName>
    <definedName name="asfas" hidden="1">{#N/A,#N/A,FALSE,"표지목차"}</definedName>
    <definedName name="ass" localSheetId="3" hidden="1">{#N/A,#N/A,FALSE,"Çaykara ataköy (1)";#N/A,#N/A,FALSE,"Çaykara ataköy (2)";#N/A,#N/A,FALSE,"Rize Kalkandere ";#N/A,#N/A,FALSE,"meydancık";#N/A,#N/A,FALSE,"muratlı"}</definedName>
    <definedName name="ass" hidden="1">{#N/A,#N/A,FALSE,"Çaykara ataköy (1)";#N/A,#N/A,FALSE,"Çaykara ataköy (2)";#N/A,#N/A,FALSE,"Rize Kalkandere ";#N/A,#N/A,FALSE,"meydancık";#N/A,#N/A,FALSE,"muratlı"}</definedName>
    <definedName name="ASTM" localSheetId="3">#REF!</definedName>
    <definedName name="ASTM">#REF!</definedName>
    <definedName name="Attachment_C_3" localSheetId="3">#REF!</definedName>
    <definedName name="Attachment_C_3">#REF!</definedName>
    <definedName name="Au">#N/A</definedName>
    <definedName name="Àü">#N/A</definedName>
    <definedName name="autoexec" localSheetId="3">#REF!</definedName>
    <definedName name="autoexec">#REF!</definedName>
    <definedName name="aux" localSheetId="3">#REF!</definedName>
    <definedName name="aux">#REF!</definedName>
    <definedName name="AY" localSheetId="3" hidden="1">{#N/A,#N/A,FALSE,"TABLE"}</definedName>
    <definedName name="AY" hidden="1">{#N/A,#N/A,FALSE,"TABLE"}</definedName>
    <definedName name="Ayder" localSheetId="3" hidden="1">{#N/A,#N/A,FALSE,"Çaykara ataköy (1)";#N/A,#N/A,FALSE,"Çaykara ataköy (2)";#N/A,#N/A,FALSE,"Rize Kalkandere ";#N/A,#N/A,FALSE,"meydancık";#N/A,#N/A,FALSE,"muratlı"}</definedName>
    <definedName name="Ayder" hidden="1">{#N/A,#N/A,FALSE,"Çaykara ataköy (1)";#N/A,#N/A,FALSE,"Çaykara ataköy (2)";#N/A,#N/A,FALSE,"Rize Kalkandere ";#N/A,#N/A,FALSE,"meydancık";#N/A,#N/A,FALSE,"muratlı"}</definedName>
    <definedName name="ayşe" localSheetId="3" hidden="1">{#VALUE!,#N/A,FALSE,0;#N/A,#N/A,FALSE,0;#N/A,#N/A,FALSE,0;#N/A,#N/A,FALSE,0;#N/A,#N/A,FALSE,0}</definedName>
    <definedName name="ayşe" hidden="1">{#VALUE!,#N/A,FALSE,0;#N/A,#N/A,FALSE,0;#N/A,#N/A,FALSE,0;#N/A,#N/A,FALSE,0;#N/A,#N/A,FALSE,0}</definedName>
    <definedName name="az" localSheetId="3" hidden="1">{#N/A,#N/A,FALSE,"Çaykara ataköy (1)";#N/A,#N/A,FALSE,"Çaykara ataköy (2)";#N/A,#N/A,FALSE,"Rize Kalkandere ";#N/A,#N/A,FALSE,"meydancık";#N/A,#N/A,FALSE,"muratlı"}</definedName>
    <definedName name="AZ" hidden="1">#REF!</definedName>
    <definedName name="B" localSheetId="17">#REF!</definedName>
    <definedName name="B" localSheetId="15">#REF!</definedName>
    <definedName name="b" localSheetId="3">#REF!</definedName>
    <definedName name="B">#REF!</definedName>
    <definedName name="B.F.İŞL." localSheetId="3" hidden="1">{#N/A,#N/A,FALSE,"ihz. icmal";#N/A,#N/A,FALSE,"inş_iç_ihz";#N/A,#N/A,FALSE,"inş_iç_tut";#N/A,#N/A,FALSE,"inş_iç_er";#N/A,#N/A,FALSE,"1";#N/A,#N/A,FALSE,"sıh_iç_ihz";#N/A,#N/A,FALSE,"sıh_iç_tut";#N/A,#N/A,FALSE,"sıh_iç_er";#N/A,#N/A,FALSE,"2";#N/A,#N/A,FALSE,"müş_iç_ihz";#N/A,#N/A,FALSE,"müş_iç_tut";#N/A,#N/A,FALSE,"müş_iç_er";#N/A,#N/A,FALSE,"3";#N/A,#N/A,FALSE,"kal_iç_ihz";#N/A,#N/A,FALSE,"kal_iç_tut";#N/A,#N/A,FALSE,"kal_iç_er";#N/A,#N/A,FALSE,"4";#N/A,#N/A,FALSE,"oto_ihz";#N/A,#N/A,FALSE,"oto_tut";#N/A,#N/A,FALSE,"oto_er";#N/A,#N/A,FALSE,"5";#N/A,#N/A,FALSE,"brü_ihz";#N/A,#N/A,FALSE,"brü_tut";#N/A,#N/A,FALSE,"brü_er";#N/A,#N/A,FALSE,"elk_iç_ihz";#N/A,#N/A,FALSE,"elk_iç_tut";#N/A,#N/A,FALSE,"elk_iç_er"}</definedName>
    <definedName name="B.F.İŞL." hidden="1">{#N/A,#N/A,FALSE,"ihz. icmal";#N/A,#N/A,FALSE,"inş_iç_ihz";#N/A,#N/A,FALSE,"inş_iç_tut";#N/A,#N/A,FALSE,"inş_iç_er";#N/A,#N/A,FALSE,"1";#N/A,#N/A,FALSE,"sıh_iç_ihz";#N/A,#N/A,FALSE,"sıh_iç_tut";#N/A,#N/A,FALSE,"sıh_iç_er";#N/A,#N/A,FALSE,"2";#N/A,#N/A,FALSE,"müş_iç_ihz";#N/A,#N/A,FALSE,"müş_iç_tut";#N/A,#N/A,FALSE,"müş_iç_er";#N/A,#N/A,FALSE,"3";#N/A,#N/A,FALSE,"kal_iç_ihz";#N/A,#N/A,FALSE,"kal_iç_tut";#N/A,#N/A,FALSE,"kal_iç_er";#N/A,#N/A,FALSE,"4";#N/A,#N/A,FALSE,"oto_ihz";#N/A,#N/A,FALSE,"oto_tut";#N/A,#N/A,FALSE,"oto_er";#N/A,#N/A,FALSE,"5";#N/A,#N/A,FALSE,"brü_ihz";#N/A,#N/A,FALSE,"brü_tut";#N/A,#N/A,FALSE,"brü_er";#N/A,#N/A,FALSE,"elk_iç_ihz";#N/A,#N/A,FALSE,"elk_iç_tut";#N/A,#N/A,FALSE,"elk_iç_er"}</definedName>
    <definedName name="B.F.İŞL.İHZARAT" localSheetId="3" hidden="1">{#N/A,#N/A,FALSE,"söz_fiy_fark";#N/A,#N/A,FALSE,"ihz. icmal";#N/A,#N/A,FALSE,"1";#N/A,#N/A,FALSE,"sıh_iç_ihz";#N/A,#N/A,FALSE,"sıh_iç_tut";#N/A,#N/A,FALSE,"sıh_iç_er";#N/A,#N/A,FALSE,"2";#N/A,#N/A,FALSE,"müş_iç_ihz";#N/A,#N/A,FALSE,"müş_iç_tut";#N/A,#N/A,FALSE,"müş_iç_er";#N/A,#N/A,FALSE,"3";#N/A,#N/A,FALSE,"kal_iç_ihz";#N/A,#N/A,FALSE,"kal_iç_tut";#N/A,#N/A,FALSE,"kal_iç_er";#N/A,#N/A,FALSE,"4";#N/A,#N/A,FALSE,"oto_ihz";#N/A,#N/A,FALSE,"oto_tut";#N/A,#N/A,FALSE,"oto_er";#N/A,#N/A,FALSE,"5";#N/A,#N/A,FALSE,"brü_ihz";#N/A,#N/A,FALSE,"brü_tut";#N/A,#N/A,FALSE,"brü_er"}</definedName>
    <definedName name="B.F.İŞL.İHZARAT" hidden="1">{#N/A,#N/A,FALSE,"söz_fiy_fark";#N/A,#N/A,FALSE,"ihz. icmal";#N/A,#N/A,FALSE,"1";#N/A,#N/A,FALSE,"sıh_iç_ihz";#N/A,#N/A,FALSE,"sıh_iç_tut";#N/A,#N/A,FALSE,"sıh_iç_er";#N/A,#N/A,FALSE,"2";#N/A,#N/A,FALSE,"müş_iç_ihz";#N/A,#N/A,FALSE,"müş_iç_tut";#N/A,#N/A,FALSE,"müş_iç_er";#N/A,#N/A,FALSE,"3";#N/A,#N/A,FALSE,"kal_iç_ihz";#N/A,#N/A,FALSE,"kal_iç_tut";#N/A,#N/A,FALSE,"kal_iç_er";#N/A,#N/A,FALSE,"4";#N/A,#N/A,FALSE,"oto_ihz";#N/A,#N/A,FALSE,"oto_tut";#N/A,#N/A,FALSE,"oto_er";#N/A,#N/A,FALSE,"5";#N/A,#N/A,FALSE,"brü_ihz";#N/A,#N/A,FALSE,"brü_tut";#N/A,#N/A,FALSE,"brü_er"}</definedName>
    <definedName name="B_1" localSheetId="3">#REF!</definedName>
    <definedName name="B_1">#REF!</definedName>
    <definedName name="b_dash" localSheetId="17">#REF!</definedName>
    <definedName name="b_dash" localSheetId="15">#REF!</definedName>
    <definedName name="b_dash" localSheetId="3">#REF!</definedName>
    <definedName name="b_dash">#REF!</definedName>
    <definedName name="B_FLG" localSheetId="3">#REF!</definedName>
    <definedName name="B_FLG">#REF!</definedName>
    <definedName name="b0">#REF!</definedName>
    <definedName name="b000">'[47]MC-1'!$B$61:$C$62</definedName>
    <definedName name="b00000">'[47]MC-1'!$B$61:$C$62</definedName>
    <definedName name="B3송" localSheetId="3" hidden="1">#REF!</definedName>
    <definedName name="B3송" hidden="1">#REF!</definedName>
    <definedName name="B4S3" localSheetId="17">'[26]95삼성급(본사)'!#REF!</definedName>
    <definedName name="B4S3" localSheetId="15">'[26]95삼성급(본사)'!#REF!</definedName>
    <definedName name="B4S3">'[26]95삼성급(본사)'!#REF!</definedName>
    <definedName name="B6M3" localSheetId="17">'[26]95삼성급(본사)'!#REF!</definedName>
    <definedName name="B6M3" localSheetId="15">'[26]95삼성급(본사)'!#REF!</definedName>
    <definedName name="B6M3">'[26]95삼성급(본사)'!#REF!</definedName>
    <definedName name="B6S3" localSheetId="17">'[26]95삼성급(본사)'!#REF!</definedName>
    <definedName name="B6S3" localSheetId="15">'[26]95삼성급(본사)'!#REF!</definedName>
    <definedName name="B6S3">'[26]95삼성급(본사)'!#REF!</definedName>
    <definedName name="B6W3" localSheetId="17">'[26]95삼성급(본사)'!#REF!</definedName>
    <definedName name="B6W3" localSheetId="15">'[26]95삼성급(본사)'!#REF!</definedName>
    <definedName name="B6W3">'[26]95삼성급(본사)'!#REF!</definedName>
    <definedName name="BA" hidden="1">{#N/A,#N/A,TRUE,"Basic";#N/A,#N/A,TRUE,"EXT-TABLE";#N/A,#N/A,TRUE,"STEEL";#N/A,#N/A,TRUE,"INT-Table";#N/A,#N/A,TRUE,"STEEL";#N/A,#N/A,TRUE,"Door"}</definedName>
    <definedName name="babo">[48]VA_code!$Q$1:$R$31</definedName>
    <definedName name="BAC" localSheetId="3" hidden="1">{#N/A,#N/A,FALSE,"TABLE"}</definedName>
    <definedName name="BAC" hidden="1">{#N/A,#N/A,FALSE,"TABLE"}</definedName>
    <definedName name="back_pressure" localSheetId="3">#REF!</definedName>
    <definedName name="back_pressure">#REF!</definedName>
    <definedName name="ball" localSheetId="3">#REF!</definedName>
    <definedName name="ball">#REF!</definedName>
    <definedName name="Barınak" localSheetId="3" hidden="1">{#N/A,#N/A,FALSE,"Çaykara ataköy (1)";#N/A,#N/A,FALSE,"Çaykara ataköy (2)";#N/A,#N/A,FALSE,"Rize Kalkandere ";#N/A,#N/A,FALSE,"meydancık";#N/A,#N/A,FALSE,"muratlı"}</definedName>
    <definedName name="Barınak" hidden="1">{#N/A,#N/A,FALSE,"Çaykara ataköy (1)";#N/A,#N/A,FALSE,"Çaykara ataköy (2)";#N/A,#N/A,FALSE,"Rize Kalkandere ";#N/A,#N/A,FALSE,"meydancık";#N/A,#N/A,FALSE,"muratlı"}</definedName>
    <definedName name="BASE" localSheetId="3" hidden="1">{#N/A,#N/A,TRUE,"Basic";#N/A,#N/A,TRUE,"EXT-TABLE";#N/A,#N/A,TRUE,"STEEL";#N/A,#N/A,TRUE,"INT-Table";#N/A,#N/A,TRUE,"STEEL";#N/A,#N/A,TRUE,"Door"}</definedName>
    <definedName name="BASE" hidden="1">{#N/A,#N/A,TRUE,"Basic";#N/A,#N/A,TRUE,"EXT-TABLE";#N/A,#N/A,TRUE,"STEEL";#N/A,#N/A,TRUE,"INT-Table";#N/A,#N/A,TRUE,"STEEL";#N/A,#N/A,TRUE,"Door"}</definedName>
    <definedName name="BAT" localSheetId="3">#REF!</definedName>
    <definedName name="BAT">#REF!</definedName>
    <definedName name="BAYİYİ" localSheetId="3" hidden="1">{#N/A,#N/A,FALSE,"Çaykara ataköy (1)";#N/A,#N/A,FALSE,"Çaykara ataköy (2)";#N/A,#N/A,FALSE,"Rize Kalkandere ";#N/A,#N/A,FALSE,"meydancık";#N/A,#N/A,FALSE,"muratlı"}</definedName>
    <definedName name="BAYİYİ" hidden="1">{#N/A,#N/A,FALSE,"Çaykara ataköy (1)";#N/A,#N/A,FALSE,"Çaykara ataköy (2)";#N/A,#N/A,FALSE,"Rize Kalkandere ";#N/A,#N/A,FALSE,"meydancık";#N/A,#N/A,FALSE,"muratlı"}</definedName>
    <definedName name="BB" localSheetId="4" hidden="1">{#N/A,#N/A,FALSE,"이태원철근"}</definedName>
    <definedName name="BB">#N/A</definedName>
    <definedName name="BB030100M" localSheetId="3">#REF!</definedName>
    <definedName name="BB030100M">#REF!</definedName>
    <definedName name="BB030100Q" localSheetId="3">#REF!</definedName>
    <definedName name="BB030100Q">#REF!</definedName>
    <definedName name="BB0303001M" localSheetId="3">#REF!</definedName>
    <definedName name="BB0303001M">#REF!</definedName>
    <definedName name="BB0303001Q">[49]AILC004!$F$30:$F$50,[49]AILC004!$F$63</definedName>
    <definedName name="BB030300M" localSheetId="3">#REF!</definedName>
    <definedName name="BB030300M">#REF!</definedName>
    <definedName name="BB030300Q">[49]AILC004!$F$72,[49]AILC004!$F$76:$F$84</definedName>
    <definedName name="BB030400M" localSheetId="3">#REF!</definedName>
    <definedName name="BB030400M">#REF!</definedName>
    <definedName name="BB030400Q" localSheetId="3">#REF!</definedName>
    <definedName name="BB030400Q">#REF!</definedName>
    <definedName name="BBB" localSheetId="17">#REF!</definedName>
    <definedName name="BBB" localSheetId="15">#REF!</definedName>
    <definedName name="BBB" localSheetId="4" hidden="1">{#N/A,#N/A,FALSE,"CCTV"}</definedName>
    <definedName name="BBB" localSheetId="3">#REF!</definedName>
    <definedName name="BBB">#REF!</definedName>
    <definedName name="BBBBB" localSheetId="3" hidden="1">{#N/A,#N/A,FALSE,"TABLE"}</definedName>
    <definedName name="BBBBB" hidden="1">{#N/A,#N/A,FALSE,"TABLE"}</definedName>
    <definedName name="BC" localSheetId="3" hidden="1">{#N/A,#N/A,FALSE,"이태원철근"}</definedName>
    <definedName name="BC" hidden="1">{#N/A,#N/A,FALSE,"이태원철근"}</definedName>
    <definedName name="bcd" hidden="1">{#N/A,#N/A,TRUE,"Basic";#N/A,#N/A,TRUE,"EXT-TABLE";#N/A,#N/A,TRUE,"STEEL";#N/A,#N/A,TRUE,"INT-Table";#N/A,#N/A,TRUE,"STEEL";#N/A,#N/A,TRUE,"Door"}</definedName>
    <definedName name="bcrclcl100rt" localSheetId="17">'[50]9-1차이내역'!#REF!</definedName>
    <definedName name="bcrclcl100rt" localSheetId="15">'[50]9-1차이내역'!#REF!</definedName>
    <definedName name="bcrclcl100rt">'[50]9-1차이내역'!#REF!</definedName>
    <definedName name="bcrclcl100rtrkrk" localSheetId="17">'[50]9-1차이내역'!#REF!</definedName>
    <definedName name="bcrclcl100rtrkrk" localSheetId="15">'[50]9-1차이내역'!#REF!</definedName>
    <definedName name="bcrclcl100rtrkrk">'[50]9-1차이내역'!#REF!</definedName>
    <definedName name="BD1M" localSheetId="17">#REF!</definedName>
    <definedName name="BD1M" localSheetId="15">#REF!</definedName>
    <definedName name="BD1M" localSheetId="3">#REF!</definedName>
    <definedName name="BD1M">#REF!</definedName>
    <definedName name="BD1Y" localSheetId="17">#REF!</definedName>
    <definedName name="BD1Y" localSheetId="15">#REF!</definedName>
    <definedName name="BD1Y" localSheetId="3">#REF!</definedName>
    <definedName name="BD1Y">#REF!</definedName>
    <definedName name="BD3M" localSheetId="17">#REF!</definedName>
    <definedName name="BD3M" localSheetId="15">#REF!</definedName>
    <definedName name="BD3M" localSheetId="3">#REF!</definedName>
    <definedName name="BD3M">#REF!</definedName>
    <definedName name="BD3Y" localSheetId="17">#REF!</definedName>
    <definedName name="BD3Y" localSheetId="15">#REF!</definedName>
    <definedName name="BD3Y" localSheetId="3">#REF!</definedName>
    <definedName name="BD3Y">#REF!</definedName>
    <definedName name="BDATA" localSheetId="3"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BDATA"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BELL" hidden="1">{#N/A,#N/A,TRUE,"Basic";#N/A,#N/A,TRUE,"EXT-TABLE";#N/A,#N/A,TRUE,"STEEL";#N/A,#N/A,TRUE,"INT-Table";#N/A,#N/A,TRUE,"STEEL";#N/A,#N/A,TRUE,"Door"}</definedName>
    <definedName name="BELL_1" hidden="1">{#N/A,#N/A,TRUE,"Basic";#N/A,#N/A,TRUE,"EXT-TABLE";#N/A,#N/A,TRUE,"STEEL";#N/A,#N/A,TRUE,"INT-Table";#N/A,#N/A,TRUE,"STEEL";#N/A,#N/A,TRUE,"Door"}</definedName>
    <definedName name="betonhj" localSheetId="3" hidden="1">{#N/A,#N/A,TRUE,"ÞIA1BO";#N/A,#N/A,TRUE,"ÞIA2BO";#N/A,#N/A,TRUE,"ÞIA3BO";#N/A,#N/A,TRUE,"ÞIA4BK";#N/A,#N/A,TRUE,"ÞIB1BK";#N/A,#N/A,TRUE,"ÞIB2BO";#N/A,#N/A,TRUE,"ÞIG1BO";#N/A,#N/A,TRUE,"ÞIG2BO";#N/A,#N/A,TRUE,"ÞIG3BO";#N/A,#N/A,TRUE,"ÞIG4CO";#N/A,#N/A,TRUE,"ÞIG5CO";#N/A,#N/A,TRUE,"ÞIG6CO";#N/A,#N/A,TRUE,"ÞIG7CO";#N/A,#N/A,TRUE,"ÞIG8CK";#N/A,#N/A,TRUE,"ÞIG9CO";#N/A,#N/A,TRUE,"ÞIG10CK";#N/A,#N/A,TRUE,"ÞIH1CO";#N/A,#N/A,TRUE,"ÞIH2CO";#N/A,#N/A,TRUE,"ÞIH3CO";#N/A,#N/A,TRUE,"ÞIH4CO";#N/A,#N/A,TRUE,"ÞIH5CO";#N/A,#N/A,TRUE,"ÞIH7CO";#N/A,#N/A,TRUE,"ÝCMAL";#N/A,#N/A,TRUE,"A Adasý";#N/A,#N/A,TRUE,"B Adasý";#N/A,#N/A,TRUE,"G Adasý";#N/A,#N/A,TRUE,"H Adasý";#N/A,#N/A,TRUE,"J Adasý"}</definedName>
    <definedName name="betonhj" hidden="1">{#N/A,#N/A,TRUE,"ÞIA1BO";#N/A,#N/A,TRUE,"ÞIA2BO";#N/A,#N/A,TRUE,"ÞIA3BO";#N/A,#N/A,TRUE,"ÞIA4BK";#N/A,#N/A,TRUE,"ÞIB1BK";#N/A,#N/A,TRUE,"ÞIB2BO";#N/A,#N/A,TRUE,"ÞIG1BO";#N/A,#N/A,TRUE,"ÞIG2BO";#N/A,#N/A,TRUE,"ÞIG3BO";#N/A,#N/A,TRUE,"ÞIG4CO";#N/A,#N/A,TRUE,"ÞIG5CO";#N/A,#N/A,TRUE,"ÞIG6CO";#N/A,#N/A,TRUE,"ÞIG7CO";#N/A,#N/A,TRUE,"ÞIG8CK";#N/A,#N/A,TRUE,"ÞIG9CO";#N/A,#N/A,TRUE,"ÞIG10CK";#N/A,#N/A,TRUE,"ÞIH1CO";#N/A,#N/A,TRUE,"ÞIH2CO";#N/A,#N/A,TRUE,"ÞIH3CO";#N/A,#N/A,TRUE,"ÞIH4CO";#N/A,#N/A,TRUE,"ÞIH5CO";#N/A,#N/A,TRUE,"ÞIH7CO";#N/A,#N/A,TRUE,"ÝCMAL";#N/A,#N/A,TRUE,"A Adasý";#N/A,#N/A,TRUE,"B Adasý";#N/A,#N/A,TRUE,"G Adasý";#N/A,#N/A,TRUE,"H Adasý";#N/A,#N/A,TRUE,"J Adasý"}</definedName>
    <definedName name="betonsuz" hidden="1">#REF!</definedName>
    <definedName name="bfbfdhfdhdfgh" localSheetId="3" hidden="1">{#N/A,#N/A,FALSE,"CCTV"}</definedName>
    <definedName name="bfbfdhfdhdfgh" hidden="1">{#N/A,#N/A,FALSE,"CCTV"}</definedName>
    <definedName name="BI" localSheetId="3" hidden="1">{#N/A,#N/A,FALSE,"이태원철근"}</definedName>
    <definedName name="BI" hidden="1">{#N/A,#N/A,FALSE,"이태원철근"}</definedName>
    <definedName name="BİH99" localSheetId="3" hidden="1">{#N/A,#N/A,FALSE,"Çaykara ataköy (1)";#N/A,#N/A,FALSE,"Çaykara ataköy (2)";#N/A,#N/A,FALSE,"Rize Kalkandere ";#N/A,#N/A,FALSE,"meydancık";#N/A,#N/A,FALSE,"muratlı"}</definedName>
    <definedName name="BİH99" hidden="1">{#N/A,#N/A,FALSE,"Çaykara ataköy (1)";#N/A,#N/A,FALSE,"Çaykara ataköy (2)";#N/A,#N/A,FALSE,"Rize Kalkandere ";#N/A,#N/A,FALSE,"meydancık";#N/A,#N/A,FALSE,"muratlı"}</definedName>
    <definedName name="BİLGİ" localSheetId="3" hidden="1">{#N/A,#N/A,FALSE,"Çaykara ataköy (1)";#N/A,#N/A,FALSE,"Çaykara ataköy (2)";#N/A,#N/A,FALSE,"Rize Kalkandere ";#N/A,#N/A,FALSE,"meydancık";#N/A,#N/A,FALSE,"muratlı"}</definedName>
    <definedName name="BİLGİ" hidden="1">{#N/A,#N/A,FALSE,"Çaykara ataköy (1)";#N/A,#N/A,FALSE,"Çaykara ataköy (2)";#N/A,#N/A,FALSE,"Rize Kalkandere ";#N/A,#N/A,FALSE,"meydancık";#N/A,#N/A,FALSE,"muratlı"}</definedName>
    <definedName name="BJ1M" localSheetId="17">#REF!</definedName>
    <definedName name="BJ1M" localSheetId="15">#REF!</definedName>
    <definedName name="BJ1M" localSheetId="3">#REF!</definedName>
    <definedName name="BJ1M">#REF!</definedName>
    <definedName name="BJ1Y" localSheetId="17">#REF!</definedName>
    <definedName name="BJ1Y" localSheetId="15">#REF!</definedName>
    <definedName name="BJ1Y" localSheetId="3">#REF!</definedName>
    <definedName name="BJ1Y">#REF!</definedName>
    <definedName name="BJ3M" localSheetId="17">#REF!</definedName>
    <definedName name="BJ3M" localSheetId="15">#REF!</definedName>
    <definedName name="BJ3M" localSheetId="3">#REF!</definedName>
    <definedName name="BJ3M">#REF!</definedName>
    <definedName name="BJ3Y" localSheetId="17">#REF!</definedName>
    <definedName name="BJ3Y" localSheetId="15">#REF!</definedName>
    <definedName name="BJ3Y" localSheetId="3">#REF!</definedName>
    <definedName name="BJ3Y">#REF!</definedName>
    <definedName name="BLDG">[51]LEGEND!$D$8</definedName>
    <definedName name="Bldg_L">[52]Data!$N$34</definedName>
    <definedName name="Bldg_R_S">[52]Data!$N$25</definedName>
    <definedName name="BldgName">[52]Data!$E$19</definedName>
    <definedName name="BLDGNO" localSheetId="3">#REF!</definedName>
    <definedName name="BLDGNO">#REF!</definedName>
    <definedName name="BldgVol">[52]Calc!#REF!</definedName>
    <definedName name="blmd" localSheetId="3" hidden="1">{#N/A,#N/A,FALSE,"Çaykara ataköy (1)";#N/A,#N/A,FALSE,"Çaykara ataköy (2)";#N/A,#N/A,FALSE,"Rize Kalkandere ";#N/A,#N/A,FALSE,"meydancık";#N/A,#N/A,FALSE,"muratlı"}</definedName>
    <definedName name="blmd" hidden="1">{#N/A,#N/A,FALSE,"Çaykara ataköy (1)";#N/A,#N/A,FALSE,"Çaykara ataköy (2)";#N/A,#N/A,FALSE,"Rize Kalkandere ";#N/A,#N/A,FALSE,"meydancık";#N/A,#N/A,FALSE,"muratlı"}</definedName>
    <definedName name="BLOCK01">#N/A</definedName>
    <definedName name="BLOCK02">#N/A</definedName>
    <definedName name="BLOCK03" localSheetId="3">#REF!</definedName>
    <definedName name="BLOCK03">#REF!</definedName>
    <definedName name="BLOCK04" localSheetId="3">#REF!</definedName>
    <definedName name="BLOCK04">#REF!</definedName>
    <definedName name="bmsum" localSheetId="3">#REF!</definedName>
    <definedName name="bmsum">#REF!</definedName>
    <definedName name="BOF">[52]Calc!#REF!</definedName>
    <definedName name="BÖLGE" localSheetId="3" hidden="1">{#N/A,#N/A,FALSE,"Çaykara ataköy (1)";#N/A,#N/A,FALSE,"Çaykara ataköy (2)";#N/A,#N/A,FALSE,"Rize Kalkandere ";#N/A,#N/A,FALSE,"meydancık";#N/A,#N/A,FALSE,"muratlı"}</definedName>
    <definedName name="BÖLGE" hidden="1">{#N/A,#N/A,FALSE,"Çaykara ataköy (1)";#N/A,#N/A,FALSE,"Çaykara ataköy (2)";#N/A,#N/A,FALSE,"Rize Kalkandere ";#N/A,#N/A,FALSE,"meydancık";#N/A,#N/A,FALSE,"muratlı"}</definedName>
    <definedName name="BOLT" localSheetId="3">#REF!</definedName>
    <definedName name="BOLT">#REF!</definedName>
    <definedName name="BOM_OF_ECP" localSheetId="3">#REF!</definedName>
    <definedName name="BOM_OF_ECP">#REF!</definedName>
    <definedName name="book" localSheetId="3">#REF!</definedName>
    <definedName name="book">#REF!</definedName>
    <definedName name="BOQ" localSheetId="3">#REF!</definedName>
    <definedName name="BOQ">#REF!</definedName>
    <definedName name="BOQ_SUM_area" localSheetId="3">#REF!</definedName>
    <definedName name="BOQ_SUM_area">#REF!</definedName>
    <definedName name="boş" localSheetId="3" hidden="1">{#N/A,#N/A,FALSE,"Çaykara ataköy (1)";#N/A,#N/A,FALSE,"Çaykara ataköy (2)";#N/A,#N/A,FALSE,"Rize Kalkandere ";#N/A,#N/A,FALSE,"meydancık";#N/A,#N/A,FALSE,"muratlı"}</definedName>
    <definedName name="boş" hidden="1">{#N/A,#N/A,FALSE,"Çaykara ataköy (1)";#N/A,#N/A,FALSE,"Çaykara ataköy (2)";#N/A,#N/A,FALSE,"Rize Kalkandere ";#N/A,#N/A,FALSE,"meydancık";#N/A,#N/A,FALSE,"muratlı"}</definedName>
    <definedName name="BOSS" localSheetId="3">#REF!</definedName>
    <definedName name="BOSS">#REF!</definedName>
    <definedName name="BP" localSheetId="3">#REF!</definedName>
    <definedName name="BP">#REF!</definedName>
    <definedName name="br">'[53]총괄표(OOK)'!$P$15</definedName>
    <definedName name="BRBRBR" localSheetId="3" hidden="1">{#N/A,#N/A,FALSE,"TABLE"}</definedName>
    <definedName name="BRBRBR" hidden="1">{#N/A,#N/A,FALSE,"TABLE"}</definedName>
    <definedName name="brick1">[54]BRICK!$A$7:$M$69</definedName>
    <definedName name="brick2">[54]BRICK!$A$7:$M$69</definedName>
    <definedName name="BRKRKRTDKDK" localSheetId="3">#REF!</definedName>
    <definedName name="BRKRKRTDKDK">#REF!</definedName>
    <definedName name="BrNo">"BR2"</definedName>
    <definedName name="bschae" localSheetId="3" hidden="1">{#N/A,#N/A,FALSE,"TABLE"}</definedName>
    <definedName name="bschae" hidden="1">{#N/A,#N/A,FALSE,"TABLE"}</definedName>
    <definedName name="BT">[55]작성기준!$C$22</definedName>
    <definedName name="BTW" localSheetId="3">#REF!</definedName>
    <definedName name="BTW">#REF!</definedName>
    <definedName name="BUL" localSheetId="3" hidden="1">{#N/A,#N/A,FALSE,"Çaykara ataköy (1)";#N/A,#N/A,FALSE,"Çaykara ataköy (2)";#N/A,#N/A,FALSE,"Rize Kalkandere ";#N/A,#N/A,FALSE,"meydancık";#N/A,#N/A,FALSE,"muratlı"}</definedName>
    <definedName name="BUL" hidden="1">{#N/A,#N/A,FALSE,"Çaykara ataköy (1)";#N/A,#N/A,FALSE,"Çaykara ataköy (2)";#N/A,#N/A,FALSE,"Rize Kalkandere ";#N/A,#N/A,FALSE,"meydancık";#N/A,#N/A,FALSE,"muratlı"}</definedName>
    <definedName name="BULE" localSheetId="3" hidden="1">{#N/A,#N/A,FALSE,"Çaykara ataköy (1)";#N/A,#N/A,FALSE,"Çaykara ataköy (2)";#N/A,#N/A,FALSE,"Rize Kalkandere ";#N/A,#N/A,FALSE,"meydancık";#N/A,#N/A,FALSE,"muratlı"}</definedName>
    <definedName name="BULE" hidden="1">{#N/A,#N/A,FALSE,"Çaykara ataköy (1)";#N/A,#N/A,FALSE,"Çaykara ataköy (2)";#N/A,#N/A,FALSE,"Rize Kalkandere ";#N/A,#N/A,FALSE,"meydancık";#N/A,#N/A,FALSE,"muratlı"}</definedName>
    <definedName name="butterfly" localSheetId="3">#REF!</definedName>
    <definedName name="butterfly">#REF!</definedName>
    <definedName name="Button3_Click">[56]!Button3_Click</definedName>
    <definedName name="BV" localSheetId="3" hidden="1">#REF!</definedName>
    <definedName name="BV" hidden="1">#REF!</definedName>
    <definedName name="BVC" localSheetId="3" hidden="1">{#N/A,#N/A,FALSE,"TABLE"}</definedName>
    <definedName name="BVC" hidden="1">{#N/A,#N/A,FALSE,"TABLE"}</definedName>
    <definedName name="by_weld" localSheetId="3">#REF!</definedName>
    <definedName name="by_weld">#REF!</definedName>
    <definedName name="BY4S3" localSheetId="17">'[26]95삼성급(본사)'!#REF!</definedName>
    <definedName name="BY4S3" localSheetId="15">'[26]95삼성급(본사)'!#REF!</definedName>
    <definedName name="BY4S3">'[26]95삼성급(본사)'!#REF!</definedName>
    <definedName name="BY6M3" localSheetId="17">'[26]95삼성급(본사)'!#REF!</definedName>
    <definedName name="BY6M3" localSheetId="15">'[26]95삼성급(본사)'!#REF!</definedName>
    <definedName name="BY6M3">'[26]95삼성급(본사)'!#REF!</definedName>
    <definedName name="BY6S3" localSheetId="17">'[26]95삼성급(본사)'!#REF!</definedName>
    <definedName name="BY6S3" localSheetId="15">'[26]95삼성급(본사)'!#REF!</definedName>
    <definedName name="BY6S3">'[26]95삼성급(본사)'!#REF!</definedName>
    <definedName name="BY6W3" localSheetId="17">'[26]95삼성급(본사)'!#REF!</definedName>
    <definedName name="BY6W3" localSheetId="15">'[26]95삼성급(본사)'!#REF!</definedName>
    <definedName name="BY6W3">'[26]95삼성급(본사)'!#REF!</definedName>
    <definedName name="BYBJ3" localSheetId="17">'[26]95삼성급(본사)'!#REF!</definedName>
    <definedName name="BYBJ3" localSheetId="15">'[26]95삼성급(본사)'!#REF!</definedName>
    <definedName name="BYBJ3">'[26]95삼성급(본사)'!#REF!</definedName>
    <definedName name="BYCJ3" localSheetId="17">'[26]95삼성급(본사)'!#REF!</definedName>
    <definedName name="BYCJ3" localSheetId="15">'[26]95삼성급(본사)'!#REF!</definedName>
    <definedName name="BYCJ3">'[26]95삼성급(본사)'!#REF!</definedName>
    <definedName name="BYDR3" localSheetId="17">'[26]95삼성급(본사)'!#REF!</definedName>
    <definedName name="BYDR3" localSheetId="15">'[26]95삼성급(본사)'!#REF!</definedName>
    <definedName name="BYDR3">'[26]95삼성급(본사)'!#REF!</definedName>
    <definedName name="BYGJ3" localSheetId="17">'[26]95삼성급(본사)'!#REF!</definedName>
    <definedName name="BYGJ3" localSheetId="15">'[26]95삼성급(본사)'!#REF!</definedName>
    <definedName name="BYGJ3">'[26]95삼성급(본사)'!#REF!</definedName>
    <definedName name="C._EQUIP" localSheetId="3">#REF!*#REF!</definedName>
    <definedName name="C._EQUIP">#REF!*#REF!</definedName>
    <definedName name="Ç.A.H" localSheetId="3" hidden="1">{#N/A,#N/A,FALSE,"Çaykara ataköy (1)";#N/A,#N/A,FALSE,"Çaykara ataköy (2)";#N/A,#N/A,FALSE,"Rize Kalkandere ";#N/A,#N/A,FALSE,"meydancık";#N/A,#N/A,FALSE,"muratlı"}</definedName>
    <definedName name="Ç.A.H" hidden="1">{#N/A,#N/A,FALSE,"Çaykara ataköy (1)";#N/A,#N/A,FALSE,"Çaykara ataköy (2)";#N/A,#N/A,FALSE,"Rize Kalkandere ";#N/A,#N/A,FALSE,"meydancık";#N/A,#N/A,FALSE,"muratlı"}</definedName>
    <definedName name="C_" localSheetId="3">#REF!</definedName>
    <definedName name="C_">#REF!</definedName>
    <definedName name="c_elec" localSheetId="3">#REF!</definedName>
    <definedName name="c_elec">#REF!</definedName>
    <definedName name="c_inst" localSheetId="3">#REF!</definedName>
    <definedName name="c_inst">#REF!</definedName>
    <definedName name="c_margin" localSheetId="17">#REF!</definedName>
    <definedName name="c_margin" localSheetId="15">#REF!</definedName>
    <definedName name="c_margin" localSheetId="3">#REF!</definedName>
    <definedName name="c_margin">#REF!</definedName>
    <definedName name="c_mech" localSheetId="3">#REF!</definedName>
    <definedName name="c_mech">#REF!</definedName>
    <definedName name="c_pipe" localSheetId="3">#REF!</definedName>
    <definedName name="c_pipe">#REF!</definedName>
    <definedName name="c_pro" localSheetId="3">#REF!</definedName>
    <definedName name="c_pro">#REF!</definedName>
    <definedName name="C_Rate">'[57]현장 개요'!$C$47</definedName>
    <definedName name="C_VALUE" localSheetId="3">#REF!</definedName>
    <definedName name="C_VALUE">#REF!</definedName>
    <definedName name="C¨ª￠?UAI￠?ⓒªAⓒ￢AI" localSheetId="17">[58]주관사업!#REF!</definedName>
    <definedName name="C¨ª￠?UAI￠?ⓒªAⓒ￢AI" localSheetId="15">[58]주관사업!#REF!</definedName>
    <definedName name="C¨ª￠?UAI￠?ⓒªAⓒ￢AI">[58]주관사업!#REF!</definedName>
    <definedName name="CA">#N/A</definedName>
    <definedName name="ÇÃ">#N/A</definedName>
    <definedName name="CA_70" localSheetId="3">#REF!</definedName>
    <definedName name="CA_70">#REF!</definedName>
    <definedName name="CABLE" localSheetId="3">#REF!</definedName>
    <definedName name="CABLE">#REF!</definedName>
    <definedName name="cableod" localSheetId="3">#REF!</definedName>
    <definedName name="cableod">#REF!</definedName>
    <definedName name="CAD">'[46]Ex-Rate'!$C$6</definedName>
    <definedName name="cal">{"Book1","DOC&amp;DWG.xls"}</definedName>
    <definedName name="CalcAgencyPrice" localSheetId="17">#REF!</definedName>
    <definedName name="CalcAgencyPrice" localSheetId="15">#REF!</definedName>
    <definedName name="CalcAgencyPrice" localSheetId="3">#REF!</definedName>
    <definedName name="CalcAgencyPrice">#REF!</definedName>
    <definedName name="cam" localSheetId="3" hidden="1">{#N/A,#N/A,FALSE,"Çaykara ataköy (1)";#N/A,#N/A,FALSE,"Çaykara ataköy (2)";#N/A,#N/A,FALSE,"Rize Kalkandere ";#N/A,#N/A,FALSE,"meydancık";#N/A,#N/A,FALSE,"muratlı"}</definedName>
    <definedName name="cam" hidden="1">{#N/A,#N/A,FALSE,"Çaykara ataköy (1)";#N/A,#N/A,FALSE,"Çaykara ataköy (2)";#N/A,#N/A,FALSE,"Rize Kalkandere ";#N/A,#N/A,FALSE,"meydancık";#N/A,#N/A,FALSE,"muratlı"}</definedName>
    <definedName name="CAMOLUK" localSheetId="3" hidden="1">{#N/A,#N/A,FALSE,"Çaykara ataköy (1)";#N/A,#N/A,FALSE,"Çaykara ataköy (2)";#N/A,#N/A,FALSE,"Rize Kalkandere ";#N/A,#N/A,FALSE,"meydancık";#N/A,#N/A,FALSE,"muratlı"}</definedName>
    <definedName name="CAMOLUK" hidden="1">{#N/A,#N/A,FALSE,"Çaykara ataköy (1)";#N/A,#N/A,FALSE,"Çaykara ataköy (2)";#N/A,#N/A,FALSE,"Rize Kalkandere ";#N/A,#N/A,FALSE,"meydancık";#N/A,#N/A,FALSE,"muratlı"}</definedName>
    <definedName name="CAMP_ACCOMMODATION_CONST_COLUMN">'[56]CAMP - CONSTRUCTION'!$A$1:$Y$1</definedName>
    <definedName name="CAMP_ACCOMMODATION_CONST_REDSEA">'[56]CAMP - CONSTRUCTION'!$A$19:$V$40</definedName>
    <definedName name="CAMP_OPERATION_INDIRECT">'[59]CAMP OPERATING COST'!$E$22:$X$25</definedName>
    <definedName name="CAMP_OPERATION_LABOR">'[59]CAMP OPERATING COST'!$E$26:$X$28</definedName>
    <definedName name="CAMP_OPERATION_STAFF">'[59]CAMP OPERATING COST'!$E$18:$X$21</definedName>
    <definedName name="camuko" localSheetId="3" hidden="1">{#VALUE!,#N/A,FALSE,0;#N/A,#N/A,FALSE,0;#N/A,#N/A,FALSE,0;#N/A,#N/A,FALSE,0;#N/A,#N/A,FALSE,0}</definedName>
    <definedName name="camuko" hidden="1">{#VALUE!,#N/A,FALSE,0;#N/A,#N/A,FALSE,0;#N/A,#N/A,FALSE,0;#N/A,#N/A,FALSE,0;#N/A,#N/A,FALSE,0}</definedName>
    <definedName name="CAP" localSheetId="3">#REF!</definedName>
    <definedName name="CAP">#REF!</definedName>
    <definedName name="CARL" hidden="1">{#N/A,#N/A,FALSE,"CCTV"}</definedName>
    <definedName name="CARL1" hidden="1">{#N/A,#N/A,FALSE,"CCTV"}</definedName>
    <definedName name="CARL2" hidden="1">{#N/A,#N/A,FALSE,"CCTV"}</definedName>
    <definedName name="CATEGORY" localSheetId="3">#REF!</definedName>
    <definedName name="category">'[56]Tipo Terzi'!$A$3:$A$13</definedName>
    <definedName name="Category_All" localSheetId="3">#REF!</definedName>
    <definedName name="Category_All">#REF!</definedName>
    <definedName name="çatı" localSheetId="3" hidden="1">{#N/A,#N/A,FALSE,"avans";#N/A,#N/A,FALSE,"teminat_mektubu";#N/A,#N/A,FALSE,"ihz. icmal";#N/A,#N/A,FALSE,"söz_fiy_fark";#N/A,#N/A,FALSE,"kap2";#N/A,#N/A,FALSE,"mal_FF_icm";#N/A,#N/A,FALSE,"kap1"}</definedName>
    <definedName name="çatı" hidden="1">{#N/A,#N/A,FALSE,"avans";#N/A,#N/A,FALSE,"teminat_mektubu";#N/A,#N/A,FALSE,"ihz. icmal";#N/A,#N/A,FALSE,"söz_fiy_fark";#N/A,#N/A,FALSE,"kap2";#N/A,#N/A,FALSE,"mal_FF_icm";#N/A,#N/A,FALSE,"kap1"}</definedName>
    <definedName name="CATIN">#N/A</definedName>
    <definedName name="CATJYOU">#N/A</definedName>
    <definedName name="CATREC">#N/A</definedName>
    <definedName name="CATSYU">#N/A</definedName>
    <definedName name="CBL600V" localSheetId="3">#REF!</definedName>
    <definedName name="CBL600V">#REF!</definedName>
    <definedName name="CBL6KV" localSheetId="3">#REF!</definedName>
    <definedName name="CBL6KV">#REF!</definedName>
    <definedName name="cc" localSheetId="4" hidden="1">{"MAN H.O.",#N/A,FALSE,"tabella"}</definedName>
    <definedName name="CC">#N/A</definedName>
    <definedName name="ÇÇ" localSheetId="3" hidden="1">{#N/A,#N/A,FALSE,"kap1";#N/A,#N/A,FALSE,"kap2";#N/A,#N/A,FALSE,"tem_mektubu";#N/A,#N/A,FALSE,"avans";#N/A,#N/A,FALSE,"söz_fiy_fark";#N/A,#N/A,FALSE,"fat_ihz"}</definedName>
    <definedName name="ÇÇ" hidden="1">{#N/A,#N/A,FALSE,"kap1";#N/A,#N/A,FALSE,"kap2";#N/A,#N/A,FALSE,"tem_mektubu";#N/A,#N/A,FALSE,"avans";#N/A,#N/A,FALSE,"söz_fiy_fark";#N/A,#N/A,FALSE,"fat_ihz"}</definedName>
    <definedName name="CCC" localSheetId="17">#REF!</definedName>
    <definedName name="CCC" localSheetId="15">#REF!</definedName>
    <definedName name="CCC" localSheetId="3">#REF!</definedName>
    <definedName name="CCC">#REF!</definedName>
    <definedName name="CCTV설비" localSheetId="3">#REF!</definedName>
    <definedName name="CCTV설비">#REF!</definedName>
    <definedName name="CCW">[60]작성기준!$C$25</definedName>
    <definedName name="CD" localSheetId="3">#REF!</definedName>
    <definedName name="CD">#REF!</definedName>
    <definedName name="cde" hidden="1">{#N/A,#N/A,TRUE,"Basic";#N/A,#N/A,TRUE,"EXT-TABLE";#N/A,#N/A,TRUE,"STEEL";#N/A,#N/A,TRUE,"INT-Table";#N/A,#N/A,TRUE,"STEEL";#N/A,#N/A,TRUE,"Door"}</definedName>
    <definedName name="CEL" localSheetId="3">#REF!</definedName>
    <definedName name="CEL">#REF!</definedName>
    <definedName name="CellReferencingOff">"Option Button 2"</definedName>
    <definedName name="CellReferencingOn">"Option Button 1"</definedName>
    <definedName name="CEM" localSheetId="3">#REF!</definedName>
    <definedName name="CEM">#REF!</definedName>
    <definedName name="Cerfi20" hidden="1">'[61]#REF'!$B$5</definedName>
    <definedName name="CH" localSheetId="3">#REF!</definedName>
    <definedName name="CH">#REF!</definedName>
    <definedName name="check" localSheetId="3">#REF!</definedName>
    <definedName name="check">#REF!</definedName>
    <definedName name="CHECK_PLATE_제작_설치" localSheetId="3">#REF!</definedName>
    <definedName name="CHECK_PLATE_제작_설치">#REF!</definedName>
    <definedName name="CHECKPLATE제작설치" localSheetId="3">#REF!</definedName>
    <definedName name="CHECKPLATE제작설치">#REF!</definedName>
    <definedName name="CHF">'[46]Ex-Rate'!$C$7</definedName>
    <definedName name="chl" localSheetId="3" hidden="1">{#N/A,#N/A,TRUE,"Basic";#N/A,#N/A,TRUE,"EXT-TABLE";#N/A,#N/A,TRUE,"STEEL";#N/A,#N/A,TRUE,"INT-Table";#N/A,#N/A,TRUE,"STEEL";#N/A,#N/A,TRUE,"Door"}</definedName>
    <definedName name="chl" hidden="1">{#N/A,#N/A,TRUE,"Basic";#N/A,#N/A,TRUE,"EXT-TABLE";#N/A,#N/A,TRUE,"STEEL";#N/A,#N/A,TRUE,"INT-Table";#N/A,#N/A,TRUE,"STEEL";#N/A,#N/A,TRUE,"Door"}</definedName>
    <definedName name="cho" hidden="1">{"LKD",#N/A,FALSE,"표지"}</definedName>
    <definedName name="chty" localSheetId="3">OFFSET(chtx,0,1,,)</definedName>
    <definedName name="chty">OFFSET(chtx,0,1,,)</definedName>
    <definedName name="chty1" localSheetId="3">OFFSET(chtx1,0,1,,)</definedName>
    <definedName name="chty1">OFFSET(chtx1,0,1,,)</definedName>
    <definedName name="chty2" localSheetId="3">OFFSET(chtx2,0,1,,)</definedName>
    <definedName name="chty2">OFFSET(chtx2,0,1,,)</definedName>
    <definedName name="chty3" localSheetId="3">OFFSET(chtx3,0,1,,)</definedName>
    <definedName name="chty3">OFFSET(chtx3,0,1,,)</definedName>
    <definedName name="chty4" localSheetId="3">OFFSET(chtx4,0,1,,)</definedName>
    <definedName name="chty4">OFFSET(chtx4,0,1,,)</definedName>
    <definedName name="chty5" localSheetId="3">OFFSET(chtx5,0,1,,)</definedName>
    <definedName name="chty5">OFFSET(chtx5,0,1,,)</definedName>
    <definedName name="chty6" localSheetId="3">OFFSET(chtx6,0,1,,)</definedName>
    <definedName name="chty6">OFFSET(chtx6,0,1,,)</definedName>
    <definedName name="chty7" localSheetId="3">OFFSET(chtx7,0,1,,)</definedName>
    <definedName name="chty7">OFFSET(chtx7,0,1,,)</definedName>
    <definedName name="chty8" localSheetId="3">OFFSET(chtx8,0,1,,)</definedName>
    <definedName name="chty8">OFFSET(chtx8,0,1,,)</definedName>
    <definedName name="chty9" localSheetId="3">OFFSET(chtx9,0,1,,)</definedName>
    <definedName name="chty9">OFFSET(chtx9,0,1,,)</definedName>
    <definedName name="CI" hidden="1">{"MAN H.O.",#N/A,FALSE,"tabella"}</definedName>
    <definedName name="CIB" localSheetId="3">#REF!</definedName>
    <definedName name="CIB">#REF!</definedName>
    <definedName name="çiçek" localSheetId="3" hidden="1">{#N/A,#N/A,FALSE,"Çaykara ataköy (1)";#N/A,#N/A,FALSE,"Çaykara ataköy (2)";#N/A,#N/A,FALSE,"Rize Kalkandere ";#N/A,#N/A,FALSE,"meydancık";#N/A,#N/A,FALSE,"muratlı"}</definedName>
    <definedName name="çiçek" hidden="1">{#N/A,#N/A,FALSE,"Çaykara ataköy (1)";#N/A,#N/A,FALSE,"Çaykara ataköy (2)";#N/A,#N/A,FALSE,"Rize Kalkandere ";#N/A,#N/A,FALSE,"meydancık";#N/A,#N/A,FALSE,"muratlı"}</definedName>
    <definedName name="cıs" localSheetId="3" hidden="1">{"'Grafik Kontrol'!$A$1:$J$8"}</definedName>
    <definedName name="cıs" hidden="1">{"'Grafik Kontrol'!$A$1:$J$8"}</definedName>
    <definedName name="cıs_1" localSheetId="3" hidden="1">{"'Grafik Kontrol'!$A$1:$J$8"}</definedName>
    <definedName name="cıs_1" hidden="1">{"'Grafik Kontrol'!$A$1:$J$8"}</definedName>
    <definedName name="CIS1_1" localSheetId="3" hidden="1">{"'Grafik Kontrol'!$A$1:$J$8"}</definedName>
    <definedName name="CIS1_1" hidden="1">{"'Grafik Kontrol'!$A$1:$J$8"}</definedName>
    <definedName name="CJ1M" localSheetId="17">#REF!</definedName>
    <definedName name="CJ1M" localSheetId="15">#REF!</definedName>
    <definedName name="CJ1M" localSheetId="3">#REF!</definedName>
    <definedName name="CJ1M">#REF!</definedName>
    <definedName name="CJ1Y" localSheetId="17">#REF!</definedName>
    <definedName name="CJ1Y" localSheetId="15">#REF!</definedName>
    <definedName name="CJ1Y" localSheetId="3">#REF!</definedName>
    <definedName name="CJ1Y">#REF!</definedName>
    <definedName name="CJ3M" localSheetId="17">#REF!</definedName>
    <definedName name="CJ3M" localSheetId="15">#REF!</definedName>
    <definedName name="CJ3M" localSheetId="3">#REF!</definedName>
    <definedName name="CJ3M">#REF!</definedName>
    <definedName name="CJ3Y" localSheetId="17">#REF!</definedName>
    <definedName name="CJ3Y" localSheetId="15">#REF!</definedName>
    <definedName name="CJ3Y" localSheetId="3">#REF!</definedName>
    <definedName name="CJ3Y">#REF!</definedName>
    <definedName name="CLIENT">[51]LEGEND!$D$6</definedName>
    <definedName name="clss">[48]VA_code!$Q$1:$R$31</definedName>
    <definedName name="cnf" localSheetId="3" hidden="1">{#N/A,#N/A,FALSE,"이태원철근"}</definedName>
    <definedName name="cnf" hidden="1">{#N/A,#N/A,FALSE,"이태원철근"}</definedName>
    <definedName name="CØ¿UAI¿øAßAI" localSheetId="17">[58]주관사업!#REF!</definedName>
    <definedName name="CØ¿UAI¿øAßAI" localSheetId="15">[58]주관사업!#REF!</definedName>
    <definedName name="CØ¿UAI¿øAßAI">[58]주관사업!#REF!</definedName>
    <definedName name="COA_51" localSheetId="3">#REF!</definedName>
    <definedName name="COA_51">#REF!</definedName>
    <definedName name="COA_52" localSheetId="3">#REF!</definedName>
    <definedName name="COA_52">#REF!</definedName>
    <definedName name="COA_53" localSheetId="3">#REF!</definedName>
    <definedName name="COA_53">#REF!</definedName>
    <definedName name="COA_54" localSheetId="3">#REF!</definedName>
    <definedName name="COA_54">#REF!</definedName>
    <definedName name="COA_55" localSheetId="3">#REF!</definedName>
    <definedName name="COA_55">#REF!</definedName>
    <definedName name="COA_60" localSheetId="3">#REF!</definedName>
    <definedName name="COA_60">#REF!</definedName>
    <definedName name="COA_70" localSheetId="3">#REF!</definedName>
    <definedName name="COA_70">#REF!</definedName>
    <definedName name="COA_80" localSheetId="3">#REF!</definedName>
    <definedName name="COA_80">#REF!</definedName>
    <definedName name="COA_90" localSheetId="3">#REF!</definedName>
    <definedName name="COA_90">#REF!</definedName>
    <definedName name="COA50A" localSheetId="3">#REF!</definedName>
    <definedName name="COA50A">#REF!</definedName>
    <definedName name="COA50B" localSheetId="3">#REF!</definedName>
    <definedName name="COA50B">#REF!</definedName>
    <definedName name="Coal" localSheetId="3">#REF!</definedName>
    <definedName name="Coal">#REF!</definedName>
    <definedName name="coat" localSheetId="17">#REF!</definedName>
    <definedName name="coat" localSheetId="15">#REF!</definedName>
    <definedName name="coat" localSheetId="3">#REF!</definedName>
    <definedName name="coat">#REF!</definedName>
    <definedName name="CODE" localSheetId="3">#REF!</definedName>
    <definedName name="CODE">[62]lookup!$GM$37:$GN$52</definedName>
    <definedName name="ⓒoe¨￢Iⓒø¡i￠?¨￡" localSheetId="17">[39]주관사업!#REF!</definedName>
    <definedName name="ⓒoe¨￢Iⓒø¡i￠?¨￡" localSheetId="15">[39]주관사업!#REF!</definedName>
    <definedName name="ⓒoe¨￢Iⓒø¡i￠?¨￡">[39]주관사업!#REF!</definedName>
    <definedName name="col_I" localSheetId="17">#REF!</definedName>
    <definedName name="col_I" localSheetId="15">#REF!</definedName>
    <definedName name="col_I" localSheetId="3">#REF!</definedName>
    <definedName name="col_I">#REF!</definedName>
    <definedName name="Cold_Insulation" localSheetId="3">#REF!</definedName>
    <definedName name="Cold_Insulation">#REF!</definedName>
    <definedName name="çöliş" localSheetId="3" hidden="1">{#N/A,#N/A,FALSE,"Çaykara ataköy (1)";#N/A,#N/A,FALSE,"Çaykara ataköy (2)";#N/A,#N/A,FALSE,"Rize Kalkandere ";#N/A,#N/A,FALSE,"meydancık";#N/A,#N/A,FALSE,"muratlı"}</definedName>
    <definedName name="çöliş" hidden="1">{#N/A,#N/A,FALSE,"Çaykara ataköy (1)";#N/A,#N/A,FALSE,"Çaykara ataköy (2)";#N/A,#N/A,FALSE,"Rize Kalkandere ";#N/A,#N/A,FALSE,"meydancık";#N/A,#N/A,FALSE,"muratlı"}</definedName>
    <definedName name="COM" localSheetId="3">#REF!</definedName>
    <definedName name="COM">#REF!</definedName>
    <definedName name="comm" localSheetId="3">#REF!</definedName>
    <definedName name="comm">#REF!</definedName>
    <definedName name="Commission" localSheetId="17">#REF!</definedName>
    <definedName name="Commission" localSheetId="15">#REF!</definedName>
    <definedName name="Commission" localSheetId="3">#REF!</definedName>
    <definedName name="Commission">#REF!</definedName>
    <definedName name="COND" localSheetId="3">#REF!</definedName>
    <definedName name="COND">#REF!</definedName>
    <definedName name="CONSUM" localSheetId="3">#REF!</definedName>
    <definedName name="CONSUM">#REF!</definedName>
    <definedName name="CONSUMABLE" localSheetId="3">#REF!</definedName>
    <definedName name="CONSUMABLE">#REF!</definedName>
    <definedName name="Contract_L">'[57]현장 개요'!$D$15</definedName>
    <definedName name="Contract_T">'[63]현장 개요'!$G$15</definedName>
    <definedName name="Contract_TV">'[57]현장 개요'!$G$29</definedName>
    <definedName name="COS" localSheetId="17">#REF!</definedName>
    <definedName name="COS" localSheetId="15">#REF!</definedName>
    <definedName name="COS" localSheetId="4">'[64]간접비내역-1'!#REF!</definedName>
    <definedName name="COS">#REF!</definedName>
    <definedName name="cost" localSheetId="3" hidden="1">{#N/A,#N/A,TRUE,"Basic";#N/A,#N/A,TRUE,"EXT-TABLE";#N/A,#N/A,TRUE,"STEEL";#N/A,#N/A,TRUE,"INT-Table";#N/A,#N/A,TRUE,"STEEL";#N/A,#N/A,TRUE,"Door"}</definedName>
    <definedName name="cost" hidden="1">{#N/A,#N/A,TRUE,"Basic";#N/A,#N/A,TRUE,"EXT-TABLE";#N/A,#N/A,TRUE,"STEEL";#N/A,#N/A,TRUE,"INT-Table";#N/A,#N/A,TRUE,"STEEL";#N/A,#N/A,TRUE,"Door"}</definedName>
    <definedName name="cost_1" hidden="1">{#N/A,#N/A,TRUE,"Basic";#N/A,#N/A,TRUE,"EXT-TABLE";#N/A,#N/A,TRUE,"STEEL";#N/A,#N/A,TRUE,"INT-Table";#N/A,#N/A,TRUE,"STEEL";#N/A,#N/A,TRUE,"Door"}</definedName>
    <definedName name="COST2" localSheetId="3" hidden="1">{#N/A,#N/A,TRUE,"Basic";#N/A,#N/A,TRUE,"EXT-TABLE";#N/A,#N/A,TRUE,"STEEL";#N/A,#N/A,TRUE,"INT-Table";#N/A,#N/A,TRUE,"STEEL";#N/A,#N/A,TRUE,"Door"}</definedName>
    <definedName name="COST2" hidden="1">{#N/A,#N/A,TRUE,"Basic";#N/A,#N/A,TRUE,"EXT-TABLE";#N/A,#N/A,TRUE,"STEEL";#N/A,#N/A,TRUE,"INT-Table";#N/A,#N/A,TRUE,"STEEL";#N/A,#N/A,TRUE,"Door"}</definedName>
    <definedName name="COST2_1" hidden="1">{#N/A,#N/A,TRUE,"Basic";#N/A,#N/A,TRUE,"EXT-TABLE";#N/A,#N/A,TRUE,"STEEL";#N/A,#N/A,TRUE,"INT-Table";#N/A,#N/A,TRUE,"STEEL";#N/A,#N/A,TRUE,"Door"}</definedName>
    <definedName name="cost3" hidden="1">{#N/A,#N/A,TRUE,"Basic";#N/A,#N/A,TRUE,"EXT-TABLE";#N/A,#N/A,TRUE,"STEEL";#N/A,#N/A,TRUE,"INT-Table";#N/A,#N/A,TRUE,"STEEL";#N/A,#N/A,TRUE,"Door"}</definedName>
    <definedName name="Cov_Area">#N/A</definedName>
    <definedName name="cover" hidden="1">#REF!</definedName>
    <definedName name="COVER1" localSheetId="3">#REF!</definedName>
    <definedName name="COVER1">#REF!</definedName>
    <definedName name="cpf" hidden="1">{#N/A,#N/A,TRUE,"Basic";#N/A,#N/A,TRUE,"EXT-TABLE";#N/A,#N/A,TRUE,"STEEL";#N/A,#N/A,TRUE,"INT-Table";#N/A,#N/A,TRUE,"STEEL";#N/A,#N/A,TRUE,"Door"}</definedName>
    <definedName name="cpf_1" hidden="1">{#N/A,#N/A,TRUE,"Basic";#N/A,#N/A,TRUE,"EXT-TABLE";#N/A,#N/A,TRUE,"STEEL";#N/A,#N/A,TRUE,"INT-Table";#N/A,#N/A,TRUE,"STEEL";#N/A,#N/A,TRUE,"Door"}</definedName>
    <definedName name="CPL" localSheetId="3">#REF!</definedName>
    <definedName name="CPL">#REF!</definedName>
    <definedName name="CPLG" localSheetId="3">#REF!</definedName>
    <definedName name="CPLG">#REF!</definedName>
    <definedName name="CPM" localSheetId="3">#REF!</definedName>
    <definedName name="CPM">#REF!</definedName>
    <definedName name="CPY" localSheetId="3">#REF!</definedName>
    <definedName name="CPY">#REF!</definedName>
    <definedName name="crew">'[65]INSPECTOR (PKG-1)'!$D$8</definedName>
    <definedName name="crew4">'[65]INSPECTOR (PKG-4)'!$D$8</definedName>
    <definedName name="_xlnm.Criteria">#REF!</definedName>
    <definedName name="CRITERIA_MI" localSheetId="3">#REF!</definedName>
    <definedName name="CRITERIA_MI">#REF!</definedName>
    <definedName name="crush_s" localSheetId="17">#REF!</definedName>
    <definedName name="crush_s" localSheetId="15">#REF!</definedName>
    <definedName name="crush_s" localSheetId="3">#REF!</definedName>
    <definedName name="crush_s">#REF!</definedName>
    <definedName name="CS" localSheetId="3" hidden="1">{#N/A,#N/A,FALSE,"TABLE"}</definedName>
    <definedName name="CS">[55]작성기준!$C$19</definedName>
    <definedName name="çşi" localSheetId="3" hidden="1">{#N/A,#N/A,FALSE,"Çaykara ataköy (1)";#N/A,#N/A,FALSE,"Çaykara ataköy (2)";#N/A,#N/A,FALSE,"Rize Kalkandere ";#N/A,#N/A,FALSE,"meydancık";#N/A,#N/A,FALSE,"muratlı"}</definedName>
    <definedName name="çşi" hidden="1">{#N/A,#N/A,FALSE,"Çaykara ataköy (1)";#N/A,#N/A,FALSE,"Çaykara ataköy (2)";#N/A,#N/A,FALSE,"Rize Kalkandere ";#N/A,#N/A,FALSE,"meydancık";#N/A,#N/A,FALSE,"muratlı"}</definedName>
    <definedName name="CSthk">[52]Calc!#REF!</definedName>
    <definedName name="cs계장1">{"'장비'!$A$3:$M$12"}</definedName>
    <definedName name="cu" localSheetId="3" hidden="1">{#N/A,#N/A,FALSE,"kal_iç_ihz";#N/A,#N/A,FALSE,"kal_iç_er";#N/A,#N/A,FALSE,"kal_iç_tut"}</definedName>
    <definedName name="cu" hidden="1">{#N/A,#N/A,FALSE,"kal_iç_ihz";#N/A,#N/A,FALSE,"kal_iç_er";#N/A,#N/A,FALSE,"kal_iç_tut"}</definedName>
    <definedName name="currency" localSheetId="3">#REF!</definedName>
    <definedName name="currency">#REF!</definedName>
    <definedName name="CW">[60]작성기준!$C$24</definedName>
    <definedName name="CX" localSheetId="3" hidden="1">{#N/A,#N/A,FALSE,"imalat_keşif";#N/A,#N/A,FALSE,"imalat_seviye";#N/A,#N/A,FALSE,"141";#N/A,#N/A,FALSE,"142";#N/A,#N/A,FALSE,"143";#N/A,#N/A,FALSE,"144";#N/A,#N/A,FALSE,"145";#N/A,#N/A,FALSE,"146";#N/A,#N/A,FALSE,"147";#N/A,#N/A,FALSE,"148";#N/A,#N/A,FALSE,"149"}</definedName>
    <definedName name="CX" hidden="1">{#N/A,#N/A,FALSE,"imalat_keşif";#N/A,#N/A,FALSE,"imalat_seviye";#N/A,#N/A,FALSE,"141";#N/A,#N/A,FALSE,"142";#N/A,#N/A,FALSE,"143";#N/A,#N/A,FALSE,"144";#N/A,#N/A,FALSE,"145";#N/A,#N/A,FALSE,"146";#N/A,#N/A,FALSE,"147";#N/A,#N/A,FALSE,"148";#N/A,#N/A,FALSE,"149"}</definedName>
    <definedName name="CZ" localSheetId="3" hidden="1">{#N/A,#N/A,FALSE,"TABLE"}</definedName>
    <definedName name="CZ" hidden="1">{#N/A,#N/A,FALSE,"TABLE"}</definedName>
    <definedName name="D" localSheetId="17">#REF!</definedName>
    <definedName name="D" localSheetId="15">#REF!</definedName>
    <definedName name="D" localSheetId="4" hidden="1">{#N/A,#N/A,FALSE,"이태원철근"}</definedName>
    <definedName name="D" localSheetId="3">#REF!</definedName>
    <definedName name="D">#REF!</definedName>
    <definedName name="DaRWk1" localSheetId="17">#REF!</definedName>
    <definedName name="DaRWk1" localSheetId="15">#REF!</definedName>
    <definedName name="DaRWk1" localSheetId="3">#REF!</definedName>
    <definedName name="DaRWk1">#REF!</definedName>
    <definedName name="DaRWk10" localSheetId="17">#REF!</definedName>
    <definedName name="DaRWk10" localSheetId="15">#REF!</definedName>
    <definedName name="DaRWk10" localSheetId="3">#REF!</definedName>
    <definedName name="DaRWk10">#REF!</definedName>
    <definedName name="DaRWk11" localSheetId="17">#REF!</definedName>
    <definedName name="DaRWk11" localSheetId="15">#REF!</definedName>
    <definedName name="DaRWk11" localSheetId="3">#REF!</definedName>
    <definedName name="DaRWk11">#REF!</definedName>
    <definedName name="DaRWk12" localSheetId="17">#REF!</definedName>
    <definedName name="DaRWk12" localSheetId="15">#REF!</definedName>
    <definedName name="DaRWk12" localSheetId="3">#REF!</definedName>
    <definedName name="DaRWk12">#REF!</definedName>
    <definedName name="DaRWk2" localSheetId="17">#REF!</definedName>
    <definedName name="DaRWk2" localSheetId="15">#REF!</definedName>
    <definedName name="DaRWk2" localSheetId="3">#REF!</definedName>
    <definedName name="DaRWk2">#REF!</definedName>
    <definedName name="DaRWk3" localSheetId="17">#REF!</definedName>
    <definedName name="DaRWk3" localSheetId="15">#REF!</definedName>
    <definedName name="DaRWk3" localSheetId="3">#REF!</definedName>
    <definedName name="DaRWk3">#REF!</definedName>
    <definedName name="DaRWk4" localSheetId="17">#REF!</definedName>
    <definedName name="DaRWk4" localSheetId="15">#REF!</definedName>
    <definedName name="DaRWk4" localSheetId="3">#REF!</definedName>
    <definedName name="DaRWk4">#REF!</definedName>
    <definedName name="DaRWk5" localSheetId="17">#REF!</definedName>
    <definedName name="DaRWk5" localSheetId="15">#REF!</definedName>
    <definedName name="DaRWk5" localSheetId="3">#REF!</definedName>
    <definedName name="DaRWk5">#REF!</definedName>
    <definedName name="DaRWk6" localSheetId="17">#REF!</definedName>
    <definedName name="DaRWk6" localSheetId="15">#REF!</definedName>
    <definedName name="DaRWk6" localSheetId="3">#REF!</definedName>
    <definedName name="DaRWk6">#REF!</definedName>
    <definedName name="DaRWk8" localSheetId="17">#REF!</definedName>
    <definedName name="DaRWk8" localSheetId="15">#REF!</definedName>
    <definedName name="DaRWk8" localSheetId="3">#REF!</definedName>
    <definedName name="DaRWk8">#REF!</definedName>
    <definedName name="DaRwk9" localSheetId="17">#REF!</definedName>
    <definedName name="DaRwk9" localSheetId="15">#REF!</definedName>
    <definedName name="DaRwk9" localSheetId="3">#REF!</definedName>
    <definedName name="DaRwk9">#REF!</definedName>
    <definedName name="dasdasd" localSheetId="3" hidden="1">{#N/A,#N/A,FALSE,"ihz. icmal";#N/A,#N/A,FALSE,"avans";#N/A,#N/A,FALSE,"mal_FF_icm";#N/A,#N/A,FALSE,"fat_ihz";#N/A,#N/A,FALSE,"söz_fiy_fark";#N/A,#N/A,FALSE,"kap2"}</definedName>
    <definedName name="dasdasd" hidden="1">{#N/A,#N/A,FALSE,"ihz. icmal";#N/A,#N/A,FALSE,"avans";#N/A,#N/A,FALSE,"mal_FF_icm";#N/A,#N/A,FALSE,"fat_ihz";#N/A,#N/A,FALSE,"söz_fiy_fark";#N/A,#N/A,FALSE,"kap2"}</definedName>
    <definedName name="dasdfds" localSheetId="3">#REF!</definedName>
    <definedName name="dasdfds">#REF!</definedName>
    <definedName name="data" localSheetId="3">#REF!</definedName>
    <definedName name="data">#REF!</definedName>
    <definedName name="_xlnm.Database" localSheetId="17">#REF!</definedName>
    <definedName name="_xlnm.Database" localSheetId="15">#REF!</definedName>
    <definedName name="_xlnm.Database" localSheetId="4">#REF!</definedName>
    <definedName name="_xlnm.Database" localSheetId="3">#REF!</definedName>
    <definedName name="_xlnm.Database">#REF!</definedName>
    <definedName name="database2" localSheetId="3">#REF!</definedName>
    <definedName name="database2">#REF!</definedName>
    <definedName name="DATE" localSheetId="17">#REF!</definedName>
    <definedName name="DATE" localSheetId="15">#REF!</definedName>
    <definedName name="DATE">#REF!</definedName>
    <definedName name="DaWk7" localSheetId="17">#REF!</definedName>
    <definedName name="DaWk7" localSheetId="15">#REF!</definedName>
    <definedName name="DaWk7" localSheetId="3">#REF!</definedName>
    <definedName name="DaWk7">#REF!</definedName>
    <definedName name="DAYLAB" localSheetId="3">#REF!</definedName>
    <definedName name="DAYLAB">#REF!</definedName>
    <definedName name="dbase" localSheetId="3">#REF!</definedName>
    <definedName name="dbase">#REF!</definedName>
    <definedName name="DBB" hidden="1">{#N/A,#N/A,TRUE,"Basic";#N/A,#N/A,TRUE,"EXT-TABLE";#N/A,#N/A,TRUE,"STEEL";#N/A,#N/A,TRUE,"INT-Table";#N/A,#N/A,TRUE,"STEEL";#N/A,#N/A,TRUE,"Door"}</definedName>
    <definedName name="dbrwk1" localSheetId="17">#REF!</definedName>
    <definedName name="dbrwk1" localSheetId="15">#REF!</definedName>
    <definedName name="dbrwk1" localSheetId="3">#REF!</definedName>
    <definedName name="dbrwk1">#REF!</definedName>
    <definedName name="dbrwk10" localSheetId="17">#REF!</definedName>
    <definedName name="dbrwk10" localSheetId="15">#REF!</definedName>
    <definedName name="dbrwk10" localSheetId="3">#REF!</definedName>
    <definedName name="dbrwk10">#REF!</definedName>
    <definedName name="dbrwk11" localSheetId="17">#REF!</definedName>
    <definedName name="dbrwk11" localSheetId="15">#REF!</definedName>
    <definedName name="dbrwk11" localSheetId="3">#REF!</definedName>
    <definedName name="dbrwk11">#REF!</definedName>
    <definedName name="dbrwk12" localSheetId="17">#REF!</definedName>
    <definedName name="dbrwk12" localSheetId="15">#REF!</definedName>
    <definedName name="dbrwk12" localSheetId="3">#REF!</definedName>
    <definedName name="dbrwk12">#REF!</definedName>
    <definedName name="dbrwk2" localSheetId="17">#REF!</definedName>
    <definedName name="dbrwk2" localSheetId="15">#REF!</definedName>
    <definedName name="dbrwk2" localSheetId="3">#REF!</definedName>
    <definedName name="dbrwk2">#REF!</definedName>
    <definedName name="dbrwk3" localSheetId="17">#REF!</definedName>
    <definedName name="dbrwk3" localSheetId="15">#REF!</definedName>
    <definedName name="dbrwk3" localSheetId="3">#REF!</definedName>
    <definedName name="dbrwk3">#REF!</definedName>
    <definedName name="dbrwk4" localSheetId="17">#REF!</definedName>
    <definedName name="dbrwk4" localSheetId="15">#REF!</definedName>
    <definedName name="dbrwk4" localSheetId="3">#REF!</definedName>
    <definedName name="dbrwk4">#REF!</definedName>
    <definedName name="dbrwk5" localSheetId="17">#REF!</definedName>
    <definedName name="dbrwk5" localSheetId="15">#REF!</definedName>
    <definedName name="dbrwk5" localSheetId="3">#REF!</definedName>
    <definedName name="dbrwk5">#REF!</definedName>
    <definedName name="dbrwk6" localSheetId="17">#REF!</definedName>
    <definedName name="dbrwk6" localSheetId="15">#REF!</definedName>
    <definedName name="dbrwk6" localSheetId="3">#REF!</definedName>
    <definedName name="dbrwk6">#REF!</definedName>
    <definedName name="dbrwk7" localSheetId="17">#REF!</definedName>
    <definedName name="dbrwk7" localSheetId="15">#REF!</definedName>
    <definedName name="dbrwk7" localSheetId="3">#REF!</definedName>
    <definedName name="dbrwk7">#REF!</definedName>
    <definedName name="dbrwk8" localSheetId="17">#REF!</definedName>
    <definedName name="dbrwk8" localSheetId="15">#REF!</definedName>
    <definedName name="dbrwk8" localSheetId="3">#REF!</definedName>
    <definedName name="dbrwk8">#REF!</definedName>
    <definedName name="dbrwk9" localSheetId="17">#REF!</definedName>
    <definedName name="dbrwk9" localSheetId="15">#REF!</definedName>
    <definedName name="dbrwk9" localSheetId="3">#REF!</definedName>
    <definedName name="dbrwk9">#REF!</definedName>
    <definedName name="dcrwk1" localSheetId="17">#REF!</definedName>
    <definedName name="dcrwk1" localSheetId="15">#REF!</definedName>
    <definedName name="dcrwk1" localSheetId="3">#REF!</definedName>
    <definedName name="dcrwk1">#REF!</definedName>
    <definedName name="dcrwk10" localSheetId="17">#REF!</definedName>
    <definedName name="dcrwk10" localSheetId="15">#REF!</definedName>
    <definedName name="dcrwk10" localSheetId="3">#REF!</definedName>
    <definedName name="dcrwk10">#REF!</definedName>
    <definedName name="dcrwk11" localSheetId="17">#REF!</definedName>
    <definedName name="dcrwk11" localSheetId="15">#REF!</definedName>
    <definedName name="dcrwk11" localSheetId="3">#REF!</definedName>
    <definedName name="dcrwk11">#REF!</definedName>
    <definedName name="dcrwk12" localSheetId="17">#REF!</definedName>
    <definedName name="dcrwk12" localSheetId="15">#REF!</definedName>
    <definedName name="dcrwk12" localSheetId="3">#REF!</definedName>
    <definedName name="dcrwk12">#REF!</definedName>
    <definedName name="dcrwk2" localSheetId="17">#REF!</definedName>
    <definedName name="dcrwk2" localSheetId="15">#REF!</definedName>
    <definedName name="dcrwk2" localSheetId="3">#REF!</definedName>
    <definedName name="dcrwk2">#REF!</definedName>
    <definedName name="dcrwk3" localSheetId="17">#REF!</definedName>
    <definedName name="dcrwk3" localSheetId="15">#REF!</definedName>
    <definedName name="dcrwk3" localSheetId="3">#REF!</definedName>
    <definedName name="dcrwk3">#REF!</definedName>
    <definedName name="dcrwk4" localSheetId="17">#REF!</definedName>
    <definedName name="dcrwk4" localSheetId="15">#REF!</definedName>
    <definedName name="dcrwk4" localSheetId="3">#REF!</definedName>
    <definedName name="dcrwk4">#REF!</definedName>
    <definedName name="dcrwk5" localSheetId="17">#REF!</definedName>
    <definedName name="dcrwk5" localSheetId="15">#REF!</definedName>
    <definedName name="dcrwk5" localSheetId="3">#REF!</definedName>
    <definedName name="dcrwk5">#REF!</definedName>
    <definedName name="dcrwk6" localSheetId="17">#REF!</definedName>
    <definedName name="dcrwk6" localSheetId="15">#REF!</definedName>
    <definedName name="dcrwk6" localSheetId="3">#REF!</definedName>
    <definedName name="dcrwk6">#REF!</definedName>
    <definedName name="dcrwk7" localSheetId="17">#REF!</definedName>
    <definedName name="dcrwk7" localSheetId="15">#REF!</definedName>
    <definedName name="dcrwk7" localSheetId="3">#REF!</definedName>
    <definedName name="dcrwk7">#REF!</definedName>
    <definedName name="dcrwk8" localSheetId="17">#REF!</definedName>
    <definedName name="dcrwk8" localSheetId="15">#REF!</definedName>
    <definedName name="dcrwk8" localSheetId="3">#REF!</definedName>
    <definedName name="dcrwk8">#REF!</definedName>
    <definedName name="dcrwk9" localSheetId="17">#REF!</definedName>
    <definedName name="dcrwk9" localSheetId="15">#REF!</definedName>
    <definedName name="dcrwk9" localSheetId="3">#REF!</definedName>
    <definedName name="dcrwk9">#REF!</definedName>
    <definedName name="DD" localSheetId="17">'[37]97 사업추정(WEKI)'!#REF!</definedName>
    <definedName name="DD" localSheetId="15">'[37]97 사업추정(WEKI)'!#REF!</definedName>
    <definedName name="dd" localSheetId="4" hidden="1">#REF!</definedName>
    <definedName name="DD" localSheetId="3" hidden="1">{#N/A,#N/A,FALSE,"Çaykara ataköy (1)";#N/A,#N/A,FALSE,"Çaykara ataköy (2)";#N/A,#N/A,FALSE,"Rize Kalkandere ";#N/A,#N/A,FALSE,"meydancık";#N/A,#N/A,FALSE,"muratlı"}</definedName>
    <definedName name="DD">'[37]97 사업추정(WEKI)'!#REF!</definedName>
    <definedName name="DDD" localSheetId="17">'[66]97 사업추정(WEKI)'!#REF!</definedName>
    <definedName name="DDD" localSheetId="15">'[66]97 사업추정(WEKI)'!#REF!</definedName>
    <definedName name="ddd" localSheetId="3" hidden="1">{#N/A,#N/A,FALSE,"İÇ TOPRAK";#N/A,#N/A,FALSE,"İÇ SANAT";#N/A,#N/A,FALSE,"İÇ AYASOFYA ";#N/A,#N/A,FALSE,"İÇ AKYAZI";#N/A,#N/A,FALSE,"İÇ BEŞİRLİ";#N/A,#N/A,FALSE,"İÇ HAVAALANI";#N/A,#N/A,FALSE,"İÇ SONDAJ";#N/A,#N/A,FALSE,"İÇ KAMU";#N/A,#N/A,FALSE,"İÇ FAROZ"}</definedName>
    <definedName name="DDD">'[66]97 사업추정(WEKI)'!#REF!</definedName>
    <definedName name="DDDD" localSheetId="3" hidden="1">{#N/A,#N/A,FALSE,"Çaykara ataköy (1)";#N/A,#N/A,FALSE,"Çaykara ataköy (2)";#N/A,#N/A,FALSE,"Rize Kalkandere ";#N/A,#N/A,FALSE,"meydancık";#N/A,#N/A,FALSE,"muratlı"}</definedName>
    <definedName name="dddd" hidden="1">{#N/A,#N/A,FALSE,"TABLE"}</definedName>
    <definedName name="ddddd" hidden="1">{#N/A,#N/A,FALSE,"Sheet1"}</definedName>
    <definedName name="ddddd_1" hidden="1">{#N/A,#N/A,TRUE,"Basic";#N/A,#N/A,TRUE,"EXT-TABLE";#N/A,#N/A,TRUE,"STEEL";#N/A,#N/A,TRUE,"INT-Table";#N/A,#N/A,TRUE,"STEEL";#N/A,#N/A,TRUE,"Door"}</definedName>
    <definedName name="DDDDDDD" localSheetId="3" hidden="1">{#N/A,#N/A,FALSE,"Çaykara ataköy (1)";#N/A,#N/A,FALSE,"Çaykara ataköy (2)";#N/A,#N/A,FALSE,"Rize Kalkandere ";#N/A,#N/A,FALSE,"meydancık";#N/A,#N/A,FALSE,"muratlı"}</definedName>
    <definedName name="ddddddd" hidden="1">{#N/A,#N/A,FALSE,"TABLE"}</definedName>
    <definedName name="ddddddddddddd" hidden="1">{#N/A,#N/A,TRUE,"Basic";#N/A,#N/A,TRUE,"EXT-TABLE";#N/A,#N/A,TRUE,"STEEL";#N/A,#N/A,TRUE,"INT-Table";#N/A,#N/A,TRUE,"STEEL";#N/A,#N/A,TRUE,"Door"}</definedName>
    <definedName name="dddddddddddddd" localSheetId="3" hidden="1">{#N/A,#N/A,TRUE,"Basic";#N/A,#N/A,TRUE,"EXT-TABLE";#N/A,#N/A,TRUE,"STEEL";#N/A,#N/A,TRUE,"INT-Table";#N/A,#N/A,TRUE,"STEEL";#N/A,#N/A,TRUE,"Door"}</definedName>
    <definedName name="dddddddddddddd" hidden="1">{#N/A,#N/A,TRUE,"Basic";#N/A,#N/A,TRUE,"EXT-TABLE";#N/A,#N/A,TRUE,"STEEL";#N/A,#N/A,TRUE,"INT-Table";#N/A,#N/A,TRUE,"STEEL";#N/A,#N/A,TRUE,"Door"}</definedName>
    <definedName name="dddddddddddddd_1" hidden="1">{#N/A,#N/A,TRUE,"Basic";#N/A,#N/A,TRUE,"EXT-TABLE";#N/A,#N/A,TRUE,"STEEL";#N/A,#N/A,TRUE,"INT-Table";#N/A,#N/A,TRUE,"STEEL";#N/A,#N/A,TRUE,"Door"}</definedName>
    <definedName name="dddf">{"'장비'!$A$3:$M$12"}</definedName>
    <definedName name="DDFD" localSheetId="3" hidden="1">{#N/A,#N/A,FALSE,"CCTV"}</definedName>
    <definedName name="DDFD" hidden="1">{#N/A,#N/A,FALSE,"CCTV"}</definedName>
    <definedName name="ddh" hidden="1">'[18]Eq. Mobilization'!#REF!</definedName>
    <definedName name="DE" hidden="1">'[67]갑지(추정)'!#REF!</definedName>
    <definedName name="DEC.GH" localSheetId="17">#REF!</definedName>
    <definedName name="DEC.GH" localSheetId="15">#REF!</definedName>
    <definedName name="DEC.GH" localSheetId="3">#REF!</definedName>
    <definedName name="DEC.GH">#REF!</definedName>
    <definedName name="deee" localSheetId="3" hidden="1">{#N/A,#N/A,FALSE,"ihz. icmal";#N/A,#N/A,FALSE,"avans";#N/A,#N/A,FALSE,"mal_FF_icm";#N/A,#N/A,FALSE,"fat_ihz";#N/A,#N/A,FALSE,"söz_fiy_fark";#N/A,#N/A,FALSE,"kap2"}</definedName>
    <definedName name="deee" hidden="1">{#N/A,#N/A,FALSE,"ihz. icmal";#N/A,#N/A,FALSE,"avans";#N/A,#N/A,FALSE,"mal_FF_icm";#N/A,#N/A,FALSE,"fat_ihz";#N/A,#N/A,FALSE,"söz_fiy_fark";#N/A,#N/A,FALSE,"kap2"}</definedName>
    <definedName name="DEF" localSheetId="3" hidden="1">{#N/A,#N/A,FALSE,"TABLE"}</definedName>
    <definedName name="DEF" hidden="1">{#N/A,#N/A,FALSE,"TABLE"}</definedName>
    <definedName name="deffrt" hidden="1">{#N/A,#N/A,FALSE,"TABLE"}</definedName>
    <definedName name="DEGB" localSheetId="3" hidden="1">{#N/A,#N/A,FALSE,"TABLE"}</definedName>
    <definedName name="DEGB" hidden="1">{#N/A,#N/A,FALSE,"TABLE"}</definedName>
    <definedName name="DelDC" localSheetId="17">#REF!</definedName>
    <definedName name="DelDC" localSheetId="15">#REF!</definedName>
    <definedName name="DelDC" localSheetId="3">#REF!</definedName>
    <definedName name="DelDC">#REF!</definedName>
    <definedName name="DelDm" localSheetId="17">#REF!</definedName>
    <definedName name="DelDm" localSheetId="15">#REF!</definedName>
    <definedName name="DelDm" localSheetId="3">#REF!</definedName>
    <definedName name="DelDm">#REF!</definedName>
    <definedName name="Delivery" localSheetId="17">#REF!</definedName>
    <definedName name="Delivery" localSheetId="15">#REF!</definedName>
    <definedName name="Delivery" localSheetId="3">#REF!</definedName>
    <definedName name="Delivery">#REF!</definedName>
    <definedName name="DelType" localSheetId="17">#REF!</definedName>
    <definedName name="DelType" localSheetId="15">#REF!</definedName>
    <definedName name="DelType" localSheetId="3">#REF!</definedName>
    <definedName name="DelType">#REF!</definedName>
    <definedName name="deptLookup" localSheetId="17">#REF!</definedName>
    <definedName name="deptLookup" localSheetId="15">#REF!</definedName>
    <definedName name="deptLookup" localSheetId="3">#REF!</definedName>
    <definedName name="deptLookup">#REF!</definedName>
    <definedName name="des" localSheetId="3">#REF!</definedName>
    <definedName name="des">#REF!</definedName>
    <definedName name="DESC" localSheetId="3">#REF!</definedName>
    <definedName name="DESC">#REF!</definedName>
    <definedName name="DESC_BRIDGE" localSheetId="3">#REF!</definedName>
    <definedName name="DESC_BRIDGE">#REF!</definedName>
    <definedName name="DESC_DUCT_SPRT" localSheetId="3">#REF!</definedName>
    <definedName name="DESC_DUCT_SPRT">#REF!</definedName>
    <definedName name="DESC_EQ_SPRT" localSheetId="3">#REF!</definedName>
    <definedName name="DESC_EQ_SPRT">#REF!</definedName>
    <definedName name="DESC_FAB" localSheetId="3">#REF!</definedName>
    <definedName name="DESC_FAB">#REF!</definedName>
    <definedName name="DESC_PIPERACK" localSheetId="3">#REF!</definedName>
    <definedName name="DESC_PIPERACK">#REF!</definedName>
    <definedName name="DESC_PLT_ACCS" localSheetId="3">#REF!</definedName>
    <definedName name="DESC_PLT_ACCS">#REF!</definedName>
    <definedName name="DESC_STANCHION" localSheetId="3">#REF!</definedName>
    <definedName name="DESC_STANCHION">#REF!</definedName>
    <definedName name="DESC_STCK_SPRT" localSheetId="3">#REF!</definedName>
    <definedName name="DESC_STCK_SPRT">#REF!</definedName>
    <definedName name="description" localSheetId="3">#REF!</definedName>
    <definedName name="description">#REF!</definedName>
    <definedName name="DF" localSheetId="17">[20]수입!#REF!</definedName>
    <definedName name="DF" localSheetId="15">[20]수입!#REF!</definedName>
    <definedName name="df" localSheetId="4" hidden="1">#REF!</definedName>
    <definedName name="DF">[20]수입!#REF!</definedName>
    <definedName name="dfd" localSheetId="3" hidden="1">{#N/A,#N/A,FALSE,"Çaykara ataköy (1)";#N/A,#N/A,FALSE,"Çaykara ataköy (2)";#N/A,#N/A,FALSE,"Rize Kalkandere ";#N/A,#N/A,FALSE,"meydancık";#N/A,#N/A,FALSE,"muratlı"}</definedName>
    <definedName name="dfd" hidden="1">{#N/A,#N/A,FALSE,"Çaykara ataköy (1)";#N/A,#N/A,FALSE,"Çaykara ataköy (2)";#N/A,#N/A,FALSE,"Rize Kalkandere ";#N/A,#N/A,FALSE,"meydancık";#N/A,#N/A,FALSE,"muratlı"}</definedName>
    <definedName name="dfdf">{"'장비'!$A$3:$M$12"}</definedName>
    <definedName name="DFF" localSheetId="3" hidden="1">{#N/A,#N/A,FALSE,"kal_iç_ihz";#N/A,#N/A,FALSE,"kal_iç_er";#N/A,#N/A,FALSE,"kal_iç_tut"}</definedName>
    <definedName name="DFF" hidden="1">{#N/A,#N/A,FALSE,"kal_iç_ihz";#N/A,#N/A,FALSE,"kal_iç_er";#N/A,#N/A,FALSE,"kal_iç_tut"}</definedName>
    <definedName name="dfgd" hidden="1">[29]S1BOQ!#REF!</definedName>
    <definedName name="DG" localSheetId="3">#REF!</definedName>
    <definedName name="DG">#REF!</definedName>
    <definedName name="dgagd" localSheetId="3" hidden="1">{#N/A,#N/A,TRUE,"Basic";#N/A,#N/A,TRUE,"EXT-TABLE";#N/A,#N/A,TRUE,"STEEL";#N/A,#N/A,TRUE,"INT-Table";#N/A,#N/A,TRUE,"STEEL";#N/A,#N/A,TRUE,"Door"}</definedName>
    <definedName name="dgagd" hidden="1">{#N/A,#N/A,TRUE,"Basic";#N/A,#N/A,TRUE,"EXT-TABLE";#N/A,#N/A,TRUE,"STEEL";#N/A,#N/A,TRUE,"INT-Table";#N/A,#N/A,TRUE,"STEEL";#N/A,#N/A,TRUE,"Door"}</definedName>
    <definedName name="dgfgjgj" localSheetId="3" hidden="1">{#N/A,#N/A,FALSE,"CCTV"}</definedName>
    <definedName name="dgfgjgj" hidden="1">{#N/A,#N/A,FALSE,"CCTV"}</definedName>
    <definedName name="dh6546h" hidden="1">#REF!</definedName>
    <definedName name="di" localSheetId="3">#REF!</definedName>
    <definedName name="di">#REF!</definedName>
    <definedName name="dialog_open">"Dialog Frame 1"</definedName>
    <definedName name="diameter" localSheetId="3">#REF!</definedName>
    <definedName name="diameter">#REF!</definedName>
    <definedName name="diaphragm" localSheetId="3">#REF!</definedName>
    <definedName name="diaphragm">#REF!</definedName>
    <definedName name="Diesel" comment="디젤단가">[64]차량운영비!$O$14</definedName>
    <definedName name="DIGN" localSheetId="3" hidden="1">{#N/A,#N/A,TRUE,"Basic";#N/A,#N/A,TRUE,"EXT-TABLE";#N/A,#N/A,TRUE,"STEEL";#N/A,#N/A,TRUE,"INT-Table";#N/A,#N/A,TRUE,"STEEL";#N/A,#N/A,TRUE,"Door"}</definedName>
    <definedName name="DIGN" hidden="1">{#N/A,#N/A,TRUE,"Basic";#N/A,#N/A,TRUE,"EXT-TABLE";#N/A,#N/A,TRUE,"STEEL";#N/A,#N/A,TRUE,"INT-Table";#N/A,#N/A,TRUE,"STEEL";#N/A,#N/A,TRUE,"Door"}</definedName>
    <definedName name="DIRECT" localSheetId="3">#REF!</definedName>
    <definedName name="DIRECT">#REF!</definedName>
    <definedName name="DJDJ" localSheetId="0">BlankMacro1</definedName>
    <definedName name="DJDJ" localSheetId="2">BlankMacro1</definedName>
    <definedName name="DJDJ" localSheetId="17">BlankMacro1</definedName>
    <definedName name="DJDJ" localSheetId="15">BlankMacro1</definedName>
    <definedName name="DJDJ">BlankMacro1</definedName>
    <definedName name="DJGFIWET" localSheetId="3" hidden="1">{#N/A,#N/A,FALSE,"TABLE"}</definedName>
    <definedName name="DJGFIWET" hidden="1">{#N/A,#N/A,FALSE,"TABLE"}</definedName>
    <definedName name="DK" localSheetId="3">#REF!</definedName>
    <definedName name="DK">#REF!</definedName>
    <definedName name="DKDLFJKDS" localSheetId="3" hidden="1">{#N/A,#N/A,TRUE,"Basic";#N/A,#N/A,TRUE,"EXT-TABLE";#N/A,#N/A,TRUE,"STEEL";#N/A,#N/A,TRUE,"INT-Table";#N/A,#N/A,TRUE,"STEEL";#N/A,#N/A,TRUE,"Door"}</definedName>
    <definedName name="DKDLFJKDS" hidden="1">{#N/A,#N/A,TRUE,"Basic";#N/A,#N/A,TRUE,"EXT-TABLE";#N/A,#N/A,TRUE,"STEEL";#N/A,#N/A,TRUE,"INT-Table";#N/A,#N/A,TRUE,"STEEL";#N/A,#N/A,TRUE,"Door"}</definedName>
    <definedName name="DKJFKSE" localSheetId="3" hidden="1">{#N/A,#N/A,FALSE,"TABLE"}</definedName>
    <definedName name="DKJFKSE" hidden="1">{#N/A,#N/A,FALSE,"TABLE"}</definedName>
    <definedName name="DM" localSheetId="3">#REF!</definedName>
    <definedName name="DM">#REF!</definedName>
    <definedName name="DOC" localSheetId="3">#REF!</definedName>
    <definedName name="DOC">#REF!</definedName>
    <definedName name="DOCUMENT">{"Book1","my ddc.xls"}</definedName>
    <definedName name="Document_array" localSheetId="3">{"Book1","tender-form0110-final.xls"}</definedName>
    <definedName name="Document_array">{"Book1","DOC&amp;DWG.xls"}</definedName>
    <definedName name="DOLAR" localSheetId="3" hidden="1">{#N/A,#N/A,FALSE,"Çaykara ataköy (1)";#N/A,#N/A,FALSE,"Çaykara ataköy (2)";#N/A,#N/A,FALSE,"Rize Kalkandere ";#N/A,#N/A,FALSE,"meydancık";#N/A,#N/A,FALSE,"muratlı"}</definedName>
    <definedName name="DOLAR" hidden="1">{#N/A,#N/A,FALSE,"Çaykara ataköy (1)";#N/A,#N/A,FALSE,"Çaykara ataköy (2)";#N/A,#N/A,FALSE,"Rize Kalkandere ";#N/A,#N/A,FALSE,"meydancık";#N/A,#N/A,FALSE,"muratlı"}</definedName>
    <definedName name="dp">#REF!</definedName>
    <definedName name="DpFKDL" localSheetId="3" hidden="1">{#N/A,#N/A,FALSE,"이태원철근"}</definedName>
    <definedName name="DpFKDL" hidden="1">{#N/A,#N/A,FALSE,"이태원철근"}</definedName>
    <definedName name="DR1M" localSheetId="17">#REF!</definedName>
    <definedName name="DR1M" localSheetId="15">#REF!</definedName>
    <definedName name="DR1M" localSheetId="3">#REF!</definedName>
    <definedName name="DR1M">#REF!</definedName>
    <definedName name="DR1Y" localSheetId="17">#REF!</definedName>
    <definedName name="DR1Y" localSheetId="15">#REF!</definedName>
    <definedName name="DR1Y" localSheetId="3">#REF!</definedName>
    <definedName name="DR1Y">#REF!</definedName>
    <definedName name="DR3M" localSheetId="17">#REF!</definedName>
    <definedName name="DR3M" localSheetId="15">#REF!</definedName>
    <definedName name="DR3M" localSheetId="3">#REF!</definedName>
    <definedName name="DR3M">#REF!</definedName>
    <definedName name="DR3Y" localSheetId="17">#REF!</definedName>
    <definedName name="DR3Y" localSheetId="15">#REF!</definedName>
    <definedName name="DR3Y" localSheetId="3">#REF!</definedName>
    <definedName name="DR3Y">#REF!</definedName>
    <definedName name="drain_trap" localSheetId="3">#REF!</definedName>
    <definedName name="drain_trap">#REF!</definedName>
    <definedName name="DRAW" localSheetId="3">#REF!</definedName>
    <definedName name="DRAW">#REF!</definedName>
    <definedName name="DRAWING" localSheetId="3">#REF!</definedName>
    <definedName name="DRAWING">#REF!</definedName>
    <definedName name="DS" localSheetId="3" hidden="1">{#N/A,#N/A,FALSE,"imalat_keşif";#N/A,#N/A,FALSE,"imalat_seviye";#N/A,#N/A,FALSE,"141";#N/A,#N/A,FALSE,"142";#N/A,#N/A,FALSE,"143";#N/A,#N/A,FALSE,"144";#N/A,#N/A,FALSE,"145";#N/A,#N/A,FALSE,"146";#N/A,#N/A,FALSE,"147";#N/A,#N/A,FALSE,"148";#N/A,#N/A,FALSE,"149"}</definedName>
    <definedName name="DS" hidden="1">{#N/A,#N/A,FALSE,"imalat_keşif";#N/A,#N/A,FALSE,"imalat_seviye";#N/A,#N/A,FALSE,"141";#N/A,#N/A,FALSE,"142";#N/A,#N/A,FALSE,"143";#N/A,#N/A,FALSE,"144";#N/A,#N/A,FALSE,"145";#N/A,#N/A,FALSE,"146";#N/A,#N/A,FALSE,"147";#N/A,#N/A,FALSE,"148";#N/A,#N/A,FALSE,"149"}</definedName>
    <definedName name="DSD" hidden="1">{#N/A,#N/A,FALSE,"CCTV"}</definedName>
    <definedName name="DSDD" localSheetId="3" hidden="1">{#N/A,#N/A,FALSE,"imalat_keşif";#N/A,#N/A,FALSE,"imalat_seviye";#N/A,#N/A,FALSE,"141";#N/A,#N/A,FALSE,"142";#N/A,#N/A,FALSE,"143";#N/A,#N/A,FALSE,"144";#N/A,#N/A,FALSE,"145";#N/A,#N/A,FALSE,"146";#N/A,#N/A,FALSE,"147";#N/A,#N/A,FALSE,"148";#N/A,#N/A,FALSE,"149"}</definedName>
    <definedName name="DSDD" hidden="1">{#N/A,#N/A,FALSE,"imalat_keşif";#N/A,#N/A,FALSE,"imalat_seviye";#N/A,#N/A,FALSE,"141";#N/A,#N/A,FALSE,"142";#N/A,#N/A,FALSE,"143";#N/A,#N/A,FALSE,"144";#N/A,#N/A,FALSE,"145";#N/A,#N/A,FALSE,"146";#N/A,#N/A,FALSE,"147";#N/A,#N/A,FALSE,"148";#N/A,#N/A,FALSE,"149"}</definedName>
    <definedName name="DSDSD" localSheetId="3" hidden="1">{#N/A,#N/A,TRUE,"ÞIA1BO";#N/A,#N/A,TRUE,"ÞIA2BO";#N/A,#N/A,TRUE,"ÞIA3BO";#N/A,#N/A,TRUE,"ÞIA4BK";#N/A,#N/A,TRUE,"ÞIB1BK";#N/A,#N/A,TRUE,"ÞIB2BO";#N/A,#N/A,TRUE,"ÞIG1BO";#N/A,#N/A,TRUE,"ÞIG2BO";#N/A,#N/A,TRUE,"ÞIG3BO";#N/A,#N/A,TRUE,"ÞIG4CO";#N/A,#N/A,TRUE,"ÞIG5CO";#N/A,#N/A,TRUE,"ÞIG6CO";#N/A,#N/A,TRUE,"ÞIG7CO";#N/A,#N/A,TRUE,"ÞIG8CK";#N/A,#N/A,TRUE,"ÞIG9CO";#N/A,#N/A,TRUE,"ÞIG10CK";#N/A,#N/A,TRUE,"ÞIH1CO";#N/A,#N/A,TRUE,"ÞIH2CO";#N/A,#N/A,TRUE,"ÞIH3CO";#N/A,#N/A,TRUE,"ÞIH4CO";#N/A,#N/A,TRUE,"ÞIH5CO";#N/A,#N/A,TRUE,"ÞIH7CO";#N/A,#N/A,TRUE,"ÝCMAL";#N/A,#N/A,TRUE,"A Adasý";#N/A,#N/A,TRUE,"B Adasý";#N/A,#N/A,TRUE,"G Adasý";#N/A,#N/A,TRUE,"H Adasý";#N/A,#N/A,TRUE,"J Adasý"}</definedName>
    <definedName name="DSDSD" hidden="1">{#N/A,#N/A,TRUE,"ÞIA1BO";#N/A,#N/A,TRUE,"ÞIA2BO";#N/A,#N/A,TRUE,"ÞIA3BO";#N/A,#N/A,TRUE,"ÞIA4BK";#N/A,#N/A,TRUE,"ÞIB1BK";#N/A,#N/A,TRUE,"ÞIB2BO";#N/A,#N/A,TRUE,"ÞIG1BO";#N/A,#N/A,TRUE,"ÞIG2BO";#N/A,#N/A,TRUE,"ÞIG3BO";#N/A,#N/A,TRUE,"ÞIG4CO";#N/A,#N/A,TRUE,"ÞIG5CO";#N/A,#N/A,TRUE,"ÞIG6CO";#N/A,#N/A,TRUE,"ÞIG7CO";#N/A,#N/A,TRUE,"ÞIG8CK";#N/A,#N/A,TRUE,"ÞIG9CO";#N/A,#N/A,TRUE,"ÞIG10CK";#N/A,#N/A,TRUE,"ÞIH1CO";#N/A,#N/A,TRUE,"ÞIH2CO";#N/A,#N/A,TRUE,"ÞIH3CO";#N/A,#N/A,TRUE,"ÞIH4CO";#N/A,#N/A,TRUE,"ÞIH5CO";#N/A,#N/A,TRUE,"ÞIH7CO";#N/A,#N/A,TRUE,"ÝCMAL";#N/A,#N/A,TRUE,"A Adasý";#N/A,#N/A,TRUE,"B Adasý";#N/A,#N/A,TRUE,"G Adasý";#N/A,#N/A,TRUE,"H Adasý";#N/A,#N/A,TRUE,"J Adasý"}</definedName>
    <definedName name="DSDSDS" localSheetId="3" hidden="1">{#N/A,#N/A,FALSE,"söz_fiy_fark";#N/A,#N/A,FALSE,"ihz. icmal";#N/A,#N/A,FALSE,"1";#N/A,#N/A,FALSE,"sıh_iç_ihz";#N/A,#N/A,FALSE,"sıh_iç_tut";#N/A,#N/A,FALSE,"sıh_iç_er";#N/A,#N/A,FALSE,"2";#N/A,#N/A,FALSE,"müş_iç_ihz";#N/A,#N/A,FALSE,"müş_iç_tut";#N/A,#N/A,FALSE,"müş_iç_er";#N/A,#N/A,FALSE,"3";#N/A,#N/A,FALSE,"kal_iç_ihz";#N/A,#N/A,FALSE,"kal_iç_tut";#N/A,#N/A,FALSE,"kal_iç_er";#N/A,#N/A,FALSE,"4";#N/A,#N/A,FALSE,"oto_ihz";#N/A,#N/A,FALSE,"oto_tut";#N/A,#N/A,FALSE,"oto_er";#N/A,#N/A,FALSE,"5";#N/A,#N/A,FALSE,"brü_ihz";#N/A,#N/A,FALSE,"brü_tut";#N/A,#N/A,FALSE,"brü_er"}</definedName>
    <definedName name="DSDSDS" hidden="1">{#N/A,#N/A,FALSE,"söz_fiy_fark";#N/A,#N/A,FALSE,"ihz. icmal";#N/A,#N/A,FALSE,"1";#N/A,#N/A,FALSE,"sıh_iç_ihz";#N/A,#N/A,FALSE,"sıh_iç_tut";#N/A,#N/A,FALSE,"sıh_iç_er";#N/A,#N/A,FALSE,"2";#N/A,#N/A,FALSE,"müş_iç_ihz";#N/A,#N/A,FALSE,"müş_iç_tut";#N/A,#N/A,FALSE,"müş_iç_er";#N/A,#N/A,FALSE,"3";#N/A,#N/A,FALSE,"kal_iç_ihz";#N/A,#N/A,FALSE,"kal_iç_tut";#N/A,#N/A,FALSE,"kal_iç_er";#N/A,#N/A,FALSE,"4";#N/A,#N/A,FALSE,"oto_ihz";#N/A,#N/A,FALSE,"oto_tut";#N/A,#N/A,FALSE,"oto_er";#N/A,#N/A,FALSE,"5";#N/A,#N/A,FALSE,"brü_ihz";#N/A,#N/A,FALSE,"brü_tut";#N/A,#N/A,FALSE,"brü_er"}</definedName>
    <definedName name="dsfsdfds" hidden="1">'[68]#REF'!#REF!</definedName>
    <definedName name="dşğhjt" localSheetId="3" hidden="1">{#N/A,#N/A,FALSE,"Çaykara ataköy (1)";#N/A,#N/A,FALSE,"Çaykara ataköy (2)";#N/A,#N/A,FALSE,"Rize Kalkandere ";#N/A,#N/A,FALSE,"meydancık";#N/A,#N/A,FALSE,"muratlı"}</definedName>
    <definedName name="dşğhjt" hidden="1">{#N/A,#N/A,FALSE,"Çaykara ataköy (1)";#N/A,#N/A,FALSE,"Çaykara ataköy (2)";#N/A,#N/A,FALSE,"Rize Kalkandere ";#N/A,#N/A,FALSE,"meydancık";#N/A,#N/A,FALSE,"muratlı"}</definedName>
    <definedName name="DSJFOWEU8923" localSheetId="3" hidden="1">{#N/A,#N/A,FALSE,"TABLE"}</definedName>
    <definedName name="DSJFOWEU8923" hidden="1">{#N/A,#N/A,FALSE,"TABLE"}</definedName>
    <definedName name="dssss" hidden="1">{#N/A,#N/A,FALSE,"TABLE"}</definedName>
    <definedName name="dtjcfcgfh" hidden="1">[15]공통비총괄표!#REF!</definedName>
    <definedName name="du" localSheetId="3" hidden="1">{#N/A,#N/A,FALSE,"maff_h1";#N/A,#N/A,FALSE,"maff_h2";#N/A,#N/A,FALSE,"maff_h3";#N/A,#N/A,FALSE,"maff_h4";#N/A,#N/A,FALSE,"maff_h5";#N/A,#N/A,FALSE,"maff_h6";#N/A,#N/A,FALSE,"maff_h7"}</definedName>
    <definedName name="du" hidden="1">{#N/A,#N/A,FALSE,"maff_h1";#N/A,#N/A,FALSE,"maff_h2";#N/A,#N/A,FALSE,"maff_h3";#N/A,#N/A,FALSE,"maff_h4";#N/A,#N/A,FALSE,"maff_h5";#N/A,#N/A,FALSE,"maff_h6";#N/A,#N/A,FALSE,"maff_h7"}</definedName>
    <definedName name="dual_plate_check" localSheetId="3">#REF!</definedName>
    <definedName name="dual_plate_check">#REF!</definedName>
    <definedName name="DUCT_GONG" localSheetId="3">#REF!</definedName>
    <definedName name="DUCT_GONG">#REF!</definedName>
    <definedName name="dumppr" localSheetId="17">#REF!</definedName>
    <definedName name="dumppr" localSheetId="15">#REF!</definedName>
    <definedName name="dumppr" localSheetId="3">#REF!</definedName>
    <definedName name="dumppr">#REF!</definedName>
    <definedName name="duplex_strainer" localSheetId="3">#REF!</definedName>
    <definedName name="duplex_strainer">#REF!</definedName>
    <definedName name="Duration">'[57]현장 개요'!$G$31</definedName>
    <definedName name="DWPRICE" hidden="1">[69]Quantity!#REF!</definedName>
    <definedName name="dwv" localSheetId="3" hidden="1">{#N/A,#N/A,TRUE,"Basic";#N/A,#N/A,TRUE,"EXT-TABLE";#N/A,#N/A,TRUE,"STEEL";#N/A,#N/A,TRUE,"INT-Table";#N/A,#N/A,TRUE,"STEEL";#N/A,#N/A,TRUE,"Door"}</definedName>
    <definedName name="dwv" hidden="1">{#N/A,#N/A,TRUE,"Basic";#N/A,#N/A,TRUE,"EXT-TABLE";#N/A,#N/A,TRUE,"STEEL";#N/A,#N/A,TRUE,"INT-Table";#N/A,#N/A,TRUE,"STEEL";#N/A,#N/A,TRUE,"Door"}</definedName>
    <definedName name="dx_shape" localSheetId="17">#REF!</definedName>
    <definedName name="dx_shape" localSheetId="15">#REF!</definedName>
    <definedName name="dx_shape" localSheetId="3">#REF!</definedName>
    <definedName name="dx_shape">#REF!</definedName>
    <definedName name="dyd" localSheetId="3">BlankMacro1</definedName>
    <definedName name="dyd">BlankMacro1</definedName>
    <definedName name="e" localSheetId="3">BlankMacro1</definedName>
    <definedName name="E" hidden="1">{#N/A,#N/A,FALSE,"이태원철근"}</definedName>
    <definedName name="E_45E" localSheetId="3">#REF!</definedName>
    <definedName name="E_45E">#REF!</definedName>
    <definedName name="E_90LE" localSheetId="3">#REF!</definedName>
    <definedName name="E_90LE">#REF!</definedName>
    <definedName name="E_90SE" localSheetId="3">#REF!</definedName>
    <definedName name="E_90SE">#REF!</definedName>
    <definedName name="E_BV" localSheetId="3">#REF!</definedName>
    <definedName name="E_BV">#REF!</definedName>
    <definedName name="E_GV" localSheetId="3">#REF!</definedName>
    <definedName name="E_GV">#REF!</definedName>
    <definedName name="e_margin" localSheetId="17">#REF!</definedName>
    <definedName name="e_margin" localSheetId="15">#REF!</definedName>
    <definedName name="e_margin" localSheetId="3">#REF!</definedName>
    <definedName name="e_margin">#REF!</definedName>
    <definedName name="E_SC" localSheetId="3">#REF!</definedName>
    <definedName name="E_SC">#REF!</definedName>
    <definedName name="E_T" localSheetId="3">#REF!</definedName>
    <definedName name="E_T">#REF!</definedName>
    <definedName name="E10M" localSheetId="3">#REF!</definedName>
    <definedName name="E10M">#REF!</definedName>
    <definedName name="E10P" localSheetId="3">#REF!</definedName>
    <definedName name="E10P">#REF!</definedName>
    <definedName name="E11M" localSheetId="3">#REF!</definedName>
    <definedName name="E11M">#REF!</definedName>
    <definedName name="E11P" localSheetId="3">#REF!</definedName>
    <definedName name="E11P">#REF!</definedName>
    <definedName name="E12M" localSheetId="3">#REF!</definedName>
    <definedName name="E12M">#REF!</definedName>
    <definedName name="E12P" localSheetId="3">#REF!</definedName>
    <definedName name="E12P">#REF!</definedName>
    <definedName name="E13M" localSheetId="3">#REF!</definedName>
    <definedName name="E13M">#REF!</definedName>
    <definedName name="E13P" localSheetId="3">#REF!</definedName>
    <definedName name="E13P">#REF!</definedName>
    <definedName name="E14M" localSheetId="3">#REF!</definedName>
    <definedName name="E14M">#REF!</definedName>
    <definedName name="E14P" localSheetId="3">#REF!</definedName>
    <definedName name="E14P">#REF!</definedName>
    <definedName name="E15M" localSheetId="3">#REF!</definedName>
    <definedName name="E15M">#REF!</definedName>
    <definedName name="E15P" localSheetId="3">#REF!</definedName>
    <definedName name="E15P">#REF!</definedName>
    <definedName name="E16M" localSheetId="3">#REF!</definedName>
    <definedName name="E16M">#REF!</definedName>
    <definedName name="E16P" localSheetId="3">#REF!</definedName>
    <definedName name="E16P">#REF!</definedName>
    <definedName name="E17M" localSheetId="3">#REF!</definedName>
    <definedName name="E17M">#REF!</definedName>
    <definedName name="E17P" localSheetId="3">#REF!</definedName>
    <definedName name="E17P">#REF!</definedName>
    <definedName name="E18M" localSheetId="3">#REF!</definedName>
    <definedName name="E18M">#REF!</definedName>
    <definedName name="E18P" localSheetId="3">#REF!</definedName>
    <definedName name="E18P">#REF!</definedName>
    <definedName name="E19M" localSheetId="3">#REF!</definedName>
    <definedName name="E19M">#REF!</definedName>
    <definedName name="E19P" localSheetId="3">#REF!</definedName>
    <definedName name="E19P">#REF!</definedName>
    <definedName name="E1E" localSheetId="3">#REF!</definedName>
    <definedName name="E1E">#REF!</definedName>
    <definedName name="E1M" localSheetId="3">#REF!</definedName>
    <definedName name="E1M">#REF!</definedName>
    <definedName name="E1P" localSheetId="3">#REF!</definedName>
    <definedName name="E1P">#REF!</definedName>
    <definedName name="E20M" localSheetId="3">#REF!</definedName>
    <definedName name="E20M">#REF!</definedName>
    <definedName name="E20P" localSheetId="3">#REF!</definedName>
    <definedName name="E20P">#REF!</definedName>
    <definedName name="E21M" localSheetId="3">#REF!</definedName>
    <definedName name="E21M">#REF!</definedName>
    <definedName name="E21P" localSheetId="3">#REF!</definedName>
    <definedName name="E21P">#REF!</definedName>
    <definedName name="E22M" localSheetId="3">#REF!</definedName>
    <definedName name="E22M">#REF!</definedName>
    <definedName name="E22P" localSheetId="3">#REF!</definedName>
    <definedName name="E22P">#REF!</definedName>
    <definedName name="E23M" localSheetId="3">#REF!</definedName>
    <definedName name="E23M">#REF!</definedName>
    <definedName name="E23P" localSheetId="3">#REF!</definedName>
    <definedName name="E23P">#REF!</definedName>
    <definedName name="E24M" localSheetId="3">#REF!</definedName>
    <definedName name="E24M">#REF!</definedName>
    <definedName name="E24P" localSheetId="3">#REF!</definedName>
    <definedName name="E24P">#REF!</definedName>
    <definedName name="E25M" localSheetId="3">#REF!</definedName>
    <definedName name="E25M">#REF!</definedName>
    <definedName name="E25P" localSheetId="3">#REF!</definedName>
    <definedName name="E25P">#REF!</definedName>
    <definedName name="E26E" localSheetId="3">#REF!</definedName>
    <definedName name="E26E">#REF!</definedName>
    <definedName name="E26M" localSheetId="3">#REF!</definedName>
    <definedName name="E26M">#REF!</definedName>
    <definedName name="E26P" localSheetId="3">#REF!</definedName>
    <definedName name="E26P">#REF!</definedName>
    <definedName name="E27E" localSheetId="3">#REF!</definedName>
    <definedName name="E27E">#REF!</definedName>
    <definedName name="E27M" localSheetId="3">#REF!</definedName>
    <definedName name="E27M">#REF!</definedName>
    <definedName name="E27P" localSheetId="3">#REF!</definedName>
    <definedName name="E27P">#REF!</definedName>
    <definedName name="E28E" localSheetId="3">#REF!</definedName>
    <definedName name="E28E">#REF!</definedName>
    <definedName name="E28M" localSheetId="3">#REF!</definedName>
    <definedName name="E28M">#REF!</definedName>
    <definedName name="E28P" localSheetId="3">#REF!</definedName>
    <definedName name="E28P">#REF!</definedName>
    <definedName name="E29M" localSheetId="3">#REF!</definedName>
    <definedName name="E29M">#REF!</definedName>
    <definedName name="E29P" localSheetId="3">#REF!</definedName>
    <definedName name="E29P">#REF!</definedName>
    <definedName name="E2E" localSheetId="3">#REF!</definedName>
    <definedName name="E2E">#REF!</definedName>
    <definedName name="E2M" localSheetId="3">#REF!</definedName>
    <definedName name="E2M">#REF!</definedName>
    <definedName name="E2P" localSheetId="3">#REF!</definedName>
    <definedName name="E2P">#REF!</definedName>
    <definedName name="E30M" localSheetId="3">#REF!</definedName>
    <definedName name="E30M">#REF!</definedName>
    <definedName name="E30P" localSheetId="3">#REF!</definedName>
    <definedName name="E30P">#REF!</definedName>
    <definedName name="E31E" localSheetId="3">#REF!</definedName>
    <definedName name="E31E">#REF!</definedName>
    <definedName name="E31M" localSheetId="3">#REF!</definedName>
    <definedName name="E31M">#REF!</definedName>
    <definedName name="E31P" localSheetId="3">#REF!</definedName>
    <definedName name="E31P">#REF!</definedName>
    <definedName name="E32E" localSheetId="3">#REF!</definedName>
    <definedName name="E32E">#REF!</definedName>
    <definedName name="E32M" localSheetId="3">#REF!</definedName>
    <definedName name="E32M">#REF!</definedName>
    <definedName name="E32P" localSheetId="3">#REF!</definedName>
    <definedName name="E32P">#REF!</definedName>
    <definedName name="E33E" localSheetId="3">#REF!</definedName>
    <definedName name="E33E">#REF!</definedName>
    <definedName name="E33M" localSheetId="3">#REF!</definedName>
    <definedName name="E33M">#REF!</definedName>
    <definedName name="E33P" localSheetId="3">#REF!</definedName>
    <definedName name="E33P">#REF!</definedName>
    <definedName name="E34E" localSheetId="3">#REF!</definedName>
    <definedName name="E34E">#REF!</definedName>
    <definedName name="E34M" localSheetId="3">#REF!</definedName>
    <definedName name="E34M">#REF!</definedName>
    <definedName name="E34P" localSheetId="3">#REF!</definedName>
    <definedName name="E34P">#REF!</definedName>
    <definedName name="E35M" localSheetId="3">#REF!</definedName>
    <definedName name="E35M">#REF!</definedName>
    <definedName name="E35P" localSheetId="3">#REF!</definedName>
    <definedName name="E35P">#REF!</definedName>
    <definedName name="E36M" localSheetId="3">#REF!</definedName>
    <definedName name="E36M">#REF!</definedName>
    <definedName name="E36P" localSheetId="3">#REF!</definedName>
    <definedName name="E36P">#REF!</definedName>
    <definedName name="E37M" localSheetId="3">#REF!</definedName>
    <definedName name="E37M">#REF!</definedName>
    <definedName name="E37P" localSheetId="3">#REF!</definedName>
    <definedName name="E37P">#REF!</definedName>
    <definedName name="E38M" localSheetId="3">#REF!</definedName>
    <definedName name="E38M">#REF!</definedName>
    <definedName name="E38P" localSheetId="3">#REF!</definedName>
    <definedName name="E38P">#REF!</definedName>
    <definedName name="E39M" localSheetId="3">#REF!</definedName>
    <definedName name="E39M">#REF!</definedName>
    <definedName name="E39P" localSheetId="3">#REF!</definedName>
    <definedName name="E39P">#REF!</definedName>
    <definedName name="E3P" localSheetId="3">#REF!</definedName>
    <definedName name="E3P">#REF!</definedName>
    <definedName name="E40M" localSheetId="3">#REF!</definedName>
    <definedName name="E40M">#REF!</definedName>
    <definedName name="E40P" localSheetId="3">#REF!</definedName>
    <definedName name="E40P">#REF!</definedName>
    <definedName name="E41M" localSheetId="3">#REF!</definedName>
    <definedName name="E41M">#REF!</definedName>
    <definedName name="E41P" localSheetId="3">#REF!</definedName>
    <definedName name="E41P">#REF!</definedName>
    <definedName name="E42M" localSheetId="3">#REF!</definedName>
    <definedName name="E42M">#REF!</definedName>
    <definedName name="E42P" localSheetId="3">#REF!</definedName>
    <definedName name="E42P">#REF!</definedName>
    <definedName name="E43M" localSheetId="3">#REF!</definedName>
    <definedName name="E43M">#REF!</definedName>
    <definedName name="E43P" localSheetId="3">#REF!</definedName>
    <definedName name="E43P">#REF!</definedName>
    <definedName name="E44M" localSheetId="3">#REF!</definedName>
    <definedName name="E44M">#REF!</definedName>
    <definedName name="E44P" localSheetId="3">#REF!</definedName>
    <definedName name="E44P">#REF!</definedName>
    <definedName name="E45M" localSheetId="3">#REF!</definedName>
    <definedName name="E45M">#REF!</definedName>
    <definedName name="E45P" localSheetId="3">#REF!</definedName>
    <definedName name="E45P">#REF!</definedName>
    <definedName name="E46M" localSheetId="3">#REF!</definedName>
    <definedName name="E46M">#REF!</definedName>
    <definedName name="E46P" localSheetId="3">#REF!</definedName>
    <definedName name="E46P">#REF!</definedName>
    <definedName name="E47M" localSheetId="3">#REF!</definedName>
    <definedName name="E47M">#REF!</definedName>
    <definedName name="E47P" localSheetId="3">#REF!</definedName>
    <definedName name="E47P">#REF!</definedName>
    <definedName name="E48M" localSheetId="3">#REF!</definedName>
    <definedName name="E48M">#REF!</definedName>
    <definedName name="E48P" localSheetId="3">#REF!</definedName>
    <definedName name="E48P">#REF!</definedName>
    <definedName name="E49M" localSheetId="3">#REF!</definedName>
    <definedName name="E49M">#REF!</definedName>
    <definedName name="E49P" localSheetId="3">#REF!</definedName>
    <definedName name="E49P">#REF!</definedName>
    <definedName name="E4M" localSheetId="3">#REF!</definedName>
    <definedName name="E4M">#REF!</definedName>
    <definedName name="E4P" localSheetId="3">#REF!</definedName>
    <definedName name="E4P">#REF!</definedName>
    <definedName name="E50M" localSheetId="3">#REF!</definedName>
    <definedName name="E50M">#REF!</definedName>
    <definedName name="E50P" localSheetId="3">#REF!</definedName>
    <definedName name="E50P">#REF!</definedName>
    <definedName name="E51E" localSheetId="3">#REF!</definedName>
    <definedName name="E51E">#REF!</definedName>
    <definedName name="E52M" localSheetId="3">#REF!</definedName>
    <definedName name="E52M">#REF!</definedName>
    <definedName name="E52P" localSheetId="3">#REF!</definedName>
    <definedName name="E52P">#REF!</definedName>
    <definedName name="E53M" localSheetId="3">#REF!</definedName>
    <definedName name="E53M">#REF!</definedName>
    <definedName name="E53P" localSheetId="3">#REF!</definedName>
    <definedName name="E53P">#REF!</definedName>
    <definedName name="E54M" localSheetId="3">#REF!</definedName>
    <definedName name="E54M">#REF!</definedName>
    <definedName name="E54P" localSheetId="3">#REF!</definedName>
    <definedName name="E54P">#REF!</definedName>
    <definedName name="E55M" localSheetId="3">#REF!</definedName>
    <definedName name="E55M">#REF!</definedName>
    <definedName name="E55P" localSheetId="3">#REF!</definedName>
    <definedName name="E55P">#REF!</definedName>
    <definedName name="E56M" localSheetId="3">#REF!</definedName>
    <definedName name="E56M">#REF!</definedName>
    <definedName name="E56P" localSheetId="3">#REF!</definedName>
    <definedName name="E56P">#REF!</definedName>
    <definedName name="E57M" localSheetId="3">#REF!</definedName>
    <definedName name="E57M">#REF!</definedName>
    <definedName name="E57P" localSheetId="3">#REF!</definedName>
    <definedName name="E57P">#REF!</definedName>
    <definedName name="E58M" localSheetId="3">#REF!</definedName>
    <definedName name="E58M">#REF!</definedName>
    <definedName name="E58P" localSheetId="3">#REF!</definedName>
    <definedName name="E58P">#REF!</definedName>
    <definedName name="E59M" localSheetId="3">#REF!</definedName>
    <definedName name="E59M">#REF!</definedName>
    <definedName name="E59P" localSheetId="3">#REF!</definedName>
    <definedName name="E59P">#REF!</definedName>
    <definedName name="E5M" localSheetId="3">#REF!</definedName>
    <definedName name="E5M">#REF!</definedName>
    <definedName name="E5P" localSheetId="3">#REF!</definedName>
    <definedName name="E5P">#REF!</definedName>
    <definedName name="E60M" localSheetId="3">#REF!</definedName>
    <definedName name="E60M">#REF!</definedName>
    <definedName name="E60P" localSheetId="3">#REF!</definedName>
    <definedName name="E60P">#REF!</definedName>
    <definedName name="E61M" localSheetId="3">#REF!</definedName>
    <definedName name="E61M">#REF!</definedName>
    <definedName name="E61P" localSheetId="3">#REF!</definedName>
    <definedName name="E61P">#REF!</definedName>
    <definedName name="E62M" localSheetId="3">#REF!</definedName>
    <definedName name="E62M">#REF!</definedName>
    <definedName name="E62P" localSheetId="3">#REF!</definedName>
    <definedName name="E62P">#REF!</definedName>
    <definedName name="E63M" localSheetId="3">#REF!</definedName>
    <definedName name="E63M">#REF!</definedName>
    <definedName name="E63P" localSheetId="3">#REF!</definedName>
    <definedName name="E63P">#REF!</definedName>
    <definedName name="E64M" localSheetId="3">#REF!</definedName>
    <definedName name="E64M">#REF!</definedName>
    <definedName name="E64P" localSheetId="3">#REF!</definedName>
    <definedName name="E64P">#REF!</definedName>
    <definedName name="E65M" localSheetId="3">#REF!</definedName>
    <definedName name="E65M">#REF!</definedName>
    <definedName name="E65P" localSheetId="3">#REF!</definedName>
    <definedName name="E65P">#REF!</definedName>
    <definedName name="E66M" localSheetId="3">#REF!</definedName>
    <definedName name="E66M">#REF!</definedName>
    <definedName name="E66P" localSheetId="3">#REF!</definedName>
    <definedName name="E66P">#REF!</definedName>
    <definedName name="E67M" localSheetId="3">#REF!</definedName>
    <definedName name="E67M">#REF!</definedName>
    <definedName name="E67P" localSheetId="3">#REF!</definedName>
    <definedName name="E67P">#REF!</definedName>
    <definedName name="E68M" localSheetId="3">#REF!</definedName>
    <definedName name="E68M">#REF!</definedName>
    <definedName name="E6M" localSheetId="3">#REF!</definedName>
    <definedName name="E6M">#REF!</definedName>
    <definedName name="E6P" localSheetId="3">#REF!</definedName>
    <definedName name="E6P">#REF!</definedName>
    <definedName name="E7M" localSheetId="3">#REF!</definedName>
    <definedName name="E7M">#REF!</definedName>
    <definedName name="E7P" localSheetId="3">#REF!</definedName>
    <definedName name="E7P">#REF!</definedName>
    <definedName name="E8M" localSheetId="3">#REF!</definedName>
    <definedName name="E8M">#REF!</definedName>
    <definedName name="E8P" localSheetId="3">#REF!</definedName>
    <definedName name="E8P">#REF!</definedName>
    <definedName name="E9M" localSheetId="3">#REF!</definedName>
    <definedName name="E9M">#REF!</definedName>
    <definedName name="E9P" localSheetId="3">#REF!</definedName>
    <definedName name="E9P">#REF!</definedName>
    <definedName name="EA" hidden="1">#REF!</definedName>
    <definedName name="EBP" localSheetId="3">#REF!</definedName>
    <definedName name="EBP">#REF!</definedName>
    <definedName name="EBPC" localSheetId="3">#REF!</definedName>
    <definedName name="EBPC">#REF!</definedName>
    <definedName name="EBPE" localSheetId="3">#REF!</definedName>
    <definedName name="EBPE">#REF!</definedName>
    <definedName name="EBPI" localSheetId="3">#REF!</definedName>
    <definedName name="EBPI">#REF!</definedName>
    <definedName name="EBPP" localSheetId="3">#REF!</definedName>
    <definedName name="EBPP">#REF!</definedName>
    <definedName name="EBPS" localSheetId="3">#REF!</definedName>
    <definedName name="EBPS">#REF!</definedName>
    <definedName name="EBPW" localSheetId="3">#REF!</definedName>
    <definedName name="EBPW">#REF!</definedName>
    <definedName name="EBP계장" localSheetId="3">#REF!</definedName>
    <definedName name="EBP계장">#REF!</definedName>
    <definedName name="EBP도장" localSheetId="3">#REF!</definedName>
    <definedName name="EBP도장">#REF!</definedName>
    <definedName name="EBP전" localSheetId="3">#REF!</definedName>
    <definedName name="EBP전">#REF!</definedName>
    <definedName name="eCIiIi¨­A_I¨￡">#N/A</definedName>
    <definedName name="eCIiIiÞA_Iª">#N/A</definedName>
    <definedName name="èÇÍïÍïÞÀ_Íª">#N/A</definedName>
    <definedName name="ED" hidden="1">{#N/A,#N/A,FALSE,"CCTV"}</definedName>
    <definedName name="edf" localSheetId="3" hidden="1">{#N/A,#N/A,FALSE,"ihz. icmal";#N/A,#N/A,FALSE,"avans";#N/A,#N/A,FALSE,"mal_FF_icm";#N/A,#N/A,FALSE,"fat_ihz";#N/A,#N/A,FALSE,"söz_fiy_fark";#N/A,#N/A,FALSE,"kap2"}</definedName>
    <definedName name="edf" hidden="1">{#N/A,#N/A,FALSE,"ihz. icmal";#N/A,#N/A,FALSE,"avans";#N/A,#N/A,FALSE,"mal_FF_icm";#N/A,#N/A,FALSE,"fat_ihz";#N/A,#N/A,FALSE,"söz_fiy_fark";#N/A,#N/A,FALSE,"kap2"}</definedName>
    <definedName name="EE" localSheetId="3">#REF!</definedName>
    <definedName name="EE">#REF!</definedName>
    <definedName name="EED" localSheetId="3" hidden="1">{#N/A,#N/A,FALSE,"imalat_keşif";#N/A,#N/A,FALSE,"imalat_seviye";#N/A,#N/A,FALSE,"141";#N/A,#N/A,FALSE,"142";#N/A,#N/A,FALSE,"143";#N/A,#N/A,FALSE,"144";#N/A,#N/A,FALSE,"145";#N/A,#N/A,FALSE,"146";#N/A,#N/A,FALSE,"147";#N/A,#N/A,FALSE,"148";#N/A,#N/A,FALSE,"149"}</definedName>
    <definedName name="EED" hidden="1">{#N/A,#N/A,FALSE,"imalat_keşif";#N/A,#N/A,FALSE,"imalat_seviye";#N/A,#N/A,FALSE,"141";#N/A,#N/A,FALSE,"142";#N/A,#N/A,FALSE,"143";#N/A,#N/A,FALSE,"144";#N/A,#N/A,FALSE,"145";#N/A,#N/A,FALSE,"146";#N/A,#N/A,FALSE,"147";#N/A,#N/A,FALSE,"148";#N/A,#N/A,FALSE,"149"}</definedName>
    <definedName name="eee">'[70]h-013211-2'!$Q$4</definedName>
    <definedName name="EEEE" localSheetId="3" hidden="1">{#N/A,#N/A,TRUE,"Basic";#N/A,#N/A,TRUE,"EXT-TABLE";#N/A,#N/A,TRUE,"STEEL";#N/A,#N/A,TRUE,"INT-Table";#N/A,#N/A,TRUE,"STEEL";#N/A,#N/A,TRUE,"Door"}</definedName>
    <definedName name="EEEE" hidden="1">{#N/A,#N/A,TRUE,"Basic";#N/A,#N/A,TRUE,"EXT-TABLE";#N/A,#N/A,TRUE,"STEEL";#N/A,#N/A,TRUE,"INT-Table";#N/A,#N/A,TRUE,"STEEL";#N/A,#N/A,TRUE,"Door"}</definedName>
    <definedName name="eeeeeeeeeeeeeeeeeeeeeeeeeeeeee" localSheetId="17">#REF!</definedName>
    <definedName name="eeeeeeeeeeeeeeeeeeeeeeeeeeeeee" localSheetId="15">#REF!</definedName>
    <definedName name="eeeeeeeeeeeeeeeeeeeeeeeeeeeeee">#REF!</definedName>
    <definedName name="eefedf" localSheetId="3" hidden="1">{#N/A,#N/A,FALSE,"söz_fiy_fark";#N/A,#N/A,FALSE,"ihz. icmal";#N/A,#N/A,FALSE,"1";#N/A,#N/A,FALSE,"sıh_iç_ihz";#N/A,#N/A,FALSE,"sıh_iç_tut";#N/A,#N/A,FALSE,"sıh_iç_er";#N/A,#N/A,FALSE,"2";#N/A,#N/A,FALSE,"müş_iç_ihz";#N/A,#N/A,FALSE,"müş_iç_tut";#N/A,#N/A,FALSE,"müş_iç_er";#N/A,#N/A,FALSE,"3";#N/A,#N/A,FALSE,"kal_iç_ihz";#N/A,#N/A,FALSE,"kal_iç_tut";#N/A,#N/A,FALSE,"kal_iç_er";#N/A,#N/A,FALSE,"4";#N/A,#N/A,FALSE,"oto_ihz";#N/A,#N/A,FALSE,"oto_tut";#N/A,#N/A,FALSE,"oto_er";#N/A,#N/A,FALSE,"5";#N/A,#N/A,FALSE,"brü_ihz";#N/A,#N/A,FALSE,"brü_tut";#N/A,#N/A,FALSE,"brü_er"}</definedName>
    <definedName name="eefedf" hidden="1">{#N/A,#N/A,FALSE,"söz_fiy_fark";#N/A,#N/A,FALSE,"ihz. icmal";#N/A,#N/A,FALSE,"1";#N/A,#N/A,FALSE,"sıh_iç_ihz";#N/A,#N/A,FALSE,"sıh_iç_tut";#N/A,#N/A,FALSE,"sıh_iç_er";#N/A,#N/A,FALSE,"2";#N/A,#N/A,FALSE,"müş_iç_ihz";#N/A,#N/A,FALSE,"müş_iç_tut";#N/A,#N/A,FALSE,"müş_iç_er";#N/A,#N/A,FALSE,"3";#N/A,#N/A,FALSE,"kal_iç_ihz";#N/A,#N/A,FALSE,"kal_iç_tut";#N/A,#N/A,FALSE,"kal_iç_er";#N/A,#N/A,FALSE,"4";#N/A,#N/A,FALSE,"oto_ihz";#N/A,#N/A,FALSE,"oto_tut";#N/A,#N/A,FALSE,"oto_er";#N/A,#N/A,FALSE,"5";#N/A,#N/A,FALSE,"brü_ihz";#N/A,#N/A,FALSE,"brü_tut";#N/A,#N/A,FALSE,"brü_er"}</definedName>
    <definedName name="EH_001_1" localSheetId="17">#REF!</definedName>
    <definedName name="EH_001_1" localSheetId="15">#REF!</definedName>
    <definedName name="EH_001_1" localSheetId="3">#REF!</definedName>
    <definedName name="EH_001_1">#REF!</definedName>
    <definedName name="EH_001_10" localSheetId="17">#REF!</definedName>
    <definedName name="EH_001_10" localSheetId="15">#REF!</definedName>
    <definedName name="EH_001_10" localSheetId="3">#REF!</definedName>
    <definedName name="EH_001_10">#REF!</definedName>
    <definedName name="EH_001_11" localSheetId="17">#REF!</definedName>
    <definedName name="EH_001_11" localSheetId="15">#REF!</definedName>
    <definedName name="EH_001_11" localSheetId="3">#REF!</definedName>
    <definedName name="EH_001_11">#REF!</definedName>
    <definedName name="EH_001_12" localSheetId="17">#REF!</definedName>
    <definedName name="EH_001_12" localSheetId="15">#REF!</definedName>
    <definedName name="EH_001_12" localSheetId="3">#REF!</definedName>
    <definedName name="EH_001_12">#REF!</definedName>
    <definedName name="EH_001_13" localSheetId="17">#REF!</definedName>
    <definedName name="EH_001_13" localSheetId="15">#REF!</definedName>
    <definedName name="EH_001_13" localSheetId="3">#REF!</definedName>
    <definedName name="EH_001_13">#REF!</definedName>
    <definedName name="EH_001_14" localSheetId="17">#REF!</definedName>
    <definedName name="EH_001_14" localSheetId="15">#REF!</definedName>
    <definedName name="EH_001_14" localSheetId="3">#REF!</definedName>
    <definedName name="EH_001_14">#REF!</definedName>
    <definedName name="EH_001_15" localSheetId="17">#REF!</definedName>
    <definedName name="EH_001_15" localSheetId="15">#REF!</definedName>
    <definedName name="EH_001_15" localSheetId="3">#REF!</definedName>
    <definedName name="EH_001_15">#REF!</definedName>
    <definedName name="EH_001_16" localSheetId="17">#REF!</definedName>
    <definedName name="EH_001_16" localSheetId="15">#REF!</definedName>
    <definedName name="EH_001_16" localSheetId="3">#REF!</definedName>
    <definedName name="EH_001_16">#REF!</definedName>
    <definedName name="EH_001_17" localSheetId="17">#REF!</definedName>
    <definedName name="EH_001_17" localSheetId="15">#REF!</definedName>
    <definedName name="EH_001_17" localSheetId="3">#REF!</definedName>
    <definedName name="EH_001_17">#REF!</definedName>
    <definedName name="EH_001_18" localSheetId="17">#REF!</definedName>
    <definedName name="EH_001_18" localSheetId="15">#REF!</definedName>
    <definedName name="EH_001_18" localSheetId="3">#REF!</definedName>
    <definedName name="EH_001_18">#REF!</definedName>
    <definedName name="EH_001_2" localSheetId="17">#REF!</definedName>
    <definedName name="EH_001_2" localSheetId="15">#REF!</definedName>
    <definedName name="EH_001_2" localSheetId="3">#REF!</definedName>
    <definedName name="EH_001_2">#REF!</definedName>
    <definedName name="EH_001_3" localSheetId="17">#REF!</definedName>
    <definedName name="EH_001_3" localSheetId="15">#REF!</definedName>
    <definedName name="EH_001_3" localSheetId="3">#REF!</definedName>
    <definedName name="EH_001_3">#REF!</definedName>
    <definedName name="EH_001_4" localSheetId="17">#REF!</definedName>
    <definedName name="EH_001_4" localSheetId="15">#REF!</definedName>
    <definedName name="EH_001_4" localSheetId="3">#REF!</definedName>
    <definedName name="EH_001_4">#REF!</definedName>
    <definedName name="EH_001_5" localSheetId="17">#REF!</definedName>
    <definedName name="EH_001_5" localSheetId="15">#REF!</definedName>
    <definedName name="EH_001_5" localSheetId="3">#REF!</definedName>
    <definedName name="EH_001_5">#REF!</definedName>
    <definedName name="EH_001_6" localSheetId="17">#REF!</definedName>
    <definedName name="EH_001_6" localSheetId="15">#REF!</definedName>
    <definedName name="EH_001_6" localSheetId="3">#REF!</definedName>
    <definedName name="EH_001_6">#REF!</definedName>
    <definedName name="EH_001_7" localSheetId="17">#REF!</definedName>
    <definedName name="EH_001_7" localSheetId="15">#REF!</definedName>
    <definedName name="EH_001_7" localSheetId="3">#REF!</definedName>
    <definedName name="EH_001_7">#REF!</definedName>
    <definedName name="EH_001_8" localSheetId="17">#REF!</definedName>
    <definedName name="EH_001_8" localSheetId="15">#REF!</definedName>
    <definedName name="EH_001_8" localSheetId="3">#REF!</definedName>
    <definedName name="EH_001_8">#REF!</definedName>
    <definedName name="EH_001_9" localSheetId="17">#REF!</definedName>
    <definedName name="EH_001_9" localSheetId="15">#REF!</definedName>
    <definedName name="EH_001_9" localSheetId="3">#REF!</definedName>
    <definedName name="EH_001_9">#REF!</definedName>
    <definedName name="EH_002_1" localSheetId="17">#REF!</definedName>
    <definedName name="EH_002_1" localSheetId="15">#REF!</definedName>
    <definedName name="EH_002_1" localSheetId="3">#REF!</definedName>
    <definedName name="EH_002_1">#REF!</definedName>
    <definedName name="EH_002_10" localSheetId="17">#REF!</definedName>
    <definedName name="EH_002_10" localSheetId="15">#REF!</definedName>
    <definedName name="EH_002_10" localSheetId="3">#REF!</definedName>
    <definedName name="EH_002_10">#REF!</definedName>
    <definedName name="EH_002_11" localSheetId="17">#REF!</definedName>
    <definedName name="EH_002_11" localSheetId="15">#REF!</definedName>
    <definedName name="EH_002_11" localSheetId="3">#REF!</definedName>
    <definedName name="EH_002_11">#REF!</definedName>
    <definedName name="EH_002_12" localSheetId="17">#REF!</definedName>
    <definedName name="EH_002_12" localSheetId="15">#REF!</definedName>
    <definedName name="EH_002_12" localSheetId="3">#REF!</definedName>
    <definedName name="EH_002_12">#REF!</definedName>
    <definedName name="EH_002_13" localSheetId="17">#REF!</definedName>
    <definedName name="EH_002_13" localSheetId="15">#REF!</definedName>
    <definedName name="EH_002_13" localSheetId="3">#REF!</definedName>
    <definedName name="EH_002_13">#REF!</definedName>
    <definedName name="EH_002_14" localSheetId="17">#REF!</definedName>
    <definedName name="EH_002_14" localSheetId="15">#REF!</definedName>
    <definedName name="EH_002_14" localSheetId="3">#REF!</definedName>
    <definedName name="EH_002_14">#REF!</definedName>
    <definedName name="EH_002_15" localSheetId="17">#REF!</definedName>
    <definedName name="EH_002_15" localSheetId="15">#REF!</definedName>
    <definedName name="EH_002_15" localSheetId="3">#REF!</definedName>
    <definedName name="EH_002_15">#REF!</definedName>
    <definedName name="EH_002_16" localSheetId="17">#REF!</definedName>
    <definedName name="EH_002_16" localSheetId="15">#REF!</definedName>
    <definedName name="EH_002_16" localSheetId="3">#REF!</definedName>
    <definedName name="EH_002_16">#REF!</definedName>
    <definedName name="EH_002_17" localSheetId="17">#REF!</definedName>
    <definedName name="EH_002_17" localSheetId="15">#REF!</definedName>
    <definedName name="EH_002_17" localSheetId="3">#REF!</definedName>
    <definedName name="EH_002_17">#REF!</definedName>
    <definedName name="EH_002_18" localSheetId="17">#REF!</definedName>
    <definedName name="EH_002_18" localSheetId="15">#REF!</definedName>
    <definedName name="EH_002_18" localSheetId="3">#REF!</definedName>
    <definedName name="EH_002_18">#REF!</definedName>
    <definedName name="EH_002_2" localSheetId="17">#REF!</definedName>
    <definedName name="EH_002_2" localSheetId="15">#REF!</definedName>
    <definedName name="EH_002_2" localSheetId="3">#REF!</definedName>
    <definedName name="EH_002_2">#REF!</definedName>
    <definedName name="EH_002_3" localSheetId="17">#REF!</definedName>
    <definedName name="EH_002_3" localSheetId="15">#REF!</definedName>
    <definedName name="EH_002_3" localSheetId="3">#REF!</definedName>
    <definedName name="EH_002_3">#REF!</definedName>
    <definedName name="EH_002_4" localSheetId="17">#REF!</definedName>
    <definedName name="EH_002_4" localSheetId="15">#REF!</definedName>
    <definedName name="EH_002_4" localSheetId="3">#REF!</definedName>
    <definedName name="EH_002_4">#REF!</definedName>
    <definedName name="EH_002_5" localSheetId="17">#REF!</definedName>
    <definedName name="EH_002_5" localSheetId="15">#REF!</definedName>
    <definedName name="EH_002_5" localSheetId="3">#REF!</definedName>
    <definedName name="EH_002_5">#REF!</definedName>
    <definedName name="EH_002_6" localSheetId="17">#REF!</definedName>
    <definedName name="EH_002_6" localSheetId="15">#REF!</definedName>
    <definedName name="EH_002_6" localSheetId="3">#REF!</definedName>
    <definedName name="EH_002_6">#REF!</definedName>
    <definedName name="EH_002_7" localSheetId="17">#REF!</definedName>
    <definedName name="EH_002_7" localSheetId="15">#REF!</definedName>
    <definedName name="EH_002_7" localSheetId="3">#REF!</definedName>
    <definedName name="EH_002_7">#REF!</definedName>
    <definedName name="EH_002_8" localSheetId="17">#REF!</definedName>
    <definedName name="EH_002_8" localSheetId="15">#REF!</definedName>
    <definedName name="EH_002_8" localSheetId="3">#REF!</definedName>
    <definedName name="EH_002_8">#REF!</definedName>
    <definedName name="EH_002_9" localSheetId="17">#REF!</definedName>
    <definedName name="EH_002_9" localSheetId="15">#REF!</definedName>
    <definedName name="EH_002_9" localSheetId="3">#REF!</definedName>
    <definedName name="EH_002_9">#REF!</definedName>
    <definedName name="EK" hidden="1">#REF!</definedName>
    <definedName name="ELEC1" localSheetId="3">#REF!</definedName>
    <definedName name="ELEC1">#REF!</definedName>
    <definedName name="ELEC1_MCI" localSheetId="3">#REF!</definedName>
    <definedName name="ELEC1_MCI">#REF!</definedName>
    <definedName name="ELEC2" localSheetId="3">#REF!</definedName>
    <definedName name="ELEC2">#REF!</definedName>
    <definedName name="ELEC2_MCI" localSheetId="3">#REF!</definedName>
    <definedName name="ELEC2_MCI">#REF!</definedName>
    <definedName name="ELEC3_MCI" localSheetId="3">#REF!</definedName>
    <definedName name="ELEC3_MCI">#REF!</definedName>
    <definedName name="ELEC4" localSheetId="3">#REF!</definedName>
    <definedName name="ELEC4">#REF!</definedName>
    <definedName name="ELEC4_MCI" localSheetId="3">#REF!</definedName>
    <definedName name="ELEC4_MCI">#REF!</definedName>
    <definedName name="ELEC5" localSheetId="3">#REF!</definedName>
    <definedName name="ELEC5">#REF!</definedName>
    <definedName name="ELEC5_MCI" localSheetId="3">#REF!</definedName>
    <definedName name="ELEC5_MCI">#REF!</definedName>
    <definedName name="elec6" localSheetId="3">#REF!</definedName>
    <definedName name="elec6">#REF!</definedName>
    <definedName name="ELEC6_MCI" localSheetId="3">#REF!</definedName>
    <definedName name="ELEC6_MCI">#REF!</definedName>
    <definedName name="elec7" localSheetId="3">#REF!</definedName>
    <definedName name="elec7">#REF!</definedName>
    <definedName name="ELEC7_MCI" localSheetId="3">#REF!</definedName>
    <definedName name="ELEC7_MCI">#REF!</definedName>
    <definedName name="ELECBILL">#REF!</definedName>
    <definedName name="ELLEN1" hidden="1">{#N/A,#N/A,FALSE,"CCTV"}</definedName>
    <definedName name="ELLEN10" hidden="1">{#N/A,#N/A,FALSE,"CCTV"}</definedName>
    <definedName name="ELLEN11" hidden="1">{#N/A,#N/A,FALSE,"CCTV"}</definedName>
    <definedName name="ELLEN12" hidden="1">{#N/A,#N/A,FALSE,"CCTV"}</definedName>
    <definedName name="ELLEN13" hidden="1">{#N/A,#N/A,FALSE,"CCTV"}</definedName>
    <definedName name="ELLEN14" hidden="1">{#N/A,#N/A,FALSE,"CCTV"}</definedName>
    <definedName name="ELLEN15" hidden="1">{#N/A,#N/A,FALSE,"CCTV"}</definedName>
    <definedName name="ELLEN16" hidden="1">{#N/A,#N/A,FALSE,"CCTV"}</definedName>
    <definedName name="ELLEN17" hidden="1">{#N/A,#N/A,FALSE,"CCTV"}</definedName>
    <definedName name="ELLEN18" hidden="1">{#N/A,#N/A,FALSE,"CCTV"}</definedName>
    <definedName name="ELLEN19" hidden="1">{#N/A,#N/A,FALSE,"CCTV"}</definedName>
    <definedName name="ELLEN2" hidden="1">{#N/A,#N/A,FALSE,"CCTV"}</definedName>
    <definedName name="ELLEN3" hidden="1">{#N/A,#N/A,FALSE,"CCTV"}</definedName>
    <definedName name="ELLEN4" hidden="1">{#N/A,#N/A,FALSE,"CCTV"}</definedName>
    <definedName name="ELLEN5" hidden="1">{#N/A,#N/A,FALSE,"CCTV"}</definedName>
    <definedName name="ELLEN6" hidden="1">{#N/A,#N/A,FALSE,"CCTV"}</definedName>
    <definedName name="ELLEN7" hidden="1">{#N/A,#N/A,FALSE,"CCTV"}</definedName>
    <definedName name="ELLEN8" hidden="1">{#N/A,#N/A,FALSE,"CCTV"}</definedName>
    <definedName name="ELLEN9" hidden="1">{#N/A,#N/A,FALSE,"CCTV"}</definedName>
    <definedName name="EM_001_1" localSheetId="17">#REF!</definedName>
    <definedName name="EM_001_1" localSheetId="15">#REF!</definedName>
    <definedName name="EM_001_1" localSheetId="3">#REF!</definedName>
    <definedName name="EM_001_1">#REF!</definedName>
    <definedName name="EM_001_10" localSheetId="17">#REF!</definedName>
    <definedName name="EM_001_10" localSheetId="15">#REF!</definedName>
    <definedName name="EM_001_10" localSheetId="3">#REF!</definedName>
    <definedName name="EM_001_10">#REF!</definedName>
    <definedName name="EM_001_11" localSheetId="17">#REF!</definedName>
    <definedName name="EM_001_11" localSheetId="15">#REF!</definedName>
    <definedName name="EM_001_11" localSheetId="3">#REF!</definedName>
    <definedName name="EM_001_11">#REF!</definedName>
    <definedName name="EM_001_12" localSheetId="17">#REF!</definedName>
    <definedName name="EM_001_12" localSheetId="15">#REF!</definedName>
    <definedName name="EM_001_12" localSheetId="3">#REF!</definedName>
    <definedName name="EM_001_12">#REF!</definedName>
    <definedName name="EM_001_13" localSheetId="17">#REF!</definedName>
    <definedName name="EM_001_13" localSheetId="15">#REF!</definedName>
    <definedName name="EM_001_13" localSheetId="3">#REF!</definedName>
    <definedName name="EM_001_13">#REF!</definedName>
    <definedName name="EM_001_14" localSheetId="17">#REF!</definedName>
    <definedName name="EM_001_14" localSheetId="15">#REF!</definedName>
    <definedName name="EM_001_14" localSheetId="3">#REF!</definedName>
    <definedName name="EM_001_14">#REF!</definedName>
    <definedName name="EM_001_15" localSheetId="17">#REF!</definedName>
    <definedName name="EM_001_15" localSheetId="15">#REF!</definedName>
    <definedName name="EM_001_15" localSheetId="3">#REF!</definedName>
    <definedName name="EM_001_15">#REF!</definedName>
    <definedName name="EM_001_16" localSheetId="17">#REF!</definedName>
    <definedName name="EM_001_16" localSheetId="15">#REF!</definedName>
    <definedName name="EM_001_16" localSheetId="3">#REF!</definedName>
    <definedName name="EM_001_16">#REF!</definedName>
    <definedName name="EM_001_17" localSheetId="17">#REF!</definedName>
    <definedName name="EM_001_17" localSheetId="15">#REF!</definedName>
    <definedName name="EM_001_17" localSheetId="3">#REF!</definedName>
    <definedName name="EM_001_17">#REF!</definedName>
    <definedName name="EM_001_18" localSheetId="17">#REF!</definedName>
    <definedName name="EM_001_18" localSheetId="15">#REF!</definedName>
    <definedName name="EM_001_18" localSheetId="3">#REF!</definedName>
    <definedName name="EM_001_18">#REF!</definedName>
    <definedName name="EM_001_2" localSheetId="17">#REF!</definedName>
    <definedName name="EM_001_2" localSheetId="15">#REF!</definedName>
    <definedName name="EM_001_2" localSheetId="3">#REF!</definedName>
    <definedName name="EM_001_2">#REF!</definedName>
    <definedName name="EM_001_3" localSheetId="17">#REF!</definedName>
    <definedName name="EM_001_3" localSheetId="15">#REF!</definedName>
    <definedName name="EM_001_3" localSheetId="3">#REF!</definedName>
    <definedName name="EM_001_3">#REF!</definedName>
    <definedName name="EM_001_4" localSheetId="17">#REF!</definedName>
    <definedName name="EM_001_4" localSheetId="15">#REF!</definedName>
    <definedName name="EM_001_4" localSheetId="3">#REF!</definedName>
    <definedName name="EM_001_4">#REF!</definedName>
    <definedName name="EM_001_5" localSheetId="17">#REF!</definedName>
    <definedName name="EM_001_5" localSheetId="15">#REF!</definedName>
    <definedName name="EM_001_5" localSheetId="3">#REF!</definedName>
    <definedName name="EM_001_5">#REF!</definedName>
    <definedName name="EM_001_6" localSheetId="17">#REF!</definedName>
    <definedName name="EM_001_6" localSheetId="15">#REF!</definedName>
    <definedName name="EM_001_6" localSheetId="3">#REF!</definedName>
    <definedName name="EM_001_6">#REF!</definedName>
    <definedName name="EM_001_7" localSheetId="17">#REF!</definedName>
    <definedName name="EM_001_7" localSheetId="15">#REF!</definedName>
    <definedName name="EM_001_7" localSheetId="3">#REF!</definedName>
    <definedName name="EM_001_7">#REF!</definedName>
    <definedName name="EM_001_8" localSheetId="17">#REF!</definedName>
    <definedName name="EM_001_8" localSheetId="15">#REF!</definedName>
    <definedName name="EM_001_8" localSheetId="3">#REF!</definedName>
    <definedName name="EM_001_8">#REF!</definedName>
    <definedName name="EM_001_9" localSheetId="17">#REF!</definedName>
    <definedName name="EM_001_9" localSheetId="15">#REF!</definedName>
    <definedName name="EM_001_9" localSheetId="3">#REF!</definedName>
    <definedName name="EM_001_9">#REF!</definedName>
    <definedName name="EM_002_1" localSheetId="17">#REF!</definedName>
    <definedName name="EM_002_1" localSheetId="15">#REF!</definedName>
    <definedName name="EM_002_1" localSheetId="3">#REF!</definedName>
    <definedName name="EM_002_1">#REF!</definedName>
    <definedName name="EM_002_10" localSheetId="17">#REF!</definedName>
    <definedName name="EM_002_10" localSheetId="15">#REF!</definedName>
    <definedName name="EM_002_10" localSheetId="3">#REF!</definedName>
    <definedName name="EM_002_10">#REF!</definedName>
    <definedName name="EM_002_11" localSheetId="17">#REF!</definedName>
    <definedName name="EM_002_11" localSheetId="15">#REF!</definedName>
    <definedName name="EM_002_11" localSheetId="3">#REF!</definedName>
    <definedName name="EM_002_11">#REF!</definedName>
    <definedName name="EM_002_12" localSheetId="17">#REF!</definedName>
    <definedName name="EM_002_12" localSheetId="15">#REF!</definedName>
    <definedName name="EM_002_12" localSheetId="3">#REF!</definedName>
    <definedName name="EM_002_12">#REF!</definedName>
    <definedName name="EM_002_13" localSheetId="17">#REF!</definedName>
    <definedName name="EM_002_13" localSheetId="15">#REF!</definedName>
    <definedName name="EM_002_13" localSheetId="3">#REF!</definedName>
    <definedName name="EM_002_13">#REF!</definedName>
    <definedName name="EM_002_14" localSheetId="17">#REF!</definedName>
    <definedName name="EM_002_14" localSheetId="15">#REF!</definedName>
    <definedName name="EM_002_14" localSheetId="3">#REF!</definedName>
    <definedName name="EM_002_14">#REF!</definedName>
    <definedName name="EM_002_15" localSheetId="17">#REF!</definedName>
    <definedName name="EM_002_15" localSheetId="15">#REF!</definedName>
    <definedName name="EM_002_15" localSheetId="3">#REF!</definedName>
    <definedName name="EM_002_15">#REF!</definedName>
    <definedName name="EM_002_16" localSheetId="17">#REF!</definedName>
    <definedName name="EM_002_16" localSheetId="15">#REF!</definedName>
    <definedName name="EM_002_16" localSheetId="3">#REF!</definedName>
    <definedName name="EM_002_16">#REF!</definedName>
    <definedName name="EM_002_17" localSheetId="17">#REF!</definedName>
    <definedName name="EM_002_17" localSheetId="15">#REF!</definedName>
    <definedName name="EM_002_17" localSheetId="3">#REF!</definedName>
    <definedName name="EM_002_17">#REF!</definedName>
    <definedName name="EM_002_18" localSheetId="17">#REF!</definedName>
    <definedName name="EM_002_18" localSheetId="15">#REF!</definedName>
    <definedName name="EM_002_18" localSheetId="3">#REF!</definedName>
    <definedName name="EM_002_18">#REF!</definedName>
    <definedName name="EM_002_2" localSheetId="17">#REF!</definedName>
    <definedName name="EM_002_2" localSheetId="15">#REF!</definedName>
    <definedName name="EM_002_2" localSheetId="3">#REF!</definedName>
    <definedName name="EM_002_2">#REF!</definedName>
    <definedName name="EM_002_3" localSheetId="17">#REF!</definedName>
    <definedName name="EM_002_3" localSheetId="15">#REF!</definedName>
    <definedName name="EM_002_3" localSheetId="3">#REF!</definedName>
    <definedName name="EM_002_3">#REF!</definedName>
    <definedName name="EM_002_4" localSheetId="17">#REF!</definedName>
    <definedName name="EM_002_4" localSheetId="15">#REF!</definedName>
    <definedName name="EM_002_4" localSheetId="3">#REF!</definedName>
    <definedName name="EM_002_4">#REF!</definedName>
    <definedName name="EM_002_5" localSheetId="17">#REF!</definedName>
    <definedName name="EM_002_5" localSheetId="15">#REF!</definedName>
    <definedName name="EM_002_5" localSheetId="3">#REF!</definedName>
    <definedName name="EM_002_5">#REF!</definedName>
    <definedName name="EM_002_6" localSheetId="17">#REF!</definedName>
    <definedName name="EM_002_6" localSheetId="15">#REF!</definedName>
    <definedName name="EM_002_6" localSheetId="3">#REF!</definedName>
    <definedName name="EM_002_6">#REF!</definedName>
    <definedName name="EM_002_7" localSheetId="17">#REF!</definedName>
    <definedName name="EM_002_7" localSheetId="15">#REF!</definedName>
    <definedName name="EM_002_7" localSheetId="3">#REF!</definedName>
    <definedName name="EM_002_7">#REF!</definedName>
    <definedName name="EM_002_8" localSheetId="17">#REF!</definedName>
    <definedName name="EM_002_8" localSheetId="15">#REF!</definedName>
    <definedName name="EM_002_8" localSheetId="3">#REF!</definedName>
    <definedName name="EM_002_8">#REF!</definedName>
    <definedName name="EM_002_9" localSheetId="17">#REF!</definedName>
    <definedName name="EM_002_9" localSheetId="15">#REF!</definedName>
    <definedName name="EM_002_9" localSheetId="3">#REF!</definedName>
    <definedName name="EM_002_9">#REF!</definedName>
    <definedName name="EM_003_1" localSheetId="17">#REF!</definedName>
    <definedName name="EM_003_1" localSheetId="15">#REF!</definedName>
    <definedName name="EM_003_1" localSheetId="3">#REF!</definedName>
    <definedName name="EM_003_1">#REF!</definedName>
    <definedName name="EM_003_10" localSheetId="17">#REF!</definedName>
    <definedName name="EM_003_10" localSheetId="15">#REF!</definedName>
    <definedName name="EM_003_10" localSheetId="3">#REF!</definedName>
    <definedName name="EM_003_10">#REF!</definedName>
    <definedName name="EM_003_11" localSheetId="17">#REF!</definedName>
    <definedName name="EM_003_11" localSheetId="15">#REF!</definedName>
    <definedName name="EM_003_11" localSheetId="3">#REF!</definedName>
    <definedName name="EM_003_11">#REF!</definedName>
    <definedName name="EM_003_12" localSheetId="17">#REF!</definedName>
    <definedName name="EM_003_12" localSheetId="15">#REF!</definedName>
    <definedName name="EM_003_12" localSheetId="3">#REF!</definedName>
    <definedName name="EM_003_12">#REF!</definedName>
    <definedName name="EM_003_13" localSheetId="17">#REF!</definedName>
    <definedName name="EM_003_13" localSheetId="15">#REF!</definedName>
    <definedName name="EM_003_13" localSheetId="3">#REF!</definedName>
    <definedName name="EM_003_13">#REF!</definedName>
    <definedName name="EM_003_14" localSheetId="17">#REF!</definedName>
    <definedName name="EM_003_14" localSheetId="15">#REF!</definedName>
    <definedName name="EM_003_14" localSheetId="3">#REF!</definedName>
    <definedName name="EM_003_14">#REF!</definedName>
    <definedName name="EM_003_15" localSheetId="17">#REF!</definedName>
    <definedName name="EM_003_15" localSheetId="15">#REF!</definedName>
    <definedName name="EM_003_15" localSheetId="3">#REF!</definedName>
    <definedName name="EM_003_15">#REF!</definedName>
    <definedName name="EM_003_16" localSheetId="17">#REF!</definedName>
    <definedName name="EM_003_16" localSheetId="15">#REF!</definedName>
    <definedName name="EM_003_16" localSheetId="3">#REF!</definedName>
    <definedName name="EM_003_16">#REF!</definedName>
    <definedName name="EM_003_17" localSheetId="17">#REF!</definedName>
    <definedName name="EM_003_17" localSheetId="15">#REF!</definedName>
    <definedName name="EM_003_17" localSheetId="3">#REF!</definedName>
    <definedName name="EM_003_17">#REF!</definedName>
    <definedName name="EM_003_18" localSheetId="17">#REF!</definedName>
    <definedName name="EM_003_18" localSheetId="15">#REF!</definedName>
    <definedName name="EM_003_18" localSheetId="3">#REF!</definedName>
    <definedName name="EM_003_18">#REF!</definedName>
    <definedName name="EM_003_2" localSheetId="17">#REF!</definedName>
    <definedName name="EM_003_2" localSheetId="15">#REF!</definedName>
    <definedName name="EM_003_2" localSheetId="3">#REF!</definedName>
    <definedName name="EM_003_2">#REF!</definedName>
    <definedName name="EM_003_3" localSheetId="17">#REF!</definedName>
    <definedName name="EM_003_3" localSheetId="15">#REF!</definedName>
    <definedName name="EM_003_3" localSheetId="3">#REF!</definedName>
    <definedName name="EM_003_3">#REF!</definedName>
    <definedName name="EM_003_4" localSheetId="17">#REF!</definedName>
    <definedName name="EM_003_4" localSheetId="15">#REF!</definedName>
    <definedName name="EM_003_4" localSheetId="3">#REF!</definedName>
    <definedName name="EM_003_4">#REF!</definedName>
    <definedName name="EM_003_5" localSheetId="17">#REF!</definedName>
    <definedName name="EM_003_5" localSheetId="15">#REF!</definedName>
    <definedName name="EM_003_5" localSheetId="3">#REF!</definedName>
    <definedName name="EM_003_5">#REF!</definedName>
    <definedName name="EM_003_6" localSheetId="17">#REF!</definedName>
    <definedName name="EM_003_6" localSheetId="15">#REF!</definedName>
    <definedName name="EM_003_6" localSheetId="3">#REF!</definedName>
    <definedName name="EM_003_6">#REF!</definedName>
    <definedName name="EM_003_7" localSheetId="17">#REF!</definedName>
    <definedName name="EM_003_7" localSheetId="15">#REF!</definedName>
    <definedName name="EM_003_7" localSheetId="3">#REF!</definedName>
    <definedName name="EM_003_7">#REF!</definedName>
    <definedName name="EM_003_8" localSheetId="17">#REF!</definedName>
    <definedName name="EM_003_8" localSheetId="15">#REF!</definedName>
    <definedName name="EM_003_8" localSheetId="3">#REF!</definedName>
    <definedName name="EM_003_8">#REF!</definedName>
    <definedName name="EM_003_9" localSheetId="17">#REF!</definedName>
    <definedName name="EM_003_9" localSheetId="15">#REF!</definedName>
    <definedName name="EM_003_9" localSheetId="3">#REF!</definedName>
    <definedName name="EM_003_9">#REF!</definedName>
    <definedName name="EM_004_1" localSheetId="17">#REF!</definedName>
    <definedName name="EM_004_1" localSheetId="15">#REF!</definedName>
    <definedName name="EM_004_1" localSheetId="3">#REF!</definedName>
    <definedName name="EM_004_1">#REF!</definedName>
    <definedName name="EM_004_10" localSheetId="17">#REF!</definedName>
    <definedName name="EM_004_10" localSheetId="15">#REF!</definedName>
    <definedName name="EM_004_10" localSheetId="3">#REF!</definedName>
    <definedName name="EM_004_10">#REF!</definedName>
    <definedName name="EM_004_11" localSheetId="17">#REF!</definedName>
    <definedName name="EM_004_11" localSheetId="15">#REF!</definedName>
    <definedName name="EM_004_11" localSheetId="3">#REF!</definedName>
    <definedName name="EM_004_11">#REF!</definedName>
    <definedName name="EM_004_12" localSheetId="17">#REF!</definedName>
    <definedName name="EM_004_12" localSheetId="15">#REF!</definedName>
    <definedName name="EM_004_12" localSheetId="3">#REF!</definedName>
    <definedName name="EM_004_12">#REF!</definedName>
    <definedName name="EM_004_13" localSheetId="17">#REF!</definedName>
    <definedName name="EM_004_13" localSheetId="15">#REF!</definedName>
    <definedName name="EM_004_13" localSheetId="3">#REF!</definedName>
    <definedName name="EM_004_13">#REF!</definedName>
    <definedName name="EM_004_14" localSheetId="17">#REF!</definedName>
    <definedName name="EM_004_14" localSheetId="15">#REF!</definedName>
    <definedName name="EM_004_14" localSheetId="3">#REF!</definedName>
    <definedName name="EM_004_14">#REF!</definedName>
    <definedName name="EM_004_15" localSheetId="17">#REF!</definedName>
    <definedName name="EM_004_15" localSheetId="15">#REF!</definedName>
    <definedName name="EM_004_15" localSheetId="3">#REF!</definedName>
    <definedName name="EM_004_15">#REF!</definedName>
    <definedName name="EM_004_16" localSheetId="17">#REF!</definedName>
    <definedName name="EM_004_16" localSheetId="15">#REF!</definedName>
    <definedName name="EM_004_16" localSheetId="3">#REF!</definedName>
    <definedName name="EM_004_16">#REF!</definedName>
    <definedName name="EM_004_17" localSheetId="17">#REF!</definedName>
    <definedName name="EM_004_17" localSheetId="15">#REF!</definedName>
    <definedName name="EM_004_17" localSheetId="3">#REF!</definedName>
    <definedName name="EM_004_17">#REF!</definedName>
    <definedName name="EM_004_18" localSheetId="17">#REF!</definedName>
    <definedName name="EM_004_18" localSheetId="15">#REF!</definedName>
    <definedName name="EM_004_18" localSheetId="3">#REF!</definedName>
    <definedName name="EM_004_18">#REF!</definedName>
    <definedName name="EM_004_2" localSheetId="17">#REF!</definedName>
    <definedName name="EM_004_2" localSheetId="15">#REF!</definedName>
    <definedName name="EM_004_2" localSheetId="3">#REF!</definedName>
    <definedName name="EM_004_2">#REF!</definedName>
    <definedName name="EM_004_3" localSheetId="17">#REF!</definedName>
    <definedName name="EM_004_3" localSheetId="15">#REF!</definedName>
    <definedName name="EM_004_3" localSheetId="3">#REF!</definedName>
    <definedName name="EM_004_3">#REF!</definedName>
    <definedName name="EM_004_4" localSheetId="17">#REF!</definedName>
    <definedName name="EM_004_4" localSheetId="15">#REF!</definedName>
    <definedName name="EM_004_4" localSheetId="3">#REF!</definedName>
    <definedName name="EM_004_4">#REF!</definedName>
    <definedName name="EM_004_5" localSheetId="17">#REF!</definedName>
    <definedName name="EM_004_5" localSheetId="15">#REF!</definedName>
    <definedName name="EM_004_5" localSheetId="3">#REF!</definedName>
    <definedName name="EM_004_5">#REF!</definedName>
    <definedName name="EM_004_6" localSheetId="17">#REF!</definedName>
    <definedName name="EM_004_6" localSheetId="15">#REF!</definedName>
    <definedName name="EM_004_6" localSheetId="3">#REF!</definedName>
    <definedName name="EM_004_6">#REF!</definedName>
    <definedName name="EM_004_7" localSheetId="17">#REF!</definedName>
    <definedName name="EM_004_7" localSheetId="15">#REF!</definedName>
    <definedName name="EM_004_7" localSheetId="3">#REF!</definedName>
    <definedName name="EM_004_7">#REF!</definedName>
    <definedName name="EM_004_8" localSheetId="17">#REF!</definedName>
    <definedName name="EM_004_8" localSheetId="15">#REF!</definedName>
    <definedName name="EM_004_8" localSheetId="3">#REF!</definedName>
    <definedName name="EM_004_8">#REF!</definedName>
    <definedName name="EM_004_9" localSheetId="17">#REF!</definedName>
    <definedName name="EM_004_9" localSheetId="15">#REF!</definedName>
    <definedName name="EM_004_9" localSheetId="3">#REF!</definedName>
    <definedName name="EM_004_9">#REF!</definedName>
    <definedName name="EM_005_1" localSheetId="17">#REF!</definedName>
    <definedName name="EM_005_1" localSheetId="15">#REF!</definedName>
    <definedName name="EM_005_1" localSheetId="3">#REF!</definedName>
    <definedName name="EM_005_1">#REF!</definedName>
    <definedName name="EM_005_10" localSheetId="17">#REF!</definedName>
    <definedName name="EM_005_10" localSheetId="15">#REF!</definedName>
    <definedName name="EM_005_10" localSheetId="3">#REF!</definedName>
    <definedName name="EM_005_10">#REF!</definedName>
    <definedName name="EM_005_11" localSheetId="17">#REF!</definedName>
    <definedName name="EM_005_11" localSheetId="15">#REF!</definedName>
    <definedName name="EM_005_11" localSheetId="3">#REF!</definedName>
    <definedName name="EM_005_11">#REF!</definedName>
    <definedName name="EM_005_12" localSheetId="17">#REF!</definedName>
    <definedName name="EM_005_12" localSheetId="15">#REF!</definedName>
    <definedName name="EM_005_12" localSheetId="3">#REF!</definedName>
    <definedName name="EM_005_12">#REF!</definedName>
    <definedName name="EM_005_13" localSheetId="17">#REF!</definedName>
    <definedName name="EM_005_13" localSheetId="15">#REF!</definedName>
    <definedName name="EM_005_13" localSheetId="3">#REF!</definedName>
    <definedName name="EM_005_13">#REF!</definedName>
    <definedName name="EM_005_14" localSheetId="17">#REF!</definedName>
    <definedName name="EM_005_14" localSheetId="15">#REF!</definedName>
    <definedName name="EM_005_14" localSheetId="3">#REF!</definedName>
    <definedName name="EM_005_14">#REF!</definedName>
    <definedName name="EM_005_15" localSheetId="17">#REF!</definedName>
    <definedName name="EM_005_15" localSheetId="15">#REF!</definedName>
    <definedName name="EM_005_15" localSheetId="3">#REF!</definedName>
    <definedName name="EM_005_15">#REF!</definedName>
    <definedName name="EM_005_16" localSheetId="17">#REF!</definedName>
    <definedName name="EM_005_16" localSheetId="15">#REF!</definedName>
    <definedName name="EM_005_16" localSheetId="3">#REF!</definedName>
    <definedName name="EM_005_16">#REF!</definedName>
    <definedName name="EM_005_17" localSheetId="17">#REF!</definedName>
    <definedName name="EM_005_17" localSheetId="15">#REF!</definedName>
    <definedName name="EM_005_17" localSheetId="3">#REF!</definedName>
    <definedName name="EM_005_17">#REF!</definedName>
    <definedName name="EM_005_18" localSheetId="17">#REF!</definedName>
    <definedName name="EM_005_18" localSheetId="15">#REF!</definedName>
    <definedName name="EM_005_18" localSheetId="3">#REF!</definedName>
    <definedName name="EM_005_18">#REF!</definedName>
    <definedName name="EM_005_2" localSheetId="17">#REF!</definedName>
    <definedName name="EM_005_2" localSheetId="15">#REF!</definedName>
    <definedName name="EM_005_2" localSheetId="3">#REF!</definedName>
    <definedName name="EM_005_2">#REF!</definedName>
    <definedName name="EM_005_3" localSheetId="17">#REF!</definedName>
    <definedName name="EM_005_3" localSheetId="15">#REF!</definedName>
    <definedName name="EM_005_3" localSheetId="3">#REF!</definedName>
    <definedName name="EM_005_3">#REF!</definedName>
    <definedName name="EM_005_4" localSheetId="17">#REF!</definedName>
    <definedName name="EM_005_4" localSheetId="15">#REF!</definedName>
    <definedName name="EM_005_4" localSheetId="3">#REF!</definedName>
    <definedName name="EM_005_4">#REF!</definedName>
    <definedName name="EM_005_5" localSheetId="17">#REF!</definedName>
    <definedName name="EM_005_5" localSheetId="15">#REF!</definedName>
    <definedName name="EM_005_5" localSheetId="3">#REF!</definedName>
    <definedName name="EM_005_5">#REF!</definedName>
    <definedName name="EM_005_6" localSheetId="17">#REF!</definedName>
    <definedName name="EM_005_6" localSheetId="15">#REF!</definedName>
    <definedName name="EM_005_6" localSheetId="3">#REF!</definedName>
    <definedName name="EM_005_6">#REF!</definedName>
    <definedName name="EM_005_7" localSheetId="17">#REF!</definedName>
    <definedName name="EM_005_7" localSheetId="15">#REF!</definedName>
    <definedName name="EM_005_7" localSheetId="3">#REF!</definedName>
    <definedName name="EM_005_7">#REF!</definedName>
    <definedName name="EM_005_8" localSheetId="17">#REF!</definedName>
    <definedName name="EM_005_8" localSheetId="15">#REF!</definedName>
    <definedName name="EM_005_8" localSheetId="3">#REF!</definedName>
    <definedName name="EM_005_8">#REF!</definedName>
    <definedName name="EM_005_9" localSheetId="17">#REF!</definedName>
    <definedName name="EM_005_9" localSheetId="15">#REF!</definedName>
    <definedName name="EM_005_9" localSheetId="3">#REF!</definedName>
    <definedName name="EM_005_9">#REF!</definedName>
    <definedName name="EM_006_1" localSheetId="17">#REF!</definedName>
    <definedName name="EM_006_1" localSheetId="15">#REF!</definedName>
    <definedName name="EM_006_1" localSheetId="3">#REF!</definedName>
    <definedName name="EM_006_1">#REF!</definedName>
    <definedName name="EM_006_10" localSheetId="17">#REF!</definedName>
    <definedName name="EM_006_10" localSheetId="15">#REF!</definedName>
    <definedName name="EM_006_10" localSheetId="3">#REF!</definedName>
    <definedName name="EM_006_10">#REF!</definedName>
    <definedName name="EM_006_11" localSheetId="17">#REF!</definedName>
    <definedName name="EM_006_11" localSheetId="15">#REF!</definedName>
    <definedName name="EM_006_11" localSheetId="3">#REF!</definedName>
    <definedName name="EM_006_11">#REF!</definedName>
    <definedName name="EM_006_12" localSheetId="17">#REF!</definedName>
    <definedName name="EM_006_12" localSheetId="15">#REF!</definedName>
    <definedName name="EM_006_12" localSheetId="3">#REF!</definedName>
    <definedName name="EM_006_12">#REF!</definedName>
    <definedName name="EM_006_13" localSheetId="17">#REF!</definedName>
    <definedName name="EM_006_13" localSheetId="15">#REF!</definedName>
    <definedName name="EM_006_13" localSheetId="3">#REF!</definedName>
    <definedName name="EM_006_13">#REF!</definedName>
    <definedName name="EM_006_14" localSheetId="17">#REF!</definedName>
    <definedName name="EM_006_14" localSheetId="15">#REF!</definedName>
    <definedName name="EM_006_14" localSheetId="3">#REF!</definedName>
    <definedName name="EM_006_14">#REF!</definedName>
    <definedName name="EM_006_15" localSheetId="17">#REF!</definedName>
    <definedName name="EM_006_15" localSheetId="15">#REF!</definedName>
    <definedName name="EM_006_15" localSheetId="3">#REF!</definedName>
    <definedName name="EM_006_15">#REF!</definedName>
    <definedName name="EM_006_16" localSheetId="17">#REF!</definedName>
    <definedName name="EM_006_16" localSheetId="15">#REF!</definedName>
    <definedName name="EM_006_16" localSheetId="3">#REF!</definedName>
    <definedName name="EM_006_16">#REF!</definedName>
    <definedName name="EM_006_17" localSheetId="17">#REF!</definedName>
    <definedName name="EM_006_17" localSheetId="15">#REF!</definedName>
    <definedName name="EM_006_17" localSheetId="3">#REF!</definedName>
    <definedName name="EM_006_17">#REF!</definedName>
    <definedName name="EM_006_18" localSheetId="17">#REF!</definedName>
    <definedName name="EM_006_18" localSheetId="15">#REF!</definedName>
    <definedName name="EM_006_18" localSheetId="3">#REF!</definedName>
    <definedName name="EM_006_18">#REF!</definedName>
    <definedName name="EM_006_2" localSheetId="17">#REF!</definedName>
    <definedName name="EM_006_2" localSheetId="15">#REF!</definedName>
    <definedName name="EM_006_2" localSheetId="3">#REF!</definedName>
    <definedName name="EM_006_2">#REF!</definedName>
    <definedName name="EM_006_3" localSheetId="17">#REF!</definedName>
    <definedName name="EM_006_3" localSheetId="15">#REF!</definedName>
    <definedName name="EM_006_3" localSheetId="3">#REF!</definedName>
    <definedName name="EM_006_3">#REF!</definedName>
    <definedName name="EM_006_4" localSheetId="17">#REF!</definedName>
    <definedName name="EM_006_4" localSheetId="15">#REF!</definedName>
    <definedName name="EM_006_4" localSheetId="3">#REF!</definedName>
    <definedName name="EM_006_4">#REF!</definedName>
    <definedName name="EM_006_5" localSheetId="17">#REF!</definedName>
    <definedName name="EM_006_5" localSheetId="15">#REF!</definedName>
    <definedName name="EM_006_5" localSheetId="3">#REF!</definedName>
    <definedName name="EM_006_5">#REF!</definedName>
    <definedName name="EM_006_6" localSheetId="17">#REF!</definedName>
    <definedName name="EM_006_6" localSheetId="15">#REF!</definedName>
    <definedName name="EM_006_6" localSheetId="3">#REF!</definedName>
    <definedName name="EM_006_6">#REF!</definedName>
    <definedName name="EM_006_7" localSheetId="17">#REF!</definedName>
    <definedName name="EM_006_7" localSheetId="15">#REF!</definedName>
    <definedName name="EM_006_7" localSheetId="3">#REF!</definedName>
    <definedName name="EM_006_7">#REF!</definedName>
    <definedName name="EM_006_8" localSheetId="17">#REF!</definedName>
    <definedName name="EM_006_8" localSheetId="15">#REF!</definedName>
    <definedName name="EM_006_8" localSheetId="3">#REF!</definedName>
    <definedName name="EM_006_8">#REF!</definedName>
    <definedName name="EM_006_9" localSheetId="17">#REF!</definedName>
    <definedName name="EM_006_9" localSheetId="15">#REF!</definedName>
    <definedName name="EM_006_9" localSheetId="3">#REF!</definedName>
    <definedName name="EM_006_9">#REF!</definedName>
    <definedName name="EM_007_1" localSheetId="17">#REF!</definedName>
    <definedName name="EM_007_1" localSheetId="15">#REF!</definedName>
    <definedName name="EM_007_1" localSheetId="3">#REF!</definedName>
    <definedName name="EM_007_1">#REF!</definedName>
    <definedName name="EM_007_10" localSheetId="17">#REF!</definedName>
    <definedName name="EM_007_10" localSheetId="15">#REF!</definedName>
    <definedName name="EM_007_10" localSheetId="3">#REF!</definedName>
    <definedName name="EM_007_10">#REF!</definedName>
    <definedName name="EM_007_11" localSheetId="17">#REF!</definedName>
    <definedName name="EM_007_11" localSheetId="15">#REF!</definedName>
    <definedName name="EM_007_11" localSheetId="3">#REF!</definedName>
    <definedName name="EM_007_11">#REF!</definedName>
    <definedName name="EM_007_12" localSheetId="17">#REF!</definedName>
    <definedName name="EM_007_12" localSheetId="15">#REF!</definedName>
    <definedName name="EM_007_12" localSheetId="3">#REF!</definedName>
    <definedName name="EM_007_12">#REF!</definedName>
    <definedName name="EM_007_13" localSheetId="17">#REF!</definedName>
    <definedName name="EM_007_13" localSheetId="15">#REF!</definedName>
    <definedName name="EM_007_13" localSheetId="3">#REF!</definedName>
    <definedName name="EM_007_13">#REF!</definedName>
    <definedName name="EM_007_14" localSheetId="17">#REF!</definedName>
    <definedName name="EM_007_14" localSheetId="15">#REF!</definedName>
    <definedName name="EM_007_14" localSheetId="3">#REF!</definedName>
    <definedName name="EM_007_14">#REF!</definedName>
    <definedName name="EM_007_15" localSheetId="17">#REF!</definedName>
    <definedName name="EM_007_15" localSheetId="15">#REF!</definedName>
    <definedName name="EM_007_15" localSheetId="3">#REF!</definedName>
    <definedName name="EM_007_15">#REF!</definedName>
    <definedName name="EM_007_16" localSheetId="17">#REF!</definedName>
    <definedName name="EM_007_16" localSheetId="15">#REF!</definedName>
    <definedName name="EM_007_16" localSheetId="3">#REF!</definedName>
    <definedName name="EM_007_16">#REF!</definedName>
    <definedName name="EM_007_17" localSheetId="17">#REF!</definedName>
    <definedName name="EM_007_17" localSheetId="15">#REF!</definedName>
    <definedName name="EM_007_17" localSheetId="3">#REF!</definedName>
    <definedName name="EM_007_17">#REF!</definedName>
    <definedName name="EM_007_18" localSheetId="17">#REF!</definedName>
    <definedName name="EM_007_18" localSheetId="15">#REF!</definedName>
    <definedName name="EM_007_18" localSheetId="3">#REF!</definedName>
    <definedName name="EM_007_18">#REF!</definedName>
    <definedName name="EM_007_2" localSheetId="17">#REF!</definedName>
    <definedName name="EM_007_2" localSheetId="15">#REF!</definedName>
    <definedName name="EM_007_2" localSheetId="3">#REF!</definedName>
    <definedName name="EM_007_2">#REF!</definedName>
    <definedName name="EM_007_3" localSheetId="17">#REF!</definedName>
    <definedName name="EM_007_3" localSheetId="15">#REF!</definedName>
    <definedName name="EM_007_3" localSheetId="3">#REF!</definedName>
    <definedName name="EM_007_3">#REF!</definedName>
    <definedName name="EM_007_4" localSheetId="17">#REF!</definedName>
    <definedName name="EM_007_4" localSheetId="15">#REF!</definedName>
    <definedName name="EM_007_4" localSheetId="3">#REF!</definedName>
    <definedName name="EM_007_4">#REF!</definedName>
    <definedName name="EM_007_5" localSheetId="17">#REF!</definedName>
    <definedName name="EM_007_5" localSheetId="15">#REF!</definedName>
    <definedName name="EM_007_5" localSheetId="3">#REF!</definedName>
    <definedName name="EM_007_5">#REF!</definedName>
    <definedName name="EM_007_6" localSheetId="17">#REF!</definedName>
    <definedName name="EM_007_6" localSheetId="15">#REF!</definedName>
    <definedName name="EM_007_6" localSheetId="3">#REF!</definedName>
    <definedName name="EM_007_6">#REF!</definedName>
    <definedName name="EM_007_7" localSheetId="17">#REF!</definedName>
    <definedName name="EM_007_7" localSheetId="15">#REF!</definedName>
    <definedName name="EM_007_7" localSheetId="3">#REF!</definedName>
    <definedName name="EM_007_7">#REF!</definedName>
    <definedName name="EM_007_8" localSheetId="17">#REF!</definedName>
    <definedName name="EM_007_8" localSheetId="15">#REF!</definedName>
    <definedName name="EM_007_8" localSheetId="3">#REF!</definedName>
    <definedName name="EM_007_8">#REF!</definedName>
    <definedName name="EM_007_9" localSheetId="17">#REF!</definedName>
    <definedName name="EM_007_9" localSheetId="15">#REF!</definedName>
    <definedName name="EM_007_9" localSheetId="3">#REF!</definedName>
    <definedName name="EM_007_9">#REF!</definedName>
    <definedName name="EM_008_1" localSheetId="17">#REF!</definedName>
    <definedName name="EM_008_1" localSheetId="15">#REF!</definedName>
    <definedName name="EM_008_1" localSheetId="3">#REF!</definedName>
    <definedName name="EM_008_1">#REF!</definedName>
    <definedName name="EM_008_10" localSheetId="17">#REF!</definedName>
    <definedName name="EM_008_10" localSheetId="15">#REF!</definedName>
    <definedName name="EM_008_10" localSheetId="3">#REF!</definedName>
    <definedName name="EM_008_10">#REF!</definedName>
    <definedName name="EM_008_11" localSheetId="17">#REF!</definedName>
    <definedName name="EM_008_11" localSheetId="15">#REF!</definedName>
    <definedName name="EM_008_11" localSheetId="3">#REF!</definedName>
    <definedName name="EM_008_11">#REF!</definedName>
    <definedName name="EM_008_12" localSheetId="17">#REF!</definedName>
    <definedName name="EM_008_12" localSheetId="15">#REF!</definedName>
    <definedName name="EM_008_12" localSheetId="3">#REF!</definedName>
    <definedName name="EM_008_12">#REF!</definedName>
    <definedName name="EM_008_13" localSheetId="17">#REF!</definedName>
    <definedName name="EM_008_13" localSheetId="15">#REF!</definedName>
    <definedName name="EM_008_13" localSheetId="3">#REF!</definedName>
    <definedName name="EM_008_13">#REF!</definedName>
    <definedName name="EM_008_14" localSheetId="17">#REF!</definedName>
    <definedName name="EM_008_14" localSheetId="15">#REF!</definedName>
    <definedName name="EM_008_14" localSheetId="3">#REF!</definedName>
    <definedName name="EM_008_14">#REF!</definedName>
    <definedName name="EM_008_15" localSheetId="17">#REF!</definedName>
    <definedName name="EM_008_15" localSheetId="15">#REF!</definedName>
    <definedName name="EM_008_15" localSheetId="3">#REF!</definedName>
    <definedName name="EM_008_15">#REF!</definedName>
    <definedName name="EM_008_16" localSheetId="17">#REF!</definedName>
    <definedName name="EM_008_16" localSheetId="15">#REF!</definedName>
    <definedName name="EM_008_16" localSheetId="3">#REF!</definedName>
    <definedName name="EM_008_16">#REF!</definedName>
    <definedName name="EM_008_17" localSheetId="17">#REF!</definedName>
    <definedName name="EM_008_17" localSheetId="15">#REF!</definedName>
    <definedName name="EM_008_17" localSheetId="3">#REF!</definedName>
    <definedName name="EM_008_17">#REF!</definedName>
    <definedName name="EM_008_18" localSheetId="17">#REF!</definedName>
    <definedName name="EM_008_18" localSheetId="15">#REF!</definedName>
    <definedName name="EM_008_18" localSheetId="3">#REF!</definedName>
    <definedName name="EM_008_18">#REF!</definedName>
    <definedName name="EM_008_2" localSheetId="17">#REF!</definedName>
    <definedName name="EM_008_2" localSheetId="15">#REF!</definedName>
    <definedName name="EM_008_2" localSheetId="3">#REF!</definedName>
    <definedName name="EM_008_2">#REF!</definedName>
    <definedName name="EM_008_3" localSheetId="17">#REF!</definedName>
    <definedName name="EM_008_3" localSheetId="15">#REF!</definedName>
    <definedName name="EM_008_3" localSheetId="3">#REF!</definedName>
    <definedName name="EM_008_3">#REF!</definedName>
    <definedName name="EM_008_4" localSheetId="17">#REF!</definedName>
    <definedName name="EM_008_4" localSheetId="15">#REF!</definedName>
    <definedName name="EM_008_4" localSheetId="3">#REF!</definedName>
    <definedName name="EM_008_4">#REF!</definedName>
    <definedName name="EM_008_5" localSheetId="17">#REF!</definedName>
    <definedName name="EM_008_5" localSheetId="15">#REF!</definedName>
    <definedName name="EM_008_5" localSheetId="3">#REF!</definedName>
    <definedName name="EM_008_5">#REF!</definedName>
    <definedName name="EM_008_6" localSheetId="17">#REF!</definedName>
    <definedName name="EM_008_6" localSheetId="15">#REF!</definedName>
    <definedName name="EM_008_6" localSheetId="3">#REF!</definedName>
    <definedName name="EM_008_6">#REF!</definedName>
    <definedName name="EM_008_7" localSheetId="17">#REF!</definedName>
    <definedName name="EM_008_7" localSheetId="15">#REF!</definedName>
    <definedName name="EM_008_7" localSheetId="3">#REF!</definedName>
    <definedName name="EM_008_7">#REF!</definedName>
    <definedName name="EM_008_8" localSheetId="17">#REF!</definedName>
    <definedName name="EM_008_8" localSheetId="15">#REF!</definedName>
    <definedName name="EM_008_8" localSheetId="3">#REF!</definedName>
    <definedName name="EM_008_8">#REF!</definedName>
    <definedName name="EM_008_9" localSheetId="17">#REF!</definedName>
    <definedName name="EM_008_9" localSheetId="15">#REF!</definedName>
    <definedName name="EM_008_9" localSheetId="3">#REF!</definedName>
    <definedName name="EM_008_9">#REF!</definedName>
    <definedName name="EM_009_1" localSheetId="17">#REF!</definedName>
    <definedName name="EM_009_1" localSheetId="15">#REF!</definedName>
    <definedName name="EM_009_1" localSheetId="3">#REF!</definedName>
    <definedName name="EM_009_1">#REF!</definedName>
    <definedName name="EM_009_10" localSheetId="17">#REF!</definedName>
    <definedName name="EM_009_10" localSheetId="15">#REF!</definedName>
    <definedName name="EM_009_10" localSheetId="3">#REF!</definedName>
    <definedName name="EM_009_10">#REF!</definedName>
    <definedName name="EM_009_11" localSheetId="17">#REF!</definedName>
    <definedName name="EM_009_11" localSheetId="15">#REF!</definedName>
    <definedName name="EM_009_11" localSheetId="3">#REF!</definedName>
    <definedName name="EM_009_11">#REF!</definedName>
    <definedName name="EM_009_12" localSheetId="17">#REF!</definedName>
    <definedName name="EM_009_12" localSheetId="15">#REF!</definedName>
    <definedName name="EM_009_12" localSheetId="3">#REF!</definedName>
    <definedName name="EM_009_12">#REF!</definedName>
    <definedName name="EM_009_13" localSheetId="17">#REF!</definedName>
    <definedName name="EM_009_13" localSheetId="15">#REF!</definedName>
    <definedName name="EM_009_13" localSheetId="3">#REF!</definedName>
    <definedName name="EM_009_13">#REF!</definedName>
    <definedName name="EM_009_14" localSheetId="17">#REF!</definedName>
    <definedName name="EM_009_14" localSheetId="15">#REF!</definedName>
    <definedName name="EM_009_14" localSheetId="3">#REF!</definedName>
    <definedName name="EM_009_14">#REF!</definedName>
    <definedName name="EM_009_15" localSheetId="17">#REF!</definedName>
    <definedName name="EM_009_15" localSheetId="15">#REF!</definedName>
    <definedName name="EM_009_15" localSheetId="3">#REF!</definedName>
    <definedName name="EM_009_15">#REF!</definedName>
    <definedName name="EM_009_16" localSheetId="17">#REF!</definedName>
    <definedName name="EM_009_16" localSheetId="15">#REF!</definedName>
    <definedName name="EM_009_16" localSheetId="3">#REF!</definedName>
    <definedName name="EM_009_16">#REF!</definedName>
    <definedName name="EM_009_17" localSheetId="17">#REF!</definedName>
    <definedName name="EM_009_17" localSheetId="15">#REF!</definedName>
    <definedName name="EM_009_17" localSheetId="3">#REF!</definedName>
    <definedName name="EM_009_17">#REF!</definedName>
    <definedName name="EM_009_18" localSheetId="17">#REF!</definedName>
    <definedName name="EM_009_18" localSheetId="15">#REF!</definedName>
    <definedName name="EM_009_18" localSheetId="3">#REF!</definedName>
    <definedName name="EM_009_18">#REF!</definedName>
    <definedName name="EM_009_2" localSheetId="17">#REF!</definedName>
    <definedName name="EM_009_2" localSheetId="15">#REF!</definedName>
    <definedName name="EM_009_2" localSheetId="3">#REF!</definedName>
    <definedName name="EM_009_2">#REF!</definedName>
    <definedName name="EM_009_3" localSheetId="17">#REF!</definedName>
    <definedName name="EM_009_3" localSheetId="15">#REF!</definedName>
    <definedName name="EM_009_3" localSheetId="3">#REF!</definedName>
    <definedName name="EM_009_3">#REF!</definedName>
    <definedName name="EM_009_4" localSheetId="17">#REF!</definedName>
    <definedName name="EM_009_4" localSheetId="15">#REF!</definedName>
    <definedName name="EM_009_4" localSheetId="3">#REF!</definedName>
    <definedName name="EM_009_4">#REF!</definedName>
    <definedName name="EM_009_5" localSheetId="17">#REF!</definedName>
    <definedName name="EM_009_5" localSheetId="15">#REF!</definedName>
    <definedName name="EM_009_5" localSheetId="3">#REF!</definedName>
    <definedName name="EM_009_5">#REF!</definedName>
    <definedName name="EM_009_6" localSheetId="17">#REF!</definedName>
    <definedName name="EM_009_6" localSheetId="15">#REF!</definedName>
    <definedName name="EM_009_6" localSheetId="3">#REF!</definedName>
    <definedName name="EM_009_6">#REF!</definedName>
    <definedName name="EM_009_7" localSheetId="17">#REF!</definedName>
    <definedName name="EM_009_7" localSheetId="15">#REF!</definedName>
    <definedName name="EM_009_7" localSheetId="3">#REF!</definedName>
    <definedName name="EM_009_7">#REF!</definedName>
    <definedName name="EM_009_8" localSheetId="17">#REF!</definedName>
    <definedName name="EM_009_8" localSheetId="15">#REF!</definedName>
    <definedName name="EM_009_8" localSheetId="3">#REF!</definedName>
    <definedName name="EM_009_8">#REF!</definedName>
    <definedName name="EM_009_9" localSheetId="17">#REF!</definedName>
    <definedName name="EM_009_9" localSheetId="15">#REF!</definedName>
    <definedName name="EM_009_9" localSheetId="3">#REF!</definedName>
    <definedName name="EM_009_9">#REF!</definedName>
    <definedName name="EM_010_1" localSheetId="17">#REF!</definedName>
    <definedName name="EM_010_1" localSheetId="15">#REF!</definedName>
    <definedName name="EM_010_1" localSheetId="3">#REF!</definedName>
    <definedName name="EM_010_1">#REF!</definedName>
    <definedName name="EM_010_10" localSheetId="17">#REF!</definedName>
    <definedName name="EM_010_10" localSheetId="15">#REF!</definedName>
    <definedName name="EM_010_10" localSheetId="3">#REF!</definedName>
    <definedName name="EM_010_10">#REF!</definedName>
    <definedName name="EM_010_11" localSheetId="17">#REF!</definedName>
    <definedName name="EM_010_11" localSheetId="15">#REF!</definedName>
    <definedName name="EM_010_11" localSheetId="3">#REF!</definedName>
    <definedName name="EM_010_11">#REF!</definedName>
    <definedName name="EM_010_12" localSheetId="17">#REF!</definedName>
    <definedName name="EM_010_12" localSheetId="15">#REF!</definedName>
    <definedName name="EM_010_12" localSheetId="3">#REF!</definedName>
    <definedName name="EM_010_12">#REF!</definedName>
    <definedName name="EM_010_13" localSheetId="17">#REF!</definedName>
    <definedName name="EM_010_13" localSheetId="15">#REF!</definedName>
    <definedName name="EM_010_13" localSheetId="3">#REF!</definedName>
    <definedName name="EM_010_13">#REF!</definedName>
    <definedName name="EM_010_14" localSheetId="17">#REF!</definedName>
    <definedName name="EM_010_14" localSheetId="15">#REF!</definedName>
    <definedName name="EM_010_14" localSheetId="3">#REF!</definedName>
    <definedName name="EM_010_14">#REF!</definedName>
    <definedName name="EM_010_15" localSheetId="17">#REF!</definedName>
    <definedName name="EM_010_15" localSheetId="15">#REF!</definedName>
    <definedName name="EM_010_15" localSheetId="3">#REF!</definedName>
    <definedName name="EM_010_15">#REF!</definedName>
    <definedName name="EM_010_16" localSheetId="17">#REF!</definedName>
    <definedName name="EM_010_16" localSheetId="15">#REF!</definedName>
    <definedName name="EM_010_16" localSheetId="3">#REF!</definedName>
    <definedName name="EM_010_16">#REF!</definedName>
    <definedName name="EM_010_17" localSheetId="17">#REF!</definedName>
    <definedName name="EM_010_17" localSheetId="15">#REF!</definedName>
    <definedName name="EM_010_17" localSheetId="3">#REF!</definedName>
    <definedName name="EM_010_17">#REF!</definedName>
    <definedName name="EM_010_18" localSheetId="17">#REF!</definedName>
    <definedName name="EM_010_18" localSheetId="15">#REF!</definedName>
    <definedName name="EM_010_18" localSheetId="3">#REF!</definedName>
    <definedName name="EM_010_18">#REF!</definedName>
    <definedName name="EM_010_2" localSheetId="17">#REF!</definedName>
    <definedName name="EM_010_2" localSheetId="15">#REF!</definedName>
    <definedName name="EM_010_2" localSheetId="3">#REF!</definedName>
    <definedName name="EM_010_2">#REF!</definedName>
    <definedName name="EM_010_3" localSheetId="17">#REF!</definedName>
    <definedName name="EM_010_3" localSheetId="15">#REF!</definedName>
    <definedName name="EM_010_3" localSheetId="3">#REF!</definedName>
    <definedName name="EM_010_3">#REF!</definedName>
    <definedName name="EM_010_4" localSheetId="17">#REF!</definedName>
    <definedName name="EM_010_4" localSheetId="15">#REF!</definedName>
    <definedName name="EM_010_4" localSheetId="3">#REF!</definedName>
    <definedName name="EM_010_4">#REF!</definedName>
    <definedName name="EM_010_5" localSheetId="17">#REF!</definedName>
    <definedName name="EM_010_5" localSheetId="15">#REF!</definedName>
    <definedName name="EM_010_5" localSheetId="3">#REF!</definedName>
    <definedName name="EM_010_5">#REF!</definedName>
    <definedName name="EM_010_6" localSheetId="17">#REF!</definedName>
    <definedName name="EM_010_6" localSheetId="15">#REF!</definedName>
    <definedName name="EM_010_6" localSheetId="3">#REF!</definedName>
    <definedName name="EM_010_6">#REF!</definedName>
    <definedName name="EM_010_7" localSheetId="17">#REF!</definedName>
    <definedName name="EM_010_7" localSheetId="15">#REF!</definedName>
    <definedName name="EM_010_7" localSheetId="3">#REF!</definedName>
    <definedName name="EM_010_7">#REF!</definedName>
    <definedName name="EM_010_8" localSheetId="17">#REF!</definedName>
    <definedName name="EM_010_8" localSheetId="15">#REF!</definedName>
    <definedName name="EM_010_8" localSheetId="3">#REF!</definedName>
    <definedName name="EM_010_8">#REF!</definedName>
    <definedName name="EM_010_9" localSheetId="17">#REF!</definedName>
    <definedName name="EM_010_9" localSheetId="15">#REF!</definedName>
    <definedName name="EM_010_9" localSheetId="3">#REF!</definedName>
    <definedName name="EM_010_9">#REF!</definedName>
    <definedName name="EM_011_1" localSheetId="17">#REF!</definedName>
    <definedName name="EM_011_1" localSheetId="15">#REF!</definedName>
    <definedName name="EM_011_1" localSheetId="3">#REF!</definedName>
    <definedName name="EM_011_1">#REF!</definedName>
    <definedName name="EM_011_10" localSheetId="17">#REF!</definedName>
    <definedName name="EM_011_10" localSheetId="15">#REF!</definedName>
    <definedName name="EM_011_10" localSheetId="3">#REF!</definedName>
    <definedName name="EM_011_10">#REF!</definedName>
    <definedName name="EM_011_11" localSheetId="17">#REF!</definedName>
    <definedName name="EM_011_11" localSheetId="15">#REF!</definedName>
    <definedName name="EM_011_11" localSheetId="3">#REF!</definedName>
    <definedName name="EM_011_11">#REF!</definedName>
    <definedName name="EM_011_12" localSheetId="17">#REF!</definedName>
    <definedName name="EM_011_12" localSheetId="15">#REF!</definedName>
    <definedName name="EM_011_12" localSheetId="3">#REF!</definedName>
    <definedName name="EM_011_12">#REF!</definedName>
    <definedName name="EM_011_13" localSheetId="17">#REF!</definedName>
    <definedName name="EM_011_13" localSheetId="15">#REF!</definedName>
    <definedName name="EM_011_13" localSheetId="3">#REF!</definedName>
    <definedName name="EM_011_13">#REF!</definedName>
    <definedName name="EM_011_14" localSheetId="17">#REF!</definedName>
    <definedName name="EM_011_14" localSheetId="15">#REF!</definedName>
    <definedName name="EM_011_14" localSheetId="3">#REF!</definedName>
    <definedName name="EM_011_14">#REF!</definedName>
    <definedName name="EM_011_15" localSheetId="17">#REF!</definedName>
    <definedName name="EM_011_15" localSheetId="15">#REF!</definedName>
    <definedName name="EM_011_15" localSheetId="3">#REF!</definedName>
    <definedName name="EM_011_15">#REF!</definedName>
    <definedName name="EM_011_16" localSheetId="17">#REF!</definedName>
    <definedName name="EM_011_16" localSheetId="15">#REF!</definedName>
    <definedName name="EM_011_16" localSheetId="3">#REF!</definedName>
    <definedName name="EM_011_16">#REF!</definedName>
    <definedName name="EM_011_17" localSheetId="17">#REF!</definedName>
    <definedName name="EM_011_17" localSheetId="15">#REF!</definedName>
    <definedName name="EM_011_17" localSheetId="3">#REF!</definedName>
    <definedName name="EM_011_17">#REF!</definedName>
    <definedName name="EM_011_18" localSheetId="17">#REF!</definedName>
    <definedName name="EM_011_18" localSheetId="15">#REF!</definedName>
    <definedName name="EM_011_18" localSheetId="3">#REF!</definedName>
    <definedName name="EM_011_18">#REF!</definedName>
    <definedName name="EM_011_2" localSheetId="17">#REF!</definedName>
    <definedName name="EM_011_2" localSheetId="15">#REF!</definedName>
    <definedName name="EM_011_2" localSheetId="3">#REF!</definedName>
    <definedName name="EM_011_2">#REF!</definedName>
    <definedName name="EM_011_3" localSheetId="17">#REF!</definedName>
    <definedName name="EM_011_3" localSheetId="15">#REF!</definedName>
    <definedName name="EM_011_3" localSheetId="3">#REF!</definedName>
    <definedName name="EM_011_3">#REF!</definedName>
    <definedName name="EM_011_4" localSheetId="17">#REF!</definedName>
    <definedName name="EM_011_4" localSheetId="15">#REF!</definedName>
    <definedName name="EM_011_4" localSheetId="3">#REF!</definedName>
    <definedName name="EM_011_4">#REF!</definedName>
    <definedName name="EM_011_5" localSheetId="17">#REF!</definedName>
    <definedName name="EM_011_5" localSheetId="15">#REF!</definedName>
    <definedName name="EM_011_5" localSheetId="3">#REF!</definedName>
    <definedName name="EM_011_5">#REF!</definedName>
    <definedName name="EM_011_6" localSheetId="17">#REF!</definedName>
    <definedName name="EM_011_6" localSheetId="15">#REF!</definedName>
    <definedName name="EM_011_6" localSheetId="3">#REF!</definedName>
    <definedName name="EM_011_6">#REF!</definedName>
    <definedName name="EM_011_7" localSheetId="17">#REF!</definedName>
    <definedName name="EM_011_7" localSheetId="15">#REF!</definedName>
    <definedName name="EM_011_7" localSheetId="3">#REF!</definedName>
    <definedName name="EM_011_7">#REF!</definedName>
    <definedName name="EM_011_8" localSheetId="17">#REF!</definedName>
    <definedName name="EM_011_8" localSheetId="15">#REF!</definedName>
    <definedName name="EM_011_8" localSheetId="3">#REF!</definedName>
    <definedName name="EM_011_8">#REF!</definedName>
    <definedName name="EM_011_9" localSheetId="17">#REF!</definedName>
    <definedName name="EM_011_9" localSheetId="15">#REF!</definedName>
    <definedName name="EM_011_9" localSheetId="3">#REF!</definedName>
    <definedName name="EM_011_9">#REF!</definedName>
    <definedName name="EM_012_1" localSheetId="17">#REF!</definedName>
    <definedName name="EM_012_1" localSheetId="15">#REF!</definedName>
    <definedName name="EM_012_1" localSheetId="3">#REF!</definedName>
    <definedName name="EM_012_1">#REF!</definedName>
    <definedName name="EM_012_10" localSheetId="17">#REF!</definedName>
    <definedName name="EM_012_10" localSheetId="15">#REF!</definedName>
    <definedName name="EM_012_10" localSheetId="3">#REF!</definedName>
    <definedName name="EM_012_10">#REF!</definedName>
    <definedName name="EM_012_11" localSheetId="17">#REF!</definedName>
    <definedName name="EM_012_11" localSheetId="15">#REF!</definedName>
    <definedName name="EM_012_11" localSheetId="3">#REF!</definedName>
    <definedName name="EM_012_11">#REF!</definedName>
    <definedName name="EM_012_12" localSheetId="17">#REF!</definedName>
    <definedName name="EM_012_12" localSheetId="15">#REF!</definedName>
    <definedName name="EM_012_12" localSheetId="3">#REF!</definedName>
    <definedName name="EM_012_12">#REF!</definedName>
    <definedName name="EM_012_13" localSheetId="17">#REF!</definedName>
    <definedName name="EM_012_13" localSheetId="15">#REF!</definedName>
    <definedName name="EM_012_13" localSheetId="3">#REF!</definedName>
    <definedName name="EM_012_13">#REF!</definedName>
    <definedName name="EM_012_14" localSheetId="17">#REF!</definedName>
    <definedName name="EM_012_14" localSheetId="15">#REF!</definedName>
    <definedName name="EM_012_14" localSheetId="3">#REF!</definedName>
    <definedName name="EM_012_14">#REF!</definedName>
    <definedName name="EM_012_15" localSheetId="17">#REF!</definedName>
    <definedName name="EM_012_15" localSheetId="15">#REF!</definedName>
    <definedName name="EM_012_15" localSheetId="3">#REF!</definedName>
    <definedName name="EM_012_15">#REF!</definedName>
    <definedName name="EM_012_16" localSheetId="17">#REF!</definedName>
    <definedName name="EM_012_16" localSheetId="15">#REF!</definedName>
    <definedName name="EM_012_16" localSheetId="3">#REF!</definedName>
    <definedName name="EM_012_16">#REF!</definedName>
    <definedName name="EM_012_17" localSheetId="17">#REF!</definedName>
    <definedName name="EM_012_17" localSheetId="15">#REF!</definedName>
    <definedName name="EM_012_17" localSheetId="3">#REF!</definedName>
    <definedName name="EM_012_17">#REF!</definedName>
    <definedName name="EM_012_18" localSheetId="17">#REF!</definedName>
    <definedName name="EM_012_18" localSheetId="15">#REF!</definedName>
    <definedName name="EM_012_18" localSheetId="3">#REF!</definedName>
    <definedName name="EM_012_18">#REF!</definedName>
    <definedName name="EM_012_2" localSheetId="17">#REF!</definedName>
    <definedName name="EM_012_2" localSheetId="15">#REF!</definedName>
    <definedName name="EM_012_2" localSheetId="3">#REF!</definedName>
    <definedName name="EM_012_2">#REF!</definedName>
    <definedName name="EM_012_3" localSheetId="17">#REF!</definedName>
    <definedName name="EM_012_3" localSheetId="15">#REF!</definedName>
    <definedName name="EM_012_3" localSheetId="3">#REF!</definedName>
    <definedName name="EM_012_3">#REF!</definedName>
    <definedName name="EM_012_4" localSheetId="17">#REF!</definedName>
    <definedName name="EM_012_4" localSheetId="15">#REF!</definedName>
    <definedName name="EM_012_4" localSheetId="3">#REF!</definedName>
    <definedName name="EM_012_4">#REF!</definedName>
    <definedName name="EM_012_5" localSheetId="17">#REF!</definedName>
    <definedName name="EM_012_5" localSheetId="15">#REF!</definedName>
    <definedName name="EM_012_5" localSheetId="3">#REF!</definedName>
    <definedName name="EM_012_5">#REF!</definedName>
    <definedName name="EM_012_6" localSheetId="17">#REF!</definedName>
    <definedName name="EM_012_6" localSheetId="15">#REF!</definedName>
    <definedName name="EM_012_6" localSheetId="3">#REF!</definedName>
    <definedName name="EM_012_6">#REF!</definedName>
    <definedName name="EM_012_7" localSheetId="17">#REF!</definedName>
    <definedName name="EM_012_7" localSheetId="15">#REF!</definedName>
    <definedName name="EM_012_7" localSheetId="3">#REF!</definedName>
    <definedName name="EM_012_7">#REF!</definedName>
    <definedName name="EM_012_8" localSheetId="17">#REF!</definedName>
    <definedName name="EM_012_8" localSheetId="15">#REF!</definedName>
    <definedName name="EM_012_8" localSheetId="3">#REF!</definedName>
    <definedName name="EM_012_8">#REF!</definedName>
    <definedName name="EM_012_9" localSheetId="17">#REF!</definedName>
    <definedName name="EM_012_9" localSheetId="15">#REF!</definedName>
    <definedName name="EM_012_9" localSheetId="3">#REF!</definedName>
    <definedName name="EM_012_9">#REF!</definedName>
    <definedName name="EM_013_1" localSheetId="17">#REF!</definedName>
    <definedName name="EM_013_1" localSheetId="15">#REF!</definedName>
    <definedName name="EM_013_1" localSheetId="3">#REF!</definedName>
    <definedName name="EM_013_1">#REF!</definedName>
    <definedName name="EM_013_10" localSheetId="17">#REF!</definedName>
    <definedName name="EM_013_10" localSheetId="15">#REF!</definedName>
    <definedName name="EM_013_10" localSheetId="3">#REF!</definedName>
    <definedName name="EM_013_10">#REF!</definedName>
    <definedName name="EM_013_11" localSheetId="17">#REF!</definedName>
    <definedName name="EM_013_11" localSheetId="15">#REF!</definedName>
    <definedName name="EM_013_11" localSheetId="3">#REF!</definedName>
    <definedName name="EM_013_11">#REF!</definedName>
    <definedName name="EM_013_12" localSheetId="17">#REF!</definedName>
    <definedName name="EM_013_12" localSheetId="15">#REF!</definedName>
    <definedName name="EM_013_12" localSheetId="3">#REF!</definedName>
    <definedName name="EM_013_12">#REF!</definedName>
    <definedName name="EM_013_13" localSheetId="17">#REF!</definedName>
    <definedName name="EM_013_13" localSheetId="15">#REF!</definedName>
    <definedName name="EM_013_13" localSheetId="3">#REF!</definedName>
    <definedName name="EM_013_13">#REF!</definedName>
    <definedName name="EM_013_14" localSheetId="17">#REF!</definedName>
    <definedName name="EM_013_14" localSheetId="15">#REF!</definedName>
    <definedName name="EM_013_14" localSheetId="3">#REF!</definedName>
    <definedName name="EM_013_14">#REF!</definedName>
    <definedName name="EM_013_15" localSheetId="17">#REF!</definedName>
    <definedName name="EM_013_15" localSheetId="15">#REF!</definedName>
    <definedName name="EM_013_15" localSheetId="3">#REF!</definedName>
    <definedName name="EM_013_15">#REF!</definedName>
    <definedName name="EM_013_16" localSheetId="17">#REF!</definedName>
    <definedName name="EM_013_16" localSheetId="15">#REF!</definedName>
    <definedName name="EM_013_16" localSheetId="3">#REF!</definedName>
    <definedName name="EM_013_16">#REF!</definedName>
    <definedName name="EM_013_17" localSheetId="17">#REF!</definedName>
    <definedName name="EM_013_17" localSheetId="15">#REF!</definedName>
    <definedName name="EM_013_17" localSheetId="3">#REF!</definedName>
    <definedName name="EM_013_17">#REF!</definedName>
    <definedName name="EM_013_18" localSheetId="17">#REF!</definedName>
    <definedName name="EM_013_18" localSheetId="15">#REF!</definedName>
    <definedName name="EM_013_18" localSheetId="3">#REF!</definedName>
    <definedName name="EM_013_18">#REF!</definedName>
    <definedName name="EM_013_2" localSheetId="17">#REF!</definedName>
    <definedName name="EM_013_2" localSheetId="15">#REF!</definedName>
    <definedName name="EM_013_2" localSheetId="3">#REF!</definedName>
    <definedName name="EM_013_2">#REF!</definedName>
    <definedName name="EM_013_3" localSheetId="17">#REF!</definedName>
    <definedName name="EM_013_3" localSheetId="15">#REF!</definedName>
    <definedName name="EM_013_3" localSheetId="3">#REF!</definedName>
    <definedName name="EM_013_3">#REF!</definedName>
    <definedName name="EM_013_4" localSheetId="17">#REF!</definedName>
    <definedName name="EM_013_4" localSheetId="15">#REF!</definedName>
    <definedName name="EM_013_4" localSheetId="3">#REF!</definedName>
    <definedName name="EM_013_4">#REF!</definedName>
    <definedName name="EM_013_5" localSheetId="17">#REF!</definedName>
    <definedName name="EM_013_5" localSheetId="15">#REF!</definedName>
    <definedName name="EM_013_5" localSheetId="3">#REF!</definedName>
    <definedName name="EM_013_5">#REF!</definedName>
    <definedName name="EM_013_6" localSheetId="17">#REF!</definedName>
    <definedName name="EM_013_6" localSheetId="15">#REF!</definedName>
    <definedName name="EM_013_6" localSheetId="3">#REF!</definedName>
    <definedName name="EM_013_6">#REF!</definedName>
    <definedName name="EM_013_7" localSheetId="17">#REF!</definedName>
    <definedName name="EM_013_7" localSheetId="15">#REF!</definedName>
    <definedName name="EM_013_7" localSheetId="3">#REF!</definedName>
    <definedName name="EM_013_7">#REF!</definedName>
    <definedName name="EM_013_8" localSheetId="17">#REF!</definedName>
    <definedName name="EM_013_8" localSheetId="15">#REF!</definedName>
    <definedName name="EM_013_8" localSheetId="3">#REF!</definedName>
    <definedName name="EM_013_8">#REF!</definedName>
    <definedName name="EM_013_9" localSheetId="17">#REF!</definedName>
    <definedName name="EM_013_9" localSheetId="15">#REF!</definedName>
    <definedName name="EM_013_9" localSheetId="3">#REF!</definedName>
    <definedName name="EM_013_9">#REF!</definedName>
    <definedName name="EM_014_1" localSheetId="17">#REF!</definedName>
    <definedName name="EM_014_1" localSheetId="15">#REF!</definedName>
    <definedName name="EM_014_1" localSheetId="3">#REF!</definedName>
    <definedName name="EM_014_1">#REF!</definedName>
    <definedName name="EM_014_10" localSheetId="17">#REF!</definedName>
    <definedName name="EM_014_10" localSheetId="15">#REF!</definedName>
    <definedName name="EM_014_10" localSheetId="3">#REF!</definedName>
    <definedName name="EM_014_10">#REF!</definedName>
    <definedName name="EM_014_11" localSheetId="17">#REF!</definedName>
    <definedName name="EM_014_11" localSheetId="15">#REF!</definedName>
    <definedName name="EM_014_11" localSheetId="3">#REF!</definedName>
    <definedName name="EM_014_11">#REF!</definedName>
    <definedName name="EM_014_12" localSheetId="17">#REF!</definedName>
    <definedName name="EM_014_12" localSheetId="15">#REF!</definedName>
    <definedName name="EM_014_12" localSheetId="3">#REF!</definedName>
    <definedName name="EM_014_12">#REF!</definedName>
    <definedName name="EM_014_13" localSheetId="17">#REF!</definedName>
    <definedName name="EM_014_13" localSheetId="15">#REF!</definedName>
    <definedName name="EM_014_13" localSheetId="3">#REF!</definedName>
    <definedName name="EM_014_13">#REF!</definedName>
    <definedName name="EM_014_14" localSheetId="17">#REF!</definedName>
    <definedName name="EM_014_14" localSheetId="15">#REF!</definedName>
    <definedName name="EM_014_14" localSheetId="3">#REF!</definedName>
    <definedName name="EM_014_14">#REF!</definedName>
    <definedName name="EM_014_15" localSheetId="17">#REF!</definedName>
    <definedName name="EM_014_15" localSheetId="15">#REF!</definedName>
    <definedName name="EM_014_15" localSheetId="3">#REF!</definedName>
    <definedName name="EM_014_15">#REF!</definedName>
    <definedName name="EM_014_16" localSheetId="17">#REF!</definedName>
    <definedName name="EM_014_16" localSheetId="15">#REF!</definedName>
    <definedName name="EM_014_16" localSheetId="3">#REF!</definedName>
    <definedName name="EM_014_16">#REF!</definedName>
    <definedName name="EM_014_17" localSheetId="17">#REF!</definedName>
    <definedName name="EM_014_17" localSheetId="15">#REF!</definedName>
    <definedName name="EM_014_17" localSheetId="3">#REF!</definedName>
    <definedName name="EM_014_17">#REF!</definedName>
    <definedName name="EM_014_18" localSheetId="17">#REF!</definedName>
    <definedName name="EM_014_18" localSheetId="15">#REF!</definedName>
    <definedName name="EM_014_18" localSheetId="3">#REF!</definedName>
    <definedName name="EM_014_18">#REF!</definedName>
    <definedName name="EM_014_2" localSheetId="17">#REF!</definedName>
    <definedName name="EM_014_2" localSheetId="15">#REF!</definedName>
    <definedName name="EM_014_2" localSheetId="3">#REF!</definedName>
    <definedName name="EM_014_2">#REF!</definedName>
    <definedName name="EM_014_3" localSheetId="17">#REF!</definedName>
    <definedName name="EM_014_3" localSheetId="15">#REF!</definedName>
    <definedName name="EM_014_3" localSheetId="3">#REF!</definedName>
    <definedName name="EM_014_3">#REF!</definedName>
    <definedName name="EM_014_4" localSheetId="17">#REF!</definedName>
    <definedName name="EM_014_4" localSheetId="15">#REF!</definedName>
    <definedName name="EM_014_4" localSheetId="3">#REF!</definedName>
    <definedName name="EM_014_4">#REF!</definedName>
    <definedName name="EM_014_5" localSheetId="17">#REF!</definedName>
    <definedName name="EM_014_5" localSheetId="15">#REF!</definedName>
    <definedName name="EM_014_5" localSheetId="3">#REF!</definedName>
    <definedName name="EM_014_5">#REF!</definedName>
    <definedName name="EM_014_6" localSheetId="17">#REF!</definedName>
    <definedName name="EM_014_6" localSheetId="15">#REF!</definedName>
    <definedName name="EM_014_6" localSheetId="3">#REF!</definedName>
    <definedName name="EM_014_6">#REF!</definedName>
    <definedName name="EM_014_7" localSheetId="17">#REF!</definedName>
    <definedName name="EM_014_7" localSheetId="15">#REF!</definedName>
    <definedName name="EM_014_7" localSheetId="3">#REF!</definedName>
    <definedName name="EM_014_7">#REF!</definedName>
    <definedName name="EM_014_8" localSheetId="17">#REF!</definedName>
    <definedName name="EM_014_8" localSheetId="15">#REF!</definedName>
    <definedName name="EM_014_8" localSheetId="3">#REF!</definedName>
    <definedName name="EM_014_8">#REF!</definedName>
    <definedName name="EM_014_9" localSheetId="17">#REF!</definedName>
    <definedName name="EM_014_9" localSheetId="15">#REF!</definedName>
    <definedName name="EM_014_9" localSheetId="3">#REF!</definedName>
    <definedName name="EM_014_9">#REF!</definedName>
    <definedName name="EM_015_1" localSheetId="17">#REF!</definedName>
    <definedName name="EM_015_1" localSheetId="15">#REF!</definedName>
    <definedName name="EM_015_1" localSheetId="3">#REF!</definedName>
    <definedName name="EM_015_1">#REF!</definedName>
    <definedName name="EM_015_10" localSheetId="17">#REF!</definedName>
    <definedName name="EM_015_10" localSheetId="15">#REF!</definedName>
    <definedName name="EM_015_10" localSheetId="3">#REF!</definedName>
    <definedName name="EM_015_10">#REF!</definedName>
    <definedName name="EM_015_11" localSheetId="17">#REF!</definedName>
    <definedName name="EM_015_11" localSheetId="15">#REF!</definedName>
    <definedName name="EM_015_11" localSheetId="3">#REF!</definedName>
    <definedName name="EM_015_11">#REF!</definedName>
    <definedName name="EM_015_12" localSheetId="17">#REF!</definedName>
    <definedName name="EM_015_12" localSheetId="15">#REF!</definedName>
    <definedName name="EM_015_12" localSheetId="3">#REF!</definedName>
    <definedName name="EM_015_12">#REF!</definedName>
    <definedName name="EM_015_13" localSheetId="17">#REF!</definedName>
    <definedName name="EM_015_13" localSheetId="15">#REF!</definedName>
    <definedName name="EM_015_13" localSheetId="3">#REF!</definedName>
    <definedName name="EM_015_13">#REF!</definedName>
    <definedName name="EM_015_14" localSheetId="17">#REF!</definedName>
    <definedName name="EM_015_14" localSheetId="15">#REF!</definedName>
    <definedName name="EM_015_14" localSheetId="3">#REF!</definedName>
    <definedName name="EM_015_14">#REF!</definedName>
    <definedName name="EM_015_15" localSheetId="17">#REF!</definedName>
    <definedName name="EM_015_15" localSheetId="15">#REF!</definedName>
    <definedName name="EM_015_15" localSheetId="3">#REF!</definedName>
    <definedName name="EM_015_15">#REF!</definedName>
    <definedName name="EM_015_16" localSheetId="17">#REF!</definedName>
    <definedName name="EM_015_16" localSheetId="15">#REF!</definedName>
    <definedName name="EM_015_16" localSheetId="3">#REF!</definedName>
    <definedName name="EM_015_16">#REF!</definedName>
    <definedName name="EM_015_17" localSheetId="17">#REF!</definedName>
    <definedName name="EM_015_17" localSheetId="15">#REF!</definedName>
    <definedName name="EM_015_17" localSheetId="3">#REF!</definedName>
    <definedName name="EM_015_17">#REF!</definedName>
    <definedName name="EM_015_18" localSheetId="17">#REF!</definedName>
    <definedName name="EM_015_18" localSheetId="15">#REF!</definedName>
    <definedName name="EM_015_18" localSheetId="3">#REF!</definedName>
    <definedName name="EM_015_18">#REF!</definedName>
    <definedName name="EM_015_2" localSheetId="17">#REF!</definedName>
    <definedName name="EM_015_2" localSheetId="15">#REF!</definedName>
    <definedName name="EM_015_2" localSheetId="3">#REF!</definedName>
    <definedName name="EM_015_2">#REF!</definedName>
    <definedName name="EM_015_3" localSheetId="17">#REF!</definedName>
    <definedName name="EM_015_3" localSheetId="15">#REF!</definedName>
    <definedName name="EM_015_3" localSheetId="3">#REF!</definedName>
    <definedName name="EM_015_3">#REF!</definedName>
    <definedName name="EM_015_4" localSheetId="17">#REF!</definedName>
    <definedName name="EM_015_4" localSheetId="15">#REF!</definedName>
    <definedName name="EM_015_4" localSheetId="3">#REF!</definedName>
    <definedName name="EM_015_4">#REF!</definedName>
    <definedName name="EM_015_5" localSheetId="17">#REF!</definedName>
    <definedName name="EM_015_5" localSheetId="15">#REF!</definedName>
    <definedName name="EM_015_5" localSheetId="3">#REF!</definedName>
    <definedName name="EM_015_5">#REF!</definedName>
    <definedName name="EM_015_6" localSheetId="17">#REF!</definedName>
    <definedName name="EM_015_6" localSheetId="15">#REF!</definedName>
    <definedName name="EM_015_6" localSheetId="3">#REF!</definedName>
    <definedName name="EM_015_6">#REF!</definedName>
    <definedName name="EM_015_7" localSheetId="17">#REF!</definedName>
    <definedName name="EM_015_7" localSheetId="15">#REF!</definedName>
    <definedName name="EM_015_7" localSheetId="3">#REF!</definedName>
    <definedName name="EM_015_7">#REF!</definedName>
    <definedName name="EM_015_8" localSheetId="17">#REF!</definedName>
    <definedName name="EM_015_8" localSheetId="15">#REF!</definedName>
    <definedName name="EM_015_8" localSheetId="3">#REF!</definedName>
    <definedName name="EM_015_8">#REF!</definedName>
    <definedName name="EM_015_9" localSheetId="17">#REF!</definedName>
    <definedName name="EM_015_9" localSheetId="15">#REF!</definedName>
    <definedName name="EM_015_9" localSheetId="3">#REF!</definedName>
    <definedName name="EM_015_9">#REF!</definedName>
    <definedName name="EM_016_1" localSheetId="17">#REF!</definedName>
    <definedName name="EM_016_1" localSheetId="15">#REF!</definedName>
    <definedName name="EM_016_1" localSheetId="3">#REF!</definedName>
    <definedName name="EM_016_1">#REF!</definedName>
    <definedName name="EM_016_10" localSheetId="17">#REF!</definedName>
    <definedName name="EM_016_10" localSheetId="15">#REF!</definedName>
    <definedName name="EM_016_10" localSheetId="3">#REF!</definedName>
    <definedName name="EM_016_10">#REF!</definedName>
    <definedName name="EM_016_11" localSheetId="17">#REF!</definedName>
    <definedName name="EM_016_11" localSheetId="15">#REF!</definedName>
    <definedName name="EM_016_11" localSheetId="3">#REF!</definedName>
    <definedName name="EM_016_11">#REF!</definedName>
    <definedName name="EM_016_12" localSheetId="17">#REF!</definedName>
    <definedName name="EM_016_12" localSheetId="15">#REF!</definedName>
    <definedName name="EM_016_12" localSheetId="3">#REF!</definedName>
    <definedName name="EM_016_12">#REF!</definedName>
    <definedName name="EM_016_13" localSheetId="17">#REF!</definedName>
    <definedName name="EM_016_13" localSheetId="15">#REF!</definedName>
    <definedName name="EM_016_13" localSheetId="3">#REF!</definedName>
    <definedName name="EM_016_13">#REF!</definedName>
    <definedName name="EM_016_14" localSheetId="17">#REF!</definedName>
    <definedName name="EM_016_14" localSheetId="15">#REF!</definedName>
    <definedName name="EM_016_14" localSheetId="3">#REF!</definedName>
    <definedName name="EM_016_14">#REF!</definedName>
    <definedName name="EM_016_15" localSheetId="17">#REF!</definedName>
    <definedName name="EM_016_15" localSheetId="15">#REF!</definedName>
    <definedName name="EM_016_15" localSheetId="3">#REF!</definedName>
    <definedName name="EM_016_15">#REF!</definedName>
    <definedName name="EM_016_16" localSheetId="17">#REF!</definedName>
    <definedName name="EM_016_16" localSheetId="15">#REF!</definedName>
    <definedName name="EM_016_16" localSheetId="3">#REF!</definedName>
    <definedName name="EM_016_16">#REF!</definedName>
    <definedName name="EM_016_17" localSheetId="17">#REF!</definedName>
    <definedName name="EM_016_17" localSheetId="15">#REF!</definedName>
    <definedName name="EM_016_17" localSheetId="3">#REF!</definedName>
    <definedName name="EM_016_17">#REF!</definedName>
    <definedName name="EM_016_18" localSheetId="17">#REF!</definedName>
    <definedName name="EM_016_18" localSheetId="15">#REF!</definedName>
    <definedName name="EM_016_18" localSheetId="3">#REF!</definedName>
    <definedName name="EM_016_18">#REF!</definedName>
    <definedName name="EM_016_2" localSheetId="17">#REF!</definedName>
    <definedName name="EM_016_2" localSheetId="15">#REF!</definedName>
    <definedName name="EM_016_2" localSheetId="3">#REF!</definedName>
    <definedName name="EM_016_2">#REF!</definedName>
    <definedName name="EM_016_3" localSheetId="17">#REF!</definedName>
    <definedName name="EM_016_3" localSheetId="15">#REF!</definedName>
    <definedName name="EM_016_3" localSheetId="3">#REF!</definedName>
    <definedName name="EM_016_3">#REF!</definedName>
    <definedName name="EM_016_4" localSheetId="17">#REF!</definedName>
    <definedName name="EM_016_4" localSheetId="15">#REF!</definedName>
    <definedName name="EM_016_4" localSheetId="3">#REF!</definedName>
    <definedName name="EM_016_4">#REF!</definedName>
    <definedName name="EM_016_5" localSheetId="17">#REF!</definedName>
    <definedName name="EM_016_5" localSheetId="15">#REF!</definedName>
    <definedName name="EM_016_5" localSheetId="3">#REF!</definedName>
    <definedName name="EM_016_5">#REF!</definedName>
    <definedName name="EM_016_6" localSheetId="17">#REF!</definedName>
    <definedName name="EM_016_6" localSheetId="15">#REF!</definedName>
    <definedName name="EM_016_6" localSheetId="3">#REF!</definedName>
    <definedName name="EM_016_6">#REF!</definedName>
    <definedName name="EM_016_7" localSheetId="17">#REF!</definedName>
    <definedName name="EM_016_7" localSheetId="15">#REF!</definedName>
    <definedName name="EM_016_7" localSheetId="3">#REF!</definedName>
    <definedName name="EM_016_7">#REF!</definedName>
    <definedName name="EM_016_8" localSheetId="17">#REF!</definedName>
    <definedName name="EM_016_8" localSheetId="15">#REF!</definedName>
    <definedName name="EM_016_8" localSheetId="3">#REF!</definedName>
    <definedName name="EM_016_8">#REF!</definedName>
    <definedName name="EM_016_9" localSheetId="17">#REF!</definedName>
    <definedName name="EM_016_9" localSheetId="15">#REF!</definedName>
    <definedName name="EM_016_9" localSheetId="3">#REF!</definedName>
    <definedName name="EM_016_9">#REF!</definedName>
    <definedName name="EM_017_1" localSheetId="17">#REF!</definedName>
    <definedName name="EM_017_1" localSheetId="15">#REF!</definedName>
    <definedName name="EM_017_1" localSheetId="3">#REF!</definedName>
    <definedName name="EM_017_1">#REF!</definedName>
    <definedName name="EM_017_10" localSheetId="17">#REF!</definedName>
    <definedName name="EM_017_10" localSheetId="15">#REF!</definedName>
    <definedName name="EM_017_10" localSheetId="3">#REF!</definedName>
    <definedName name="EM_017_10">#REF!</definedName>
    <definedName name="EM_017_11" localSheetId="17">#REF!</definedName>
    <definedName name="EM_017_11" localSheetId="15">#REF!</definedName>
    <definedName name="EM_017_11" localSheetId="3">#REF!</definedName>
    <definedName name="EM_017_11">#REF!</definedName>
    <definedName name="EM_017_12" localSheetId="17">#REF!</definedName>
    <definedName name="EM_017_12" localSheetId="15">#REF!</definedName>
    <definedName name="EM_017_12" localSheetId="3">#REF!</definedName>
    <definedName name="EM_017_12">#REF!</definedName>
    <definedName name="EM_017_13" localSheetId="17">#REF!</definedName>
    <definedName name="EM_017_13" localSheetId="15">#REF!</definedName>
    <definedName name="EM_017_13" localSheetId="3">#REF!</definedName>
    <definedName name="EM_017_13">#REF!</definedName>
    <definedName name="EM_017_14" localSheetId="17">#REF!</definedName>
    <definedName name="EM_017_14" localSheetId="15">#REF!</definedName>
    <definedName name="EM_017_14" localSheetId="3">#REF!</definedName>
    <definedName name="EM_017_14">#REF!</definedName>
    <definedName name="EM_017_15" localSheetId="17">#REF!</definedName>
    <definedName name="EM_017_15" localSheetId="15">#REF!</definedName>
    <definedName name="EM_017_15" localSheetId="3">#REF!</definedName>
    <definedName name="EM_017_15">#REF!</definedName>
    <definedName name="EM_017_16" localSheetId="17">#REF!</definedName>
    <definedName name="EM_017_16" localSheetId="15">#REF!</definedName>
    <definedName name="EM_017_16" localSheetId="3">#REF!</definedName>
    <definedName name="EM_017_16">#REF!</definedName>
    <definedName name="EM_017_17" localSheetId="17">#REF!</definedName>
    <definedName name="EM_017_17" localSheetId="15">#REF!</definedName>
    <definedName name="EM_017_17" localSheetId="3">#REF!</definedName>
    <definedName name="EM_017_17">#REF!</definedName>
    <definedName name="EM_017_18" localSheetId="17">#REF!</definedName>
    <definedName name="EM_017_18" localSheetId="15">#REF!</definedName>
    <definedName name="EM_017_18" localSheetId="3">#REF!</definedName>
    <definedName name="EM_017_18">#REF!</definedName>
    <definedName name="EM_017_2" localSheetId="17">#REF!</definedName>
    <definedName name="EM_017_2" localSheetId="15">#REF!</definedName>
    <definedName name="EM_017_2" localSheetId="3">#REF!</definedName>
    <definedName name="EM_017_2">#REF!</definedName>
    <definedName name="EM_017_3" localSheetId="17">#REF!</definedName>
    <definedName name="EM_017_3" localSheetId="15">#REF!</definedName>
    <definedName name="EM_017_3" localSheetId="3">#REF!</definedName>
    <definedName name="EM_017_3">#REF!</definedName>
    <definedName name="EM_017_4" localSheetId="17">#REF!</definedName>
    <definedName name="EM_017_4" localSheetId="15">#REF!</definedName>
    <definedName name="EM_017_4" localSheetId="3">#REF!</definedName>
    <definedName name="EM_017_4">#REF!</definedName>
    <definedName name="EM_017_5" localSheetId="17">#REF!</definedName>
    <definedName name="EM_017_5" localSheetId="15">#REF!</definedName>
    <definedName name="EM_017_5" localSheetId="3">#REF!</definedName>
    <definedName name="EM_017_5">#REF!</definedName>
    <definedName name="EM_017_6" localSheetId="17">#REF!</definedName>
    <definedName name="EM_017_6" localSheetId="15">#REF!</definedName>
    <definedName name="EM_017_6" localSheetId="3">#REF!</definedName>
    <definedName name="EM_017_6">#REF!</definedName>
    <definedName name="EM_017_7" localSheetId="17">#REF!</definedName>
    <definedName name="EM_017_7" localSheetId="15">#REF!</definedName>
    <definedName name="EM_017_7" localSheetId="3">#REF!</definedName>
    <definedName name="EM_017_7">#REF!</definedName>
    <definedName name="EM_017_8" localSheetId="17">#REF!</definedName>
    <definedName name="EM_017_8" localSheetId="15">#REF!</definedName>
    <definedName name="EM_017_8" localSheetId="3">#REF!</definedName>
    <definedName name="EM_017_8">#REF!</definedName>
    <definedName name="EM_017_9" localSheetId="17">#REF!</definedName>
    <definedName name="EM_017_9" localSheetId="15">#REF!</definedName>
    <definedName name="EM_017_9" localSheetId="3">#REF!</definedName>
    <definedName name="EM_017_9">#REF!</definedName>
    <definedName name="EM_018_1" localSheetId="17">#REF!</definedName>
    <definedName name="EM_018_1" localSheetId="15">#REF!</definedName>
    <definedName name="EM_018_1" localSheetId="3">#REF!</definedName>
    <definedName name="EM_018_1">#REF!</definedName>
    <definedName name="EM_018_10" localSheetId="17">#REF!</definedName>
    <definedName name="EM_018_10" localSheetId="15">#REF!</definedName>
    <definedName name="EM_018_10" localSheetId="3">#REF!</definedName>
    <definedName name="EM_018_10">#REF!</definedName>
    <definedName name="EM_018_11" localSheetId="17">#REF!</definedName>
    <definedName name="EM_018_11" localSheetId="15">#REF!</definedName>
    <definedName name="EM_018_11" localSheetId="3">#REF!</definedName>
    <definedName name="EM_018_11">#REF!</definedName>
    <definedName name="EM_018_12" localSheetId="17">#REF!</definedName>
    <definedName name="EM_018_12" localSheetId="15">#REF!</definedName>
    <definedName name="EM_018_12" localSheetId="3">#REF!</definedName>
    <definedName name="EM_018_12">#REF!</definedName>
    <definedName name="EM_018_13" localSheetId="17">#REF!</definedName>
    <definedName name="EM_018_13" localSheetId="15">#REF!</definedName>
    <definedName name="EM_018_13" localSheetId="3">#REF!</definedName>
    <definedName name="EM_018_13">#REF!</definedName>
    <definedName name="EM_018_14" localSheetId="17">#REF!</definedName>
    <definedName name="EM_018_14" localSheetId="15">#REF!</definedName>
    <definedName name="EM_018_14" localSheetId="3">#REF!</definedName>
    <definedName name="EM_018_14">#REF!</definedName>
    <definedName name="EM_018_15" localSheetId="17">#REF!</definedName>
    <definedName name="EM_018_15" localSheetId="15">#REF!</definedName>
    <definedName name="EM_018_15" localSheetId="3">#REF!</definedName>
    <definedName name="EM_018_15">#REF!</definedName>
    <definedName name="EM_018_16" localSheetId="17">#REF!</definedName>
    <definedName name="EM_018_16" localSheetId="15">#REF!</definedName>
    <definedName name="EM_018_16" localSheetId="3">#REF!</definedName>
    <definedName name="EM_018_16">#REF!</definedName>
    <definedName name="EM_018_17" localSheetId="17">#REF!</definedName>
    <definedName name="EM_018_17" localSheetId="15">#REF!</definedName>
    <definedName name="EM_018_17" localSheetId="3">#REF!</definedName>
    <definedName name="EM_018_17">#REF!</definedName>
    <definedName name="EM_018_18" localSheetId="17">#REF!</definedName>
    <definedName name="EM_018_18" localSheetId="15">#REF!</definedName>
    <definedName name="EM_018_18" localSheetId="3">#REF!</definedName>
    <definedName name="EM_018_18">#REF!</definedName>
    <definedName name="EM_018_2" localSheetId="17">#REF!</definedName>
    <definedName name="EM_018_2" localSheetId="15">#REF!</definedName>
    <definedName name="EM_018_2" localSheetId="3">#REF!</definedName>
    <definedName name="EM_018_2">#REF!</definedName>
    <definedName name="EM_018_3" localSheetId="17">#REF!</definedName>
    <definedName name="EM_018_3" localSheetId="15">#REF!</definedName>
    <definedName name="EM_018_3" localSheetId="3">#REF!</definedName>
    <definedName name="EM_018_3">#REF!</definedName>
    <definedName name="EM_018_4" localSheetId="17">#REF!</definedName>
    <definedName name="EM_018_4" localSheetId="15">#REF!</definedName>
    <definedName name="EM_018_4" localSheetId="3">#REF!</definedName>
    <definedName name="EM_018_4">#REF!</definedName>
    <definedName name="EM_018_5" localSheetId="17">#REF!</definedName>
    <definedName name="EM_018_5" localSheetId="15">#REF!</definedName>
    <definedName name="EM_018_5" localSheetId="3">#REF!</definedName>
    <definedName name="EM_018_5">#REF!</definedName>
    <definedName name="EM_018_6" localSheetId="17">#REF!</definedName>
    <definedName name="EM_018_6" localSheetId="15">#REF!</definedName>
    <definedName name="EM_018_6" localSheetId="3">#REF!</definedName>
    <definedName name="EM_018_6">#REF!</definedName>
    <definedName name="EM_018_7" localSheetId="17">#REF!</definedName>
    <definedName name="EM_018_7" localSheetId="15">#REF!</definedName>
    <definedName name="EM_018_7" localSheetId="3">#REF!</definedName>
    <definedName name="EM_018_7">#REF!</definedName>
    <definedName name="EM_018_8" localSheetId="17">#REF!</definedName>
    <definedName name="EM_018_8" localSheetId="15">#REF!</definedName>
    <definedName name="EM_018_8" localSheetId="3">#REF!</definedName>
    <definedName name="EM_018_8">#REF!</definedName>
    <definedName name="EM_018_9" localSheetId="17">#REF!</definedName>
    <definedName name="EM_018_9" localSheetId="15">#REF!</definedName>
    <definedName name="EM_018_9" localSheetId="3">#REF!</definedName>
    <definedName name="EM_018_9">#REF!</definedName>
    <definedName name="EM_019_1" localSheetId="17">#REF!</definedName>
    <definedName name="EM_019_1" localSheetId="15">#REF!</definedName>
    <definedName name="EM_019_1" localSheetId="3">#REF!</definedName>
    <definedName name="EM_019_1">#REF!</definedName>
    <definedName name="EM_019_10" localSheetId="17">#REF!</definedName>
    <definedName name="EM_019_10" localSheetId="15">#REF!</definedName>
    <definedName name="EM_019_10" localSheetId="3">#REF!</definedName>
    <definedName name="EM_019_10">#REF!</definedName>
    <definedName name="EM_019_11" localSheetId="17">#REF!</definedName>
    <definedName name="EM_019_11" localSheetId="15">#REF!</definedName>
    <definedName name="EM_019_11" localSheetId="3">#REF!</definedName>
    <definedName name="EM_019_11">#REF!</definedName>
    <definedName name="EM_019_12" localSheetId="17">#REF!</definedName>
    <definedName name="EM_019_12" localSheetId="15">#REF!</definedName>
    <definedName name="EM_019_12" localSheetId="3">#REF!</definedName>
    <definedName name="EM_019_12">#REF!</definedName>
    <definedName name="EM_019_13" localSheetId="17">#REF!</definedName>
    <definedName name="EM_019_13" localSheetId="15">#REF!</definedName>
    <definedName name="EM_019_13" localSheetId="3">#REF!</definedName>
    <definedName name="EM_019_13">#REF!</definedName>
    <definedName name="EM_019_14" localSheetId="17">#REF!</definedName>
    <definedName name="EM_019_14" localSheetId="15">#REF!</definedName>
    <definedName name="EM_019_14" localSheetId="3">#REF!</definedName>
    <definedName name="EM_019_14">#REF!</definedName>
    <definedName name="EM_019_15" localSheetId="17">#REF!</definedName>
    <definedName name="EM_019_15" localSheetId="15">#REF!</definedName>
    <definedName name="EM_019_15" localSheetId="3">#REF!</definedName>
    <definedName name="EM_019_15">#REF!</definedName>
    <definedName name="EM_019_16" localSheetId="17">#REF!</definedName>
    <definedName name="EM_019_16" localSheetId="15">#REF!</definedName>
    <definedName name="EM_019_16" localSheetId="3">#REF!</definedName>
    <definedName name="EM_019_16">#REF!</definedName>
    <definedName name="EM_019_17" localSheetId="17">#REF!</definedName>
    <definedName name="EM_019_17" localSheetId="15">#REF!</definedName>
    <definedName name="EM_019_17" localSheetId="3">#REF!</definedName>
    <definedName name="EM_019_17">#REF!</definedName>
    <definedName name="EM_019_18" localSheetId="17">#REF!</definedName>
    <definedName name="EM_019_18" localSheetId="15">#REF!</definedName>
    <definedName name="EM_019_18" localSheetId="3">#REF!</definedName>
    <definedName name="EM_019_18">#REF!</definedName>
    <definedName name="EM_019_2" localSheetId="17">#REF!</definedName>
    <definedName name="EM_019_2" localSheetId="15">#REF!</definedName>
    <definedName name="EM_019_2" localSheetId="3">#REF!</definedName>
    <definedName name="EM_019_2">#REF!</definedName>
    <definedName name="EM_019_3" localSheetId="17">#REF!</definedName>
    <definedName name="EM_019_3" localSheetId="15">#REF!</definedName>
    <definedName name="EM_019_3" localSheetId="3">#REF!</definedName>
    <definedName name="EM_019_3">#REF!</definedName>
    <definedName name="EM_019_4" localSheetId="17">#REF!</definedName>
    <definedName name="EM_019_4" localSheetId="15">#REF!</definedName>
    <definedName name="EM_019_4" localSheetId="3">#REF!</definedName>
    <definedName name="EM_019_4">#REF!</definedName>
    <definedName name="EM_019_5" localSheetId="17">#REF!</definedName>
    <definedName name="EM_019_5" localSheetId="15">#REF!</definedName>
    <definedName name="EM_019_5" localSheetId="3">#REF!</definedName>
    <definedName name="EM_019_5">#REF!</definedName>
    <definedName name="EM_019_6" localSheetId="17">#REF!</definedName>
    <definedName name="EM_019_6" localSheetId="15">#REF!</definedName>
    <definedName name="EM_019_6" localSheetId="3">#REF!</definedName>
    <definedName name="EM_019_6">#REF!</definedName>
    <definedName name="EM_019_7" localSheetId="17">#REF!</definedName>
    <definedName name="EM_019_7" localSheetId="15">#REF!</definedName>
    <definedName name="EM_019_7" localSheetId="3">#REF!</definedName>
    <definedName name="EM_019_7">#REF!</definedName>
    <definedName name="EM_019_8" localSheetId="17">#REF!</definedName>
    <definedName name="EM_019_8" localSheetId="15">#REF!</definedName>
    <definedName name="EM_019_8" localSheetId="3">#REF!</definedName>
    <definedName name="EM_019_8">#REF!</definedName>
    <definedName name="EM_019_9" localSheetId="17">#REF!</definedName>
    <definedName name="EM_019_9" localSheetId="15">#REF!</definedName>
    <definedName name="EM_019_9" localSheetId="3">#REF!</definedName>
    <definedName name="EM_019_9">#REF!</definedName>
    <definedName name="EM_020_1" localSheetId="17">#REF!</definedName>
    <definedName name="EM_020_1" localSheetId="15">#REF!</definedName>
    <definedName name="EM_020_1" localSheetId="3">#REF!</definedName>
    <definedName name="EM_020_1">#REF!</definedName>
    <definedName name="EM_020_10" localSheetId="17">#REF!</definedName>
    <definedName name="EM_020_10" localSheetId="15">#REF!</definedName>
    <definedName name="EM_020_10" localSheetId="3">#REF!</definedName>
    <definedName name="EM_020_10">#REF!</definedName>
    <definedName name="EM_020_11" localSheetId="17">#REF!</definedName>
    <definedName name="EM_020_11" localSheetId="15">#REF!</definedName>
    <definedName name="EM_020_11" localSheetId="3">#REF!</definedName>
    <definedName name="EM_020_11">#REF!</definedName>
    <definedName name="EM_020_12" localSheetId="17">#REF!</definedName>
    <definedName name="EM_020_12" localSheetId="15">#REF!</definedName>
    <definedName name="EM_020_12" localSheetId="3">#REF!</definedName>
    <definedName name="EM_020_12">#REF!</definedName>
    <definedName name="EM_020_13" localSheetId="17">#REF!</definedName>
    <definedName name="EM_020_13" localSheetId="15">#REF!</definedName>
    <definedName name="EM_020_13" localSheetId="3">#REF!</definedName>
    <definedName name="EM_020_13">#REF!</definedName>
    <definedName name="EM_020_14" localSheetId="17">#REF!</definedName>
    <definedName name="EM_020_14" localSheetId="15">#REF!</definedName>
    <definedName name="EM_020_14" localSheetId="3">#REF!</definedName>
    <definedName name="EM_020_14">#REF!</definedName>
    <definedName name="EM_020_15" localSheetId="17">#REF!</definedName>
    <definedName name="EM_020_15" localSheetId="15">#REF!</definedName>
    <definedName name="EM_020_15" localSheetId="3">#REF!</definedName>
    <definedName name="EM_020_15">#REF!</definedName>
    <definedName name="EM_020_16" localSheetId="17">#REF!</definedName>
    <definedName name="EM_020_16" localSheetId="15">#REF!</definedName>
    <definedName name="EM_020_16" localSheetId="3">#REF!</definedName>
    <definedName name="EM_020_16">#REF!</definedName>
    <definedName name="EM_020_17" localSheetId="17">#REF!</definedName>
    <definedName name="EM_020_17" localSheetId="15">#REF!</definedName>
    <definedName name="EM_020_17" localSheetId="3">#REF!</definedName>
    <definedName name="EM_020_17">#REF!</definedName>
    <definedName name="EM_020_18" localSheetId="17">#REF!</definedName>
    <definedName name="EM_020_18" localSheetId="15">#REF!</definedName>
    <definedName name="EM_020_18" localSheetId="3">#REF!</definedName>
    <definedName name="EM_020_18">#REF!</definedName>
    <definedName name="EM_020_2" localSheetId="17">#REF!</definedName>
    <definedName name="EM_020_2" localSheetId="15">#REF!</definedName>
    <definedName name="EM_020_2" localSheetId="3">#REF!</definedName>
    <definedName name="EM_020_2">#REF!</definedName>
    <definedName name="EM_020_3" localSheetId="17">#REF!</definedName>
    <definedName name="EM_020_3" localSheetId="15">#REF!</definedName>
    <definedName name="EM_020_3" localSheetId="3">#REF!</definedName>
    <definedName name="EM_020_3">#REF!</definedName>
    <definedName name="EM_020_4" localSheetId="17">#REF!</definedName>
    <definedName name="EM_020_4" localSheetId="15">#REF!</definedName>
    <definedName name="EM_020_4" localSheetId="3">#REF!</definedName>
    <definedName name="EM_020_4">#REF!</definedName>
    <definedName name="EM_020_5" localSheetId="17">#REF!</definedName>
    <definedName name="EM_020_5" localSheetId="15">#REF!</definedName>
    <definedName name="EM_020_5" localSheetId="3">#REF!</definedName>
    <definedName name="EM_020_5">#REF!</definedName>
    <definedName name="EM_020_6" localSheetId="17">#REF!</definedName>
    <definedName name="EM_020_6" localSheetId="15">#REF!</definedName>
    <definedName name="EM_020_6" localSheetId="3">#REF!</definedName>
    <definedName name="EM_020_6">#REF!</definedName>
    <definedName name="EM_020_7" localSheetId="17">#REF!</definedName>
    <definedName name="EM_020_7" localSheetId="15">#REF!</definedName>
    <definedName name="EM_020_7" localSheetId="3">#REF!</definedName>
    <definedName name="EM_020_7">#REF!</definedName>
    <definedName name="EM_020_8" localSheetId="17">#REF!</definedName>
    <definedName name="EM_020_8" localSheetId="15">#REF!</definedName>
    <definedName name="EM_020_8" localSheetId="3">#REF!</definedName>
    <definedName name="EM_020_8">#REF!</definedName>
    <definedName name="EM_020_9" localSheetId="17">#REF!</definedName>
    <definedName name="EM_020_9" localSheetId="15">#REF!</definedName>
    <definedName name="EM_020_9" localSheetId="3">#REF!</definedName>
    <definedName name="EM_020_9">#REF!</definedName>
    <definedName name="EM_021_1" localSheetId="17">#REF!</definedName>
    <definedName name="EM_021_1" localSheetId="15">#REF!</definedName>
    <definedName name="EM_021_1" localSheetId="3">#REF!</definedName>
    <definedName name="EM_021_1">#REF!</definedName>
    <definedName name="EM_021_10" localSheetId="17">#REF!</definedName>
    <definedName name="EM_021_10" localSheetId="15">#REF!</definedName>
    <definedName name="EM_021_10" localSheetId="3">#REF!</definedName>
    <definedName name="EM_021_10">#REF!</definedName>
    <definedName name="EM_021_11" localSheetId="17">#REF!</definedName>
    <definedName name="EM_021_11" localSheetId="15">#REF!</definedName>
    <definedName name="EM_021_11" localSheetId="3">#REF!</definedName>
    <definedName name="EM_021_11">#REF!</definedName>
    <definedName name="EM_021_12" localSheetId="17">#REF!</definedName>
    <definedName name="EM_021_12" localSheetId="15">#REF!</definedName>
    <definedName name="EM_021_12" localSheetId="3">#REF!</definedName>
    <definedName name="EM_021_12">#REF!</definedName>
    <definedName name="EM_021_13" localSheetId="17">#REF!</definedName>
    <definedName name="EM_021_13" localSheetId="15">#REF!</definedName>
    <definedName name="EM_021_13" localSheetId="3">#REF!</definedName>
    <definedName name="EM_021_13">#REF!</definedName>
    <definedName name="EM_021_14" localSheetId="17">#REF!</definedName>
    <definedName name="EM_021_14" localSheetId="15">#REF!</definedName>
    <definedName name="EM_021_14" localSheetId="3">#REF!</definedName>
    <definedName name="EM_021_14">#REF!</definedName>
    <definedName name="EM_021_15" localSheetId="17">#REF!</definedName>
    <definedName name="EM_021_15" localSheetId="15">#REF!</definedName>
    <definedName name="EM_021_15" localSheetId="3">#REF!</definedName>
    <definedName name="EM_021_15">#REF!</definedName>
    <definedName name="EM_021_16" localSheetId="17">#REF!</definedName>
    <definedName name="EM_021_16" localSheetId="15">#REF!</definedName>
    <definedName name="EM_021_16" localSheetId="3">#REF!</definedName>
    <definedName name="EM_021_16">#REF!</definedName>
    <definedName name="EM_021_17" localSheetId="17">#REF!</definedName>
    <definedName name="EM_021_17" localSheetId="15">#REF!</definedName>
    <definedName name="EM_021_17" localSheetId="3">#REF!</definedName>
    <definedName name="EM_021_17">#REF!</definedName>
    <definedName name="EM_021_18" localSheetId="17">#REF!</definedName>
    <definedName name="EM_021_18" localSheetId="15">#REF!</definedName>
    <definedName name="EM_021_18" localSheetId="3">#REF!</definedName>
    <definedName name="EM_021_18">#REF!</definedName>
    <definedName name="EM_021_2" localSheetId="17">#REF!</definedName>
    <definedName name="EM_021_2" localSheetId="15">#REF!</definedName>
    <definedName name="EM_021_2" localSheetId="3">#REF!</definedName>
    <definedName name="EM_021_2">#REF!</definedName>
    <definedName name="EM_021_3" localSheetId="17">#REF!</definedName>
    <definedName name="EM_021_3" localSheetId="15">#REF!</definedName>
    <definedName name="EM_021_3" localSheetId="3">#REF!</definedName>
    <definedName name="EM_021_3">#REF!</definedName>
    <definedName name="EM_021_4" localSheetId="17">#REF!</definedName>
    <definedName name="EM_021_4" localSheetId="15">#REF!</definedName>
    <definedName name="EM_021_4" localSheetId="3">#REF!</definedName>
    <definedName name="EM_021_4">#REF!</definedName>
    <definedName name="EM_021_5" localSheetId="17">#REF!</definedName>
    <definedName name="EM_021_5" localSheetId="15">#REF!</definedName>
    <definedName name="EM_021_5" localSheetId="3">#REF!</definedName>
    <definedName name="EM_021_5">#REF!</definedName>
    <definedName name="EM_021_6" localSheetId="17">#REF!</definedName>
    <definedName name="EM_021_6" localSheetId="15">#REF!</definedName>
    <definedName name="EM_021_6" localSheetId="3">#REF!</definedName>
    <definedName name="EM_021_6">#REF!</definedName>
    <definedName name="EM_021_7" localSheetId="17">#REF!</definedName>
    <definedName name="EM_021_7" localSheetId="15">#REF!</definedName>
    <definedName name="EM_021_7" localSheetId="3">#REF!</definedName>
    <definedName name="EM_021_7">#REF!</definedName>
    <definedName name="EM_021_8" localSheetId="17">#REF!</definedName>
    <definedName name="EM_021_8" localSheetId="15">#REF!</definedName>
    <definedName name="EM_021_8" localSheetId="3">#REF!</definedName>
    <definedName name="EM_021_8">#REF!</definedName>
    <definedName name="EM_021_9" localSheetId="17">#REF!</definedName>
    <definedName name="EM_021_9" localSheetId="15">#REF!</definedName>
    <definedName name="EM_021_9" localSheetId="3">#REF!</definedName>
    <definedName name="EM_021_9">#REF!</definedName>
    <definedName name="EM_022_1" localSheetId="17">#REF!</definedName>
    <definedName name="EM_022_1" localSheetId="15">#REF!</definedName>
    <definedName name="EM_022_1" localSheetId="3">#REF!</definedName>
    <definedName name="EM_022_1">#REF!</definedName>
    <definedName name="EM_022_10" localSheetId="17">#REF!</definedName>
    <definedName name="EM_022_10" localSheetId="15">#REF!</definedName>
    <definedName name="EM_022_10" localSheetId="3">#REF!</definedName>
    <definedName name="EM_022_10">#REF!</definedName>
    <definedName name="EM_022_11" localSheetId="17">#REF!</definedName>
    <definedName name="EM_022_11" localSheetId="15">#REF!</definedName>
    <definedName name="EM_022_11" localSheetId="3">#REF!</definedName>
    <definedName name="EM_022_11">#REF!</definedName>
    <definedName name="EM_022_12" localSheetId="17">#REF!</definedName>
    <definedName name="EM_022_12" localSheetId="15">#REF!</definedName>
    <definedName name="EM_022_12" localSheetId="3">#REF!</definedName>
    <definedName name="EM_022_12">#REF!</definedName>
    <definedName name="EM_022_13" localSheetId="17">#REF!</definedName>
    <definedName name="EM_022_13" localSheetId="15">#REF!</definedName>
    <definedName name="EM_022_13" localSheetId="3">#REF!</definedName>
    <definedName name="EM_022_13">#REF!</definedName>
    <definedName name="EM_022_14" localSheetId="17">#REF!</definedName>
    <definedName name="EM_022_14" localSheetId="15">#REF!</definedName>
    <definedName name="EM_022_14" localSheetId="3">#REF!</definedName>
    <definedName name="EM_022_14">#REF!</definedName>
    <definedName name="EM_022_15" localSheetId="17">#REF!</definedName>
    <definedName name="EM_022_15" localSheetId="15">#REF!</definedName>
    <definedName name="EM_022_15" localSheetId="3">#REF!</definedName>
    <definedName name="EM_022_15">#REF!</definedName>
    <definedName name="EM_022_16" localSheetId="17">#REF!</definedName>
    <definedName name="EM_022_16" localSheetId="15">#REF!</definedName>
    <definedName name="EM_022_16" localSheetId="3">#REF!</definedName>
    <definedName name="EM_022_16">#REF!</definedName>
    <definedName name="EM_022_17" localSheetId="17">#REF!</definedName>
    <definedName name="EM_022_17" localSheetId="15">#REF!</definedName>
    <definedName name="EM_022_17" localSheetId="3">#REF!</definedName>
    <definedName name="EM_022_17">#REF!</definedName>
    <definedName name="EM_022_18" localSheetId="17">#REF!</definedName>
    <definedName name="EM_022_18" localSheetId="15">#REF!</definedName>
    <definedName name="EM_022_18" localSheetId="3">#REF!</definedName>
    <definedName name="EM_022_18">#REF!</definedName>
    <definedName name="EM_022_2" localSheetId="17">#REF!</definedName>
    <definedName name="EM_022_2" localSheetId="15">#REF!</definedName>
    <definedName name="EM_022_2" localSheetId="3">#REF!</definedName>
    <definedName name="EM_022_2">#REF!</definedName>
    <definedName name="EM_022_3" localSheetId="17">#REF!</definedName>
    <definedName name="EM_022_3" localSheetId="15">#REF!</definedName>
    <definedName name="EM_022_3" localSheetId="3">#REF!</definedName>
    <definedName name="EM_022_3">#REF!</definedName>
    <definedName name="EM_022_4" localSheetId="17">#REF!</definedName>
    <definedName name="EM_022_4" localSheetId="15">#REF!</definedName>
    <definedName name="EM_022_4" localSheetId="3">#REF!</definedName>
    <definedName name="EM_022_4">#REF!</definedName>
    <definedName name="EM_022_5" localSheetId="17">#REF!</definedName>
    <definedName name="EM_022_5" localSheetId="15">#REF!</definedName>
    <definedName name="EM_022_5" localSheetId="3">#REF!</definedName>
    <definedName name="EM_022_5">#REF!</definedName>
    <definedName name="EM_022_6" localSheetId="17">#REF!</definedName>
    <definedName name="EM_022_6" localSheetId="15">#REF!</definedName>
    <definedName name="EM_022_6" localSheetId="3">#REF!</definedName>
    <definedName name="EM_022_6">#REF!</definedName>
    <definedName name="EM_022_7" localSheetId="17">#REF!</definedName>
    <definedName name="EM_022_7" localSheetId="15">#REF!</definedName>
    <definedName name="EM_022_7" localSheetId="3">#REF!</definedName>
    <definedName name="EM_022_7">#REF!</definedName>
    <definedName name="EM_022_8" localSheetId="17">#REF!</definedName>
    <definedName name="EM_022_8" localSheetId="15">#REF!</definedName>
    <definedName name="EM_022_8" localSheetId="3">#REF!</definedName>
    <definedName name="EM_022_8">#REF!</definedName>
    <definedName name="EM_022_9" localSheetId="17">#REF!</definedName>
    <definedName name="EM_022_9" localSheetId="15">#REF!</definedName>
    <definedName name="EM_022_9" localSheetId="3">#REF!</definedName>
    <definedName name="EM_022_9">#REF!</definedName>
    <definedName name="EM_023_1" localSheetId="17">#REF!</definedName>
    <definedName name="EM_023_1" localSheetId="15">#REF!</definedName>
    <definedName name="EM_023_1" localSheetId="3">#REF!</definedName>
    <definedName name="EM_023_1">#REF!</definedName>
    <definedName name="EM_023_10" localSheetId="17">#REF!</definedName>
    <definedName name="EM_023_10" localSheetId="15">#REF!</definedName>
    <definedName name="EM_023_10" localSheetId="3">#REF!</definedName>
    <definedName name="EM_023_10">#REF!</definedName>
    <definedName name="EM_023_11" localSheetId="17">#REF!</definedName>
    <definedName name="EM_023_11" localSheetId="15">#REF!</definedName>
    <definedName name="EM_023_11" localSheetId="3">#REF!</definedName>
    <definedName name="EM_023_11">#REF!</definedName>
    <definedName name="EM_023_12" localSheetId="17">#REF!</definedName>
    <definedName name="EM_023_12" localSheetId="15">#REF!</definedName>
    <definedName name="EM_023_12" localSheetId="3">#REF!</definedName>
    <definedName name="EM_023_12">#REF!</definedName>
    <definedName name="EM_023_13" localSheetId="17">#REF!</definedName>
    <definedName name="EM_023_13" localSheetId="15">#REF!</definedName>
    <definedName name="EM_023_13" localSheetId="3">#REF!</definedName>
    <definedName name="EM_023_13">#REF!</definedName>
    <definedName name="EM_023_14" localSheetId="17">#REF!</definedName>
    <definedName name="EM_023_14" localSheetId="15">#REF!</definedName>
    <definedName name="EM_023_14" localSheetId="3">#REF!</definedName>
    <definedName name="EM_023_14">#REF!</definedName>
    <definedName name="EM_023_15" localSheetId="17">#REF!</definedName>
    <definedName name="EM_023_15" localSheetId="15">#REF!</definedName>
    <definedName name="EM_023_15" localSheetId="3">#REF!</definedName>
    <definedName name="EM_023_15">#REF!</definedName>
    <definedName name="EM_023_16" localSheetId="17">#REF!</definedName>
    <definedName name="EM_023_16" localSheetId="15">#REF!</definedName>
    <definedName name="EM_023_16" localSheetId="3">#REF!</definedName>
    <definedName name="EM_023_16">#REF!</definedName>
    <definedName name="EM_023_17" localSheetId="17">#REF!</definedName>
    <definedName name="EM_023_17" localSheetId="15">#REF!</definedName>
    <definedName name="EM_023_17" localSheetId="3">#REF!</definedName>
    <definedName name="EM_023_17">#REF!</definedName>
    <definedName name="EM_023_18" localSheetId="17">#REF!</definedName>
    <definedName name="EM_023_18" localSheetId="15">#REF!</definedName>
    <definedName name="EM_023_18" localSheetId="3">#REF!</definedName>
    <definedName name="EM_023_18">#REF!</definedName>
    <definedName name="EM_023_2" localSheetId="17">#REF!</definedName>
    <definedName name="EM_023_2" localSheetId="15">#REF!</definedName>
    <definedName name="EM_023_2" localSheetId="3">#REF!</definedName>
    <definedName name="EM_023_2">#REF!</definedName>
    <definedName name="EM_023_3" localSheetId="17">#REF!</definedName>
    <definedName name="EM_023_3" localSheetId="15">#REF!</definedName>
    <definedName name="EM_023_3" localSheetId="3">#REF!</definedName>
    <definedName name="EM_023_3">#REF!</definedName>
    <definedName name="EM_023_4" localSheetId="17">#REF!</definedName>
    <definedName name="EM_023_4" localSheetId="15">#REF!</definedName>
    <definedName name="EM_023_4" localSheetId="3">#REF!</definedName>
    <definedName name="EM_023_4">#REF!</definedName>
    <definedName name="EM_023_5" localSheetId="17">#REF!</definedName>
    <definedName name="EM_023_5" localSheetId="15">#REF!</definedName>
    <definedName name="EM_023_5" localSheetId="3">#REF!</definedName>
    <definedName name="EM_023_5">#REF!</definedName>
    <definedName name="EM_023_6" localSheetId="17">#REF!</definedName>
    <definedName name="EM_023_6" localSheetId="15">#REF!</definedName>
    <definedName name="EM_023_6" localSheetId="3">#REF!</definedName>
    <definedName name="EM_023_6">#REF!</definedName>
    <definedName name="EM_023_7" localSheetId="17">#REF!</definedName>
    <definedName name="EM_023_7" localSheetId="15">#REF!</definedName>
    <definedName name="EM_023_7" localSheetId="3">#REF!</definedName>
    <definedName name="EM_023_7">#REF!</definedName>
    <definedName name="EM_023_8" localSheetId="17">#REF!</definedName>
    <definedName name="EM_023_8" localSheetId="15">#REF!</definedName>
    <definedName name="EM_023_8" localSheetId="3">#REF!</definedName>
    <definedName name="EM_023_8">#REF!</definedName>
    <definedName name="EM_023_9" localSheetId="17">#REF!</definedName>
    <definedName name="EM_023_9" localSheetId="15">#REF!</definedName>
    <definedName name="EM_023_9" localSheetId="3">#REF!</definedName>
    <definedName name="EM_023_9">#REF!</definedName>
    <definedName name="EM_024_1" localSheetId="17">#REF!</definedName>
    <definedName name="EM_024_1" localSheetId="15">#REF!</definedName>
    <definedName name="EM_024_1" localSheetId="3">#REF!</definedName>
    <definedName name="EM_024_1">#REF!</definedName>
    <definedName name="EM_024_10" localSheetId="17">#REF!</definedName>
    <definedName name="EM_024_10" localSheetId="15">#REF!</definedName>
    <definedName name="EM_024_10" localSheetId="3">#REF!</definedName>
    <definedName name="EM_024_10">#REF!</definedName>
    <definedName name="EM_024_11" localSheetId="17">#REF!</definedName>
    <definedName name="EM_024_11" localSheetId="15">#REF!</definedName>
    <definedName name="EM_024_11" localSheetId="3">#REF!</definedName>
    <definedName name="EM_024_11">#REF!</definedName>
    <definedName name="EM_024_12" localSheetId="17">#REF!</definedName>
    <definedName name="EM_024_12" localSheetId="15">#REF!</definedName>
    <definedName name="EM_024_12" localSheetId="3">#REF!</definedName>
    <definedName name="EM_024_12">#REF!</definedName>
    <definedName name="EM_024_13" localSheetId="17">#REF!</definedName>
    <definedName name="EM_024_13" localSheetId="15">#REF!</definedName>
    <definedName name="EM_024_13" localSheetId="3">#REF!</definedName>
    <definedName name="EM_024_13">#REF!</definedName>
    <definedName name="EM_024_14" localSheetId="17">#REF!</definedName>
    <definedName name="EM_024_14" localSheetId="15">#REF!</definedName>
    <definedName name="EM_024_14" localSheetId="3">#REF!</definedName>
    <definedName name="EM_024_14">#REF!</definedName>
    <definedName name="EM_024_15" localSheetId="17">#REF!</definedName>
    <definedName name="EM_024_15" localSheetId="15">#REF!</definedName>
    <definedName name="EM_024_15" localSheetId="3">#REF!</definedName>
    <definedName name="EM_024_15">#REF!</definedName>
    <definedName name="EM_024_16" localSheetId="17">#REF!</definedName>
    <definedName name="EM_024_16" localSheetId="15">#REF!</definedName>
    <definedName name="EM_024_16" localSheetId="3">#REF!</definedName>
    <definedName name="EM_024_16">#REF!</definedName>
    <definedName name="EM_024_17" localSheetId="17">#REF!</definedName>
    <definedName name="EM_024_17" localSheetId="15">#REF!</definedName>
    <definedName name="EM_024_17" localSheetId="3">#REF!</definedName>
    <definedName name="EM_024_17">#REF!</definedName>
    <definedName name="EM_024_18" localSheetId="17">#REF!</definedName>
    <definedName name="EM_024_18" localSheetId="15">#REF!</definedName>
    <definedName name="EM_024_18" localSheetId="3">#REF!</definedName>
    <definedName name="EM_024_18">#REF!</definedName>
    <definedName name="EM_024_2" localSheetId="17">#REF!</definedName>
    <definedName name="EM_024_2" localSheetId="15">#REF!</definedName>
    <definedName name="EM_024_2" localSheetId="3">#REF!</definedName>
    <definedName name="EM_024_2">#REF!</definedName>
    <definedName name="EM_024_3" localSheetId="17">#REF!</definedName>
    <definedName name="EM_024_3" localSheetId="15">#REF!</definedName>
    <definedName name="EM_024_3" localSheetId="3">#REF!</definedName>
    <definedName name="EM_024_3">#REF!</definedName>
    <definedName name="EM_024_4" localSheetId="17">#REF!</definedName>
    <definedName name="EM_024_4" localSheetId="15">#REF!</definedName>
    <definedName name="EM_024_4" localSheetId="3">#REF!</definedName>
    <definedName name="EM_024_4">#REF!</definedName>
    <definedName name="EM_024_5" localSheetId="17">#REF!</definedName>
    <definedName name="EM_024_5" localSheetId="15">#REF!</definedName>
    <definedName name="EM_024_5" localSheetId="3">#REF!</definedName>
    <definedName name="EM_024_5">#REF!</definedName>
    <definedName name="EM_024_6" localSheetId="17">#REF!</definedName>
    <definedName name="EM_024_6" localSheetId="15">#REF!</definedName>
    <definedName name="EM_024_6" localSheetId="3">#REF!</definedName>
    <definedName name="EM_024_6">#REF!</definedName>
    <definedName name="EM_024_7" localSheetId="17">#REF!</definedName>
    <definedName name="EM_024_7" localSheetId="15">#REF!</definedName>
    <definedName name="EM_024_7" localSheetId="3">#REF!</definedName>
    <definedName name="EM_024_7">#REF!</definedName>
    <definedName name="EM_024_8" localSheetId="17">#REF!</definedName>
    <definedName name="EM_024_8" localSheetId="15">#REF!</definedName>
    <definedName name="EM_024_8" localSheetId="3">#REF!</definedName>
    <definedName name="EM_024_8">#REF!</definedName>
    <definedName name="EM_024_9" localSheetId="17">#REF!</definedName>
    <definedName name="EM_024_9" localSheetId="15">#REF!</definedName>
    <definedName name="EM_024_9" localSheetId="3">#REF!</definedName>
    <definedName name="EM_024_9">#REF!</definedName>
    <definedName name="EM_025_1" localSheetId="17">#REF!</definedName>
    <definedName name="EM_025_1" localSheetId="15">#REF!</definedName>
    <definedName name="EM_025_1" localSheetId="3">#REF!</definedName>
    <definedName name="EM_025_1">#REF!</definedName>
    <definedName name="EM_025_10" localSheetId="17">#REF!</definedName>
    <definedName name="EM_025_10" localSheetId="15">#REF!</definedName>
    <definedName name="EM_025_10" localSheetId="3">#REF!</definedName>
    <definedName name="EM_025_10">#REF!</definedName>
    <definedName name="EM_025_11" localSheetId="17">#REF!</definedName>
    <definedName name="EM_025_11" localSheetId="15">#REF!</definedName>
    <definedName name="EM_025_11" localSheetId="3">#REF!</definedName>
    <definedName name="EM_025_11">#REF!</definedName>
    <definedName name="EM_025_12" localSheetId="17">#REF!</definedName>
    <definedName name="EM_025_12" localSheetId="15">#REF!</definedName>
    <definedName name="EM_025_12" localSheetId="3">#REF!</definedName>
    <definedName name="EM_025_12">#REF!</definedName>
    <definedName name="EM_025_13" localSheetId="17">#REF!</definedName>
    <definedName name="EM_025_13" localSheetId="15">#REF!</definedName>
    <definedName name="EM_025_13" localSheetId="3">#REF!</definedName>
    <definedName name="EM_025_13">#REF!</definedName>
    <definedName name="EM_025_14" localSheetId="17">#REF!</definedName>
    <definedName name="EM_025_14" localSheetId="15">#REF!</definedName>
    <definedName name="EM_025_14" localSheetId="3">#REF!</definedName>
    <definedName name="EM_025_14">#REF!</definedName>
    <definedName name="EM_025_15" localSheetId="17">#REF!</definedName>
    <definedName name="EM_025_15" localSheetId="15">#REF!</definedName>
    <definedName name="EM_025_15" localSheetId="3">#REF!</definedName>
    <definedName name="EM_025_15">#REF!</definedName>
    <definedName name="EM_025_16" localSheetId="17">#REF!</definedName>
    <definedName name="EM_025_16" localSheetId="15">#REF!</definedName>
    <definedName name="EM_025_16" localSheetId="3">#REF!</definedName>
    <definedName name="EM_025_16">#REF!</definedName>
    <definedName name="EM_025_17" localSheetId="17">#REF!</definedName>
    <definedName name="EM_025_17" localSheetId="15">#REF!</definedName>
    <definedName name="EM_025_17" localSheetId="3">#REF!</definedName>
    <definedName name="EM_025_17">#REF!</definedName>
    <definedName name="EM_025_18" localSheetId="17">#REF!</definedName>
    <definedName name="EM_025_18" localSheetId="15">#REF!</definedName>
    <definedName name="EM_025_18" localSheetId="3">#REF!</definedName>
    <definedName name="EM_025_18">#REF!</definedName>
    <definedName name="EM_025_2" localSheetId="17">#REF!</definedName>
    <definedName name="EM_025_2" localSheetId="15">#REF!</definedName>
    <definedName name="EM_025_2" localSheetId="3">#REF!</definedName>
    <definedName name="EM_025_2">#REF!</definedName>
    <definedName name="EM_025_3" localSheetId="17">#REF!</definedName>
    <definedName name="EM_025_3" localSheetId="15">#REF!</definedName>
    <definedName name="EM_025_3" localSheetId="3">#REF!</definedName>
    <definedName name="EM_025_3">#REF!</definedName>
    <definedName name="EM_025_4" localSheetId="17">#REF!</definedName>
    <definedName name="EM_025_4" localSheetId="15">#REF!</definedName>
    <definedName name="EM_025_4" localSheetId="3">#REF!</definedName>
    <definedName name="EM_025_4">#REF!</definedName>
    <definedName name="EM_025_5" localSheetId="17">#REF!</definedName>
    <definedName name="EM_025_5" localSheetId="15">#REF!</definedName>
    <definedName name="EM_025_5" localSheetId="3">#REF!</definedName>
    <definedName name="EM_025_5">#REF!</definedName>
    <definedName name="EM_025_6" localSheetId="17">#REF!</definedName>
    <definedName name="EM_025_6" localSheetId="15">#REF!</definedName>
    <definedName name="EM_025_6" localSheetId="3">#REF!</definedName>
    <definedName name="EM_025_6">#REF!</definedName>
    <definedName name="EM_025_7" localSheetId="17">#REF!</definedName>
    <definedName name="EM_025_7" localSheetId="15">#REF!</definedName>
    <definedName name="EM_025_7" localSheetId="3">#REF!</definedName>
    <definedName name="EM_025_7">#REF!</definedName>
    <definedName name="EM_025_8" localSheetId="17">#REF!</definedName>
    <definedName name="EM_025_8" localSheetId="15">#REF!</definedName>
    <definedName name="EM_025_8" localSheetId="3">#REF!</definedName>
    <definedName name="EM_025_8">#REF!</definedName>
    <definedName name="EM_025_9" localSheetId="17">#REF!</definedName>
    <definedName name="EM_025_9" localSheetId="15">#REF!</definedName>
    <definedName name="EM_025_9" localSheetId="3">#REF!</definedName>
    <definedName name="EM_025_9">#REF!</definedName>
    <definedName name="EM_026_1" localSheetId="17">#REF!</definedName>
    <definedName name="EM_026_1" localSheetId="15">#REF!</definedName>
    <definedName name="EM_026_1" localSheetId="3">#REF!</definedName>
    <definedName name="EM_026_1">#REF!</definedName>
    <definedName name="EM_026_10" localSheetId="17">#REF!</definedName>
    <definedName name="EM_026_10" localSheetId="15">#REF!</definedName>
    <definedName name="EM_026_10" localSheetId="3">#REF!</definedName>
    <definedName name="EM_026_10">#REF!</definedName>
    <definedName name="EM_026_11" localSheetId="17">#REF!</definedName>
    <definedName name="EM_026_11" localSheetId="15">#REF!</definedName>
    <definedName name="EM_026_11" localSheetId="3">#REF!</definedName>
    <definedName name="EM_026_11">#REF!</definedName>
    <definedName name="EM_026_12" localSheetId="17">#REF!</definedName>
    <definedName name="EM_026_12" localSheetId="15">#REF!</definedName>
    <definedName name="EM_026_12" localSheetId="3">#REF!</definedName>
    <definedName name="EM_026_12">#REF!</definedName>
    <definedName name="EM_026_13" localSheetId="17">#REF!</definedName>
    <definedName name="EM_026_13" localSheetId="15">#REF!</definedName>
    <definedName name="EM_026_13" localSheetId="3">#REF!</definedName>
    <definedName name="EM_026_13">#REF!</definedName>
    <definedName name="EM_026_14" localSheetId="17">#REF!</definedName>
    <definedName name="EM_026_14" localSheetId="15">#REF!</definedName>
    <definedName name="EM_026_14" localSheetId="3">#REF!</definedName>
    <definedName name="EM_026_14">#REF!</definedName>
    <definedName name="EM_026_15" localSheetId="17">#REF!</definedName>
    <definedName name="EM_026_15" localSheetId="15">#REF!</definedName>
    <definedName name="EM_026_15" localSheetId="3">#REF!</definedName>
    <definedName name="EM_026_15">#REF!</definedName>
    <definedName name="EM_026_16" localSheetId="17">#REF!</definedName>
    <definedName name="EM_026_16" localSheetId="15">#REF!</definedName>
    <definedName name="EM_026_16" localSheetId="3">#REF!</definedName>
    <definedName name="EM_026_16">#REF!</definedName>
    <definedName name="EM_026_17" localSheetId="17">#REF!</definedName>
    <definedName name="EM_026_17" localSheetId="15">#REF!</definedName>
    <definedName name="EM_026_17" localSheetId="3">#REF!</definedName>
    <definedName name="EM_026_17">#REF!</definedName>
    <definedName name="EM_026_18" localSheetId="17">#REF!</definedName>
    <definedName name="EM_026_18" localSheetId="15">#REF!</definedName>
    <definedName name="EM_026_18" localSheetId="3">#REF!</definedName>
    <definedName name="EM_026_18">#REF!</definedName>
    <definedName name="EM_026_2" localSheetId="17">#REF!</definedName>
    <definedName name="EM_026_2" localSheetId="15">#REF!</definedName>
    <definedName name="EM_026_2" localSheetId="3">#REF!</definedName>
    <definedName name="EM_026_2">#REF!</definedName>
    <definedName name="EM_026_3" localSheetId="17">#REF!</definedName>
    <definedName name="EM_026_3" localSheetId="15">#REF!</definedName>
    <definedName name="EM_026_3" localSheetId="3">#REF!</definedName>
    <definedName name="EM_026_3">#REF!</definedName>
    <definedName name="EM_026_4" localSheetId="17">#REF!</definedName>
    <definedName name="EM_026_4" localSheetId="15">#REF!</definedName>
    <definedName name="EM_026_4" localSheetId="3">#REF!</definedName>
    <definedName name="EM_026_4">#REF!</definedName>
    <definedName name="EM_026_5" localSheetId="17">#REF!</definedName>
    <definedName name="EM_026_5" localSheetId="15">#REF!</definedName>
    <definedName name="EM_026_5" localSheetId="3">#REF!</definedName>
    <definedName name="EM_026_5">#REF!</definedName>
    <definedName name="EM_026_6" localSheetId="17">#REF!</definedName>
    <definedName name="EM_026_6" localSheetId="15">#REF!</definedName>
    <definedName name="EM_026_6" localSheetId="3">#REF!</definedName>
    <definedName name="EM_026_6">#REF!</definedName>
    <definedName name="EM_026_7" localSheetId="17">#REF!</definedName>
    <definedName name="EM_026_7" localSheetId="15">#REF!</definedName>
    <definedName name="EM_026_7" localSheetId="3">#REF!</definedName>
    <definedName name="EM_026_7">#REF!</definedName>
    <definedName name="EM_026_8" localSheetId="17">#REF!</definedName>
    <definedName name="EM_026_8" localSheetId="15">#REF!</definedName>
    <definedName name="EM_026_8" localSheetId="3">#REF!</definedName>
    <definedName name="EM_026_8">#REF!</definedName>
    <definedName name="EM_026_9" localSheetId="17">#REF!</definedName>
    <definedName name="EM_026_9" localSheetId="15">#REF!</definedName>
    <definedName name="EM_026_9" localSheetId="3">#REF!</definedName>
    <definedName name="EM_026_9">#REF!</definedName>
    <definedName name="EM_027_1" localSheetId="17">#REF!</definedName>
    <definedName name="EM_027_1" localSheetId="15">#REF!</definedName>
    <definedName name="EM_027_1" localSheetId="3">#REF!</definedName>
    <definedName name="EM_027_1">#REF!</definedName>
    <definedName name="EM_027_10" localSheetId="17">#REF!</definedName>
    <definedName name="EM_027_10" localSheetId="15">#REF!</definedName>
    <definedName name="EM_027_10" localSheetId="3">#REF!</definedName>
    <definedName name="EM_027_10">#REF!</definedName>
    <definedName name="EM_027_11" localSheetId="17">#REF!</definedName>
    <definedName name="EM_027_11" localSheetId="15">#REF!</definedName>
    <definedName name="EM_027_11" localSheetId="3">#REF!</definedName>
    <definedName name="EM_027_11">#REF!</definedName>
    <definedName name="EM_027_12" localSheetId="17">#REF!</definedName>
    <definedName name="EM_027_12" localSheetId="15">#REF!</definedName>
    <definedName name="EM_027_12" localSheetId="3">#REF!</definedName>
    <definedName name="EM_027_12">#REF!</definedName>
    <definedName name="EM_027_13" localSheetId="17">#REF!</definedName>
    <definedName name="EM_027_13" localSheetId="15">#REF!</definedName>
    <definedName name="EM_027_13" localSheetId="3">#REF!</definedName>
    <definedName name="EM_027_13">#REF!</definedName>
    <definedName name="EM_027_14" localSheetId="17">#REF!</definedName>
    <definedName name="EM_027_14" localSheetId="15">#REF!</definedName>
    <definedName name="EM_027_14" localSheetId="3">#REF!</definedName>
    <definedName name="EM_027_14">#REF!</definedName>
    <definedName name="EM_027_15" localSheetId="17">#REF!</definedName>
    <definedName name="EM_027_15" localSheetId="15">#REF!</definedName>
    <definedName name="EM_027_15" localSheetId="3">#REF!</definedName>
    <definedName name="EM_027_15">#REF!</definedName>
    <definedName name="EM_027_16" localSheetId="17">#REF!</definedName>
    <definedName name="EM_027_16" localSheetId="15">#REF!</definedName>
    <definedName name="EM_027_16" localSheetId="3">#REF!</definedName>
    <definedName name="EM_027_16">#REF!</definedName>
    <definedName name="EM_027_17" localSheetId="17">#REF!</definedName>
    <definedName name="EM_027_17" localSheetId="15">#REF!</definedName>
    <definedName name="EM_027_17" localSheetId="3">#REF!</definedName>
    <definedName name="EM_027_17">#REF!</definedName>
    <definedName name="EM_027_18" localSheetId="17">#REF!</definedName>
    <definedName name="EM_027_18" localSheetId="15">#REF!</definedName>
    <definedName name="EM_027_18" localSheetId="3">#REF!</definedName>
    <definedName name="EM_027_18">#REF!</definedName>
    <definedName name="EM_027_2" localSheetId="17">#REF!</definedName>
    <definedName name="EM_027_2" localSheetId="15">#REF!</definedName>
    <definedName name="EM_027_2" localSheetId="3">#REF!</definedName>
    <definedName name="EM_027_2">#REF!</definedName>
    <definedName name="EM_027_3" localSheetId="17">#REF!</definedName>
    <definedName name="EM_027_3" localSheetId="15">#REF!</definedName>
    <definedName name="EM_027_3" localSheetId="3">#REF!</definedName>
    <definedName name="EM_027_3">#REF!</definedName>
    <definedName name="EM_027_4" localSheetId="17">#REF!</definedName>
    <definedName name="EM_027_4" localSheetId="15">#REF!</definedName>
    <definedName name="EM_027_4" localSheetId="3">#REF!</definedName>
    <definedName name="EM_027_4">#REF!</definedName>
    <definedName name="EM_027_5" localSheetId="17">#REF!</definedName>
    <definedName name="EM_027_5" localSheetId="15">#REF!</definedName>
    <definedName name="EM_027_5" localSheetId="3">#REF!</definedName>
    <definedName name="EM_027_5">#REF!</definedName>
    <definedName name="EM_027_6" localSheetId="17">#REF!</definedName>
    <definedName name="EM_027_6" localSheetId="15">#REF!</definedName>
    <definedName name="EM_027_6" localSheetId="3">#REF!</definedName>
    <definedName name="EM_027_6">#REF!</definedName>
    <definedName name="EM_027_7" localSheetId="17">#REF!</definedName>
    <definedName name="EM_027_7" localSheetId="15">#REF!</definedName>
    <definedName name="EM_027_7" localSheetId="3">#REF!</definedName>
    <definedName name="EM_027_7">#REF!</definedName>
    <definedName name="EM_027_8" localSheetId="17">#REF!</definedName>
    <definedName name="EM_027_8" localSheetId="15">#REF!</definedName>
    <definedName name="EM_027_8" localSheetId="3">#REF!</definedName>
    <definedName name="EM_027_8">#REF!</definedName>
    <definedName name="EM_027_9" localSheetId="17">#REF!</definedName>
    <definedName name="EM_027_9" localSheetId="15">#REF!</definedName>
    <definedName name="EM_027_9" localSheetId="3">#REF!</definedName>
    <definedName name="EM_027_9">#REF!</definedName>
    <definedName name="EM_028_1" localSheetId="17">#REF!</definedName>
    <definedName name="EM_028_1" localSheetId="15">#REF!</definedName>
    <definedName name="EM_028_1" localSheetId="3">#REF!</definedName>
    <definedName name="EM_028_1">#REF!</definedName>
    <definedName name="EM_028_10" localSheetId="17">#REF!</definedName>
    <definedName name="EM_028_10" localSheetId="15">#REF!</definedName>
    <definedName name="EM_028_10" localSheetId="3">#REF!</definedName>
    <definedName name="EM_028_10">#REF!</definedName>
    <definedName name="EM_028_11" localSheetId="17">#REF!</definedName>
    <definedName name="EM_028_11" localSheetId="15">#REF!</definedName>
    <definedName name="EM_028_11" localSheetId="3">#REF!</definedName>
    <definedName name="EM_028_11">#REF!</definedName>
    <definedName name="EM_028_12" localSheetId="17">#REF!</definedName>
    <definedName name="EM_028_12" localSheetId="15">#REF!</definedName>
    <definedName name="EM_028_12" localSheetId="3">#REF!</definedName>
    <definedName name="EM_028_12">#REF!</definedName>
    <definedName name="EM_028_13" localSheetId="17">#REF!</definedName>
    <definedName name="EM_028_13" localSheetId="15">#REF!</definedName>
    <definedName name="EM_028_13" localSheetId="3">#REF!</definedName>
    <definedName name="EM_028_13">#REF!</definedName>
    <definedName name="EM_028_14" localSheetId="17">#REF!</definedName>
    <definedName name="EM_028_14" localSheetId="15">#REF!</definedName>
    <definedName name="EM_028_14" localSheetId="3">#REF!</definedName>
    <definedName name="EM_028_14">#REF!</definedName>
    <definedName name="EM_028_15" localSheetId="17">#REF!</definedName>
    <definedName name="EM_028_15" localSheetId="15">#REF!</definedName>
    <definedName name="EM_028_15" localSheetId="3">#REF!</definedName>
    <definedName name="EM_028_15">#REF!</definedName>
    <definedName name="EM_028_16" localSheetId="17">#REF!</definedName>
    <definedName name="EM_028_16" localSheetId="15">#REF!</definedName>
    <definedName name="EM_028_16" localSheetId="3">#REF!</definedName>
    <definedName name="EM_028_16">#REF!</definedName>
    <definedName name="EM_028_17" localSheetId="17">#REF!</definedName>
    <definedName name="EM_028_17" localSheetId="15">#REF!</definedName>
    <definedName name="EM_028_17" localSheetId="3">#REF!</definedName>
    <definedName name="EM_028_17">#REF!</definedName>
    <definedName name="EM_028_18" localSheetId="17">#REF!</definedName>
    <definedName name="EM_028_18" localSheetId="15">#REF!</definedName>
    <definedName name="EM_028_18" localSheetId="3">#REF!</definedName>
    <definedName name="EM_028_18">#REF!</definedName>
    <definedName name="EM_028_2" localSheetId="17">#REF!</definedName>
    <definedName name="EM_028_2" localSheetId="15">#REF!</definedName>
    <definedName name="EM_028_2" localSheetId="3">#REF!</definedName>
    <definedName name="EM_028_2">#REF!</definedName>
    <definedName name="EM_028_3" localSheetId="17">#REF!</definedName>
    <definedName name="EM_028_3" localSheetId="15">#REF!</definedName>
    <definedName name="EM_028_3" localSheetId="3">#REF!</definedName>
    <definedName name="EM_028_3">#REF!</definedName>
    <definedName name="EM_028_4" localSheetId="17">#REF!</definedName>
    <definedName name="EM_028_4" localSheetId="15">#REF!</definedName>
    <definedName name="EM_028_4" localSheetId="3">#REF!</definedName>
    <definedName name="EM_028_4">#REF!</definedName>
    <definedName name="EM_028_5" localSheetId="17">#REF!</definedName>
    <definedName name="EM_028_5" localSheetId="15">#REF!</definedName>
    <definedName name="EM_028_5" localSheetId="3">#REF!</definedName>
    <definedName name="EM_028_5">#REF!</definedName>
    <definedName name="EM_028_6" localSheetId="17">#REF!</definedName>
    <definedName name="EM_028_6" localSheetId="15">#REF!</definedName>
    <definedName name="EM_028_6" localSheetId="3">#REF!</definedName>
    <definedName name="EM_028_6">#REF!</definedName>
    <definedName name="EM_028_7" localSheetId="17">#REF!</definedName>
    <definedName name="EM_028_7" localSheetId="15">#REF!</definedName>
    <definedName name="EM_028_7" localSheetId="3">#REF!</definedName>
    <definedName name="EM_028_7">#REF!</definedName>
    <definedName name="EM_028_8" localSheetId="17">#REF!</definedName>
    <definedName name="EM_028_8" localSheetId="15">#REF!</definedName>
    <definedName name="EM_028_8" localSheetId="3">#REF!</definedName>
    <definedName name="EM_028_8">#REF!</definedName>
    <definedName name="EM_028_9" localSheetId="17">#REF!</definedName>
    <definedName name="EM_028_9" localSheetId="15">#REF!</definedName>
    <definedName name="EM_028_9" localSheetId="3">#REF!</definedName>
    <definedName name="EM_028_9">#REF!</definedName>
    <definedName name="EM_029_1" localSheetId="17">#REF!</definedName>
    <definedName name="EM_029_1" localSheetId="15">#REF!</definedName>
    <definedName name="EM_029_1" localSheetId="3">#REF!</definedName>
    <definedName name="EM_029_1">#REF!</definedName>
    <definedName name="EM_029_10" localSheetId="17">#REF!</definedName>
    <definedName name="EM_029_10" localSheetId="15">#REF!</definedName>
    <definedName name="EM_029_10" localSheetId="3">#REF!</definedName>
    <definedName name="EM_029_10">#REF!</definedName>
    <definedName name="EM_029_11" localSheetId="17">#REF!</definedName>
    <definedName name="EM_029_11" localSheetId="15">#REF!</definedName>
    <definedName name="EM_029_11" localSheetId="3">#REF!</definedName>
    <definedName name="EM_029_11">#REF!</definedName>
    <definedName name="EM_029_12" localSheetId="17">#REF!</definedName>
    <definedName name="EM_029_12" localSheetId="15">#REF!</definedName>
    <definedName name="EM_029_12" localSheetId="3">#REF!</definedName>
    <definedName name="EM_029_12">#REF!</definedName>
    <definedName name="EM_029_13" localSheetId="17">#REF!</definedName>
    <definedName name="EM_029_13" localSheetId="15">#REF!</definedName>
    <definedName name="EM_029_13" localSheetId="3">#REF!</definedName>
    <definedName name="EM_029_13">#REF!</definedName>
    <definedName name="EM_029_14" localSheetId="17">#REF!</definedName>
    <definedName name="EM_029_14" localSheetId="15">#REF!</definedName>
    <definedName name="EM_029_14" localSheetId="3">#REF!</definedName>
    <definedName name="EM_029_14">#REF!</definedName>
    <definedName name="EM_029_15" localSheetId="17">#REF!</definedName>
    <definedName name="EM_029_15" localSheetId="15">#REF!</definedName>
    <definedName name="EM_029_15" localSheetId="3">#REF!</definedName>
    <definedName name="EM_029_15">#REF!</definedName>
    <definedName name="EM_029_16" localSheetId="17">#REF!</definedName>
    <definedName name="EM_029_16" localSheetId="15">#REF!</definedName>
    <definedName name="EM_029_16" localSheetId="3">#REF!</definedName>
    <definedName name="EM_029_16">#REF!</definedName>
    <definedName name="EM_029_17" localSheetId="17">#REF!</definedName>
    <definedName name="EM_029_17" localSheetId="15">#REF!</definedName>
    <definedName name="EM_029_17" localSheetId="3">#REF!</definedName>
    <definedName name="EM_029_17">#REF!</definedName>
    <definedName name="EM_029_18" localSheetId="17">#REF!</definedName>
    <definedName name="EM_029_18" localSheetId="15">#REF!</definedName>
    <definedName name="EM_029_18" localSheetId="3">#REF!</definedName>
    <definedName name="EM_029_18">#REF!</definedName>
    <definedName name="EM_029_2" localSheetId="17">#REF!</definedName>
    <definedName name="EM_029_2" localSheetId="15">#REF!</definedName>
    <definedName name="EM_029_2" localSheetId="3">#REF!</definedName>
    <definedName name="EM_029_2">#REF!</definedName>
    <definedName name="EM_029_3" localSheetId="17">#REF!</definedName>
    <definedName name="EM_029_3" localSheetId="15">#REF!</definedName>
    <definedName name="EM_029_3" localSheetId="3">#REF!</definedName>
    <definedName name="EM_029_3">#REF!</definedName>
    <definedName name="EM_029_4" localSheetId="17">#REF!</definedName>
    <definedName name="EM_029_4" localSheetId="15">#REF!</definedName>
    <definedName name="EM_029_4" localSheetId="3">#REF!</definedName>
    <definedName name="EM_029_4">#REF!</definedName>
    <definedName name="EM_029_5" localSheetId="17">#REF!</definedName>
    <definedName name="EM_029_5" localSheetId="15">#REF!</definedName>
    <definedName name="EM_029_5" localSheetId="3">#REF!</definedName>
    <definedName name="EM_029_5">#REF!</definedName>
    <definedName name="EM_029_6" localSheetId="17">#REF!</definedName>
    <definedName name="EM_029_6" localSheetId="15">#REF!</definedName>
    <definedName name="EM_029_6" localSheetId="3">#REF!</definedName>
    <definedName name="EM_029_6">#REF!</definedName>
    <definedName name="EM_029_7" localSheetId="17">#REF!</definedName>
    <definedName name="EM_029_7" localSheetId="15">#REF!</definedName>
    <definedName name="EM_029_7" localSheetId="3">#REF!</definedName>
    <definedName name="EM_029_7">#REF!</definedName>
    <definedName name="EM_029_8" localSheetId="17">#REF!</definedName>
    <definedName name="EM_029_8" localSheetId="15">#REF!</definedName>
    <definedName name="EM_029_8" localSheetId="3">#REF!</definedName>
    <definedName name="EM_029_8">#REF!</definedName>
    <definedName name="EM_029_9" localSheetId="17">#REF!</definedName>
    <definedName name="EM_029_9" localSheetId="15">#REF!</definedName>
    <definedName name="EM_029_9" localSheetId="3">#REF!</definedName>
    <definedName name="EM_029_9">#REF!</definedName>
    <definedName name="EM_030_1" localSheetId="17">#REF!</definedName>
    <definedName name="EM_030_1" localSheetId="15">#REF!</definedName>
    <definedName name="EM_030_1" localSheetId="3">#REF!</definedName>
    <definedName name="EM_030_1">#REF!</definedName>
    <definedName name="EM_030_10" localSheetId="17">#REF!</definedName>
    <definedName name="EM_030_10" localSheetId="15">#REF!</definedName>
    <definedName name="EM_030_10" localSheetId="3">#REF!</definedName>
    <definedName name="EM_030_10">#REF!</definedName>
    <definedName name="EM_030_11" localSheetId="17">#REF!</definedName>
    <definedName name="EM_030_11" localSheetId="15">#REF!</definedName>
    <definedName name="EM_030_11" localSheetId="3">#REF!</definedName>
    <definedName name="EM_030_11">#REF!</definedName>
    <definedName name="EM_030_12" localSheetId="17">#REF!</definedName>
    <definedName name="EM_030_12" localSheetId="15">#REF!</definedName>
    <definedName name="EM_030_12" localSheetId="3">#REF!</definedName>
    <definedName name="EM_030_12">#REF!</definedName>
    <definedName name="EM_030_13" localSheetId="17">#REF!</definedName>
    <definedName name="EM_030_13" localSheetId="15">#REF!</definedName>
    <definedName name="EM_030_13" localSheetId="3">#REF!</definedName>
    <definedName name="EM_030_13">#REF!</definedName>
    <definedName name="EM_030_14" localSheetId="17">#REF!</definedName>
    <definedName name="EM_030_14" localSheetId="15">#REF!</definedName>
    <definedName name="EM_030_14" localSheetId="3">#REF!</definedName>
    <definedName name="EM_030_14">#REF!</definedName>
    <definedName name="EM_030_15" localSheetId="17">#REF!</definedName>
    <definedName name="EM_030_15" localSheetId="15">#REF!</definedName>
    <definedName name="EM_030_15" localSheetId="3">#REF!</definedName>
    <definedName name="EM_030_15">#REF!</definedName>
    <definedName name="EM_030_16" localSheetId="17">#REF!</definedName>
    <definedName name="EM_030_16" localSheetId="15">#REF!</definedName>
    <definedName name="EM_030_16" localSheetId="3">#REF!</definedName>
    <definedName name="EM_030_16">#REF!</definedName>
    <definedName name="EM_030_17" localSheetId="17">#REF!</definedName>
    <definedName name="EM_030_17" localSheetId="15">#REF!</definedName>
    <definedName name="EM_030_17" localSheetId="3">#REF!</definedName>
    <definedName name="EM_030_17">#REF!</definedName>
    <definedName name="EM_030_18" localSheetId="17">#REF!</definedName>
    <definedName name="EM_030_18" localSheetId="15">#REF!</definedName>
    <definedName name="EM_030_18" localSheetId="3">#REF!</definedName>
    <definedName name="EM_030_18">#REF!</definedName>
    <definedName name="EM_030_2" localSheetId="17">#REF!</definedName>
    <definedName name="EM_030_2" localSheetId="15">#REF!</definedName>
    <definedName name="EM_030_2" localSheetId="3">#REF!</definedName>
    <definedName name="EM_030_2">#REF!</definedName>
    <definedName name="EM_030_3" localSheetId="17">#REF!</definedName>
    <definedName name="EM_030_3" localSheetId="15">#REF!</definedName>
    <definedName name="EM_030_3" localSheetId="3">#REF!</definedName>
    <definedName name="EM_030_3">#REF!</definedName>
    <definedName name="EM_030_4" localSheetId="17">#REF!</definedName>
    <definedName name="EM_030_4" localSheetId="15">#REF!</definedName>
    <definedName name="EM_030_4" localSheetId="3">#REF!</definedName>
    <definedName name="EM_030_4">#REF!</definedName>
    <definedName name="EM_030_5" localSheetId="17">#REF!</definedName>
    <definedName name="EM_030_5" localSheetId="15">#REF!</definedName>
    <definedName name="EM_030_5" localSheetId="3">#REF!</definedName>
    <definedName name="EM_030_5">#REF!</definedName>
    <definedName name="EM_030_6" localSheetId="17">#REF!</definedName>
    <definedName name="EM_030_6" localSheetId="15">#REF!</definedName>
    <definedName name="EM_030_6" localSheetId="3">#REF!</definedName>
    <definedName name="EM_030_6">#REF!</definedName>
    <definedName name="EM_030_7" localSheetId="17">#REF!</definedName>
    <definedName name="EM_030_7" localSheetId="15">#REF!</definedName>
    <definedName name="EM_030_7" localSheetId="3">#REF!</definedName>
    <definedName name="EM_030_7">#REF!</definedName>
    <definedName name="EM_030_8" localSheetId="17">#REF!</definedName>
    <definedName name="EM_030_8" localSheetId="15">#REF!</definedName>
    <definedName name="EM_030_8" localSheetId="3">#REF!</definedName>
    <definedName name="EM_030_8">#REF!</definedName>
    <definedName name="EM_030_9" localSheetId="17">#REF!</definedName>
    <definedName name="EM_030_9" localSheetId="15">#REF!</definedName>
    <definedName name="EM_030_9" localSheetId="3">#REF!</definedName>
    <definedName name="EM_030_9">#REF!</definedName>
    <definedName name="EM_031_1" localSheetId="17">#REF!</definedName>
    <definedName name="EM_031_1" localSheetId="15">#REF!</definedName>
    <definedName name="EM_031_1" localSheetId="3">#REF!</definedName>
    <definedName name="EM_031_1">#REF!</definedName>
    <definedName name="EM_031_10" localSheetId="17">#REF!</definedName>
    <definedName name="EM_031_10" localSheetId="15">#REF!</definedName>
    <definedName name="EM_031_10" localSheetId="3">#REF!</definedName>
    <definedName name="EM_031_10">#REF!</definedName>
    <definedName name="EM_031_11" localSheetId="17">#REF!</definedName>
    <definedName name="EM_031_11" localSheetId="15">#REF!</definedName>
    <definedName name="EM_031_11" localSheetId="3">#REF!</definedName>
    <definedName name="EM_031_11">#REF!</definedName>
    <definedName name="EM_031_12" localSheetId="17">#REF!</definedName>
    <definedName name="EM_031_12" localSheetId="15">#REF!</definedName>
    <definedName name="EM_031_12" localSheetId="3">#REF!</definedName>
    <definedName name="EM_031_12">#REF!</definedName>
    <definedName name="EM_031_13" localSheetId="17">#REF!</definedName>
    <definedName name="EM_031_13" localSheetId="15">#REF!</definedName>
    <definedName name="EM_031_13" localSheetId="3">#REF!</definedName>
    <definedName name="EM_031_13">#REF!</definedName>
    <definedName name="EM_031_14" localSheetId="17">#REF!</definedName>
    <definedName name="EM_031_14" localSheetId="15">#REF!</definedName>
    <definedName name="EM_031_14" localSheetId="3">#REF!</definedName>
    <definedName name="EM_031_14">#REF!</definedName>
    <definedName name="EM_031_15" localSheetId="17">#REF!</definedName>
    <definedName name="EM_031_15" localSheetId="15">#REF!</definedName>
    <definedName name="EM_031_15" localSheetId="3">#REF!</definedName>
    <definedName name="EM_031_15">#REF!</definedName>
    <definedName name="EM_031_16" localSheetId="17">#REF!</definedName>
    <definedName name="EM_031_16" localSheetId="15">#REF!</definedName>
    <definedName name="EM_031_16" localSheetId="3">#REF!</definedName>
    <definedName name="EM_031_16">#REF!</definedName>
    <definedName name="EM_031_17" localSheetId="17">#REF!</definedName>
    <definedName name="EM_031_17" localSheetId="15">#REF!</definedName>
    <definedName name="EM_031_17" localSheetId="3">#REF!</definedName>
    <definedName name="EM_031_17">#REF!</definedName>
    <definedName name="EM_031_18" localSheetId="17">#REF!</definedName>
    <definedName name="EM_031_18" localSheetId="15">#REF!</definedName>
    <definedName name="EM_031_18" localSheetId="3">#REF!</definedName>
    <definedName name="EM_031_18">#REF!</definedName>
    <definedName name="EM_031_2" localSheetId="17">#REF!</definedName>
    <definedName name="EM_031_2" localSheetId="15">#REF!</definedName>
    <definedName name="EM_031_2" localSheetId="3">#REF!</definedName>
    <definedName name="EM_031_2">#REF!</definedName>
    <definedName name="EM_031_3" localSheetId="17">#REF!</definedName>
    <definedName name="EM_031_3" localSheetId="15">#REF!</definedName>
    <definedName name="EM_031_3" localSheetId="3">#REF!</definedName>
    <definedName name="EM_031_3">#REF!</definedName>
    <definedName name="EM_031_4" localSheetId="17">#REF!</definedName>
    <definedName name="EM_031_4" localSheetId="15">#REF!</definedName>
    <definedName name="EM_031_4" localSheetId="3">#REF!</definedName>
    <definedName name="EM_031_4">#REF!</definedName>
    <definedName name="EM_031_5" localSheetId="17">#REF!</definedName>
    <definedName name="EM_031_5" localSheetId="15">#REF!</definedName>
    <definedName name="EM_031_5" localSheetId="3">#REF!</definedName>
    <definedName name="EM_031_5">#REF!</definedName>
    <definedName name="EM_031_6" localSheetId="17">#REF!</definedName>
    <definedName name="EM_031_6" localSheetId="15">#REF!</definedName>
    <definedName name="EM_031_6" localSheetId="3">#REF!</definedName>
    <definedName name="EM_031_6">#REF!</definedName>
    <definedName name="EM_031_7" localSheetId="17">#REF!</definedName>
    <definedName name="EM_031_7" localSheetId="15">#REF!</definedName>
    <definedName name="EM_031_7" localSheetId="3">#REF!</definedName>
    <definedName name="EM_031_7">#REF!</definedName>
    <definedName name="EM_031_8" localSheetId="17">#REF!</definedName>
    <definedName name="EM_031_8" localSheetId="15">#REF!</definedName>
    <definedName name="EM_031_8" localSheetId="3">#REF!</definedName>
    <definedName name="EM_031_8">#REF!</definedName>
    <definedName name="EM_031_9" localSheetId="17">#REF!</definedName>
    <definedName name="EM_031_9" localSheetId="15">#REF!</definedName>
    <definedName name="EM_031_9" localSheetId="3">#REF!</definedName>
    <definedName name="EM_031_9">#REF!</definedName>
    <definedName name="EM_032_1" localSheetId="17">#REF!</definedName>
    <definedName name="EM_032_1" localSheetId="15">#REF!</definedName>
    <definedName name="EM_032_1" localSheetId="3">#REF!</definedName>
    <definedName name="EM_032_1">#REF!</definedName>
    <definedName name="EM_032_10" localSheetId="17">#REF!</definedName>
    <definedName name="EM_032_10" localSheetId="15">#REF!</definedName>
    <definedName name="EM_032_10" localSheetId="3">#REF!</definedName>
    <definedName name="EM_032_10">#REF!</definedName>
    <definedName name="EM_032_11" localSheetId="17">#REF!</definedName>
    <definedName name="EM_032_11" localSheetId="15">#REF!</definedName>
    <definedName name="EM_032_11" localSheetId="3">#REF!</definedName>
    <definedName name="EM_032_11">#REF!</definedName>
    <definedName name="EM_032_12" localSheetId="17">#REF!</definedName>
    <definedName name="EM_032_12" localSheetId="15">#REF!</definedName>
    <definedName name="EM_032_12" localSheetId="3">#REF!</definedName>
    <definedName name="EM_032_12">#REF!</definedName>
    <definedName name="EM_032_13" localSheetId="17">#REF!</definedName>
    <definedName name="EM_032_13" localSheetId="15">#REF!</definedName>
    <definedName name="EM_032_13" localSheetId="3">#REF!</definedName>
    <definedName name="EM_032_13">#REF!</definedName>
    <definedName name="EM_032_14" localSheetId="17">#REF!</definedName>
    <definedName name="EM_032_14" localSheetId="15">#REF!</definedName>
    <definedName name="EM_032_14" localSheetId="3">#REF!</definedName>
    <definedName name="EM_032_14">#REF!</definedName>
    <definedName name="EM_032_15" localSheetId="17">#REF!</definedName>
    <definedName name="EM_032_15" localSheetId="15">#REF!</definedName>
    <definedName name="EM_032_15" localSheetId="3">#REF!</definedName>
    <definedName name="EM_032_15">#REF!</definedName>
    <definedName name="EM_032_16" localSheetId="17">#REF!</definedName>
    <definedName name="EM_032_16" localSheetId="15">#REF!</definedName>
    <definedName name="EM_032_16" localSheetId="3">#REF!</definedName>
    <definedName name="EM_032_16">#REF!</definedName>
    <definedName name="EM_032_17" localSheetId="17">#REF!</definedName>
    <definedName name="EM_032_17" localSheetId="15">#REF!</definedName>
    <definedName name="EM_032_17" localSheetId="3">#REF!</definedName>
    <definedName name="EM_032_17">#REF!</definedName>
    <definedName name="EM_032_18" localSheetId="17">#REF!</definedName>
    <definedName name="EM_032_18" localSheetId="15">#REF!</definedName>
    <definedName name="EM_032_18" localSheetId="3">#REF!</definedName>
    <definedName name="EM_032_18">#REF!</definedName>
    <definedName name="EM_032_2" localSheetId="17">#REF!</definedName>
    <definedName name="EM_032_2" localSheetId="15">#REF!</definedName>
    <definedName name="EM_032_2" localSheetId="3">#REF!</definedName>
    <definedName name="EM_032_2">#REF!</definedName>
    <definedName name="EM_032_3" localSheetId="17">#REF!</definedName>
    <definedName name="EM_032_3" localSheetId="15">#REF!</definedName>
    <definedName name="EM_032_3" localSheetId="3">#REF!</definedName>
    <definedName name="EM_032_3">#REF!</definedName>
    <definedName name="EM_032_4" localSheetId="17">#REF!</definedName>
    <definedName name="EM_032_4" localSheetId="15">#REF!</definedName>
    <definedName name="EM_032_4" localSheetId="3">#REF!</definedName>
    <definedName name="EM_032_4">#REF!</definedName>
    <definedName name="EM_032_5" localSheetId="17">#REF!</definedName>
    <definedName name="EM_032_5" localSheetId="15">#REF!</definedName>
    <definedName name="EM_032_5" localSheetId="3">#REF!</definedName>
    <definedName name="EM_032_5">#REF!</definedName>
    <definedName name="EM_032_6" localSheetId="17">#REF!</definedName>
    <definedName name="EM_032_6" localSheetId="15">#REF!</definedName>
    <definedName name="EM_032_6" localSheetId="3">#REF!</definedName>
    <definedName name="EM_032_6">#REF!</definedName>
    <definedName name="EM_032_7" localSheetId="17">#REF!</definedName>
    <definedName name="EM_032_7" localSheetId="15">#REF!</definedName>
    <definedName name="EM_032_7" localSheetId="3">#REF!</definedName>
    <definedName name="EM_032_7">#REF!</definedName>
    <definedName name="EM_032_8" localSheetId="17">#REF!</definedName>
    <definedName name="EM_032_8" localSheetId="15">#REF!</definedName>
    <definedName name="EM_032_8" localSheetId="3">#REF!</definedName>
    <definedName name="EM_032_8">#REF!</definedName>
    <definedName name="EM_032_9" localSheetId="17">#REF!</definedName>
    <definedName name="EM_032_9" localSheetId="15">#REF!</definedName>
    <definedName name="EM_032_9" localSheetId="3">#REF!</definedName>
    <definedName name="EM_032_9">#REF!</definedName>
    <definedName name="EM_033_1" localSheetId="17">#REF!</definedName>
    <definedName name="EM_033_1" localSheetId="15">#REF!</definedName>
    <definedName name="EM_033_1" localSheetId="3">#REF!</definedName>
    <definedName name="EM_033_1">#REF!</definedName>
    <definedName name="EM_033_10" localSheetId="17">#REF!</definedName>
    <definedName name="EM_033_10" localSheetId="15">#REF!</definedName>
    <definedName name="EM_033_10" localSheetId="3">#REF!</definedName>
    <definedName name="EM_033_10">#REF!</definedName>
    <definedName name="EM_033_11" localSheetId="17">#REF!</definedName>
    <definedName name="EM_033_11" localSheetId="15">#REF!</definedName>
    <definedName name="EM_033_11" localSheetId="3">#REF!</definedName>
    <definedName name="EM_033_11">#REF!</definedName>
    <definedName name="EM_033_12" localSheetId="17">#REF!</definedName>
    <definedName name="EM_033_12" localSheetId="15">#REF!</definedName>
    <definedName name="EM_033_12" localSheetId="3">#REF!</definedName>
    <definedName name="EM_033_12">#REF!</definedName>
    <definedName name="EM_033_13" localSheetId="17">#REF!</definedName>
    <definedName name="EM_033_13" localSheetId="15">#REF!</definedName>
    <definedName name="EM_033_13" localSheetId="3">#REF!</definedName>
    <definedName name="EM_033_13">#REF!</definedName>
    <definedName name="EM_033_14" localSheetId="17">#REF!</definedName>
    <definedName name="EM_033_14" localSheetId="15">#REF!</definedName>
    <definedName name="EM_033_14" localSheetId="3">#REF!</definedName>
    <definedName name="EM_033_14">#REF!</definedName>
    <definedName name="EM_033_15" localSheetId="17">#REF!</definedName>
    <definedName name="EM_033_15" localSheetId="15">#REF!</definedName>
    <definedName name="EM_033_15" localSheetId="3">#REF!</definedName>
    <definedName name="EM_033_15">#REF!</definedName>
    <definedName name="EM_033_16" localSheetId="17">#REF!</definedName>
    <definedName name="EM_033_16" localSheetId="15">#REF!</definedName>
    <definedName name="EM_033_16" localSheetId="3">#REF!</definedName>
    <definedName name="EM_033_16">#REF!</definedName>
    <definedName name="EM_033_17" localSheetId="17">#REF!</definedName>
    <definedName name="EM_033_17" localSheetId="15">#REF!</definedName>
    <definedName name="EM_033_17" localSheetId="3">#REF!</definedName>
    <definedName name="EM_033_17">#REF!</definedName>
    <definedName name="EM_033_18" localSheetId="17">#REF!</definedName>
    <definedName name="EM_033_18" localSheetId="15">#REF!</definedName>
    <definedName name="EM_033_18" localSheetId="3">#REF!</definedName>
    <definedName name="EM_033_18">#REF!</definedName>
    <definedName name="EM_033_2" localSheetId="17">#REF!</definedName>
    <definedName name="EM_033_2" localSheetId="15">#REF!</definedName>
    <definedName name="EM_033_2" localSheetId="3">#REF!</definedName>
    <definedName name="EM_033_2">#REF!</definedName>
    <definedName name="EM_033_3" localSheetId="17">#REF!</definedName>
    <definedName name="EM_033_3" localSheetId="15">#REF!</definedName>
    <definedName name="EM_033_3" localSheetId="3">#REF!</definedName>
    <definedName name="EM_033_3">#REF!</definedName>
    <definedName name="EM_033_4" localSheetId="17">#REF!</definedName>
    <definedName name="EM_033_4" localSheetId="15">#REF!</definedName>
    <definedName name="EM_033_4" localSheetId="3">#REF!</definedName>
    <definedName name="EM_033_4">#REF!</definedName>
    <definedName name="EM_033_5" localSheetId="17">#REF!</definedName>
    <definedName name="EM_033_5" localSheetId="15">#REF!</definedName>
    <definedName name="EM_033_5" localSheetId="3">#REF!</definedName>
    <definedName name="EM_033_5">#REF!</definedName>
    <definedName name="EM_033_6" localSheetId="17">#REF!</definedName>
    <definedName name="EM_033_6" localSheetId="15">#REF!</definedName>
    <definedName name="EM_033_6" localSheetId="3">#REF!</definedName>
    <definedName name="EM_033_6">#REF!</definedName>
    <definedName name="EM_033_7" localSheetId="17">#REF!</definedName>
    <definedName name="EM_033_7" localSheetId="15">#REF!</definedName>
    <definedName name="EM_033_7" localSheetId="3">#REF!</definedName>
    <definedName name="EM_033_7">#REF!</definedName>
    <definedName name="EM_033_8" localSheetId="17">#REF!</definedName>
    <definedName name="EM_033_8" localSheetId="15">#REF!</definedName>
    <definedName name="EM_033_8" localSheetId="3">#REF!</definedName>
    <definedName name="EM_033_8">#REF!</definedName>
    <definedName name="EM_033_9" localSheetId="17">#REF!</definedName>
    <definedName name="EM_033_9" localSheetId="15">#REF!</definedName>
    <definedName name="EM_033_9" localSheetId="3">#REF!</definedName>
    <definedName name="EM_033_9">#REF!</definedName>
    <definedName name="EM_034_1" localSheetId="17">#REF!</definedName>
    <definedName name="EM_034_1" localSheetId="15">#REF!</definedName>
    <definedName name="EM_034_1" localSheetId="3">#REF!</definedName>
    <definedName name="EM_034_1">#REF!</definedName>
    <definedName name="EM_034_10" localSheetId="17">#REF!</definedName>
    <definedName name="EM_034_10" localSheetId="15">#REF!</definedName>
    <definedName name="EM_034_10" localSheetId="3">#REF!</definedName>
    <definedName name="EM_034_10">#REF!</definedName>
    <definedName name="EM_034_11" localSheetId="17">#REF!</definedName>
    <definedName name="EM_034_11" localSheetId="15">#REF!</definedName>
    <definedName name="EM_034_11" localSheetId="3">#REF!</definedName>
    <definedName name="EM_034_11">#REF!</definedName>
    <definedName name="EM_034_12" localSheetId="17">#REF!</definedName>
    <definedName name="EM_034_12" localSheetId="15">#REF!</definedName>
    <definedName name="EM_034_12" localSheetId="3">#REF!</definedName>
    <definedName name="EM_034_12">#REF!</definedName>
    <definedName name="EM_034_13" localSheetId="17">#REF!</definedName>
    <definedName name="EM_034_13" localSheetId="15">#REF!</definedName>
    <definedName name="EM_034_13" localSheetId="3">#REF!</definedName>
    <definedName name="EM_034_13">#REF!</definedName>
    <definedName name="EM_034_14" localSheetId="17">#REF!</definedName>
    <definedName name="EM_034_14" localSheetId="15">#REF!</definedName>
    <definedName name="EM_034_14" localSheetId="3">#REF!</definedName>
    <definedName name="EM_034_14">#REF!</definedName>
    <definedName name="EM_034_15" localSheetId="17">#REF!</definedName>
    <definedName name="EM_034_15" localSheetId="15">#REF!</definedName>
    <definedName name="EM_034_15" localSheetId="3">#REF!</definedName>
    <definedName name="EM_034_15">#REF!</definedName>
    <definedName name="EM_034_16" localSheetId="17">#REF!</definedName>
    <definedName name="EM_034_16" localSheetId="15">#REF!</definedName>
    <definedName name="EM_034_16" localSheetId="3">#REF!</definedName>
    <definedName name="EM_034_16">#REF!</definedName>
    <definedName name="EM_034_17" localSheetId="17">#REF!</definedName>
    <definedName name="EM_034_17" localSheetId="15">#REF!</definedName>
    <definedName name="EM_034_17" localSheetId="3">#REF!</definedName>
    <definedName name="EM_034_17">#REF!</definedName>
    <definedName name="EM_034_18" localSheetId="17">#REF!</definedName>
    <definedName name="EM_034_18" localSheetId="15">#REF!</definedName>
    <definedName name="EM_034_18" localSheetId="3">#REF!</definedName>
    <definedName name="EM_034_18">#REF!</definedName>
    <definedName name="EM_034_2" localSheetId="17">#REF!</definedName>
    <definedName name="EM_034_2" localSheetId="15">#REF!</definedName>
    <definedName name="EM_034_2" localSheetId="3">#REF!</definedName>
    <definedName name="EM_034_2">#REF!</definedName>
    <definedName name="EM_034_3" localSheetId="17">#REF!</definedName>
    <definedName name="EM_034_3" localSheetId="15">#REF!</definedName>
    <definedName name="EM_034_3" localSheetId="3">#REF!</definedName>
    <definedName name="EM_034_3">#REF!</definedName>
    <definedName name="EM_034_4" localSheetId="17">#REF!</definedName>
    <definedName name="EM_034_4" localSheetId="15">#REF!</definedName>
    <definedName name="EM_034_4" localSheetId="3">#REF!</definedName>
    <definedName name="EM_034_4">#REF!</definedName>
    <definedName name="EM_034_5" localSheetId="17">#REF!</definedName>
    <definedName name="EM_034_5" localSheetId="15">#REF!</definedName>
    <definedName name="EM_034_5" localSheetId="3">#REF!</definedName>
    <definedName name="EM_034_5">#REF!</definedName>
    <definedName name="EM_034_6" localSheetId="17">#REF!</definedName>
    <definedName name="EM_034_6" localSheetId="15">#REF!</definedName>
    <definedName name="EM_034_6" localSheetId="3">#REF!</definedName>
    <definedName name="EM_034_6">#REF!</definedName>
    <definedName name="EM_034_7" localSheetId="17">#REF!</definedName>
    <definedName name="EM_034_7" localSheetId="15">#REF!</definedName>
    <definedName name="EM_034_7" localSheetId="3">#REF!</definedName>
    <definedName name="EM_034_7">#REF!</definedName>
    <definedName name="EM_034_8" localSheetId="17">#REF!</definedName>
    <definedName name="EM_034_8" localSheetId="15">#REF!</definedName>
    <definedName name="EM_034_8" localSheetId="3">#REF!</definedName>
    <definedName name="EM_034_8">#REF!</definedName>
    <definedName name="EM_034_9" localSheetId="17">#REF!</definedName>
    <definedName name="EM_034_9" localSheetId="15">#REF!</definedName>
    <definedName name="EM_034_9" localSheetId="3">#REF!</definedName>
    <definedName name="EM_034_9">#REF!</definedName>
    <definedName name="EM_035_1" localSheetId="17">#REF!</definedName>
    <definedName name="EM_035_1" localSheetId="15">#REF!</definedName>
    <definedName name="EM_035_1" localSheetId="3">#REF!</definedName>
    <definedName name="EM_035_1">#REF!</definedName>
    <definedName name="EM_035_10" localSheetId="17">#REF!</definedName>
    <definedName name="EM_035_10" localSheetId="15">#REF!</definedName>
    <definedName name="EM_035_10" localSheetId="3">#REF!</definedName>
    <definedName name="EM_035_10">#REF!</definedName>
    <definedName name="EM_035_11" localSheetId="17">#REF!</definedName>
    <definedName name="EM_035_11" localSheetId="15">#REF!</definedName>
    <definedName name="EM_035_11" localSheetId="3">#REF!</definedName>
    <definedName name="EM_035_11">#REF!</definedName>
    <definedName name="EM_035_12" localSheetId="17">#REF!</definedName>
    <definedName name="EM_035_12" localSheetId="15">#REF!</definedName>
    <definedName name="EM_035_12" localSheetId="3">#REF!</definedName>
    <definedName name="EM_035_12">#REF!</definedName>
    <definedName name="EM_035_13" localSheetId="17">#REF!</definedName>
    <definedName name="EM_035_13" localSheetId="15">#REF!</definedName>
    <definedName name="EM_035_13" localSheetId="3">#REF!</definedName>
    <definedName name="EM_035_13">#REF!</definedName>
    <definedName name="EM_035_14" localSheetId="17">#REF!</definedName>
    <definedName name="EM_035_14" localSheetId="15">#REF!</definedName>
    <definedName name="EM_035_14" localSheetId="3">#REF!</definedName>
    <definedName name="EM_035_14">#REF!</definedName>
    <definedName name="EM_035_15" localSheetId="17">#REF!</definedName>
    <definedName name="EM_035_15" localSheetId="15">#REF!</definedName>
    <definedName name="EM_035_15" localSheetId="3">#REF!</definedName>
    <definedName name="EM_035_15">#REF!</definedName>
    <definedName name="EM_035_16" localSheetId="17">#REF!</definedName>
    <definedName name="EM_035_16" localSheetId="15">#REF!</definedName>
    <definedName name="EM_035_16" localSheetId="3">#REF!</definedName>
    <definedName name="EM_035_16">#REF!</definedName>
    <definedName name="EM_035_17" localSheetId="17">#REF!</definedName>
    <definedName name="EM_035_17" localSheetId="15">#REF!</definedName>
    <definedName name="EM_035_17" localSheetId="3">#REF!</definedName>
    <definedName name="EM_035_17">#REF!</definedName>
    <definedName name="EM_035_18" localSheetId="17">#REF!</definedName>
    <definedName name="EM_035_18" localSheetId="15">#REF!</definedName>
    <definedName name="EM_035_18" localSheetId="3">#REF!</definedName>
    <definedName name="EM_035_18">#REF!</definedName>
    <definedName name="EM_035_2" localSheetId="17">#REF!</definedName>
    <definedName name="EM_035_2" localSheetId="15">#REF!</definedName>
    <definedName name="EM_035_2" localSheetId="3">#REF!</definedName>
    <definedName name="EM_035_2">#REF!</definedName>
    <definedName name="EM_035_3" localSheetId="17">#REF!</definedName>
    <definedName name="EM_035_3" localSheetId="15">#REF!</definedName>
    <definedName name="EM_035_3" localSheetId="3">#REF!</definedName>
    <definedName name="EM_035_3">#REF!</definedName>
    <definedName name="EM_035_4" localSheetId="17">#REF!</definedName>
    <definedName name="EM_035_4" localSheetId="15">#REF!</definedName>
    <definedName name="EM_035_4" localSheetId="3">#REF!</definedName>
    <definedName name="EM_035_4">#REF!</definedName>
    <definedName name="EM_035_5" localSheetId="17">#REF!</definedName>
    <definedName name="EM_035_5" localSheetId="15">#REF!</definedName>
    <definedName name="EM_035_5" localSheetId="3">#REF!</definedName>
    <definedName name="EM_035_5">#REF!</definedName>
    <definedName name="EM_035_6" localSheetId="17">#REF!</definedName>
    <definedName name="EM_035_6" localSheetId="15">#REF!</definedName>
    <definedName name="EM_035_6" localSheetId="3">#REF!</definedName>
    <definedName name="EM_035_6">#REF!</definedName>
    <definedName name="EM_035_7" localSheetId="17">#REF!</definedName>
    <definedName name="EM_035_7" localSheetId="15">#REF!</definedName>
    <definedName name="EM_035_7" localSheetId="3">#REF!</definedName>
    <definedName name="EM_035_7">#REF!</definedName>
    <definedName name="EM_035_8" localSheetId="17">#REF!</definedName>
    <definedName name="EM_035_8" localSheetId="15">#REF!</definedName>
    <definedName name="EM_035_8" localSheetId="3">#REF!</definedName>
    <definedName name="EM_035_8">#REF!</definedName>
    <definedName name="EM_035_9" localSheetId="17">#REF!</definedName>
    <definedName name="EM_035_9" localSheetId="15">#REF!</definedName>
    <definedName name="EM_035_9" localSheetId="3">#REF!</definedName>
    <definedName name="EM_035_9">#REF!</definedName>
    <definedName name="EM_036_1" localSheetId="17">#REF!</definedName>
    <definedName name="EM_036_1" localSheetId="15">#REF!</definedName>
    <definedName name="EM_036_1" localSheetId="3">#REF!</definedName>
    <definedName name="EM_036_1">#REF!</definedName>
    <definedName name="EM_036_10" localSheetId="17">#REF!</definedName>
    <definedName name="EM_036_10" localSheetId="15">#REF!</definedName>
    <definedName name="EM_036_10" localSheetId="3">#REF!</definedName>
    <definedName name="EM_036_10">#REF!</definedName>
    <definedName name="EM_036_11" localSheetId="17">#REF!</definedName>
    <definedName name="EM_036_11" localSheetId="15">#REF!</definedName>
    <definedName name="EM_036_11" localSheetId="3">#REF!</definedName>
    <definedName name="EM_036_11">#REF!</definedName>
    <definedName name="EM_036_12" localSheetId="17">#REF!</definedName>
    <definedName name="EM_036_12" localSheetId="15">#REF!</definedName>
    <definedName name="EM_036_12" localSheetId="3">#REF!</definedName>
    <definedName name="EM_036_12">#REF!</definedName>
    <definedName name="EM_036_13" localSheetId="17">#REF!</definedName>
    <definedName name="EM_036_13" localSheetId="15">#REF!</definedName>
    <definedName name="EM_036_13" localSheetId="3">#REF!</definedName>
    <definedName name="EM_036_13">#REF!</definedName>
    <definedName name="EM_036_14" localSheetId="17">#REF!</definedName>
    <definedName name="EM_036_14" localSheetId="15">#REF!</definedName>
    <definedName name="EM_036_14" localSheetId="3">#REF!</definedName>
    <definedName name="EM_036_14">#REF!</definedName>
    <definedName name="EM_036_15" localSheetId="17">#REF!</definedName>
    <definedName name="EM_036_15" localSheetId="15">#REF!</definedName>
    <definedName name="EM_036_15" localSheetId="3">#REF!</definedName>
    <definedName name="EM_036_15">#REF!</definedName>
    <definedName name="EM_036_16" localSheetId="17">#REF!</definedName>
    <definedName name="EM_036_16" localSheetId="15">#REF!</definedName>
    <definedName name="EM_036_16" localSheetId="3">#REF!</definedName>
    <definedName name="EM_036_16">#REF!</definedName>
    <definedName name="EM_036_17" localSheetId="17">#REF!</definedName>
    <definedName name="EM_036_17" localSheetId="15">#REF!</definedName>
    <definedName name="EM_036_17" localSheetId="3">#REF!</definedName>
    <definedName name="EM_036_17">#REF!</definedName>
    <definedName name="EM_036_18" localSheetId="17">#REF!</definedName>
    <definedName name="EM_036_18" localSheetId="15">#REF!</definedName>
    <definedName name="EM_036_18" localSheetId="3">#REF!</definedName>
    <definedName name="EM_036_18">#REF!</definedName>
    <definedName name="EM_036_2" localSheetId="17">#REF!</definedName>
    <definedName name="EM_036_2" localSheetId="15">#REF!</definedName>
    <definedName name="EM_036_2" localSheetId="3">#REF!</definedName>
    <definedName name="EM_036_2">#REF!</definedName>
    <definedName name="EM_036_3" localSheetId="17">#REF!</definedName>
    <definedName name="EM_036_3" localSheetId="15">#REF!</definedName>
    <definedName name="EM_036_3" localSheetId="3">#REF!</definedName>
    <definedName name="EM_036_3">#REF!</definedName>
    <definedName name="EM_036_4" localSheetId="17">#REF!</definedName>
    <definedName name="EM_036_4" localSheetId="15">#REF!</definedName>
    <definedName name="EM_036_4" localSheetId="3">#REF!</definedName>
    <definedName name="EM_036_4">#REF!</definedName>
    <definedName name="EM_036_5" localSheetId="17">#REF!</definedName>
    <definedName name="EM_036_5" localSheetId="15">#REF!</definedName>
    <definedName name="EM_036_5" localSheetId="3">#REF!</definedName>
    <definedName name="EM_036_5">#REF!</definedName>
    <definedName name="EM_036_6" localSheetId="17">#REF!</definedName>
    <definedName name="EM_036_6" localSheetId="15">#REF!</definedName>
    <definedName name="EM_036_6" localSheetId="3">#REF!</definedName>
    <definedName name="EM_036_6">#REF!</definedName>
    <definedName name="EM_036_7" localSheetId="17">#REF!</definedName>
    <definedName name="EM_036_7" localSheetId="15">#REF!</definedName>
    <definedName name="EM_036_7" localSheetId="3">#REF!</definedName>
    <definedName name="EM_036_7">#REF!</definedName>
    <definedName name="EM_036_8" localSheetId="17">#REF!</definedName>
    <definedName name="EM_036_8" localSheetId="15">#REF!</definedName>
    <definedName name="EM_036_8" localSheetId="3">#REF!</definedName>
    <definedName name="EM_036_8">#REF!</definedName>
    <definedName name="EM_036_9" localSheetId="17">#REF!</definedName>
    <definedName name="EM_036_9" localSheetId="15">#REF!</definedName>
    <definedName name="EM_036_9" localSheetId="3">#REF!</definedName>
    <definedName name="EM_036_9">#REF!</definedName>
    <definedName name="EM_037_1" localSheetId="17">#REF!</definedName>
    <definedName name="EM_037_1" localSheetId="15">#REF!</definedName>
    <definedName name="EM_037_1" localSheetId="3">#REF!</definedName>
    <definedName name="EM_037_1">#REF!</definedName>
    <definedName name="EM_037_10" localSheetId="17">#REF!</definedName>
    <definedName name="EM_037_10" localSheetId="15">#REF!</definedName>
    <definedName name="EM_037_10" localSheetId="3">#REF!</definedName>
    <definedName name="EM_037_10">#REF!</definedName>
    <definedName name="EM_037_11" localSheetId="17">#REF!</definedName>
    <definedName name="EM_037_11" localSheetId="15">#REF!</definedName>
    <definedName name="EM_037_11" localSheetId="3">#REF!</definedName>
    <definedName name="EM_037_11">#REF!</definedName>
    <definedName name="EM_037_12" localSheetId="17">#REF!</definedName>
    <definedName name="EM_037_12" localSheetId="15">#REF!</definedName>
    <definedName name="EM_037_12" localSheetId="3">#REF!</definedName>
    <definedName name="EM_037_12">#REF!</definedName>
    <definedName name="EM_037_13" localSheetId="17">#REF!</definedName>
    <definedName name="EM_037_13" localSheetId="15">#REF!</definedName>
    <definedName name="EM_037_13" localSheetId="3">#REF!</definedName>
    <definedName name="EM_037_13">#REF!</definedName>
    <definedName name="EM_037_14" localSheetId="17">#REF!</definedName>
    <definedName name="EM_037_14" localSheetId="15">#REF!</definedName>
    <definedName name="EM_037_14" localSheetId="3">#REF!</definedName>
    <definedName name="EM_037_14">#REF!</definedName>
    <definedName name="EM_037_15" localSheetId="17">#REF!</definedName>
    <definedName name="EM_037_15" localSheetId="15">#REF!</definedName>
    <definedName name="EM_037_15" localSheetId="3">#REF!</definedName>
    <definedName name="EM_037_15">#REF!</definedName>
    <definedName name="EM_037_16" localSheetId="17">#REF!</definedName>
    <definedName name="EM_037_16" localSheetId="15">#REF!</definedName>
    <definedName name="EM_037_16" localSheetId="3">#REF!</definedName>
    <definedName name="EM_037_16">#REF!</definedName>
    <definedName name="EM_037_17" localSheetId="17">#REF!</definedName>
    <definedName name="EM_037_17" localSheetId="15">#REF!</definedName>
    <definedName name="EM_037_17" localSheetId="3">#REF!</definedName>
    <definedName name="EM_037_17">#REF!</definedName>
    <definedName name="EM_037_18" localSheetId="17">#REF!</definedName>
    <definedName name="EM_037_18" localSheetId="15">#REF!</definedName>
    <definedName name="EM_037_18" localSheetId="3">#REF!</definedName>
    <definedName name="EM_037_18">#REF!</definedName>
    <definedName name="EM_037_2" localSheetId="17">#REF!</definedName>
    <definedName name="EM_037_2" localSheetId="15">#REF!</definedName>
    <definedName name="EM_037_2" localSheetId="3">#REF!</definedName>
    <definedName name="EM_037_2">#REF!</definedName>
    <definedName name="EM_037_3" localSheetId="17">#REF!</definedName>
    <definedName name="EM_037_3" localSheetId="15">#REF!</definedName>
    <definedName name="EM_037_3" localSheetId="3">#REF!</definedName>
    <definedName name="EM_037_3">#REF!</definedName>
    <definedName name="EM_037_4" localSheetId="17">#REF!</definedName>
    <definedName name="EM_037_4" localSheetId="15">#REF!</definedName>
    <definedName name="EM_037_4" localSheetId="3">#REF!</definedName>
    <definedName name="EM_037_4">#REF!</definedName>
    <definedName name="EM_037_5" localSheetId="17">#REF!</definedName>
    <definedName name="EM_037_5" localSheetId="15">#REF!</definedName>
    <definedName name="EM_037_5" localSheetId="3">#REF!</definedName>
    <definedName name="EM_037_5">#REF!</definedName>
    <definedName name="EM_037_6" localSheetId="17">#REF!</definedName>
    <definedName name="EM_037_6" localSheetId="15">#REF!</definedName>
    <definedName name="EM_037_6" localSheetId="3">#REF!</definedName>
    <definedName name="EM_037_6">#REF!</definedName>
    <definedName name="EM_037_7" localSheetId="17">#REF!</definedName>
    <definedName name="EM_037_7" localSheetId="15">#REF!</definedName>
    <definedName name="EM_037_7" localSheetId="3">#REF!</definedName>
    <definedName name="EM_037_7">#REF!</definedName>
    <definedName name="EM_037_8" localSheetId="17">#REF!</definedName>
    <definedName name="EM_037_8" localSheetId="15">#REF!</definedName>
    <definedName name="EM_037_8" localSheetId="3">#REF!</definedName>
    <definedName name="EM_037_8">#REF!</definedName>
    <definedName name="EM_037_9" localSheetId="17">#REF!</definedName>
    <definedName name="EM_037_9" localSheetId="15">#REF!</definedName>
    <definedName name="EM_037_9" localSheetId="3">#REF!</definedName>
    <definedName name="EM_037_9">#REF!</definedName>
    <definedName name="EM_038_1" localSheetId="17">#REF!</definedName>
    <definedName name="EM_038_1" localSheetId="15">#REF!</definedName>
    <definedName name="EM_038_1" localSheetId="3">#REF!</definedName>
    <definedName name="EM_038_1">#REF!</definedName>
    <definedName name="EM_038_10" localSheetId="17">#REF!</definedName>
    <definedName name="EM_038_10" localSheetId="15">#REF!</definedName>
    <definedName name="EM_038_10" localSheetId="3">#REF!</definedName>
    <definedName name="EM_038_10">#REF!</definedName>
    <definedName name="EM_038_11" localSheetId="17">#REF!</definedName>
    <definedName name="EM_038_11" localSheetId="15">#REF!</definedName>
    <definedName name="EM_038_11" localSheetId="3">#REF!</definedName>
    <definedName name="EM_038_11">#REF!</definedName>
    <definedName name="EM_038_12" localSheetId="17">#REF!</definedName>
    <definedName name="EM_038_12" localSheetId="15">#REF!</definedName>
    <definedName name="EM_038_12" localSheetId="3">#REF!</definedName>
    <definedName name="EM_038_12">#REF!</definedName>
    <definedName name="EM_038_13" localSheetId="17">#REF!</definedName>
    <definedName name="EM_038_13" localSheetId="15">#REF!</definedName>
    <definedName name="EM_038_13" localSheetId="3">#REF!</definedName>
    <definedName name="EM_038_13">#REF!</definedName>
    <definedName name="EM_038_14" localSheetId="17">#REF!</definedName>
    <definedName name="EM_038_14" localSheetId="15">#REF!</definedName>
    <definedName name="EM_038_14" localSheetId="3">#REF!</definedName>
    <definedName name="EM_038_14">#REF!</definedName>
    <definedName name="EM_038_15" localSheetId="17">#REF!</definedName>
    <definedName name="EM_038_15" localSheetId="15">#REF!</definedName>
    <definedName name="EM_038_15" localSheetId="3">#REF!</definedName>
    <definedName name="EM_038_15">#REF!</definedName>
    <definedName name="EM_038_16" localSheetId="17">#REF!</definedName>
    <definedName name="EM_038_16" localSheetId="15">#REF!</definedName>
    <definedName name="EM_038_16" localSheetId="3">#REF!</definedName>
    <definedName name="EM_038_16">#REF!</definedName>
    <definedName name="EM_038_17" localSheetId="17">#REF!</definedName>
    <definedName name="EM_038_17" localSheetId="15">#REF!</definedName>
    <definedName name="EM_038_17" localSheetId="3">#REF!</definedName>
    <definedName name="EM_038_17">#REF!</definedName>
    <definedName name="EM_038_18" localSheetId="17">#REF!</definedName>
    <definedName name="EM_038_18" localSheetId="15">#REF!</definedName>
    <definedName name="EM_038_18" localSheetId="3">#REF!</definedName>
    <definedName name="EM_038_18">#REF!</definedName>
    <definedName name="EM_038_2" localSheetId="17">#REF!</definedName>
    <definedName name="EM_038_2" localSheetId="15">#REF!</definedName>
    <definedName name="EM_038_2" localSheetId="3">#REF!</definedName>
    <definedName name="EM_038_2">#REF!</definedName>
    <definedName name="EM_038_3" localSheetId="17">#REF!</definedName>
    <definedName name="EM_038_3" localSheetId="15">#REF!</definedName>
    <definedName name="EM_038_3" localSheetId="3">#REF!</definedName>
    <definedName name="EM_038_3">#REF!</definedName>
    <definedName name="EM_038_4" localSheetId="17">#REF!</definedName>
    <definedName name="EM_038_4" localSheetId="15">#REF!</definedName>
    <definedName name="EM_038_4" localSheetId="3">#REF!</definedName>
    <definedName name="EM_038_4">#REF!</definedName>
    <definedName name="EM_038_5" localSheetId="17">#REF!</definedName>
    <definedName name="EM_038_5" localSheetId="15">#REF!</definedName>
    <definedName name="EM_038_5" localSheetId="3">#REF!</definedName>
    <definedName name="EM_038_5">#REF!</definedName>
    <definedName name="EM_038_6" localSheetId="17">#REF!</definedName>
    <definedName name="EM_038_6" localSheetId="15">#REF!</definedName>
    <definedName name="EM_038_6" localSheetId="3">#REF!</definedName>
    <definedName name="EM_038_6">#REF!</definedName>
    <definedName name="EM_038_7" localSheetId="17">#REF!</definedName>
    <definedName name="EM_038_7" localSheetId="15">#REF!</definedName>
    <definedName name="EM_038_7" localSheetId="3">#REF!</definedName>
    <definedName name="EM_038_7">#REF!</definedName>
    <definedName name="EM_038_8" localSheetId="17">#REF!</definedName>
    <definedName name="EM_038_8" localSheetId="15">#REF!</definedName>
    <definedName name="EM_038_8" localSheetId="3">#REF!</definedName>
    <definedName name="EM_038_8">#REF!</definedName>
    <definedName name="EM_038_9" localSheetId="17">#REF!</definedName>
    <definedName name="EM_038_9" localSheetId="15">#REF!</definedName>
    <definedName name="EM_038_9" localSheetId="3">#REF!</definedName>
    <definedName name="EM_038_9">#REF!</definedName>
    <definedName name="EM_039_1" localSheetId="17">#REF!</definedName>
    <definedName name="EM_039_1" localSheetId="15">#REF!</definedName>
    <definedName name="EM_039_1" localSheetId="3">#REF!</definedName>
    <definedName name="EM_039_1">#REF!</definedName>
    <definedName name="EM_039_10" localSheetId="17">#REF!</definedName>
    <definedName name="EM_039_10" localSheetId="15">#REF!</definedName>
    <definedName name="EM_039_10" localSheetId="3">#REF!</definedName>
    <definedName name="EM_039_10">#REF!</definedName>
    <definedName name="EM_039_11" localSheetId="17">#REF!</definedName>
    <definedName name="EM_039_11" localSheetId="15">#REF!</definedName>
    <definedName name="EM_039_11" localSheetId="3">#REF!</definedName>
    <definedName name="EM_039_11">#REF!</definedName>
    <definedName name="EM_039_12" localSheetId="17">#REF!</definedName>
    <definedName name="EM_039_12" localSheetId="15">#REF!</definedName>
    <definedName name="EM_039_12" localSheetId="3">#REF!</definedName>
    <definedName name="EM_039_12">#REF!</definedName>
    <definedName name="EM_039_13" localSheetId="17">#REF!</definedName>
    <definedName name="EM_039_13" localSheetId="15">#REF!</definedName>
    <definedName name="EM_039_13" localSheetId="3">#REF!</definedName>
    <definedName name="EM_039_13">#REF!</definedName>
    <definedName name="EM_039_14" localSheetId="17">#REF!</definedName>
    <definedName name="EM_039_14" localSheetId="15">#REF!</definedName>
    <definedName name="EM_039_14" localSheetId="3">#REF!</definedName>
    <definedName name="EM_039_14">#REF!</definedName>
    <definedName name="EM_039_15" localSheetId="17">#REF!</definedName>
    <definedName name="EM_039_15" localSheetId="15">#REF!</definedName>
    <definedName name="EM_039_15" localSheetId="3">#REF!</definedName>
    <definedName name="EM_039_15">#REF!</definedName>
    <definedName name="EM_039_16" localSheetId="17">#REF!</definedName>
    <definedName name="EM_039_16" localSheetId="15">#REF!</definedName>
    <definedName name="EM_039_16" localSheetId="3">#REF!</definedName>
    <definedName name="EM_039_16">#REF!</definedName>
    <definedName name="EM_039_17" localSheetId="17">#REF!</definedName>
    <definedName name="EM_039_17" localSheetId="15">#REF!</definedName>
    <definedName name="EM_039_17" localSheetId="3">#REF!</definedName>
    <definedName name="EM_039_17">#REF!</definedName>
    <definedName name="EM_039_18" localSheetId="17">#REF!</definedName>
    <definedName name="EM_039_18" localSheetId="15">#REF!</definedName>
    <definedName name="EM_039_18" localSheetId="3">#REF!</definedName>
    <definedName name="EM_039_18">#REF!</definedName>
    <definedName name="EM_039_2" localSheetId="17">#REF!</definedName>
    <definedName name="EM_039_2" localSheetId="15">#REF!</definedName>
    <definedName name="EM_039_2" localSheetId="3">#REF!</definedName>
    <definedName name="EM_039_2">#REF!</definedName>
    <definedName name="EM_039_3" localSheetId="17">#REF!</definedName>
    <definedName name="EM_039_3" localSheetId="15">#REF!</definedName>
    <definedName name="EM_039_3" localSheetId="3">#REF!</definedName>
    <definedName name="EM_039_3">#REF!</definedName>
    <definedName name="EM_039_4" localSheetId="17">#REF!</definedName>
    <definedName name="EM_039_4" localSheetId="15">#REF!</definedName>
    <definedName name="EM_039_4" localSheetId="3">#REF!</definedName>
    <definedName name="EM_039_4">#REF!</definedName>
    <definedName name="EM_039_5" localSheetId="17">#REF!</definedName>
    <definedName name="EM_039_5" localSheetId="15">#REF!</definedName>
    <definedName name="EM_039_5" localSheetId="3">#REF!</definedName>
    <definedName name="EM_039_5">#REF!</definedName>
    <definedName name="EM_039_6" localSheetId="17">#REF!</definedName>
    <definedName name="EM_039_6" localSheetId="15">#REF!</definedName>
    <definedName name="EM_039_6" localSheetId="3">#REF!</definedName>
    <definedName name="EM_039_6">#REF!</definedName>
    <definedName name="EM_039_7" localSheetId="17">#REF!</definedName>
    <definedName name="EM_039_7" localSheetId="15">#REF!</definedName>
    <definedName name="EM_039_7" localSheetId="3">#REF!</definedName>
    <definedName name="EM_039_7">#REF!</definedName>
    <definedName name="EM_039_8" localSheetId="17">#REF!</definedName>
    <definedName name="EM_039_8" localSheetId="15">#REF!</definedName>
    <definedName name="EM_039_8" localSheetId="3">#REF!</definedName>
    <definedName name="EM_039_8">#REF!</definedName>
    <definedName name="EM_039_9" localSheetId="17">#REF!</definedName>
    <definedName name="EM_039_9" localSheetId="15">#REF!</definedName>
    <definedName name="EM_039_9" localSheetId="3">#REF!</definedName>
    <definedName name="EM_039_9">#REF!</definedName>
    <definedName name="EM_051_14" localSheetId="17">#REF!</definedName>
    <definedName name="EM_051_14" localSheetId="15">#REF!</definedName>
    <definedName name="EM_051_14" localSheetId="3">#REF!</definedName>
    <definedName name="EM_051_14">#REF!</definedName>
    <definedName name="EM_051_15" localSheetId="17">#REF!</definedName>
    <definedName name="EM_051_15" localSheetId="15">#REF!</definedName>
    <definedName name="EM_051_15" localSheetId="3">#REF!</definedName>
    <definedName name="EM_051_15">#REF!</definedName>
    <definedName name="EM_051_16" localSheetId="17">#REF!</definedName>
    <definedName name="EM_051_16" localSheetId="15">#REF!</definedName>
    <definedName name="EM_051_16" localSheetId="3">#REF!</definedName>
    <definedName name="EM_051_16">#REF!</definedName>
    <definedName name="EM_051_17" localSheetId="17">#REF!</definedName>
    <definedName name="EM_051_17" localSheetId="15">#REF!</definedName>
    <definedName name="EM_051_17" localSheetId="3">#REF!</definedName>
    <definedName name="EM_051_17">#REF!</definedName>
    <definedName name="EM_051_18" localSheetId="17">#REF!</definedName>
    <definedName name="EM_051_18" localSheetId="15">#REF!</definedName>
    <definedName name="EM_051_18" localSheetId="3">#REF!</definedName>
    <definedName name="EM_051_18">#REF!</definedName>
    <definedName name="EM_052_14" localSheetId="17">#REF!</definedName>
    <definedName name="EM_052_14" localSheetId="15">#REF!</definedName>
    <definedName name="EM_052_14" localSheetId="3">#REF!</definedName>
    <definedName name="EM_052_14">#REF!</definedName>
    <definedName name="EM_052_15" localSheetId="17">#REF!</definedName>
    <definedName name="EM_052_15" localSheetId="15">#REF!</definedName>
    <definedName name="EM_052_15" localSheetId="3">#REF!</definedName>
    <definedName name="EM_052_15">#REF!</definedName>
    <definedName name="EM_052_16" localSheetId="17">#REF!</definedName>
    <definedName name="EM_052_16" localSheetId="15">#REF!</definedName>
    <definedName name="EM_052_16" localSheetId="3">#REF!</definedName>
    <definedName name="EM_052_16">#REF!</definedName>
    <definedName name="EM_052_17" localSheetId="17">#REF!</definedName>
    <definedName name="EM_052_17" localSheetId="15">#REF!</definedName>
    <definedName name="EM_052_17" localSheetId="3">#REF!</definedName>
    <definedName name="EM_052_17">#REF!</definedName>
    <definedName name="EM_052_18" localSheetId="17">#REF!</definedName>
    <definedName name="EM_052_18" localSheetId="15">#REF!</definedName>
    <definedName name="EM_052_18" localSheetId="3">#REF!</definedName>
    <definedName name="EM_052_18">#REF!</definedName>
    <definedName name="EM_053_14" localSheetId="17">#REF!</definedName>
    <definedName name="EM_053_14" localSheetId="15">#REF!</definedName>
    <definedName name="EM_053_14" localSheetId="3">#REF!</definedName>
    <definedName name="EM_053_14">#REF!</definedName>
    <definedName name="EM_053_15" localSheetId="17">#REF!</definedName>
    <definedName name="EM_053_15" localSheetId="15">#REF!</definedName>
    <definedName name="EM_053_15" localSheetId="3">#REF!</definedName>
    <definedName name="EM_053_15">#REF!</definedName>
    <definedName name="EM_053_16" localSheetId="17">#REF!</definedName>
    <definedName name="EM_053_16" localSheetId="15">#REF!</definedName>
    <definedName name="EM_053_16" localSheetId="3">#REF!</definedName>
    <definedName name="EM_053_16">#REF!</definedName>
    <definedName name="EM_053_17" localSheetId="17">#REF!</definedName>
    <definedName name="EM_053_17" localSheetId="15">#REF!</definedName>
    <definedName name="EM_053_17" localSheetId="3">#REF!</definedName>
    <definedName name="EM_053_17">#REF!</definedName>
    <definedName name="EM_053_18" localSheetId="17">#REF!</definedName>
    <definedName name="EM_053_18" localSheetId="15">#REF!</definedName>
    <definedName name="EM_053_18" localSheetId="3">#REF!</definedName>
    <definedName name="EM_053_18">#REF!</definedName>
    <definedName name="EM_054_14" localSheetId="17">#REF!</definedName>
    <definedName name="EM_054_14" localSheetId="15">#REF!</definedName>
    <definedName name="EM_054_14" localSheetId="3">#REF!</definedName>
    <definedName name="EM_054_14">#REF!</definedName>
    <definedName name="EM_054_15" localSheetId="17">#REF!</definedName>
    <definedName name="EM_054_15" localSheetId="15">#REF!</definedName>
    <definedName name="EM_054_15" localSheetId="3">#REF!</definedName>
    <definedName name="EM_054_15">#REF!</definedName>
    <definedName name="EM_054_16" localSheetId="17">#REF!</definedName>
    <definedName name="EM_054_16" localSheetId="15">#REF!</definedName>
    <definedName name="EM_054_16" localSheetId="3">#REF!</definedName>
    <definedName name="EM_054_16">#REF!</definedName>
    <definedName name="EM_054_17" localSheetId="17">#REF!</definedName>
    <definedName name="EM_054_17" localSheetId="15">#REF!</definedName>
    <definedName name="EM_054_17" localSheetId="3">#REF!</definedName>
    <definedName name="EM_054_17">#REF!</definedName>
    <definedName name="EM_054_18" localSheetId="17">#REF!</definedName>
    <definedName name="EM_054_18" localSheetId="15">#REF!</definedName>
    <definedName name="EM_054_18" localSheetId="3">#REF!</definedName>
    <definedName name="EM_054_18">#REF!</definedName>
    <definedName name="EM_055_14" localSheetId="17">#REF!</definedName>
    <definedName name="EM_055_14" localSheetId="15">#REF!</definedName>
    <definedName name="EM_055_14" localSheetId="3">#REF!</definedName>
    <definedName name="EM_055_14">#REF!</definedName>
    <definedName name="EM_055_15" localSheetId="17">#REF!</definedName>
    <definedName name="EM_055_15" localSheetId="15">#REF!</definedName>
    <definedName name="EM_055_15" localSheetId="3">#REF!</definedName>
    <definedName name="EM_055_15">#REF!</definedName>
    <definedName name="EM_055_16" localSheetId="17">#REF!</definedName>
    <definedName name="EM_055_16" localSheetId="15">#REF!</definedName>
    <definedName name="EM_055_16" localSheetId="3">#REF!</definedName>
    <definedName name="EM_055_16">#REF!</definedName>
    <definedName name="EM_055_17" localSheetId="17">#REF!</definedName>
    <definedName name="EM_055_17" localSheetId="15">#REF!</definedName>
    <definedName name="EM_055_17" localSheetId="3">#REF!</definedName>
    <definedName name="EM_055_17">#REF!</definedName>
    <definedName name="EM_055_18" localSheetId="17">#REF!</definedName>
    <definedName name="EM_055_18" localSheetId="15">#REF!</definedName>
    <definedName name="EM_055_18" localSheetId="3">#REF!</definedName>
    <definedName name="EM_055_18">#REF!</definedName>
    <definedName name="EM_056_14" localSheetId="17">#REF!</definedName>
    <definedName name="EM_056_14" localSheetId="15">#REF!</definedName>
    <definedName name="EM_056_14" localSheetId="3">#REF!</definedName>
    <definedName name="EM_056_14">#REF!</definedName>
    <definedName name="EM_056_15" localSheetId="17">#REF!</definedName>
    <definedName name="EM_056_15" localSheetId="15">#REF!</definedName>
    <definedName name="EM_056_15" localSheetId="3">#REF!</definedName>
    <definedName name="EM_056_15">#REF!</definedName>
    <definedName name="EM_056_16" localSheetId="17">#REF!</definedName>
    <definedName name="EM_056_16" localSheetId="15">#REF!</definedName>
    <definedName name="EM_056_16" localSheetId="3">#REF!</definedName>
    <definedName name="EM_056_16">#REF!</definedName>
    <definedName name="EM_056_17" localSheetId="17">#REF!</definedName>
    <definedName name="EM_056_17" localSheetId="15">#REF!</definedName>
    <definedName name="EM_056_17" localSheetId="3">#REF!</definedName>
    <definedName name="EM_056_17">#REF!</definedName>
    <definedName name="EM_056_18" localSheetId="17">#REF!</definedName>
    <definedName name="EM_056_18" localSheetId="15">#REF!</definedName>
    <definedName name="EM_056_18" localSheetId="3">#REF!</definedName>
    <definedName name="EM_056_18">#REF!</definedName>
    <definedName name="EM_057_14" localSheetId="17">#REF!</definedName>
    <definedName name="EM_057_14" localSheetId="15">#REF!</definedName>
    <definedName name="EM_057_14" localSheetId="3">#REF!</definedName>
    <definedName name="EM_057_14">#REF!</definedName>
    <definedName name="EM_057_15" localSheetId="17">#REF!</definedName>
    <definedName name="EM_057_15" localSheetId="15">#REF!</definedName>
    <definedName name="EM_057_15" localSheetId="3">#REF!</definedName>
    <definedName name="EM_057_15">#REF!</definedName>
    <definedName name="EM_057_16" localSheetId="17">#REF!</definedName>
    <definedName name="EM_057_16" localSheetId="15">#REF!</definedName>
    <definedName name="EM_057_16" localSheetId="3">#REF!</definedName>
    <definedName name="EM_057_16">#REF!</definedName>
    <definedName name="EM_057_17" localSheetId="17">#REF!</definedName>
    <definedName name="EM_057_17" localSheetId="15">#REF!</definedName>
    <definedName name="EM_057_17" localSheetId="3">#REF!</definedName>
    <definedName name="EM_057_17">#REF!</definedName>
    <definedName name="EM_057_18" localSheetId="17">#REF!</definedName>
    <definedName name="EM_057_18" localSheetId="15">#REF!</definedName>
    <definedName name="EM_057_18" localSheetId="3">#REF!</definedName>
    <definedName name="EM_057_18">#REF!</definedName>
    <definedName name="EM_058_14" localSheetId="17">#REF!</definedName>
    <definedName name="EM_058_14" localSheetId="15">#REF!</definedName>
    <definedName name="EM_058_14" localSheetId="3">#REF!</definedName>
    <definedName name="EM_058_14">#REF!</definedName>
    <definedName name="EM_058_15" localSheetId="17">#REF!</definedName>
    <definedName name="EM_058_15" localSheetId="15">#REF!</definedName>
    <definedName name="EM_058_15" localSheetId="3">#REF!</definedName>
    <definedName name="EM_058_15">#REF!</definedName>
    <definedName name="EM_058_16" localSheetId="17">#REF!</definedName>
    <definedName name="EM_058_16" localSheetId="15">#REF!</definedName>
    <definedName name="EM_058_16" localSheetId="3">#REF!</definedName>
    <definedName name="EM_058_16">#REF!</definedName>
    <definedName name="EM_058_17" localSheetId="17">#REF!</definedName>
    <definedName name="EM_058_17" localSheetId="15">#REF!</definedName>
    <definedName name="EM_058_17" localSheetId="3">#REF!</definedName>
    <definedName name="EM_058_17">#REF!</definedName>
    <definedName name="EM_058_18" localSheetId="17">#REF!</definedName>
    <definedName name="EM_058_18" localSheetId="15">#REF!</definedName>
    <definedName name="EM_058_18" localSheetId="3">#REF!</definedName>
    <definedName name="EM_058_18">#REF!</definedName>
    <definedName name="EM_059_14" localSheetId="17">#REF!</definedName>
    <definedName name="EM_059_14" localSheetId="15">#REF!</definedName>
    <definedName name="EM_059_14" localSheetId="3">#REF!</definedName>
    <definedName name="EM_059_14">#REF!</definedName>
    <definedName name="EM_059_15" localSheetId="17">#REF!</definedName>
    <definedName name="EM_059_15" localSheetId="15">#REF!</definedName>
    <definedName name="EM_059_15" localSheetId="3">#REF!</definedName>
    <definedName name="EM_059_15">#REF!</definedName>
    <definedName name="EM_059_16" localSheetId="17">#REF!</definedName>
    <definedName name="EM_059_16" localSheetId="15">#REF!</definedName>
    <definedName name="EM_059_16" localSheetId="3">#REF!</definedName>
    <definedName name="EM_059_16">#REF!</definedName>
    <definedName name="EM_059_17" localSheetId="17">#REF!</definedName>
    <definedName name="EM_059_17" localSheetId="15">#REF!</definedName>
    <definedName name="EM_059_17" localSheetId="3">#REF!</definedName>
    <definedName name="EM_059_17">#REF!</definedName>
    <definedName name="EM_059_18" localSheetId="17">#REF!</definedName>
    <definedName name="EM_059_18" localSheetId="15">#REF!</definedName>
    <definedName name="EM_059_18" localSheetId="3">#REF!</definedName>
    <definedName name="EM_059_18">#REF!</definedName>
    <definedName name="EM_060_14" localSheetId="17">#REF!</definedName>
    <definedName name="EM_060_14" localSheetId="15">#REF!</definedName>
    <definedName name="EM_060_14" localSheetId="3">#REF!</definedName>
    <definedName name="EM_060_14">#REF!</definedName>
    <definedName name="EM_060_15" localSheetId="17">#REF!</definedName>
    <definedName name="EM_060_15" localSheetId="15">#REF!</definedName>
    <definedName name="EM_060_15" localSheetId="3">#REF!</definedName>
    <definedName name="EM_060_15">#REF!</definedName>
    <definedName name="EM_060_16" localSheetId="17">#REF!</definedName>
    <definedName name="EM_060_16" localSheetId="15">#REF!</definedName>
    <definedName name="EM_060_16" localSheetId="3">#REF!</definedName>
    <definedName name="EM_060_16">#REF!</definedName>
    <definedName name="EM_060_17" localSheetId="17">#REF!</definedName>
    <definedName name="EM_060_17" localSheetId="15">#REF!</definedName>
    <definedName name="EM_060_17" localSheetId="3">#REF!</definedName>
    <definedName name="EM_060_17">#REF!</definedName>
    <definedName name="EM_060_18" localSheetId="17">#REF!</definedName>
    <definedName name="EM_060_18" localSheetId="15">#REF!</definedName>
    <definedName name="EM_060_18" localSheetId="3">#REF!</definedName>
    <definedName name="EM_060_18">#REF!</definedName>
    <definedName name="EM_061_14" localSheetId="17">#REF!</definedName>
    <definedName name="EM_061_14" localSheetId="15">#REF!</definedName>
    <definedName name="EM_061_14" localSheetId="3">#REF!</definedName>
    <definedName name="EM_061_14">#REF!</definedName>
    <definedName name="EM_061_15" localSheetId="17">#REF!</definedName>
    <definedName name="EM_061_15" localSheetId="15">#REF!</definedName>
    <definedName name="EM_061_15" localSheetId="3">#REF!</definedName>
    <definedName name="EM_061_15">#REF!</definedName>
    <definedName name="EM_061_16" localSheetId="17">#REF!</definedName>
    <definedName name="EM_061_16" localSheetId="15">#REF!</definedName>
    <definedName name="EM_061_16" localSheetId="3">#REF!</definedName>
    <definedName name="EM_061_16">#REF!</definedName>
    <definedName name="EM_061_17" localSheetId="17">#REF!</definedName>
    <definedName name="EM_061_17" localSheetId="15">#REF!</definedName>
    <definedName name="EM_061_17" localSheetId="3">#REF!</definedName>
    <definedName name="EM_061_17">#REF!</definedName>
    <definedName name="EM_061_18" localSheetId="17">#REF!</definedName>
    <definedName name="EM_061_18" localSheetId="15">#REF!</definedName>
    <definedName name="EM_061_18" localSheetId="3">#REF!</definedName>
    <definedName name="EM_061_18">#REF!</definedName>
    <definedName name="EM_062_14" localSheetId="17">#REF!</definedName>
    <definedName name="EM_062_14" localSheetId="15">#REF!</definedName>
    <definedName name="EM_062_14" localSheetId="3">#REF!</definedName>
    <definedName name="EM_062_14">#REF!</definedName>
    <definedName name="EM_062_15" localSheetId="17">#REF!</definedName>
    <definedName name="EM_062_15" localSheetId="15">#REF!</definedName>
    <definedName name="EM_062_15" localSheetId="3">#REF!</definedName>
    <definedName name="EM_062_15">#REF!</definedName>
    <definedName name="EM_062_16" localSheetId="17">#REF!</definedName>
    <definedName name="EM_062_16" localSheetId="15">#REF!</definedName>
    <definedName name="EM_062_16" localSheetId="3">#REF!</definedName>
    <definedName name="EM_062_16">#REF!</definedName>
    <definedName name="EM_062_17" localSheetId="17">#REF!</definedName>
    <definedName name="EM_062_17" localSheetId="15">#REF!</definedName>
    <definedName name="EM_062_17" localSheetId="3">#REF!</definedName>
    <definedName name="EM_062_17">#REF!</definedName>
    <definedName name="EM_062_18" localSheetId="17">#REF!</definedName>
    <definedName name="EM_062_18" localSheetId="15">#REF!</definedName>
    <definedName name="EM_062_18" localSheetId="3">#REF!</definedName>
    <definedName name="EM_062_18">#REF!</definedName>
    <definedName name="EM_063_14" localSheetId="17">#REF!</definedName>
    <definedName name="EM_063_14" localSheetId="15">#REF!</definedName>
    <definedName name="EM_063_14" localSheetId="3">#REF!</definedName>
    <definedName name="EM_063_14">#REF!</definedName>
    <definedName name="EM_063_15" localSheetId="17">#REF!</definedName>
    <definedName name="EM_063_15" localSheetId="15">#REF!</definedName>
    <definedName name="EM_063_15" localSheetId="3">#REF!</definedName>
    <definedName name="EM_063_15">#REF!</definedName>
    <definedName name="EM_063_16" localSheetId="17">#REF!</definedName>
    <definedName name="EM_063_16" localSheetId="15">#REF!</definedName>
    <definedName name="EM_063_16" localSheetId="3">#REF!</definedName>
    <definedName name="EM_063_16">#REF!</definedName>
    <definedName name="EM_063_17" localSheetId="17">#REF!</definedName>
    <definedName name="EM_063_17" localSheetId="15">#REF!</definedName>
    <definedName name="EM_063_17" localSheetId="3">#REF!</definedName>
    <definedName name="EM_063_17">#REF!</definedName>
    <definedName name="EM_063_18" localSheetId="17">#REF!</definedName>
    <definedName name="EM_063_18" localSheetId="15">#REF!</definedName>
    <definedName name="EM_063_18" localSheetId="3">#REF!</definedName>
    <definedName name="EM_063_18">#REF!</definedName>
    <definedName name="EM_064_14" localSheetId="17">#REF!</definedName>
    <definedName name="EM_064_14" localSheetId="15">#REF!</definedName>
    <definedName name="EM_064_14" localSheetId="3">#REF!</definedName>
    <definedName name="EM_064_14">#REF!</definedName>
    <definedName name="EM_064_15" localSheetId="17">#REF!</definedName>
    <definedName name="EM_064_15" localSheetId="15">#REF!</definedName>
    <definedName name="EM_064_15" localSheetId="3">#REF!</definedName>
    <definedName name="EM_064_15">#REF!</definedName>
    <definedName name="EM_064_16" localSheetId="17">#REF!</definedName>
    <definedName name="EM_064_16" localSheetId="15">#REF!</definedName>
    <definedName name="EM_064_16" localSheetId="3">#REF!</definedName>
    <definedName name="EM_064_16">#REF!</definedName>
    <definedName name="EM_064_17" localSheetId="17">#REF!</definedName>
    <definedName name="EM_064_17" localSheetId="15">#REF!</definedName>
    <definedName name="EM_064_17" localSheetId="3">#REF!</definedName>
    <definedName name="EM_064_17">#REF!</definedName>
    <definedName name="EM_064_18" localSheetId="17">#REF!</definedName>
    <definedName name="EM_064_18" localSheetId="15">#REF!</definedName>
    <definedName name="EM_064_18" localSheetId="3">#REF!</definedName>
    <definedName name="EM_064_18">#REF!</definedName>
    <definedName name="EM_065_14" localSheetId="17">#REF!</definedName>
    <definedName name="EM_065_14" localSheetId="15">#REF!</definedName>
    <definedName name="EM_065_14" localSheetId="3">#REF!</definedName>
    <definedName name="EM_065_14">#REF!</definedName>
    <definedName name="EM_065_15" localSheetId="17">#REF!</definedName>
    <definedName name="EM_065_15" localSheetId="15">#REF!</definedName>
    <definedName name="EM_065_15" localSheetId="3">#REF!</definedName>
    <definedName name="EM_065_15">#REF!</definedName>
    <definedName name="EM_065_16" localSheetId="17">#REF!</definedName>
    <definedName name="EM_065_16" localSheetId="15">#REF!</definedName>
    <definedName name="EM_065_16" localSheetId="3">#REF!</definedName>
    <definedName name="EM_065_16">#REF!</definedName>
    <definedName name="EM_065_17" localSheetId="17">#REF!</definedName>
    <definedName name="EM_065_17" localSheetId="15">#REF!</definedName>
    <definedName name="EM_065_17" localSheetId="3">#REF!</definedName>
    <definedName name="EM_065_17">#REF!</definedName>
    <definedName name="EM_065_18" localSheetId="17">#REF!</definedName>
    <definedName name="EM_065_18" localSheetId="15">#REF!</definedName>
    <definedName name="EM_065_18" localSheetId="3">#REF!</definedName>
    <definedName name="EM_065_18">#REF!</definedName>
    <definedName name="EM_066_14" localSheetId="17">#REF!</definedName>
    <definedName name="EM_066_14" localSheetId="15">#REF!</definedName>
    <definedName name="EM_066_14" localSheetId="3">#REF!</definedName>
    <definedName name="EM_066_14">#REF!</definedName>
    <definedName name="EM_066_15" localSheetId="17">#REF!</definedName>
    <definedName name="EM_066_15" localSheetId="15">#REF!</definedName>
    <definedName name="EM_066_15" localSheetId="3">#REF!</definedName>
    <definedName name="EM_066_15">#REF!</definedName>
    <definedName name="EM_066_16" localSheetId="17">#REF!</definedName>
    <definedName name="EM_066_16" localSheetId="15">#REF!</definedName>
    <definedName name="EM_066_16" localSheetId="3">#REF!</definedName>
    <definedName name="EM_066_16">#REF!</definedName>
    <definedName name="EM_066_17" localSheetId="17">#REF!</definedName>
    <definedName name="EM_066_17" localSheetId="15">#REF!</definedName>
    <definedName name="EM_066_17" localSheetId="3">#REF!</definedName>
    <definedName name="EM_066_17">#REF!</definedName>
    <definedName name="EM_066_18" localSheetId="17">#REF!</definedName>
    <definedName name="EM_066_18" localSheetId="15">#REF!</definedName>
    <definedName name="EM_066_18" localSheetId="3">#REF!</definedName>
    <definedName name="EM_066_18">#REF!</definedName>
    <definedName name="EM_067_14" localSheetId="17">#REF!</definedName>
    <definedName name="EM_067_14" localSheetId="15">#REF!</definedName>
    <definedName name="EM_067_14" localSheetId="3">#REF!</definedName>
    <definedName name="EM_067_14">#REF!</definedName>
    <definedName name="EM_067_15" localSheetId="17">#REF!</definedName>
    <definedName name="EM_067_15" localSheetId="15">#REF!</definedName>
    <definedName name="EM_067_15" localSheetId="3">#REF!</definedName>
    <definedName name="EM_067_15">#REF!</definedName>
    <definedName name="EM_067_16" localSheetId="17">#REF!</definedName>
    <definedName name="EM_067_16" localSheetId="15">#REF!</definedName>
    <definedName name="EM_067_16" localSheetId="3">#REF!</definedName>
    <definedName name="EM_067_16">#REF!</definedName>
    <definedName name="EM_067_17" localSheetId="17">#REF!</definedName>
    <definedName name="EM_067_17" localSheetId="15">#REF!</definedName>
    <definedName name="EM_067_17" localSheetId="3">#REF!</definedName>
    <definedName name="EM_067_17">#REF!</definedName>
    <definedName name="EM_067_18" localSheetId="17">#REF!</definedName>
    <definedName name="EM_067_18" localSheetId="15">#REF!</definedName>
    <definedName name="EM_067_18" localSheetId="3">#REF!</definedName>
    <definedName name="EM_067_18">#REF!</definedName>
    <definedName name="EM_068_14" localSheetId="17">#REF!</definedName>
    <definedName name="EM_068_14" localSheetId="15">#REF!</definedName>
    <definedName name="EM_068_14" localSheetId="3">#REF!</definedName>
    <definedName name="EM_068_14">#REF!</definedName>
    <definedName name="EM_068_15" localSheetId="17">#REF!</definedName>
    <definedName name="EM_068_15" localSheetId="15">#REF!</definedName>
    <definedName name="EM_068_15" localSheetId="3">#REF!</definedName>
    <definedName name="EM_068_15">#REF!</definedName>
    <definedName name="EM_068_16" localSheetId="17">#REF!</definedName>
    <definedName name="EM_068_16" localSheetId="15">#REF!</definedName>
    <definedName name="EM_068_16" localSheetId="3">#REF!</definedName>
    <definedName name="EM_068_16">#REF!</definedName>
    <definedName name="EM_068_17" localSheetId="17">#REF!</definedName>
    <definedName name="EM_068_17" localSheetId="15">#REF!</definedName>
    <definedName name="EM_068_17" localSheetId="3">#REF!</definedName>
    <definedName name="EM_068_17">#REF!</definedName>
    <definedName name="EM_068_18" localSheetId="17">#REF!</definedName>
    <definedName name="EM_068_18" localSheetId="15">#REF!</definedName>
    <definedName name="EM_068_18" localSheetId="3">#REF!</definedName>
    <definedName name="EM_068_18">#REF!</definedName>
    <definedName name="EM_069_14" localSheetId="17">#REF!</definedName>
    <definedName name="EM_069_14" localSheetId="15">#REF!</definedName>
    <definedName name="EM_069_14" localSheetId="3">#REF!</definedName>
    <definedName name="EM_069_14">#REF!</definedName>
    <definedName name="EM_069_15" localSheetId="17">#REF!</definedName>
    <definedName name="EM_069_15" localSheetId="15">#REF!</definedName>
    <definedName name="EM_069_15" localSheetId="3">#REF!</definedName>
    <definedName name="EM_069_15">#REF!</definedName>
    <definedName name="EM_069_16" localSheetId="17">#REF!</definedName>
    <definedName name="EM_069_16" localSheetId="15">#REF!</definedName>
    <definedName name="EM_069_16" localSheetId="3">#REF!</definedName>
    <definedName name="EM_069_16">#REF!</definedName>
    <definedName name="EM_069_17" localSheetId="17">#REF!</definedName>
    <definedName name="EM_069_17" localSheetId="15">#REF!</definedName>
    <definedName name="EM_069_17" localSheetId="3">#REF!</definedName>
    <definedName name="EM_069_17">#REF!</definedName>
    <definedName name="EM_069_18" localSheetId="17">#REF!</definedName>
    <definedName name="EM_069_18" localSheetId="15">#REF!</definedName>
    <definedName name="EM_069_18" localSheetId="3">#REF!</definedName>
    <definedName name="EM_069_18">#REF!</definedName>
    <definedName name="EM_070_14" localSheetId="17">#REF!</definedName>
    <definedName name="EM_070_14" localSheetId="15">#REF!</definedName>
    <definedName name="EM_070_14" localSheetId="3">#REF!</definedName>
    <definedName name="EM_070_14">#REF!</definedName>
    <definedName name="EM_070_15" localSheetId="17">#REF!</definedName>
    <definedName name="EM_070_15" localSheetId="15">#REF!</definedName>
    <definedName name="EM_070_15" localSheetId="3">#REF!</definedName>
    <definedName name="EM_070_15">#REF!</definedName>
    <definedName name="EM_070_16" localSheetId="17">#REF!</definedName>
    <definedName name="EM_070_16" localSheetId="15">#REF!</definedName>
    <definedName name="EM_070_16" localSheetId="3">#REF!</definedName>
    <definedName name="EM_070_16">#REF!</definedName>
    <definedName name="EM_070_17" localSheetId="17">#REF!</definedName>
    <definedName name="EM_070_17" localSheetId="15">#REF!</definedName>
    <definedName name="EM_070_17" localSheetId="3">#REF!</definedName>
    <definedName name="EM_070_17">#REF!</definedName>
    <definedName name="EM_070_18" localSheetId="17">#REF!</definedName>
    <definedName name="EM_070_18" localSheetId="15">#REF!</definedName>
    <definedName name="EM_070_18" localSheetId="3">#REF!</definedName>
    <definedName name="EM_070_18">#REF!</definedName>
    <definedName name="EM_071_14" localSheetId="17">#REF!</definedName>
    <definedName name="EM_071_14" localSheetId="15">#REF!</definedName>
    <definedName name="EM_071_14" localSheetId="3">#REF!</definedName>
    <definedName name="EM_071_14">#REF!</definedName>
    <definedName name="EM_071_15" localSheetId="17">#REF!</definedName>
    <definedName name="EM_071_15" localSheetId="15">#REF!</definedName>
    <definedName name="EM_071_15" localSheetId="3">#REF!</definedName>
    <definedName name="EM_071_15">#REF!</definedName>
    <definedName name="EM_071_16" localSheetId="17">#REF!</definedName>
    <definedName name="EM_071_16" localSheetId="15">#REF!</definedName>
    <definedName name="EM_071_16" localSheetId="3">#REF!</definedName>
    <definedName name="EM_071_16">#REF!</definedName>
    <definedName name="EM_071_17" localSheetId="17">#REF!</definedName>
    <definedName name="EM_071_17" localSheetId="15">#REF!</definedName>
    <definedName name="EM_071_17" localSheetId="3">#REF!</definedName>
    <definedName name="EM_071_17">#REF!</definedName>
    <definedName name="EM_071_18" localSheetId="17">#REF!</definedName>
    <definedName name="EM_071_18" localSheetId="15">#REF!</definedName>
    <definedName name="EM_071_18" localSheetId="3">#REF!</definedName>
    <definedName name="EM_071_18">#REF!</definedName>
    <definedName name="EM_072_14" localSheetId="17">#REF!</definedName>
    <definedName name="EM_072_14" localSheetId="15">#REF!</definedName>
    <definedName name="EM_072_14" localSheetId="3">#REF!</definedName>
    <definedName name="EM_072_14">#REF!</definedName>
    <definedName name="EM_072_15" localSheetId="17">#REF!</definedName>
    <definedName name="EM_072_15" localSheetId="15">#REF!</definedName>
    <definedName name="EM_072_15" localSheetId="3">#REF!</definedName>
    <definedName name="EM_072_15">#REF!</definedName>
    <definedName name="EM_072_16" localSheetId="17">#REF!</definedName>
    <definedName name="EM_072_16" localSheetId="15">#REF!</definedName>
    <definedName name="EM_072_16" localSheetId="3">#REF!</definedName>
    <definedName name="EM_072_16">#REF!</definedName>
    <definedName name="EM_072_17" localSheetId="17">#REF!</definedName>
    <definedName name="EM_072_17" localSheetId="15">#REF!</definedName>
    <definedName name="EM_072_17" localSheetId="3">#REF!</definedName>
    <definedName name="EM_072_17">#REF!</definedName>
    <definedName name="EM_072_18" localSheetId="17">#REF!</definedName>
    <definedName name="EM_072_18" localSheetId="15">#REF!</definedName>
    <definedName name="EM_072_18" localSheetId="3">#REF!</definedName>
    <definedName name="EM_072_18">#REF!</definedName>
    <definedName name="EM_073_14" localSheetId="17">#REF!</definedName>
    <definedName name="EM_073_14" localSheetId="15">#REF!</definedName>
    <definedName name="EM_073_14" localSheetId="3">#REF!</definedName>
    <definedName name="EM_073_14">#REF!</definedName>
    <definedName name="EM_073_15" localSheetId="17">#REF!</definedName>
    <definedName name="EM_073_15" localSheetId="15">#REF!</definedName>
    <definedName name="EM_073_15" localSheetId="3">#REF!</definedName>
    <definedName name="EM_073_15">#REF!</definedName>
    <definedName name="EM_073_16" localSheetId="17">#REF!</definedName>
    <definedName name="EM_073_16" localSheetId="15">#REF!</definedName>
    <definedName name="EM_073_16" localSheetId="3">#REF!</definedName>
    <definedName name="EM_073_16">#REF!</definedName>
    <definedName name="EM_073_17" localSheetId="17">#REF!</definedName>
    <definedName name="EM_073_17" localSheetId="15">#REF!</definedName>
    <definedName name="EM_073_17" localSheetId="3">#REF!</definedName>
    <definedName name="EM_073_17">#REF!</definedName>
    <definedName name="EM_073_18" localSheetId="17">#REF!</definedName>
    <definedName name="EM_073_18" localSheetId="15">#REF!</definedName>
    <definedName name="EM_073_18" localSheetId="3">#REF!</definedName>
    <definedName name="EM_073_18">#REF!</definedName>
    <definedName name="EM_074_14" localSheetId="17">#REF!</definedName>
    <definedName name="EM_074_14" localSheetId="15">#REF!</definedName>
    <definedName name="EM_074_14" localSheetId="3">#REF!</definedName>
    <definedName name="EM_074_14">#REF!</definedName>
    <definedName name="EM_074_15" localSheetId="17">#REF!</definedName>
    <definedName name="EM_074_15" localSheetId="15">#REF!</definedName>
    <definedName name="EM_074_15" localSheetId="3">#REF!</definedName>
    <definedName name="EM_074_15">#REF!</definedName>
    <definedName name="EM_074_16" localSheetId="17">#REF!</definedName>
    <definedName name="EM_074_16" localSheetId="15">#REF!</definedName>
    <definedName name="EM_074_16" localSheetId="3">#REF!</definedName>
    <definedName name="EM_074_16">#REF!</definedName>
    <definedName name="EM_074_17" localSheetId="17">#REF!</definedName>
    <definedName name="EM_074_17" localSheetId="15">#REF!</definedName>
    <definedName name="EM_074_17" localSheetId="3">#REF!</definedName>
    <definedName name="EM_074_17">#REF!</definedName>
    <definedName name="EM_074_18" localSheetId="17">#REF!</definedName>
    <definedName name="EM_074_18" localSheetId="15">#REF!</definedName>
    <definedName name="EM_074_18" localSheetId="3">#REF!</definedName>
    <definedName name="EM_074_18">#REF!</definedName>
    <definedName name="END" localSheetId="3">#REF!</definedName>
    <definedName name="END">#REF!</definedName>
    <definedName name="EOL" localSheetId="3">#REF!</definedName>
    <definedName name="EOL">#REF!</definedName>
    <definedName name="EPS" hidden="1">[71]총괄표!$H$840:$H$1248</definedName>
    <definedName name="EQ">185</definedName>
    <definedName name="eq_index" localSheetId="17">#REF!</definedName>
    <definedName name="eq_index" localSheetId="15">#REF!</definedName>
    <definedName name="eq_index" localSheetId="3">#REF!</definedName>
    <definedName name="eq_index">#REF!</definedName>
    <definedName name="eq_name" localSheetId="4">[72]eq_data!$C$5:$C$54</definedName>
    <definedName name="eq_name">[73]eq_data!$C$5:$C$54</definedName>
    <definedName name="EQMOB" localSheetId="3">BlankMacro1</definedName>
    <definedName name="EQMOB">BlankMacro1</definedName>
    <definedName name="eqname">[74]eq_data!$C$5:$C$54</definedName>
    <definedName name="equip" localSheetId="3">#REF!</definedName>
    <definedName name="equip">#REF!</definedName>
    <definedName name="equip_c" localSheetId="3">#REF!</definedName>
    <definedName name="equip_c">#REF!</definedName>
    <definedName name="equipment" localSheetId="3">#REF!</definedName>
    <definedName name="equipment">#REF!</definedName>
    <definedName name="EQUIPMENT_____LIST" localSheetId="17">#REF!</definedName>
    <definedName name="EQUIPMENT_____LIST" localSheetId="15">#REF!</definedName>
    <definedName name="EQUIPMENT_____LIST">#REF!</definedName>
    <definedName name="equipment_u" localSheetId="3">#REF!</definedName>
    <definedName name="equipment_u">#REF!</definedName>
    <definedName name="er" localSheetId="3" hidden="1">{"'Grafik Kontrol'!$A$1:$J$8"}</definedName>
    <definedName name="er">{"'장비'!$A$3:$M$12"}</definedName>
    <definedName name="er_1" localSheetId="3" hidden="1">{"'Grafik Kontrol'!$A$1:$J$8"}</definedName>
    <definedName name="er_1" hidden="1">{"'Grafik Kontrol'!$A$1:$J$8"}</definedName>
    <definedName name="Erate">'[75]E_Rate '!$C$6:$D$11</definedName>
    <definedName name="ERD" localSheetId="3" hidden="1">{#N/A,#N/A,TRUE,"Basic";#N/A,#N/A,TRUE,"EXT-TABLE";#N/A,#N/A,TRUE,"STEEL";#N/A,#N/A,TRUE,"INT-Table";#N/A,#N/A,TRUE,"STEEL";#N/A,#N/A,TRUE,"Door"}</definedName>
    <definedName name="ERD" hidden="1">{#N/A,#N/A,TRUE,"Basic";#N/A,#N/A,TRUE,"EXT-TABLE";#N/A,#N/A,TRUE,"STEEL";#N/A,#N/A,TRUE,"INT-Table";#N/A,#N/A,TRUE,"STEEL";#N/A,#N/A,TRUE,"Door"}</definedName>
    <definedName name="ergt" localSheetId="3" hidden="1">{#N/A,#N/A,FALSE,"Çaykara ataköy (1)";#N/A,#N/A,FALSE,"Çaykara ataköy (2)";#N/A,#N/A,FALSE,"Rize Kalkandere ";#N/A,#N/A,FALSE,"meydancık";#N/A,#N/A,FALSE,"muratlı"}</definedName>
    <definedName name="ergt" hidden="1">{#N/A,#N/A,FALSE,"Çaykara ataköy (1)";#N/A,#N/A,FALSE,"Çaykara ataköy (2)";#N/A,#N/A,FALSE,"Rize Kalkandere ";#N/A,#N/A,FALSE,"meydancık";#N/A,#N/A,FALSE,"muratlı"}</definedName>
    <definedName name="ErrName223737537">[76]Cash2!$G$16:$G$31</definedName>
    <definedName name="ErrName301948010">{0,0,0,0;0,0,0,0;0,0,0,0;0,0,0,0;0,0,0,0;0,0,0,0}</definedName>
    <definedName name="ErrName903058408">#REF!</definedName>
    <definedName name="ert">{"'장비'!$A$3:$M$12"}</definedName>
    <definedName name="ertd" localSheetId="3" hidden="1">{#N/A,#N/A,FALSE,"Çaykara ataköy (1)";#N/A,#N/A,FALSE,"Çaykara ataköy (2)";#N/A,#N/A,FALSE,"Rize Kalkandere ";#N/A,#N/A,FALSE,"meydancık";#N/A,#N/A,FALSE,"muratlı"}</definedName>
    <definedName name="ertd" hidden="1">{#N/A,#N/A,FALSE,"Çaykara ataköy (1)";#N/A,#N/A,FALSE,"Çaykara ataköy (2)";#N/A,#N/A,FALSE,"Rize Kalkandere ";#N/A,#N/A,FALSE,"meydancık";#N/A,#N/A,FALSE,"muratlı"}</definedName>
    <definedName name="erty">{"'장비'!$A$3:$M$12"}</definedName>
    <definedName name="escalation" localSheetId="3">#REF!</definedName>
    <definedName name="escalation">#REF!</definedName>
    <definedName name="ESE" localSheetId="3" hidden="1">{#N/A,#N/A,FALSE,"TABLE"}</definedName>
    <definedName name="ESE" hidden="1">{#N/A,#N/A,FALSE,"TABLE"}</definedName>
    <definedName name="Espiye" localSheetId="3" hidden="1">{#N/A,#N/A,FALSE,"Çaykara ataköy (1)";#N/A,#N/A,FALSE,"Çaykara ataköy (2)";#N/A,#N/A,FALSE,"Rize Kalkandere ";#N/A,#N/A,FALSE,"meydancık";#N/A,#N/A,FALSE,"muratlı"}</definedName>
    <definedName name="Espiye" hidden="1">{#N/A,#N/A,FALSE,"Çaykara ataköy (1)";#N/A,#N/A,FALSE,"Çaykara ataköy (2)";#N/A,#N/A,FALSE,"Rize Kalkandere ";#N/A,#N/A,FALSE,"meydancık";#N/A,#N/A,FALSE,"muratlı"}</definedName>
    <definedName name="ETABLI1">"Texte 164"</definedName>
    <definedName name="ETABLI2">"Texte 176"</definedName>
    <definedName name="ETABLI3">"Texte 170"</definedName>
    <definedName name="ETABLI4">"Texte 182"</definedName>
    <definedName name="ETE" localSheetId="3" hidden="1">{#N/A,#N/A,FALSE,"TABLE"}</definedName>
    <definedName name="ETE" hidden="1">{#N/A,#N/A,FALSE,"TABLE"}</definedName>
    <definedName name="EU" localSheetId="3">#REF!</definedName>
    <definedName name="EU">#REF!</definedName>
    <definedName name="EUP">[77]적용환율!$B$6</definedName>
    <definedName name="EUR" localSheetId="3">#REF!</definedName>
    <definedName name="EUR">#REF!</definedName>
    <definedName name="Euro" localSheetId="3">#REF!</definedName>
    <definedName name="Euro">#REF!</definedName>
    <definedName name="ewr" hidden="1">#REF!</definedName>
    <definedName name="EWTWET" localSheetId="3" hidden="1">{#N/A,#N/A,FALSE,"TABLE"}</definedName>
    <definedName name="EWTWET" hidden="1">{#N/A,#N/A,FALSE,"TABLE"}</definedName>
    <definedName name="ex_joint" localSheetId="3">#REF!</definedName>
    <definedName name="ex_joint">#REF!</definedName>
    <definedName name="Exch._K">'[57]현장 개요'!$D$9</definedName>
    <definedName name="Exch_E">'[57]현장 개요'!$D$10</definedName>
    <definedName name="Exch_L">'[57]현장 개요'!$D$11</definedName>
    <definedName name="exec" localSheetId="3">#REF!</definedName>
    <definedName name="exec">#REF!</definedName>
    <definedName name="Ext_Paint_Final" localSheetId="3">#REF!</definedName>
    <definedName name="Ext_Paint_Final">#REF!</definedName>
    <definedName name="Ext_Paint_Intermediate" localSheetId="3">#REF!</definedName>
    <definedName name="Ext_Paint_Intermediate">#REF!</definedName>
    <definedName name="Ext_Paint_Primer" localSheetId="3">#REF!</definedName>
    <definedName name="Ext_Paint_Primer">#REF!</definedName>
    <definedName name="_xlnm.Extract">#REF!</definedName>
    <definedName name="EXTRACT_MI" localSheetId="3">#REF!</definedName>
    <definedName name="EXTRACT_MI">#REF!</definedName>
    <definedName name="eyteyt" localSheetId="3" hidden="1">{#N/A,#N/A,FALSE,"CCTV"}</definedName>
    <definedName name="eyteyt" hidden="1">{#N/A,#N/A,FALSE,"CCTV"}</definedName>
    <definedName name="F" localSheetId="17">[78]영업소실적!#REF!</definedName>
    <definedName name="F" localSheetId="15">[78]영업소실적!#REF!</definedName>
    <definedName name="F" localSheetId="4">#REF!</definedName>
    <definedName name="F">[78]영업소실적!#REF!</definedName>
    <definedName name="F_CODE" localSheetId="3">#REF!</definedName>
    <definedName name="F_CODE">#REF!</definedName>
    <definedName name="F_DES" localSheetId="3">#REF!</definedName>
    <definedName name="F_DES">#REF!</definedName>
    <definedName name="F_INT1">#N/A</definedName>
    <definedName name="F_LA1" localSheetId="3">#REF!</definedName>
    <definedName name="F_LA1">#REF!</definedName>
    <definedName name="F_LA2" localSheetId="3">#REF!</definedName>
    <definedName name="F_LA2">#REF!</definedName>
    <definedName name="F_LA3" localSheetId="3">#REF!</definedName>
    <definedName name="F_LA3">#REF!</definedName>
    <definedName name="F_QUNIT" localSheetId="3">#REF!</definedName>
    <definedName name="F_QUNIT">#REF!</definedName>
    <definedName name="F_Rate">'[57]현장 개요'!$E$47</definedName>
    <definedName name="f_shape" localSheetId="17">#REF!</definedName>
    <definedName name="f_shape" localSheetId="15">#REF!</definedName>
    <definedName name="f_shape" localSheetId="3">#REF!</definedName>
    <definedName name="f_shape">#REF!</definedName>
    <definedName name="F_SIZE">#N/A</definedName>
    <definedName name="fact" localSheetId="3">#REF!</definedName>
    <definedName name="fact">#REF!</definedName>
    <definedName name="Factor">[79]PumpSpec!$U$2:$V$5</definedName>
    <definedName name="FAN견적의뢰" localSheetId="3" hidden="1">{#N/A,#N/A,FALSE,"기안지";#N/A,#N/A,FALSE,"통신지"}</definedName>
    <definedName name="FAN견적의뢰" hidden="1">{#N/A,#N/A,FALSE,"기안지";#N/A,#N/A,FALSE,"통신지"}</definedName>
    <definedName name="fasfsdfsdfasdfsdfsd" localSheetId="3" hidden="1">{#N/A,#N/A,TRUE,"Basic";#N/A,#N/A,TRUE,"EXT-TABLE";#N/A,#N/A,TRUE,"STEEL";#N/A,#N/A,TRUE,"INT-Table";#N/A,#N/A,TRUE,"STEEL";#N/A,#N/A,TRUE,"Door"}</definedName>
    <definedName name="fasfsdfsdfasdfsdfsd" hidden="1">{#N/A,#N/A,TRUE,"Basic";#N/A,#N/A,TRUE,"EXT-TABLE";#N/A,#N/A,TRUE,"STEEL";#N/A,#N/A,TRUE,"INT-Table";#N/A,#N/A,TRUE,"STEEL";#N/A,#N/A,TRUE,"Door"}</definedName>
    <definedName name="fasfsdfsdfasdfsdfsd_1" hidden="1">{#N/A,#N/A,TRUE,"Basic";#N/A,#N/A,TRUE,"EXT-TABLE";#N/A,#N/A,TRUE,"STEEL";#N/A,#N/A,TRUE,"INT-Table";#N/A,#N/A,TRUE,"STEEL";#N/A,#N/A,TRUE,"Door"}</definedName>
    <definedName name="Fb">#REF!</definedName>
    <definedName name="FC" localSheetId="3">#REF!</definedName>
    <definedName name="FC">#REF!</definedName>
    <definedName name="fd" localSheetId="3" hidden="1">{#N/A,#N/A,FALSE,"TABLE"}</definedName>
    <definedName name="fd" hidden="1">{#N/A,#N/A,FALSE,"TABLE"}</definedName>
    <definedName name="fddfhdfhdgh" localSheetId="3" hidden="1">{#N/A,#N/A,FALSE,"CCTV"}</definedName>
    <definedName name="fddfhdfhdgh" hidden="1">{#N/A,#N/A,FALSE,"CCTV"}</definedName>
    <definedName name="fdf" localSheetId="3" hidden="1">{#N/A,#N/A,FALSE,"CCTV"}</definedName>
    <definedName name="fdf" hidden="1">{#N/A,#N/A,FALSE,"CCTV"}</definedName>
    <definedName name="FDFD" localSheetId="3" hidden="1">{#N/A,#N/A,FALSE,"ihz. icmal";#N/A,#N/A,FALSE,"inş_iç_ihz";#N/A,#N/A,FALSE,"inş_iç_tut";#N/A,#N/A,FALSE,"inş_iç_er";#N/A,#N/A,FALSE,"1";#N/A,#N/A,FALSE,"sıh_iç_ihz";#N/A,#N/A,FALSE,"sıh_iç_tut";#N/A,#N/A,FALSE,"sıh_iç_er";#N/A,#N/A,FALSE,"2";#N/A,#N/A,FALSE,"müş_iç_ihz";#N/A,#N/A,FALSE,"müş_iç_tut";#N/A,#N/A,FALSE,"müş_iç_er";#N/A,#N/A,FALSE,"3";#N/A,#N/A,FALSE,"kal_iç_ihz";#N/A,#N/A,FALSE,"kal_iç_tut";#N/A,#N/A,FALSE,"kal_iç_er";#N/A,#N/A,FALSE,"4";#N/A,#N/A,FALSE,"oto_ihz";#N/A,#N/A,FALSE,"oto_tut";#N/A,#N/A,FALSE,"oto_er";#N/A,#N/A,FALSE,"5";#N/A,#N/A,FALSE,"brü_ihz";#N/A,#N/A,FALSE,"brü_tut";#N/A,#N/A,FALSE,"brü_er";#N/A,#N/A,FALSE,"elk_iç_ihz";#N/A,#N/A,FALSE,"elk_iç_tut";#N/A,#N/A,FALSE,"elk_iç_er"}</definedName>
    <definedName name="FDFD" hidden="1">{#N/A,#N/A,FALSE,"ihz. icmal";#N/A,#N/A,FALSE,"inş_iç_ihz";#N/A,#N/A,FALSE,"inş_iç_tut";#N/A,#N/A,FALSE,"inş_iç_er";#N/A,#N/A,FALSE,"1";#N/A,#N/A,FALSE,"sıh_iç_ihz";#N/A,#N/A,FALSE,"sıh_iç_tut";#N/A,#N/A,FALSE,"sıh_iç_er";#N/A,#N/A,FALSE,"2";#N/A,#N/A,FALSE,"müş_iç_ihz";#N/A,#N/A,FALSE,"müş_iç_tut";#N/A,#N/A,FALSE,"müş_iç_er";#N/A,#N/A,FALSE,"3";#N/A,#N/A,FALSE,"kal_iç_ihz";#N/A,#N/A,FALSE,"kal_iç_tut";#N/A,#N/A,FALSE,"kal_iç_er";#N/A,#N/A,FALSE,"4";#N/A,#N/A,FALSE,"oto_ihz";#N/A,#N/A,FALSE,"oto_tut";#N/A,#N/A,FALSE,"oto_er";#N/A,#N/A,FALSE,"5";#N/A,#N/A,FALSE,"brü_ihz";#N/A,#N/A,FALSE,"brü_tut";#N/A,#N/A,FALSE,"brü_er";#N/A,#N/A,FALSE,"elk_iç_ihz";#N/A,#N/A,FALSE,"elk_iç_tut";#N/A,#N/A,FALSE,"elk_iç_er"}</definedName>
    <definedName name="FDFDF" localSheetId="3" hidden="1">{#N/A,#N/A,FALSE,"CCTV"}</definedName>
    <definedName name="FDFDF" hidden="1">{#N/A,#N/A,FALSE,"CCTV"}</definedName>
    <definedName name="fdfsdfsd" localSheetId="3">#REF!</definedName>
    <definedName name="fdfsdfsd">#REF!</definedName>
    <definedName name="fdgg" localSheetId="3" hidden="1">{#N/A,#N/A,FALSE,"Çaykara ataköy (1)";#N/A,#N/A,FALSE,"Çaykara ataköy (2)";#N/A,#N/A,FALSE,"Rize Kalkandere ";#N/A,#N/A,FALSE,"meydancık";#N/A,#N/A,FALSE,"muratlı"}</definedName>
    <definedName name="fdgg" hidden="1">{#N/A,#N/A,FALSE,"Çaykara ataköy (1)";#N/A,#N/A,FALSE,"Çaykara ataköy (2)";#N/A,#N/A,FALSE,"Rize Kalkandere ";#N/A,#N/A,FALSE,"meydancık";#N/A,#N/A,FALSE,"muratlı"}</definedName>
    <definedName name="fdhg" hidden="1">{#N/A,#N/A,FALSE,"이태원철근"}</definedName>
    <definedName name="fdn_no" localSheetId="17">#REF!</definedName>
    <definedName name="fdn_no" localSheetId="15">#REF!</definedName>
    <definedName name="fdn_no" localSheetId="3">#REF!</definedName>
    <definedName name="fdn_no">#REF!</definedName>
    <definedName name="fdsgf" localSheetId="3" hidden="1">{#N/A,#N/A,FALSE,"Çaykara ataköy (1)";#N/A,#N/A,FALSE,"Çaykara ataköy (2)";#N/A,#N/A,FALSE,"Rize Kalkandere ";#N/A,#N/A,FALSE,"meydancık";#N/A,#N/A,FALSE,"muratlı"}</definedName>
    <definedName name="fdsgf" hidden="1">{#N/A,#N/A,FALSE,"Çaykara ataköy (1)";#N/A,#N/A,FALSE,"Çaykara ataköy (2)";#N/A,#N/A,FALSE,"Rize Kalkandere ";#N/A,#N/A,FALSE,"meydancık";#N/A,#N/A,FALSE,"muratlı"}</definedName>
    <definedName name="Fence" localSheetId="3">{"Book1","tender-form0110-final.xls"}</definedName>
    <definedName name="Fence">{"Book1","tender-form0110-final.xls"}</definedName>
    <definedName name="ferhan" localSheetId="3" hidden="1">{#N/A,#N/A,FALSE,"Çaykara ataköy (1)";#N/A,#N/A,FALSE,"Çaykara ataköy (2)";#N/A,#N/A,FALSE,"Rize Kalkandere ";#N/A,#N/A,FALSE,"meydancık";#N/A,#N/A,FALSE,"muratlı"}</definedName>
    <definedName name="ferhan" hidden="1">{#N/A,#N/A,FALSE,"Çaykara ataköy (1)";#N/A,#N/A,FALSE,"Çaykara ataköy (2)";#N/A,#N/A,FALSE,"Rize Kalkandere ";#N/A,#N/A,FALSE,"meydancık";#N/A,#N/A,FALSE,"muratlı"}</definedName>
    <definedName name="FERHAN1" localSheetId="3" hidden="1">{#N/A,#N/A,FALSE,"Çaykara ataköy (1)";#N/A,#N/A,FALSE,"Çaykara ataköy (2)";#N/A,#N/A,FALSE,"Rize Kalkandere ";#N/A,#N/A,FALSE,"meydancık";#N/A,#N/A,FALSE,"muratlı"}</definedName>
    <definedName name="FERHAN1" hidden="1">{#N/A,#N/A,FALSE,"Çaykara ataköy (1)";#N/A,#N/A,FALSE,"Çaykara ataköy (2)";#N/A,#N/A,FALSE,"Rize Kalkandere ";#N/A,#N/A,FALSE,"meydancık";#N/A,#N/A,FALSE,"muratlı"}</definedName>
    <definedName name="ferhan2" localSheetId="3" hidden="1">{#N/A,#N/A,FALSE,"Çaykara ataköy (1)";#N/A,#N/A,FALSE,"Çaykara ataköy (2)";#N/A,#N/A,FALSE,"Rize Kalkandere ";#N/A,#N/A,FALSE,"meydancık";#N/A,#N/A,FALSE,"muratlı"}</definedName>
    <definedName name="ferhan2" hidden="1">{#N/A,#N/A,FALSE,"Çaykara ataköy (1)";#N/A,#N/A,FALSE,"Çaykara ataköy (2)";#N/A,#N/A,FALSE,"Rize Kalkandere ";#N/A,#N/A,FALSE,"meydancık";#N/A,#N/A,FALSE,"muratlı"}</definedName>
    <definedName name="FF" localSheetId="3">#REF!</definedName>
    <definedName name="ff" hidden="1">#REF!</definedName>
    <definedName name="FF." localSheetId="3" hidden="1">{#N/A,#N/A,FALSE,"Çaykara ataköy (1)";#N/A,#N/A,FALSE,"Çaykara ataköy (2)";#N/A,#N/A,FALSE,"Rize Kalkandere ";#N/A,#N/A,FALSE,"meydancık";#N/A,#N/A,FALSE,"muratlı"}</definedName>
    <definedName name="FF." hidden="1">{#N/A,#N/A,FALSE,"Çaykara ataköy (1)";#N/A,#N/A,FALSE,"Çaykara ataköy (2)";#N/A,#N/A,FALSE,"Rize Kalkandere ";#N/A,#N/A,FALSE,"meydancık";#N/A,#N/A,FALSE,"muratlı"}</definedName>
    <definedName name="FFF" localSheetId="3" hidden="1">{#N/A,#N/A,FALSE,"Çaykara ataköy (1)";#N/A,#N/A,FALSE,"Çaykara ataköy (2)";#N/A,#N/A,FALSE,"Rize Kalkandere ";#N/A,#N/A,FALSE,"meydancık";#N/A,#N/A,FALSE,"muratlı"}</definedName>
    <definedName name="FFF">'[80]MOB-MAN1'!$D$40:$BW$49</definedName>
    <definedName name="ffff" hidden="1">{#N/A,#N/A,TRUE,"Basic";#N/A,#N/A,TRUE,"EXT-TABLE";#N/A,#N/A,TRUE,"STEEL";#N/A,#N/A,TRUE,"INT-Table";#N/A,#N/A,TRUE,"STEEL";#N/A,#N/A,TRUE,"Door"}</definedName>
    <definedName name="ffffdd" hidden="1">{#N/A,#N/A,FALSE,"TABLE"}</definedName>
    <definedName name="fffff" localSheetId="3" hidden="1">{#N/A,#N/A,TRUE,"Basic";#N/A,#N/A,TRUE,"EXT-TABLE";#N/A,#N/A,TRUE,"STEEL";#N/A,#N/A,TRUE,"INT-Table";#N/A,#N/A,TRUE,"STEEL";#N/A,#N/A,TRUE,"Door"}</definedName>
    <definedName name="fffff" hidden="1">{#N/A,#N/A,TRUE,"Basic";#N/A,#N/A,TRUE,"EXT-TABLE";#N/A,#N/A,TRUE,"STEEL";#N/A,#N/A,TRUE,"INT-Table";#N/A,#N/A,TRUE,"STEEL";#N/A,#N/A,TRUE,"Door"}</definedName>
    <definedName name="fffff_1" hidden="1">{#N/A,#N/A,TRUE,"Basic";#N/A,#N/A,TRUE,"EXT-TABLE";#N/A,#N/A,TRUE,"STEEL";#N/A,#N/A,TRUE,"INT-Table";#N/A,#N/A,TRUE,"STEEL";#N/A,#N/A,TRUE,"Door"}</definedName>
    <definedName name="ffffff" localSheetId="3" hidden="1">{#N/A,#N/A,FALSE,"CCTV"}</definedName>
    <definedName name="ffffff" hidden="1">{#N/A,#N/A,FALSE,"CCTV"}</definedName>
    <definedName name="FFFFFFFFFFFFFF" localSheetId="3" hidden="1">{#N/A,#N/A,FALSE,"Çaykara ataköy (1)";#N/A,#N/A,FALSE,"Çaykara ataköy (2)";#N/A,#N/A,FALSE,"Rize Kalkandere ";#N/A,#N/A,FALSE,"meydancık";#N/A,#N/A,FALSE,"muratlı"}</definedName>
    <definedName name="FFFFFFFFFFFFFF" hidden="1">{#N/A,#N/A,FALSE,"Çaykara ataköy (1)";#N/A,#N/A,FALSE,"Çaykara ataköy (2)";#N/A,#N/A,FALSE,"Rize Kalkandere ";#N/A,#N/A,FALSE,"meydancık";#N/A,#N/A,FALSE,"muratlı"}</definedName>
    <definedName name="FFFFFFFFFFFFFFFFFFFF">'[81]현장 개요'!$D$6</definedName>
    <definedName name="fffffffg">{"'장비'!$A$3:$M$12"}</definedName>
    <definedName name="FFFFHBT" hidden="1">#REF!</definedName>
    <definedName name="FFFFHHH" hidden="1">'[82]TABLO-3'!$B$8:$B$8</definedName>
    <definedName name="ffgfg">{"'장비'!$A$3:$M$12"}</definedName>
    <definedName name="ffsdgsgf" localSheetId="3" hidden="1">{#N/A,#N/A,FALSE,"표지목차"}</definedName>
    <definedName name="ffsdgsgf" hidden="1">{#N/A,#N/A,FALSE,"표지목차"}</definedName>
    <definedName name="fg" localSheetId="3" hidden="1">{"'Grafik Kontrol'!$A$1:$J$8"}</definedName>
    <definedName name="fg" hidden="1">{"'Grafik Kontrol'!$A$1:$J$8"}</definedName>
    <definedName name="fg_1" localSheetId="3" hidden="1">{"'Grafik Kontrol'!$A$1:$J$8"}</definedName>
    <definedName name="fg_1" hidden="1">{"'Grafik Kontrol'!$A$1:$J$8"}</definedName>
    <definedName name="fg1314TBTB4RTDKDKDKRT" localSheetId="3">#REF!</definedName>
    <definedName name="fg1314TBTB4RTDKDKDKRT">#REF!</definedName>
    <definedName name="FG20TBTB2RT" localSheetId="3">#REF!</definedName>
    <definedName name="FG20TBTB2RT">#REF!</definedName>
    <definedName name="fg28TBTB2RTDKDK" localSheetId="3">#REF!</definedName>
    <definedName name="fg28TBTB2RTDKDK">#REF!</definedName>
    <definedName name="FG28TBTB2RTDKDKRT" localSheetId="3">#REF!</definedName>
    <definedName name="FG28TBTB2RTDKDKRT">#REF!</definedName>
    <definedName name="FG28TBTB4RTDK" localSheetId="3">#REF!</definedName>
    <definedName name="FG28TBTB4RTDK">#REF!</definedName>
    <definedName name="FG44TBTB4RTDKDK" localSheetId="3">#REF!</definedName>
    <definedName name="FG44TBTB4RTDKDK">#REF!</definedName>
    <definedName name="FG46TBTB4RTDKDK" localSheetId="17">#REF!</definedName>
    <definedName name="FG46TBTB4RTDKDK" localSheetId="15">#REF!</definedName>
    <definedName name="FG46TBTB4RTDKDK" localSheetId="3">#REF!</definedName>
    <definedName name="FG46TBTB4RTDKDK">#REF!</definedName>
    <definedName name="FGF" localSheetId="3" hidden="1">{#N/A,#N/A,FALSE,"CCTV"}</definedName>
    <definedName name="FGF" hidden="1">{#N/A,#N/A,FALSE,"CCTV"}</definedName>
    <definedName name="fgfg" localSheetId="3" hidden="1">{#N/A,#N/A,TRUE,"ÝCMAL";#N/A,#N/A,TRUE,"12221CO";#N/A,#N/A,TRUE,"12222CO";#N/A,#N/A,TRUE,"12223CK";#N/A,#N/A,TRUE,"12224CO";#N/A,#N/A,TRUE,"12225CO";#N/A,#N/A,TRUE,"12231BO";#N/A,#N/A,TRUE,"12232BO";#N/A,#N/A,TRUE,"12233BO";#N/A,#N/A,TRUE,"12234BO";#N/A,#N/A,TRUE,"12235BO";#N/A,#N/A,TRUE,"12236BO";#N/A,#N/A,TRUE,"12237BK";#N/A,#N/A,TRUE,"12238CK";#N/A,#N/A,TRUE,"12239CO";#N/A,#N/A,TRUE,"12241BO";#N/A,#N/A,TRUE,"12242BK";#N/A,#N/A,TRUE,"12243BO";#N/A,#N/A,TRUE,"12244BO";#N/A,#N/A,TRUE,"12245BO";#N/A,#N/A,TRUE,"12246CK";#N/A,#N/A,TRUE,"12247CO";#N/A,#N/A,TRUE,"12248CO";#N/A,#N/A,TRUE,"12251BO";#N/A,#N/A,TRUE,"12252BO";#N/A,#N/A,TRUE,"12253BO";#N/A,#N/A,TRUE,"12254BO";#N/A,#N/A,TRUE,"12255CK";#N/A,#N/A,TRUE,"12256CO";#N/A,#N/A,TRUE,"12257CO";#N/A,#N/A,TRUE,"12261BO";#N/A,#N/A,TRUE,"12262BO";#N/A,#N/A,TRUE,"12263BO";#N/A,#N/A,TRUE,"12264CK";#N/A,#N/A,TRUE,"12265CO";#N/A,#N/A,TRUE,"12266CO";#N/A,#N/A,TRUE,"12271CO";#N/A,#N/A,TRUE,"12272CK";#N/A,#N/A,TRUE,"12273BO";#N/A,#N/A,TRUE,"12274BO";#N/A,#N/A,TRUE,"12275BO";#N/A,#N/A,TRUE,"12276CO";#N/A,#N/A,TRUE,"12277CO";#N/A,#N/A,TRUE,"12321CO";#N/A,#N/A,TRUE,"12322CK";#N/A,#N/A,TRUE,"12323CO";#N/A,#N/A,TRUE,"12324CK";#N/A,#N/A,TRUE,"12325CO";#N/A,#N/A,TRUE,"12326CO";#N/A,#N/A,TRUE,"12327CO";#N/A,#N/A,TRUE,"12328CO";#N/A,#N/A,TRUE,"12331CO";#N/A,#N/A,TRUE,"12332CO";#N/A,#N/A,TRUE,"12333CO";#N/A,#N/A,TRUE,"12334CK";#N/A,#N/A,TRUE,"12335CO";#N/A,#N/A,TRUE,"12336CO"}</definedName>
    <definedName name="fgfg" hidden="1">{#N/A,#N/A,TRUE,"ÝCMAL";#N/A,#N/A,TRUE,"12221CO";#N/A,#N/A,TRUE,"12222CO";#N/A,#N/A,TRUE,"12223CK";#N/A,#N/A,TRUE,"12224CO";#N/A,#N/A,TRUE,"12225CO";#N/A,#N/A,TRUE,"12231BO";#N/A,#N/A,TRUE,"12232BO";#N/A,#N/A,TRUE,"12233BO";#N/A,#N/A,TRUE,"12234BO";#N/A,#N/A,TRUE,"12235BO";#N/A,#N/A,TRUE,"12236BO";#N/A,#N/A,TRUE,"12237BK";#N/A,#N/A,TRUE,"12238CK";#N/A,#N/A,TRUE,"12239CO";#N/A,#N/A,TRUE,"12241BO";#N/A,#N/A,TRUE,"12242BK";#N/A,#N/A,TRUE,"12243BO";#N/A,#N/A,TRUE,"12244BO";#N/A,#N/A,TRUE,"12245BO";#N/A,#N/A,TRUE,"12246CK";#N/A,#N/A,TRUE,"12247CO";#N/A,#N/A,TRUE,"12248CO";#N/A,#N/A,TRUE,"12251BO";#N/A,#N/A,TRUE,"12252BO";#N/A,#N/A,TRUE,"12253BO";#N/A,#N/A,TRUE,"12254BO";#N/A,#N/A,TRUE,"12255CK";#N/A,#N/A,TRUE,"12256CO";#N/A,#N/A,TRUE,"12257CO";#N/A,#N/A,TRUE,"12261BO";#N/A,#N/A,TRUE,"12262BO";#N/A,#N/A,TRUE,"12263BO";#N/A,#N/A,TRUE,"12264CK";#N/A,#N/A,TRUE,"12265CO";#N/A,#N/A,TRUE,"12266CO";#N/A,#N/A,TRUE,"12271CO";#N/A,#N/A,TRUE,"12272CK";#N/A,#N/A,TRUE,"12273BO";#N/A,#N/A,TRUE,"12274BO";#N/A,#N/A,TRUE,"12275BO";#N/A,#N/A,TRUE,"12276CO";#N/A,#N/A,TRUE,"12277CO";#N/A,#N/A,TRUE,"12321CO";#N/A,#N/A,TRUE,"12322CK";#N/A,#N/A,TRUE,"12323CO";#N/A,#N/A,TRUE,"12324CK";#N/A,#N/A,TRUE,"12325CO";#N/A,#N/A,TRUE,"12326CO";#N/A,#N/A,TRUE,"12327CO";#N/A,#N/A,TRUE,"12328CO";#N/A,#N/A,TRUE,"12331CO";#N/A,#N/A,TRUE,"12332CO";#N/A,#N/A,TRUE,"12333CO";#N/A,#N/A,TRUE,"12334CK";#N/A,#N/A,TRUE,"12335CO";#N/A,#N/A,TRUE,"12336CO"}</definedName>
    <definedName name="fgfhfgh" localSheetId="3" hidden="1">{#N/A,#N/A,FALSE,"Çaykara ataköy (1)";#N/A,#N/A,FALSE,"Çaykara ataköy (2)";#N/A,#N/A,FALSE,"Rize Kalkandere ";#N/A,#N/A,FALSE,"meydancık";#N/A,#N/A,FALSE,"muratlı"}</definedName>
    <definedName name="fgfhfgh" hidden="1">{#N/A,#N/A,FALSE,"Çaykara ataköy (1)";#N/A,#N/A,FALSE,"Çaykara ataköy (2)";#N/A,#N/A,FALSE,"Rize Kalkandere ";#N/A,#N/A,FALSE,"meydancık";#N/A,#N/A,FALSE,"muratlı"}</definedName>
    <definedName name="FGPRPRRKRKRKTBTB2RTDKDK" localSheetId="3">#REF!</definedName>
    <definedName name="FGPRPRRKRKRKTBTB2RTDKDK">#REF!</definedName>
    <definedName name="FGRKRKRKRKRKRKRKRKRKRKRKRKTBTB3" localSheetId="3">#REF!</definedName>
    <definedName name="FGRKRKRKRKRKRKRKRKRKRKRKRKTBTB3">#REF!</definedName>
    <definedName name="FHFH" localSheetId="3" hidden="1">{#N/A,#N/A,FALSE,"TABLE"}</definedName>
    <definedName name="FHFH" hidden="1">{#N/A,#N/A,FALSE,"TABLE"}</definedName>
    <definedName name="fhgjfghfghgf" localSheetId="3" hidden="1">{#N/A,#N/A,FALSE,"CCTV"}</definedName>
    <definedName name="fhgjfghfghgf" hidden="1">{#N/A,#N/A,FALSE,"CCTV"}</definedName>
    <definedName name="Field_Erection" localSheetId="3">#REF!</definedName>
    <definedName name="Field_Erection">#REF!</definedName>
    <definedName name="Field_Internals" localSheetId="3">#REF!</definedName>
    <definedName name="Field_Internals">#REF!</definedName>
    <definedName name="Field_Platform" localSheetId="3">#REF!</definedName>
    <definedName name="Field_Platform">#REF!</definedName>
    <definedName name="FieldFab" localSheetId="3">#REF!</definedName>
    <definedName name="FieldFab">#REF!</definedName>
    <definedName name="FileNameSummary">[83]Main!#REF!</definedName>
    <definedName name="filter" hidden="1">#REF!</definedName>
    <definedName name="FINAL" localSheetId="3" hidden="1">{#N/A,#N/A,FALSE,"TABLE"}</definedName>
    <definedName name="FINAL" hidden="1">{#N/A,#N/A,FALSE,"TABLE"}</definedName>
    <definedName name="Fire_Proofing" localSheetId="3">#REF!</definedName>
    <definedName name="Fire_Proofing">#REF!</definedName>
    <definedName name="FIT" localSheetId="3">#REF!</definedName>
    <definedName name="FIT">#REF!</definedName>
    <definedName name="FJKLSJ" localSheetId="3" hidden="1">{#N/A,#N/A,FALSE,"TABLE"}</definedName>
    <definedName name="FJKLSJ" hidden="1">{#N/A,#N/A,FALSE,"TABLE"}</definedName>
    <definedName name="FKJLSDJFK" localSheetId="3" hidden="1">{#N/A,#N/A,FALSE,"TABLE"}</definedName>
    <definedName name="FKJLSDJFK" hidden="1">{#N/A,#N/A,FALSE,"TABLE"}</definedName>
    <definedName name="FLG" localSheetId="3">#REF!</definedName>
    <definedName name="FLG">#REF!</definedName>
    <definedName name="FLG_Orifice" localSheetId="3">#REF!</definedName>
    <definedName name="FLG_Orifice">#REF!</definedName>
    <definedName name="FM">#REF!</definedName>
    <definedName name="fo">1300</definedName>
    <definedName name="FOBA">[84]PANTAI!$C$3</definedName>
    <definedName name="FOR" hidden="1">{#N/A,#N/A,FALSE,"CCTV"}</definedName>
    <definedName name="FOR_ITEM" localSheetId="3">#REF!</definedName>
    <definedName name="FOR_ITEM">#REF!</definedName>
    <definedName name="FORMAT" hidden="1">{#N/A,#N/A,FALSE,"CCTV"}</definedName>
    <definedName name="FOS" localSheetId="3">#REF!</definedName>
    <definedName name="FOS">#REF!</definedName>
    <definedName name="FQWFF" hidden="1">#REF!</definedName>
    <definedName name="freight1" localSheetId="3">#REF!</definedName>
    <definedName name="freight1">#REF!</definedName>
    <definedName name="fsda" localSheetId="3" hidden="1">{#N/A,#N/A,TRUE,"Basic";#N/A,#N/A,TRUE,"EXT-TABLE";#N/A,#N/A,TRUE,"STEEL";#N/A,#N/A,TRUE,"INT-Table";#N/A,#N/A,TRUE,"STEEL";#N/A,#N/A,TRUE,"Door"}</definedName>
    <definedName name="fsda" hidden="1">{#N/A,#N/A,TRUE,"Basic";#N/A,#N/A,TRUE,"EXT-TABLE";#N/A,#N/A,TRUE,"STEEL";#N/A,#N/A,TRUE,"INT-Table";#N/A,#N/A,TRUE,"STEEL";#N/A,#N/A,TRUE,"Door"}</definedName>
    <definedName name="fsda_1" hidden="1">{#N/A,#N/A,TRUE,"Basic";#N/A,#N/A,TRUE,"EXT-TABLE";#N/A,#N/A,TRUE,"STEEL";#N/A,#N/A,TRUE,"INT-Table";#N/A,#N/A,TRUE,"STEEL";#N/A,#N/A,TRUE,"Door"}</definedName>
    <definedName name="fsdaa" hidden="1">{#N/A,#N/A,TRUE,"Basic";#N/A,#N/A,TRUE,"EXT-TABLE";#N/A,#N/A,TRUE,"STEEL";#N/A,#N/A,TRUE,"INT-Table";#N/A,#N/A,TRUE,"STEEL";#N/A,#N/A,TRUE,"Door"}</definedName>
    <definedName name="fsdf" localSheetId="3" hidden="1">#REF!</definedName>
    <definedName name="fsdf" hidden="1">#REF!</definedName>
    <definedName name="FSDFSD" localSheetId="3" hidden="1">{#N/A,#N/A,FALSE,"Çaykara ataköy (1)";#N/A,#N/A,FALSE,"Çaykara ataköy (2)";#N/A,#N/A,FALSE,"Rize Kalkandere ";#N/A,#N/A,FALSE,"meydancık";#N/A,#N/A,FALSE,"muratlı"}</definedName>
    <definedName name="FSDFSD" hidden="1">{#N/A,#N/A,FALSE,"Çaykara ataköy (1)";#N/A,#N/A,FALSE,"Çaykara ataköy (2)";#N/A,#N/A,FALSE,"Rize Kalkandere ";#N/A,#N/A,FALSE,"meydancık";#N/A,#N/A,FALSE,"muratlı"}</definedName>
    <definedName name="FSIZE" localSheetId="3">#REF!</definedName>
    <definedName name="FSIZE">#REF!</definedName>
    <definedName name="ft">[85]PUMP!$A$6</definedName>
    <definedName name="fththfg" hidden="1">[14]유림골조!#REF!</definedName>
    <definedName name="Furniture" hidden="1">{#N/A,#N/A,TRUE,"Basic";#N/A,#N/A,TRUE,"EXT-TABLE";#N/A,#N/A,TRUE,"STEEL";#N/A,#N/A,TRUE,"INT-Table";#N/A,#N/A,TRUE,"STEEL";#N/A,#N/A,TRUE,"Door"}</definedName>
    <definedName name="fwbs_name" localSheetId="3">#REF!</definedName>
    <definedName name="fwbs_name">#REF!</definedName>
    <definedName name="g">[86]사업계획!$AF$54</definedName>
    <definedName name="G.M.Eköden.İht." localSheetId="3" hidden="1">{#N/A,#N/A,FALSE,"Çaykara ataköy (1)";#N/A,#N/A,FALSE,"Çaykara ataköy (2)";#N/A,#N/A,FALSE,"Rize Kalkandere ";#N/A,#N/A,FALSE,"meydancık";#N/A,#N/A,FALSE,"muratlı"}</definedName>
    <definedName name="G.M.Eköden.İht." hidden="1">{#N/A,#N/A,FALSE,"Çaykara ataköy (1)";#N/A,#N/A,FALSE,"Çaykara ataköy (2)";#N/A,#N/A,FALSE,"Rize Kalkandere ";#N/A,#N/A,FALSE,"meydancık";#N/A,#N/A,FALSE,"muratlı"}</definedName>
    <definedName name="G_P_P">#N/A</definedName>
    <definedName name="Gas" localSheetId="3">#REF!</definedName>
    <definedName name="Gas">#REF!</definedName>
    <definedName name="Gasoline" comment="가솔린단가">[64]차량운영비!$O$8</definedName>
    <definedName name="GASUL" localSheetId="3">#REF!</definedName>
    <definedName name="GASUL">#REF!</definedName>
    <definedName name="gate" localSheetId="3">#REF!</definedName>
    <definedName name="gate">#REF!</definedName>
    <definedName name="GBP">'[46]Ex-Rate'!$C$8</definedName>
    <definedName name="GBP_SDG" localSheetId="3">#REF!</definedName>
    <definedName name="GBP_SDG">#REF!</definedName>
    <definedName name="gdsf" localSheetId="3" hidden="1">{#N/A,#N/A,TRUE,"ÞIA1BO";#N/A,#N/A,TRUE,"ÞIA2BO";#N/A,#N/A,TRUE,"ÞIA3BO";#N/A,#N/A,TRUE,"ÞIA4BK";#N/A,#N/A,TRUE,"ÞIB1BK";#N/A,#N/A,TRUE,"ÞIB2BO";#N/A,#N/A,TRUE,"ÞIG1BO";#N/A,#N/A,TRUE,"ÞIG2BO";#N/A,#N/A,TRUE,"ÞIG3BO";#N/A,#N/A,TRUE,"ÞIG4CO";#N/A,#N/A,TRUE,"ÞIG5CO";#N/A,#N/A,TRUE,"ÞIG6CO";#N/A,#N/A,TRUE,"ÞIG7CO";#N/A,#N/A,TRUE,"ÞIG8CK";#N/A,#N/A,TRUE,"ÞIG9CO";#N/A,#N/A,TRUE,"ÞIG10CK";#N/A,#N/A,TRUE,"ÞIH1CO";#N/A,#N/A,TRUE,"ÞIH2CO";#N/A,#N/A,TRUE,"ÞIH3CO";#N/A,#N/A,TRUE,"ÞIH4CO";#N/A,#N/A,TRUE,"ÞIH5CO";#N/A,#N/A,TRUE,"ÞIH7CO";#N/A,#N/A,TRUE,"ÝCMAL";#N/A,#N/A,TRUE,"A Adasý";#N/A,#N/A,TRUE,"B Adasý";#N/A,#N/A,TRUE,"G Adasý";#N/A,#N/A,TRUE,"H Adasý";#N/A,#N/A,TRUE,"J Adasý"}</definedName>
    <definedName name="gdsf" hidden="1">{#N/A,#N/A,TRUE,"ÞIA1BO";#N/A,#N/A,TRUE,"ÞIA2BO";#N/A,#N/A,TRUE,"ÞIA3BO";#N/A,#N/A,TRUE,"ÞIA4BK";#N/A,#N/A,TRUE,"ÞIB1BK";#N/A,#N/A,TRUE,"ÞIB2BO";#N/A,#N/A,TRUE,"ÞIG1BO";#N/A,#N/A,TRUE,"ÞIG2BO";#N/A,#N/A,TRUE,"ÞIG3BO";#N/A,#N/A,TRUE,"ÞIG4CO";#N/A,#N/A,TRUE,"ÞIG5CO";#N/A,#N/A,TRUE,"ÞIG6CO";#N/A,#N/A,TRUE,"ÞIG7CO";#N/A,#N/A,TRUE,"ÞIG8CK";#N/A,#N/A,TRUE,"ÞIG9CO";#N/A,#N/A,TRUE,"ÞIG10CK";#N/A,#N/A,TRUE,"ÞIH1CO";#N/A,#N/A,TRUE,"ÞIH2CO";#N/A,#N/A,TRUE,"ÞIH3CO";#N/A,#N/A,TRUE,"ÞIH4CO";#N/A,#N/A,TRUE,"ÞIH5CO";#N/A,#N/A,TRUE,"ÞIH7CO";#N/A,#N/A,TRUE,"ÝCMAL";#N/A,#N/A,TRUE,"A Adasý";#N/A,#N/A,TRUE,"B Adasý";#N/A,#N/A,TRUE,"G Adasý";#N/A,#N/A,TRUE,"H Adasý";#N/A,#N/A,TRUE,"J Adasý"}</definedName>
    <definedName name="Gen.Müd.İhl" localSheetId="3" hidden="1">{#N/A,#N/A,FALSE,"Çaykara ataköy (1)";#N/A,#N/A,FALSE,"Çaykara ataköy (2)";#N/A,#N/A,FALSE,"Rize Kalkandere ";#N/A,#N/A,FALSE,"meydancık";#N/A,#N/A,FALSE,"muratlı"}</definedName>
    <definedName name="Gen.Müd.İhl" hidden="1">{#N/A,#N/A,FALSE,"Çaykara ataköy (1)";#N/A,#N/A,FALSE,"Çaykara ataköy (2)";#N/A,#N/A,FALSE,"Rize Kalkandere ";#N/A,#N/A,FALSE,"meydancık";#N/A,#N/A,FALSE,"muratlı"}</definedName>
    <definedName name="GFD" localSheetId="3" hidden="1">{#N/A,#N/A,FALSE,"TABLE"}</definedName>
    <definedName name="GFD" hidden="1">{#N/A,#N/A,FALSE,"TABLE"}</definedName>
    <definedName name="gfjgfh" localSheetId="3" hidden="1">{#N/A,#N/A,FALSE,"CCTV"}</definedName>
    <definedName name="gfjgfh" hidden="1">{#N/A,#N/A,FALSE,"CCTV"}</definedName>
    <definedName name="gfjgfhfg" localSheetId="3" hidden="1">{#N/A,#N/A,FALSE,"CCTV"}</definedName>
    <definedName name="gfjgfhfg" hidden="1">{#N/A,#N/A,FALSE,"CCTV"}</definedName>
    <definedName name="gfsfg" hidden="1">{#N/A,#N/A,FALSE,"이태원철근"}</definedName>
    <definedName name="GG" localSheetId="3" hidden="1">{#N/A,#N/A,FALSE,"Çaykara ataköy (1)";#N/A,#N/A,FALSE,"Çaykara ataköy (2)";#N/A,#N/A,FALSE,"Rize Kalkandere ";#N/A,#N/A,FALSE,"meydancık";#N/A,#N/A,FALSE,"muratlı"}</definedName>
    <definedName name="gg" hidden="1">{"LKD",#N/A,FALSE,"표지"}</definedName>
    <definedName name="GG." localSheetId="3" hidden="1">{#N/A,#N/A,FALSE,"Çaykara ataköy (1)";#N/A,#N/A,FALSE,"Çaykara ataköy (2)";#N/A,#N/A,FALSE,"Rize Kalkandere ";#N/A,#N/A,FALSE,"meydancık";#N/A,#N/A,FALSE,"muratlı"}</definedName>
    <definedName name="GG." hidden="1">{#N/A,#N/A,FALSE,"Çaykara ataköy (1)";#N/A,#N/A,FALSE,"Çaykara ataköy (2)";#N/A,#N/A,FALSE,"Rize Kalkandere ";#N/A,#N/A,FALSE,"meydancık";#N/A,#N/A,FALSE,"muratlı"}</definedName>
    <definedName name="GGG" localSheetId="3" hidden="1">{"'Grafik Kontrol'!$A$1:$J$8"}</definedName>
    <definedName name="ggg">{"'장비'!$A$3:$M$12"}</definedName>
    <definedName name="GGG_1" localSheetId="3" hidden="1">{"'Grafik Kontrol'!$A$1:$J$8"}</definedName>
    <definedName name="GGG_1" hidden="1">{"'Grafik Kontrol'!$A$1:$J$8"}</definedName>
    <definedName name="gggg">{"'장비'!$A$3:$M$12"}</definedName>
    <definedName name="ggggg">{"'장비'!$A$3:$M$12"}</definedName>
    <definedName name="ghdghdg" hidden="1">{#N/A,#N/A,FALSE,"이태원철근"}</definedName>
    <definedName name="ghghhg" localSheetId="3" hidden="1">{#N/A,#N/A,FALSE,"Çaykara ataköy (1)";#N/A,#N/A,FALSE,"Çaykara ataköy (2)";#N/A,#N/A,FALSE,"Rize Kalkandere ";#N/A,#N/A,FALSE,"meydancık";#N/A,#N/A,FALSE,"muratlı"}</definedName>
    <definedName name="ghghhg" hidden="1">{#N/A,#N/A,FALSE,"Çaykara ataköy (1)";#N/A,#N/A,FALSE,"Çaykara ataköy (2)";#N/A,#N/A,FALSE,"Rize Kalkandere ";#N/A,#N/A,FALSE,"meydancık";#N/A,#N/A,FALSE,"muratlı"}</definedName>
    <definedName name="ghhg" localSheetId="3" hidden="1">{"'Grafik Kontrol'!$A$1:$J$8"}</definedName>
    <definedName name="ghhg" hidden="1">{"'Grafik Kontrol'!$A$1:$J$8"}</definedName>
    <definedName name="ghhg_1" localSheetId="3" hidden="1">{"'Grafik Kontrol'!$A$1:$J$8"}</definedName>
    <definedName name="ghhg_1" hidden="1">{"'Grafik Kontrol'!$A$1:$J$8"}</definedName>
    <definedName name="GHI" localSheetId="3" hidden="1">{#N/A,#N/A,FALSE,"TABLE"}</definedName>
    <definedName name="GHI" hidden="1">{#N/A,#N/A,FALSE,"TABLE"}</definedName>
    <definedName name="GJ1M" localSheetId="17">#REF!</definedName>
    <definedName name="GJ1M" localSheetId="15">#REF!</definedName>
    <definedName name="GJ1M" localSheetId="3">#REF!</definedName>
    <definedName name="GJ1M">#REF!</definedName>
    <definedName name="GJ1Y" localSheetId="17">#REF!</definedName>
    <definedName name="GJ1Y" localSheetId="15">#REF!</definedName>
    <definedName name="GJ1Y" localSheetId="3">#REF!</definedName>
    <definedName name="GJ1Y">#REF!</definedName>
    <definedName name="GJ3M" localSheetId="17">#REF!</definedName>
    <definedName name="GJ3M" localSheetId="15">#REF!</definedName>
    <definedName name="GJ3M" localSheetId="3">#REF!</definedName>
    <definedName name="GJ3M">#REF!</definedName>
    <definedName name="GJ3Y" localSheetId="17">#REF!</definedName>
    <definedName name="GJ3Y" localSheetId="15">#REF!</definedName>
    <definedName name="GJ3Y" localSheetId="3">#REF!</definedName>
    <definedName name="GJ3Y">#REF!</definedName>
    <definedName name="GJ5P" localSheetId="17">'[26]95삼성급(본사)'!#REF!</definedName>
    <definedName name="GJ5P" localSheetId="15">'[26]95삼성급(본사)'!#REF!</definedName>
    <definedName name="GJ5P">'[26]95삼성급(본사)'!#REF!</definedName>
    <definedName name="GJ5Y" localSheetId="17">'[26]95삼성급(본사)'!#REF!</definedName>
    <definedName name="GJ5Y" localSheetId="15">'[26]95삼성급(본사)'!#REF!</definedName>
    <definedName name="GJ5Y">'[26]95삼성급(본사)'!#REF!</definedName>
    <definedName name="GK" localSheetId="3">#REF!</definedName>
    <definedName name="GK">#REF!</definedName>
    <definedName name="GLAND600V" localSheetId="3">#REF!</definedName>
    <definedName name="GLAND600V">#REF!</definedName>
    <definedName name="GLAND6KV" localSheetId="3">#REF!</definedName>
    <definedName name="GLAND6KV">#REF!</definedName>
    <definedName name="globe" localSheetId="3">#REF!</definedName>
    <definedName name="globe">#REF!</definedName>
    <definedName name="gnfyat.anliz" localSheetId="3" hidden="1">{#N/A,#N/A,FALSE,"Çaykara ataköy (1)";#N/A,#N/A,FALSE,"Çaykara ataköy (2)";#N/A,#N/A,FALSE,"Rize Kalkandere ";#N/A,#N/A,FALSE,"meydancık";#N/A,#N/A,FALSE,"muratlı"}</definedName>
    <definedName name="gnfyat.anliz" hidden="1">{#N/A,#N/A,FALSE,"Çaykara ataköy (1)";#N/A,#N/A,FALSE,"Çaykara ataköy (2)";#N/A,#N/A,FALSE,"Rize Kalkandere ";#N/A,#N/A,FALSE,"meydancık";#N/A,#N/A,FALSE,"muratlı"}</definedName>
    <definedName name="GO" localSheetId="3">#REF!</definedName>
    <definedName name="GO">#REF!</definedName>
    <definedName name="god_num" localSheetId="3">#REF!</definedName>
    <definedName name="god_num">#REF!</definedName>
    <definedName name="GOH" localSheetId="3" hidden="1">{#N/A,#N/A,FALSE,"TABLE"}</definedName>
    <definedName name="GOH" hidden="1">{#N/A,#N/A,FALSE,"TABLE"}</definedName>
    <definedName name="gölge" localSheetId="3" hidden="1">{#N/A,#N/A,FALSE,"Çaykara ataköy (1)";#N/A,#N/A,FALSE,"Çaykara ataköy (2)";#N/A,#N/A,FALSE,"Rize Kalkandere ";#N/A,#N/A,FALSE,"meydancık";#N/A,#N/A,FALSE,"muratlı"}</definedName>
    <definedName name="gölge" hidden="1">{#N/A,#N/A,FALSE,"Çaykara ataköy (1)";#N/A,#N/A,FALSE,"Çaykara ataköy (2)";#N/A,#N/A,FALSE,"Rize Kalkandere ";#N/A,#N/A,FALSE,"meydancık";#N/A,#N/A,FALSE,"muratlı"}</definedName>
    <definedName name="görk" localSheetId="3" hidden="1">{#N/A,#N/A,FALSE,"ihz. icmal";#N/A,#N/A,FALSE,"inş_iç_ihz";#N/A,#N/A,FALSE,"inş_iç_tut";#N/A,#N/A,FALSE,"inş_iç_er";#N/A,#N/A,FALSE,"1";#N/A,#N/A,FALSE,"sıh_iç_ihz";#N/A,#N/A,FALSE,"sıh_iç_tut";#N/A,#N/A,FALSE,"sıh_iç_er";#N/A,#N/A,FALSE,"2";#N/A,#N/A,FALSE,"müş_iç_ihz";#N/A,#N/A,FALSE,"müş_iç_tut";#N/A,#N/A,FALSE,"müş_iç_er";#N/A,#N/A,FALSE,"3";#N/A,#N/A,FALSE,"kal_iç_ihz";#N/A,#N/A,FALSE,"kal_iç_tut";#N/A,#N/A,FALSE,"kal_iç_er";#N/A,#N/A,FALSE,"4";#N/A,#N/A,FALSE,"oto_ihz";#N/A,#N/A,FALSE,"oto_tut";#N/A,#N/A,FALSE,"oto_er";#N/A,#N/A,FALSE,"5";#N/A,#N/A,FALSE,"brü_ihz";#N/A,#N/A,FALSE,"brü_tut";#N/A,#N/A,FALSE,"brü_er";#N/A,#N/A,FALSE,"elk_iç_ihz";#N/A,#N/A,FALSE,"elk_iç_tut";#N/A,#N/A,FALSE,"elk_iç_er"}</definedName>
    <definedName name="görk" hidden="1">{#N/A,#N/A,FALSE,"ihz. icmal";#N/A,#N/A,FALSE,"inş_iç_ihz";#N/A,#N/A,FALSE,"inş_iç_tut";#N/A,#N/A,FALSE,"inş_iç_er";#N/A,#N/A,FALSE,"1";#N/A,#N/A,FALSE,"sıh_iç_ihz";#N/A,#N/A,FALSE,"sıh_iç_tut";#N/A,#N/A,FALSE,"sıh_iç_er";#N/A,#N/A,FALSE,"2";#N/A,#N/A,FALSE,"müş_iç_ihz";#N/A,#N/A,FALSE,"müş_iç_tut";#N/A,#N/A,FALSE,"müş_iç_er";#N/A,#N/A,FALSE,"3";#N/A,#N/A,FALSE,"kal_iç_ihz";#N/A,#N/A,FALSE,"kal_iç_tut";#N/A,#N/A,FALSE,"kal_iç_er";#N/A,#N/A,FALSE,"4";#N/A,#N/A,FALSE,"oto_ihz";#N/A,#N/A,FALSE,"oto_tut";#N/A,#N/A,FALSE,"oto_er";#N/A,#N/A,FALSE,"5";#N/A,#N/A,FALSE,"brü_ihz";#N/A,#N/A,FALSE,"brü_tut";#N/A,#N/A,FALSE,"brü_er";#N/A,#N/A,FALSE,"elk_iç_ihz";#N/A,#N/A,FALSE,"elk_iç_tut";#N/A,#N/A,FALSE,"elk_iç_er"}</definedName>
    <definedName name="GP">'[53]총괄표(OOK)'!$Q$10</definedName>
    <definedName name="GRAFİK2" hidden="1">#REF!</definedName>
    <definedName name="grout_type" localSheetId="17">#REF!</definedName>
    <definedName name="grout_type" localSheetId="15">#REF!</definedName>
    <definedName name="grout_type" localSheetId="3">#REF!</definedName>
    <definedName name="grout_type">#REF!</definedName>
    <definedName name="GrphActSales" localSheetId="17">#REF!</definedName>
    <definedName name="GrphActSales" localSheetId="15">#REF!</definedName>
    <definedName name="GrphActSales" localSheetId="3">#REF!</definedName>
    <definedName name="GrphActSales">#REF!</definedName>
    <definedName name="GrphActStk" localSheetId="17">#REF!</definedName>
    <definedName name="GrphActStk" localSheetId="15">#REF!</definedName>
    <definedName name="GrphActStk" localSheetId="3">#REF!</definedName>
    <definedName name="GrphActStk">#REF!</definedName>
    <definedName name="GrphPlanSales" localSheetId="17">#REF!</definedName>
    <definedName name="GrphPlanSales" localSheetId="15">#REF!</definedName>
    <definedName name="GrphPlanSales" localSheetId="3">#REF!</definedName>
    <definedName name="GrphPlanSales">#REF!</definedName>
    <definedName name="GrphTgtStk" localSheetId="17">#REF!</definedName>
    <definedName name="GrphTgtStk" localSheetId="15">#REF!</definedName>
    <definedName name="GrphTgtStk" localSheetId="3">#REF!</definedName>
    <definedName name="GrphTgtStk">#REF!</definedName>
    <definedName name="grto">#REF!</definedName>
    <definedName name="gs" localSheetId="3" hidden="1">{#N/A,#N/A,FALSE,"Çaykara ataköy (1)";#N/A,#N/A,FALSE,"Çaykara ataköy (2)";#N/A,#N/A,FALSE,"Rize Kalkandere ";#N/A,#N/A,FALSE,"meydancık";#N/A,#N/A,FALSE,"muratlı"}</definedName>
    <definedName name="gs" hidden="1">{#N/A,#N/A,FALSE,"Çaykara ataköy (1)";#N/A,#N/A,FALSE,"Çaykara ataköy (2)";#N/A,#N/A,FALSE,"Rize Kalkandere ";#N/A,#N/A,FALSE,"meydancık";#N/A,#N/A,FALSE,"muratlı"}</definedName>
    <definedName name="gs." localSheetId="3" hidden="1">{#N/A,#N/A,FALSE,"Çaykara ataköy (1)";#N/A,#N/A,FALSE,"Çaykara ataköy (2)";#N/A,#N/A,FALSE,"Rize Kalkandere ";#N/A,#N/A,FALSE,"meydancık";#N/A,#N/A,FALSE,"muratlı"}</definedName>
    <definedName name="gs." hidden="1">{#N/A,#N/A,FALSE,"Çaykara ataköy (1)";#N/A,#N/A,FALSE,"Çaykara ataköy (2)";#N/A,#N/A,FALSE,"Rize Kalkandere ";#N/A,#N/A,FALSE,"meydancık";#N/A,#N/A,FALSE,"muratlı"}</definedName>
    <definedName name="gta">[86]사업계획!$AE$54</definedName>
    <definedName name="GTTA">'[87]간접비(1)'!$AE$54</definedName>
    <definedName name="GTTB">'[87]간접비(1)'!$AF$54</definedName>
    <definedName name="gtwhh" hidden="1">#REF!</definedName>
    <definedName name="GTY">[88]HDECGTY!$A$9:$P$10</definedName>
    <definedName name="ĞÜM" localSheetId="3" hidden="1">{#N/A,#N/A,FALSE,"Çaykara ataköy (1)";#N/A,#N/A,FALSE,"Çaykara ataköy (2)";#N/A,#N/A,FALSE,"Rize Kalkandere ";#N/A,#N/A,FALSE,"meydancık";#N/A,#N/A,FALSE,"muratlı"}</definedName>
    <definedName name="ĞÜM" hidden="1">{#N/A,#N/A,FALSE,"Çaykara ataköy (1)";#N/A,#N/A,FALSE,"Çaykara ataköy (2)";#N/A,#N/A,FALSE,"Rize Kalkandere ";#N/A,#N/A,FALSE,"meydancık";#N/A,#N/A,FALSE,"muratlı"}</definedName>
    <definedName name="GUUUG" localSheetId="3" hidden="1">{#N/A,#N/A,FALSE,"söz_fiy_fark";#N/A,#N/A,FALSE,"ihz. icmal";#N/A,#N/A,FALSE,"1";#N/A,#N/A,FALSE,"sıh_iç_ihz";#N/A,#N/A,FALSE,"sıh_iç_tut";#N/A,#N/A,FALSE,"sıh_iç_er";#N/A,#N/A,FALSE,"2";#N/A,#N/A,FALSE,"müş_iç_ihz";#N/A,#N/A,FALSE,"müş_iç_tut";#N/A,#N/A,FALSE,"müş_iç_er";#N/A,#N/A,FALSE,"3";#N/A,#N/A,FALSE,"kal_iç_ihz";#N/A,#N/A,FALSE,"kal_iç_tut";#N/A,#N/A,FALSE,"kal_iç_er";#N/A,#N/A,FALSE,"4";#N/A,#N/A,FALSE,"oto_ihz";#N/A,#N/A,FALSE,"oto_tut";#N/A,#N/A,FALSE,"oto_er";#N/A,#N/A,FALSE,"5";#N/A,#N/A,FALSE,"brü_ihz";#N/A,#N/A,FALSE,"brü_tut";#N/A,#N/A,FALSE,"brü_er"}</definedName>
    <definedName name="GUUUG" hidden="1">{#N/A,#N/A,FALSE,"söz_fiy_fark";#N/A,#N/A,FALSE,"ihz. icmal";#N/A,#N/A,FALSE,"1";#N/A,#N/A,FALSE,"sıh_iç_ihz";#N/A,#N/A,FALSE,"sıh_iç_tut";#N/A,#N/A,FALSE,"sıh_iç_er";#N/A,#N/A,FALSE,"2";#N/A,#N/A,FALSE,"müş_iç_ihz";#N/A,#N/A,FALSE,"müş_iç_tut";#N/A,#N/A,FALSE,"müş_iç_er";#N/A,#N/A,FALSE,"3";#N/A,#N/A,FALSE,"kal_iç_ihz";#N/A,#N/A,FALSE,"kal_iç_tut";#N/A,#N/A,FALSE,"kal_iç_er";#N/A,#N/A,FALSE,"4";#N/A,#N/A,FALSE,"oto_ihz";#N/A,#N/A,FALSE,"oto_tut";#N/A,#N/A,FALSE,"oto_er";#N/A,#N/A,FALSE,"5";#N/A,#N/A,FALSE,"brü_ihz";#N/A,#N/A,FALSE,"brü_tut";#N/A,#N/A,FALSE,"brü_er"}</definedName>
    <definedName name="gvv" hidden="1">{"LKD",#N/A,FALSE,"표지"}</definedName>
    <definedName name="gyg">[89]간접총괄!$D$42</definedName>
    <definedName name="h" hidden="1">[29]S1BOQ!#REF!</definedName>
    <definedName name="h_af" localSheetId="17">#REF!</definedName>
    <definedName name="h_af" localSheetId="15">#REF!</definedName>
    <definedName name="h_af" localSheetId="3">#REF!</definedName>
    <definedName name="h_af">#REF!</definedName>
    <definedName name="h_bf" localSheetId="17">#REF!</definedName>
    <definedName name="h_bf" localSheetId="15">#REF!</definedName>
    <definedName name="h_bf" localSheetId="3">#REF!</definedName>
    <definedName name="h_bf">#REF!</definedName>
    <definedName name="ha" hidden="1">{#N/A,#N/A,FALSE,"지침";#N/A,#N/A,FALSE,"환경분석";#N/A,#N/A,FALSE,"Sheet16"}</definedName>
    <definedName name="han_ins" localSheetId="3">#REF!</definedName>
    <definedName name="han_ins">#REF!</definedName>
    <definedName name="HapCKVA" localSheetId="3">#REF!</definedName>
    <definedName name="HapCKVA">#REF!</definedName>
    <definedName name="HapCKvar" localSheetId="3">#REF!</definedName>
    <definedName name="HapCKvar">#REF!</definedName>
    <definedName name="HapCKW" localSheetId="3">#REF!</definedName>
    <definedName name="HapCKW">#REF!</definedName>
    <definedName name="HapIKVA" localSheetId="3">#REF!</definedName>
    <definedName name="HapIKVA">#REF!</definedName>
    <definedName name="HapIKvar" localSheetId="3">#REF!</definedName>
    <definedName name="HapIKvar">#REF!</definedName>
    <definedName name="HapIKW" localSheetId="3">#REF!</definedName>
    <definedName name="HapIKW">#REF!</definedName>
    <definedName name="HapKVA" localSheetId="3">#REF!</definedName>
    <definedName name="HapKVA">#REF!</definedName>
    <definedName name="HapSKVA" localSheetId="3">#REF!</definedName>
    <definedName name="HapSKVA">#REF!</definedName>
    <definedName name="HapSKW" localSheetId="3">#REF!</definedName>
    <definedName name="HapSKW">#REF!</definedName>
    <definedName name="hasan" localSheetId="3" hidden="1">{#VALUE!,#N/A,TRUE,0;#N/A,#N/A,TRUE,0;#N/A,#N/A,TRUE,0;#N/A,#N/A,TRUE,0;#N/A,#N/A,TRUE,0;#N/A,#N/A,TRUE,0;#N/A,#N/A,TRUE,0;#N/A,#N/A,TRUE,0}</definedName>
    <definedName name="hasan" hidden="1">{#VALUE!,#N/A,TRUE,0;#N/A,#N/A,TRUE,0;#N/A,#N/A,TRUE,0;#N/A,#N/A,TRUE,0;#N/A,#N/A,TRUE,0;#N/A,#N/A,TRUE,0;#N/A,#N/A,TRUE,0;#N/A,#N/A,TRUE,0}</definedName>
    <definedName name="HEADER">[21]갑지!$A$1:$IV$3</definedName>
    <definedName name="HEDAL" hidden="1">{#N/A,#N/A,FALSE,"TABLE"}</definedName>
    <definedName name="HEL" localSheetId="3">#REF!</definedName>
    <definedName name="HEL">#REF!</definedName>
    <definedName name="HEM" localSheetId="3">#REF!</definedName>
    <definedName name="HEM">#REF!</definedName>
    <definedName name="hf" localSheetId="17">#REF!</definedName>
    <definedName name="hf" localSheetId="15">#REF!</definedName>
    <definedName name="hf" localSheetId="3">#REF!</definedName>
    <definedName name="hf">#REF!</definedName>
    <definedName name="hfdgfdg" localSheetId="3" hidden="1">{#N/A,#N/A,FALSE,"CCTV"}</definedName>
    <definedName name="hfdgfdg" hidden="1">{#N/A,#N/A,FALSE,"CCTV"}</definedName>
    <definedName name="hfjhhjj" localSheetId="3" hidden="1">{#N/A,#N/A,FALSE,"CCTV"}</definedName>
    <definedName name="hfjhhjj" hidden="1">{#N/A,#N/A,FALSE,"CCTV"}</definedName>
    <definedName name="HGH" localSheetId="3" hidden="1">{#N/A,#N/A,FALSE,"TABLE"}</definedName>
    <definedName name="HGH" hidden="1">{#N/A,#N/A,FALSE,"TABLE"}</definedName>
    <definedName name="HGHG" localSheetId="3" hidden="1">{#N/A,#N/A,FALSE,"TABLE"}</definedName>
    <definedName name="HGHG" hidden="1">{#N/A,#N/A,FALSE,"TABLE"}</definedName>
    <definedName name="hgjfgh" localSheetId="3" hidden="1">{#N/A,#N/A,FALSE,"CCTV"}</definedName>
    <definedName name="hgjfgh" hidden="1">{#N/A,#N/A,FALSE,"CCTV"}</definedName>
    <definedName name="hgjgfhgh" localSheetId="3" hidden="1">{#N/A,#N/A,FALSE,"CCTV"}</definedName>
    <definedName name="hgjgfhgh" hidden="1">{#N/A,#N/A,FALSE,"CCTV"}</definedName>
    <definedName name="HGJHH" localSheetId="3" hidden="1">{#N/A,#N/A,FALSE,"TABLE"}</definedName>
    <definedName name="HGJHH" hidden="1">{#N/A,#N/A,FALSE,"TABLE"}</definedName>
    <definedName name="hh" hidden="1">#REF!</definedName>
    <definedName name="HHH" localSheetId="3">BlankMacro1</definedName>
    <definedName name="HHH" hidden="1">{#N/A,#N/A,TRUE,"Basic";#N/A,#N/A,TRUE,"EXT-TABLE";#N/A,#N/A,TRUE,"STEEL";#N/A,#N/A,TRUE,"INT-Table";#N/A,#N/A,TRUE,"STEEL";#N/A,#N/A,TRUE,"Door"}</definedName>
    <definedName name="HHHH" localSheetId="3" hidden="1">{#N/A,#N/A,FALSE,"Çaykara ataköy (1)";#N/A,#N/A,FALSE,"Çaykara ataköy (2)";#N/A,#N/A,FALSE,"Rize Kalkandere ";#N/A,#N/A,FALSE,"meydancık";#N/A,#N/A,FALSE,"muratlı"}</definedName>
    <definedName name="HHHH" hidden="1">{#N/A,#N/A,FALSE,"Çaykara ataköy (1)";#N/A,#N/A,FALSE,"Çaykara ataköy (2)";#N/A,#N/A,FALSE,"Rize Kalkandere ";#N/A,#N/A,FALSE,"meydancık";#N/A,#N/A,FALSE,"muratlı"}</definedName>
    <definedName name="HHHHHHHHHHHHHHHHHHHHHHHHHHHHHHHH" localSheetId="3" hidden="1">{#N/A,#N/A,FALSE,"Çaykara ataköy (1)";#N/A,#N/A,FALSE,"Çaykara ataköy (2)";#N/A,#N/A,FALSE,"Rize Kalkandere ";#N/A,#N/A,FALSE,"meydancık";#N/A,#N/A,FALSE,"muratlı"}</definedName>
    <definedName name="HHHHHHHHHHHHHHHHHHHHHHHHHHHHHHHH" hidden="1">{#N/A,#N/A,FALSE,"Çaykara ataköy (1)";#N/A,#N/A,FALSE,"Çaykara ataköy (2)";#N/A,#N/A,FALSE,"Rize Kalkandere ";#N/A,#N/A,FALSE,"meydancık";#N/A,#N/A,FALSE,"muratlı"}</definedName>
    <definedName name="hik" localSheetId="3" hidden="1">{#N/A,#N/A,FALSE,"TABLE"}</definedName>
    <definedName name="hik" hidden="1">{#N/A,#N/A,FALSE,"TABLE"}</definedName>
    <definedName name="hjg" localSheetId="3" hidden="1">{#N/A,#N/A,FALSE,"Çaykara ataköy (1)";#N/A,#N/A,FALSE,"Çaykara ataköy (2)";#N/A,#N/A,FALSE,"Rize Kalkandere ";#N/A,#N/A,FALSE,"meydancık";#N/A,#N/A,FALSE,"muratlı"}</definedName>
    <definedName name="hjg" hidden="1">{#N/A,#N/A,FALSE,"Çaykara ataköy (1)";#N/A,#N/A,FALSE,"Çaykara ataköy (2)";#N/A,#N/A,FALSE,"Rize Kalkandere ";#N/A,#N/A,FALSE,"meydancık";#N/A,#N/A,FALSE,"muratlı"}</definedName>
    <definedName name="HJK" localSheetId="3" hidden="1">{#N/A,#N/A,FALSE,"이태원철근"}</definedName>
    <definedName name="HJK" hidden="1">{#N/A,#N/A,FALSE,"이태원철근"}</definedName>
    <definedName name="hk">0.925</definedName>
    <definedName name="hkjhkj" localSheetId="3" hidden="1">{#N/A,#N/A,FALSE,"ihz. icmal";#N/A,#N/A,FALSE,"inş_iç_ihz";#N/A,#N/A,FALSE,"inş_iç_tut";#N/A,#N/A,FALSE,"inş_iç_er";#N/A,#N/A,FALSE,"1";#N/A,#N/A,FALSE,"sıh_iç_ihz";#N/A,#N/A,FALSE,"sıh_iç_tut";#N/A,#N/A,FALSE,"sıh_iç_er";#N/A,#N/A,FALSE,"2";#N/A,#N/A,FALSE,"müş_iç_ihz";#N/A,#N/A,FALSE,"müş_iç_tut";#N/A,#N/A,FALSE,"müş_iç_er";#N/A,#N/A,FALSE,"3";#N/A,#N/A,FALSE,"kal_iç_ihz";#N/A,#N/A,FALSE,"kal_iç_tut";#N/A,#N/A,FALSE,"kal_iç_er";#N/A,#N/A,FALSE,"4";#N/A,#N/A,FALSE,"oto_ihz";#N/A,#N/A,FALSE,"oto_tut";#N/A,#N/A,FALSE,"oto_er";#N/A,#N/A,FALSE,"5";#N/A,#N/A,FALSE,"brü_ihz";#N/A,#N/A,FALSE,"brü_tut";#N/A,#N/A,FALSE,"brü_er";#N/A,#N/A,FALSE,"elk_iç_ihz";#N/A,#N/A,FALSE,"elk_iç_tut";#N/A,#N/A,FALSE,"elk_iç_er"}</definedName>
    <definedName name="hkjhkj" hidden="1">{#N/A,#N/A,FALSE,"ihz. icmal";#N/A,#N/A,FALSE,"inş_iç_ihz";#N/A,#N/A,FALSE,"inş_iç_tut";#N/A,#N/A,FALSE,"inş_iç_er";#N/A,#N/A,FALSE,"1";#N/A,#N/A,FALSE,"sıh_iç_ihz";#N/A,#N/A,FALSE,"sıh_iç_tut";#N/A,#N/A,FALSE,"sıh_iç_er";#N/A,#N/A,FALSE,"2";#N/A,#N/A,FALSE,"müş_iç_ihz";#N/A,#N/A,FALSE,"müş_iç_tut";#N/A,#N/A,FALSE,"müş_iç_er";#N/A,#N/A,FALSE,"3";#N/A,#N/A,FALSE,"kal_iç_ihz";#N/A,#N/A,FALSE,"kal_iç_tut";#N/A,#N/A,FALSE,"kal_iç_er";#N/A,#N/A,FALSE,"4";#N/A,#N/A,FALSE,"oto_ihz";#N/A,#N/A,FALSE,"oto_tut";#N/A,#N/A,FALSE,"oto_er";#N/A,#N/A,FALSE,"5";#N/A,#N/A,FALSE,"brü_ihz";#N/A,#N/A,FALSE,"brü_tut";#N/A,#N/A,FALSE,"brü_er";#N/A,#N/A,FALSE,"elk_iç_ihz";#N/A,#N/A,FALSE,"elk_iç_tut";#N/A,#N/A,FALSE,"elk_iç_er"}</definedName>
    <definedName name="ho" localSheetId="3" hidden="1">{#N/A,#N/A,FALSE,"TABLE"}</definedName>
    <definedName name="ho" hidden="1">{#N/A,#N/A,FALSE,"TABLE"}</definedName>
    <definedName name="HOME" localSheetId="3">#REF!</definedName>
    <definedName name="HOME">#REF!</definedName>
    <definedName name="HOME1">'[27]개시대사 (2)'!$A$1</definedName>
    <definedName name="HOME2">'[27]개시대사 (2)'!$H$1</definedName>
    <definedName name="HOPA." localSheetId="3" hidden="1">{#N/A,#N/A,FALSE,"Çaykara ataköy (1)";#N/A,#N/A,FALSE,"Çaykara ataköy (2)";#N/A,#N/A,FALSE,"Rize Kalkandere ";#N/A,#N/A,FALSE,"meydancık";#N/A,#N/A,FALSE,"muratlı"}</definedName>
    <definedName name="HOPA." hidden="1">{#N/A,#N/A,FALSE,"Çaykara ataköy (1)";#N/A,#N/A,FALSE,"Çaykara ataköy (2)";#N/A,#N/A,FALSE,"Rize Kalkandere ";#N/A,#N/A,FALSE,"meydancık";#N/A,#N/A,FALSE,"muratlı"}</definedName>
    <definedName name="Hot_Insulation" localSheetId="3">#REF!</definedName>
    <definedName name="Hot_Insulation">#REF!</definedName>
    <definedName name="HPL" localSheetId="3">#REF!</definedName>
    <definedName name="HPL">#REF!</definedName>
    <definedName name="HPM" localSheetId="3">#REF!</definedName>
    <definedName name="HPM">#REF!</definedName>
    <definedName name="HTML_CodePage" hidden="1">949</definedName>
    <definedName name="HTML_Control" localSheetId="3" hidden="1">{"'Total_curve(ABT)'!$A$1:$AN$60"}</definedName>
    <definedName name="HTML_Control">{"'장비'!$A$3:$M$12"}</definedName>
    <definedName name="HTML_Control_1" localSheetId="3" hidden="1">{"'Grafik Kontrol'!$A$1:$J$8"}</definedName>
    <definedName name="HTML_Control_1" hidden="1">{"'Grafik Kontrol'!$A$1:$J$8"}</definedName>
    <definedName name="HTML_Control2">{"'장비'!$A$3:$M$12"}</definedName>
    <definedName name="HTML_Description" hidden="1">""</definedName>
    <definedName name="HTML_Email" hidden="1">""</definedName>
    <definedName name="HTML_Header" localSheetId="3" hidden="1">"사업비총괄"</definedName>
    <definedName name="HTML_Header" hidden="1">"사업비총괄"</definedName>
    <definedName name="HTML_LastUpdate" localSheetId="3" hidden="1">"01-06-17"</definedName>
    <definedName name="HTML_LastUpdate" hidden="1">"01-06-17"</definedName>
    <definedName name="HTML_LineAfter" hidden="1">FALSE</definedName>
    <definedName name="HTML_LineBefore" hidden="1">FALSE</definedName>
    <definedName name="HTML_Name" localSheetId="3" hidden="1">"김정호"</definedName>
    <definedName name="HTML_Name" hidden="1">"김정호"</definedName>
    <definedName name="HTML_OBDlg2" hidden="1">TRUE</definedName>
    <definedName name="HTML_OBDlg4" hidden="1">TRUE</definedName>
    <definedName name="HTML_OS" hidden="1">0</definedName>
    <definedName name="HTML_PathFile" localSheetId="3" hidden="1">"C:\My Documents\6.htm"</definedName>
    <definedName name="HTML_PathFile" hidden="1">"C:\My Documents\6.htm"</definedName>
    <definedName name="HTML_Title" localSheetId="3" hidden="1">"비용산출"</definedName>
    <definedName name="HTML_Title" hidden="1">"비용산출"</definedName>
    <definedName name="HTR" localSheetId="3" hidden="1">{#N/A,#N/A,FALSE,"이태원철근"}</definedName>
    <definedName name="HTR" hidden="1">{#N/A,#N/A,FALSE,"이태원철근"}</definedName>
    <definedName name="huy">{"'Sheet1'!$L$16"}</definedName>
    <definedName name="hyun" localSheetId="3" hidden="1">{#N/A,#N/A,FALSE,"TABLE"}</definedName>
    <definedName name="hyun" hidden="1">{#N/A,#N/A,FALSE,"TABLE"}</definedName>
    <definedName name="HYUY" localSheetId="3" hidden="1">{#N/A,#N/A,FALSE,"TABLE"}</definedName>
    <definedName name="HYUY" hidden="1">{#N/A,#N/A,FALSE,"TABLE"}</definedName>
    <definedName name="I" localSheetId="3">#REF!</definedName>
    <definedName name="I">#REF!</definedName>
    <definedName name="ı" localSheetId="3" hidden="1">{#N/A,#N/A,FALSE,"Çaykara ataköy (1)";#N/A,#N/A,FALSE,"Çaykara ataköy (2)";#N/A,#N/A,FALSE,"Rize Kalkandere ";#N/A,#N/A,FALSE,"meydancık";#N/A,#N/A,FALSE,"muratlı"}</definedName>
    <definedName name="ı" hidden="1">{#N/A,#N/A,FALSE,"Çaykara ataköy (1)";#N/A,#N/A,FALSE,"Çaykara ataköy (2)";#N/A,#N/A,FALSE,"Rize Kalkandere ";#N/A,#N/A,FALSE,"meydancık";#N/A,#N/A,FALSE,"muratlı"}</definedName>
    <definedName name="IC" localSheetId="3" hidden="1">#REF!</definedName>
    <definedName name="IC" hidden="1">#REF!</definedName>
    <definedName name="ID600V" localSheetId="3">#REF!</definedName>
    <definedName name="ID600V">#REF!</definedName>
    <definedName name="ID6KV" localSheetId="3">#REF!</definedName>
    <definedName name="ID6KV">#REF!</definedName>
    <definedName name="Identification" localSheetId="3">INDEX(#REF!, MATCH(VALUE(#REF!),#REF!,), MATCH(#REF!,#REF!,))</definedName>
    <definedName name="Identification">INDEX(#REF!, MATCH(VALUE(#REF!),#REF!,), MATCH(#REF!,#REF!,))</definedName>
    <definedName name="IEDK" localSheetId="3" hidden="1">{#N/A,#N/A,FALSE,"TABLE"}</definedName>
    <definedName name="IEDK" hidden="1">{#N/A,#N/A,FALSE,"TABLE"}</definedName>
    <definedName name="IEIEEI" localSheetId="3" hidden="1">{#N/A,#N/A,FALSE,"TABLE"}</definedName>
    <definedName name="IEIEEI" hidden="1">{#N/A,#N/A,FALSE,"TABLE"}</definedName>
    <definedName name="IELWSALES" localSheetId="17">#REF!</definedName>
    <definedName name="IELWSALES" localSheetId="15">#REF!</definedName>
    <definedName name="IELWSALES" localSheetId="3">#REF!</definedName>
    <definedName name="IELWSALES">#REF!</definedName>
    <definedName name="IELYSALES" localSheetId="17">#REF!</definedName>
    <definedName name="IELYSALES" localSheetId="15">#REF!</definedName>
    <definedName name="IELYSALES" localSheetId="3">#REF!</definedName>
    <definedName name="IELYSALES">#REF!</definedName>
    <definedName name="IEPLANSALES" localSheetId="17">#REF!</definedName>
    <definedName name="IEPLANSALES" localSheetId="15">#REF!</definedName>
    <definedName name="IEPLANSALES" localSheetId="3">#REF!</definedName>
    <definedName name="IEPLANSALES">#REF!</definedName>
    <definedName name="IESP" localSheetId="17">#REF!</definedName>
    <definedName name="IESP" localSheetId="15">#REF!</definedName>
    <definedName name="IESP" localSheetId="3">#REF!</definedName>
    <definedName name="IESP">#REF!</definedName>
    <definedName name="ihtiyaç" localSheetId="3" hidden="1">{#N/A,#N/A,FALSE,"Çaykara ataköy (1)";#N/A,#N/A,FALSE,"Çaykara ataköy (2)";#N/A,#N/A,FALSE,"Rize Kalkandere ";#N/A,#N/A,FALSE,"meydancık";#N/A,#N/A,FALSE,"muratlı"}</definedName>
    <definedName name="ihtiyaç" hidden="1">{#N/A,#N/A,FALSE,"Çaykara ataköy (1)";#N/A,#N/A,FALSE,"Çaykara ataköy (2)";#N/A,#N/A,FALSE,"Rize Kalkandere ";#N/A,#N/A,FALSE,"meydancık";#N/A,#N/A,FALSE,"muratlı"}</definedName>
    <definedName name="ihyuhhj" localSheetId="3">#REF!</definedName>
    <definedName name="ihyuhhj">#REF!</definedName>
    <definedName name="II" localSheetId="3">#REF!</definedName>
    <definedName name="ii" hidden="1">{"LKD",#N/A,FALSE,"표지"}</definedName>
    <definedName name="iiğ" localSheetId="3" hidden="1">{#N/A,#N/A,FALSE,"ihz. icmal";#N/A,#N/A,FALSE,"inş_iç_ihz";#N/A,#N/A,FALSE,"inş_iç_tut";#N/A,#N/A,FALSE,"inş_iç_er";#N/A,#N/A,FALSE,"1";#N/A,#N/A,FALSE,"sıh_iç_ihz";#N/A,#N/A,FALSE,"sıh_iç_tut";#N/A,#N/A,FALSE,"sıh_iç_er";#N/A,#N/A,FALSE,"2";#N/A,#N/A,FALSE,"müş_iç_ihz";#N/A,#N/A,FALSE,"müş_iç_tut";#N/A,#N/A,FALSE,"müş_iç_er";#N/A,#N/A,FALSE,"3";#N/A,#N/A,FALSE,"kal_iç_ihz";#N/A,#N/A,FALSE,"kal_iç_tut";#N/A,#N/A,FALSE,"kal_iç_er";#N/A,#N/A,FALSE,"4";#N/A,#N/A,FALSE,"oto_ihz";#N/A,#N/A,FALSE,"oto_tut";#N/A,#N/A,FALSE,"oto_er";#N/A,#N/A,FALSE,"5";#N/A,#N/A,FALSE,"brü_ihz";#N/A,#N/A,FALSE,"brü_tut";#N/A,#N/A,FALSE,"brü_er";#N/A,#N/A,FALSE,"elk_iç_ihz";#N/A,#N/A,FALSE,"elk_iç_tut";#N/A,#N/A,FALSE,"elk_iç_er"}</definedName>
    <definedName name="iiğ" hidden="1">{#N/A,#N/A,FALSE,"ihz. icmal";#N/A,#N/A,FALSE,"inş_iç_ihz";#N/A,#N/A,FALSE,"inş_iç_tut";#N/A,#N/A,FALSE,"inş_iç_er";#N/A,#N/A,FALSE,"1";#N/A,#N/A,FALSE,"sıh_iç_ihz";#N/A,#N/A,FALSE,"sıh_iç_tut";#N/A,#N/A,FALSE,"sıh_iç_er";#N/A,#N/A,FALSE,"2";#N/A,#N/A,FALSE,"müş_iç_ihz";#N/A,#N/A,FALSE,"müş_iç_tut";#N/A,#N/A,FALSE,"müş_iç_er";#N/A,#N/A,FALSE,"3";#N/A,#N/A,FALSE,"kal_iç_ihz";#N/A,#N/A,FALSE,"kal_iç_tut";#N/A,#N/A,FALSE,"kal_iç_er";#N/A,#N/A,FALSE,"4";#N/A,#N/A,FALSE,"oto_ihz";#N/A,#N/A,FALSE,"oto_tut";#N/A,#N/A,FALSE,"oto_er";#N/A,#N/A,FALSE,"5";#N/A,#N/A,FALSE,"brü_ihz";#N/A,#N/A,FALSE,"brü_tut";#N/A,#N/A,FALSE,"brü_er";#N/A,#N/A,FALSE,"elk_iç_ihz";#N/A,#N/A,FALSE,"elk_iç_tut";#N/A,#N/A,FALSE,"elk_iç_er"}</definedName>
    <definedName name="iii" localSheetId="3" hidden="1">{#N/A,#N/A,FALSE,"ihz. icmal";#N/A,#N/A,FALSE,"inş_iç_ihz";#N/A,#N/A,FALSE,"inş_iç_tut";#N/A,#N/A,FALSE,"inş_iç_er";#N/A,#N/A,FALSE,"1";#N/A,#N/A,FALSE,"sıh_iç_ihz";#N/A,#N/A,FALSE,"sıh_iç_tut";#N/A,#N/A,FALSE,"sıh_iç_er";#N/A,#N/A,FALSE,"2";#N/A,#N/A,FALSE,"müş_iç_ihz";#N/A,#N/A,FALSE,"müş_iç_tut";#N/A,#N/A,FALSE,"müş_iç_er";#N/A,#N/A,FALSE,"3";#N/A,#N/A,FALSE,"kal_iç_ihz";#N/A,#N/A,FALSE,"kal_iç_tut";#N/A,#N/A,FALSE,"kal_iç_er";#N/A,#N/A,FALSE,"4";#N/A,#N/A,FALSE,"oto_ihz";#N/A,#N/A,FALSE,"oto_tut";#N/A,#N/A,FALSE,"oto_er";#N/A,#N/A,FALSE,"5";#N/A,#N/A,FALSE,"brü_ihz";#N/A,#N/A,FALSE,"brü_tut";#N/A,#N/A,FALSE,"brü_er";#N/A,#N/A,FALSE,"elk_iç_ihz";#N/A,#N/A,FALSE,"elk_iç_tut";#N/A,#N/A,FALSE,"elk_iç_er"}</definedName>
    <definedName name="iii" hidden="1">{#N/A,#N/A,FALSE,"ihz. icmal";#N/A,#N/A,FALSE,"inş_iç_ihz";#N/A,#N/A,FALSE,"inş_iç_tut";#N/A,#N/A,FALSE,"inş_iç_er";#N/A,#N/A,FALSE,"1";#N/A,#N/A,FALSE,"sıh_iç_ihz";#N/A,#N/A,FALSE,"sıh_iç_tut";#N/A,#N/A,FALSE,"sıh_iç_er";#N/A,#N/A,FALSE,"2";#N/A,#N/A,FALSE,"müş_iç_ihz";#N/A,#N/A,FALSE,"müş_iç_tut";#N/A,#N/A,FALSE,"müş_iç_er";#N/A,#N/A,FALSE,"3";#N/A,#N/A,FALSE,"kal_iç_ihz";#N/A,#N/A,FALSE,"kal_iç_tut";#N/A,#N/A,FALSE,"kal_iç_er";#N/A,#N/A,FALSE,"4";#N/A,#N/A,FALSE,"oto_ihz";#N/A,#N/A,FALSE,"oto_tut";#N/A,#N/A,FALSE,"oto_er";#N/A,#N/A,FALSE,"5";#N/A,#N/A,FALSE,"brü_ihz";#N/A,#N/A,FALSE,"brü_tut";#N/A,#N/A,FALSE,"brü_er";#N/A,#N/A,FALSE,"elk_iç_ihz";#N/A,#N/A,FALSE,"elk_iç_tut";#N/A,#N/A,FALSE,"elk_iç_er"}</definedName>
    <definedName name="ıııı" localSheetId="3" hidden="1">{#N/A,#N/A,FALSE,"Çaykara ataköy (1)";#N/A,#N/A,FALSE,"Çaykara ataköy (2)";#N/A,#N/A,FALSE,"Rize Kalkandere ";#N/A,#N/A,FALSE,"meydancık";#N/A,#N/A,FALSE,"muratlı"}</definedName>
    <definedName name="ıııı" hidden="1">{#N/A,#N/A,FALSE,"Çaykara ataköy (1)";#N/A,#N/A,FALSE,"Çaykara ataköy (2)";#N/A,#N/A,FALSE,"Rize Kalkandere ";#N/A,#N/A,FALSE,"meydancık";#N/A,#N/A,FALSE,"muratlı"}</definedName>
    <definedName name="İİİİİİİİİİİİİİİİİİİİİİİİİİİİİİİİİİİİİİİİİİİİİİİ" localSheetId="3" hidden="1">{#N/A,#N/A,FALSE,"Çaykara ataköy (1)";#N/A,#N/A,FALSE,"Çaykara ataköy (2)";#N/A,#N/A,FALSE,"Rize Kalkandere ";#N/A,#N/A,FALSE,"meydancık";#N/A,#N/A,FALSE,"muratlı"}</definedName>
    <definedName name="İİİİİİİİİİİİİİİİİİİİİİİİİİİİİİİİİİİİİİİİİİİİİİİ" hidden="1">{#N/A,#N/A,FALSE,"Çaykara ataköy (1)";#N/A,#N/A,FALSE,"Çaykara ataköy (2)";#N/A,#N/A,FALSE,"Rize Kalkandere ";#N/A,#N/A,FALSE,"meydancık";#N/A,#N/A,FALSE,"muratlı"}</definedName>
    <definedName name="iiouolkll" localSheetId="3" hidden="1">{#N/A,#N/A,FALSE,"CCTV"}</definedName>
    <definedName name="iiouolkll" hidden="1">{#N/A,#N/A,FALSE,"CCTV"}</definedName>
    <definedName name="ik" localSheetId="3" hidden="1">{#N/A,#N/A,FALSE,"변경관리예산";#N/A,#N/A,FALSE,"변경장비예산";#N/A,#N/A,FALSE,"변경준설예산";#N/A,#N/A,FALSE,"변경철구예산"}</definedName>
    <definedName name="ik" hidden="1">{#N/A,#N/A,FALSE,"변경관리예산";#N/A,#N/A,FALSE,"변경장비예산";#N/A,#N/A,FALSE,"변경준설예산";#N/A,#N/A,FALSE,"변경철구예산"}</definedName>
    <definedName name="IL">#REF!</definedName>
    <definedName name="IMPRESSION" localSheetId="3">#REF!</definedName>
    <definedName name="IMPRESSION">#REF!</definedName>
    <definedName name="İNCE" localSheetId="3" hidden="1">{#N/A,#N/A,TRUE,"ÝCMAL";#N/A,#N/A,TRUE,"32361BO";#N/A,#N/A,TRUE,"32362BO";#N/A,#N/A,TRUE,"32363BO";#N/A,#N/A,TRUE,"32364BK";#N/A,#N/A,TRUE,"32365BO";#N/A,#N/A,TRUE,"32366BO";#N/A,#N/A,TRUE,"32367BK";#N/A,#N/A,TRUE,"32368BO";#N/A,#N/A,TRUE,"32371CO";#N/A,#N/A,TRUE,"32372CO";#N/A,#N/A,TRUE,"32373CO";#N/A,#N/A,TRUE,"32374CO";#N/A,#N/A,TRUE,"32375CO";#N/A,#N/A,TRUE,"32376CK";#N/A,#N/A,TRUE,"32381BO";#N/A,#N/A,TRUE,"32382BO";#N/A,#N/A,TRUE,"32383BO";#N/A,#N/A,TRUE,"32384BO";#N/A,#N/A,TRUE,"32385BO";#N/A,#N/A,TRUE,"32386BK";#N/A,#N/A,TRUE,"32391BO";#N/A,#N/A,TRUE,"32392BO";#N/A,#N/A,TRUE,"32393BO";#N/A,#N/A,TRUE,"32394BO";#N/A,#N/A,TRUE,"32395BK";#N/A,#N/A,TRUE,"32441CO";#N/A,#N/A,TRUE,"32442CO";#N/A,#N/A,TRUE,"32443CO";#N/A,#N/A,TRUE,"32444CO";#N/A,#N/A,TRUE,"32445CK";#N/A,#N/A,TRUE,"32451BO";#N/A,#N/A,TRUE,"32452BO";#N/A,#N/A,TRUE,"32453CO";#N/A,#N/A,TRUE,"32454CO";#N/A,#N/A,TRUE,"32455CK";#N/A,#N/A,TRUE,"32461CO";#N/A,#N/A,TRUE,"32462CO";#N/A,#N/A,TRUE,"32463CO";#N/A,#N/A,TRUE,"32464CO";#N/A,#N/A,TRUE,"32465CK"}</definedName>
    <definedName name="İNCE" hidden="1">{#N/A,#N/A,TRUE,"ÝCMAL";#N/A,#N/A,TRUE,"32361BO";#N/A,#N/A,TRUE,"32362BO";#N/A,#N/A,TRUE,"32363BO";#N/A,#N/A,TRUE,"32364BK";#N/A,#N/A,TRUE,"32365BO";#N/A,#N/A,TRUE,"32366BO";#N/A,#N/A,TRUE,"32367BK";#N/A,#N/A,TRUE,"32368BO";#N/A,#N/A,TRUE,"32371CO";#N/A,#N/A,TRUE,"32372CO";#N/A,#N/A,TRUE,"32373CO";#N/A,#N/A,TRUE,"32374CO";#N/A,#N/A,TRUE,"32375CO";#N/A,#N/A,TRUE,"32376CK";#N/A,#N/A,TRUE,"32381BO";#N/A,#N/A,TRUE,"32382BO";#N/A,#N/A,TRUE,"32383BO";#N/A,#N/A,TRUE,"32384BO";#N/A,#N/A,TRUE,"32385BO";#N/A,#N/A,TRUE,"32386BK";#N/A,#N/A,TRUE,"32391BO";#N/A,#N/A,TRUE,"32392BO";#N/A,#N/A,TRUE,"32393BO";#N/A,#N/A,TRUE,"32394BO";#N/A,#N/A,TRUE,"32395BK";#N/A,#N/A,TRUE,"32441CO";#N/A,#N/A,TRUE,"32442CO";#N/A,#N/A,TRUE,"32443CO";#N/A,#N/A,TRUE,"32444CO";#N/A,#N/A,TRUE,"32445CK";#N/A,#N/A,TRUE,"32451BO";#N/A,#N/A,TRUE,"32452BO";#N/A,#N/A,TRUE,"32453CO";#N/A,#N/A,TRUE,"32454CO";#N/A,#N/A,TRUE,"32455CK";#N/A,#N/A,TRUE,"32461CO";#N/A,#N/A,TRUE,"32462CO";#N/A,#N/A,TRUE,"32463CO";#N/A,#N/A,TRUE,"32464CO";#N/A,#N/A,TRUE,"32465CK"}</definedName>
    <definedName name="ind" localSheetId="3">#REF!</definedName>
    <definedName name="ind">#REF!</definedName>
    <definedName name="indirect" localSheetId="3">#REF!</definedName>
    <definedName name="indirect">#REF!</definedName>
    <definedName name="INDIRECT_ALL_SEOUL_NATION">'[90]INDIRECT MOBILIZATION PLAN'!$A$114:$U$122</definedName>
    <definedName name="INDIRECT_ALL_SITE_NATION">'[90]INDIRECT MOBILIZATION PLAN'!$A$102:$U$110</definedName>
    <definedName name="InputData">[91]Testing!$E$8:$E$12,[91]Testing!$E$15:$E$18,[91]Testing!$E$21:$E$23,[91]Testing!$E$26:$E$27,[91]Testing!$E$30:$E$33,[91]Testing!$E$35:$E$37,[91]Testing!$D$43:$F$47</definedName>
    <definedName name="INQ3100BQ" localSheetId="3">#REF!</definedName>
    <definedName name="INQ3100BQ">#REF!</definedName>
    <definedName name="INQ3200BQ" localSheetId="3">#REF!</definedName>
    <definedName name="INQ3200BQ">#REF!</definedName>
    <definedName name="INQ3300BQ" localSheetId="3">#REF!</definedName>
    <definedName name="INQ3300BQ">#REF!</definedName>
    <definedName name="INQ3400BQ" localSheetId="3">#REF!</definedName>
    <definedName name="INQ3400BQ">#REF!</definedName>
    <definedName name="INQ3500BQ" localSheetId="3">#REF!</definedName>
    <definedName name="INQ3500BQ">#REF!</definedName>
    <definedName name="INQ3600BQ" localSheetId="3">#REF!</definedName>
    <definedName name="INQ3600BQ">#REF!</definedName>
    <definedName name="INQ3700BQ" localSheetId="3">#REF!</definedName>
    <definedName name="INQ3700BQ">#REF!</definedName>
    <definedName name="INQ3800BQ" localSheetId="3">#REF!</definedName>
    <definedName name="INQ3800BQ">#REF!</definedName>
    <definedName name="INST_DCI_심의" localSheetId="3">#REF!</definedName>
    <definedName name="INST_DCI_심의">#REF!</definedName>
    <definedName name="inst1" localSheetId="3">#REF!</definedName>
    <definedName name="inst1">#REF!</definedName>
    <definedName name="INST1_MCI" localSheetId="3">#REF!</definedName>
    <definedName name="INST1_MCI">#REF!</definedName>
    <definedName name="inst2" localSheetId="3">#REF!</definedName>
    <definedName name="inst2">#REF!</definedName>
    <definedName name="INST2_MCI" localSheetId="3">#REF!</definedName>
    <definedName name="INST2_MCI">#REF!</definedName>
    <definedName name="INST3_MCI" localSheetId="3">#REF!</definedName>
    <definedName name="INST3_MCI">#REF!</definedName>
    <definedName name="inst4" localSheetId="3">#REF!</definedName>
    <definedName name="inst4">#REF!</definedName>
    <definedName name="INST4_MCI" localSheetId="3">#REF!</definedName>
    <definedName name="INST4_MCI">#REF!</definedName>
    <definedName name="inst5" localSheetId="3">#REF!</definedName>
    <definedName name="inst5">#REF!</definedName>
    <definedName name="INST5_MCI" localSheetId="3">#REF!</definedName>
    <definedName name="INST5_MCI">#REF!</definedName>
    <definedName name="inst6" localSheetId="3">#REF!</definedName>
    <definedName name="inst6">#REF!</definedName>
    <definedName name="INST6_MCI" localSheetId="3">#REF!</definedName>
    <definedName name="INST6_MCI">#REF!</definedName>
    <definedName name="inst7" localSheetId="3">#REF!</definedName>
    <definedName name="inst7">#REF!</definedName>
    <definedName name="INST7_MCI" localSheetId="3">#REF!</definedName>
    <definedName name="INST7_MCI">#REF!</definedName>
    <definedName name="Instrument">#N/A</definedName>
    <definedName name="Instrument_Database1" localSheetId="3">#REF!</definedName>
    <definedName name="Instrument_Database1">#REF!</definedName>
    <definedName name="Instrument_Database2" localSheetId="3">#REF!</definedName>
    <definedName name="Instrument_Database2">#REF!</definedName>
    <definedName name="insu" localSheetId="3">#REF!</definedName>
    <definedName name="insu">#REF!</definedName>
    <definedName name="INSUL" localSheetId="3">#REF!</definedName>
    <definedName name="INSUL">#REF!</definedName>
    <definedName name="Int_Paint_Final" localSheetId="3">#REF!</definedName>
    <definedName name="Int_Paint_Final">#REF!</definedName>
    <definedName name="Int_Paint_Intermediate" localSheetId="3">#REF!</definedName>
    <definedName name="Int_Paint_Intermediate">#REF!</definedName>
    <definedName name="Int_Paint_Primer" localSheetId="3">#REF!</definedName>
    <definedName name="Int_Paint_Primer">#REF!</definedName>
    <definedName name="intel" localSheetId="3" hidden="1">{#N/A,#N/A,FALSE,"TABLE"}</definedName>
    <definedName name="intel" hidden="1">{#N/A,#N/A,FALSE,"TABLE"}</definedName>
    <definedName name="inter" localSheetId="3">#REF!</definedName>
    <definedName name="inter">#REF!</definedName>
    <definedName name="IntFreeCred" localSheetId="17">#REF!</definedName>
    <definedName name="IntFreeCred" localSheetId="15">#REF!</definedName>
    <definedName name="IntFreeCred" localSheetId="3">#REF!</definedName>
    <definedName name="IntFreeCred">#REF!</definedName>
    <definedName name="ioioiio" localSheetId="3">#REF!</definedName>
    <definedName name="ioioiio">#REF!</definedName>
    <definedName name="ioioio" localSheetId="3">#REF!</definedName>
    <definedName name="ioioio">#REF!</definedName>
    <definedName name="iooio" localSheetId="3">#REF!</definedName>
    <definedName name="iooio">#REF!</definedName>
    <definedName name="iouioi" localSheetId="3">#REF!</definedName>
    <definedName name="iouioi">#REF!</definedName>
    <definedName name="iouioiii" localSheetId="3">#REF!</definedName>
    <definedName name="iouioiii">#REF!</definedName>
    <definedName name="iouiou" localSheetId="3">#REF!</definedName>
    <definedName name="iouiou">#REF!</definedName>
    <definedName name="iouoiioioi" localSheetId="3">#REF!</definedName>
    <definedName name="iouoiioioi">#REF!</definedName>
    <definedName name="IPT">#N/A</definedName>
    <definedName name="IRIW" localSheetId="3" hidden="1">{#N/A,#N/A,FALSE,"TABLE"}</definedName>
    <definedName name="IRIW" hidden="1">{#N/A,#N/A,FALSE,"TABLE"}</definedName>
    <definedName name="isbl_1105bm_1">'[92]ISBL (검증)'!$B$7:$F$81</definedName>
    <definedName name="isbl_boq">[93]Bdown_ISBL!$D$11:$S$252</definedName>
    <definedName name="isbl_gen_alghanim">'[94]TABLE2-1 ISBL(GENEAL-CIVIL)'!$B$8:$P$71</definedName>
    <definedName name="isbl_gen_bahar">'[95]TABLE2-1 ISBL(GENEAL-CIVIL)'!$B$9:$S$71</definedName>
    <definedName name="isbl_gen_hamra">'[96]TABLE2-1 ISBL(GENEAL-CIVIL)'!$B$9:$X$71</definedName>
    <definedName name="isbl_gen_mushrif">'[97]TABLE2-1 ISBL(GENEAL-CIVIL)'!$B$8:$S$71</definedName>
    <definedName name="isbl_gen_naser">'[98]TABLE2-1 ISBL(GENEAL-CIVIL)'!$B$8:$S$71</definedName>
    <definedName name="isbl_site_alghanim">'[94]TABLE2-1 ISBL-(SlTE PREP)'!$B$8:$P$15</definedName>
    <definedName name="isbl_site_bahar">'[95]TABLE2-1 ISBL-(SlTE PREP)'!$B$9:$S$16</definedName>
    <definedName name="isbl_site_hamra">'[96]TABLE2-1 ISBL-(SlTE PREP)'!$B$9:$X$16</definedName>
    <definedName name="isbl_site_khalifa">[99]ISBL!$B$13:$S$20</definedName>
    <definedName name="isbl_site_mushrif">'[97]TABLE2-1 ISBL-(SlTE PREP)'!$B$8:$S$15</definedName>
    <definedName name="isbl_site_naser">'[98]TABLE2-1 ISBL-(SlTE PREP)'!$B$8:$S$15</definedName>
    <definedName name="isbl_soil_bahar">'[95]TABLE2.1 ISBL (Soil Invest)'!$B$9:$S$9</definedName>
    <definedName name="isbl_soil_hamra">'[96]TABLE2.1 ISBL (Soil Invest)'!$B$9:$X$9</definedName>
    <definedName name="isbl_soil_mushrif">'[97]TABLE2.1 ISBL (Soil Invest)'!$B$8:$S$8</definedName>
    <definedName name="isbl_soil_naser">'[98]TABLE2.1 ISBL (Soil Invest)'!$B$8:$S$8</definedName>
    <definedName name="ispir" localSheetId="3" hidden="1">{#N/A,#N/A,FALSE,"Çaykara ataköy (1)";#N/A,#N/A,FALSE,"Çaykara ataköy (2)";#N/A,#N/A,FALSE,"Rize Kalkandere ";#N/A,#N/A,FALSE,"meydancık";#N/A,#N/A,FALSE,"muratlı"}</definedName>
    <definedName name="ispir" hidden="1">{#N/A,#N/A,FALSE,"Çaykara ataköy (1)";#N/A,#N/A,FALSE,"Çaykara ataköy (2)";#N/A,#N/A,FALSE,"Rize Kalkandere ";#N/A,#N/A,FALSE,"meydancık";#N/A,#N/A,FALSE,"muratlı"}</definedName>
    <definedName name="IssueDate" localSheetId="3">#REF!</definedName>
    <definedName name="IssueDate">#REF!</definedName>
    <definedName name="istfwqzbnm" localSheetId="3" hidden="1">{#N/A,#N/A,FALSE,"Çaykara ataköy (1)";#N/A,#N/A,FALSE,"Çaykara ataköy (2)";#N/A,#N/A,FALSE,"Rize Kalkandere ";#N/A,#N/A,FALSE,"meydancık";#N/A,#N/A,FALSE,"muratlı"}</definedName>
    <definedName name="istfwqzbnm" hidden="1">{#N/A,#N/A,FALSE,"Çaykara ataköy (1)";#N/A,#N/A,FALSE,"Çaykara ataköy (2)";#N/A,#N/A,FALSE,"Rize Kalkandere ";#N/A,#N/A,FALSE,"meydancık";#N/A,#N/A,FALSE,"muratlı"}</definedName>
    <definedName name="ITEM" localSheetId="3">#REF!</definedName>
    <definedName name="ITEM">"Texte 185"</definedName>
    <definedName name="IWW" localSheetId="3"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IWW"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iyuigu" localSheetId="3">#REF!</definedName>
    <definedName name="iyuigu">#REF!</definedName>
    <definedName name="j" localSheetId="3" hidden="1">{#N/A,#N/A,FALSE,"Çaykara ataköy (1)";#N/A,#N/A,FALSE,"Çaykara ataköy (2)";#N/A,#N/A,FALSE,"Rize Kalkandere ";#N/A,#N/A,FALSE,"meydancık";#N/A,#N/A,FALSE,"muratlı"}</definedName>
    <definedName name="j" hidden="1">{#N/A,#N/A,FALSE,"Çaykara ataköy (1)";#N/A,#N/A,FALSE,"Çaykara ataköy (2)";#N/A,#N/A,FALSE,"Rize Kalkandere ";#N/A,#N/A,FALSE,"meydancık";#N/A,#N/A,FALSE,"muratlı"}</definedName>
    <definedName name="j_filler" localSheetId="17">#REF!</definedName>
    <definedName name="j_filler" localSheetId="15">#REF!</definedName>
    <definedName name="j_filler" localSheetId="3">#REF!</definedName>
    <definedName name="j_filler">#REF!</definedName>
    <definedName name="jacket" hidden="1">{#N/A,#N/A,FALSE,"CCTV"}</definedName>
    <definedName name="jçöhkjhl" localSheetId="3" hidden="1">{#VALUE!,#N/A,FALSE,0;#N/A,#N/A,FALSE,0;#N/A,#N/A,FALSE,0;#N/A,#N/A,FALSE,0;#N/A,#N/A,FALSE,0;#N/A,#N/A,FALSE,0;#N/A,#N/A,FALSE,0;#N/A,#N/A,FALSE,0;#N/A,#N/A,FALSE,0;#N/A,#N/A,FALSE,0;#N/A,#N/A,FALSE,0;#N/A,#N/A,FALSE,0;#N/A,#N/A,FALSE,0;#N/A,#N/A,FALSE,0;#N/A,#N/A,FALSE,0;#N/A,#N/A,FALSE,0;#N/A,#N/A,FALSE,0;#N/A,#N/A,FALSE,0;#N/A,#N/A,FALSE,0;#N/A,#N/A,FALSE,0;#N/A,#N/A,FALSE,0;#N/A,#N/A,FALSE,0}</definedName>
    <definedName name="jçöhkjhl" hidden="1">{#VALUE!,#N/A,FALSE,0;#N/A,#N/A,FALSE,0;#N/A,#N/A,FALSE,0;#N/A,#N/A,FALSE,0;#N/A,#N/A,FALSE,0;#N/A,#N/A,FALSE,0;#N/A,#N/A,FALSE,0;#N/A,#N/A,FALSE,0;#N/A,#N/A,FALSE,0;#N/A,#N/A,FALSE,0;#N/A,#N/A,FALSE,0;#N/A,#N/A,FALSE,0;#N/A,#N/A,FALSE,0;#N/A,#N/A,FALSE,0;#N/A,#N/A,FALSE,0;#N/A,#N/A,FALSE,0;#N/A,#N/A,FALSE,0;#N/A,#N/A,FALSE,0;#N/A,#N/A,FALSE,0;#N/A,#N/A,FALSE,0;#N/A,#N/A,FALSE,0;#N/A,#N/A,FALSE,0}</definedName>
    <definedName name="jenny" localSheetId="3" hidden="1">{#N/A,#N/A,FALSE,"이태원철근"}</definedName>
    <definedName name="jenny" hidden="1">{#N/A,#N/A,FALSE,"이태원철근"}</definedName>
    <definedName name="JFJF" localSheetId="3" hidden="1">{#N/A,#N/A,FALSE,"TABLE"}</definedName>
    <definedName name="JFJF" hidden="1">{#N/A,#N/A,FALSE,"TABLE"}</definedName>
    <definedName name="JFWERIWJIFG" localSheetId="3" hidden="1">{#N/A,#N/A,FALSE,"TABLE"}</definedName>
    <definedName name="JFWERIWJIFG" hidden="1">{#N/A,#N/A,FALSE,"TABLE"}</definedName>
    <definedName name="JH">[100]정부노임단가!$A$5:$F$215</definedName>
    <definedName name="JHG" localSheetId="3" hidden="1">{#N/A,#N/A,FALSE,"TABLE"}</definedName>
    <definedName name="JHG" hidden="1">{#N/A,#N/A,FALSE,"TABLE"}</definedName>
    <definedName name="jhgffd" hidden="1">{#N/A,#N/A,FALSE,"TABLE"}</definedName>
    <definedName name="jhhhh" localSheetId="3" hidden="1">{#N/A,#N/A,FALSE,"CCTV"}</definedName>
    <definedName name="jhhhh" hidden="1">{#N/A,#N/A,FALSE,"CCTV"}</definedName>
    <definedName name="jhjkh" localSheetId="3">#REF!</definedName>
    <definedName name="jhjkh">#REF!</definedName>
    <definedName name="JHJLHKHG" localSheetId="3" hidden="1">{#N/A,#N/A,FALSE,"TABLE"}</definedName>
    <definedName name="JHJLHKHG" hidden="1">{#N/A,#N/A,FALSE,"TABLE"}</definedName>
    <definedName name="JJ" localSheetId="3" hidden="1">{#N/A,#N/A,FALSE,"Çaykara ataköy (1)";#N/A,#N/A,FALSE,"Çaykara ataköy (2)";#N/A,#N/A,FALSE,"Rize Kalkandere ";#N/A,#N/A,FALSE,"meydancık";#N/A,#N/A,FALSE,"muratlı"}</definedName>
    <definedName name="JJ">'[80]MOB-MAN1'!$D$40:$BW$49</definedName>
    <definedName name="JJ." localSheetId="3" hidden="1">{#N/A,#N/A,FALSE,"Çaykara ataköy (1)";#N/A,#N/A,FALSE,"Çaykara ataköy (2)";#N/A,#N/A,FALSE,"Rize Kalkandere ";#N/A,#N/A,FALSE,"meydancık";#N/A,#N/A,FALSE,"muratlı"}</definedName>
    <definedName name="JJ." hidden="1">{#N/A,#N/A,FALSE,"Çaykara ataköy (1)";#N/A,#N/A,FALSE,"Çaykara ataköy (2)";#N/A,#N/A,FALSE,"Rize Kalkandere ";#N/A,#N/A,FALSE,"meydancık";#N/A,#N/A,FALSE,"muratlı"}</definedName>
    <definedName name="JJG" localSheetId="3">#REF!</definedName>
    <definedName name="JJG">#REF!</definedName>
    <definedName name="jjjjjjjjjjjjjjj" localSheetId="3" hidden="1">{#N/A,#N/A,FALSE,"Çaykara ataköy (1)";#N/A,#N/A,FALSE,"Çaykara ataköy (2)";#N/A,#N/A,FALSE,"Rize Kalkandere ";#N/A,#N/A,FALSE,"meydancık";#N/A,#N/A,FALSE,"muratlı"}</definedName>
    <definedName name="jjjjjjjjjjjjjjj" hidden="1">{#N/A,#N/A,FALSE,"Çaykara ataköy (1)";#N/A,#N/A,FALSE,"Çaykara ataköy (2)";#N/A,#N/A,FALSE,"Rize Kalkandere ";#N/A,#N/A,FALSE,"meydancık";#N/A,#N/A,FALSE,"muratlı"}</definedName>
    <definedName name="JJPARK" localSheetId="3" hidden="1">{#N/A,#N/A,FALSE,"TABLE"}</definedName>
    <definedName name="JJPARK" hidden="1">{#N/A,#N/A,FALSE,"TABLE"}</definedName>
    <definedName name="jkhjkj" localSheetId="3">#REF!</definedName>
    <definedName name="jkhjkj">#REF!</definedName>
    <definedName name="jkjkh" localSheetId="3">#REF!</definedName>
    <definedName name="jkjkh">#REF!</definedName>
    <definedName name="jkjkhj" localSheetId="3">#REF!</definedName>
    <definedName name="jkjkhj">#REF!</definedName>
    <definedName name="JKL" localSheetId="3" hidden="1">{#N/A,#N/A,FALSE,"TABLE"}</definedName>
    <definedName name="JKL" hidden="1">{#N/A,#N/A,FALSE,"TABLE"}</definedName>
    <definedName name="JOINT" localSheetId="3">#REF!</definedName>
    <definedName name="JOINT">#REF!</definedName>
    <definedName name="JSKJ" localSheetId="3" hidden="1">{#N/A,#N/A,FALSE,"TABLE"}</definedName>
    <definedName name="JSKJ" hidden="1">{#N/A,#N/A,FALSE,"TABLE"}</definedName>
    <definedName name="ju" localSheetId="3" hidden="1">{#N/A,#N/A,FALSE,"TABLE"}</definedName>
    <definedName name="ju" hidden="1">{#N/A,#N/A,FALSE,"TABLE"}</definedName>
    <definedName name="juioioio" localSheetId="3">#REF!</definedName>
    <definedName name="juioioio">#REF!</definedName>
    <definedName name="JUJ" localSheetId="3" hidden="1">{#N/A,#N/A,FALSE,"TABLE"}</definedName>
    <definedName name="JUJ" hidden="1">{#N/A,#N/A,FALSE,"TABLE"}</definedName>
    <definedName name="jwsjkks" hidden="1">#REF!</definedName>
    <definedName name="JY" localSheetId="3" hidden="1">#REF!</definedName>
    <definedName name="JY" hidden="1">#REF!</definedName>
    <definedName name="jydkkde" hidden="1">#REF!</definedName>
    <definedName name="jyskdkklds" hidden="1">#REF!</definedName>
    <definedName name="K" localSheetId="3">#REF!</definedName>
    <definedName name="K">#REF!</definedName>
    <definedName name="k.artışı" localSheetId="3" hidden="1">{#N/A,#N/A,FALSE,"Çaykara ataköy (1)";#N/A,#N/A,FALSE,"Çaykara ataköy (2)";#N/A,#N/A,FALSE,"Rize Kalkandere ";#N/A,#N/A,FALSE,"meydancık";#N/A,#N/A,FALSE,"muratlı"}</definedName>
    <definedName name="k.artışı" hidden="1">{#N/A,#N/A,FALSE,"Çaykara ataköy (1)";#N/A,#N/A,FALSE,"Çaykara ataköy (2)";#N/A,#N/A,FALSE,"Rize Kalkandere ";#N/A,#N/A,FALSE,"meydancık";#N/A,#N/A,FALSE,"muratlı"}</definedName>
    <definedName name="K_TBM2" localSheetId="3">#REF!</definedName>
    <definedName name="K_TBM2">#REF!</definedName>
    <definedName name="kam" hidden="1">[101]METRAJ!$A$11:$A$19</definedName>
    <definedName name="KAMALIK" localSheetId="3" hidden="1">{#N/A,#N/A,FALSE,"Çaykara ataköy (1)";#N/A,#N/A,FALSE,"Çaykara ataköy (2)";#N/A,#N/A,FALSE,"Rize Kalkandere ";#N/A,#N/A,FALSE,"meydancık";#N/A,#N/A,FALSE,"muratlı"}</definedName>
    <definedName name="KAMALIK" hidden="1">{#N/A,#N/A,FALSE,"Çaykara ataköy (1)";#N/A,#N/A,FALSE,"Çaykara ataköy (2)";#N/A,#N/A,FALSE,"Rize Kalkandere ";#N/A,#N/A,FALSE,"meydancık";#N/A,#N/A,FALSE,"muratlı"}</definedName>
    <definedName name="karadeniz" localSheetId="3" hidden="1">{#N/A,#N/A,FALSE,"Çaykara ataköy (1)";#N/A,#N/A,FALSE,"Çaykara ataköy (2)";#N/A,#N/A,FALSE,"Rize Kalkandere ";#N/A,#N/A,FALSE,"meydancık";#N/A,#N/A,FALSE,"muratlı"}</definedName>
    <definedName name="karadeniz" hidden="1">{#N/A,#N/A,FALSE,"Çaykara ataköy (1)";#N/A,#N/A,FALSE,"Çaykara ataköy (2)";#N/A,#N/A,FALSE,"Rize Kalkandere ";#N/A,#N/A,FALSE,"meydancık";#N/A,#N/A,FALSE,"muratlı"}</definedName>
    <definedName name="kay" localSheetId="3" hidden="1">{#N/A,#N/A,FALSE,"kal_iç_ihz";#N/A,#N/A,FALSE,"kal_iç_er";#N/A,#N/A,FALSE,"kal_iç_tut"}</definedName>
    <definedName name="kay" hidden="1">{#N/A,#N/A,FALSE,"kal_iç_ihz";#N/A,#N/A,FALSE,"kal_iç_er";#N/A,#N/A,FALSE,"kal_iç_tut"}</definedName>
    <definedName name="KD">'[46]Ex-Rate'!$C$14</definedName>
    <definedName name="KDIDUUE" localSheetId="3" hidden="1">{#N/A,#N/A,FALSE,"TABLE"}</definedName>
    <definedName name="KDIDUUE" hidden="1">{#N/A,#N/A,FALSE,"TABLE"}</definedName>
    <definedName name="KFHJFIH" hidden="1">#REF!</definedName>
    <definedName name="kghlgh" localSheetId="3" hidden="1">{#N/A,#N/A,FALSE,"CCTV"}</definedName>
    <definedName name="kghlgh" hidden="1">{#N/A,#N/A,FALSE,"CCTV"}</definedName>
    <definedName name="KHKHK" localSheetId="3" hidden="1">{#N/A,#N/A,FALSE,"ihz. icmal";#N/A,#N/A,FALSE,"avans";#N/A,#N/A,FALSE,"mal_FF_icm";#N/A,#N/A,FALSE,"fat_ihz";#N/A,#N/A,FALSE,"söz_fiy_fark";#N/A,#N/A,FALSE,"kap2"}</definedName>
    <definedName name="KHKHK" hidden="1">{#N/A,#N/A,FALSE,"ihz. icmal";#N/A,#N/A,FALSE,"avans";#N/A,#N/A,FALSE,"mal_FF_icm";#N/A,#N/A,FALSE,"fat_ihz";#N/A,#N/A,FALSE,"söz_fiy_fark";#N/A,#N/A,FALSE,"kap2"}</definedName>
    <definedName name="kib" localSheetId="3">#REF!</definedName>
    <definedName name="kib">#REF!</definedName>
    <definedName name="kim" localSheetId="3" hidden="1">{#N/A,#N/A,FALSE,"TABLE"}</definedName>
    <definedName name="kim" hidden="1">{#N/A,#N/A,FALSE,"TABLE"}</definedName>
    <definedName name="kiulil" localSheetId="3" hidden="1">{#N/A,#N/A,FALSE,"CCTV"}</definedName>
    <definedName name="kiulil" hidden="1">{#N/A,#N/A,FALSE,"CCTV"}</definedName>
    <definedName name="kj" localSheetId="3" hidden="1">#REF!</definedName>
    <definedName name="kj" hidden="1">#REF!</definedName>
    <definedName name="KJFF" localSheetId="3" hidden="1">{#N/A,#N/A,FALSE,"TABLE"}</definedName>
    <definedName name="KJFF" hidden="1">{#N/A,#N/A,FALSE,"TABLE"}</definedName>
    <definedName name="kjhjkh" localSheetId="3">#REF!</definedName>
    <definedName name="kjhjkh">#REF!</definedName>
    <definedName name="kjhkjj" localSheetId="3">#REF!</definedName>
    <definedName name="kjhkjj">#REF!</definedName>
    <definedName name="kjhlh" localSheetId="3" hidden="1">{#N/A,#N/A,FALSE,"CCTV"}</definedName>
    <definedName name="kjhlh" hidden="1">{#N/A,#N/A,FALSE,"CCTV"}</definedName>
    <definedName name="kjhljhk" localSheetId="3" hidden="1">{#N/A,#N/A,FALSE,"CCTV"}</definedName>
    <definedName name="kjhljhk" hidden="1">{#N/A,#N/A,FALSE,"CCTV"}</definedName>
    <definedName name="kjkgh">{"'장비'!$A$3:$M$12"}</definedName>
    <definedName name="kk" localSheetId="4" hidden="1">{"LKD",#N/A,FALSE,"표지"}</definedName>
    <definedName name="KK" localSheetId="3">#REF!</definedName>
    <definedName name="KK">#N/A</definedName>
    <definedName name="KKK" localSheetId="3">BlankMacro1</definedName>
    <definedName name="kkk" hidden="1">{#N/A,#N/A,FALSE,"CCTV"}</definedName>
    <definedName name="kkkk" localSheetId="3">#REF!</definedName>
    <definedName name="kkkk" hidden="1">#REF!</definedName>
    <definedName name="kkkkkk" hidden="1">'[102]TABLO-3'!$B$4:$B$4</definedName>
    <definedName name="kl" localSheetId="3" hidden="1">{#N/A,#N/A,FALSE,"TABLE"}</definedName>
    <definedName name="kl" hidden="1">{#N/A,#N/A,FALSE,"TABLE"}</definedName>
    <definedName name="KLDSFHLS" localSheetId="3" hidden="1">{#N/A,#N/A,FALSE,"TABLE"}</definedName>
    <definedName name="KLDSFHLS" hidden="1">{#N/A,#N/A,FALSE,"TABLE"}</definedName>
    <definedName name="klk" localSheetId="3">#REF!</definedName>
    <definedName name="klk">#REF!</definedName>
    <definedName name="KÖ" localSheetId="3" hidden="1">{#N/A,#N/A,FALSE,"Çaykara ataköy (1)";#N/A,#N/A,FALSE,"Çaykara ataköy (2)";#N/A,#N/A,FALSE,"Rize Kalkandere ";#N/A,#N/A,FALSE,"meydancık";#N/A,#N/A,FALSE,"muratlı"}</definedName>
    <definedName name="KÖ" hidden="1">{#N/A,#N/A,FALSE,"Çaykara ataköy (1)";#N/A,#N/A,FALSE,"Çaykara ataköy (2)";#N/A,#N/A,FALSE,"Rize Kalkandere ";#N/A,#N/A,FALSE,"meydancık";#N/A,#N/A,FALSE,"muratlı"}</definedName>
    <definedName name="Kopya" localSheetId="3" hidden="1">{#N/A,#N/A,FALSE,"ihz. icmal";#N/A,#N/A,FALSE,"inş_iç_ihz";#N/A,#N/A,FALSE,"inş_iç_tut";#N/A,#N/A,FALSE,"inş_iç_er";#N/A,#N/A,FALSE,"1";#N/A,#N/A,FALSE,"sıh_iç_ihz";#N/A,#N/A,FALSE,"sıh_iç_tut";#N/A,#N/A,FALSE,"sıh_iç_er";#N/A,#N/A,FALSE,"2";#N/A,#N/A,FALSE,"müş_iç_ihz";#N/A,#N/A,FALSE,"müş_iç_tut";#N/A,#N/A,FALSE,"müş_iç_er";#N/A,#N/A,FALSE,"3";#N/A,#N/A,FALSE,"kal_iç_ihz";#N/A,#N/A,FALSE,"kal_iç_tut";#N/A,#N/A,FALSE,"kal_iç_er";#N/A,#N/A,FALSE,"4";#N/A,#N/A,FALSE,"oto_ihz";#N/A,#N/A,FALSE,"oto_tut";#N/A,#N/A,FALSE,"oto_er";#N/A,#N/A,FALSE,"5";#N/A,#N/A,FALSE,"brü_ihz";#N/A,#N/A,FALSE,"brü_tut";#N/A,#N/A,FALSE,"brü_er";#N/A,#N/A,FALSE,"elk_iç_ihz";#N/A,#N/A,FALSE,"elk_iç_tut";#N/A,#N/A,FALSE,"elk_iç_er"}</definedName>
    <definedName name="Kopya" hidden="1">{#N/A,#N/A,FALSE,"ihz. icmal";#N/A,#N/A,FALSE,"inş_iç_ihz";#N/A,#N/A,FALSE,"inş_iç_tut";#N/A,#N/A,FALSE,"inş_iç_er";#N/A,#N/A,FALSE,"1";#N/A,#N/A,FALSE,"sıh_iç_ihz";#N/A,#N/A,FALSE,"sıh_iç_tut";#N/A,#N/A,FALSE,"sıh_iç_er";#N/A,#N/A,FALSE,"2";#N/A,#N/A,FALSE,"müş_iç_ihz";#N/A,#N/A,FALSE,"müş_iç_tut";#N/A,#N/A,FALSE,"müş_iç_er";#N/A,#N/A,FALSE,"3";#N/A,#N/A,FALSE,"kal_iç_ihz";#N/A,#N/A,FALSE,"kal_iç_tut";#N/A,#N/A,FALSE,"kal_iç_er";#N/A,#N/A,FALSE,"4";#N/A,#N/A,FALSE,"oto_ihz";#N/A,#N/A,FALSE,"oto_tut";#N/A,#N/A,FALSE,"oto_er";#N/A,#N/A,FALSE,"5";#N/A,#N/A,FALSE,"brü_ihz";#N/A,#N/A,FALSE,"brü_tut";#N/A,#N/A,FALSE,"brü_er";#N/A,#N/A,FALSE,"elk_iç_ihz";#N/A,#N/A,FALSE,"elk_iç_tut";#N/A,#N/A,FALSE,"elk_iç_er"}</definedName>
    <definedName name="KOR">[103]직원동원SCH!$D$14:[103]직원동원SCH!#REF!</definedName>
    <definedName name="Köse" localSheetId="3" hidden="1">{#N/A,#N/A,FALSE,"Çaykara ataköy (1)";#N/A,#N/A,FALSE,"Çaykara ataköy (2)";#N/A,#N/A,FALSE,"Rize Kalkandere ";#N/A,#N/A,FALSE,"meydancık";#N/A,#N/A,FALSE,"muratlı"}</definedName>
    <definedName name="Köse" hidden="1">{#N/A,#N/A,FALSE,"Çaykara ataköy (1)";#N/A,#N/A,FALSE,"Çaykara ataköy (2)";#N/A,#N/A,FALSE,"Rize Kalkandere ";#N/A,#N/A,FALSE,"meydancık";#N/A,#N/A,FALSE,"muratlı"}</definedName>
    <definedName name="KROKİ" localSheetId="3" hidden="1">{#N/A,#N/A,FALSE,"Çaykara ataköy (1)";#N/A,#N/A,FALSE,"Çaykara ataköy (2)";#N/A,#N/A,FALSE,"Rize Kalkandere ";#N/A,#N/A,FALSE,"meydancık";#N/A,#N/A,FALSE,"muratlı"}</definedName>
    <definedName name="KROKİ" hidden="1">{#N/A,#N/A,FALSE,"Çaykara ataköy (1)";#N/A,#N/A,FALSE,"Çaykara ataköy (2)";#N/A,#N/A,FALSE,"Rize Kalkandere ";#N/A,#N/A,FALSE,"meydancık";#N/A,#N/A,FALSE,"muratlı"}</definedName>
    <definedName name="KS" hidden="1">{#N/A,#N/A,FALSE,"지침";#N/A,#N/A,FALSE,"환경분석";#N/A,#N/A,FALSE,"Sheet16"}</definedName>
    <definedName name="ksy.99" localSheetId="3" hidden="1">{#N/A,#N/A,FALSE,"Çaykara ataköy (1)";#N/A,#N/A,FALSE,"Çaykara ataköy (2)";#N/A,#N/A,FALSE,"Rize Kalkandere ";#N/A,#N/A,FALSE,"meydancık";#N/A,#N/A,FALSE,"muratlı"}</definedName>
    <definedName name="ksy.99" hidden="1">{#N/A,#N/A,FALSE,"Çaykara ataköy (1)";#N/A,#N/A,FALSE,"Çaykara ataköy (2)";#N/A,#N/A,FALSE,"Rize Kalkandere ";#N/A,#N/A,FALSE,"meydancık";#N/A,#N/A,FALSE,"muratlı"}</definedName>
    <definedName name="ksy.sON" localSheetId="3" hidden="1">{#N/A,#N/A,FALSE,"Çaykara ataköy (1)";#N/A,#N/A,FALSE,"Çaykara ataköy (2)";#N/A,#N/A,FALSE,"Rize Kalkandere ";#N/A,#N/A,FALSE,"meydancık";#N/A,#N/A,FALSE,"muratlı"}</definedName>
    <definedName name="ksy.sON" hidden="1">{#N/A,#N/A,FALSE,"Çaykara ataköy (1)";#N/A,#N/A,FALSE,"Çaykara ataköy (2)";#N/A,#N/A,FALSE,"Rize Kalkandere ";#N/A,#N/A,FALSE,"meydancık";#N/A,#N/A,FALSE,"muratlı"}</definedName>
    <definedName name="KTA" localSheetId="17">#REF!</definedName>
    <definedName name="KTA" localSheetId="15">#REF!</definedName>
    <definedName name="KTA" localSheetId="4">'[64]간접비내역-1'!#REF!</definedName>
    <definedName name="KTA">#REF!</definedName>
    <definedName name="KTB" localSheetId="17">#REF!</definedName>
    <definedName name="KTB" localSheetId="15">#REF!</definedName>
    <definedName name="KTB" localSheetId="4">'[64]간접비내역-1'!#REF!</definedName>
    <definedName name="KTB">#REF!</definedName>
    <definedName name="KTX" localSheetId="17">#REF!</definedName>
    <definedName name="KTX" localSheetId="15">#REF!</definedName>
    <definedName name="KTX" localSheetId="4">'[64]간접비내역-1'!#REF!</definedName>
    <definedName name="KTX">#REF!</definedName>
    <definedName name="KUNOP" localSheetId="3" hidden="1">{#N/A,#N/A,FALSE,"TABLE"}</definedName>
    <definedName name="KUNOP" hidden="1">{#N/A,#N/A,FALSE,"TABLE"}</definedName>
    <definedName name="küt" localSheetId="3" hidden="1">{#N/A,#N/A,FALSE,"Çaykara ataköy (1)";#N/A,#N/A,FALSE,"Çaykara ataköy (2)";#N/A,#N/A,FALSE,"Rize Kalkandere ";#N/A,#N/A,FALSE,"meydancık";#N/A,#N/A,FALSE,"muratlı"}</definedName>
    <definedName name="küt" hidden="1">{#N/A,#N/A,FALSE,"Çaykara ataköy (1)";#N/A,#N/A,FALSE,"Çaykara ataköy (2)";#N/A,#N/A,FALSE,"Rize Kalkandere ";#N/A,#N/A,FALSE,"meydancık";#N/A,#N/A,FALSE,"muratlı"}</definedName>
    <definedName name="KW">[60]작성기준!$C$23</definedName>
    <definedName name="L" localSheetId="3">#REF!</definedName>
    <definedName name="L">#REF!</definedName>
    <definedName name="L.C">[10]당초!#REF!</definedName>
    <definedName name="L_______EARTH_WORKS">#REF!</definedName>
    <definedName name="L_1" localSheetId="3" hidden="1">{"'Grafik Kontrol'!$A$1:$J$8"}</definedName>
    <definedName name="L_1" hidden="1">{"'Grafik Kontrol'!$A$1:$J$8"}</definedName>
    <definedName name="l_HEC_M">'[104]첨1.5'!$H$7</definedName>
    <definedName name="l_HEC_MM">'[104]첨1.5'!$M$7</definedName>
    <definedName name="l_HEC_천원">'[104]첨1.5'!$BJ$7</definedName>
    <definedName name="l_KOR_M">'[104]첨1.5'!$H$32</definedName>
    <definedName name="l_KOR_MM">'[104]첨1.5'!$M$32</definedName>
    <definedName name="l_KOR_천원">'[104]첨1.5'!$BJ$32</definedName>
    <definedName name="l_LIC_M">'[104]첨1.5'!$H$90</definedName>
    <definedName name="l_LIC_MM">'[104]첨1.5'!$M$90</definedName>
    <definedName name="l_LOC_M">'[104]첨1.5'!$H$71</definedName>
    <definedName name="l_LOC_MM">'[104]첨1.5'!$M$71</definedName>
    <definedName name="l_LOC_천원">'[104]첨1.5'!$BJ$71</definedName>
    <definedName name="l_TCN_M">'[104]첨1.5'!$H$51</definedName>
    <definedName name="l_TCN_MM">'[104]첨1.5'!$M$51</definedName>
    <definedName name="La">650</definedName>
    <definedName name="labor_c" localSheetId="3">#REF!</definedName>
    <definedName name="labor_c">#REF!</definedName>
    <definedName name="labor_u" localSheetId="3">#REF!</definedName>
    <definedName name="labor_u">#REF!</definedName>
    <definedName name="Las">770</definedName>
    <definedName name="LAST" localSheetId="3">#REF!</definedName>
    <definedName name="LAST">#REF!</definedName>
    <definedName name="lavatory">#REF!</definedName>
    <definedName name="LC" localSheetId="3" hidden="1">{#N/A,#N/A,FALSE,"TABLE"}</definedName>
    <definedName name="LC">#REF!</definedName>
    <definedName name="LCthk">[52]Calc!#REF!</definedName>
    <definedName name="LC산출" localSheetId="3" hidden="1">{#N/A,#N/A,FALSE,"사업총괄";#N/A,#N/A,FALSE,"장비사업";#N/A,#N/A,FALSE,"철구사업";#N/A,#N/A,FALSE,"준설사업"}</definedName>
    <definedName name="LC산출" hidden="1">{#N/A,#N/A,FALSE,"사업총괄";#N/A,#N/A,FALSE,"장비사업";#N/A,#N/A,FALSE,"철구사업";#N/A,#N/A,FALSE,"준설사업"}</definedName>
    <definedName name="lean" localSheetId="17">#REF!</definedName>
    <definedName name="lean" localSheetId="15">#REF!</definedName>
    <definedName name="lean" localSheetId="3">#REF!</definedName>
    <definedName name="lean">#REF!</definedName>
    <definedName name="LEE" hidden="1">{#N/A,#N/A,TRUE,"Basic";#N/A,#N/A,TRUE,"EXT-TABLE";#N/A,#N/A,TRUE,"STEEL";#N/A,#N/A,TRUE,"INT-Table";#N/A,#N/A,TRUE,"STEEL";#N/A,#N/A,TRUE,"Door"}</definedName>
    <definedName name="level">{"'장비'!$A$3:$M$12"}</definedName>
    <definedName name="level1">{"'장비'!$A$3:$M$12"}</definedName>
    <definedName name="lg" localSheetId="3" hidden="1">{#N/A,#N/A,FALSE,"Çaykara ataköy (1)";#N/A,#N/A,FALSE,"Çaykara ataköy (2)";#N/A,#N/A,FALSE,"Rize Kalkandere ";#N/A,#N/A,FALSE,"meydancık";#N/A,#N/A,FALSE,"muratlı"}</definedName>
    <definedName name="lg" hidden="1">{#N/A,#N/A,FALSE,"Çaykara ataköy (1)";#N/A,#N/A,FALSE,"Çaykara ataköy (2)";#N/A,#N/A,FALSE,"Rize Kalkandere ";#N/A,#N/A,FALSE,"meydancık";#N/A,#N/A,FALSE,"muratlı"}</definedName>
    <definedName name="LIEU1">"Texte 157"</definedName>
    <definedName name="LIEU2">"Texte 158"</definedName>
    <definedName name="LINE1" localSheetId="3">#REF!</definedName>
    <definedName name="LINE1">#REF!</definedName>
    <definedName name="list" localSheetId="3" hidden="1">{#N/A,#N/A,TRUE,"Basic";#N/A,#N/A,TRUE,"EXT-TABLE";#N/A,#N/A,TRUE,"STEEL";#N/A,#N/A,TRUE,"INT-Table";#N/A,#N/A,TRUE,"STEEL";#N/A,#N/A,TRUE,"Door"}</definedName>
    <definedName name="list" hidden="1">{#N/A,#N/A,TRUE,"Basic";#N/A,#N/A,TRUE,"EXT-TABLE";#N/A,#N/A,TRUE,"STEEL";#N/A,#N/A,TRUE,"INT-Table";#N/A,#N/A,TRUE,"STEEL";#N/A,#N/A,TRUE,"Door"}</definedName>
    <definedName name="list_1" hidden="1">{#N/A,#N/A,TRUE,"Basic";#N/A,#N/A,TRUE,"EXT-TABLE";#N/A,#N/A,TRUE,"STEEL";#N/A,#N/A,TRUE,"INT-Table";#N/A,#N/A,TRUE,"STEEL";#N/A,#N/A,TRUE,"Door"}</definedName>
    <definedName name="list01" localSheetId="3" hidden="1">{#N/A,#N/A,TRUE,"Basic";#N/A,#N/A,TRUE,"EXT-TABLE";#N/A,#N/A,TRUE,"STEEL";#N/A,#N/A,TRUE,"INT-Table";#N/A,#N/A,TRUE,"STEEL";#N/A,#N/A,TRUE,"Door"}</definedName>
    <definedName name="list01" hidden="1">{#N/A,#N/A,TRUE,"Basic";#N/A,#N/A,TRUE,"EXT-TABLE";#N/A,#N/A,TRUE,"STEEL";#N/A,#N/A,TRUE,"INT-Table";#N/A,#N/A,TRUE,"STEEL";#N/A,#N/A,TRUE,"Door"}</definedName>
    <definedName name="list01_1" hidden="1">{#N/A,#N/A,TRUE,"Basic";#N/A,#N/A,TRUE,"EXT-TABLE";#N/A,#N/A,TRUE,"STEEL";#N/A,#N/A,TRUE,"INT-Table";#N/A,#N/A,TRUE,"STEEL";#N/A,#N/A,TRUE,"Door"}</definedName>
    <definedName name="list02" localSheetId="3" hidden="1">{#N/A,#N/A,TRUE,"Basic";#N/A,#N/A,TRUE,"EXT-TABLE";#N/A,#N/A,TRUE,"STEEL";#N/A,#N/A,TRUE,"INT-Table";#N/A,#N/A,TRUE,"STEEL";#N/A,#N/A,TRUE,"Door"}</definedName>
    <definedName name="list02" hidden="1">{#N/A,#N/A,TRUE,"Basic";#N/A,#N/A,TRUE,"EXT-TABLE";#N/A,#N/A,TRUE,"STEEL";#N/A,#N/A,TRUE,"INT-Table";#N/A,#N/A,TRUE,"STEEL";#N/A,#N/A,TRUE,"Door"}</definedName>
    <definedName name="liuk" hidden="1">'[105]PROJECT DATA'!$I$12:$BD$12</definedName>
    <definedName name="LJAHH" localSheetId="3" hidden="1">{#N/A,#N/A,FALSE,"TABLE"}</definedName>
    <definedName name="LJAHH" hidden="1">{#N/A,#N/A,FALSE,"TABLE"}</definedName>
    <definedName name="LJKL" localSheetId="3" hidden="1">{#N/A,#N/A,FALSE,"TABLE"}</definedName>
    <definedName name="LJKL" hidden="1">{#N/A,#N/A,FALSE,"TABLE"}</definedName>
    <definedName name="ljkㅏㅎ" localSheetId="3" hidden="1">{#N/A,#N/A,FALSE,"2~8번"}</definedName>
    <definedName name="ljkㅏㅎ" hidden="1">{#N/A,#N/A,FALSE,"2~8번"}</definedName>
    <definedName name="lkkkk" localSheetId="3" hidden="1">{#N/A,#N/A,FALSE,"müş_iç_ihz";#N/A,#N/A,FALSE,"müş_iç_er";#N/A,#N/A,FALSE,"müş_iç_tut"}</definedName>
    <definedName name="lkkkk" hidden="1">{#N/A,#N/A,FALSE,"müş_iç_ihz";#N/A,#N/A,FALSE,"müş_iç_er";#N/A,#N/A,FALSE,"müş_iç_tut"}</definedName>
    <definedName name="lklhlkjl" localSheetId="3" hidden="1">{#N/A,#N/A,FALSE,"CCTV"}</definedName>
    <definedName name="lklhlkjl" hidden="1">{#N/A,#N/A,FALSE,"CCTV"}</definedName>
    <definedName name="ll" localSheetId="3" hidden="1">{#N/A,#N/A,FALSE,"Çaykara ataköy (1)";#N/A,#N/A,FALSE,"Çaykara ataköy (2)";#N/A,#N/A,FALSE,"Rize Kalkandere ";#N/A,#N/A,FALSE,"meydancık";#N/A,#N/A,FALSE,"muratlı"}</definedName>
    <definedName name="ll" hidden="1">{#N/A,#N/A,FALSE,"Çaykara ataköy (1)";#N/A,#N/A,FALSE,"Çaykara ataköy (2)";#N/A,#N/A,FALSE,"Rize Kalkandere ";#N/A,#N/A,FALSE,"meydancık";#N/A,#N/A,FALSE,"muratlı"}</definedName>
    <definedName name="lll" hidden="1">{#N/A,#N/A,FALSE,"CCTV"}</definedName>
    <definedName name="llll" localSheetId="3" hidden="1">{#N/A,#N/A,FALSE,"이태원철근"}</definedName>
    <definedName name="llll" hidden="1">{#N/A,#N/A,FALSE,"이태원철근"}</definedName>
    <definedName name="LNKJLKM" localSheetId="3" hidden="1">{#N/A,#N/A,FALSE,"kal_iç_ihz";#N/A,#N/A,FALSE,"kal_iç_er";#N/A,#N/A,FALSE,"kal_iç_tut"}</definedName>
    <definedName name="LNKJLKM" hidden="1">{#N/A,#N/A,FALSE,"kal_iç_ihz";#N/A,#N/A,FALSE,"kal_iç_er";#N/A,#N/A,FALSE,"kal_iç_tut"}</definedName>
    <definedName name="loading_port">'[106]Shipping Cost'!$AV$3:$AV$49</definedName>
    <definedName name="loca" localSheetId="3">#REF!</definedName>
    <definedName name="loca">#REF!</definedName>
    <definedName name="LOCATION">[51]LEGEND!$D$7</definedName>
    <definedName name="LOP">[105]LOPCALC!$A$4:$J$8</definedName>
    <definedName name="LS">#REF!</definedName>
    <definedName name="LSKDK" localSheetId="3" hidden="1">{#N/A,#N/A,FALSE,"TABLE"}</definedName>
    <definedName name="LSKDK" hidden="1">{#N/A,#N/A,FALSE,"TABLE"}</definedName>
    <definedName name="lth">#REF!</definedName>
    <definedName name="LTR_현바제_93113_93.10.07" localSheetId="3">#REF!</definedName>
    <definedName name="LTR_현바제_93113_93.10.07">#REF!</definedName>
    <definedName name="LÜTFÜ" localSheetId="3" hidden="1">{#N/A,#N/A,FALSE,"Çaykara ataköy (1)";#N/A,#N/A,FALSE,"Çaykara ataköy (2)";#N/A,#N/A,FALSE,"Rize Kalkandere ";#N/A,#N/A,FALSE,"meydancık";#N/A,#N/A,FALSE,"muratlı"}</definedName>
    <definedName name="LÜTFÜ" hidden="1">{#N/A,#N/A,FALSE,"Çaykara ataköy (1)";#N/A,#N/A,FALSE,"Çaykara ataköy (2)";#N/A,#N/A,FALSE,"Rize Kalkandere ";#N/A,#N/A,FALSE,"meydancık";#N/A,#N/A,FALSE,"muratlı"}</definedName>
    <definedName name="lütfü1" localSheetId="3" hidden="1">{#N/A,#N/A,FALSE,"Çaykara ataköy (1)";#N/A,#N/A,FALSE,"Çaykara ataköy (2)";#N/A,#N/A,FALSE,"Rize Kalkandere ";#N/A,#N/A,FALSE,"meydancık";#N/A,#N/A,FALSE,"muratlı"}</definedName>
    <definedName name="lütfü1" hidden="1">{#N/A,#N/A,FALSE,"Çaykara ataköy (1)";#N/A,#N/A,FALSE,"Çaykara ataköy (2)";#N/A,#N/A,FALSE,"Rize Kalkandere ";#N/A,#N/A,FALSE,"meydancık";#N/A,#N/A,FALSE,"muratlı"}</definedName>
    <definedName name="LWSALES" localSheetId="17">#REF!</definedName>
    <definedName name="LWSALES" localSheetId="15">#REF!</definedName>
    <definedName name="LWSALES" localSheetId="3">#REF!</definedName>
    <definedName name="LWSALES">#REF!</definedName>
    <definedName name="lx" localSheetId="17">#REF!</definedName>
    <definedName name="lx" localSheetId="15">#REF!</definedName>
    <definedName name="lx" localSheetId="3">#REF!</definedName>
    <definedName name="lx">#REF!</definedName>
    <definedName name="ly" localSheetId="17">#REF!</definedName>
    <definedName name="ly" localSheetId="15">#REF!</definedName>
    <definedName name="LY" localSheetId="3" hidden="1">#REF!</definedName>
    <definedName name="ly">#REF!</definedName>
    <definedName name="LYBin" localSheetId="17">#REF!</definedName>
    <definedName name="LYBin" localSheetId="15">#REF!</definedName>
    <definedName name="LYBin" localSheetId="3">#REF!</definedName>
    <definedName name="LYBin">#REF!</definedName>
    <definedName name="LYHolds" localSheetId="17">#REF!</definedName>
    <definedName name="LYHolds" localSheetId="15">#REF!</definedName>
    <definedName name="LYHolds" localSheetId="3">#REF!</definedName>
    <definedName name="LYHolds">#REF!</definedName>
    <definedName name="LYNet" localSheetId="17">#REF!</definedName>
    <definedName name="LYNet" localSheetId="15">#REF!</definedName>
    <definedName name="LYNet" localSheetId="3">#REF!</definedName>
    <definedName name="LYNet">#REF!</definedName>
    <definedName name="LYoos" localSheetId="17">#REF!</definedName>
    <definedName name="LYoos" localSheetId="15">#REF!</definedName>
    <definedName name="LYoos" localSheetId="3">#REF!</definedName>
    <definedName name="LYoos">#REF!</definedName>
    <definedName name="LYReselects" localSheetId="17">#REF!</definedName>
    <definedName name="LYReselects" localSheetId="15">#REF!</definedName>
    <definedName name="LYReselects" localSheetId="3">#REF!</definedName>
    <definedName name="LYReselects">#REF!</definedName>
    <definedName name="LYReturns" localSheetId="17">#REF!</definedName>
    <definedName name="LYReturns" localSheetId="15">#REF!</definedName>
    <definedName name="LYReturns" localSheetId="3">#REF!</definedName>
    <definedName name="LYReturns">#REF!</definedName>
    <definedName name="LYSales" localSheetId="17">#REF!</definedName>
    <definedName name="LYSales" localSheetId="15">#REF!</definedName>
    <definedName name="LYSales" localSheetId="3">#REF!</definedName>
    <definedName name="LYSales">#REF!</definedName>
    <definedName name="LYTotal" localSheetId="17">#REF!</definedName>
    <definedName name="LYTotal" localSheetId="15">#REF!</definedName>
    <definedName name="LYTotal" localSheetId="3">#REF!</definedName>
    <definedName name="LYTotal">#REF!</definedName>
    <definedName name="m">{"'장비'!$A$3:$M$12"}</definedName>
    <definedName name="M_A_L_G_A">#N/A</definedName>
    <definedName name="M_L_N_G">#N/A</definedName>
    <definedName name="M_P_D_P">#N/A</definedName>
    <definedName name="M1_">#N/A</definedName>
    <definedName name="M2_">#N/A</definedName>
    <definedName name="maçka" localSheetId="3" hidden="1">{#N/A,#N/A,FALSE,"Çaykara ataköy (1)";#N/A,#N/A,FALSE,"Çaykara ataköy (2)";#N/A,#N/A,FALSE,"Rize Kalkandere ";#N/A,#N/A,FALSE,"meydancık";#N/A,#N/A,FALSE,"muratlı"}</definedName>
    <definedName name="maçka" hidden="1">{#N/A,#N/A,FALSE,"Çaykara ataköy (1)";#N/A,#N/A,FALSE,"Çaykara ataköy (2)";#N/A,#N/A,FALSE,"Rize Kalkandere ";#N/A,#N/A,FALSE,"meydancık";#N/A,#N/A,FALSE,"muratlı"}</definedName>
    <definedName name="Macro1">[107]!Macro1</definedName>
    <definedName name="MAL.F.F.HESAP2" localSheetId="3" hidden="1">{#N/A,#N/A,FALSE,"ihz. icmal";#N/A,#N/A,FALSE,"avans";#N/A,#N/A,FALSE,"mal_FF_icm";#N/A,#N/A,FALSE,"fat_ihz";#N/A,#N/A,FALSE,"söz_fiy_fark";#N/A,#N/A,FALSE,"kap2"}</definedName>
    <definedName name="MAL.F.F.HESAP2" hidden="1">{#N/A,#N/A,FALSE,"ihz. icmal";#N/A,#N/A,FALSE,"avans";#N/A,#N/A,FALSE,"mal_FF_icm";#N/A,#N/A,FALSE,"fat_ihz";#N/A,#N/A,FALSE,"söz_fiy_fark";#N/A,#N/A,FALSE,"kap2"}</definedName>
    <definedName name="MAL.F.F.HESAP3" localSheetId="3" hidden="1">{#N/A,#N/A,FALSE,"ihz. icmal";#N/A,#N/A,FALSE,"inş_iç_ihz";#N/A,#N/A,FALSE,"inş_iç_tut";#N/A,#N/A,FALSE,"inş_iç_er";#N/A,#N/A,FALSE,"1";#N/A,#N/A,FALSE,"sıh_iç_ihz";#N/A,#N/A,FALSE,"sıh_iç_tut";#N/A,#N/A,FALSE,"sıh_iç_er";#N/A,#N/A,FALSE,"2";#N/A,#N/A,FALSE,"müş_iç_ihz";#N/A,#N/A,FALSE,"müş_iç_tut";#N/A,#N/A,FALSE,"müş_iç_er";#N/A,#N/A,FALSE,"3";#N/A,#N/A,FALSE,"kal_iç_ihz";#N/A,#N/A,FALSE,"kal_iç_tut";#N/A,#N/A,FALSE,"kal_iç_er";#N/A,#N/A,FALSE,"4";#N/A,#N/A,FALSE,"oto_ihz";#N/A,#N/A,FALSE,"oto_tut";#N/A,#N/A,FALSE,"oto_er";#N/A,#N/A,FALSE,"5";#N/A,#N/A,FALSE,"brü_ihz";#N/A,#N/A,FALSE,"brü_tut";#N/A,#N/A,FALSE,"brü_er";#N/A,#N/A,FALSE,"elk_iç_ihz";#N/A,#N/A,FALSE,"elk_iç_tut";#N/A,#N/A,FALSE,"elk_iç_er"}</definedName>
    <definedName name="MAL.F.F.HESAP3" hidden="1">{#N/A,#N/A,FALSE,"ihz. icmal";#N/A,#N/A,FALSE,"inş_iç_ihz";#N/A,#N/A,FALSE,"inş_iç_tut";#N/A,#N/A,FALSE,"inş_iç_er";#N/A,#N/A,FALSE,"1";#N/A,#N/A,FALSE,"sıh_iç_ihz";#N/A,#N/A,FALSE,"sıh_iç_tut";#N/A,#N/A,FALSE,"sıh_iç_er";#N/A,#N/A,FALSE,"2";#N/A,#N/A,FALSE,"müş_iç_ihz";#N/A,#N/A,FALSE,"müş_iç_tut";#N/A,#N/A,FALSE,"müş_iç_er";#N/A,#N/A,FALSE,"3";#N/A,#N/A,FALSE,"kal_iç_ihz";#N/A,#N/A,FALSE,"kal_iç_tut";#N/A,#N/A,FALSE,"kal_iç_er";#N/A,#N/A,FALSE,"4";#N/A,#N/A,FALSE,"oto_ihz";#N/A,#N/A,FALSE,"oto_tut";#N/A,#N/A,FALSE,"oto_er";#N/A,#N/A,FALSE,"5";#N/A,#N/A,FALSE,"brü_ihz";#N/A,#N/A,FALSE,"brü_tut";#N/A,#N/A,FALSE,"brü_er";#N/A,#N/A,FALSE,"elk_iç_ihz";#N/A,#N/A,FALSE,"elk_iç_tut";#N/A,#N/A,FALSE,"elk_iç_er"}</definedName>
    <definedName name="MAL.F.F3" localSheetId="3" hidden="1">{#N/A,#N/A,FALSE,"ihz. icmal";#N/A,#N/A,FALSE,"avans";#N/A,#N/A,FALSE,"mal_FF_icm";#N/A,#N/A,FALSE,"fat_ihz";#N/A,#N/A,FALSE,"söz_fiy_fark";#N/A,#N/A,FALSE,"kap2"}</definedName>
    <definedName name="MAL.F.F3" hidden="1">{#N/A,#N/A,FALSE,"ihz. icmal";#N/A,#N/A,FALSE,"avans";#N/A,#N/A,FALSE,"mal_FF_icm";#N/A,#N/A,FALSE,"fat_ihz";#N/A,#N/A,FALSE,"söz_fiy_fark";#N/A,#N/A,FALSE,"kap2"}</definedName>
    <definedName name="MAL.F.F4" localSheetId="3" hidden="1">{#N/A,#N/A,FALSE,"ihz. icmal";#N/A,#N/A,FALSE,"avans";#N/A,#N/A,FALSE,"mal_FF_icm";#N/A,#N/A,FALSE,"fat_ihz";#N/A,#N/A,FALSE,"söz_fiy_fark";#N/A,#N/A,FALSE,"kap2"}</definedName>
    <definedName name="MAL.F.F4" hidden="1">{#N/A,#N/A,FALSE,"ihz. icmal";#N/A,#N/A,FALSE,"avans";#N/A,#N/A,FALSE,"mal_FF_icm";#N/A,#N/A,FALSE,"fat_ihz";#N/A,#N/A,FALSE,"söz_fiy_fark";#N/A,#N/A,FALSE,"kap2"}</definedName>
    <definedName name="manmonth" localSheetId="3">#REF!</definedName>
    <definedName name="manmonth">#REF!</definedName>
    <definedName name="manpower" hidden="1">{#N/A,#N/A,FALSE,"손익표지";#N/A,#N/A,FALSE,"손익계산";#N/A,#N/A,FALSE,"일반관리비";#N/A,#N/A,FALSE,"영업외수익";#N/A,#N/A,FALSE,"영업외비용";#N/A,#N/A,FALSE,"매출액";#N/A,#N/A,FALSE,"요약손익";#N/A,#N/A,FALSE,"요약대차";#N/A,#N/A,FALSE,"매출채권현황";#N/A,#N/A,FALSE,"매출채권명세"}</definedName>
    <definedName name="MANPOWER_LABOR_NATION">'[90]MANPOWER MOBILIZATION'!$A$43:$AC$50</definedName>
    <definedName name="MANPOWER_STAFF_KOR_POSITION">'[90]MANPOWER MOBILIZATION'!$A$58:$AC$67</definedName>
    <definedName name="MANPOWER_STAFF_NATION">'[90]MANPOWER MOBILIZATION'!$A$19:$AC$27</definedName>
    <definedName name="margin" localSheetId="3">#REF!</definedName>
    <definedName name="margin">#REF!</definedName>
    <definedName name="margin1" localSheetId="3">#REF!</definedName>
    <definedName name="margin1">#REF!</definedName>
    <definedName name="MARGINPLAN" localSheetId="17">#REF!</definedName>
    <definedName name="MARGINPLAN" localSheetId="15">#REF!</definedName>
    <definedName name="MARGINPLAN" localSheetId="3">#REF!</definedName>
    <definedName name="MARGINPLAN">#REF!</definedName>
    <definedName name="MARGINPROJ" localSheetId="17">#REF!</definedName>
    <definedName name="MARGINPROJ" localSheetId="15">#REF!</definedName>
    <definedName name="MARGINPROJ" localSheetId="3">#REF!</definedName>
    <definedName name="MARGINPROJ">#REF!</definedName>
    <definedName name="MarkIdx">[83]Data!#REF!</definedName>
    <definedName name="MAT">[62]lookup!$IL$3:$IV$17</definedName>
    <definedName name="mat_list" localSheetId="3">#REF!</definedName>
    <definedName name="mat_list">#REF!</definedName>
    <definedName name="material_c" localSheetId="3">#REF!</definedName>
    <definedName name="material_c">#REF!</definedName>
    <definedName name="material_u" localSheetId="3">#REF!</definedName>
    <definedName name="material_u">#REF!</definedName>
    <definedName name="Matl" localSheetId="3">#REF!</definedName>
    <definedName name="Matl">#REF!</definedName>
    <definedName name="MBNFV" localSheetId="3" hidden="1">{#N/A,#N/A,FALSE,"TABLE"}</definedName>
    <definedName name="MBNFV" hidden="1">{#N/A,#N/A,FALSE,"TABLE"}</definedName>
    <definedName name="MCC">[107]DATA!$A$30:$D$53</definedName>
    <definedName name="MCCO" hidden="1">{#N/A,#N/A,FALSE,"CCTV"}</definedName>
    <definedName name="MCCO10" hidden="1">{#N/A,#N/A,FALSE,"CCTV"}</definedName>
    <definedName name="MCCO11" hidden="1">{#N/A,#N/A,FALSE,"CCTV"}</definedName>
    <definedName name="MCCO12" hidden="1">{#N/A,#N/A,FALSE,"CCTV"}</definedName>
    <definedName name="MCCO13" hidden="1">{#N/A,#N/A,FALSE,"CCTV"}</definedName>
    <definedName name="MCCO3" hidden="1">{#N/A,#N/A,FALSE,"CCTV"}</definedName>
    <definedName name="MCCO4" hidden="1">{#N/A,#N/A,FALSE,"CCTV"}</definedName>
    <definedName name="MCCO5" hidden="1">{#N/A,#N/A,FALSE,"CCTV"}</definedName>
    <definedName name="MCCO6" hidden="1">{#N/A,#N/A,FALSE,"CCTV"}</definedName>
    <definedName name="MCCO7" hidden="1">{#N/A,#N/A,FALSE,"CCTV"}</definedName>
    <definedName name="MCCO8" hidden="1">{#N/A,#N/A,FALSE,"CCTV"}</definedName>
    <definedName name="MCCO9" hidden="1">{#N/A,#N/A,FALSE,"CCTV"}</definedName>
    <definedName name="MCCOÙ" hidden="1">{#N/A,#N/A,FALSE,"CCTV"}</definedName>
    <definedName name="MDR_">#REF!</definedName>
    <definedName name="mech1" localSheetId="3">#REF!</definedName>
    <definedName name="mech1">#REF!</definedName>
    <definedName name="mech1_mci" localSheetId="3">#REF!</definedName>
    <definedName name="mech1_mci">#REF!</definedName>
    <definedName name="mech2" localSheetId="3">#REF!</definedName>
    <definedName name="mech2">#REF!</definedName>
    <definedName name="mech2_mci" localSheetId="3">#REF!</definedName>
    <definedName name="mech2_mci">#REF!</definedName>
    <definedName name="mech3_mci" localSheetId="3">#REF!</definedName>
    <definedName name="mech3_mci">#REF!</definedName>
    <definedName name="mech4" localSheetId="3">#REF!</definedName>
    <definedName name="mech4">#REF!</definedName>
    <definedName name="mech4_mci" localSheetId="3">#REF!</definedName>
    <definedName name="mech4_mci">#REF!</definedName>
    <definedName name="mech5" localSheetId="3">#REF!</definedName>
    <definedName name="mech5">#REF!</definedName>
    <definedName name="mech5_mci" localSheetId="3">#REF!</definedName>
    <definedName name="mech5_mci">#REF!</definedName>
    <definedName name="MECH6" localSheetId="3">#REF!</definedName>
    <definedName name="MECH6">#REF!</definedName>
    <definedName name="mech6_mci" localSheetId="3">#REF!</definedName>
    <definedName name="mech6_mci">#REF!</definedName>
    <definedName name="mech7" localSheetId="3">#REF!</definedName>
    <definedName name="mech7">#REF!</definedName>
    <definedName name="mecH7_mci" localSheetId="3">#REF!</definedName>
    <definedName name="mecH7_mci">#REF!</definedName>
    <definedName name="meci7_mci" localSheetId="3">#REF!</definedName>
    <definedName name="meci7_mci">#REF!</definedName>
    <definedName name="MEHMET" localSheetId="3" hidden="1">{#N/A,#N/A,FALSE,"BRIM_ICMAL";#N/A,#N/A,FALSE,"ASE_KUR";#N/A,#N/A,FALSE,"ASE_YES";#N/A,#N/A,FALSE,"AM_KUR";#N/A,#N/A,FALSE,"AMU_YES";#N/A,#N/A,FALSE,"PAR_KUR";#N/A,#N/A,FALSE,"PAR_YES";#N/A,#N/A,FALSE,"YSE_YES";#N/A,#N/A,FALSE,"YSE_YES";#N/A,#N/A,FALSE,"YM_KUR";#N/A,#N/A,FALSE,"YM_YES";#N/A,#N/A,FALSE,"YAB_KUR";#N/A,#N/A,FALSE,"YAB_YES";#N/A,#N/A,FALSE,"elek_kur";#N/A,#N/A,FALSE,"elek_yes";#N/A,#N/A,FALSE,"içm_KUR";#N/A,#N/A,FALSE,"içm_YES";#N/A,#N/A,FALSE,"TEL_KUR";#N/A,#N/A,FALSE,"TEL_YES";#N/A,#N/A,FALSE,"ISI_TES_KUR";#N/A,#N/A,FALSE,"ISI_TES_YES";#N/A,#N/A,FALSE,"ISIKAN_KUR";#N/A,#N/A,FALSE,"ISI_KAN_YES";#N/A,#N/A,FALSE,"YOLOT_KUR";#N/A,#N/A,FALSE,"YOLOT_YES";#N/A,#N/A,FALSE,"İST_KUR";#N/A,#N/A,FALSE,"İST_YES";#N/A,#N/A,FALSE,"ÇEVR_KUR";#N/A,#N/A,FALSE,"ÇEVRE_YES";#N/A,#N/A,FALSE,"PEY_KUR";#N/A,#N/A,FALSE,"PEY_YES";#N/A,#N/A,FALSE,"SULAMA_KUR";#N/A,#N/A,FALSE,"SULAMA_YES"}</definedName>
    <definedName name="MEHMET" hidden="1">{#N/A,#N/A,FALSE,"BRIM_ICMAL";#N/A,#N/A,FALSE,"ASE_KUR";#N/A,#N/A,FALSE,"ASE_YES";#N/A,#N/A,FALSE,"AM_KUR";#N/A,#N/A,FALSE,"AMU_YES";#N/A,#N/A,FALSE,"PAR_KUR";#N/A,#N/A,FALSE,"PAR_YES";#N/A,#N/A,FALSE,"YSE_YES";#N/A,#N/A,FALSE,"YSE_YES";#N/A,#N/A,FALSE,"YM_KUR";#N/A,#N/A,FALSE,"YM_YES";#N/A,#N/A,FALSE,"YAB_KUR";#N/A,#N/A,FALSE,"YAB_YES";#N/A,#N/A,FALSE,"elek_kur";#N/A,#N/A,FALSE,"elek_yes";#N/A,#N/A,FALSE,"içm_KUR";#N/A,#N/A,FALSE,"içm_YES";#N/A,#N/A,FALSE,"TEL_KUR";#N/A,#N/A,FALSE,"TEL_YES";#N/A,#N/A,FALSE,"ISI_TES_KUR";#N/A,#N/A,FALSE,"ISI_TES_YES";#N/A,#N/A,FALSE,"ISIKAN_KUR";#N/A,#N/A,FALSE,"ISI_KAN_YES";#N/A,#N/A,FALSE,"YOLOT_KUR";#N/A,#N/A,FALSE,"YOLOT_YES";#N/A,#N/A,FALSE,"İST_KUR";#N/A,#N/A,FALSE,"İST_YES";#N/A,#N/A,FALSE,"ÇEVR_KUR";#N/A,#N/A,FALSE,"ÇEVRE_YES";#N/A,#N/A,FALSE,"PEY_KUR";#N/A,#N/A,FALSE,"PEY_YES";#N/A,#N/A,FALSE,"SULAMA_KUR";#N/A,#N/A,FALSE,"SULAMA_YES"}</definedName>
    <definedName name="MENU">[108]!MENU</definedName>
    <definedName name="MENU1" localSheetId="3">#REF!</definedName>
    <definedName name="MENU1">#REF!</definedName>
    <definedName name="MENU2" localSheetId="3">#REF!</definedName>
    <definedName name="MENU2">#REF!</definedName>
    <definedName name="MESEYE" localSheetId="3" hidden="1">{#N/A,#N/A,FALSE,"Çaykara ataköy (1)";#N/A,#N/A,FALSE,"Çaykara ataköy (2)";#N/A,#N/A,FALSE,"Rize Kalkandere ";#N/A,#N/A,FALSE,"meydancık";#N/A,#N/A,FALSE,"muratlı"}</definedName>
    <definedName name="MESEYE" hidden="1">{#N/A,#N/A,FALSE,"Çaykara ataköy (1)";#N/A,#N/A,FALSE,"Çaykara ataköy (2)";#N/A,#N/A,FALSE,"Rize Kalkandere ";#N/A,#N/A,FALSE,"meydancık";#N/A,#N/A,FALSE,"muratlı"}</definedName>
    <definedName name="mhpmm">'[109]2 설계비'!$J$4</definedName>
    <definedName name="mhr" localSheetId="3">#REF!</definedName>
    <definedName name="mhr">#REF!</definedName>
    <definedName name="mik" localSheetId="3" hidden="1">{#N/A,#N/A,FALSE,"TABLE"}</definedName>
    <definedName name="mik" hidden="1">{#N/A,#N/A,FALSE,"TABLE"}</definedName>
    <definedName name="mjkj" hidden="1">'[7]TABLO-3'!$B$4:$B$4</definedName>
    <definedName name="MJU" localSheetId="3" hidden="1">{#N/A,#N/A,FALSE,"TABLE"}</definedName>
    <definedName name="MJU" hidden="1">{#N/A,#N/A,FALSE,"TABLE"}</definedName>
    <definedName name="Mlz.Mik.Hs.Tb." localSheetId="3" hidden="1">{#N/A,#N/A,FALSE,"Çaykara ataköy (1)";#N/A,#N/A,FALSE,"Çaykara ataköy (2)";#N/A,#N/A,FALSE,"Rize Kalkandere ";#N/A,#N/A,FALSE,"meydancık";#N/A,#N/A,FALSE,"muratlı"}</definedName>
    <definedName name="Mlz.Mik.Hs.Tb." hidden="1">{#N/A,#N/A,FALSE,"Çaykara ataköy (1)";#N/A,#N/A,FALSE,"Çaykara ataköy (2)";#N/A,#N/A,FALSE,"Rize Kalkandere ";#N/A,#N/A,FALSE,"meydancık";#N/A,#N/A,FALSE,"muratlı"}</definedName>
    <definedName name="mm" localSheetId="3" hidden="1">{#N/A,#N/A,TRUE,"토적및재료집계";#N/A,#N/A,TRUE,"토적및재료집계";#N/A,#N/A,TRUE,"단위량"}</definedName>
    <definedName name="mm" hidden="1">{#N/A,#N/A,TRUE,"토적및재료집계";#N/A,#N/A,TRUE,"토적및재료집계";#N/A,#N/A,TRUE,"단위량"}</definedName>
    <definedName name="mmm" localSheetId="3" hidden="1">{#N/A,#N/A,FALSE,"TABLE"}</definedName>
    <definedName name="mmm">{"'장비'!$A$3:$M$12"}</definedName>
    <definedName name="mmmm">{"'장비'!$A$3:$M$12"}</definedName>
    <definedName name="mmmmm" localSheetId="3" hidden="1">{#N/A,#N/A,FALSE,"CCTV"}</definedName>
    <definedName name="mmmmm" hidden="1">{#N/A,#N/A,FALSE,"CCTV"}</definedName>
    <definedName name="MNBV" localSheetId="3" hidden="1">{#N/A,#N/A,FALSE,"TABLE"}</definedName>
    <definedName name="MNBV" hidden="1">{#N/A,#N/A,FALSE,"TABLE"}</definedName>
    <definedName name="mnnb">'[32]h-013211-2'!$Q$2</definedName>
    <definedName name="MNO" localSheetId="3" hidden="1">{#N/A,#N/A,FALSE,"TABLE"}</definedName>
    <definedName name="MNO" hidden="1">{#N/A,#N/A,FALSE,"TABLE"}</definedName>
    <definedName name="MOB_SITE_LABOR_COLUMN">'[90]LABOR MOBILIZATION PLAN'!$A$11:$BV$11</definedName>
    <definedName name="MOB_SITE_LABOR_NATION">'[90]LABOR MOBILIZATION PLAN'!$A$368:$BV$370</definedName>
    <definedName name="MOB_SITE_STAFF_COLUMN">'[90]STAFF MOBILIZATION PLAN'!$A$11:$CC$11</definedName>
    <definedName name="MOB_SITE_STAFF_KOR_POSITION">'[90]STAFF MOBILIZATION PLAN'!$A$183:$CC$192</definedName>
    <definedName name="MOB_SITE_STAFF_MANAGER">'[90]STAFF MOBILIZATION PLAN'!$A$675:$CC$675</definedName>
    <definedName name="MOB_SITE_STAFF_NATION">'[90]STAFF MOBILIZATION PLAN'!$A$234:$CC$242</definedName>
    <definedName name="moi">{"'Sheet1'!$L$16"}</definedName>
    <definedName name="MOM">[62]lookup!$HH$2:$HP$46</definedName>
    <definedName name="Motorrating">[79]PumpSpec!$Y$3:$Z$25</definedName>
    <definedName name="MPMOB" localSheetId="3">#REF!</definedName>
    <definedName name="MPMOB">#REF!</definedName>
    <definedName name="mrate" localSheetId="3">#REF!</definedName>
    <definedName name="mrate">#REF!</definedName>
    <definedName name="msy" localSheetId="3" hidden="1">{#N/A,#N/A,FALSE,"Çaykara ataköy (1)";#N/A,#N/A,FALSE,"Çaykara ataköy (2)";#N/A,#N/A,FALSE,"Rize Kalkandere ";#N/A,#N/A,FALSE,"meydancık";#N/A,#N/A,FALSE,"muratlı"}</definedName>
    <definedName name="msy" hidden="1">{#N/A,#N/A,FALSE,"Çaykara ataköy (1)";#N/A,#N/A,FALSE,"Çaykara ataköy (2)";#N/A,#N/A,FALSE,"Rize Kalkandere ";#N/A,#N/A,FALSE,"meydancık";#N/A,#N/A,FALSE,"muratlı"}</definedName>
    <definedName name="MTBE" localSheetId="3">#REF!</definedName>
    <definedName name="MTBE">#REF!</definedName>
    <definedName name="MTBEC" localSheetId="3">#REF!</definedName>
    <definedName name="MTBEC">#REF!</definedName>
    <definedName name="MTBEE" localSheetId="3">#REF!</definedName>
    <definedName name="MTBEE">#REF!</definedName>
    <definedName name="MTBEI" localSheetId="3">#REF!</definedName>
    <definedName name="MTBEI">#REF!</definedName>
    <definedName name="MTBEP" localSheetId="3">#REF!</definedName>
    <definedName name="MTBEP">#REF!</definedName>
    <definedName name="MTBES" localSheetId="3">#REF!</definedName>
    <definedName name="MTBES">#REF!</definedName>
    <definedName name="MTBEW" localSheetId="3">#REF!</definedName>
    <definedName name="MTBEW">#REF!</definedName>
    <definedName name="MTBE계장" localSheetId="3">#REF!</definedName>
    <definedName name="MTBE계장">#REF!</definedName>
    <definedName name="MTBE도장" localSheetId="3">#REF!</definedName>
    <definedName name="MTBE도장">#REF!</definedName>
    <definedName name="MTBE전" localSheetId="3">#REF!</definedName>
    <definedName name="MTBE전">#REF!</definedName>
    <definedName name="MTL" localSheetId="3">#REF!</definedName>
    <definedName name="MTL">#REF!</definedName>
    <definedName name="MVNB" localSheetId="3" hidden="1">{#N/A,#N/A,FALSE,"TABLE"}</definedName>
    <definedName name="MVNB" hidden="1">{#N/A,#N/A,FALSE,"TABLE"}</definedName>
    <definedName name="name" localSheetId="17">#REF!</definedName>
    <definedName name="name" localSheetId="15">#REF!</definedName>
    <definedName name="name" localSheetId="3">#REF!</definedName>
    <definedName name="name">#REF!</definedName>
    <definedName name="NBM" localSheetId="3">#REF!</definedName>
    <definedName name="NBM">#REF!</definedName>
    <definedName name="NBNB" localSheetId="3" hidden="1">{#N/A,#N/A,FALSE,"TABLE"}</definedName>
    <definedName name="NBNB" hidden="1">{#N/A,#N/A,FALSE,"TABLE"}</definedName>
    <definedName name="nd" localSheetId="3" hidden="1">{#N/A,#N/A,FALSE,"Çaykara ataköy (1)";#N/A,#N/A,FALSE,"Çaykara ataköy (2)";#N/A,#N/A,FALSE,"Rize Kalkandere ";#N/A,#N/A,FALSE,"meydancık";#N/A,#N/A,FALSE,"muratlı"}</definedName>
    <definedName name="nd" hidden="1">{#N/A,#N/A,FALSE,"Çaykara ataköy (1)";#N/A,#N/A,FALSE,"Çaykara ataköy (2)";#N/A,#N/A,FALSE,"Rize Kalkandere ";#N/A,#N/A,FALSE,"meydancık";#N/A,#N/A,FALSE,"muratlı"}</definedName>
    <definedName name="needle" localSheetId="3">#REF!</definedName>
    <definedName name="needle">#REF!</definedName>
    <definedName name="netwark" localSheetId="3" hidden="1">{#N/A,#N/A,FALSE,"골재소요량";#N/A,#N/A,FALSE,"골재소요량"}</definedName>
    <definedName name="netwark" hidden="1">{#N/A,#N/A,FALSE,"골재소요량";#N/A,#N/A,FALSE,"골재소요량"}</definedName>
    <definedName name="NEWNAME" localSheetId="3" hidden="1">{#N/A,#N/A,FALSE,"CCTV"}</definedName>
    <definedName name="NEWNAME" hidden="1">{#N/A,#N/A,FALSE,"CCTV"}</definedName>
    <definedName name="NG"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NGGG" localSheetId="3" hidden="1">{#N/A,#N/A,FALSE,"TABLE"}</definedName>
    <definedName name="NGGG" hidden="1">{#N/A,#N/A,FALSE,"TABLE"}</definedName>
    <definedName name="nhk" localSheetId="3"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nhk"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NIPP" localSheetId="3">#REF!</definedName>
    <definedName name="NIPP">#REF!</definedName>
    <definedName name="nkknk" localSheetId="3" hidden="1">{#N/A,#N/A,FALSE,"CCTV"}</definedName>
    <definedName name="nkknk" hidden="1">{#N/A,#N/A,FALSE,"CCTV"}</definedName>
    <definedName name="NN" localSheetId="17">'[37]97 사업추정(WEKI)'!#REF!</definedName>
    <definedName name="NN" localSheetId="15">'[37]97 사업추정(WEKI)'!#REF!</definedName>
    <definedName name="NN" localSheetId="4" hidden="1">{#N/A,#N/A,FALSE,"지침";#N/A,#N/A,FALSE,"환경분석";#N/A,#N/A,FALSE,"Sheet16"}</definedName>
    <definedName name="NN">'[37]97 사업추정(WEKI)'!#REF!</definedName>
    <definedName name="NNN" localSheetId="17">'[66]97 사업추정(WEKI)'!#REF!</definedName>
    <definedName name="NNN" localSheetId="15">'[66]97 사업추정(WEKI)'!#REF!</definedName>
    <definedName name="NNN" localSheetId="4">[110]구의33고!$H$16:$H$29</definedName>
    <definedName name="NNN">'[66]97 사업추정(WEKI)'!#REF!</definedName>
    <definedName name="NNNM" localSheetId="3" hidden="1">{#N/A,#N/A,FALSE,"kap1";#N/A,#N/A,FALSE,"kap2";#N/A,#N/A,FALSE,"tem_mektubu";#N/A,#N/A,FALSE,"avans";#N/A,#N/A,FALSE,"söz_fiy_fark";#N/A,#N/A,FALSE,"fat_ihz"}</definedName>
    <definedName name="NNNM" hidden="1">{#N/A,#N/A,FALSE,"kap1";#N/A,#N/A,FALSE,"kap2";#N/A,#N/A,FALSE,"tem_mektubu";#N/A,#N/A,FALSE,"avans";#N/A,#N/A,FALSE,"söz_fiy_fark";#N/A,#N/A,FALSE,"fat_ihz"}</definedName>
    <definedName name="NNNN" localSheetId="3" hidden="1">'[111]TABLO-3'!$B$8:$B$8</definedName>
    <definedName name="NNNN"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NNNNN" hidden="1">{#N/A,#N/A,FALSE,"지침";#N/A,#N/A,FALSE,"환경분석";#N/A,#N/A,FALSE,"Sheet16"}</definedName>
    <definedName name="NO_INDIRECT_NATION">'[59]PERSONNEL SETUP'!$E$31:$Y$39</definedName>
    <definedName name="NO_INDIRECT_TCN_NATION">'[59]PERSONNEL SETUP'!$G$34:$Y$38</definedName>
    <definedName name="NO_LABOR_NATION">'[59]PERSONNEL SETUP'!$E$43:$Y$50</definedName>
    <definedName name="NO_LABOR_TCN_NATION">'[59]PERSONNEL SETUP'!$G$45:$Y$49</definedName>
    <definedName name="NO_POSITION">'[59]PERSONNEL SETUP'!$C$18:$Y$50</definedName>
    <definedName name="NO_STAFF_KOR_POSITION">'[59]PERSONNEL SETUP'!$C$58:$Y$67</definedName>
    <definedName name="NO_STAFF_NATION">'[59]PERSONNEL SETUP'!$E$19:$Y$27</definedName>
    <definedName name="NO_STAFF_TCN_NATION">'[59]PERSONNEL SETUP'!$G$22:$Y$26</definedName>
    <definedName name="NOMU" localSheetId="3">#REF!</definedName>
    <definedName name="NOMU">#REF!</definedName>
    <definedName name="NoPlan">"Texte 148"</definedName>
    <definedName name="NOTE" hidden="1">{#N/A,#N/A,TRUE,"총괄"}</definedName>
    <definedName name="NOZZLE_PRESS" localSheetId="3">#REF!</definedName>
    <definedName name="NOZZLE_PRESS">#REF!</definedName>
    <definedName name="nsort" localSheetId="3">#REF!</definedName>
    <definedName name="nsort">#REF!</definedName>
    <definedName name="nt" localSheetId="3" hidden="1">{#N/A,#N/A,FALSE,"NAKLİYE TABLOLARI";#N/A,#N/A,FALSE,"İTİNERER";#N/A,#N/A,FALSE,"bürükner cetveli";#N/A,#N/A,FALSE,"SANAT YAPILARI";#N/A,#N/A,FALSE,"B.A TABLOLARI";#N/A,#N/A,FALSE,"istinat duv.";#N/A,#N/A,FALSE,"NAKLİYE TABLOLARI"}</definedName>
    <definedName name="nt" hidden="1">{#N/A,#N/A,FALSE,"NAKLİYE TABLOLARI";#N/A,#N/A,FALSE,"İTİNERER";#N/A,#N/A,FALSE,"bürükner cetveli";#N/A,#N/A,FALSE,"SANAT YAPILARI";#N/A,#N/A,FALSE,"B.A TABLOLARI";#N/A,#N/A,FALSE,"istinat duv.";#N/A,#N/A,FALSE,"NAKLİYE TABLOLARI"}</definedName>
    <definedName name="num" localSheetId="17">#REF!</definedName>
    <definedName name="num" localSheetId="15">#REF!</definedName>
    <definedName name="num" localSheetId="3">#REF!</definedName>
    <definedName name="num">#REF!</definedName>
    <definedName name="NVNG" localSheetId="3" hidden="1">{#N/A,#N/A,FALSE,"TABLE"}</definedName>
    <definedName name="NVNG" hidden="1">{#N/A,#N/A,FALSE,"TABLE"}</definedName>
    <definedName name="O" localSheetId="17">[34]상반기손익차2총괄!#REF!</definedName>
    <definedName name="O" localSheetId="15">[34]상반기손익차2총괄!#REF!</definedName>
    <definedName name="o" localSheetId="4" hidden="1">{"MAN H.O.",#N/A,FALSE,"tabella"}</definedName>
    <definedName name="O">[34]상반기손익차2총괄!#REF!</definedName>
    <definedName name="öççç" localSheetId="3" hidden="1">{#N/A,#N/A,FALSE,"kal_iç_ihz";#N/A,#N/A,FALSE,"kal_iç_er";#N/A,#N/A,FALSE,"kal_iç_tut"}</definedName>
    <definedName name="öççç" hidden="1">{#N/A,#N/A,FALSE,"kal_iç_ihz";#N/A,#N/A,FALSE,"kal_iç_er";#N/A,#N/A,FALSE,"kal_iç_tut"}</definedName>
    <definedName name="OD">[62]lookup!$B$3:$C$46</definedName>
    <definedName name="ödenek" localSheetId="3" hidden="1">{#N/A,#N/A,FALSE,"Çaykara ataköy (1)";#N/A,#N/A,FALSE,"Çaykara ataköy (2)";#N/A,#N/A,FALSE,"Rize Kalkandere ";#N/A,#N/A,FALSE,"meydancık";#N/A,#N/A,FALSE,"muratlı"}</definedName>
    <definedName name="ödenek" hidden="1">{#N/A,#N/A,FALSE,"Çaykara ataköy (1)";#N/A,#N/A,FALSE,"Çaykara ataköy (2)";#N/A,#N/A,FALSE,"Rize Kalkandere ";#N/A,#N/A,FALSE,"meydancık";#N/A,#N/A,FALSE,"muratlı"}</definedName>
    <definedName name="ODH" localSheetId="3" hidden="1">#REF!</definedName>
    <definedName name="ODH" hidden="1">#REF!</definedName>
    <definedName name="OFFICE_EQUIP_SEOUL">'[59]LIST OF OFFICE EQUIPMENT'!$E$20:$O$57</definedName>
    <definedName name="OFFICE_EQUIP_SEOUL_NO">[90]BREAKDOWN!$L$103:$Y$146</definedName>
    <definedName name="OFFICE_EQUIP_SITE">'[59]LIST OF OFFICE EQUIPMENT'!$E$61:$O$104</definedName>
    <definedName name="OFFICE_EQUIP_SITE_NO">[90]BREAKDOWN!$L$465:$Y$519</definedName>
    <definedName name="offsite_num" localSheetId="3">#REF!</definedName>
    <definedName name="offsite_num">#REF!</definedName>
    <definedName name="oı" localSheetId="3" hidden="1">{#N/A,#N/A,FALSE,"Çaykara ataköy (1)";#N/A,#N/A,FALSE,"Çaykara ataköy (2)";#N/A,#N/A,FALSE,"Rize Kalkandere ";#N/A,#N/A,FALSE,"meydancık";#N/A,#N/A,FALSE,"muratlı"}</definedName>
    <definedName name="oı" hidden="1">{#N/A,#N/A,FALSE,"Çaykara ataköy (1)";#N/A,#N/A,FALSE,"Çaykara ataköy (2)";#N/A,#N/A,FALSE,"Rize Kalkandere ";#N/A,#N/A,FALSE,"meydancık";#N/A,#N/A,FALSE,"muratlı"}</definedName>
    <definedName name="oiioioioio" localSheetId="3">#REF!</definedName>
    <definedName name="oiioioioio">#REF!</definedName>
    <definedName name="oiioiouiouio" localSheetId="3">#REF!</definedName>
    <definedName name="oiioiouiouio">#REF!</definedName>
    <definedName name="Oil" localSheetId="3">#REF!</definedName>
    <definedName name="Oil">#REF!</definedName>
    <definedName name="oililui" localSheetId="3" hidden="1">{#N/A,#N/A,FALSE,"CCTV"}</definedName>
    <definedName name="oililui" hidden="1">{#N/A,#N/A,FALSE,"CCTV"}</definedName>
    <definedName name="oioio" localSheetId="3">#REF!</definedName>
    <definedName name="oioio">#REF!</definedName>
    <definedName name="OIU" localSheetId="3" hidden="1">{#N/A,#N/A,FALSE,"TABLE"}</definedName>
    <definedName name="OIU" hidden="1">{#N/A,#N/A,FALSE,"TABLE"}</definedName>
    <definedName name="one_eight" localSheetId="3">#REF!</definedName>
    <definedName name="one_eight">#REF!</definedName>
    <definedName name="Öner" localSheetId="3" hidden="1">{#N/A,#N/A,FALSE,"Çaykara ataköy (1)";#N/A,#N/A,FALSE,"Çaykara ataköy (2)";#N/A,#N/A,FALSE,"Rize Kalkandere ";#N/A,#N/A,FALSE,"meydancık";#N/A,#N/A,FALSE,"muratlı"}</definedName>
    <definedName name="Öner" hidden="1">{#N/A,#N/A,FALSE,"Çaykara ataköy (1)";#N/A,#N/A,FALSE,"Çaykara ataköy (2)";#N/A,#N/A,FALSE,"Rize Kalkandere ";#N/A,#N/A,FALSE,"meydancık";#N/A,#N/A,FALSE,"muratlı"}</definedName>
    <definedName name="oo">'[70]h-013211-2'!$Q$3</definedName>
    <definedName name="OOO" localSheetId="3" hidden="1">{#N/A,#N/A,FALSE,"TABLE"}</definedName>
    <definedName name="OOO" hidden="1">{#N/A,#N/A,FALSE,"TABLE"}</definedName>
    <definedName name="ööööö" localSheetId="3" hidden="1">{#N/A,#N/A,FALSE,"Çaykara ataköy (1)";#N/A,#N/A,FALSE,"Çaykara ataköy (2)";#N/A,#N/A,FALSE,"Rize Kalkandere ";#N/A,#N/A,FALSE,"meydancık";#N/A,#N/A,FALSE,"muratlı"}</definedName>
    <definedName name="ööööö" hidden="1">{#N/A,#N/A,FALSE,"Çaykara ataköy (1)";#N/A,#N/A,FALSE,"Çaykara ataköy (2)";#N/A,#N/A,FALSE,"Rize Kalkandere ";#N/A,#N/A,FALSE,"meydancık";#N/A,#N/A,FALSE,"muratlı"}</definedName>
    <definedName name="ööööööö" localSheetId="3" hidden="1">{#N/A,#N/A,FALSE,"Çaykara ataköy (1)";#N/A,#N/A,FALSE,"Çaykara ataköy (2)";#N/A,#N/A,FALSE,"Rize Kalkandere ";#N/A,#N/A,FALSE,"meydancık";#N/A,#N/A,FALSE,"muratlı"}</definedName>
    <definedName name="ööööööö" hidden="1">{#N/A,#N/A,FALSE,"Çaykara ataköy (1)";#N/A,#N/A,FALSE,"Çaykara ataköy (2)";#N/A,#N/A,FALSE,"Rize Kalkandere ";#N/A,#N/A,FALSE,"meydancık";#N/A,#N/A,FALSE,"muratlı"}</definedName>
    <definedName name="ooooooooooooooooooooooooo" localSheetId="3" hidden="1">{#N/A,#N/A,FALSE,"Çaykara ataköy (1)";#N/A,#N/A,FALSE,"Çaykara ataköy (2)";#N/A,#N/A,FALSE,"Rize Kalkandere ";#N/A,#N/A,FALSE,"meydancık";#N/A,#N/A,FALSE,"muratlı"}</definedName>
    <definedName name="ooooooooooooooooooooooooo" hidden="1">{#N/A,#N/A,FALSE,"Çaykara ataköy (1)";#N/A,#N/A,FALSE,"Çaykara ataköy (2)";#N/A,#N/A,FALSE,"Rize Kalkandere ";#N/A,#N/A,FALSE,"meydancık";#N/A,#N/A,FALSE,"muratlı"}</definedName>
    <definedName name="ooooooooooooooooooooooooooooooooooooooooooooooooo" localSheetId="3" hidden="1">#REF!</definedName>
    <definedName name="ooooooooooooooooooooooooooooooooooooooooooooooooo" hidden="1">#REF!</definedName>
    <definedName name="OPC">#REF!</definedName>
    <definedName name="oper" localSheetId="3">#REF!</definedName>
    <definedName name="oper">#REF!</definedName>
    <definedName name="oper." localSheetId="3">#REF!</definedName>
    <definedName name="oper.">#REF!</definedName>
    <definedName name="Organization" localSheetId="3">#REF!</definedName>
    <definedName name="Organization">#REF!</definedName>
    <definedName name="origine">'[56]Tipo Terzi'!$L$2:$L$12</definedName>
    <definedName name="ÖRNEK2" localSheetId="3" hidden="1">{#N/A,#N/A,FALSE,"ihz. icmal";#N/A,#N/A,FALSE,"avans";#N/A,#N/A,FALSE,"mal_FF_icm";#N/A,#N/A,FALSE,"fat_ihz";#N/A,#N/A,FALSE,"söz_fiy_fark";#N/A,#N/A,FALSE,"kap2"}</definedName>
    <definedName name="ÖRNEK2" hidden="1">{#N/A,#N/A,FALSE,"ihz. icmal";#N/A,#N/A,FALSE,"avans";#N/A,#N/A,FALSE,"mal_FF_icm";#N/A,#N/A,FALSE,"fat_ihz";#N/A,#N/A,FALSE,"söz_fiy_fark";#N/A,#N/A,FALSE,"kap2"}</definedName>
    <definedName name="os" localSheetId="3" hidden="1">{#N/A,#N/A,FALSE,"TABLE"}</definedName>
    <definedName name="os" hidden="1">{#N/A,#N/A,FALSE,"TABLE"}</definedName>
    <definedName name="osbl_gen_alghanim">'[94]TABLE2-2 OSBL(GENERAL-CIVIL)'!$B$8:$P$51</definedName>
    <definedName name="osbl_gen_bahar">'[95]TABLE2-2 OSBL(GENERAL-CIVIL)'!$B$9:$S$49</definedName>
    <definedName name="osbl_gen_hamra">'[96]TABLE2-2 OSBL(GENERAL-CIVIL)'!$B$9:$X$49</definedName>
    <definedName name="osbl_gen_mushrif">'[97]TABLE2-2 OSBL(GENERAL-CIVIL)'!$B$8:$S$51</definedName>
    <definedName name="osbl_gen_naser">'[98]TABLE2-2 OSBL(GENERAL-CIVIL)'!$B$8:$S$51</definedName>
    <definedName name="osbl_sea_1105bm">'[112]OSBL-TOTAL (SEA WATER)'!$B$8:$F$35</definedName>
    <definedName name="osbl_sea_1105bm_1">'[113]OSBL-TOTAL (SEA WATER)'!$B$8:$F$38</definedName>
    <definedName name="osbl_site_1105bm_1">'[112]OSBL-TOTAL (CIVIL WORK)'!$B$8:$F$17</definedName>
    <definedName name="osbl_site_alghanim">'[94]TABLE2-2 OSBL-(SITE PREP)'!$B$8:$P$12</definedName>
    <definedName name="osbl_site_associated">[114]boq!$B$35:$G$39</definedName>
    <definedName name="osbl_site_bahar">'[115]TABLE2-2 OSBL-(SITE PREP)'!$B$9:$S$13</definedName>
    <definedName name="osbl_site_hamra">'[96]TABLE2-2 OSBL-(SITE PREP)'!$B$9:$X$13</definedName>
    <definedName name="osbl_site_khalifa">[99]OSBL!$B$13:$S$17</definedName>
    <definedName name="osbl_site_mushrif">'[97]TABLE2-2 OSBL-(SITE PREP)'!$B$8:$S$12</definedName>
    <definedName name="osbl_site_naser">'[98]TABLE2-2 OSBL-(SITE PREP)'!$B$8:$S$12</definedName>
    <definedName name="osman" localSheetId="3" hidden="1">{#N/A,#N/A,FALSE,"Çaykara ataköy (1)";#N/A,#N/A,FALSE,"Çaykara ataköy (2)";#N/A,#N/A,FALSE,"Rize Kalkandere ";#N/A,#N/A,FALSE,"meydancık";#N/A,#N/A,FALSE,"muratlı"}</definedName>
    <definedName name="osman" hidden="1">{#N/A,#N/A,FALSE,"Çaykara ataköy (1)";#N/A,#N/A,FALSE,"Çaykara ataköy (2)";#N/A,#N/A,FALSE,"Rize Kalkandere ";#N/A,#N/A,FALSE,"meydancık";#N/A,#N/A,FALSE,"muratlı"}</definedName>
    <definedName name="ot" localSheetId="3" hidden="1">{#N/A,#N/A,FALSE,"TABLE"}</definedName>
    <definedName name="ot" hidden="1">{#N/A,#N/A,FALSE,"TABLE"}</definedName>
    <definedName name="OTHERS">{"'장비'!$A$3:$M$12"}</definedName>
    <definedName name="ÖTNEK" localSheetId="3" hidden="1">{#N/A,#N/A,FALSE,"söz_fiy_fark";#N/A,#N/A,FALSE,"ihz. icmal";#N/A,#N/A,FALSE,"1";#N/A,#N/A,FALSE,"sıh_iç_ihz";#N/A,#N/A,FALSE,"sıh_iç_tut";#N/A,#N/A,FALSE,"sıh_iç_er";#N/A,#N/A,FALSE,"2";#N/A,#N/A,FALSE,"müş_iç_ihz";#N/A,#N/A,FALSE,"müş_iç_tut";#N/A,#N/A,FALSE,"müş_iç_er";#N/A,#N/A,FALSE,"3";#N/A,#N/A,FALSE,"kal_iç_ihz";#N/A,#N/A,FALSE,"kal_iç_tut";#N/A,#N/A,FALSE,"kal_iç_er";#N/A,#N/A,FALSE,"4";#N/A,#N/A,FALSE,"oto_ihz";#N/A,#N/A,FALSE,"oto_tut";#N/A,#N/A,FALSE,"oto_er";#N/A,#N/A,FALSE,"5";#N/A,#N/A,FALSE,"brü_ihz";#N/A,#N/A,FALSE,"brü_tut";#N/A,#N/A,FALSE,"brü_er"}</definedName>
    <definedName name="ÖTNEK" hidden="1">{#N/A,#N/A,FALSE,"söz_fiy_fark";#N/A,#N/A,FALSE,"ihz. icmal";#N/A,#N/A,FALSE,"1";#N/A,#N/A,FALSE,"sıh_iç_ihz";#N/A,#N/A,FALSE,"sıh_iç_tut";#N/A,#N/A,FALSE,"sıh_iç_er";#N/A,#N/A,FALSE,"2";#N/A,#N/A,FALSE,"müş_iç_ihz";#N/A,#N/A,FALSE,"müş_iç_tut";#N/A,#N/A,FALSE,"müş_iç_er";#N/A,#N/A,FALSE,"3";#N/A,#N/A,FALSE,"kal_iç_ihz";#N/A,#N/A,FALSE,"kal_iç_tut";#N/A,#N/A,FALSE,"kal_iç_er";#N/A,#N/A,FALSE,"4";#N/A,#N/A,FALSE,"oto_ihz";#N/A,#N/A,FALSE,"oto_tut";#N/A,#N/A,FALSE,"oto_er";#N/A,#N/A,FALSE,"5";#N/A,#N/A,FALSE,"brü_ihz";#N/A,#N/A,FALSE,"brü_tut";#N/A,#N/A,FALSE,"brü_er"}</definedName>
    <definedName name="OVER" localSheetId="3">#REF!</definedName>
    <definedName name="OVER">#REF!</definedName>
    <definedName name="OWOE" localSheetId="3" hidden="1">{#N/A,#N/A,FALSE,"TABLE"}</definedName>
    <definedName name="OWOE" hidden="1">{#N/A,#N/A,FALSE,"TABLE"}</definedName>
    <definedName name="P" localSheetId="3">#REF!</definedName>
    <definedName name="P">#REF!</definedName>
    <definedName name="P_1">#REF!</definedName>
    <definedName name="P_10">#REF!</definedName>
    <definedName name="P_10A">[116]cement!#REF!</definedName>
    <definedName name="P_11">#REF!</definedName>
    <definedName name="P_12">#REF!</definedName>
    <definedName name="P_13">#REF!</definedName>
    <definedName name="P_14">#REF!</definedName>
    <definedName name="P_15">#REF!</definedName>
    <definedName name="P_16">#REF!</definedName>
    <definedName name="P_17">#REF!</definedName>
    <definedName name="P_18">#REF!</definedName>
    <definedName name="P_19">#REF!</definedName>
    <definedName name="P_2">#REF!</definedName>
    <definedName name="P_20">#REF!</definedName>
    <definedName name="P_21">#REF!</definedName>
    <definedName name="P_22">#REF!</definedName>
    <definedName name="P_23">#REF!</definedName>
    <definedName name="P_24">#REF!</definedName>
    <definedName name="P_25">#REF!</definedName>
    <definedName name="P_26">#REF!</definedName>
    <definedName name="P_3">#REF!</definedName>
    <definedName name="P_4">#REF!</definedName>
    <definedName name="P_5">#REF!</definedName>
    <definedName name="P_6">#REF!</definedName>
    <definedName name="P_7">#REF!</definedName>
    <definedName name="P_8">#REF!</definedName>
    <definedName name="P_9">#REF!</definedName>
    <definedName name="P_Actual">{"Book1","DOC&amp;DWG.xls"}</definedName>
    <definedName name="p_shape" localSheetId="17">#REF!</definedName>
    <definedName name="p_shape" localSheetId="15">#REF!</definedName>
    <definedName name="p_shape" localSheetId="3">#REF!</definedName>
    <definedName name="p_shape">#REF!</definedName>
    <definedName name="Packed" localSheetId="3">#REF!</definedName>
    <definedName name="Packed">#REF!</definedName>
    <definedName name="PAGE1">#N/A</definedName>
    <definedName name="PAGE11">#N/A</definedName>
    <definedName name="PAGE12">#N/A</definedName>
    <definedName name="PAGE2">#N/A</definedName>
    <definedName name="PAGE21">#N/A</definedName>
    <definedName name="PAGE22">#N/A</definedName>
    <definedName name="PAGE3">#N/A</definedName>
    <definedName name="PAGE31">#N/A</definedName>
    <definedName name="PAGE32">#N/A</definedName>
    <definedName name="PAGE41">#N/A</definedName>
    <definedName name="PAGE42">#N/A</definedName>
    <definedName name="paint" localSheetId="3">#REF!</definedName>
    <definedName name="paint">#REF!</definedName>
    <definedName name="Pal_Workbook_GUID">"AMHFJFAZVKC3G9XNH7Z3E6YG"</definedName>
    <definedName name="Panel" hidden="1">{#N/A,#N/A,TRUE,"Basic";#N/A,#N/A,TRUE,"EXT-TABLE";#N/A,#N/A,TRUE,"STEEL";#N/A,#N/A,TRUE,"INT-Table";#N/A,#N/A,TRUE,"STEEL";#N/A,#N/A,TRUE,"Door"}</definedName>
    <definedName name="PARALI" localSheetId="3" hidden="1">{#N/A,#N/A,FALSE,"NAKLİYE TABLOLARI";#N/A,#N/A,FALSE,"İTİNERER";#N/A,#N/A,FALSE,"bürükner cetveli";#N/A,#N/A,FALSE,"SANAT YAPILARI";#N/A,#N/A,FALSE,"B.A TABLOLARI";#N/A,#N/A,FALSE,"istinat duv.";#N/A,#N/A,FALSE,"NAKLİYE TABLOLARI"}</definedName>
    <definedName name="PARALI" hidden="1">{#N/A,#N/A,FALSE,"NAKLİYE TABLOLARI";#N/A,#N/A,FALSE,"İTİNERER";#N/A,#N/A,FALSE,"bürükner cetveli";#N/A,#N/A,FALSE,"SANAT YAPILARI";#N/A,#N/A,FALSE,"B.A TABLOLARI";#N/A,#N/A,FALSE,"istinat duv.";#N/A,#N/A,FALSE,"NAKLİYE TABLOLARI"}</definedName>
    <definedName name="part2">'[117]D-3'!#REF!</definedName>
    <definedName name="patata" localSheetId="3" hidden="1">{#N/A,#N/A,FALSE,"Çaykara ataköy (1)";#N/A,#N/A,FALSE,"Çaykara ataköy (2)";#N/A,#N/A,FALSE,"Rize Kalkandere ";#N/A,#N/A,FALSE,"meydancık";#N/A,#N/A,FALSE,"muratlı"}</definedName>
    <definedName name="patata" hidden="1">{#N/A,#N/A,FALSE,"Çaykara ataköy (1)";#N/A,#N/A,FALSE,"Çaykara ataköy (2)";#N/A,#N/A,FALSE,"Rize Kalkandere ";#N/A,#N/A,FALSE,"meydancık";#N/A,#N/A,FALSE,"muratlı"}</definedName>
    <definedName name="pc" localSheetId="3" hidden="1">{#N/A,#N/A,FALSE,"elk_iç_er";#N/A,#N/A,FALSE,"elk_iç_tut";#N/A,#N/A,FALSE,"elk_iç_ihz"}</definedName>
    <definedName name="pc" hidden="1">{#N/A,#N/A,FALSE,"elk_iç_er";#N/A,#N/A,FALSE,"elk_iç_tut";#N/A,#N/A,FALSE,"elk_iç_ihz"}</definedName>
    <definedName name="PC_PILE_운반" localSheetId="3">#REF!</definedName>
    <definedName name="PC_PILE_운반">#REF!</definedName>
    <definedName name="PC_PILE_항타" localSheetId="3">#REF!</definedName>
    <definedName name="PC_PILE_항타">#REF!</definedName>
    <definedName name="PC_항타" localSheetId="3">#REF!</definedName>
    <definedName name="PC_항타">#REF!</definedName>
    <definedName name="PCN" localSheetId="3">#REF!</definedName>
    <definedName name="PCN">#REF!</definedName>
    <definedName name="PCPILE운반" localSheetId="3">#REF!</definedName>
    <definedName name="PCPILE운반">#REF!</definedName>
    <definedName name="PCPILE항타" localSheetId="3">#REF!</definedName>
    <definedName name="PCPILE항타">#REF!</definedName>
    <definedName name="PC항타" localSheetId="3">#REF!</definedName>
    <definedName name="PC항타">#REF!</definedName>
    <definedName name="ped_no" localSheetId="17">#REF!</definedName>
    <definedName name="ped_no" localSheetId="15">#REF!</definedName>
    <definedName name="ped_no" localSheetId="3">#REF!</definedName>
    <definedName name="ped_no">#REF!</definedName>
    <definedName name="PER" localSheetId="17">#REF!</definedName>
    <definedName name="PER" localSheetId="15">#REF!</definedName>
    <definedName name="PER" localSheetId="4">'[64]간접비내역-1'!#REF!</definedName>
    <definedName name="PER">#REF!</definedName>
    <definedName name="percentagerate" localSheetId="3">#REF!</definedName>
    <definedName name="percentagerate">#REF!</definedName>
    <definedName name="PERSON_STAFF_HEC_POSITION">'[90]STAFF MOBILIZATION PLAN'!$A$584:$S$593</definedName>
    <definedName name="PERSONNEL_DESCRIPTION">'[90]PERSONNEL SETUP'!$A$18:$AC$50</definedName>
    <definedName name="PERSONNEL_INDIRECT_NATION">'[90]PERSONNEL SETUP'!$A$31:$AC$39</definedName>
    <definedName name="PERSONNEL_LABOR_NATION">'[90]PERSONNEL SETUP'!$A$43:$AC$50</definedName>
    <definedName name="PERSONNEL_STAFF_NATION">'[90]PERSONNEL SETUP'!$A$19:$AC$27</definedName>
    <definedName name="PESO">#REF!</definedName>
    <definedName name="petro2" localSheetId="3" hidden="1">#REF!</definedName>
    <definedName name="petro2" hidden="1">#REF!</definedName>
    <definedName name="petrol_freight" localSheetId="3">#REF!</definedName>
    <definedName name="petrol_freight">#REF!</definedName>
    <definedName name="PF">1200</definedName>
    <definedName name="PHASE" localSheetId="3" hidden="1">{#N/A,#N/A,TRUE,"Basic";#N/A,#N/A,TRUE,"EXT-TABLE";#N/A,#N/A,TRUE,"STEEL";#N/A,#N/A,TRUE,"INT-Table";#N/A,#N/A,TRUE,"STEEL";#N/A,#N/A,TRUE,"Door"}</definedName>
    <definedName name="PHASE" hidden="1">{#N/A,#N/A,TRUE,"Basic";#N/A,#N/A,TRUE,"EXT-TABLE";#N/A,#N/A,TRUE,"STEEL";#N/A,#N/A,TRUE,"INT-Table";#N/A,#N/A,TRUE,"STEEL";#N/A,#N/A,TRUE,"Door"}</definedName>
    <definedName name="phase2" hidden="1">{#N/A,#N/A,FALSE,"지침";#N/A,#N/A,FALSE,"환경분석";#N/A,#N/A,FALSE,"Sheet16"}</definedName>
    <definedName name="Physical_Scope">[118]eq_data!$C$5:$C$54</definedName>
    <definedName name="picture1" localSheetId="3">#REF!</definedName>
    <definedName name="picture1">#REF!</definedName>
    <definedName name="PILE__항타" localSheetId="3">#REF!</definedName>
    <definedName name="PILE__항타">#REF!</definedName>
    <definedName name="pile_no" localSheetId="17">#REF!</definedName>
    <definedName name="pile_no" localSheetId="15">#REF!</definedName>
    <definedName name="pile_no" localSheetId="3">#REF!</definedName>
    <definedName name="pile_no">#REF!</definedName>
    <definedName name="PILE_운반" localSheetId="3">#REF!</definedName>
    <definedName name="PILE_운반">#REF!</definedName>
    <definedName name="PILE운반" localSheetId="3">#REF!</definedName>
    <definedName name="PILE운반">#REF!</definedName>
    <definedName name="PILE항타" localSheetId="3">#REF!</definedName>
    <definedName name="PILE항타">#REF!</definedName>
    <definedName name="PIPE" localSheetId="3">#REF!</definedName>
    <definedName name="PIPE">#REF!</definedName>
    <definedName name="PIPE_ID" localSheetId="3">#REF!</definedName>
    <definedName name="PIPE_ID">#REF!</definedName>
    <definedName name="PIPE_SIZE" localSheetId="3">#REF!</definedName>
    <definedName name="PIPE_SIZE">#REF!</definedName>
    <definedName name="pipe1" localSheetId="3">#REF!</definedName>
    <definedName name="pipe1">#REF!</definedName>
    <definedName name="pipe2" localSheetId="3">#REF!</definedName>
    <definedName name="pipe2">#REF!</definedName>
    <definedName name="pipe4" localSheetId="3">#REF!</definedName>
    <definedName name="pipe4">#REF!</definedName>
    <definedName name="pipe5" localSheetId="3">#REF!</definedName>
    <definedName name="pipe5">#REF!</definedName>
    <definedName name="pipe6" localSheetId="3">#REF!</definedName>
    <definedName name="pipe6">#REF!</definedName>
    <definedName name="pipe7" localSheetId="3">#REF!</definedName>
    <definedName name="pipe7">#REF!</definedName>
    <definedName name="PIPEDATA">'[119]Piping Design Data'!$B$3:$E$1823</definedName>
    <definedName name="PJT" localSheetId="3">#REF!</definedName>
    <definedName name="PJT">#REF!</definedName>
    <definedName name="pjtName" localSheetId="3">#REF!</definedName>
    <definedName name="pjtName">#REF!</definedName>
    <definedName name="pjtNo" localSheetId="3">#REF!</definedName>
    <definedName name="pjtNo">#REF!</definedName>
    <definedName name="PKS" localSheetId="3">#REF!</definedName>
    <definedName name="PKS">#REF!</definedName>
    <definedName name="PLANT_JE_GWAN_GONG" localSheetId="3">#REF!</definedName>
    <definedName name="PLANT_JE_GWAN_GONG">#REF!</definedName>
    <definedName name="plantCapa" localSheetId="3">#REF!</definedName>
    <definedName name="plantCapa">#REF!</definedName>
    <definedName name="PLUG" localSheetId="3">#REF!</definedName>
    <definedName name="PLUG">#REF!</definedName>
    <definedName name="PM별점수" localSheetId="3" hidden="1">{#N/A,#N/A,FALSE,"사업총괄";#N/A,#N/A,FALSE,"장비사업";#N/A,#N/A,FALSE,"철구사업";#N/A,#N/A,FALSE,"준설사업"}</definedName>
    <definedName name="PM별점수" hidden="1">{#N/A,#N/A,FALSE,"사업총괄";#N/A,#N/A,FALSE,"장비사업";#N/A,#N/A,FALSE,"철구사업";#N/A,#N/A,FALSE,"준설사업"}</definedName>
    <definedName name="poa1RTRTpoa2RTRT" localSheetId="3">#REF!</definedName>
    <definedName name="poa1RTRTpoa2RTRT">#REF!</definedName>
    <definedName name="poaaRTRTpobbRTRT" localSheetId="3">#REF!</definedName>
    <definedName name="poaaRTRTpobbRTRT">#REF!</definedName>
    <definedName name="POARTM0TB0TB0TB0TB4.8TB55TB175R" localSheetId="17">[40]영업소실적!#REF!</definedName>
    <definedName name="POARTM0TB0TB0TB0TB4.8TB55TB175R" localSheetId="15">[40]영업소실적!#REF!</definedName>
    <definedName name="POARTM0TB0TB0TB0TB4.8TB55TB175R">[40]영업소실적!#REF!</definedName>
    <definedName name="POARTM0TB0TB0TB0TB4.8TB55TB200R" localSheetId="17">#REF!</definedName>
    <definedName name="POARTM0TB0TB0TB0TB4.8TB55TB200R" localSheetId="15">#REF!</definedName>
    <definedName name="POARTM0TB0TB0TB0TB4.8TB55TB200R" localSheetId="3">#REF!</definedName>
    <definedName name="POARTM0TB0TB0TB0TB4.8TB55TB200R">#REF!</definedName>
    <definedName name="POARTSQKS15C5LRTRT" localSheetId="17">#REF!</definedName>
    <definedName name="POARTSQKS15C5LRTRT" localSheetId="15">#REF!</definedName>
    <definedName name="POARTSQKS15C5LRTRT" localSheetId="3">#REF!</definedName>
    <definedName name="POARTSQKS15C5LRTRT">#REF!</definedName>
    <definedName name="POI" hidden="1">#REF!</definedName>
    <definedName name="POP" localSheetId="3" hidden="1">{#N/A,#N/A,FALSE,"TABLE"}</definedName>
    <definedName name="POP" hidden="1">{#N/A,#N/A,FALSE,"TABLE"}</definedName>
    <definedName name="pound" localSheetId="3">#REF!</definedName>
    <definedName name="pound">#REF!</definedName>
    <definedName name="pp">{"Book1","DOC&amp;DWG.xls"}</definedName>
    <definedName name="PPMdate" localSheetId="3">#REF!</definedName>
    <definedName name="PPMdate">#REF!</definedName>
    <definedName name="PPP" hidden="1">{#N/A,#N/A,FALSE,"CCTV"}</definedName>
    <definedName name="ppppp" localSheetId="3" hidden="1">{#N/A,#N/A,FALSE,"İÇ TOPRAK";#N/A,#N/A,FALSE,"İÇ SANAT";#N/A,#N/A,FALSE,"İÇ AYASOFYA ";#N/A,#N/A,FALSE,"İÇ AKYAZI";#N/A,#N/A,FALSE,"İÇ BEŞİRLİ";#N/A,#N/A,FALSE,"İÇ HAVAALANI";#N/A,#N/A,FALSE,"İÇ SONDAJ";#N/A,#N/A,FALSE,"İÇ KAMU";#N/A,#N/A,FALSE,"İÇ FAROZ"}</definedName>
    <definedName name="ppppp" hidden="1">{#N/A,#N/A,FALSE,"İÇ TOPRAK";#N/A,#N/A,FALSE,"İÇ SANAT";#N/A,#N/A,FALSE,"İÇ AYASOFYA ";#N/A,#N/A,FALSE,"İÇ AKYAZI";#N/A,#N/A,FALSE,"İÇ BEŞİRLİ";#N/A,#N/A,FALSE,"İÇ HAVAALANI";#N/A,#N/A,FALSE,"İÇ SONDAJ";#N/A,#N/A,FALSE,"İÇ KAMU";#N/A,#N/A,FALSE,"İÇ FAROZ"}</definedName>
    <definedName name="pppppp">#N/A</definedName>
    <definedName name="PPR" localSheetId="3">#REF!</definedName>
    <definedName name="PPR">#REF!</definedName>
    <definedName name="PPRC" localSheetId="3">#REF!</definedName>
    <definedName name="PPRC">#REF!</definedName>
    <definedName name="PPRE" localSheetId="3">#REF!</definedName>
    <definedName name="PPRE">#REF!</definedName>
    <definedName name="PPRI" localSheetId="3">#REF!</definedName>
    <definedName name="PPRI">#REF!</definedName>
    <definedName name="PPRP" localSheetId="3">#REF!</definedName>
    <definedName name="PPRP">#REF!</definedName>
    <definedName name="PPRS" localSheetId="3">#REF!</definedName>
    <definedName name="PPRS">#REF!</definedName>
    <definedName name="PPRW" localSheetId="3">#REF!</definedName>
    <definedName name="PPRW">#REF!</definedName>
    <definedName name="PPRWAP" localSheetId="3">#REF!</definedName>
    <definedName name="PPRWAP">#REF!</definedName>
    <definedName name="PPRWRA" localSheetId="3">#REF!</definedName>
    <definedName name="PPRWRA">#REF!</definedName>
    <definedName name="PPR계장" localSheetId="3">#REF!</definedName>
    <definedName name="PPR계장">#REF!</definedName>
    <definedName name="PPR도장" localSheetId="3">#REF!</definedName>
    <definedName name="PPR도장">#REF!</definedName>
    <definedName name="PPR전" localSheetId="3">#REF!</definedName>
    <definedName name="PPR전">#REF!</definedName>
    <definedName name="PQR" localSheetId="3" hidden="1">{#N/A,#N/A,FALSE,"TABLE"}</definedName>
    <definedName name="PQR" hidden="1">{#N/A,#N/A,FALSE,"TABLE"}</definedName>
    <definedName name="PRDump" localSheetId="17">#REF!</definedName>
    <definedName name="PRDump" localSheetId="15">#REF!</definedName>
    <definedName name="PRDump" localSheetId="3">#REF!</definedName>
    <definedName name="PRDump">#REF!</definedName>
    <definedName name="PRESSURE">[120]Information!$C$22</definedName>
    <definedName name="PREVIEW" localSheetId="3">#REF!</definedName>
    <definedName name="PREVIEW">#REF!</definedName>
    <definedName name="PRINT">[120]!PRINT</definedName>
    <definedName name="_xlnm.Print_Area" localSheetId="0">'Acro Riverheim'!$A$1:$M$103</definedName>
    <definedName name="_xlnm.Print_Area" localSheetId="19">Anniversary!$A$1:$V$81</definedName>
    <definedName name="_xlnm.Print_Area" localSheetId="7">'Financial Statements'!$A$1:$DZ$152</definedName>
    <definedName name="_xlnm.Print_Area" localSheetId="17">'Golf Score'!$A$1:$Z$281</definedName>
    <definedName name="_xlnm.Print_Area" localSheetId="16">'Golf WITB'!$A$1:$AA$57</definedName>
    <definedName name="_xlnm.Print_Area" localSheetId="15">Grandeur!$A$1:$G$36</definedName>
    <definedName name="_xlnm.Print_Area" localSheetId="4">'Overseas(舊)'!$B$2:$O$77</definedName>
    <definedName name="_xlnm.Print_Area" localSheetId="3">'Overseas(新)'!$A$1:$AA$39</definedName>
    <definedName name="_xlnm.Print_Area">[121]Sheet1!$A$1:$S$1444</definedName>
    <definedName name="Print_Area_MI" localSheetId="17">#REF!</definedName>
    <definedName name="Print_Area_MI" localSheetId="15">#REF!</definedName>
    <definedName name="Print_Area_MI" localSheetId="4">#REF!</definedName>
    <definedName name="Print_Area_MI" localSheetId="3">#REF!</definedName>
    <definedName name="Print_Area_MI">#REF!</definedName>
    <definedName name="PRINT_AREA_MI1" localSheetId="3">#REF!</definedName>
    <definedName name="PRINT_AREA_MI1">#REF!</definedName>
    <definedName name="Print_Area_Mi2" localSheetId="3">#REF!</definedName>
    <definedName name="Print_Area_Mi2">#REF!</definedName>
    <definedName name="_xlnm.Print_Titles" localSheetId="15">#REF!</definedName>
    <definedName name="_xlnm.Print_Titles" localSheetId="4">#REF!</definedName>
    <definedName name="_xlnm.Print_Titles" localSheetId="3">#REF!</definedName>
    <definedName name="_xlnm.Print_Titles">#REF!</definedName>
    <definedName name="PRINT_TITLES_MI" localSheetId="3">#REF!</definedName>
    <definedName name="Print_Titles_MI">#REF!</definedName>
    <definedName name="PRINT_TITLES_MI1" localSheetId="3">#REF!</definedName>
    <definedName name="PRINT_TITLES_MI1">#REF!</definedName>
    <definedName name="PrintArea" localSheetId="3">#REF!</definedName>
    <definedName name="PrintArea">#REF!</definedName>
    <definedName name="PrintTitles" localSheetId="3">#REF!</definedName>
    <definedName name="PrintTitles">#REF!</definedName>
    <definedName name="prjName">#REF!</definedName>
    <definedName name="prjNo">#REF!</definedName>
    <definedName name="PrjOwner">[52]Data!$E$14</definedName>
    <definedName name="PRN_CODE" localSheetId="17">'[122]IT-BAT'!#REF!</definedName>
    <definedName name="PRN_CODE" localSheetId="15">'[122]IT-BAT'!#REF!</definedName>
    <definedName name="PRN_CODE">'[122]IT-BAT'!#REF!</definedName>
    <definedName name="PRO1_MCI" localSheetId="3">#REF!</definedName>
    <definedName name="PRO1_MCI">#REF!</definedName>
    <definedName name="PRO2_MCI" localSheetId="3">#REF!</definedName>
    <definedName name="PRO2_MCI">#REF!</definedName>
    <definedName name="PRO3_MCI" localSheetId="3">#REF!</definedName>
    <definedName name="PRO3_MCI">#REF!</definedName>
    <definedName name="PRO4_MCI" localSheetId="3">#REF!</definedName>
    <definedName name="PRO4_MCI">#REF!</definedName>
    <definedName name="PRO5_MCI" localSheetId="3">#REF!</definedName>
    <definedName name="PRO5_MCI">#REF!</definedName>
    <definedName name="PRO6_MCI" localSheetId="3">#REF!</definedName>
    <definedName name="PRO6_MCI">#REF!</definedName>
    <definedName name="pro7_mci" localSheetId="3">#REF!</definedName>
    <definedName name="pro7_mci">#REF!</definedName>
    <definedName name="Process" hidden="1">{"MAN H.O.",#N/A,FALSE,"tabella"}</definedName>
    <definedName name="PROD_COLD" localSheetId="3">#REF!</definedName>
    <definedName name="PROD_COLD">#REF!</definedName>
    <definedName name="PROD_HOT" localSheetId="3">#REF!</definedName>
    <definedName name="PROD_HOT">#REF!</definedName>
    <definedName name="PRODUCT" localSheetId="3">#REF!</definedName>
    <definedName name="PRODUCT">#REF!</definedName>
    <definedName name="PROGRAM" localSheetId="3" hidden="1">{#N/A,#N/A,FALSE,"Çaykara ataköy (1)";#N/A,#N/A,FALSE,"Çaykara ataköy (2)";#N/A,#N/A,FALSE,"Rize Kalkandere ";#N/A,#N/A,FALSE,"meydancık";#N/A,#N/A,FALSE,"muratlı"}</definedName>
    <definedName name="PROGRAM" hidden="1">{#N/A,#N/A,FALSE,"Çaykara ataköy (1)";#N/A,#N/A,FALSE,"Çaykara ataköy (2)";#N/A,#N/A,FALSE,"Rize Kalkandere ";#N/A,#N/A,FALSE,"meydancık";#N/A,#N/A,FALSE,"muratlı"}</definedName>
    <definedName name="PROJ" localSheetId="3">#REF!</definedName>
    <definedName name="PROJ">[51]LEGEND!$D$4</definedName>
    <definedName name="Provisions" hidden="1">{#N/A,#N/A,FALSE,"JACKETS (1100 t) (1)"}</definedName>
    <definedName name="PSR" localSheetId="3">#REF!</definedName>
    <definedName name="PSR">#REF!</definedName>
    <definedName name="PUANTAJ3" localSheetId="3" hidden="1">{#N/A,#N/A,FALSE,"Çaykara ataköy (1)";#N/A,#N/A,FALSE,"Çaykara ataköy (2)";#N/A,#N/A,FALSE,"Rize Kalkandere ";#N/A,#N/A,FALSE,"meydancık";#N/A,#N/A,FALSE,"muratlı"}</definedName>
    <definedName name="PUANTAJ3" hidden="1">{#N/A,#N/A,FALSE,"Çaykara ataköy (1)";#N/A,#N/A,FALSE,"Çaykara ataköy (2)";#N/A,#N/A,FALSE,"Rize Kalkandere ";#N/A,#N/A,FALSE,"meydancık";#N/A,#N/A,FALSE,"muratlı"}</definedName>
    <definedName name="pump" localSheetId="0">BlankMacro1</definedName>
    <definedName name="pump" localSheetId="2">BlankMacro1</definedName>
    <definedName name="pump" localSheetId="17">BlankMacro1</definedName>
    <definedName name="pump" localSheetId="15">BlankMacro1</definedName>
    <definedName name="pump">BlankMacro1</definedName>
    <definedName name="PWPW" localSheetId="3">#REF!</definedName>
    <definedName name="PWPW">#REF!</definedName>
    <definedName name="Q">'[123]VC2 9.98'!$BP$191:$BR$196</definedName>
    <definedName name="Q_1" hidden="1">{#N/A,#N/A,TRUE,"Basic";#N/A,#N/A,TRUE,"EXT-TABLE";#N/A,#N/A,TRUE,"STEEL";#N/A,#N/A,TRUE,"INT-Table";#N/A,#N/A,TRUE,"STEEL";#N/A,#N/A,TRUE,"Door"}</definedName>
    <definedName name="q1u" localSheetId="3">#REF!</definedName>
    <definedName name="q1u">#REF!</definedName>
    <definedName name="Q2zarfı" hidden="1">#REF!</definedName>
    <definedName name="Q91A" localSheetId="3">#REF!</definedName>
    <definedName name="Q91A">#REF!</definedName>
    <definedName name="q91b" localSheetId="3">#REF!</definedName>
    <definedName name="q91b">#REF!</definedName>
    <definedName name="qaz" localSheetId="3" hidden="1">{#N/A,#N/A,FALSE,"TABLE"}</definedName>
    <definedName name="qaz" hidden="1">{#N/A,#N/A,FALSE,"TABLE"}</definedName>
    <definedName name="qerad" hidden="1">{"LKD",#N/A,FALSE,"표지"}</definedName>
    <definedName name="qq" localSheetId="3" hidden="1">{"'장비'!$A$3:$M$12"}</definedName>
    <definedName name="QQ" hidden="1">{#N/A,#N/A,FALSE,"이태원철근"}</definedName>
    <definedName name="qqq" localSheetId="3" hidden="1">{#N/A,#N/A,TRUE,"Basic";#N/A,#N/A,TRUE,"EXT-TABLE";#N/A,#N/A,TRUE,"STEEL";#N/A,#N/A,TRUE,"INT-Table";#N/A,#N/A,TRUE,"STEEL";#N/A,#N/A,TRUE,"Door"}</definedName>
    <definedName name="QQQ">'[27]개시대사 (2)'!$M$26</definedName>
    <definedName name="qqq_1" hidden="1">{#N/A,#N/A,TRUE,"Basic";#N/A,#N/A,TRUE,"EXT-TABLE";#N/A,#N/A,TRUE,"STEEL";#N/A,#N/A,TRUE,"INT-Table";#N/A,#N/A,TRUE,"STEEL";#N/A,#N/A,TRUE,"Door"}</definedName>
    <definedName name="qqqq" localSheetId="3" hidden="1">{"'장비'!$A$3:$M$12"}</definedName>
    <definedName name="qqqq">{"'장비'!$A$3:$M$12"}</definedName>
    <definedName name="qqqqq" localSheetId="3" hidden="1">{#N/A,#N/A,TRUE,"Basic";#N/A,#N/A,TRUE,"EXT-TABLE";#N/A,#N/A,TRUE,"STEEL";#N/A,#N/A,TRUE,"INT-Table";#N/A,#N/A,TRUE,"STEEL";#N/A,#N/A,TRUE,"Door"}</definedName>
    <definedName name="qqqqq" hidden="1">{#N/A,#N/A,TRUE,"Basic";#N/A,#N/A,TRUE,"EXT-TABLE";#N/A,#N/A,TRUE,"STEEL";#N/A,#N/A,TRUE,"INT-Table";#N/A,#N/A,TRUE,"STEEL";#N/A,#N/A,TRUE,"Door"}</definedName>
    <definedName name="qqqqq_1" hidden="1">{#N/A,#N/A,TRUE,"Basic";#N/A,#N/A,TRUE,"EXT-TABLE";#N/A,#N/A,TRUE,"STEEL";#N/A,#N/A,TRUE,"INT-Table";#N/A,#N/A,TRUE,"STEEL";#N/A,#N/A,TRUE,"Door"}</definedName>
    <definedName name="qt" localSheetId="3" hidden="1">{#N/A,#N/A,FALSE,"TABLE"}</definedName>
    <definedName name="qt" hidden="1">{#N/A,#N/A,FALSE,"TABLE"}</definedName>
    <definedName name="QTY" localSheetId="3">#REF!</definedName>
    <definedName name="Qty">#REF!</definedName>
    <definedName name="QVQQVV" hidden="1">#REF!</definedName>
    <definedName name="qw" localSheetId="3" hidden="1">{#N/A,#N/A,TRUE,"Basic";#N/A,#N/A,TRUE,"EXT-TABLE";#N/A,#N/A,TRUE,"STEEL";#N/A,#N/A,TRUE,"INT-Table";#N/A,#N/A,TRUE,"STEEL";#N/A,#N/A,TRUE,"Door"}</definedName>
    <definedName name="QW" hidden="1">{#N/A,#N/A,FALSE,"이태원철근"}</definedName>
    <definedName name="QWE" localSheetId="3" hidden="1">{#N/A,#N/A,FALSE,"이태원철근"}</definedName>
    <definedName name="QWE" hidden="1">{#N/A,#N/A,FALSE,"이태원철근"}</definedName>
    <definedName name="QWER" localSheetId="3" hidden="1">{#N/A,#N/A,FALSE,"이태원철근"}</definedName>
    <definedName name="QWER" hidden="1">{#N/A,#N/A,FALSE,"이태원철근"}</definedName>
    <definedName name="qwq" hidden="1">#REF!</definedName>
    <definedName name="qws" hidden="1">#REF!</definedName>
    <definedName name="R_" localSheetId="3">#REF!</definedName>
    <definedName name="R_">#REF!</definedName>
    <definedName name="R_I_Q_A_S">#N/A</definedName>
    <definedName name="R8937589" localSheetId="3" hidden="1">{#N/A,#N/A,FALSE,"TABLE"}</definedName>
    <definedName name="R8937589" hidden="1">{#N/A,#N/A,FALSE,"TABLE"}</definedName>
    <definedName name="rarewt" localSheetId="3" hidden="1">{#N/A,#N/A,FALSE,"CCTV"}</definedName>
    <definedName name="rarewt" hidden="1">{#N/A,#N/A,FALSE,"CCTV"}</definedName>
    <definedName name="RASCO__3">#N/A</definedName>
    <definedName name="RASCO__A">#N/A</definedName>
    <definedName name="rate" localSheetId="3">#REF!</definedName>
    <definedName name="rate">#REF!</definedName>
    <definedName name="rate1" localSheetId="3">#REF!</definedName>
    <definedName name="rate1">#REF!</definedName>
    <definedName name="rate2" localSheetId="3">#REF!</definedName>
    <definedName name="rate2">#REF!</definedName>
    <definedName name="rated">[79]PumpSpec!$X$2:$Y$26</definedName>
    <definedName name="Rating">[79]PumpSpec!$U$2:$V$5</definedName>
    <definedName name="RawAgencyPrice" localSheetId="17">#REF!</definedName>
    <definedName name="RawAgencyPrice" localSheetId="15">#REF!</definedName>
    <definedName name="RawAgencyPrice" localSheetId="3">#REF!</definedName>
    <definedName name="RawAgencyPrice">#REF!</definedName>
    <definedName name="RBData" localSheetId="17">#REF!</definedName>
    <definedName name="RBData" localSheetId="15">#REF!</definedName>
    <definedName name="RBData" localSheetId="3">#REF!</definedName>
    <definedName name="RBData">#REF!</definedName>
    <definedName name="RCODE" localSheetId="3">#REF!</definedName>
    <definedName name="RCODE">#REF!</definedName>
    <definedName name="RCROOF" localSheetId="3">#REF!</definedName>
    <definedName name="RCROOF">#REF!</definedName>
    <definedName name="RE" localSheetId="3" hidden="1">{#N/A,#N/A,FALSE,"kal_iç_ihz";#N/A,#N/A,FALSE,"kal_iç_er";#N/A,#N/A,FALSE,"kal_iç_tut"}</definedName>
    <definedName name="RE" hidden="1">{#N/A,#N/A,FALSE,"kal_iç_ihz";#N/A,#N/A,FALSE,"kal_iç_er";#N/A,#N/A,FALSE,"kal_iç_tut"}</definedName>
    <definedName name="re_bar" localSheetId="17">#REF!</definedName>
    <definedName name="re_bar" localSheetId="15">#REF!</definedName>
    <definedName name="re_bar" localSheetId="3">#REF!</definedName>
    <definedName name="re_bar">#REF!</definedName>
    <definedName name="RE_SIZE" localSheetId="3">#REF!</definedName>
    <definedName name="RE_SIZE">#REF!</definedName>
    <definedName name="ReadCaseButton">"Button 19"</definedName>
    <definedName name="ReadItemButton">"Button 18"</definedName>
    <definedName name="ReadSelectByButton">"Button 16"</definedName>
    <definedName name="ReadStatusButton">"Button 17"</definedName>
    <definedName name="ReadWgButton">"Button 15"</definedName>
    <definedName name="rebar">#REF!</definedName>
    <definedName name="RECEIVE" localSheetId="3">#REF!</definedName>
    <definedName name="RECEIVE">#REF!</definedName>
    <definedName name="_xlnm.Recorder" localSheetId="3">#REF!</definedName>
    <definedName name="_xlnm.Recorder">#REF!</definedName>
    <definedName name="RECOUT">#N/A</definedName>
    <definedName name="RED" localSheetId="3">#REF!</definedName>
    <definedName name="RED">#REF!</definedName>
    <definedName name="Ref_Area">#N/A</definedName>
    <definedName name="REF_CLIENT2">"Texte 156"</definedName>
    <definedName name="REF_FILE">[124]Macro!$C$6</definedName>
    <definedName name="REF_PRINT">[124]Macro!$C$5</definedName>
    <definedName name="Ref_Vol">#N/A</definedName>
    <definedName name="Reselects" localSheetId="17">#REF!</definedName>
    <definedName name="Reselects" localSheetId="15">#REF!</definedName>
    <definedName name="Reselects" localSheetId="3">#REF!</definedName>
    <definedName name="Reselects">#REF!</definedName>
    <definedName name="rev" localSheetId="3">#REF!</definedName>
    <definedName name="rev">#REF!</definedName>
    <definedName name="rev.B.f." localSheetId="3" hidden="1">{#N/A,#N/A,FALSE,"Çaykara ataköy (1)";#N/A,#N/A,FALSE,"Çaykara ataköy (2)";#N/A,#N/A,FALSE,"Rize Kalkandere ";#N/A,#N/A,FALSE,"meydancık";#N/A,#N/A,FALSE,"muratlı"}</definedName>
    <definedName name="rev.B.f." hidden="1">{#N/A,#N/A,FALSE,"Çaykara ataköy (1)";#N/A,#N/A,FALSE,"Çaykara ataköy (2)";#N/A,#N/A,FALSE,"Rize Kalkandere ";#N/A,#N/A,FALSE,"meydancık";#N/A,#N/A,FALSE,"muratlı"}</definedName>
    <definedName name="Rev.fiy" localSheetId="3" hidden="1">{#N/A,#N/A,FALSE,"Çaykara ataköy (1)";#N/A,#N/A,FALSE,"Çaykara ataköy (2)";#N/A,#N/A,FALSE,"Rize Kalkandere ";#N/A,#N/A,FALSE,"meydancık";#N/A,#N/A,FALSE,"muratlı"}</definedName>
    <definedName name="Rev.fiy" hidden="1">{#N/A,#N/A,FALSE,"Çaykara ataköy (1)";#N/A,#N/A,FALSE,"Çaykara ataköy (2)";#N/A,#N/A,FALSE,"Rize Kalkandere ";#N/A,#N/A,FALSE,"meydancık";#N/A,#N/A,FALSE,"muratlı"}</definedName>
    <definedName name="REV3100BQ" localSheetId="3">#REF!</definedName>
    <definedName name="REV3100BQ">#REF!</definedName>
    <definedName name="REV3110BQ" localSheetId="3">#REF!</definedName>
    <definedName name="REV3110BQ">#REF!</definedName>
    <definedName name="REV3200BQ" localSheetId="3">#REF!</definedName>
    <definedName name="REV3200BQ">#REF!</definedName>
    <definedName name="REV3300BQ" localSheetId="3">#REF!</definedName>
    <definedName name="REV3300BQ">#REF!</definedName>
    <definedName name="REV3400BQ" localSheetId="3">#REF!</definedName>
    <definedName name="REV3400BQ">#REF!</definedName>
    <definedName name="REV3500BQ" localSheetId="3">#REF!</definedName>
    <definedName name="REV3500BQ">#REF!</definedName>
    <definedName name="REV3600BQ" localSheetId="3">#REF!</definedName>
    <definedName name="REV3600BQ">#REF!</definedName>
    <definedName name="REV3700BQ" localSheetId="3">#REF!</definedName>
    <definedName name="REV3700BQ">#REF!</definedName>
    <definedName name="REV3800BQ" localSheetId="3">#REF!</definedName>
    <definedName name="REV3800BQ">#REF!</definedName>
    <definedName name="revNo" localSheetId="3">#REF!</definedName>
    <definedName name="revNo">#REF!</definedName>
    <definedName name="RF">#REF!</definedName>
    <definedName name="RFA" localSheetId="3">#REF!</definedName>
    <definedName name="RFA">#REF!</definedName>
    <definedName name="RFB" localSheetId="3">#REF!</definedName>
    <definedName name="RFB">#REF!</definedName>
    <definedName name="RFC" localSheetId="3">#REF!</definedName>
    <definedName name="RFC">#REF!</definedName>
    <definedName name="RFE" localSheetId="3">#REF!</definedName>
    <definedName name="RFE">#REF!</definedName>
    <definedName name="RFF" localSheetId="3">#REF!</definedName>
    <definedName name="RFF">#REF!</definedName>
    <definedName name="RFG" localSheetId="3">#REF!</definedName>
    <definedName name="RFG">#REF!</definedName>
    <definedName name="RFP003A" localSheetId="3">#REF!</definedName>
    <definedName name="RFP003A">#REF!</definedName>
    <definedName name="RFP003B" localSheetId="3">#REF!</definedName>
    <definedName name="RFP003B">#REF!</definedName>
    <definedName name="RFP003C" localSheetId="3">#REF!</definedName>
    <definedName name="RFP003C">#REF!</definedName>
    <definedName name="RFP003D" localSheetId="3">#REF!</definedName>
    <definedName name="RFP003D">#REF!</definedName>
    <definedName name="RFP003E" localSheetId="3">#REF!</definedName>
    <definedName name="RFP003E">#REF!</definedName>
    <definedName name="RFP003F" localSheetId="3">#REF!</definedName>
    <definedName name="RFP003F">#REF!</definedName>
    <definedName name="RFUIOEWJFE" localSheetId="3" hidden="1">{#N/A,#N/A,FALSE,"TABLE"}</definedName>
    <definedName name="RFUIOEWJFE" hidden="1">{#N/A,#N/A,FALSE,"TABLE"}</definedName>
    <definedName name="RHDK" localSheetId="3" hidden="1">{#N/A,#N/A,FALSE,"이태원철근"}</definedName>
    <definedName name="RHDK" hidden="1">{#N/A,#N/A,FALSE,"이태원철근"}</definedName>
    <definedName name="rhsj" hidden="1">'[18]Eq. Mobilization'!#REF!</definedName>
    <definedName name="Risk_Class" localSheetId="4">[125]Cover!$N$6:$O$14</definedName>
    <definedName name="Risk_Class">[126]Cover!$N$6:$O$14</definedName>
    <definedName name="RiskAfterRecalcMacro">""</definedName>
    <definedName name="RiskAfterSimMacro">""</definedName>
    <definedName name="RiskBeforeRecalcMacro">""</definedName>
    <definedName name="RiskBeforeSimMacro">""</definedName>
    <definedName name="RiskCollectDistributionSamples">2</definedName>
    <definedName name="RiskFixedSeed">1</definedName>
    <definedName name="RiskHasSettings">5</definedName>
    <definedName name="RiskMinimizeOnStart" localSheetId="3" hidden="1">FALSE</definedName>
    <definedName name="RiskMinimizeOnStart">TRUE</definedName>
    <definedName name="RiskMonitorConvergence">FALSE</definedName>
    <definedName name="RiskMultipleCPUSupportEnabled">TRUE</definedName>
    <definedName name="RiskNumIterations" localSheetId="3" hidden="1">100</definedName>
    <definedName name="RiskNumIterations">1000</definedName>
    <definedName name="RiskNumSimulations">1</definedName>
    <definedName name="RiskPauseOnError">FALSE</definedName>
    <definedName name="RiskRunAfterRecalcMacro">FALSE</definedName>
    <definedName name="RiskRunAfterSimMacro">FALSE</definedName>
    <definedName name="RiskRunBeforeRecalcMacro">FALSE</definedName>
    <definedName name="RiskRunBeforeSimMacro">FALSE</definedName>
    <definedName name="RiskSamplingType" localSheetId="3" hidden="1">3</definedName>
    <definedName name="RiskSamplingType">2</definedName>
    <definedName name="RiskStandardRecalc" localSheetId="3" hidden="1">2</definedName>
    <definedName name="RiskStandardRecalc">1</definedName>
    <definedName name="RiskUpdateDisplay" localSheetId="3" hidden="1">FALSE</definedName>
    <definedName name="RiskUpdateDisplay">TRUE</definedName>
    <definedName name="RiskUseDifferentSeedForEachSim">FALSE</definedName>
    <definedName name="RiskUseFixedSeed">FALSE</definedName>
    <definedName name="RiskUseMultipleCPUs" localSheetId="3" hidden="1">FALSE</definedName>
    <definedName name="RiskUseMultipleCPUs">TRUE</definedName>
    <definedName name="rizeispir" localSheetId="3" hidden="1">{#N/A,#N/A,FALSE,"Çaykara ataköy (1)";#N/A,#N/A,FALSE,"Çaykara ataköy (2)";#N/A,#N/A,FALSE,"Rize Kalkandere ";#N/A,#N/A,FALSE,"meydancık";#N/A,#N/A,FALSE,"muratlı"}</definedName>
    <definedName name="rizeispir" hidden="1">{#N/A,#N/A,FALSE,"Çaykara ataköy (1)";#N/A,#N/A,FALSE,"Çaykara ataköy (2)";#N/A,#N/A,FALSE,"Rize Kalkandere ";#N/A,#N/A,FALSE,"meydancık";#N/A,#N/A,FALSE,"muratlı"}</definedName>
    <definedName name="RK" localSheetId="3" hidden="1">{#N/A,#N/A,FALSE,"이태원철근"}</definedName>
    <definedName name="RK" hidden="1">{#N/A,#N/A,FALSE,"이태원철근"}</definedName>
    <definedName name="rkd" hidden="1">{#N/A,#N/A,FALSE,"CCTV"}</definedName>
    <definedName name="RKSKEK" localSheetId="3" hidden="1">{#N/A,#N/A,FALSE,"이태원철근"}</definedName>
    <definedName name="RKSKEK" hidden="1">{#N/A,#N/A,FALSE,"이태원철근"}</definedName>
    <definedName name="RL" localSheetId="3" hidden="1">{#N/A,#N/A,TRUE,"Basic";#N/A,#N/A,TRUE,"EXT-TABLE";#N/A,#N/A,TRUE,"STEEL";#N/A,#N/A,TRUE,"INT-Table";#N/A,#N/A,TRUE,"STEEL";#N/A,#N/A,TRUE,"Door"}</definedName>
    <definedName name="RL" hidden="1">{#N/A,#N/A,TRUE,"Basic";#N/A,#N/A,TRUE,"EXT-TABLE";#N/A,#N/A,TRUE,"STEEL";#N/A,#N/A,TRUE,"INT-Table";#N/A,#N/A,TRUE,"STEEL";#N/A,#N/A,TRUE,"Door"}</definedName>
    <definedName name="RM">#REF!</definedName>
    <definedName name="RMRATE">[84]PANTAI!$C$2</definedName>
    <definedName name="RNAO">{"'장비'!$A$3:$M$12"}</definedName>
    <definedName name="rout_t" localSheetId="17">#REF!</definedName>
    <definedName name="rout_t" localSheetId="15">#REF!</definedName>
    <definedName name="rout_t" localSheetId="3">#REF!</definedName>
    <definedName name="rout_t">#REF!</definedName>
    <definedName name="RP">#REF!</definedName>
    <definedName name="RQTY" localSheetId="3">#REF!</definedName>
    <definedName name="RQTY">#REF!</definedName>
    <definedName name="rr" localSheetId="3" hidden="1">{"'Grafik Kontrol'!$A$1:$J$8"}</definedName>
    <definedName name="rr" hidden="1">{#N/A,#N/A,TRUE,"Basic";#N/A,#N/A,TRUE,"EXT-TABLE";#N/A,#N/A,TRUE,"STEEL";#N/A,#N/A,TRUE,"INT-Table";#N/A,#N/A,TRUE,"STEEL";#N/A,#N/A,TRUE,"Door"}</definedName>
    <definedName name="rr_1" localSheetId="3" hidden="1">{"'Grafik Kontrol'!$A$1:$J$8"}</definedName>
    <definedName name="rr_1" hidden="1">{#N/A,#N/A,TRUE,"Basic";#N/A,#N/A,TRUE,"EXT-TABLE";#N/A,#N/A,TRUE,"STEEL";#N/A,#N/A,TRUE,"INT-Table";#N/A,#N/A,TRUE,"STEEL";#N/A,#N/A,TRUE,"Door"}</definedName>
    <definedName name="rrr" localSheetId="3" hidden="1">{#N/A,#N/A,FALSE,"이태원철근"}</definedName>
    <definedName name="RRR" hidden="1">#REF!</definedName>
    <definedName name="RS">#REF!</definedName>
    <definedName name="RSR">[127]내역총괄!$L$3</definedName>
    <definedName name="RT" localSheetId="3" hidden="1">{#N/A,#N/A,FALSE,"이태원철근"}</definedName>
    <definedName name="RT" hidden="1">{#N/A,#N/A,FALSE,"이태원철근"}</definedName>
    <definedName name="rthjryjfgd" hidden="1">[15]공통비총괄표!#REF!</definedName>
    <definedName name="RTInfo" localSheetId="3">#REF!</definedName>
    <definedName name="RTInfo">#REF!</definedName>
    <definedName name="rtu" localSheetId="3" hidden="1">{#N/A,#N/A,FALSE,"TABLE"}</definedName>
    <definedName name="rtu" hidden="1">{#N/A,#N/A,FALSE,"TABLE"}</definedName>
    <definedName name="rtytry">{"'장비'!$A$3:$M$12"}</definedName>
    <definedName name="RUA" localSheetId="3">#REF!</definedName>
    <definedName name="RUA">#REF!</definedName>
    <definedName name="RUAC" localSheetId="3">#REF!</definedName>
    <definedName name="RUAC">#REF!</definedName>
    <definedName name="RUAE" localSheetId="3">#REF!</definedName>
    <definedName name="RUAE">#REF!</definedName>
    <definedName name="RUAI" localSheetId="3">#REF!</definedName>
    <definedName name="RUAI">#REF!</definedName>
    <definedName name="RUAP" localSheetId="3">#REF!</definedName>
    <definedName name="RUAP">#REF!</definedName>
    <definedName name="RUAS" localSheetId="3">#REF!</definedName>
    <definedName name="RUAS">#REF!</definedName>
    <definedName name="RUAW" localSheetId="3">#REF!</definedName>
    <definedName name="RUAW">#REF!</definedName>
    <definedName name="RUAWRAP" localSheetId="3">#REF!</definedName>
    <definedName name="RUAWRAP">#REF!</definedName>
    <definedName name="RUA계장" localSheetId="3">#REF!</definedName>
    <definedName name="RUA계장">#REF!</definedName>
    <definedName name="RUA도장" localSheetId="3">#REF!</definedName>
    <definedName name="RUA도장">#REF!</definedName>
    <definedName name="RUA전" localSheetId="3">#REF!</definedName>
    <definedName name="RUA전">#REF!</definedName>
    <definedName name="RUE" localSheetId="3" hidden="1">{#N/A,#N/A,FALSE,"TABLE"}</definedName>
    <definedName name="RUE" hidden="1">{#N/A,#N/A,FALSE,"TABLE"}</definedName>
    <definedName name="RW_MAT" localSheetId="3">#REF!</definedName>
    <definedName name="RW_MAT">#REF!</definedName>
    <definedName name="RW_PIPE" localSheetId="3">#REF!</definedName>
    <definedName name="RW_PIPE">#REF!</definedName>
    <definedName name="S" localSheetId="3">#REF!</definedName>
    <definedName name="S" hidden="1">{#N/A,#N/A,FALSE,"CCTV"}</definedName>
    <definedName name="S.Alacan" localSheetId="3" hidden="1">{#N/A,#N/A,FALSE,"söz_fiy_fark";#N/A,#N/A,FALSE,"ihz. icmal";#N/A,#N/A,FALSE,"1";#N/A,#N/A,FALSE,"sıh_iç_ihz";#N/A,#N/A,FALSE,"sıh_iç_tut";#N/A,#N/A,FALSE,"sıh_iç_er";#N/A,#N/A,FALSE,"2";#N/A,#N/A,FALSE,"müş_iç_ihz";#N/A,#N/A,FALSE,"müş_iç_tut";#N/A,#N/A,FALSE,"müş_iç_er";#N/A,#N/A,FALSE,"3";#N/A,#N/A,FALSE,"kal_iç_ihz";#N/A,#N/A,FALSE,"kal_iç_tut";#N/A,#N/A,FALSE,"kal_iç_er";#N/A,#N/A,FALSE,"4";#N/A,#N/A,FALSE,"oto_ihz";#N/A,#N/A,FALSE,"oto_tut";#N/A,#N/A,FALSE,"oto_er";#N/A,#N/A,FALSE,"5";#N/A,#N/A,FALSE,"brü_ihz";#N/A,#N/A,FALSE,"brü_tut";#N/A,#N/A,FALSE,"brü_er"}</definedName>
    <definedName name="S.Alacan" hidden="1">{#N/A,#N/A,FALSE,"söz_fiy_fark";#N/A,#N/A,FALSE,"ihz. icmal";#N/A,#N/A,FALSE,"1";#N/A,#N/A,FALSE,"sıh_iç_ihz";#N/A,#N/A,FALSE,"sıh_iç_tut";#N/A,#N/A,FALSE,"sıh_iç_er";#N/A,#N/A,FALSE,"2";#N/A,#N/A,FALSE,"müş_iç_ihz";#N/A,#N/A,FALSE,"müş_iç_tut";#N/A,#N/A,FALSE,"müş_iç_er";#N/A,#N/A,FALSE,"3";#N/A,#N/A,FALSE,"kal_iç_ihz";#N/A,#N/A,FALSE,"kal_iç_tut";#N/A,#N/A,FALSE,"kal_iç_er";#N/A,#N/A,FALSE,"4";#N/A,#N/A,FALSE,"oto_ihz";#N/A,#N/A,FALSE,"oto_tut";#N/A,#N/A,FALSE,"oto_er";#N/A,#N/A,FALSE,"5";#N/A,#N/A,FALSE,"brü_ihz";#N/A,#N/A,FALSE,"brü_tut";#N/A,#N/A,FALSE,"brü_er"}</definedName>
    <definedName name="S.HAKAN" localSheetId="3" hidden="1">{#N/A,#N/A,FALSE,"ihz. icmal";#N/A,#N/A,FALSE,"inş_iç_ihz";#N/A,#N/A,FALSE,"inş_iç_tut";#N/A,#N/A,FALSE,"inş_iç_er";#N/A,#N/A,FALSE,"1";#N/A,#N/A,FALSE,"sıh_iç_ihz";#N/A,#N/A,FALSE,"sıh_iç_tut";#N/A,#N/A,FALSE,"sıh_iç_er";#N/A,#N/A,FALSE,"2";#N/A,#N/A,FALSE,"müş_iç_ihz";#N/A,#N/A,FALSE,"müş_iç_tut";#N/A,#N/A,FALSE,"müş_iç_er";#N/A,#N/A,FALSE,"3";#N/A,#N/A,FALSE,"kal_iç_ihz";#N/A,#N/A,FALSE,"kal_iç_tut";#N/A,#N/A,FALSE,"kal_iç_er";#N/A,#N/A,FALSE,"4";#N/A,#N/A,FALSE,"oto_ihz";#N/A,#N/A,FALSE,"oto_tut";#N/A,#N/A,FALSE,"oto_er";#N/A,#N/A,FALSE,"5";#N/A,#N/A,FALSE,"brü_ihz";#N/A,#N/A,FALSE,"brü_tut";#N/A,#N/A,FALSE,"brü_er";#N/A,#N/A,FALSE,"elk_iç_ihz";#N/A,#N/A,FALSE,"elk_iç_tut";#N/A,#N/A,FALSE,"elk_iç_er"}</definedName>
    <definedName name="S.HAKAN" hidden="1">{#N/A,#N/A,FALSE,"ihz. icmal";#N/A,#N/A,FALSE,"inş_iç_ihz";#N/A,#N/A,FALSE,"inş_iç_tut";#N/A,#N/A,FALSE,"inş_iç_er";#N/A,#N/A,FALSE,"1";#N/A,#N/A,FALSE,"sıh_iç_ihz";#N/A,#N/A,FALSE,"sıh_iç_tut";#N/A,#N/A,FALSE,"sıh_iç_er";#N/A,#N/A,FALSE,"2";#N/A,#N/A,FALSE,"müş_iç_ihz";#N/A,#N/A,FALSE,"müş_iç_tut";#N/A,#N/A,FALSE,"müş_iç_er";#N/A,#N/A,FALSE,"3";#N/A,#N/A,FALSE,"kal_iç_ihz";#N/A,#N/A,FALSE,"kal_iç_tut";#N/A,#N/A,FALSE,"kal_iç_er";#N/A,#N/A,FALSE,"4";#N/A,#N/A,FALSE,"oto_ihz";#N/A,#N/A,FALSE,"oto_tut";#N/A,#N/A,FALSE,"oto_er";#N/A,#N/A,FALSE,"5";#N/A,#N/A,FALSE,"brü_ihz";#N/A,#N/A,FALSE,"brü_tut";#N/A,#N/A,FALSE,"brü_er";#N/A,#N/A,FALSE,"elk_iç_ihz";#N/A,#N/A,FALSE,"elk_iç_tut";#N/A,#N/A,FALSE,"elk_iç_er"}</definedName>
    <definedName name="s_HEC_M">'[104]첨1.3'!$H$7</definedName>
    <definedName name="s_HEC_MM">'[104]첨1.3'!$M$7</definedName>
    <definedName name="s_HEC_천원">'[104]첨1.3'!$BN$7</definedName>
    <definedName name="s_KOR_M">'[104]첨1.3'!$H$29</definedName>
    <definedName name="s_KOR_MM">'[104]첨1.3'!$M$29</definedName>
    <definedName name="s_KOR_천원">'[104]첨1.3'!$BN$29</definedName>
    <definedName name="s_LIC_M">'[104]첨1.3'!$H$109</definedName>
    <definedName name="s_LIC_MM">'[104]첨1.3'!$M$109</definedName>
    <definedName name="s_LOC_M">'[104]첨1.3'!$H$90</definedName>
    <definedName name="s_LOC_MM">'[104]첨1.3'!$M$90</definedName>
    <definedName name="s_LOC_천원">'[104]첨1.3'!$BN$90</definedName>
    <definedName name="S_M_D_S">#N/A</definedName>
    <definedName name="s_TCN_M">'[104]첨1.3'!$H$51</definedName>
    <definedName name="s_TCN_MM">'[104]첨1.3'!$M$51</definedName>
    <definedName name="s_TCN_천원">'[104]첨1.3'!$BN$51</definedName>
    <definedName name="S41M" localSheetId="17">#REF!</definedName>
    <definedName name="S41M" localSheetId="15">#REF!</definedName>
    <definedName name="S41M" localSheetId="3">#REF!</definedName>
    <definedName name="S41M">#REF!</definedName>
    <definedName name="S41Y" localSheetId="17">#REF!</definedName>
    <definedName name="S41Y" localSheetId="15">#REF!</definedName>
    <definedName name="S41Y" localSheetId="3">#REF!</definedName>
    <definedName name="S41Y">#REF!</definedName>
    <definedName name="S43M" localSheetId="17">#REF!</definedName>
    <definedName name="S43M" localSheetId="15">#REF!</definedName>
    <definedName name="S43M" localSheetId="3">#REF!</definedName>
    <definedName name="S43M">#REF!</definedName>
    <definedName name="S43Y" localSheetId="17">#REF!</definedName>
    <definedName name="S43Y" localSheetId="15">#REF!</definedName>
    <definedName name="S43Y" localSheetId="3">#REF!</definedName>
    <definedName name="S43Y">#REF!</definedName>
    <definedName name="sa" localSheetId="3" hidden="1">{#N/A,#N/A,FALSE,"Çaykara ataköy (1)";#N/A,#N/A,FALSE,"Çaykara ataköy (2)";#N/A,#N/A,FALSE,"Rize Kalkandere ";#N/A,#N/A,FALSE,"meydancık";#N/A,#N/A,FALSE,"muratlı"}</definedName>
    <definedName name="sa" hidden="1">{#N/A,#N/A,FALSE,"Çaykara ataköy (1)";#N/A,#N/A,FALSE,"Çaykara ataköy (2)";#N/A,#N/A,FALSE,"Rize Kalkandere ";#N/A,#N/A,FALSE,"meydancık";#N/A,#N/A,FALSE,"muratlı"}</definedName>
    <definedName name="sad" hidden="1">{#N/A,#N/A,FALSE,"이태원철근"}</definedName>
    <definedName name="sad565a6s" hidden="1">[44]METRAJ!#REF!</definedName>
    <definedName name="SAH.2001" localSheetId="3" hidden="1">{#N/A,#N/A,FALSE,"Çaykara ataköy (1)";#N/A,#N/A,FALSE,"Çaykara ataköy (2)";#N/A,#N/A,FALSE,"Rize Kalkandere ";#N/A,#N/A,FALSE,"meydancık";#N/A,#N/A,FALSE,"muratlı"}</definedName>
    <definedName name="SAH.2001" hidden="1">{#N/A,#N/A,FALSE,"Çaykara ataköy (1)";#N/A,#N/A,FALSE,"Çaykara ataköy (2)";#N/A,#N/A,FALSE,"Rize Kalkandere ";#N/A,#N/A,FALSE,"meydancık";#N/A,#N/A,FALSE,"muratlı"}</definedName>
    <definedName name="SAHİL" localSheetId="3" hidden="1">{#N/A,#N/A,FALSE,"Çaykara ataköy (1)";#N/A,#N/A,FALSE,"Çaykara ataköy (2)";#N/A,#N/A,FALSE,"Rize Kalkandere ";#N/A,#N/A,FALSE,"meydancık";#N/A,#N/A,FALSE,"muratlı"}</definedName>
    <definedName name="SAHİL" hidden="1">{#N/A,#N/A,FALSE,"Çaykara ataköy (1)";#N/A,#N/A,FALSE,"Çaykara ataköy (2)";#N/A,#N/A,FALSE,"Rize Kalkandere ";#N/A,#N/A,FALSE,"meydancık";#N/A,#N/A,FALSE,"muratlı"}</definedName>
    <definedName name="sal" localSheetId="3">#REF!</definedName>
    <definedName name="sal">#REF!</definedName>
    <definedName name="SALARY_INDIRECT_TCN_NATION">'[59]STAFF&amp;INDIRECT SALARY - SUMMARY'!$F$69:$K$73</definedName>
    <definedName name="SALARY_STAFF_KOR_해외수당">'[59]KOREAN STAFF SALARY_BREAKDOWN'!$F$40:$L$49</definedName>
    <definedName name="SALARY_YEAR_SITE_STAFF_KOR">'[90]KOREAN STAFF SALARY - SITE'!$H$13:$Q$90</definedName>
    <definedName name="SALESPLAN" localSheetId="17">#REF!</definedName>
    <definedName name="SALESPLAN" localSheetId="15">#REF!</definedName>
    <definedName name="SALESPLAN" localSheetId="3">#REF!</definedName>
    <definedName name="SALESPLAN">#REF!</definedName>
    <definedName name="sam" localSheetId="3" hidden="1">{#N/A,#N/A,FALSE,"배수1"}</definedName>
    <definedName name="SAM" hidden="1">{#N/A,#N/A,TRUE,"Basic";#N/A,#N/A,TRUE,"EXT-TABLE";#N/A,#N/A,TRUE,"STEEL";#N/A,#N/A,TRUE,"INT-Table";#N/A,#N/A,TRUE,"STEEL";#N/A,#N/A,TRUE,"Door"}</definedName>
    <definedName name="SAM_1" hidden="1">{#N/A,#N/A,TRUE,"Basic";#N/A,#N/A,TRUE,"EXT-TABLE";#N/A,#N/A,TRUE,"STEEL";#N/A,#N/A,TRUE,"INT-Table";#N/A,#N/A,TRUE,"STEEL";#N/A,#N/A,TRUE,"Door"}</definedName>
    <definedName name="sample" localSheetId="3">#REF!</definedName>
    <definedName name="sample">#REF!</definedName>
    <definedName name="ŞAN.DIŞ.İHZ.TUT." localSheetId="3" hidden="1">{#N/A,#N/A,FALSE,"söz_fiy_fark";#N/A,#N/A,FALSE,"ihz. icmal";#N/A,#N/A,FALSE,"1";#N/A,#N/A,FALSE,"sıh_iç_ihz";#N/A,#N/A,FALSE,"sıh_iç_tut";#N/A,#N/A,FALSE,"sıh_iç_er";#N/A,#N/A,FALSE,"2";#N/A,#N/A,FALSE,"müş_iç_ihz";#N/A,#N/A,FALSE,"müş_iç_tut";#N/A,#N/A,FALSE,"müş_iç_er";#N/A,#N/A,FALSE,"3";#N/A,#N/A,FALSE,"kal_iç_ihz";#N/A,#N/A,FALSE,"kal_iç_tut";#N/A,#N/A,FALSE,"kal_iç_er";#N/A,#N/A,FALSE,"4";#N/A,#N/A,FALSE,"oto_ihz";#N/A,#N/A,FALSE,"oto_tut";#N/A,#N/A,FALSE,"oto_er";#N/A,#N/A,FALSE,"5";#N/A,#N/A,FALSE,"brü_ihz";#N/A,#N/A,FALSE,"brü_tut";#N/A,#N/A,FALSE,"brü_er"}</definedName>
    <definedName name="ŞAN.DIŞ.İHZ.TUT." hidden="1">{#N/A,#N/A,FALSE,"söz_fiy_fark";#N/A,#N/A,FALSE,"ihz. icmal";#N/A,#N/A,FALSE,"1";#N/A,#N/A,FALSE,"sıh_iç_ihz";#N/A,#N/A,FALSE,"sıh_iç_tut";#N/A,#N/A,FALSE,"sıh_iç_er";#N/A,#N/A,FALSE,"2";#N/A,#N/A,FALSE,"müş_iç_ihz";#N/A,#N/A,FALSE,"müş_iç_tut";#N/A,#N/A,FALSE,"müş_iç_er";#N/A,#N/A,FALSE,"3";#N/A,#N/A,FALSE,"kal_iç_ihz";#N/A,#N/A,FALSE,"kal_iç_tut";#N/A,#N/A,FALSE,"kal_iç_er";#N/A,#N/A,FALSE,"4";#N/A,#N/A,FALSE,"oto_ihz";#N/A,#N/A,FALSE,"oto_tut";#N/A,#N/A,FALSE,"oto_er";#N/A,#N/A,FALSE,"5";#N/A,#N/A,FALSE,"brü_ihz";#N/A,#N/A,FALSE,"brü_tut";#N/A,#N/A,FALSE,"brü_er"}</definedName>
    <definedName name="SANTA" localSheetId="3" hidden="1">{#N/A,#N/A,FALSE,"Çaykara ataköy (1)";#N/A,#N/A,FALSE,"Çaykara ataköy (2)";#N/A,#N/A,FALSE,"Rize Kalkandere ";#N/A,#N/A,FALSE,"meydancık";#N/A,#N/A,FALSE,"muratlı"}</definedName>
    <definedName name="SANTA" hidden="1">{#N/A,#N/A,FALSE,"Çaykara ataköy (1)";#N/A,#N/A,FALSE,"Çaykara ataköy (2)";#N/A,#N/A,FALSE,"Rize Kalkandere ";#N/A,#N/A,FALSE,"meydancık";#N/A,#N/A,FALSE,"muratlı"}</definedName>
    <definedName name="SAR">'[128]E_Rate PM'!$I$6</definedName>
    <definedName name="SAR_USD">'[64]E_Rate PM'!$M$6</definedName>
    <definedName name="sasda" localSheetId="3" hidden="1">{#N/A,#N/A,FALSE,"söz_fiy_fark";#N/A,#N/A,FALSE,"ihz. icmal";#N/A,#N/A,FALSE,"1";#N/A,#N/A,FALSE,"sıh_iç_ihz";#N/A,#N/A,FALSE,"sıh_iç_tut";#N/A,#N/A,FALSE,"sıh_iç_er";#N/A,#N/A,FALSE,"2";#N/A,#N/A,FALSE,"müş_iç_ihz";#N/A,#N/A,FALSE,"müş_iç_tut";#N/A,#N/A,FALSE,"müş_iç_er";#N/A,#N/A,FALSE,"3";#N/A,#N/A,FALSE,"kal_iç_ihz";#N/A,#N/A,FALSE,"kal_iç_tut";#N/A,#N/A,FALSE,"kal_iç_er";#N/A,#N/A,FALSE,"4";#N/A,#N/A,FALSE,"oto_ihz";#N/A,#N/A,FALSE,"oto_tut";#N/A,#N/A,FALSE,"oto_er";#N/A,#N/A,FALSE,"5";#N/A,#N/A,FALSE,"brü_ihz";#N/A,#N/A,FALSE,"brü_tut";#N/A,#N/A,FALSE,"brü_er"}</definedName>
    <definedName name="sasda" hidden="1">{#N/A,#N/A,FALSE,"söz_fiy_fark";#N/A,#N/A,FALSE,"ihz. icmal";#N/A,#N/A,FALSE,"1";#N/A,#N/A,FALSE,"sıh_iç_ihz";#N/A,#N/A,FALSE,"sıh_iç_tut";#N/A,#N/A,FALSE,"sıh_iç_er";#N/A,#N/A,FALSE,"2";#N/A,#N/A,FALSE,"müş_iç_ihz";#N/A,#N/A,FALSE,"müş_iç_tut";#N/A,#N/A,FALSE,"müş_iç_er";#N/A,#N/A,FALSE,"3";#N/A,#N/A,FALSE,"kal_iç_ihz";#N/A,#N/A,FALSE,"kal_iç_tut";#N/A,#N/A,FALSE,"kal_iç_er";#N/A,#N/A,FALSE,"4";#N/A,#N/A,FALSE,"oto_ihz";#N/A,#N/A,FALSE,"oto_tut";#N/A,#N/A,FALSE,"oto_er";#N/A,#N/A,FALSE,"5";#N/A,#N/A,FALSE,"brü_ihz";#N/A,#N/A,FALSE,"brü_tut";#N/A,#N/A,FALSE,"brü_er"}</definedName>
    <definedName name="sayfa15" localSheetId="3" hidden="1">{#N/A,#N/A,FALSE,"Çaykara ataköy (1)";#N/A,#N/A,FALSE,"Çaykara ataköy (2)";#N/A,#N/A,FALSE,"Rize Kalkandere ";#N/A,#N/A,FALSE,"meydancık";#N/A,#N/A,FALSE,"muratlı"}</definedName>
    <definedName name="sayfa15" hidden="1">{#N/A,#N/A,FALSE,"Çaykara ataköy (1)";#N/A,#N/A,FALSE,"Çaykara ataköy (2)";#N/A,#N/A,FALSE,"Rize Kalkandere ";#N/A,#N/A,FALSE,"meydancık";#N/A,#N/A,FALSE,"muratlı"}</definedName>
    <definedName name="SC" localSheetId="3">#REF!</definedName>
    <definedName name="SC" hidden="1">#REF!</definedName>
    <definedName name="scale" localSheetId="17">#REF!</definedName>
    <definedName name="scale" localSheetId="15">#REF!</definedName>
    <definedName name="scale" localSheetId="3">#REF!</definedName>
    <definedName name="scale">#REF!</definedName>
    <definedName name="Sch" localSheetId="3">#REF!</definedName>
    <definedName name="Sch">#REF!</definedName>
    <definedName name="Sch_No." localSheetId="3">INDEX(#REF!, MATCH(VALUE(#REF!),#REF!,), MATCH(#REF!,#REF!,))</definedName>
    <definedName name="Sch_No.">INDEX(#REF!, MATCH(VALUE(#REF!),#REF!,), MATCH(#REF!,#REF!,))</definedName>
    <definedName name="sche">{"Book1","DOC&amp;DWG.xls"}</definedName>
    <definedName name="SCK" localSheetId="3" hidden="1">{#N/A,#N/A,FALSE,"TABLE"}</definedName>
    <definedName name="SCK" hidden="1">{#N/A,#N/A,FALSE,"TABLE"}</definedName>
    <definedName name="sckim" localSheetId="3" hidden="1">{#N/A,#N/A,FALSE,"TABLE"}</definedName>
    <definedName name="sckim" hidden="1">{#N/A,#N/A,FALSE,"TABLE"}</definedName>
    <definedName name="SCOPE">[129]eq_data!$C$5:$C$54</definedName>
    <definedName name="scope0">[109]입찰내역서!$T$56</definedName>
    <definedName name="scope1">[109]입찰내역서!$T$57</definedName>
    <definedName name="scope2">[109]입찰내역서!$T$58</definedName>
    <definedName name="scope3">[109]입찰내역서!$T$59</definedName>
    <definedName name="scope4">[109]입찰내역서!$T$60</definedName>
    <definedName name="SD" localSheetId="3" hidden="1">{#N/A,#N/A,FALSE,"이태원철근"}</definedName>
    <definedName name="SD" hidden="1">{#N/A,#N/A,FALSE,"이태원철근"}</definedName>
    <definedName name="sdasd" hidden="1">[44]METRAJ!#REF!</definedName>
    <definedName name="SDCFG\" localSheetId="3" hidden="1">{#N/A,#N/A,FALSE,"운반시간"}</definedName>
    <definedName name="SDCFG\" hidden="1">{#N/A,#N/A,FALSE,"운반시간"}</definedName>
    <definedName name="sddd" localSheetId="0">BlankMacro1</definedName>
    <definedName name="sddd" localSheetId="2">BlankMacro1</definedName>
    <definedName name="sddd" localSheetId="17">BlankMacro1</definedName>
    <definedName name="sddd" localSheetId="15">BlankMacro1</definedName>
    <definedName name="sddd">BlankMacro1</definedName>
    <definedName name="SDF" localSheetId="3" hidden="1">{#N/A,#N/A,FALSE,"혼합골재"}</definedName>
    <definedName name="SDF" hidden="1">{#N/A,#N/A,FALSE,"혼합골재"}</definedName>
    <definedName name="sdfatgarsdyh" hidden="1">'[45]Eq. Mobilization'!#REF!</definedName>
    <definedName name="sdfdf">{"'장비'!$A$3:$M$12"}</definedName>
    <definedName name="sdfdsgdf" hidden="1">'[68]#REF'!#REF!</definedName>
    <definedName name="sdfg" hidden="1">{#N/A,#N/A,FALSE,"이태원철근"}</definedName>
    <definedName name="sdfh" hidden="1">'[18]Eq. Mobilization'!#REF!</definedName>
    <definedName name="SDFS" localSheetId="3" hidden="1">{#N/A,#N/A,FALSE,"TABLE"}</definedName>
    <definedName name="SDFS" hidden="1">{#N/A,#N/A,FALSE,"TABLE"}</definedName>
    <definedName name="SDFSDFAF" localSheetId="3" hidden="1">'[2]Eq. Mobilization'!#REF!</definedName>
    <definedName name="SDFSDFAF" hidden="1">'[12]Eq. Mobilization'!#REF!</definedName>
    <definedName name="sdfsf" hidden="1">[44]METRAJ!#REF!</definedName>
    <definedName name="sdfsgd" hidden="1">{#N/A,#N/A,FALSE,"이태원철근"}</definedName>
    <definedName name="sdsds" localSheetId="3" hidden="1">{#N/A,#N/A,FALSE,"ihz. icmal";#N/A,#N/A,FALSE,"inş_iç_ihz";#N/A,#N/A,FALSE,"inş_iç_tut";#N/A,#N/A,FALSE,"inş_iç_er";#N/A,#N/A,FALSE,"1";#N/A,#N/A,FALSE,"sıh_iç_ihz";#N/A,#N/A,FALSE,"sıh_iç_tut";#N/A,#N/A,FALSE,"sıh_iç_er";#N/A,#N/A,FALSE,"2";#N/A,#N/A,FALSE,"müş_iç_ihz";#N/A,#N/A,FALSE,"müş_iç_tut";#N/A,#N/A,FALSE,"müş_iç_er";#N/A,#N/A,FALSE,"3";#N/A,#N/A,FALSE,"kal_iç_ihz";#N/A,#N/A,FALSE,"kal_iç_tut";#N/A,#N/A,FALSE,"kal_iç_er";#N/A,#N/A,FALSE,"4";#N/A,#N/A,FALSE,"oto_ihz";#N/A,#N/A,FALSE,"oto_tut";#N/A,#N/A,FALSE,"oto_er";#N/A,#N/A,FALSE,"5";#N/A,#N/A,FALSE,"brü_ihz";#N/A,#N/A,FALSE,"brü_tut";#N/A,#N/A,FALSE,"brü_er";#N/A,#N/A,FALSE,"elk_iç_ihz";#N/A,#N/A,FALSE,"elk_iç_tut";#N/A,#N/A,FALSE,"elk_iç_er"}</definedName>
    <definedName name="sdsds" hidden="1">{#N/A,#N/A,FALSE,"ihz. icmal";#N/A,#N/A,FALSE,"inş_iç_ihz";#N/A,#N/A,FALSE,"inş_iç_tut";#N/A,#N/A,FALSE,"inş_iç_er";#N/A,#N/A,FALSE,"1";#N/A,#N/A,FALSE,"sıh_iç_ihz";#N/A,#N/A,FALSE,"sıh_iç_tut";#N/A,#N/A,FALSE,"sıh_iç_er";#N/A,#N/A,FALSE,"2";#N/A,#N/A,FALSE,"müş_iç_ihz";#N/A,#N/A,FALSE,"müş_iç_tut";#N/A,#N/A,FALSE,"müş_iç_er";#N/A,#N/A,FALSE,"3";#N/A,#N/A,FALSE,"kal_iç_ihz";#N/A,#N/A,FALSE,"kal_iç_tut";#N/A,#N/A,FALSE,"kal_iç_er";#N/A,#N/A,FALSE,"4";#N/A,#N/A,FALSE,"oto_ihz";#N/A,#N/A,FALSE,"oto_tut";#N/A,#N/A,FALSE,"oto_er";#N/A,#N/A,FALSE,"5";#N/A,#N/A,FALSE,"brü_ihz";#N/A,#N/A,FALSE,"brü_tut";#N/A,#N/A,FALSE,"brü_er";#N/A,#N/A,FALSE,"elk_iç_ihz";#N/A,#N/A,FALSE,"elk_iç_tut";#N/A,#N/A,FALSE,"elk_iç_er"}</definedName>
    <definedName name="sdsdsa" localSheetId="3">#REF!</definedName>
    <definedName name="sdsdsa">#REF!</definedName>
    <definedName name="sdukfgas" localSheetId="3" hidden="1">'[45]Eq. Mobilization'!#REF!</definedName>
    <definedName name="sdukfgas" hidden="1">'[45]Eq. Mobilization'!#REF!</definedName>
    <definedName name="SECVAL">[130]RIEP!$G$5</definedName>
    <definedName name="SEG" localSheetId="3">#REF!</definedName>
    <definedName name="SEG">#REF!</definedName>
    <definedName name="ŞEN" localSheetId="3" hidden="1">{#N/A,#N/A,FALSE,"Çaykara ataköy (1)";#N/A,#N/A,FALSE,"Çaykara ataköy (2)";#N/A,#N/A,FALSE,"Rize Kalkandere ";#N/A,#N/A,FALSE,"meydancık";#N/A,#N/A,FALSE,"muratlı"}</definedName>
    <definedName name="ŞEN" hidden="1">{#N/A,#N/A,FALSE,"Çaykara ataköy (1)";#N/A,#N/A,FALSE,"Çaykara ataköy (2)";#N/A,#N/A,FALSE,"Rize Kalkandere ";#N/A,#N/A,FALSE,"meydancık";#N/A,#N/A,FALSE,"muratlı"}</definedName>
    <definedName name="sencount">1</definedName>
    <definedName name="SEOUL_INDIRECT">[59]BREAKDOWN!$F$52:$R$54</definedName>
    <definedName name="SEP">'[131]96.12'!$A$1:$N$61</definedName>
    <definedName name="SERVICE" localSheetId="3" hidden="1">{#N/A,#N/A,FALSE,"이태원철근"}</definedName>
    <definedName name="SERVICE" hidden="1">{#N/A,#N/A,FALSE,"이태원철근"}</definedName>
    <definedName name="SF" localSheetId="3" hidden="1">{#N/A,#N/A,FALSE,"이태원철근"}</definedName>
    <definedName name="SF" hidden="1">{#N/A,#N/A,FALSE,"이태원철근"}</definedName>
    <definedName name="SFA" localSheetId="3">#REF!</definedName>
    <definedName name="SFA">#REF!</definedName>
    <definedName name="SFB" localSheetId="3">#REF!</definedName>
    <definedName name="SFB">#REF!</definedName>
    <definedName name="SFC" localSheetId="3">#REF!</definedName>
    <definedName name="SFC">#REF!</definedName>
    <definedName name="SFFF" hidden="1">[132]노임단가!#REF!</definedName>
    <definedName name="SFFFFF" hidden="1">[132]노임단가!#REF!</definedName>
    <definedName name="sfsfsdf" hidden="1">{"LKD",#N/A,FALSE,"표지"}</definedName>
    <definedName name="SG" localSheetId="3">#REF!</definedName>
    <definedName name="SG">#REF!</definedName>
    <definedName name="SGD">'[46]Ex-Rate'!$C$15</definedName>
    <definedName name="SHEET">#N/A</definedName>
    <definedName name="SHEET03" localSheetId="3" hidden="1">{#N/A,#N/A,FALSE,"0XX_1";#N/A,#N/A,FALSE,"OXX_2";#N/A,#N/A,FALSE,"0XX_3";#N/A,#N/A,FALSE,"0XX_4";#N/A,#N/A,FALSE,"0XX_5";#N/A,#N/A,FALSE,"0XX_6";#N/A,#N/A,FALSE,"1XX_1";#N/A,#N/A,FALSE,"1XX_2";#N/A,#N/A,FALSE,"2XX_1";#N/A,#N/A,FALSE,"2XX_2";#N/A,#N/A,FALSE,"2XX_3";#N/A,#N/A,FALSE,"2XX_4";#N/A,#N/A,FALSE,"3XX_1";#N/A,#N/A,FALSE,"3XX_2";#N/A,#N/A,FALSE,"3XX_3";#N/A,#N/A,FALSE,"3XX_4";#N/A,#N/A,FALSE,"3XX_5";#N/A,#N/A,FALSE,"3XX_6";#N/A,#N/A,FALSE,"3XX_7";#N/A,#N/A,FALSE,"3XX_8";#N/A,#N/A,FALSE,"3XX_9";#N/A,#N/A,FALSE,"4XX_1";#N/A,#N/A,FALSE,"4XX_2";#N/A,#N/A,FALSE,"4XX_3";#N/A,#N/A,FALSE,"5XX_1";#N/A,#N/A,FALSE,"5XX_2";#N/A,#N/A,FALSE,"6XX_1";#N/A,#N/A,FALSE,"6XX_2";#N/A,#N/A,FALSE,"6XX_3";#N/A,#N/A,FALSE,"6XX_4";#N/A,#N/A,FALSE,"7XX_1";#N/A,#N/A,FALSE,"7XX_2";#N/A,#N/A,FALSE,"8XX_1";#N/A,#N/A,FALSE,"8XX_2"}</definedName>
    <definedName name="SHEET03" hidden="1">{#N/A,#N/A,FALSE,"0XX_1";#N/A,#N/A,FALSE,"OXX_2";#N/A,#N/A,FALSE,"0XX_3";#N/A,#N/A,FALSE,"0XX_4";#N/A,#N/A,FALSE,"0XX_5";#N/A,#N/A,FALSE,"0XX_6";#N/A,#N/A,FALSE,"1XX_1";#N/A,#N/A,FALSE,"1XX_2";#N/A,#N/A,FALSE,"2XX_1";#N/A,#N/A,FALSE,"2XX_2";#N/A,#N/A,FALSE,"2XX_3";#N/A,#N/A,FALSE,"2XX_4";#N/A,#N/A,FALSE,"3XX_1";#N/A,#N/A,FALSE,"3XX_2";#N/A,#N/A,FALSE,"3XX_3";#N/A,#N/A,FALSE,"3XX_4";#N/A,#N/A,FALSE,"3XX_5";#N/A,#N/A,FALSE,"3XX_6";#N/A,#N/A,FALSE,"3XX_7";#N/A,#N/A,FALSE,"3XX_8";#N/A,#N/A,FALSE,"3XX_9";#N/A,#N/A,FALSE,"4XX_1";#N/A,#N/A,FALSE,"4XX_2";#N/A,#N/A,FALSE,"4XX_3";#N/A,#N/A,FALSE,"5XX_1";#N/A,#N/A,FALSE,"5XX_2";#N/A,#N/A,FALSE,"6XX_1";#N/A,#N/A,FALSE,"6XX_2";#N/A,#N/A,FALSE,"6XX_3";#N/A,#N/A,FALSE,"6XX_4";#N/A,#N/A,FALSE,"7XX_1";#N/A,#N/A,FALSE,"7XX_2";#N/A,#N/A,FALSE,"8XX_1";#N/A,#N/A,FALSE,"8XX_2"}</definedName>
    <definedName name="SHEET100" hidden="1">#REF!</definedName>
    <definedName name="sheet3" localSheetId="3">#REF!</definedName>
    <definedName name="sheet3">#REF!</definedName>
    <definedName name="SHEET8" localSheetId="0">BlankMacro1</definedName>
    <definedName name="SHEET8" localSheetId="2">BlankMacro1</definedName>
    <definedName name="SHEET8" localSheetId="17">BlankMacro1</definedName>
    <definedName name="SHEET8" localSheetId="15">BlankMacro1</definedName>
    <definedName name="SHEET8">BlankMacro1</definedName>
    <definedName name="SHELTER" hidden="1">{#N/A,#N/A,TRUE,"Basic";#N/A,#N/A,TRUE,"EXT-TABLE";#N/A,#N/A,TRUE,"STEEL";#N/A,#N/A,TRUE,"INT-Table";#N/A,#N/A,TRUE,"STEEL";#N/A,#N/A,TRUE,"Door"}</definedName>
    <definedName name="SHELTER_1" hidden="1">{#N/A,#N/A,TRUE,"Basic";#N/A,#N/A,TRUE,"EXT-TABLE";#N/A,#N/A,TRUE,"STEEL";#N/A,#N/A,TRUE,"INT-Table";#N/A,#N/A,TRUE,"STEEL";#N/A,#N/A,TRUE,"Door"}</definedName>
    <definedName name="Shop_Erection" localSheetId="3">#REF!</definedName>
    <definedName name="Shop_Erection">#REF!</definedName>
    <definedName name="Shop_Internals" localSheetId="3">#REF!</definedName>
    <definedName name="Shop_Internals">#REF!</definedName>
    <definedName name="Shop_Platform" localSheetId="3">#REF!</definedName>
    <definedName name="Shop_Platform">#REF!</definedName>
    <definedName name="shpe" localSheetId="17">#REF!</definedName>
    <definedName name="shpe" localSheetId="15">#REF!</definedName>
    <definedName name="shpe" localSheetId="3">#REF!</definedName>
    <definedName name="shpe">#REF!</definedName>
    <definedName name="sibel" localSheetId="3" hidden="1">{#N/A,#N/A,TRUE,"ÝCMAL";#N/A,#N/A,TRUE,"12221CO";#N/A,#N/A,TRUE,"12222CO";#N/A,#N/A,TRUE,"12223CK";#N/A,#N/A,TRUE,"12224CO";#N/A,#N/A,TRUE,"12225CO";#N/A,#N/A,TRUE,"12231BO";#N/A,#N/A,TRUE,"12232BO";#N/A,#N/A,TRUE,"12233BO";#N/A,#N/A,TRUE,"12234BO";#N/A,#N/A,TRUE,"12235BO";#N/A,#N/A,TRUE,"12236BO";#N/A,#N/A,TRUE,"12237BK";#N/A,#N/A,TRUE,"12238CK";#N/A,#N/A,TRUE,"12239CO";#N/A,#N/A,TRUE,"12241BO";#N/A,#N/A,TRUE,"12242BK";#N/A,#N/A,TRUE,"12243BO";#N/A,#N/A,TRUE,"12244BO";#N/A,#N/A,TRUE,"12245BO";#N/A,#N/A,TRUE,"12246CK";#N/A,#N/A,TRUE,"12247CO";#N/A,#N/A,TRUE,"12248CO";#N/A,#N/A,TRUE,"12251BO";#N/A,#N/A,TRUE,"12252BO";#N/A,#N/A,TRUE,"12253BO";#N/A,#N/A,TRUE,"12254BO";#N/A,#N/A,TRUE,"12255CK";#N/A,#N/A,TRUE,"12256CO";#N/A,#N/A,TRUE,"12257CO";#N/A,#N/A,TRUE,"12261BO";#N/A,#N/A,TRUE,"12262BO";#N/A,#N/A,TRUE,"12263BO";#N/A,#N/A,TRUE,"12264CK";#N/A,#N/A,TRUE,"12265CO";#N/A,#N/A,TRUE,"12266CO";#N/A,#N/A,TRUE,"12271CO";#N/A,#N/A,TRUE,"12272CK";#N/A,#N/A,TRUE,"12273BO";#N/A,#N/A,TRUE,"12274BO";#N/A,#N/A,TRUE,"12275BO";#N/A,#N/A,TRUE,"12276CO";#N/A,#N/A,TRUE,"12277CO";#N/A,#N/A,TRUE,"12321CO";#N/A,#N/A,TRUE,"12322CK";#N/A,#N/A,TRUE,"12323CO";#N/A,#N/A,TRUE,"12324CK";#N/A,#N/A,TRUE,"12325CO";#N/A,#N/A,TRUE,"12326CO";#N/A,#N/A,TRUE,"12327CO";#N/A,#N/A,TRUE,"12328CO";#N/A,#N/A,TRUE,"12331CO";#N/A,#N/A,TRUE,"12332CO";#N/A,#N/A,TRUE,"12333CO";#N/A,#N/A,TRUE,"12334CK";#N/A,#N/A,TRUE,"12335CO";#N/A,#N/A,TRUE,"12336CO"}</definedName>
    <definedName name="sibel" hidden="1">{#N/A,#N/A,TRUE,"ÝCMAL";#N/A,#N/A,TRUE,"12221CO";#N/A,#N/A,TRUE,"12222CO";#N/A,#N/A,TRUE,"12223CK";#N/A,#N/A,TRUE,"12224CO";#N/A,#N/A,TRUE,"12225CO";#N/A,#N/A,TRUE,"12231BO";#N/A,#N/A,TRUE,"12232BO";#N/A,#N/A,TRUE,"12233BO";#N/A,#N/A,TRUE,"12234BO";#N/A,#N/A,TRUE,"12235BO";#N/A,#N/A,TRUE,"12236BO";#N/A,#N/A,TRUE,"12237BK";#N/A,#N/A,TRUE,"12238CK";#N/A,#N/A,TRUE,"12239CO";#N/A,#N/A,TRUE,"12241BO";#N/A,#N/A,TRUE,"12242BK";#N/A,#N/A,TRUE,"12243BO";#N/A,#N/A,TRUE,"12244BO";#N/A,#N/A,TRUE,"12245BO";#N/A,#N/A,TRUE,"12246CK";#N/A,#N/A,TRUE,"12247CO";#N/A,#N/A,TRUE,"12248CO";#N/A,#N/A,TRUE,"12251BO";#N/A,#N/A,TRUE,"12252BO";#N/A,#N/A,TRUE,"12253BO";#N/A,#N/A,TRUE,"12254BO";#N/A,#N/A,TRUE,"12255CK";#N/A,#N/A,TRUE,"12256CO";#N/A,#N/A,TRUE,"12257CO";#N/A,#N/A,TRUE,"12261BO";#N/A,#N/A,TRUE,"12262BO";#N/A,#N/A,TRUE,"12263BO";#N/A,#N/A,TRUE,"12264CK";#N/A,#N/A,TRUE,"12265CO";#N/A,#N/A,TRUE,"12266CO";#N/A,#N/A,TRUE,"12271CO";#N/A,#N/A,TRUE,"12272CK";#N/A,#N/A,TRUE,"12273BO";#N/A,#N/A,TRUE,"12274BO";#N/A,#N/A,TRUE,"12275BO";#N/A,#N/A,TRUE,"12276CO";#N/A,#N/A,TRUE,"12277CO";#N/A,#N/A,TRUE,"12321CO";#N/A,#N/A,TRUE,"12322CK";#N/A,#N/A,TRUE,"12323CO";#N/A,#N/A,TRUE,"12324CK";#N/A,#N/A,TRUE,"12325CO";#N/A,#N/A,TRUE,"12326CO";#N/A,#N/A,TRUE,"12327CO";#N/A,#N/A,TRUE,"12328CO";#N/A,#N/A,TRUE,"12331CO";#N/A,#N/A,TRUE,"12332CO";#N/A,#N/A,TRUE,"12333CO";#N/A,#N/A,TRUE,"12334CK";#N/A,#N/A,TRUE,"12335CO";#N/A,#N/A,TRUE,"12336CO"}</definedName>
    <definedName name="SINAN">"Chart 4"</definedName>
    <definedName name="SITE" localSheetId="3" hidden="1">{#N/A,#N/A,FALSE,"TABLE"}</definedName>
    <definedName name="SITE" hidden="1">{#N/A,#N/A,FALSE,"TABLE"}</definedName>
    <definedName name="Site최대인원">[133]세부내역!$L$527</definedName>
    <definedName name="SIZE" localSheetId="3">#REF!</definedName>
    <definedName name="SIZE">'[132]WE''T'!$B$15:$BR$16</definedName>
    <definedName name="SIZE2" localSheetId="3">#REF!</definedName>
    <definedName name="SIZE2">#REF!</definedName>
    <definedName name="SIZEC" localSheetId="3">#REF!</definedName>
    <definedName name="SIZEC">'[132]WE''T'!$B$1:$BR$4</definedName>
    <definedName name="SIZELIST" localSheetId="3">#REF!</definedName>
    <definedName name="SIZELIST">#REF!</definedName>
    <definedName name="SizeNew" localSheetId="3">#REF!</definedName>
    <definedName name="SizeNew">#REF!</definedName>
    <definedName name="SJ">'[134]97년 SEACO예산'!$W$16:$W$110</definedName>
    <definedName name="SK" localSheetId="3">#REF!</definedName>
    <definedName name="SK">#REF!</definedName>
    <definedName name="SKI" hidden="1">[132]노임단가!#REF!</definedName>
    <definedName name="SKR">'[46]Ex-Rate'!$C$9</definedName>
    <definedName name="SlArea">[52]Calc!#REF!</definedName>
    <definedName name="SLHJLS" localSheetId="3" hidden="1">{#N/A,#N/A,FALSE,"TABLE"}</definedName>
    <definedName name="SLHJLS" hidden="1">{#N/A,#N/A,FALSE,"TABLE"}</definedName>
    <definedName name="slope" localSheetId="17">#REF!</definedName>
    <definedName name="slope" localSheetId="15">#REF!</definedName>
    <definedName name="slope" localSheetId="3">#REF!</definedName>
    <definedName name="slope">#REF!</definedName>
    <definedName name="SMLTOOLS" localSheetId="3">#REF!</definedName>
    <definedName name="SMLTOOLS">#REF!</definedName>
    <definedName name="SN" hidden="1">{"LKD",#N/A,FALSE,"표지"}</definedName>
    <definedName name="SO" localSheetId="3">#REF!</definedName>
    <definedName name="SO">#REF!</definedName>
    <definedName name="SOC" localSheetId="3" hidden="1">{#N/A,#N/A,FALSE,"변경관리예산";#N/A,#N/A,FALSE,"변경장비예산";#N/A,#N/A,FALSE,"변경준설예산";#N/A,#N/A,FALSE,"변경철구예산"}</definedName>
    <definedName name="SOC" hidden="1">{#N/A,#N/A,FALSE,"변경관리예산";#N/A,#N/A,FALSE,"변경장비예산";#N/A,#N/A,FALSE,"변경준설예산";#N/A,#N/A,FALSE,"변경철구예산"}</definedName>
    <definedName name="SOC분야" localSheetId="3" hidden="1">{#N/A,#N/A,FALSE,"예상손익";#N/A,#N/A,FALSE,"관리분석";#N/A,#N/A,FALSE,"장비분석";#N/A,#N/A,FALSE,"준설분석";#N/A,#N/A,FALSE,"철구분석"}</definedName>
    <definedName name="SOC분야" hidden="1">{#N/A,#N/A,FALSE,"예상손익";#N/A,#N/A,FALSE,"관리분석";#N/A,#N/A,FALSE,"장비분석";#N/A,#N/A,FALSE,"준설분석";#N/A,#N/A,FALSE,"철구분석"}</definedName>
    <definedName name="SOC사업" localSheetId="3" hidden="1">{#N/A,#N/A,FALSE,"예상손익";#N/A,#N/A,FALSE,"관리분석";#N/A,#N/A,FALSE,"장비분석";#N/A,#N/A,FALSE,"준설분석";#N/A,#N/A,FALSE,"철구분석"}</definedName>
    <definedName name="SOC사업" hidden="1">{#N/A,#N/A,FALSE,"예상손익";#N/A,#N/A,FALSE,"관리분석";#N/A,#N/A,FALSE,"장비분석";#N/A,#N/A,FALSE,"준설분석";#N/A,#N/A,FALSE,"철구분석"}</definedName>
    <definedName name="SOC집계" localSheetId="3" hidden="1">{#N/A,#N/A,FALSE,"사업총괄";#N/A,#N/A,FALSE,"장비사업";#N/A,#N/A,FALSE,"철구사업";#N/A,#N/A,FALSE,"준설사업"}</definedName>
    <definedName name="SOC집계" hidden="1">{#N/A,#N/A,FALSE,"사업총괄";#N/A,#N/A,FALSE,"장비사업";#N/A,#N/A,FALSE,"철구사업";#N/A,#N/A,FALSE,"준설사업"}</definedName>
    <definedName name="SOL" localSheetId="3">#REF!</definedName>
    <definedName name="SOL">#REF!</definedName>
    <definedName name="sort" localSheetId="3">#REF!</definedName>
    <definedName name="sort">#REF!</definedName>
    <definedName name="SORT1" localSheetId="3">#REF!</definedName>
    <definedName name="SORT1" hidden="1">[135]STAND98!$A$1:$IT$4019</definedName>
    <definedName name="SORT191" localSheetId="3">#REF!</definedName>
    <definedName name="SORT191">#REF!</definedName>
    <definedName name="SORT194" localSheetId="3">#REF!</definedName>
    <definedName name="SORT194">#REF!</definedName>
    <definedName name="SORT195" localSheetId="3">#REF!</definedName>
    <definedName name="SORT195">#REF!</definedName>
    <definedName name="sort2" localSheetId="3">#REF!</definedName>
    <definedName name="sort2">#REF!</definedName>
    <definedName name="SORT200" localSheetId="3">#REF!</definedName>
    <definedName name="SORT200">#REF!</definedName>
    <definedName name="SOURCE" localSheetId="3">#REF!</definedName>
    <definedName name="SOURCE">#REF!</definedName>
    <definedName name="SR">'[53]총괄표(OOK)'!$Q$6</definedName>
    <definedName name="SRC">#REF!</definedName>
    <definedName name="srer" localSheetId="3" hidden="1">{#N/A,#N/A,FALSE,"Çaykara ataköy (1)";#N/A,#N/A,FALSE,"Çaykara ataköy (2)";#N/A,#N/A,FALSE,"Rize Kalkandere ";#N/A,#N/A,FALSE,"meydancık";#N/A,#N/A,FALSE,"muratlı"}</definedName>
    <definedName name="srer" hidden="1">{#N/A,#N/A,FALSE,"Çaykara ataköy (1)";#N/A,#N/A,FALSE,"Çaykara ataköy (2)";#N/A,#N/A,FALSE,"Rize Kalkandere ";#N/A,#N/A,FALSE,"meydancık";#N/A,#N/A,FALSE,"muratlı"}</definedName>
    <definedName name="srhtrjhcd" hidden="1">'[68]#REF'!#REF!</definedName>
    <definedName name="ss" localSheetId="0">BlankMacro1</definedName>
    <definedName name="ss" localSheetId="2">BlankMacro1</definedName>
    <definedName name="ss" localSheetId="17">BlankMacro1</definedName>
    <definedName name="ss" localSheetId="15">BlankMacro1</definedName>
    <definedName name="ss" localSheetId="4" hidden="1">{"LKD",#N/A,FALSE,"표지"}</definedName>
    <definedName name="ss" localSheetId="3">#REF!</definedName>
    <definedName name="ss">BlankMacro1</definedName>
    <definedName name="SSIZE" localSheetId="3">#REF!</definedName>
    <definedName name="SSIZE">#REF!</definedName>
    <definedName name="sss" localSheetId="3" hidden="1">{#N/A,#N/A,TRUE,"Basic";#N/A,#N/A,TRUE,"EXT-TABLE";#N/A,#N/A,TRUE,"STEEL";#N/A,#N/A,TRUE,"INT-Table";#N/A,#N/A,TRUE,"STEEL";#N/A,#N/A,TRUE,"Door"}</definedName>
    <definedName name="sss" hidden="1">{#N/A,#N/A,FALSE,"전력간선"}</definedName>
    <definedName name="sss_1" hidden="1">{#N/A,#N/A,TRUE,"Basic";#N/A,#N/A,TRUE,"EXT-TABLE";#N/A,#N/A,TRUE,"STEEL";#N/A,#N/A,TRUE,"INT-Table";#N/A,#N/A,TRUE,"STEEL";#N/A,#N/A,TRUE,"Door"}</definedName>
    <definedName name="sssddd" hidden="1">{#N/A,#N/A,FALSE,"TABLE"}</definedName>
    <definedName name="ssss" localSheetId="3" hidden="1">{#N/A,#N/A,TRUE,"Basic";#N/A,#N/A,TRUE,"EXT-TABLE";#N/A,#N/A,TRUE,"STEEL";#N/A,#N/A,TRUE,"INT-Table";#N/A,#N/A,TRUE,"STEEL";#N/A,#N/A,TRUE,"Door"}</definedName>
    <definedName name="ssss" hidden="1">{#N/A,#N/A,TRUE,"Basic";#N/A,#N/A,TRUE,"EXT-TABLE";#N/A,#N/A,TRUE,"STEEL";#N/A,#N/A,TRUE,"INT-Table";#N/A,#N/A,TRUE,"STEEL";#N/A,#N/A,TRUE,"Door"}</definedName>
    <definedName name="ssss_1" hidden="1">{#N/A,#N/A,TRUE,"Basic";#N/A,#N/A,TRUE,"EXT-TABLE";#N/A,#N/A,TRUE,"STEEL";#N/A,#N/A,TRUE,"INT-Table";#N/A,#N/A,TRUE,"STEEL";#N/A,#N/A,TRUE,"Door"}</definedName>
    <definedName name="sssss" hidden="1">{#N/A,#N/A,FALSE,"TABLE"}</definedName>
    <definedName name="sssssssssss" localSheetId="0">BlankMacro1</definedName>
    <definedName name="sssssssssss" localSheetId="2">BlankMacro1</definedName>
    <definedName name="sssssssssss" localSheetId="17">BlankMacro1</definedName>
    <definedName name="sssssssssss" localSheetId="15">BlankMacro1</definedName>
    <definedName name="sssssssssss">BlankMacro1</definedName>
    <definedName name="ST" localSheetId="3" hidden="1">{#N/A,#N/A,FALSE,"TABLE"}</definedName>
    <definedName name="st">{"'장비'!$A$3:$M$12"}</definedName>
    <definedName name="STAFF_ALL_MILAN_POSITION">'[90]STAFF MOBILIZATION PLAN'!$A$207:$T$216</definedName>
    <definedName name="STAFF_ALL_SEOUL_NATION">'[90]STAFF MOBILIZATION PLAN'!$A$246:$T$254</definedName>
    <definedName name="STAFF_ALL_SEOUL_POSITION">'[90]STAFF MOBILIZATION PLAN'!$A$195:$T$204</definedName>
    <definedName name="STAFF_ALL_SITE_NATION">'[90]STAFF MOBILIZATION PLAN'!$A$234:$T$242</definedName>
    <definedName name="STAFF_ALL_SITE_POSITION">'[90]STAFF MOBILIZATION PLAN'!$A$183:$T$192</definedName>
    <definedName name="STAFF_HEC_LOCATION">'[90]STAFF MOBILIZATION PLAN'!$A$390:$T$392</definedName>
    <definedName name="STAFF_HEC_MILAN_NATION">'[90]STAFF MOBILIZATION PLAN'!$A$487:$T$495</definedName>
    <definedName name="STAFF_HEC_MILAN_POSITION">'[90]STAFF MOBILIZATION PLAN'!$A$437:$T$446</definedName>
    <definedName name="STAFF_HEC_SEOUL_NATION">'[90]STAFF MOBILIZATION PLAN'!$A$476:$T$484</definedName>
    <definedName name="STAFF_HEC_SEOUL_POSITION">'[90]STAFF MOBILIZATION PLAN'!$A$425:$T$434</definedName>
    <definedName name="STAFF_HEC_SITE_NATION">'[90]STAFF MOBILIZATION PLAN'!$A$464:$T$472</definedName>
    <definedName name="STAFF_HEC_SITE_POSITION">'[90]STAFF MOBILIZATION PLAN'!$A$413:$T$422</definedName>
    <definedName name="status">[136]MR!$S$3:$S$10</definedName>
    <definedName name="steam_trap" localSheetId="3">#REF!</definedName>
    <definedName name="steam_trap">#REF!</definedName>
    <definedName name="STHK" localSheetId="3">#REF!</definedName>
    <definedName name="STHK">#REF!</definedName>
    <definedName name="Stm" localSheetId="3">#REF!</definedName>
    <definedName name="Stm">#REF!</definedName>
    <definedName name="STOT1">[137]HVAC!#REF!</definedName>
    <definedName name="STOT2">[137]HVAC!#REF!</definedName>
    <definedName name="STOT3">[137]HVAC!#REF!</definedName>
    <definedName name="STOT4">[137]HVAC!#REF!</definedName>
    <definedName name="str" localSheetId="3">#REF!</definedName>
    <definedName name="str">#REF!</definedName>
    <definedName name="STU" localSheetId="3" hidden="1">{#N/A,#N/A,FALSE,"TABLE"}</definedName>
    <definedName name="STU" hidden="1">{#N/A,#N/A,FALSE,"TABLE"}</definedName>
    <definedName name="SUB" localSheetId="3">#REF!</definedName>
    <definedName name="SUB">#REF!</definedName>
    <definedName name="sum" hidden="1">{#N/A,#N/A,TRUE,"Basic";#N/A,#N/A,TRUE,"EXT-TABLE";#N/A,#N/A,TRUE,"STEEL";#N/A,#N/A,TRUE,"INT-Table";#N/A,#N/A,TRUE,"STEEL";#N/A,#N/A,TRUE,"Door"}</definedName>
    <definedName name="sum_1" hidden="1">{#N/A,#N/A,TRUE,"Basic";#N/A,#N/A,TRUE,"EXT-TABLE";#N/A,#N/A,TRUE,"STEEL";#N/A,#N/A,TRUE,"INT-Table";#N/A,#N/A,TRUE,"STEEL";#N/A,#N/A,TRUE,"Door"}</definedName>
    <definedName name="SUMARY" localSheetId="3">#REF!</definedName>
    <definedName name="SUMARY">#REF!</definedName>
    <definedName name="summary" localSheetId="3">#REF!</definedName>
    <definedName name="summary" hidden="1">'[61]#REF'!$B$5</definedName>
    <definedName name="sumpreview" localSheetId="3">#REF!</definedName>
    <definedName name="sumpreview">#REF!</definedName>
    <definedName name="SUMPREVIEWS" localSheetId="3">#REF!</definedName>
    <definedName name="SUMPREVIEWS">#REF!</definedName>
    <definedName name="süpürgelik" localSheetId="3" hidden="1">{#N/A,#N/A,FALSE,"ihz. icmal";#N/A,#N/A,FALSE,"inş_iç_ihz";#N/A,#N/A,FALSE,"inş_iç_tut";#N/A,#N/A,FALSE,"inş_iç_er";#N/A,#N/A,FALSE,"1";#N/A,#N/A,FALSE,"sıh_iç_ihz";#N/A,#N/A,FALSE,"sıh_iç_tut";#N/A,#N/A,FALSE,"sıh_iç_er";#N/A,#N/A,FALSE,"2";#N/A,#N/A,FALSE,"müş_iç_ihz";#N/A,#N/A,FALSE,"müş_iç_tut";#N/A,#N/A,FALSE,"müş_iç_er";#N/A,#N/A,FALSE,"3";#N/A,#N/A,FALSE,"kal_iç_ihz";#N/A,#N/A,FALSE,"kal_iç_tut";#N/A,#N/A,FALSE,"kal_iç_er";#N/A,#N/A,FALSE,"4";#N/A,#N/A,FALSE,"oto_ihz";#N/A,#N/A,FALSE,"oto_tut";#N/A,#N/A,FALSE,"oto_er";#N/A,#N/A,FALSE,"5";#N/A,#N/A,FALSE,"brü_ihz";#N/A,#N/A,FALSE,"brü_tut";#N/A,#N/A,FALSE,"brü_er";#N/A,#N/A,FALSE,"elk_iç_ihz";#N/A,#N/A,FALSE,"elk_iç_tut";#N/A,#N/A,FALSE,"elk_iç_er"}</definedName>
    <definedName name="süpürgelik" hidden="1">{#N/A,#N/A,FALSE,"ihz. icmal";#N/A,#N/A,FALSE,"inş_iç_ihz";#N/A,#N/A,FALSE,"inş_iç_tut";#N/A,#N/A,FALSE,"inş_iç_er";#N/A,#N/A,FALSE,"1";#N/A,#N/A,FALSE,"sıh_iç_ihz";#N/A,#N/A,FALSE,"sıh_iç_tut";#N/A,#N/A,FALSE,"sıh_iç_er";#N/A,#N/A,FALSE,"2";#N/A,#N/A,FALSE,"müş_iç_ihz";#N/A,#N/A,FALSE,"müş_iç_tut";#N/A,#N/A,FALSE,"müş_iç_er";#N/A,#N/A,FALSE,"3";#N/A,#N/A,FALSE,"kal_iç_ihz";#N/A,#N/A,FALSE,"kal_iç_tut";#N/A,#N/A,FALSE,"kal_iç_er";#N/A,#N/A,FALSE,"4";#N/A,#N/A,FALSE,"oto_ihz";#N/A,#N/A,FALSE,"oto_tut";#N/A,#N/A,FALSE,"oto_er";#N/A,#N/A,FALSE,"5";#N/A,#N/A,FALSE,"brü_ihz";#N/A,#N/A,FALSE,"brü_tut";#N/A,#N/A,FALSE,"brü_er";#N/A,#N/A,FALSE,"elk_iç_ihz";#N/A,#N/A,FALSE,"elk_iç_tut";#N/A,#N/A,FALSE,"elk_iç_er"}</definedName>
    <definedName name="Surf_Area">#N/A</definedName>
    <definedName name="SUS">[60]작성기준!$C$20</definedName>
    <definedName name="SW" hidden="1">'[138]#REF'!$1:$26</definedName>
    <definedName name="SYS" localSheetId="3">#REF!</definedName>
    <definedName name="SYS">#REF!</definedName>
    <definedName name="t" localSheetId="3">#REF!</definedName>
    <definedName name="T">#N/A</definedName>
    <definedName name="T_2">#N/A</definedName>
    <definedName name="T_3">#N/A</definedName>
    <definedName name="T_4">#N/A</definedName>
    <definedName name="T1_">#N/A</definedName>
    <definedName name="T10M" localSheetId="3">#REF!</definedName>
    <definedName name="T10M">#REF!</definedName>
    <definedName name="T10P" localSheetId="3">#REF!</definedName>
    <definedName name="T10P">#REF!</definedName>
    <definedName name="T11M" localSheetId="3">#REF!</definedName>
    <definedName name="T11M">#REF!</definedName>
    <definedName name="T11P" localSheetId="3">#REF!</definedName>
    <definedName name="T11P">#REF!</definedName>
    <definedName name="T12M" localSheetId="3">#REF!</definedName>
    <definedName name="T12M">#REF!</definedName>
    <definedName name="T12P" localSheetId="3">#REF!</definedName>
    <definedName name="T12P">#REF!</definedName>
    <definedName name="T13M" localSheetId="3">#REF!</definedName>
    <definedName name="T13M">#REF!</definedName>
    <definedName name="T13P" localSheetId="3">#REF!</definedName>
    <definedName name="T13P">#REF!</definedName>
    <definedName name="T14M" localSheetId="3">#REF!</definedName>
    <definedName name="T14M">#REF!</definedName>
    <definedName name="T14P" localSheetId="3">#REF!</definedName>
    <definedName name="T14P">#REF!</definedName>
    <definedName name="T15M" localSheetId="3">#REF!</definedName>
    <definedName name="T15M">#REF!</definedName>
    <definedName name="T15P" localSheetId="3">#REF!</definedName>
    <definedName name="T15P">#REF!</definedName>
    <definedName name="T16M" localSheetId="3">#REF!</definedName>
    <definedName name="T16M">#REF!</definedName>
    <definedName name="T16P" localSheetId="3">#REF!</definedName>
    <definedName name="T16P">#REF!</definedName>
    <definedName name="T17M" localSheetId="3">#REF!</definedName>
    <definedName name="T17M">#REF!</definedName>
    <definedName name="T17P" localSheetId="3">#REF!</definedName>
    <definedName name="T17P">#REF!</definedName>
    <definedName name="T18M" localSheetId="3">#REF!</definedName>
    <definedName name="T18M">#REF!</definedName>
    <definedName name="T18P" localSheetId="3">#REF!</definedName>
    <definedName name="T18P">#REF!</definedName>
    <definedName name="T19M" localSheetId="3">#REF!</definedName>
    <definedName name="T19M">#REF!</definedName>
    <definedName name="T19P" localSheetId="3">#REF!</definedName>
    <definedName name="T19P">#REF!</definedName>
    <definedName name="T1E" localSheetId="3">#REF!</definedName>
    <definedName name="T1E">#REF!</definedName>
    <definedName name="T1M" localSheetId="3">#REF!</definedName>
    <definedName name="T1M">#REF!</definedName>
    <definedName name="T1P" localSheetId="3">#REF!</definedName>
    <definedName name="T1P">#REF!</definedName>
    <definedName name="T2_">#N/A</definedName>
    <definedName name="T20M" localSheetId="3">#REF!</definedName>
    <definedName name="T20M">#REF!</definedName>
    <definedName name="T20P" localSheetId="3">#REF!</definedName>
    <definedName name="T20P">#REF!</definedName>
    <definedName name="T21M" localSheetId="3">#REF!</definedName>
    <definedName name="T21M">#REF!</definedName>
    <definedName name="T21P" localSheetId="3">#REF!</definedName>
    <definedName name="T21P">#REF!</definedName>
    <definedName name="T22E" localSheetId="3">#REF!</definedName>
    <definedName name="T22E">#REF!</definedName>
    <definedName name="T23M" localSheetId="3">#REF!</definedName>
    <definedName name="T23M">#REF!</definedName>
    <definedName name="T23P" localSheetId="3">#REF!</definedName>
    <definedName name="T23P">#REF!</definedName>
    <definedName name="T24M" localSheetId="3">#REF!</definedName>
    <definedName name="T24M">#REF!</definedName>
    <definedName name="T24P" localSheetId="3">#REF!</definedName>
    <definedName name="T24P">#REF!</definedName>
    <definedName name="T2E" localSheetId="3">#REF!</definedName>
    <definedName name="T2E">#REF!</definedName>
    <definedName name="T2M" localSheetId="3">#REF!</definedName>
    <definedName name="T2M">#REF!</definedName>
    <definedName name="T2P" localSheetId="3">#REF!</definedName>
    <definedName name="T2P">#REF!</definedName>
    <definedName name="T3_">#N/A</definedName>
    <definedName name="T3P" localSheetId="3">#REF!</definedName>
    <definedName name="T3P">#REF!</definedName>
    <definedName name="T4_">#N/A</definedName>
    <definedName name="T4M" localSheetId="3">#REF!</definedName>
    <definedName name="T4M">#REF!</definedName>
    <definedName name="T4P" localSheetId="3">#REF!</definedName>
    <definedName name="T4P">#REF!</definedName>
    <definedName name="T5M" localSheetId="3">#REF!</definedName>
    <definedName name="T5M">#REF!</definedName>
    <definedName name="T5P" localSheetId="3">#REF!</definedName>
    <definedName name="T5P">#REF!</definedName>
    <definedName name="T6M" localSheetId="3">#REF!</definedName>
    <definedName name="T6M">#REF!</definedName>
    <definedName name="T6P" localSheetId="3">#REF!</definedName>
    <definedName name="T6P">#REF!</definedName>
    <definedName name="T7M" localSheetId="3">#REF!</definedName>
    <definedName name="T7M">#REF!</definedName>
    <definedName name="T7P" localSheetId="3">#REF!</definedName>
    <definedName name="T7P">#REF!</definedName>
    <definedName name="T8M" localSheetId="3">#REF!</definedName>
    <definedName name="T8M">#REF!</definedName>
    <definedName name="T8P" localSheetId="3">#REF!</definedName>
    <definedName name="T8P">#REF!</definedName>
    <definedName name="T9M" localSheetId="3">#REF!</definedName>
    <definedName name="T9M">#REF!</definedName>
    <definedName name="T9P" localSheetId="3">#REF!</definedName>
    <definedName name="T9P">#REF!</definedName>
    <definedName name="Table" localSheetId="17">#REF!</definedName>
    <definedName name="Table" localSheetId="15">#REF!</definedName>
    <definedName name="Table" localSheetId="3">#REF!</definedName>
    <definedName name="Table">#REF!</definedName>
    <definedName name="Table_14_01" localSheetId="3">#REF!</definedName>
    <definedName name="Table_14_01">#REF!</definedName>
    <definedName name="Table_14_02" localSheetId="3">#REF!</definedName>
    <definedName name="Table_14_02">#REF!</definedName>
    <definedName name="Table_14_03" localSheetId="3">#REF!</definedName>
    <definedName name="Table_14_03">#REF!</definedName>
    <definedName name="Table_14_04" localSheetId="3">#REF!</definedName>
    <definedName name="Table_14_04">#REF!</definedName>
    <definedName name="Table_14_05" localSheetId="3">#REF!</definedName>
    <definedName name="Table_14_05">#REF!</definedName>
    <definedName name="Table_14_06" localSheetId="3">#REF!</definedName>
    <definedName name="Table_14_06">#REF!</definedName>
    <definedName name="Table_14_07" localSheetId="3">#REF!</definedName>
    <definedName name="Table_14_07">#REF!</definedName>
    <definedName name="Table_14_13" localSheetId="3">#REF!</definedName>
    <definedName name="Table_14_13">#REF!</definedName>
    <definedName name="Table_14_14" localSheetId="3">#REF!</definedName>
    <definedName name="Table_14_14">#REF!</definedName>
    <definedName name="Table1" localSheetId="17">#REF!</definedName>
    <definedName name="Table1" localSheetId="15">#REF!</definedName>
    <definedName name="Table1" localSheetId="3">#REF!</definedName>
    <definedName name="Table1">#REF!</definedName>
    <definedName name="TableSummary" hidden="1">#REF!</definedName>
    <definedName name="tablo_3" hidden="1">#REF!</definedName>
    <definedName name="tablo2" hidden="1">'[139]TABLO-3'!$B$6:$B$6</definedName>
    <definedName name="TARIK" hidden="1">'[140]TABLO-3'!$B$4:$B$4</definedName>
    <definedName name="TARIK1" hidden="1">'[140]TABLO-3'!$B$5:$B$5</definedName>
    <definedName name="TARIK3" hidden="1">'[140]TABLO-3'!$B$6:$B$6</definedName>
    <definedName name="TARIK4" hidden="1">'[140]TABLO-3'!$B$7:$B$7</definedName>
    <definedName name="TARIK5" hidden="1">'[140]TABLO-3'!$B$8:$B$8</definedName>
    <definedName name="TARIK6" hidden="1">'[140]TABLO-3'!$A$4:$A$8</definedName>
    <definedName name="taşımak" localSheetId="3" hidden="1">{#N/A,#N/A,FALSE,"Çaykara ataköy (1)";#N/A,#N/A,FALSE,"Çaykara ataköy (2)";#N/A,#N/A,FALSE,"Rize Kalkandere ";#N/A,#N/A,FALSE,"meydancık";#N/A,#N/A,FALSE,"muratlı"}</definedName>
    <definedName name="taşımak" hidden="1">{#N/A,#N/A,FALSE,"Çaykara ataköy (1)";#N/A,#N/A,FALSE,"Çaykara ataköy (2)";#N/A,#N/A,FALSE,"Rize Kalkandere ";#N/A,#N/A,FALSE,"meydancık";#N/A,#N/A,FALSE,"muratlı"}</definedName>
    <definedName name="TAUX">[124]Taux!$C$13:$K$121</definedName>
    <definedName name="taux_devise">[141]rates!$A$4:$I$9</definedName>
    <definedName name="TAX" localSheetId="3">#REF!</definedName>
    <definedName name="TAX">#REF!</definedName>
    <definedName name="taxtabl">[137]Sheet4!$A$20:$D$31</definedName>
    <definedName name="taxtable">[137]Sheet4!$A$20:$D$31</definedName>
    <definedName name="TB">#REF!</definedName>
    <definedName name="TC">8.5</definedName>
    <definedName name="tck" localSheetId="3" hidden="1">{#N/A,#N/A,FALSE,"Çaykara ataköy (1)";#N/A,#N/A,FALSE,"Çaykara ataköy (2)";#N/A,#N/A,FALSE,"Rize Kalkandere ";#N/A,#N/A,FALSE,"meydancık";#N/A,#N/A,FALSE,"muratlı"}</definedName>
    <definedName name="tck" hidden="1">{#N/A,#N/A,FALSE,"Çaykara ataköy (1)";#N/A,#N/A,FALSE,"Çaykara ataköy (2)";#N/A,#N/A,FALSE,"Rize Kalkandere ";#N/A,#N/A,FALSE,"meydancık";#N/A,#N/A,FALSE,"muratlı"}</definedName>
    <definedName name="TCN">[103]직원동원SCH!$D1:[103]직원동원SCH!#REF!</definedName>
    <definedName name="tdyu" localSheetId="3" hidden="1">{#N/A,#N/A,FALSE,"Çaykara ataköy (1)";#N/A,#N/A,FALSE,"Çaykara ataköy (2)";#N/A,#N/A,FALSE,"Rize Kalkandere ";#N/A,#N/A,FALSE,"meydancık";#N/A,#N/A,FALSE,"muratlı"}</definedName>
    <definedName name="tdyu" hidden="1">{#N/A,#N/A,FALSE,"Çaykara ataköy (1)";#N/A,#N/A,FALSE,"Çaykara ataköy (2)";#N/A,#N/A,FALSE,"Rize Kalkandere ";#N/A,#N/A,FALSE,"meydancık";#N/A,#N/A,FALSE,"muratlı"}</definedName>
    <definedName name="TEE" localSheetId="3">#REF!</definedName>
    <definedName name="TEE">#REF!</definedName>
    <definedName name="tefe" hidden="1">'[142]TABLO-3'!$B$4:$B$4</definedName>
    <definedName name="tefe1" hidden="1">'[142]TABLO-3'!$B$4:$B$4</definedName>
    <definedName name="tefemayıs" hidden="1">'[142]TABLO-3'!$B$7:$B$7</definedName>
    <definedName name="teklifler" localSheetId="3" hidden="1">{#N/A,#N/A,FALSE,"Çaykara ataköy (1)";#N/A,#N/A,FALSE,"Çaykara ataköy (2)";#N/A,#N/A,FALSE,"Rize Kalkandere ";#N/A,#N/A,FALSE,"meydancık";#N/A,#N/A,FALSE,"muratlı"}</definedName>
    <definedName name="teklifler" hidden="1">{#N/A,#N/A,FALSE,"Çaykara ataköy (1)";#N/A,#N/A,FALSE,"Çaykara ataköy (2)";#N/A,#N/A,FALSE,"Rize Kalkandere ";#N/A,#N/A,FALSE,"meydancık";#N/A,#N/A,FALSE,"muratlı"}</definedName>
    <definedName name="temp" localSheetId="0">BlankMacro1</definedName>
    <definedName name="temp" localSheetId="2">BlankMacro1</definedName>
    <definedName name="temp" localSheetId="17">BlankMacro1</definedName>
    <definedName name="temp" localSheetId="15">BlankMacro1</definedName>
    <definedName name="temp" localSheetId="4">{"'장비'!$A$3:$M$12"}</definedName>
    <definedName name="temp" localSheetId="3">#REF!</definedName>
    <definedName name="temp">BlankMacro1</definedName>
    <definedName name="TEMP_FACILITIES">'[90]TEMPORARY FACILITIES'!$A$19:$W$58</definedName>
    <definedName name="TEMP_FACILITIES_COLUMN">'[90]TEMPORARY FACILITIES'!$A$1:$Z$1</definedName>
    <definedName name="TEMP_FACILITIES_EX">'[90]TEMPORARY FACILITIES'!$E$19:$W$58</definedName>
    <definedName name="TEMP_FACILITIES_EX_COLUMN">'[90]TEMPORARY FACILITIES'!$E$1:$W$1</definedName>
    <definedName name="Temp_Facility_Total_Cost_FC">[143]RFP007!$L$45</definedName>
    <definedName name="temp_strainer" localSheetId="3">#REF!</definedName>
    <definedName name="temp_strainer">#REF!</definedName>
    <definedName name="temp2" localSheetId="0">BlankMacro1</definedName>
    <definedName name="temp2" localSheetId="2">BlankMacro1</definedName>
    <definedName name="temp2" localSheetId="17">BlankMacro1</definedName>
    <definedName name="temp2" localSheetId="15">BlankMacro1</definedName>
    <definedName name="temp2" localSheetId="3">#REF!</definedName>
    <definedName name="temp2">BlankMacro1</definedName>
    <definedName name="TEMPERATURE">[120]Information!$C$24</definedName>
    <definedName name="temporary10" localSheetId="3" hidden="1">{#N/A,#N/A,FALSE,"이태원철근"}</definedName>
    <definedName name="temporary10" hidden="1">{#N/A,#N/A,FALSE,"이태원철근"}</definedName>
    <definedName name="temporary11" localSheetId="3" hidden="1">{#N/A,#N/A,FALSE,"TABLE"}</definedName>
    <definedName name="temporary11" hidden="1">{#N/A,#N/A,FALSE,"TABLE"}</definedName>
    <definedName name="teri" hidden="1">{#N/A,#N/A,TRUE,"Basic";#N/A,#N/A,TRUE,"EXT-TABLE";#N/A,#N/A,TRUE,"STEEL";#N/A,#N/A,TRUE,"INT-Table";#N/A,#N/A,TRUE,"STEEL";#N/A,#N/A,TRUE,"Door"}</definedName>
    <definedName name="TERVAL">[130]RIEP!$H$5</definedName>
    <definedName name="TEST" localSheetId="3" hidden="1">{#N/A,#N/A,FALSE,"Çaykara ataköy (1)";#N/A,#N/A,FALSE,"Çaykara ataköy (2)";#N/A,#N/A,FALSE,"Rize Kalkandere ";#N/A,#N/A,FALSE,"meydancık";#N/A,#N/A,FALSE,"muratlı"}</definedName>
    <definedName name="test">#REF!</definedName>
    <definedName name="TextRefCopyRangeCount" hidden="1">1</definedName>
    <definedName name="tg" hidden="1">{"LKD",#N/A,FALSE,"표지"}</definedName>
    <definedName name="tha">{"'Sheet1'!$L$16"}</definedName>
    <definedName name="THA_">#REF!</definedName>
    <definedName name="THK" localSheetId="3">#REF!</definedName>
    <definedName name="THK">#REF!</definedName>
    <definedName name="Thk__mm" localSheetId="3">0.02466*#REF!*(#REF!-#REF!)</definedName>
    <definedName name="Thk__mm">0.02466*#REF!*(#REF!-#REF!)</definedName>
    <definedName name="TI_CLAD" hidden="1">{#N/A,#N/A,FALSE,"Sheet1"}</definedName>
    <definedName name="TIEIN" hidden="1">{#N/A,#N/A,FALSE,"손익표지";#N/A,#N/A,FALSE,"손익계산";#N/A,#N/A,FALSE,"일반관리비";#N/A,#N/A,FALSE,"영업외수익";#N/A,#N/A,FALSE,"영업외비용";#N/A,#N/A,FALSE,"매출액";#N/A,#N/A,FALSE,"요약손익";#N/A,#N/A,FALSE,"요약대차";#N/A,#N/A,FALSE,"매출채권현황";#N/A,#N/A,FALSE,"매출채권명세"}</definedName>
    <definedName name="timeext" hidden="1">{#N/A,#N/A,FALSE,"TABLE"}</definedName>
    <definedName name="TIT" localSheetId="3">#REF!</definedName>
    <definedName name="TIT">#REF!</definedName>
    <definedName name="title" localSheetId="3">#REF!</definedName>
    <definedName name="TITLE" hidden="1">{#N/A,#N/A,TRUE,"Basic";#N/A,#N/A,TRUE,"EXT-TABLE";#N/A,#N/A,TRUE,"STEEL";#N/A,#N/A,TRUE,"INT-Table";#N/A,#N/A,TRUE,"STEEL";#N/A,#N/A,TRUE,"Door"}</definedName>
    <definedName name="TITLE1" localSheetId="3">#REF!</definedName>
    <definedName name="TITLE1">#REF!</definedName>
    <definedName name="TLS" hidden="1">{"LKD",#N/A,FALSE,"표지"}</definedName>
    <definedName name="TNTN" localSheetId="3" hidden="1">{#N/A,#N/A,FALSE,"TABLE"}</definedName>
    <definedName name="TNTN" hidden="1">{#N/A,#N/A,FALSE,"TABLE"}</definedName>
    <definedName name="to" localSheetId="3">#REF!</definedName>
    <definedName name="to">#REF!</definedName>
    <definedName name="TOIYO" localSheetId="3" hidden="1">{#N/A,#N/A,FALSE,"TABLE"}</definedName>
    <definedName name="TOIYO" hidden="1">{#N/A,#N/A,FALSE,"TABLE"}</definedName>
    <definedName name="TOL" localSheetId="3">#REF!</definedName>
    <definedName name="TOL">#REF!</definedName>
    <definedName name="tonyaiskend." localSheetId="3" hidden="1">{#N/A,#N/A,FALSE,"Çaykara ataköy (1)";#N/A,#N/A,FALSE,"Çaykara ataköy (2)";#N/A,#N/A,FALSE,"Rize Kalkandere ";#N/A,#N/A,FALSE,"meydancık";#N/A,#N/A,FALSE,"muratlı"}</definedName>
    <definedName name="tonyaiskend." hidden="1">{#N/A,#N/A,FALSE,"Çaykara ataköy (1)";#N/A,#N/A,FALSE,"Çaykara ataköy (2)";#N/A,#N/A,FALSE,"Rize Kalkandere ";#N/A,#N/A,FALSE,"meydancık";#N/A,#N/A,FALSE,"muratlı"}</definedName>
    <definedName name="TOOL" localSheetId="3">#REF!</definedName>
    <definedName name="TOOL">#REF!</definedName>
    <definedName name="TOOL장" localSheetId="3">BlankMacro1</definedName>
    <definedName name="TOOL장">BlankMacro1</definedName>
    <definedName name="TOTAL" localSheetId="3">SUM(#REF!)</definedName>
    <definedName name="TOTAL">[103]직원동원SCH!$D$16:[103]직원동원SCH!#REF!</definedName>
    <definedName name="total_c" localSheetId="3">#REF!</definedName>
    <definedName name="total_c">#REF!</definedName>
    <definedName name="total_num" localSheetId="3">#REF!</definedName>
    <definedName name="total_num">#REF!</definedName>
    <definedName name="Total_Price_CPSstd">[144]NEWCPS!$CI$279</definedName>
    <definedName name="total_qty" localSheetId="3">#REF!</definedName>
    <definedName name="total_qty">#REF!</definedName>
    <definedName name="total_unit" localSheetId="3">#REF!</definedName>
    <definedName name="total_unit">#REF!</definedName>
    <definedName name="totalcost">'[145]FDM TOT'!$C$1:$AB$75,'[145]FDM TOT'!$C$76:$AB$144</definedName>
    <definedName name="TotalWt" localSheetId="3">IF(ISNA(#REF!),IF(ISNA(#REF!),#REF!,#REF!),#REF!)*#REF!</definedName>
    <definedName name="TotalWt">IF(ISNA(#REF!),IF(ISNA(#REF!),#REF!,#REF!),#REF!)*#REF!</definedName>
    <definedName name="TOTBM">[146]TOTAL!$F$8:$H$95</definedName>
    <definedName name="tr" localSheetId="3" hidden="1">{#N/A,#N/A,FALSE,"Çaykara ataköy (1)";#N/A,#N/A,FALSE,"Çaykara ataköy (2)";#N/A,#N/A,FALSE,"Rize Kalkandere ";#N/A,#N/A,FALSE,"meydancık";#N/A,#N/A,FALSE,"muratlı"}</definedName>
    <definedName name="tr" hidden="1">{#N/A,#N/A,FALSE,"Çaykara ataköy (1)";#N/A,#N/A,FALSE,"Çaykara ataköy (2)";#N/A,#N/A,FALSE,"Rize Kalkandere ";#N/A,#N/A,FALSE,"meydancık";#N/A,#N/A,FALSE,"muratlı"}</definedName>
    <definedName name="TRAY" localSheetId="3">#REF!</definedName>
    <definedName name="TRAY">#REF!</definedName>
    <definedName name="trjgfcjgfj" hidden="1">[15]공통비총괄표!#REF!</definedName>
    <definedName name="TRRUYTR" localSheetId="3" hidden="1">{#N/A,#N/A,FALSE,"TABLE"}</definedName>
    <definedName name="TRRUYTR" hidden="1">{#N/A,#N/A,FALSE,"TABLE"}</definedName>
    <definedName name="tt" localSheetId="3" hidden="1">{#N/A,#N/A,FALSE,"TABLE"}</definedName>
    <definedName name="TT">'[134]97년 SEACO예산'!$D$16:$T$110</definedName>
    <definedName name="TTA">'[87]간접비(1)'!$AE$41</definedName>
    <definedName name="TTB">'[87]간접비(1)'!$AF$41</definedName>
    <definedName name="TTDI" localSheetId="3">#REF!</definedName>
    <definedName name="TTDI">#REF!</definedName>
    <definedName name="TTL">[147]Sheet1!$1:$4</definedName>
    <definedName name="TTMH" localSheetId="3">#REF!</definedName>
    <definedName name="TTMH">#REF!</definedName>
    <definedName name="TTMT" localSheetId="3">#REF!</definedName>
    <definedName name="TTMT">#REF!</definedName>
    <definedName name="ttt" localSheetId="3">#REF!</definedName>
    <definedName name="ttt">#REF!</definedName>
    <definedName name="TTWT" localSheetId="3">#REF!</definedName>
    <definedName name="TTWT">#REF!</definedName>
    <definedName name="TTX">'[87]간접비(1)'!$AD$41</definedName>
    <definedName name="tube_test_press1_12" localSheetId="3">#REF!</definedName>
    <definedName name="tube_test_press1_12">#REF!</definedName>
    <definedName name="tutanak" localSheetId="3" hidden="1">{#N/A,#N/A,FALSE,"Çaykara ataköy (1)";#N/A,#N/A,FALSE,"Çaykara ataköy (2)";#N/A,#N/A,FALSE,"Rize Kalkandere ";#N/A,#N/A,FALSE,"meydancık";#N/A,#N/A,FALSE,"muratlı"}</definedName>
    <definedName name="tutanak" hidden="1">{#N/A,#N/A,FALSE,"Çaykara ataköy (1)";#N/A,#N/A,FALSE,"Çaykara ataköy (2)";#N/A,#N/A,FALSE,"Rize Kalkandere ";#N/A,#N/A,FALSE,"meydancık";#N/A,#N/A,FALSE,"muratlı"}</definedName>
    <definedName name="TW">#REF!</definedName>
    <definedName name="TX" localSheetId="3">#REF!</definedName>
    <definedName name="TX">#REF!</definedName>
    <definedName name="ty">{"'장비'!$A$3:$M$12"}</definedName>
    <definedName name="Type" localSheetId="3">#REF!</definedName>
    <definedName name="Type">#REF!</definedName>
    <definedName name="TYPE10" localSheetId="3">#REF!</definedName>
    <definedName name="TYPE10">#REF!</definedName>
    <definedName name="TYPELIST" localSheetId="3">#REF!</definedName>
    <definedName name="TYPELIST">#REF!</definedName>
    <definedName name="TYT" localSheetId="3" hidden="1">{#N/A,#N/A,FALSE,"TABLE"}</definedName>
    <definedName name="tyt">{"'장비'!$A$3:$M$12"}</definedName>
    <definedName name="tyyuy">{"'장비'!$A$3:$M$12"}</definedName>
    <definedName name="U">'[87]간접비(1)'!$AE$13</definedName>
    <definedName name="UD" localSheetId="3">#REF!</definedName>
    <definedName name="UD">#REF!</definedName>
    <definedName name="ue____I¨￡">#N/A</definedName>
    <definedName name="ue____Iª">#N/A</definedName>
    <definedName name="ùê____Íª">#N/A</definedName>
    <definedName name="ughuigjih" localSheetId="3">#REF!</definedName>
    <definedName name="ughuigjih">#REF!</definedName>
    <definedName name="UGP">#N/A</definedName>
    <definedName name="UGUR" localSheetId="3" hidden="1">{#N/A,#N/A,FALSE,"ihz. icmal";#N/A,#N/A,FALSE,"avans";#N/A,#N/A,FALSE,"mal_FF_icm";#N/A,#N/A,FALSE,"fat_ihz";#N/A,#N/A,FALSE,"söz_fiy_fark";#N/A,#N/A,FALSE,"kap2"}</definedName>
    <definedName name="UGUR" hidden="1">{#N/A,#N/A,FALSE,"ihz. icmal";#N/A,#N/A,FALSE,"avans";#N/A,#N/A,FALSE,"mal_FF_icm";#N/A,#N/A,FALSE,"fat_ihz";#N/A,#N/A,FALSE,"söz_fiy_fark";#N/A,#N/A,FALSE,"kap2"}</definedName>
    <definedName name="uhuihuhuihu" localSheetId="3">#REF!</definedName>
    <definedName name="uhuihuhuihu">#REF!</definedName>
    <definedName name="uhyui" localSheetId="3">#REF!</definedName>
    <definedName name="uhyui">#REF!</definedName>
    <definedName name="ui">{"'장비'!$A$3:$M$12"}</definedName>
    <definedName name="uihuihu" localSheetId="3">#REF!</definedName>
    <definedName name="uihuihu">#REF!</definedName>
    <definedName name="uihuihui" localSheetId="3">#REF!</definedName>
    <definedName name="uihuihui">#REF!</definedName>
    <definedName name="uık" localSheetId="3" hidden="1">{#N/A,#N/A,FALSE,"ihz. icmal";#N/A,#N/A,FALSE,"avans";#N/A,#N/A,FALSE,"mal_FF_icm";#N/A,#N/A,FALSE,"fat_ihz";#N/A,#N/A,FALSE,"söz_fiy_fark";#N/A,#N/A,FALSE,"kap2"}</definedName>
    <definedName name="uık" hidden="1">{#N/A,#N/A,FALSE,"ihz. icmal";#N/A,#N/A,FALSE,"avans";#N/A,#N/A,FALSE,"mal_FF_icm";#N/A,#N/A,FALSE,"fat_ihz";#N/A,#N/A,FALSE,"söz_fiy_fark";#N/A,#N/A,FALSE,"kap2"}</definedName>
    <definedName name="uioioioio" localSheetId="3">#REF!</definedName>
    <definedName name="uioioioio">#REF!</definedName>
    <definedName name="uiooio" localSheetId="3">#REF!</definedName>
    <definedName name="uiooio">#REF!</definedName>
    <definedName name="uiouiio" localSheetId="3">#REF!</definedName>
    <definedName name="uiouiio">#REF!</definedName>
    <definedName name="uiuihuh" localSheetId="3">#REF!</definedName>
    <definedName name="uiuihuh">#REF!</definedName>
    <definedName name="uiuihuu" localSheetId="3">#REF!</definedName>
    <definedName name="uiuihuu">#REF!</definedName>
    <definedName name="uiuiouiop" localSheetId="3">#REF!</definedName>
    <definedName name="uiuiouiop">#REF!</definedName>
    <definedName name="uiuiuihu" localSheetId="3">#REF!</definedName>
    <definedName name="uiuiuihu">#REF!</definedName>
    <definedName name="UJDH" localSheetId="3" hidden="1">{#N/A,#N/A,TRUE,"ÝCMAL";#N/A,#N/A,TRUE,"25101CO";#N/A,#N/A,TRUE,"25102CO";#N/A,#N/A,TRUE,"25103CK";#N/A,#N/A,TRUE,"25104CO";#N/A,#N/A,TRUE,"25201BO";#N/A,#N/A,TRUE,"25202BO";#N/A,#N/A,TRUE,"25203BO";#N/A,#N/A,TRUE,"25204BO";#N/A,#N/A,TRUE,"25205BO";#N/A,#N/A,TRUE,"25206BO";#N/A,#N/A,TRUE,"25207BO";#N/A,#N/A,TRUE,"25208BO";#N/A,#N/A,TRUE,"25209BK";#N/A,#N/A,TRUE,"25301BO";#N/A,#N/A,TRUE,"25302BO";#N/A,#N/A,TRUE,"25303BO";#N/A,#N/A,TRUE,"25304BO";#N/A,#N/A,TRUE,"25305BO";#N/A,#N/A,TRUE,"25306BO";#N/A,#N/A,TRUE,"25307BK";#N/A,#N/A,TRUE,"25701CK";#N/A,#N/A,TRUE,"25702CO";#N/A,#N/A,TRUE,"25703BO";#N/A,#N/A,TRUE,"25704BO";#N/A,#N/A,TRUE,"25705BO";#N/A,#N/A,TRUE,"25801BO";#N/A,#N/A,TRUE,"25802BO";#N/A,#N/A,TRUE,"25803BO";#N/A,#N/A,TRUE,"25804CO";#N/A,#N/A,TRUE,"25805CK";#N/A,#N/A,TRUE,"25901CO";#N/A,#N/A,TRUE,"25902CK";#N/A,#N/A,TRUE,"25903CO";#N/A,#N/A,TRUE,"25904CO";#N/A,#N/A,TRUE,"25905CO";#N/A,#N/A,TRUE,"25906CO";#N/A,#N/A,TRUE,"25907CO";#N/A,#N/A,TRUE,"25908CO";#N/A,#N/A,TRUE,"25909CO";#N/A,#N/A,TRUE,"25910CK";#N/A,#N/A,TRUE,"26001CO";#N/A,#N/A,TRUE,"26002CO";#N/A,#N/A,TRUE,"26003CO";#N/A,#N/A,TRUE,"26004CK";#N/A,#N/A,TRUE,"26005CO";#N/A,#N/A,TRUE,"277301CO";#N/A,#N/A,TRUE,"277302CO";#N/A,#N/A,TRUE,"277303CO";#N/A,#N/A,TRUE,"277304CK";#N/A,#N/A,TRUE,"277305CO";#N/A,#N/A,TRUE,"277306CO";#N/A,#N/A,TRUE,"277401CO";#N/A,#N/A,TRUE,"277402CO";#N/A,#N/A,TRUE,"277403CO";#N/A,#N/A,TRUE,"277404CK";#N/A,#N/A,TRUE,"277405CO";#N/A,#N/A,TRUE,"277501CK";#N/A,#N/A,TRUE,"277502CO";#N/A,#N/A,TRUE,"277503CO"}</definedName>
    <definedName name="UJDH" hidden="1">{#N/A,#N/A,TRUE,"ÝCMAL";#N/A,#N/A,TRUE,"25101CO";#N/A,#N/A,TRUE,"25102CO";#N/A,#N/A,TRUE,"25103CK";#N/A,#N/A,TRUE,"25104CO";#N/A,#N/A,TRUE,"25201BO";#N/A,#N/A,TRUE,"25202BO";#N/A,#N/A,TRUE,"25203BO";#N/A,#N/A,TRUE,"25204BO";#N/A,#N/A,TRUE,"25205BO";#N/A,#N/A,TRUE,"25206BO";#N/A,#N/A,TRUE,"25207BO";#N/A,#N/A,TRUE,"25208BO";#N/A,#N/A,TRUE,"25209BK";#N/A,#N/A,TRUE,"25301BO";#N/A,#N/A,TRUE,"25302BO";#N/A,#N/A,TRUE,"25303BO";#N/A,#N/A,TRUE,"25304BO";#N/A,#N/A,TRUE,"25305BO";#N/A,#N/A,TRUE,"25306BO";#N/A,#N/A,TRUE,"25307BK";#N/A,#N/A,TRUE,"25701CK";#N/A,#N/A,TRUE,"25702CO";#N/A,#N/A,TRUE,"25703BO";#N/A,#N/A,TRUE,"25704BO";#N/A,#N/A,TRUE,"25705BO";#N/A,#N/A,TRUE,"25801BO";#N/A,#N/A,TRUE,"25802BO";#N/A,#N/A,TRUE,"25803BO";#N/A,#N/A,TRUE,"25804CO";#N/A,#N/A,TRUE,"25805CK";#N/A,#N/A,TRUE,"25901CO";#N/A,#N/A,TRUE,"25902CK";#N/A,#N/A,TRUE,"25903CO";#N/A,#N/A,TRUE,"25904CO";#N/A,#N/A,TRUE,"25905CO";#N/A,#N/A,TRUE,"25906CO";#N/A,#N/A,TRUE,"25907CO";#N/A,#N/A,TRUE,"25908CO";#N/A,#N/A,TRUE,"25909CO";#N/A,#N/A,TRUE,"25910CK";#N/A,#N/A,TRUE,"26001CO";#N/A,#N/A,TRUE,"26002CO";#N/A,#N/A,TRUE,"26003CO";#N/A,#N/A,TRUE,"26004CK";#N/A,#N/A,TRUE,"26005CO";#N/A,#N/A,TRUE,"277301CO";#N/A,#N/A,TRUE,"277302CO";#N/A,#N/A,TRUE,"277303CO";#N/A,#N/A,TRUE,"277304CK";#N/A,#N/A,TRUE,"277305CO";#N/A,#N/A,TRUE,"277306CO";#N/A,#N/A,TRUE,"277401CO";#N/A,#N/A,TRUE,"277402CO";#N/A,#N/A,TRUE,"277403CO";#N/A,#N/A,TRUE,"277404CK";#N/A,#N/A,TRUE,"277405CO";#N/A,#N/A,TRUE,"277501CK";#N/A,#N/A,TRUE,"277502CO";#N/A,#N/A,TRUE,"277503CO"}</definedName>
    <definedName name="ukfreight" localSheetId="3">#REF!</definedName>
    <definedName name="ukfreight">#REF!</definedName>
    <definedName name="ul" localSheetId="3">#REF!</definedName>
    <definedName name="ul">#REF!</definedName>
    <definedName name="umatl" localSheetId="3">#REF!</definedName>
    <definedName name="umatl">#REF!</definedName>
    <definedName name="UNI_FILT_OFFSPEC">2</definedName>
    <definedName name="UNI_FILT_ONSPEC">1</definedName>
    <definedName name="UNI_NOTHING">0</definedName>
    <definedName name="UNI_PRES_FILTER">1</definedName>
    <definedName name="UNI_PRES_HEADINGS">16</definedName>
    <definedName name="UNI_PRES_INVERT">2</definedName>
    <definedName name="UNI_PRES_MATRIX">4</definedName>
    <definedName name="UNI_PRES_MERGED">8</definedName>
    <definedName name="UNI_PRES_OUTLIERS">32</definedName>
    <definedName name="UNI_RET_ATTRIB">64</definedName>
    <definedName name="UNI_RET_CONF">32</definedName>
    <definedName name="UNI_RET_DESC">4</definedName>
    <definedName name="UNI_RET_EQUIP">1</definedName>
    <definedName name="UNI_RET_OFFSPEC">512</definedName>
    <definedName name="UNI_RET_ONSPEC">256</definedName>
    <definedName name="UNI_RET_PROP">32</definedName>
    <definedName name="UNI_RET_PROPDESC">64</definedName>
    <definedName name="UNI_RET_SMPLPNT">4</definedName>
    <definedName name="UNI_RET_SPECMAX">2048</definedName>
    <definedName name="UNI_RET_SPECMIN">1024</definedName>
    <definedName name="UNI_RET_TAG">1</definedName>
    <definedName name="UNI_RET_TESTTIME">128</definedName>
    <definedName name="UNI_RET_TIME">8</definedName>
    <definedName name="UNI_RET_UNIT">2</definedName>
    <definedName name="UNI_RET_VALUE">16</definedName>
    <definedName name="UNION" localSheetId="3">#REF!</definedName>
    <definedName name="UNION">#REF!</definedName>
    <definedName name="UNIT" localSheetId="3">#REF!</definedName>
    <definedName name="UNIT">#REF!</definedName>
    <definedName name="Unit100" localSheetId="3">#REF!</definedName>
    <definedName name="Unit100">#REF!</definedName>
    <definedName name="Unit101" localSheetId="3">#REF!</definedName>
    <definedName name="Unit101">#REF!</definedName>
    <definedName name="Unit102" localSheetId="3">#REF!</definedName>
    <definedName name="Unit102">#REF!</definedName>
    <definedName name="Unit103" localSheetId="3">#REF!</definedName>
    <definedName name="Unit103">#REF!</definedName>
    <definedName name="Unit106" localSheetId="3">#REF!</definedName>
    <definedName name="Unit106">#REF!</definedName>
    <definedName name="Unit107" localSheetId="3">#REF!</definedName>
    <definedName name="Unit107">#REF!</definedName>
    <definedName name="Unit108" localSheetId="3">#REF!</definedName>
    <definedName name="Unit108">#REF!</definedName>
    <definedName name="Unit109" localSheetId="3">#REF!</definedName>
    <definedName name="Unit109">#REF!</definedName>
    <definedName name="Unit110" localSheetId="3">#REF!</definedName>
    <definedName name="Unit110">#REF!</definedName>
    <definedName name="Unit111" localSheetId="3">#REF!</definedName>
    <definedName name="Unit111">#REF!</definedName>
    <definedName name="Unit113" localSheetId="3">#REF!</definedName>
    <definedName name="Unit113">#REF!</definedName>
    <definedName name="Unit120" localSheetId="3">#REF!</definedName>
    <definedName name="Unit120">#REF!</definedName>
    <definedName name="Unit121" localSheetId="3">#REF!</definedName>
    <definedName name="Unit121">#REF!</definedName>
    <definedName name="Unit125" localSheetId="3">#REF!</definedName>
    <definedName name="Unit125">#REF!</definedName>
    <definedName name="Unit126" localSheetId="3">#REF!</definedName>
    <definedName name="Unit126">#REF!</definedName>
    <definedName name="Unit129" localSheetId="3">#REF!</definedName>
    <definedName name="Unit129">#REF!</definedName>
    <definedName name="Unit130" localSheetId="3">#REF!</definedName>
    <definedName name="Unit130">#REF!</definedName>
    <definedName name="Unit131" localSheetId="3">#REF!</definedName>
    <definedName name="Unit131">#REF!</definedName>
    <definedName name="Unit140" localSheetId="3">#REF!</definedName>
    <definedName name="Unit140">#REF!</definedName>
    <definedName name="Unit142" localSheetId="3">#REF!</definedName>
    <definedName name="Unit142">#REF!</definedName>
    <definedName name="Unit143" localSheetId="3">#REF!</definedName>
    <definedName name="Unit143">#REF!</definedName>
    <definedName name="Unit145" localSheetId="3">#REF!</definedName>
    <definedName name="Unit145">#REF!</definedName>
    <definedName name="Unit147" localSheetId="3">#REF!</definedName>
    <definedName name="Unit147">#REF!</definedName>
    <definedName name="Unit148" localSheetId="3">#REF!</definedName>
    <definedName name="Unit148">#REF!</definedName>
    <definedName name="Unit160" localSheetId="3">#REF!</definedName>
    <definedName name="Unit160">#REF!</definedName>
    <definedName name="UNITE1">"Texte 159"</definedName>
    <definedName name="UNITE2">"Texte 160"</definedName>
    <definedName name="UnitPrice">#REF!</definedName>
    <definedName name="ünsal" localSheetId="3" hidden="1">{#N/A,#N/A,FALSE,"BRIM_ICMAL";#N/A,#N/A,FALSE,"ASE_KUR";#N/A,#N/A,FALSE,"ASE_YES";#N/A,#N/A,FALSE,"AM_KUR";#N/A,#N/A,FALSE,"AMU_YES";#N/A,#N/A,FALSE,"PAR_KUR";#N/A,#N/A,FALSE,"PAR_YES";#N/A,#N/A,FALSE,"YSE_YES";#N/A,#N/A,FALSE,"YSE_YES";#N/A,#N/A,FALSE,"YM_KUR";#N/A,#N/A,FALSE,"YM_YES";#N/A,#N/A,FALSE,"YAB_KUR";#N/A,#N/A,FALSE,"YAB_YES";#N/A,#N/A,FALSE,"elek_kur";#N/A,#N/A,FALSE,"elek_yes";#N/A,#N/A,FALSE,"içm_KUR";#N/A,#N/A,FALSE,"içm_YES";#N/A,#N/A,FALSE,"TEL_KUR";#N/A,#N/A,FALSE,"TEL_YES";#N/A,#N/A,FALSE,"ISI_TES_KUR";#N/A,#N/A,FALSE,"ISI_TES_YES";#N/A,#N/A,FALSE,"ISIKAN_KUR";#N/A,#N/A,FALSE,"ISI_KAN_YES";#N/A,#N/A,FALSE,"YOLOT_KUR";#N/A,#N/A,FALSE,"YOLOT_YES";#N/A,#N/A,FALSE,"İST_KUR";#N/A,#N/A,FALSE,"İST_YES";#N/A,#N/A,FALSE,"ÇEVR_KUR";#N/A,#N/A,FALSE,"ÇEVRE_YES";#N/A,#N/A,FALSE,"PEY_KUR";#N/A,#N/A,FALSE,"PEY_YES";#N/A,#N/A,FALSE,"SULAMA_KUR";#N/A,#N/A,FALSE,"SULAMA_YES"}</definedName>
    <definedName name="ünsal" hidden="1">{#N/A,#N/A,FALSE,"BRIM_ICMAL";#N/A,#N/A,FALSE,"ASE_KUR";#N/A,#N/A,FALSE,"ASE_YES";#N/A,#N/A,FALSE,"AM_KUR";#N/A,#N/A,FALSE,"AMU_YES";#N/A,#N/A,FALSE,"PAR_KUR";#N/A,#N/A,FALSE,"PAR_YES";#N/A,#N/A,FALSE,"YSE_YES";#N/A,#N/A,FALSE,"YSE_YES";#N/A,#N/A,FALSE,"YM_KUR";#N/A,#N/A,FALSE,"YM_YES";#N/A,#N/A,FALSE,"YAB_KUR";#N/A,#N/A,FALSE,"YAB_YES";#N/A,#N/A,FALSE,"elek_kur";#N/A,#N/A,FALSE,"elek_yes";#N/A,#N/A,FALSE,"içm_KUR";#N/A,#N/A,FALSE,"içm_YES";#N/A,#N/A,FALSE,"TEL_KUR";#N/A,#N/A,FALSE,"TEL_YES";#N/A,#N/A,FALSE,"ISI_TES_KUR";#N/A,#N/A,FALSE,"ISI_TES_YES";#N/A,#N/A,FALSE,"ISIKAN_KUR";#N/A,#N/A,FALSE,"ISI_KAN_YES";#N/A,#N/A,FALSE,"YOLOT_KUR";#N/A,#N/A,FALSE,"YOLOT_YES";#N/A,#N/A,FALSE,"İST_KUR";#N/A,#N/A,FALSE,"İST_YES";#N/A,#N/A,FALSE,"ÇEVR_KUR";#N/A,#N/A,FALSE,"ÇEVRE_YES";#N/A,#N/A,FALSE,"PEY_KUR";#N/A,#N/A,FALSE,"PEY_YES";#N/A,#N/A,FALSE,"SULAMA_KUR";#N/A,#N/A,FALSE,"SULAMA_YES"}</definedName>
    <definedName name="UP_1">#REF!</definedName>
    <definedName name="UP_2">#REF!</definedName>
    <definedName name="UP_3">#REF!</definedName>
    <definedName name="UP_total">#REF!</definedName>
    <definedName name="üqşj" localSheetId="3" hidden="1">{#N/A,#N/A,FALSE,"Çaykara ataköy (1)";#N/A,#N/A,FALSE,"Çaykara ataköy (2)";#N/A,#N/A,FALSE,"Rize Kalkandere ";#N/A,#N/A,FALSE,"meydancık";#N/A,#N/A,FALSE,"muratlı"}</definedName>
    <definedName name="üqşj" hidden="1">{#N/A,#N/A,FALSE,"Çaykara ataköy (1)";#N/A,#N/A,FALSE,"Çaykara ataköy (2)";#N/A,#N/A,FALSE,"Rize Kalkandere ";#N/A,#N/A,FALSE,"meydancık";#N/A,#N/A,FALSE,"muratlı"}</definedName>
    <definedName name="ur" localSheetId="3">#REF!</definedName>
    <definedName name="ur">#REF!</definedName>
    <definedName name="urea" localSheetId="3">#REF!</definedName>
    <definedName name="urea">#REF!</definedName>
    <definedName name="US">[106]Factor!$B$41</definedName>
    <definedName name="USD" localSheetId="3">#REF!</definedName>
    <definedName name="USD">'[46]Ex-Rate'!$C$16</definedName>
    <definedName name="usddha" localSheetId="3">#REF!</definedName>
    <definedName name="usddha">#REF!</definedName>
    <definedName name="usdkrw" localSheetId="3">#REF!</definedName>
    <definedName name="usdkrw">#REF!</definedName>
    <definedName name="UTIL" hidden="1">{"MAN H.O.",#N/A,FALSE,"tabella"}</definedName>
    <definedName name="utility_num" localSheetId="3">#REF!</definedName>
    <definedName name="utility_num">#REF!</definedName>
    <definedName name="UTM" localSheetId="3" hidden="1">{#N/A,#N/A,FALSE,"TABLE"}</definedName>
    <definedName name="UTM" hidden="1">{#N/A,#N/A,FALSE,"TABLE"}</definedName>
    <definedName name="UTotal" localSheetId="3">SUM(#REF!)</definedName>
    <definedName name="UTotal">SUM(#REF!)</definedName>
    <definedName name="uu" hidden="1">{"LKD",#N/A,FALSE,"표지"}</definedName>
    <definedName name="uu8uiou" localSheetId="3">#REF!</definedName>
    <definedName name="uu8uiou">#REF!</definedName>
    <definedName name="uuihuihuih" localSheetId="3">#REF!</definedName>
    <definedName name="uuihuihuih">#REF!</definedName>
    <definedName name="uuiiuu" localSheetId="3">#REF!</definedName>
    <definedName name="uuiiuu">#REF!</definedName>
    <definedName name="uuiuihhui" localSheetId="3">#REF!</definedName>
    <definedName name="uuiuihhui">#REF!</definedName>
    <definedName name="UUU" localSheetId="3" hidden="1">{#N/A,#N/A,FALSE,"CCTV"}</definedName>
    <definedName name="UUU" hidden="1">{#N/A,#N/A,FALSE,"CCTV"}</definedName>
    <definedName name="uuuio" localSheetId="3">#REF!</definedName>
    <definedName name="uuuio">#REF!</definedName>
    <definedName name="uuuuu" hidden="1">{#N/A,#N/A,FALSE,"TABLE"}</definedName>
    <definedName name="uuuuuu">{"'장비'!$A$3:$M$12"}</definedName>
    <definedName name="uuyttt" hidden="1">{#N/A,#N/A,FALSE,"TABLE"}</definedName>
    <definedName name="UWT" localSheetId="3">#REF!</definedName>
    <definedName name="UWT">#REF!</definedName>
    <definedName name="uy">{"'장비'!$A$3:$M$12"}</definedName>
    <definedName name="uy89uu8" localSheetId="3">#REF!</definedName>
    <definedName name="uy89uu8">#REF!</definedName>
    <definedName name="uyedgnhgdf" hidden="1">#REF!</definedName>
    <definedName name="UYI" localSheetId="3" hidden="1">{#N/A,#N/A,FALSE,"elk_iç_er";#N/A,#N/A,FALSE,"elk_iç_tut";#N/A,#N/A,FALSE,"elk_iç_ihz"}</definedName>
    <definedName name="UYI" hidden="1">{#N/A,#N/A,FALSE,"elk_iç_er";#N/A,#N/A,FALSE,"elk_iç_tut";#N/A,#N/A,FALSE,"elk_iç_ihz"}</definedName>
    <definedName name="uyuy" localSheetId="3" hidden="1">{#N/A,#N/A,FALSE,"M.F.F.İCMALİ";#N/A,#N/A,FALSE,"MFF HESAP TAB";#N/A,#N/A,FALSE,"AKARY.MİK";#N/A,#N/A,FALSE,"AKARY.TUTANAĞI";#N/A,#N/A,FALSE,"MOTORİN";#N/A,#N/A,FALSE," TAB ÇİM PÇ425";#N/A,#N/A,FALSE,"ÇİM. MİK PÇ-425";#N/A,#N/A,FALSE,"DEMİR";#N/A,#N/A,FALSE," TAB demir"}</definedName>
    <definedName name="uyuy" hidden="1">{#N/A,#N/A,FALSE,"M.F.F.İCMALİ";#N/A,#N/A,FALSE,"MFF HESAP TAB";#N/A,#N/A,FALSE,"AKARY.MİK";#N/A,#N/A,FALSE,"AKARY.TUTANAĞI";#N/A,#N/A,FALSE,"MOTORİN";#N/A,#N/A,FALSE," TAB ÇİM PÇ425";#N/A,#N/A,FALSE,"ÇİM. MİK PÇ-425";#N/A,#N/A,FALSE,"DEMİR";#N/A,#N/A,FALSE," TAB demir"}</definedName>
    <definedName name="U형_측구" localSheetId="3">#REF!</definedName>
    <definedName name="U형_측구">#REF!</definedName>
    <definedName name="U형측구" localSheetId="3">#REF!</definedName>
    <definedName name="U형측구">#REF!</definedName>
    <definedName name="van" localSheetId="3" hidden="1">{#N/A,#N/A,FALSE,"Çaykara ataköy (1)";#N/A,#N/A,FALSE,"Çaykara ataköy (2)";#N/A,#N/A,FALSE,"Rize Kalkandere ";#N/A,#N/A,FALSE,"meydancık";#N/A,#N/A,FALSE,"muratlı"}</definedName>
    <definedName name="van" hidden="1">{#N/A,#N/A,FALSE,"Çaykara ataköy (1)";#N/A,#N/A,FALSE,"Çaykara ataköy (2)";#N/A,#N/A,FALSE,"Rize Kalkandere ";#N/A,#N/A,FALSE,"meydancık";#N/A,#N/A,FALSE,"muratlı"}</definedName>
    <definedName name="VAR_ACCOMMODATION" xml:space="preserve"> {"MANAGER","CHIEF","SENIOR","JUNIOR","K-SKLD","T-SKLD","T-UNSKLD","-"}</definedName>
    <definedName name="VAR_CATEGORY" xml:space="preserve"> {"STAFF","INDIRECT","DIRECT"}</definedName>
    <definedName name="VAR_DISCIPLINE_LEVEL1" xml:space="preserve"> {"PROJECT MANAGEMENT","PROJECT CONTROL","ADMINISTRATION","CONSTRUCTION","PRE-COMMISSIONING","DETAIL ENGINEERING","FIELD ENGINEERING","PROCUREMENT","HSE","QA/QC","INTERFACE","SEOUL OFFICE","AL KHOBAR OFFICE","-"}</definedName>
    <definedName name="VAR_DISCIPLINE_LEVEL2" xml:space="preserve"> {"EQUIPMENT ERECTION","FIELD TANK ERECTION","STEEL STRUCTURE","PIPING","INSULATION","PAINTING","FIRE PROOFING","CIVIL","ARCHITECTURE","HVAC","ELECTRICAL","INSTRUMENT","SCAFFOLDING","PRE-COMMISSIONIG","MATERIAL HANDLING","TEMPORARY FACILITIES","-"}</definedName>
    <definedName name="VAR_LOCATION" xml:space="preserve"> {"TRNS","S","A","-","-","SITE","-"}</definedName>
    <definedName name="VAR_NATION" xml:space="preserve"> {"KOR","EUR","TCN","LOC","-"}</definedName>
    <definedName name="VAR_PARTY" xml:space="preserve"> {"HDEC","HEC","JCBS","-"}</definedName>
    <definedName name="VAR_PC_PAYMENT" xml:space="preserve"> {"PAYED","NOT"}</definedName>
    <definedName name="VAR_POSITION" xml:space="preserve"> {"SM","SB","SBD","BJ","BD","CJ","GJ","DR","4SW","TCN-H","TCN-M","TCN-L","HY","AR","-"}</definedName>
    <definedName name="VB" localSheetId="3" hidden="1">{#N/A,#N/A,FALSE,"이태원철근"}</definedName>
    <definedName name="VB" hidden="1">{#N/A,#N/A,FALSE,"이태원철근"}</definedName>
    <definedName name="VBN" localSheetId="3" hidden="1">{#N/A,#N/A,FALSE,"이태원철근"}</definedName>
    <definedName name="VBN" hidden="1">{#N/A,#N/A,FALSE,"이태원철근"}</definedName>
    <definedName name="VC" hidden="1">#REF!</definedName>
    <definedName name="VC1a8.98">'[148]VC2 8.98'!$BN$187</definedName>
    <definedName name="vcxb" localSheetId="3" hidden="1">{#N/A,#N/A,FALSE,"Çaykara ataköy (1)";#N/A,#N/A,FALSE,"Çaykara ataköy (2)";#N/A,#N/A,FALSE,"Rize Kalkandere ";#N/A,#N/A,FALSE,"meydancık";#N/A,#N/A,FALSE,"muratlı"}</definedName>
    <definedName name="vcxb" hidden="1">{#N/A,#N/A,FALSE,"Çaykara ataköy (1)";#N/A,#N/A,FALSE,"Çaykara ataköy (2)";#N/A,#N/A,FALSE,"Rize Kalkandere ";#N/A,#N/A,FALSE,"meydancık";#N/A,#N/A,FALSE,"muratlı"}</definedName>
    <definedName name="Vente">[149]base!$B$76:$F$148,[149]base!$Y$76:$AF$148</definedName>
    <definedName name="VERIFIE1">"Texte 165"</definedName>
    <definedName name="VERIFIE2">"Texte 177"</definedName>
    <definedName name="VERIFIE3">"Texte 171"</definedName>
    <definedName name="VERIFIE4">"Texte 183"</definedName>
    <definedName name="vessel_type">'[106]Shipping Cost'!$AV$3:$AZ$3</definedName>
    <definedName name="VEVE" localSheetId="3" hidden="1">{#N/A,#N/A,FALSE,"TABLE"}</definedName>
    <definedName name="VEVE" hidden="1">{#N/A,#N/A,FALSE,"TABLE"}</definedName>
    <definedName name="vffsfs" localSheetId="3" hidden="1">{#N/A,#N/A,TRUE,"Basic";#N/A,#N/A,TRUE,"EXT-TABLE";#N/A,#N/A,TRUE,"STEEL";#N/A,#N/A,TRUE,"INT-Table";#N/A,#N/A,TRUE,"STEEL";#N/A,#N/A,TRUE,"Door"}</definedName>
    <definedName name="vffsfs" hidden="1">{#N/A,#N/A,TRUE,"Basic";#N/A,#N/A,TRUE,"EXT-TABLE";#N/A,#N/A,TRUE,"STEEL";#N/A,#N/A,TRUE,"INT-Table";#N/A,#N/A,TRUE,"STEEL";#N/A,#N/A,TRUE,"Door"}</definedName>
    <definedName name="vffsfs_1" hidden="1">{#N/A,#N/A,TRUE,"Basic";#N/A,#N/A,TRUE,"EXT-TABLE";#N/A,#N/A,TRUE,"STEEL";#N/A,#N/A,TRUE,"INT-Table";#N/A,#N/A,TRUE,"STEEL";#N/A,#N/A,TRUE,"Door"}</definedName>
    <definedName name="vfhj" hidden="1">{#N/A,#N/A,TRUE,"Basic";#N/A,#N/A,TRUE,"EXT-TABLE";#N/A,#N/A,TRUE,"STEEL";#N/A,#N/A,TRUE,"INT-Table";#N/A,#N/A,TRUE,"STEEL";#N/A,#N/A,TRUE,"Door"}</definedName>
    <definedName name="vfrgh" hidden="1">{#N/A,#N/A,TRUE,"Basic";#N/A,#N/A,TRUE,"EXT-TABLE";#N/A,#N/A,TRUE,"STEEL";#N/A,#N/A,TRUE,"INT-Table";#N/A,#N/A,TRUE,"STEEL";#N/A,#N/A,TRUE,"Door"}</definedName>
    <definedName name="VMB3MCAP" localSheetId="3">#REF!</definedName>
    <definedName name="VMB3MCAP">#REF!</definedName>
    <definedName name="VMB3MELBOW" localSheetId="3">#REF!</definedName>
    <definedName name="VMB3MELBOW">#REF!</definedName>
    <definedName name="VMB3MTEE" localSheetId="3">#REF!</definedName>
    <definedName name="VMB3MTEE">#REF!</definedName>
    <definedName name="VMB3MVALVE" localSheetId="3">#REF!</definedName>
    <definedName name="VMB3MVALVE">#REF!</definedName>
    <definedName name="VMB3RED" localSheetId="3">#REF!</definedName>
    <definedName name="VMB3RED">#REF!</definedName>
    <definedName name="VMB3SCAP" localSheetId="3">#REF!</definedName>
    <definedName name="VMB3SCAP">#REF!</definedName>
    <definedName name="VMB3SELBOW" localSheetId="3">#REF!</definedName>
    <definedName name="VMB3SELBOW">#REF!</definedName>
    <definedName name="VMB3STEE" localSheetId="3">#REF!</definedName>
    <definedName name="VMB3STEE">#REF!</definedName>
    <definedName name="VMB3SVALVE" localSheetId="3">#REF!</definedName>
    <definedName name="VMB3SVALVE">#REF!</definedName>
    <definedName name="VMB4MCAP" localSheetId="3">#REF!</definedName>
    <definedName name="VMB4MCAP">#REF!</definedName>
    <definedName name="VMB4MELBOW" localSheetId="3">#REF!</definedName>
    <definedName name="VMB4MELBOW">#REF!</definedName>
    <definedName name="VMB4MTEE" localSheetId="3">#REF!</definedName>
    <definedName name="VMB4MTEE">#REF!</definedName>
    <definedName name="VMB4MVALVE" localSheetId="3">#REF!</definedName>
    <definedName name="VMB4MVALVE">#REF!</definedName>
    <definedName name="VMB4RED" localSheetId="3">#REF!</definedName>
    <definedName name="VMB4RED">#REF!</definedName>
    <definedName name="VMB4SCAP" localSheetId="3">#REF!</definedName>
    <definedName name="VMB4SCAP">#REF!</definedName>
    <definedName name="VMB4SELBOW" localSheetId="3">#REF!</definedName>
    <definedName name="VMB4SELBOW">#REF!</definedName>
    <definedName name="VMB4STEE" localSheetId="3">#REF!</definedName>
    <definedName name="VMB4STEE">#REF!</definedName>
    <definedName name="VMB4SVALVE" localSheetId="3">#REF!</definedName>
    <definedName name="VMB4SVALVE">#REF!</definedName>
    <definedName name="VRVR" localSheetId="3" hidden="1">{#N/A,#N/A,FALSE,"TABLE"}</definedName>
    <definedName name="VRVR" hidden="1">{#N/A,#N/A,FALSE,"TABLE"}</definedName>
    <definedName name="vv" localSheetId="3" hidden="1">{#N/A,#N/A,FALSE,"kap1";#N/A,#N/A,FALSE,"kap2";#N/A,#N/A,FALSE,"tem_mektubu";#N/A,#N/A,FALSE,"avans";#N/A,#N/A,FALSE,"söz_fiy_fark";#N/A,#N/A,FALSE,"fat_ihz"}</definedName>
    <definedName name="vv">{"'장비'!$A$3:$M$12"}</definedName>
    <definedName name="vv_1" localSheetId="3" hidden="1">{#N/A,#N/A,FALSE,"kap1";#N/A,#N/A,FALSE,"kap2";#N/A,#N/A,FALSE,"tem_mektubu";#N/A,#N/A,FALSE,"avans";#N/A,#N/A,FALSE,"söz_fiy_fark";#N/A,#N/A,FALSE,"fat_ihz"}</definedName>
    <definedName name="vv_1" hidden="1">{#N/A,#N/A,FALSE,"kap1";#N/A,#N/A,FALSE,"kap2";#N/A,#N/A,FALSE,"tem_mektubu";#N/A,#N/A,FALSE,"avans";#N/A,#N/A,FALSE,"söz_fiy_fark";#N/A,#N/A,FALSE,"fat_ihz"}</definedName>
    <definedName name="VVVV" localSheetId="3" hidden="1">{#N/A,#N/A,FALSE,"TABLE"}</definedName>
    <definedName name="VVVV" hidden="1">{#N/A,#N/A,FALSE,"TABLE"}</definedName>
    <definedName name="VWX" localSheetId="3" hidden="1">{#N/A,#N/A,FALSE,"TABLE"}</definedName>
    <definedName name="VWX" hidden="1">{#N/A,#N/A,FALSE,"TABLE"}</definedName>
    <definedName name="VX" localSheetId="3" hidden="1">#REF!</definedName>
    <definedName name="VX" hidden="1">#REF!</definedName>
    <definedName name="VZX" localSheetId="3" hidden="1">{#N/A,#N/A,FALSE,"TABLE"}</definedName>
    <definedName name="VZX" hidden="1">{#N/A,#N/A,FALSE,"TABLE"}</definedName>
    <definedName name="V형_측구" localSheetId="3">#REF!</definedName>
    <definedName name="V형_측구">#REF!</definedName>
    <definedName name="V형측구" localSheetId="3">#REF!</definedName>
    <definedName name="V형측구">#REF!</definedName>
    <definedName name="W" hidden="1">{#N/A,#N/A,TRUE,"Basic";#N/A,#N/A,TRUE,"EXT-TABLE";#N/A,#N/A,TRUE,"STEEL";#N/A,#N/A,TRUE,"INT-Table";#N/A,#N/A,TRUE,"STEEL";#N/A,#N/A,TRUE,"Door"}</definedName>
    <definedName name="w_1" localSheetId="3" hidden="1">{#N/A,#N/A,FALSE,"B1";#N/A,#N/A,FALSE,"B2";#N/A,#N/A,FALSE,"B3";#N/A,#N/A,FALSE,"B4";#N/A,#N/A,FALSE,"B5";#N/A,#N/A,FALSE,"B6";#N/A,#N/A,FALSE,"B7";#N/A,#N/A,FALSE,"B8";#N/A,#N/A,FALSE,"B9";#N/A,#N/A,FALSE,"B10";#N/A,#N/A,FALSE,"B11";#N/A,#N/A,FALSE,"B12";#N/A,#N/A,FALSE,"B13";#N/A,#N/A,FALSE,"B14";#N/A,#N/A,FALSE,"B15";#N/A,#N/A,FALSE,"B16"}</definedName>
    <definedName name="w_1" hidden="1">{#N/A,#N/A,FALSE,"B1";#N/A,#N/A,FALSE,"B2";#N/A,#N/A,FALSE,"B3";#N/A,#N/A,FALSE,"B4";#N/A,#N/A,FALSE,"B5";#N/A,#N/A,FALSE,"B6";#N/A,#N/A,FALSE,"B7";#N/A,#N/A,FALSE,"B8";#N/A,#N/A,FALSE,"B9";#N/A,#N/A,FALSE,"B10";#N/A,#N/A,FALSE,"B11";#N/A,#N/A,FALSE,"B12";#N/A,#N/A,FALSE,"B13";#N/A,#N/A,FALSE,"B14";#N/A,#N/A,FALSE,"B15";#N/A,#N/A,FALSE,"B16"}</definedName>
    <definedName name="WAGE" localSheetId="3">#REF!</definedName>
    <definedName name="WAGE">#REF!</definedName>
    <definedName name="Waste" hidden="1">{#N/A,#N/A,TRUE,"Basic";#N/A,#N/A,TRUE,"EXT-TABLE";#N/A,#N/A,TRUE,"STEEL";#N/A,#N/A,TRUE,"INT-Table";#N/A,#N/A,TRUE,"STEEL";#N/A,#N/A,TRUE,"Door"}</definedName>
    <definedName name="Waste_1" hidden="1">{#N/A,#N/A,TRUE,"Basic";#N/A,#N/A,TRUE,"EXT-TABLE";#N/A,#N/A,TRUE,"STEEL";#N/A,#N/A,TRUE,"INT-Table";#N/A,#N/A,TRUE,"STEEL";#N/A,#N/A,TRUE,"Door"}</definedName>
    <definedName name="WATER_CAMP">'[90]WATER SUPPLY'!$A$60:$K$68</definedName>
    <definedName name="WATER_SITE">'[90]WATER SUPPLY'!$A$39:$K$47</definedName>
    <definedName name="WCCWS" localSheetId="3" hidden="1">{#N/A,#N/A,FALSE,"TABLE"}</definedName>
    <definedName name="WCCWS" hidden="1">{#N/A,#N/A,FALSE,"TABLE"}</definedName>
    <definedName name="weight" localSheetId="3">#REF!</definedName>
    <definedName name="weight">#REF!</definedName>
    <definedName name="WEJA" localSheetId="3" hidden="1">{#N/A,#N/A,FALSE,"TABLE"}</definedName>
    <definedName name="WEJA" hidden="1">{#N/A,#N/A,FALSE,"TABLE"}</definedName>
    <definedName name="weka" localSheetId="3" hidden="1">{#N/A,#N/A,FALSE,"TABLE"}</definedName>
    <definedName name="weka" hidden="1">{#N/A,#N/A,FALSE,"TABLE"}</definedName>
    <definedName name="weki_9701.xls" localSheetId="3" hidden="1">'[2]Eq. Mobilization'!#REF!</definedName>
    <definedName name="weki_9701.xls" hidden="1">'[3]#REF'!#REF!</definedName>
    <definedName name="wekir9701.xls" localSheetId="3" hidden="1">'[2]Eq. Mobilization'!#REF!</definedName>
    <definedName name="wekir9701.xls" hidden="1">'[3]#REF'!#REF!</definedName>
    <definedName name="WELFARE_INDIRECT">'[59]WELFARE COST - SITE'!$E$22:$AB$25</definedName>
    <definedName name="WELFARE_LABOR">'[59]WELFARE COST - SITE'!$E$26:$AB$28</definedName>
    <definedName name="WELFARE_STAFF">'[59]WELFARE COST - SITE'!$E$18:$AB$21</definedName>
    <definedName name="wer" localSheetId="3" hidden="1">{#N/A,#N/A,FALSE,"TABLE"}</definedName>
    <definedName name="wer" hidden="1">{#N/A,#N/A,FALSE,"TABLE"}</definedName>
    <definedName name="WETO" localSheetId="3" hidden="1">{#N/A,#N/A,FALSE,"TABLE"}</definedName>
    <definedName name="WETO" hidden="1">{#N/A,#N/A,FALSE,"TABLE"}</definedName>
    <definedName name="wew" hidden="1">[150]현금흐름표!$F$45</definedName>
    <definedName name="WINWIN" localSheetId="3" hidden="1">{#N/A,#N/A,FALSE,"TABLE"}</definedName>
    <definedName name="WINWIN" hidden="1">{#N/A,#N/A,FALSE,"TABLE"}</definedName>
    <definedName name="wjs">{"'장비'!$A$3:$M$12"}</definedName>
    <definedName name="wm.조골재1" localSheetId="3" hidden="1">{#N/A,#N/A,FALSE,"조골재"}</definedName>
    <definedName name="wm.조골재1" hidden="1">{#N/A,#N/A,FALSE,"조골재"}</definedName>
    <definedName name="WOL" localSheetId="3">#REF!</definedName>
    <definedName name="WOL">#REF!</definedName>
    <definedName name="WON">'[46]Ex-Rate'!$C$10</definedName>
    <definedName name="WON_USD">[133]환율!$G$21</definedName>
    <definedName name="WORKSHOP" hidden="1">{#N/A,#N/A,TRUE,"Basic";#N/A,#N/A,TRUE,"EXT-TABLE";#N/A,#N/A,TRUE,"STEEL";#N/A,#N/A,TRUE,"INT-Table";#N/A,#N/A,TRUE,"STEEL";#N/A,#N/A,TRUE,"Door"}</definedName>
    <definedName name="WORKSHOP_1" hidden="1">{#N/A,#N/A,TRUE,"Basic";#N/A,#N/A,TRUE,"EXT-TABLE";#N/A,#N/A,TRUE,"STEEL";#N/A,#N/A,TRUE,"INT-Table";#N/A,#N/A,TRUE,"STEEL";#N/A,#N/A,TRUE,"Door"}</definedName>
    <definedName name="WR">37.76</definedName>
    <definedName name="WRITE" localSheetId="3" hidden="1">{#N/A,#N/A,FALSE,"CCTV"}</definedName>
    <definedName name="WRITE" hidden="1">{#N/A,#N/A,FALSE,"CCTV"}</definedName>
    <definedName name="WRN" hidden="1">{#N/A,#N/A,FALSE,"CCTV"}</definedName>
    <definedName name="wrn.2번." localSheetId="3" hidden="1">{#N/A,#N/A,FALSE,"2~8번"}</definedName>
    <definedName name="wrn.2번." hidden="1">{#N/A,#N/A,FALSE,"2~8번"}</definedName>
    <definedName name="wrn.97." hidden="1">{#N/A,#N/A,FALSE,"지침";#N/A,#N/A,FALSE,"환경분석";#N/A,#N/A,FALSE,"Sheet16"}</definedName>
    <definedName name="WRN.98." hidden="1">{#N/A,#N/A,FALSE,"지침";#N/A,#N/A,FALSE,"환경분석";#N/A,#N/A,FALSE,"Sheet16"}</definedName>
    <definedName name="wrn.age._.ihzarat." localSheetId="3" hidden="1">{#N/A,#N/A,FALSE,"ihz. icmal";#N/A,#N/A,FALSE,"avans";#N/A,#N/A,FALSE,"mal_FF_icm";#N/A,#N/A,FALSE,"fat_ihz";#N/A,#N/A,FALSE,"söz_fiy_fark";#N/A,#N/A,FALSE,"kap2"}</definedName>
    <definedName name="wrn.age._.ihzarat." hidden="1">{#N/A,#N/A,FALSE,"ihz. icmal";#N/A,#N/A,FALSE,"avans";#N/A,#N/A,FALSE,"mal_FF_icm";#N/A,#N/A,FALSE,"fat_ihz";#N/A,#N/A,FALSE,"söz_fiy_fark";#N/A,#N/A,FALSE,"kap2"}</definedName>
    <definedName name="wrn.age._.imalat." localSheetId="3" hidden="1">{#N/A,#N/A,TRUE,"ÝCMAL";#N/A,#N/A,TRUE,"12221CO";#N/A,#N/A,TRUE,"12222CO";#N/A,#N/A,TRUE,"12223CK";#N/A,#N/A,TRUE,"12224CO";#N/A,#N/A,TRUE,"12225CO";#N/A,#N/A,TRUE,"12231BO";#N/A,#N/A,TRUE,"12232BO";#N/A,#N/A,TRUE,"12233BO";#N/A,#N/A,TRUE,"12234BO";#N/A,#N/A,TRUE,"12235BO";#N/A,#N/A,TRUE,"12236BO";#N/A,#N/A,TRUE,"12237BK";#N/A,#N/A,TRUE,"12238CK";#N/A,#N/A,TRUE,"12239CO";#N/A,#N/A,TRUE,"12241BO";#N/A,#N/A,TRUE,"12242BK";#N/A,#N/A,TRUE,"12243BO";#N/A,#N/A,TRUE,"12244BO";#N/A,#N/A,TRUE,"12245BO";#N/A,#N/A,TRUE,"12246CK";#N/A,#N/A,TRUE,"12247CO";#N/A,#N/A,TRUE,"12248CO";#N/A,#N/A,TRUE,"12251BO";#N/A,#N/A,TRUE,"12252BO";#N/A,#N/A,TRUE,"12253BO";#N/A,#N/A,TRUE,"12254BO";#N/A,#N/A,TRUE,"12255CK";#N/A,#N/A,TRUE,"12256CO";#N/A,#N/A,TRUE,"12257CO";#N/A,#N/A,TRUE,"12261BO";#N/A,#N/A,TRUE,"12262BO";#N/A,#N/A,TRUE,"12263BO";#N/A,#N/A,TRUE,"12264CK";#N/A,#N/A,TRUE,"12265CO";#N/A,#N/A,TRUE,"12266CO";#N/A,#N/A,TRUE,"12271CO";#N/A,#N/A,TRUE,"12272CK";#N/A,#N/A,TRUE,"12273BO";#N/A,#N/A,TRUE,"12274BO";#N/A,#N/A,TRUE,"12275BO";#N/A,#N/A,TRUE,"12276CO";#N/A,#N/A,TRUE,"12277CO";#N/A,#N/A,TRUE,"12321CO";#N/A,#N/A,TRUE,"12322CK";#N/A,#N/A,TRUE,"12323CO";#N/A,#N/A,TRUE,"12324CK";#N/A,#N/A,TRUE,"12325CO";#N/A,#N/A,TRUE,"12326CO";#N/A,#N/A,TRUE,"12327CO";#N/A,#N/A,TRUE,"12328CO";#N/A,#N/A,TRUE,"12331CO";#N/A,#N/A,TRUE,"12332CO";#N/A,#N/A,TRUE,"12333CO";#N/A,#N/A,TRUE,"12334CK";#N/A,#N/A,TRUE,"12335CO";#N/A,#N/A,TRUE,"12336CO"}</definedName>
    <definedName name="wrn.age._.imalat." hidden="1">{#N/A,#N/A,TRUE,"ÝCMAL";#N/A,#N/A,TRUE,"12221CO";#N/A,#N/A,TRUE,"12222CO";#N/A,#N/A,TRUE,"12223CK";#N/A,#N/A,TRUE,"12224CO";#N/A,#N/A,TRUE,"12225CO";#N/A,#N/A,TRUE,"12231BO";#N/A,#N/A,TRUE,"12232BO";#N/A,#N/A,TRUE,"12233BO";#N/A,#N/A,TRUE,"12234BO";#N/A,#N/A,TRUE,"12235BO";#N/A,#N/A,TRUE,"12236BO";#N/A,#N/A,TRUE,"12237BK";#N/A,#N/A,TRUE,"12238CK";#N/A,#N/A,TRUE,"12239CO";#N/A,#N/A,TRUE,"12241BO";#N/A,#N/A,TRUE,"12242BK";#N/A,#N/A,TRUE,"12243BO";#N/A,#N/A,TRUE,"12244BO";#N/A,#N/A,TRUE,"12245BO";#N/A,#N/A,TRUE,"12246CK";#N/A,#N/A,TRUE,"12247CO";#N/A,#N/A,TRUE,"12248CO";#N/A,#N/A,TRUE,"12251BO";#N/A,#N/A,TRUE,"12252BO";#N/A,#N/A,TRUE,"12253BO";#N/A,#N/A,TRUE,"12254BO";#N/A,#N/A,TRUE,"12255CK";#N/A,#N/A,TRUE,"12256CO";#N/A,#N/A,TRUE,"12257CO";#N/A,#N/A,TRUE,"12261BO";#N/A,#N/A,TRUE,"12262BO";#N/A,#N/A,TRUE,"12263BO";#N/A,#N/A,TRUE,"12264CK";#N/A,#N/A,TRUE,"12265CO";#N/A,#N/A,TRUE,"12266CO";#N/A,#N/A,TRUE,"12271CO";#N/A,#N/A,TRUE,"12272CK";#N/A,#N/A,TRUE,"12273BO";#N/A,#N/A,TRUE,"12274BO";#N/A,#N/A,TRUE,"12275BO";#N/A,#N/A,TRUE,"12276CO";#N/A,#N/A,TRUE,"12277CO";#N/A,#N/A,TRUE,"12321CO";#N/A,#N/A,TRUE,"12322CK";#N/A,#N/A,TRUE,"12323CO";#N/A,#N/A,TRUE,"12324CK";#N/A,#N/A,TRUE,"12325CO";#N/A,#N/A,TRUE,"12326CO";#N/A,#N/A,TRUE,"12327CO";#N/A,#N/A,TRUE,"12328CO";#N/A,#N/A,TRUE,"12331CO";#N/A,#N/A,TRUE,"12332CO";#N/A,#N/A,TRUE,"12333CO";#N/A,#N/A,TRUE,"12334CK";#N/A,#N/A,TRUE,"12335CO";#N/A,#N/A,TRUE,"12336CO"}</definedName>
    <definedName name="wrn.araba." localSheetId="3" hidden="1">{#N/A,#N/A,FALSE,"yazı";#N/A,#N/A,FALSE,"ödeme cet.";#N/A,#N/A,FALSE,"hak.rap.(iç)";#N/A,#N/A,FALSE,"y.def.(iç)";#N/A,#N/A,FALSE,"y.def.(kapak)";#N/A,#N/A,FALSE,"puvantajlar";#N/A,#N/A,FALSE,"işe baş.tut."}</definedName>
    <definedName name="wrn.araba." hidden="1">{#N/A,#N/A,FALSE,"yazı";#N/A,#N/A,FALSE,"ödeme cet.";#N/A,#N/A,FALSE,"hak.rap.(iç)";#N/A,#N/A,FALSE,"y.def.(iç)";#N/A,#N/A,FALSE,"y.def.(kapak)";#N/A,#N/A,FALSE,"puvantajlar";#N/A,#N/A,FALSE,"işe baş.tut."}</definedName>
    <definedName name="wrn.bakı.xla." localSheetId="3" hidden="1">{#N/A,#N/A,FALSE,"Çaykara ataköy (1)";#N/A,#N/A,FALSE,"Çaykara ataköy (2)";#N/A,#N/A,FALSE,"Rize Kalkandere ";#N/A,#N/A,FALSE,"meydancık";#N/A,#N/A,FALSE,"muratlı"}</definedName>
    <definedName name="wrn.bakı.xla." hidden="1">{#N/A,#N/A,FALSE,"Çaykara ataköy (1)";#N/A,#N/A,FALSE,"Çaykara ataköy (2)";#N/A,#N/A,FALSE,"Rize Kalkandere ";#N/A,#N/A,FALSE,"meydancık";#N/A,#N/A,FALSE,"muratlı"}</definedName>
    <definedName name="wrn.BETON." localSheetId="3" hidden="1">{#N/A,#N/A,FALSE,"B1";#N/A,#N/A,FALSE,"B2";#N/A,#N/A,FALSE,"B3";#N/A,#N/A,FALSE,"B4";#N/A,#N/A,FALSE,"B5";#N/A,#N/A,FALSE,"B6";#N/A,#N/A,FALSE,"B7";#N/A,#N/A,FALSE,"B8";#N/A,#N/A,FALSE,"B9";#N/A,#N/A,FALSE,"B10";#N/A,#N/A,FALSE,"B11";#N/A,#N/A,FALSE,"B12";#N/A,#N/A,FALSE,"B13";#N/A,#N/A,FALSE,"B14";#N/A,#N/A,FALSE,"B15";#N/A,#N/A,FALSE,"B16"}</definedName>
    <definedName name="wrn.BETON." hidden="1">{#N/A,#N/A,FALSE,"B1";#N/A,#N/A,FALSE,"B2";#N/A,#N/A,FALSE,"B3";#N/A,#N/A,FALSE,"B4";#N/A,#N/A,FALSE,"B5";#N/A,#N/A,FALSE,"B6";#N/A,#N/A,FALSE,"B7";#N/A,#N/A,FALSE,"B8";#N/A,#N/A,FALSE,"B9";#N/A,#N/A,FALSE,"B10";#N/A,#N/A,FALSE,"B11";#N/A,#N/A,FALSE,"B12";#N/A,#N/A,FALSE,"B13";#N/A,#N/A,FALSE,"B14";#N/A,#N/A,FALSE,"B15";#N/A,#N/A,FALSE,"B16"}</definedName>
    <definedName name="wrn.BETON._1" localSheetId="3" hidden="1">{#N/A,#N/A,FALSE,"B1";#N/A,#N/A,FALSE,"B2";#N/A,#N/A,FALSE,"B3";#N/A,#N/A,FALSE,"B4";#N/A,#N/A,FALSE,"B5";#N/A,#N/A,FALSE,"B6";#N/A,#N/A,FALSE,"B7";#N/A,#N/A,FALSE,"B8";#N/A,#N/A,FALSE,"B9";#N/A,#N/A,FALSE,"B10";#N/A,#N/A,FALSE,"B11";#N/A,#N/A,FALSE,"B12";#N/A,#N/A,FALSE,"B13";#N/A,#N/A,FALSE,"B14";#N/A,#N/A,FALSE,"B15";#N/A,#N/A,FALSE,"B16"}</definedName>
    <definedName name="wrn.BETON._1" hidden="1">{#N/A,#N/A,FALSE,"B1";#N/A,#N/A,FALSE,"B2";#N/A,#N/A,FALSE,"B3";#N/A,#N/A,FALSE,"B4";#N/A,#N/A,FALSE,"B5";#N/A,#N/A,FALSE,"B6";#N/A,#N/A,FALSE,"B7";#N/A,#N/A,FALSE,"B8";#N/A,#N/A,FALSE,"B9";#N/A,#N/A,FALSE,"B10";#N/A,#N/A,FALSE,"B11";#N/A,#N/A,FALSE,"B12";#N/A,#N/A,FALSE,"B13";#N/A,#N/A,FALSE,"B14";#N/A,#N/A,FALSE,"B15";#N/A,#N/A,FALSE,"B16"}</definedName>
    <definedName name="wrn.BIMAL." localSheetId="3" hidden="1">{#N/A,#N/A,FALSE,"BRIM_ICMAL";#N/A,#N/A,FALSE,"ASE_KUR";#N/A,#N/A,FALSE,"ASE_YES";#N/A,#N/A,FALSE,"AM_KUR";#N/A,#N/A,FALSE,"AMU_YES";#N/A,#N/A,FALSE,"PAR_KUR";#N/A,#N/A,FALSE,"PAR_YES";#N/A,#N/A,FALSE,"YSE_KUR";#N/A,#N/A,FALSE,"YSE_YES";#N/A,#N/A,FALSE,"YMU_KUR";#N/A,#N/A,FALSE,"YM_YES"}</definedName>
    <definedName name="wrn.BIMAL." hidden="1">{#N/A,#N/A,FALSE,"BRIM_ICMAL";#N/A,#N/A,FALSE,"ASE_KUR";#N/A,#N/A,FALSE,"ASE_YES";#N/A,#N/A,FALSE,"AM_KUR";#N/A,#N/A,FALSE,"AMU_YES";#N/A,#N/A,FALSE,"PAR_KUR";#N/A,#N/A,FALSE,"PAR_YES";#N/A,#N/A,FALSE,"YSE_KUR";#N/A,#N/A,FALSE,"YSE_YES";#N/A,#N/A,FALSE,"YMU_KUR";#N/A,#N/A,FALSE,"YM_YES"}</definedName>
    <definedName name="wrn.BIMAL._1" localSheetId="3" hidden="1">{#N/A,#N/A,FALSE,"BRIM_ICMAL";#N/A,#N/A,FALSE,"ASE_KUR";#N/A,#N/A,FALSE,"ASE_YES";#N/A,#N/A,FALSE,"AM_KUR";#N/A,#N/A,FALSE,"AMU_YES";#N/A,#N/A,FALSE,"PAR_KUR";#N/A,#N/A,FALSE,"PAR_YES";#N/A,#N/A,FALSE,"YSE_KUR";#N/A,#N/A,FALSE,"YSE_YES";#N/A,#N/A,FALSE,"YMU_KUR";#N/A,#N/A,FALSE,"YM_YES"}</definedName>
    <definedName name="wrn.BIMAL._1" hidden="1">{#N/A,#N/A,FALSE,"BRIM_ICMAL";#N/A,#N/A,FALSE,"ASE_KUR";#N/A,#N/A,FALSE,"ASE_YES";#N/A,#N/A,FALSE,"AM_KUR";#N/A,#N/A,FALSE,"AMU_YES";#N/A,#N/A,FALSE,"PAR_KUR";#N/A,#N/A,FALSE,"PAR_YES";#N/A,#N/A,FALSE,"YSE_KUR";#N/A,#N/A,FALSE,"YSE_YES";#N/A,#N/A,FALSE,"YMU_KUR";#N/A,#N/A,FALSE,"YM_YES"}</definedName>
    <definedName name="wrn.BM." localSheetId="3" hidden="1">{#N/A,#N/A,TRUE,"Basic";#N/A,#N/A,TRUE,"EXT-TABLE";#N/A,#N/A,TRUE,"STEEL";#N/A,#N/A,TRUE,"INT-Table";#N/A,#N/A,TRUE,"STEEL";#N/A,#N/A,TRUE,"Door"}</definedName>
    <definedName name="wrn.BM." hidden="1">{#N/A,#N/A,FALSE,"CCTV"}</definedName>
    <definedName name="wrn.BM._1" hidden="1">{#N/A,#N/A,TRUE,"Basic";#N/A,#N/A,TRUE,"EXT-TABLE";#N/A,#N/A,TRUE,"STEEL";#N/A,#N/A,TRUE,"INT-Table";#N/A,#N/A,TRUE,"STEEL";#N/A,#N/A,TRUE,"Door"}</definedName>
    <definedName name="wrn.book1.xls." localSheetId="3" hidden="1">{#N/A,#N/A,FALSE,"NAKLİYE TABLOLARI";#N/A,#N/A,FALSE,"İTİNERER";#N/A,#N/A,FALSE,"bürükner cetveli";#N/A,#N/A,FALSE,"SANAT YAPILARI";#N/A,#N/A,FALSE,"B.A TABLOLARI";#N/A,#N/A,FALSE,"istinat duv.";#N/A,#N/A,FALSE,"NAKLİYE TABLOLARI"}</definedName>
    <definedName name="wrn.book1.xls." hidden="1">{#N/A,#N/A,FALSE,"NAKLİYE TABLOLARI";#N/A,#N/A,FALSE,"İTİNERER";#N/A,#N/A,FALSE,"bürükner cetveli";#N/A,#N/A,FALSE,"SANAT YAPILARI";#N/A,#N/A,FALSE,"B.A TABLOLARI";#N/A,#N/A,FALSE,"istinat duv.";#N/A,#N/A,FALSE,"NAKLİYE TABLOLARI"}</definedName>
    <definedName name="wrn.budget." localSheetId="3" hidden="1">{"form-D1",#N/A,FALSE,"FORM-D1";"form-D1_amt",#N/A,FALSE,"FORM-D1"}</definedName>
    <definedName name="wrn.budget." hidden="1">{"form-D1",#N/A,FALSE,"FORM-D1";"form-D1_amt",#N/A,FALSE,"FORM-D1"}</definedName>
    <definedName name="wrn.ÇARŞAF." localSheetId="3" hidden="1">{#N/A,#N/A,FALSE,"İÇ TOPRAK";#N/A,#N/A,FALSE,"İÇ SANAT";#N/A,#N/A,FALSE,"İÇ AYASOFYA ";#N/A,#N/A,FALSE,"İÇ AKYAZI";#N/A,#N/A,FALSE,"İÇ BEŞİRLİ";#N/A,#N/A,FALSE,"İÇ HAVAALANI";#N/A,#N/A,FALSE,"İÇ SONDAJ";#N/A,#N/A,FALSE,"İÇ KAMU";#N/A,#N/A,FALSE,"İÇ FAROZ"}</definedName>
    <definedName name="wrn.ÇARŞAF." hidden="1">{#N/A,#N/A,FALSE,"İÇ TOPRAK";#N/A,#N/A,FALSE,"İÇ SANAT";#N/A,#N/A,FALSE,"İÇ AYASOFYA ";#N/A,#N/A,FALSE,"İÇ AKYAZI";#N/A,#N/A,FALSE,"İÇ BEŞİRLİ";#N/A,#N/A,FALSE,"İÇ HAVAALANI";#N/A,#N/A,FALSE,"İÇ SONDAJ";#N/A,#N/A,FALSE,"İÇ KAMU";#N/A,#N/A,FALSE,"İÇ FAROZ"}</definedName>
    <definedName name="wrn.Complete._.Cost._.Sheet." localSheetId="3"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wrn.Complete._.Cost._.Sheet."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wrn.Cost._.Summary." localSheetId="3" hidden="1">{"Cost Summary",#N/A,FALSE,"B";"Cost Detail 1",#N/A,FALSE,"C";"Cost Detail 2",#N/A,FALSE,"C"}</definedName>
    <definedName name="wrn.Cost._.Summary." hidden="1">{"Cost Summary",#N/A,FALSE,"B";"Cost Detail 1",#N/A,FALSE,"C";"Cost Detail 2",#N/A,FALSE,"C"}</definedName>
    <definedName name="wrn.costprint." localSheetId="3" hidden="1">{"cost",#N/A,FALSE,"B";"Sum",#N/A,FALSE,"C";"Sal1",#N/A,FALSE,"D";"Sal2",#N/A,FALSE,"D";"Mob",#N/A,FALSE,"E";"Eqpcst1",#N/A,FALSE,"F";"Eqpcst2",#N/A,FALSE,"F";"Eqpcst3",#N/A,FALSE,"F";"Est1",#N/A,FALSE,"G";"Est2",#N/A,FALSE,"G";"Fin",#N/A,FALSE,"H";"EqpCal",#N/A,FALSE,"I";"ManCal1",#N/A,FALSE,"J";"ManCal2",#N/A,FALSE,"J";"Consm",#N/A,FALSE,"L";"B O",#N/A,FALSE,"M";"S C",#N/A,FALSE,"N"}</definedName>
    <definedName name="wrn.costprint." hidden="1">{"cost",#N/A,FALSE,"B";"Sum",#N/A,FALSE,"C";"Sal1",#N/A,FALSE,"D";"Sal2",#N/A,FALSE,"D";"Mob",#N/A,FALSE,"E";"Eqpcst1",#N/A,FALSE,"F";"Eqpcst2",#N/A,FALSE,"F";"Eqpcst3",#N/A,FALSE,"F";"Est1",#N/A,FALSE,"G";"Est2",#N/A,FALSE,"G";"Fin",#N/A,FALSE,"H";"EqpCal",#N/A,FALSE,"I";"ManCal1",#N/A,FALSE,"J";"ManCal2",#N/A,FALSE,"J";"Consm",#N/A,FALSE,"L";"B O",#N/A,FALSE,"M";"S C",#N/A,FALSE,"N"}</definedName>
    <definedName name="wrn.cp" localSheetId="3" hidden="1">{"cost",#N/A,FALSE,"B";"Sum",#N/A,FALSE,"C";"Sal1",#N/A,FALSE,"D";"Sal2",#N/A,FALSE,"D";"Mob",#N/A,FALSE,"E";"Eqpcst1",#N/A,FALSE,"F";"Eqpcst2",#N/A,FALSE,"F";"Eqpcst3",#N/A,FALSE,"F";"Est1",#N/A,FALSE,"G";"Est2",#N/A,FALSE,"G";"Fin",#N/A,FALSE,"H";"EqpCal",#N/A,FALSE,"I";"ManCal1",#N/A,FALSE,"J";"ManCal2",#N/A,FALSE,"J";"Consm",#N/A,FALSE,"L";"B O",#N/A,FALSE,"M";"S C",#N/A,FALSE,"N"}</definedName>
    <definedName name="wrn.cp" hidden="1">{"cost",#N/A,FALSE,"B";"Sum",#N/A,FALSE,"C";"Sal1",#N/A,FALSE,"D";"Sal2",#N/A,FALSE,"D";"Mob",#N/A,FALSE,"E";"Eqpcst1",#N/A,FALSE,"F";"Eqpcst2",#N/A,FALSE,"F";"Eqpcst3",#N/A,FALSE,"F";"Est1",#N/A,FALSE,"G";"Est2",#N/A,FALSE,"G";"Fin",#N/A,FALSE,"H";"EqpCal",#N/A,FALSE,"I";"ManCal1",#N/A,FALSE,"J";"ManCal2",#N/A,FALSE,"J";"Consm",#N/A,FALSE,"L";"B O",#N/A,FALSE,"M";"S C",#N/A,FALSE,"N"}</definedName>
    <definedName name="wrn.DEMIR." localSheetId="3" hidden="1">{#N/A,#N/A,FALSE,"D1";#N/A,#N/A,FALSE,"D2";#N/A,#N/A,FALSE,"D3";#N/A,#N/A,FALSE,"D4";#N/A,#N/A,FALSE,"D5";#N/A,#N/A,FALSE,"D6";#N/A,#N/A,FALSE,"D7";#N/A,#N/A,FALSE,"D8";#N/A,#N/A,FALSE,"D9";#N/A,#N/A,FALSE,"D10";#N/A,#N/A,FALSE,"D11";#N/A,#N/A,FALSE,"D12";#N/A,#N/A,FALSE,"D13";#N/A,#N/A,FALSE,"D14";#N/A,#N/A,FALSE,"D15";#N/A,#N/A,FALSE,"D16"}</definedName>
    <definedName name="wrn.DEMIR." hidden="1">{#N/A,#N/A,FALSE,"D1";#N/A,#N/A,FALSE,"D2";#N/A,#N/A,FALSE,"D3";#N/A,#N/A,FALSE,"D4";#N/A,#N/A,FALSE,"D5";#N/A,#N/A,FALSE,"D6";#N/A,#N/A,FALSE,"D7";#N/A,#N/A,FALSE,"D8";#N/A,#N/A,FALSE,"D9";#N/A,#N/A,FALSE,"D10";#N/A,#N/A,FALSE,"D11";#N/A,#N/A,FALSE,"D12";#N/A,#N/A,FALSE,"D13";#N/A,#N/A,FALSE,"D14";#N/A,#N/A,FALSE,"D15";#N/A,#N/A,FALSE,"D16"}</definedName>
    <definedName name="wrn.DEMIR._1" localSheetId="3" hidden="1">{#N/A,#N/A,FALSE,"D1";#N/A,#N/A,FALSE,"D2";#N/A,#N/A,FALSE,"D3";#N/A,#N/A,FALSE,"D4";#N/A,#N/A,FALSE,"D5";#N/A,#N/A,FALSE,"D6";#N/A,#N/A,FALSE,"D7";#N/A,#N/A,FALSE,"D8";#N/A,#N/A,FALSE,"D9";#N/A,#N/A,FALSE,"D10";#N/A,#N/A,FALSE,"D11";#N/A,#N/A,FALSE,"D12";#N/A,#N/A,FALSE,"D13";#N/A,#N/A,FALSE,"D14";#N/A,#N/A,FALSE,"D15";#N/A,#N/A,FALSE,"D16"}</definedName>
    <definedName name="wrn.DEMIR._1" hidden="1">{#N/A,#N/A,FALSE,"D1";#N/A,#N/A,FALSE,"D2";#N/A,#N/A,FALSE,"D3";#N/A,#N/A,FALSE,"D4";#N/A,#N/A,FALSE,"D5";#N/A,#N/A,FALSE,"D6";#N/A,#N/A,FALSE,"D7";#N/A,#N/A,FALSE,"D8";#N/A,#N/A,FALSE,"D9";#N/A,#N/A,FALSE,"D10";#N/A,#N/A,FALSE,"D11";#N/A,#N/A,FALSE,"D12";#N/A,#N/A,FALSE,"D13";#N/A,#N/A,FALSE,"D14";#N/A,#N/A,FALSE,"D15";#N/A,#N/A,FALSE,"D16"}</definedName>
    <definedName name="wrn.deneme." localSheetId="3" hidden="1">{#N/A,#N/A,FALSE,"DIZIPUSU.XLS";#N/A,#N/A,FALSE,"2SAYFA.XLS";#N/A,#N/A,FALSE,"ODECET.XLS";#N/A,#N/A,FALSE,"MAFIFAIC.XLS";#N/A,#N/A,FALSE,"ICMAL.XLS";#N/A,#N/A,FALSE,"TOPRAK.XLS";#N/A,#N/A,FALSE,"SANAT.XLS";#N/A,#N/A,FALSE,"USTYAPI.XLS";#N/A,#N/A,FALSE,"CESITLI.XLS";#N/A,#N/A,FALSE,"IHZARAT.XLS";#N/A,#N/A,FALSE,"ODEDIL.XLS";#N/A,#N/A,FALSE,"YESDEF1.XLS";#N/A,#N/A,FALSE,"TOPYESDE.XLS";#N/A,#N/A,FALSE,"SANYESDE.XLS";#N/A,#N/A,FALSE,"USTYESDE.XLS";#N/A,#N/A,FALSE,"CESYESDE.XLS";#N/A,#N/A,FALSE,"IHZYESDE.XLS";#N/A,#N/A,FALSE,"ALTTEMEL&lt;10";#N/A,#N/A,FALSE,"ALTTEMEL&gt;10";#N/A,#N/A,FALSE,"TEMEL&lt;10";#N/A,#N/A,FALSE,"TEMEL&gt;10"}</definedName>
    <definedName name="wrn.deneme." hidden="1">{#N/A,#N/A,FALSE,"DIZIPUSU.XLS";#N/A,#N/A,FALSE,"2SAYFA.XLS";#N/A,#N/A,FALSE,"ODECET.XLS";#N/A,#N/A,FALSE,"MAFIFAIC.XLS";#N/A,#N/A,FALSE,"ICMAL.XLS";#N/A,#N/A,FALSE,"TOPRAK.XLS";#N/A,#N/A,FALSE,"SANAT.XLS";#N/A,#N/A,FALSE,"USTYAPI.XLS";#N/A,#N/A,FALSE,"CESITLI.XLS";#N/A,#N/A,FALSE,"IHZARAT.XLS";#N/A,#N/A,FALSE,"ODEDIL.XLS";#N/A,#N/A,FALSE,"YESDEF1.XLS";#N/A,#N/A,FALSE,"TOPYESDE.XLS";#N/A,#N/A,FALSE,"SANYESDE.XLS";#N/A,#N/A,FALSE,"USTYESDE.XLS";#N/A,#N/A,FALSE,"CESYESDE.XLS";#N/A,#N/A,FALSE,"IHZYESDE.XLS";#N/A,#N/A,FALSE,"ALTTEMEL&lt;10";#N/A,#N/A,FALSE,"ALTTEMEL&gt;10";#N/A,#N/A,FALSE,"TEMEL&lt;10";#N/A,#N/A,FALSE,"TEMEL&gt;10"}</definedName>
    <definedName name="wrn.dış." localSheetId="3" hidden="1">{#N/A,#N/A,FALSE,"ihz. icmal";#N/A,#N/A,FALSE,"inş_iç_ihz";#N/A,#N/A,FALSE,"inş_iç_tut";#N/A,#N/A,FALSE,"inş_iç_er";#N/A,#N/A,FALSE,"1";#N/A,#N/A,FALSE,"sıh_iç_ihz";#N/A,#N/A,FALSE,"sıh_iç_tut";#N/A,#N/A,FALSE,"sıh_iç_er";#N/A,#N/A,FALSE,"2";#N/A,#N/A,FALSE,"müş_iç_ihz";#N/A,#N/A,FALSE,"müş_iç_tut";#N/A,#N/A,FALSE,"müş_iç_er";#N/A,#N/A,FALSE,"3";#N/A,#N/A,FALSE,"kal_iç_ihz";#N/A,#N/A,FALSE,"kal_iç_tut";#N/A,#N/A,FALSE,"kal_iç_er";#N/A,#N/A,FALSE,"4";#N/A,#N/A,FALSE,"oto_ihz";#N/A,#N/A,FALSE,"oto_tut";#N/A,#N/A,FALSE,"oto_er";#N/A,#N/A,FALSE,"5";#N/A,#N/A,FALSE,"brü_ihz";#N/A,#N/A,FALSE,"brü_tut";#N/A,#N/A,FALSE,"brü_er";#N/A,#N/A,FALSE,"elk_iç_ihz";#N/A,#N/A,FALSE,"elk_iç_tut";#N/A,#N/A,FALSE,"elk_iç_er"}</definedName>
    <definedName name="wrn.dış." hidden="1">{#N/A,#N/A,FALSE,"ihz. icmal";#N/A,#N/A,FALSE,"inş_iç_ihz";#N/A,#N/A,FALSE,"inş_iç_tut";#N/A,#N/A,FALSE,"inş_iç_er";#N/A,#N/A,FALSE,"1";#N/A,#N/A,FALSE,"sıh_iç_ihz";#N/A,#N/A,FALSE,"sıh_iç_tut";#N/A,#N/A,FALSE,"sıh_iç_er";#N/A,#N/A,FALSE,"2";#N/A,#N/A,FALSE,"müş_iç_ihz";#N/A,#N/A,FALSE,"müş_iç_tut";#N/A,#N/A,FALSE,"müş_iç_er";#N/A,#N/A,FALSE,"3";#N/A,#N/A,FALSE,"kal_iç_ihz";#N/A,#N/A,FALSE,"kal_iç_tut";#N/A,#N/A,FALSE,"kal_iç_er";#N/A,#N/A,FALSE,"4";#N/A,#N/A,FALSE,"oto_ihz";#N/A,#N/A,FALSE,"oto_tut";#N/A,#N/A,FALSE,"oto_er";#N/A,#N/A,FALSE,"5";#N/A,#N/A,FALSE,"brü_ihz";#N/A,#N/A,FALSE,"brü_tut";#N/A,#N/A,FALSE,"brü_er";#N/A,#N/A,FALSE,"elk_iç_ihz";#N/A,#N/A,FALSE,"elk_iç_tut";#N/A,#N/A,FALSE,"elk_iç_er"}</definedName>
    <definedName name="wrn.ekinci._.ihzarat." localSheetId="3" hidden="1">{#N/A,#N/A,FALSE,"ihz. icmal";#N/A,#N/A,FALSE,"inş_iç_ihz";#N/A,#N/A,FALSE,"inş_iç_tut";#N/A,#N/A,FALSE,"inş_iç_er";#N/A,#N/A,FALSE,"1";#N/A,#N/A,FALSE,"sıh_iç_ihz";#N/A,#N/A,FALSE,"sıh_iç_tut";#N/A,#N/A,FALSE,"sıh_iç_er";#N/A,#N/A,FALSE,"2";#N/A,#N/A,FALSE,"müş_iç_ihz";#N/A,#N/A,FALSE,"müş_iç_tut";#N/A,#N/A,FALSE,"müş_iç_er";#N/A,#N/A,FALSE,"3";#N/A,#N/A,FALSE,"kal_iç_ihz";#N/A,#N/A,FALSE,"kal_iç_tut";#N/A,#N/A,FALSE,"kal_iç_er";#N/A,#N/A,FALSE,"4";#N/A,#N/A,FALSE,"oto_ihz";#N/A,#N/A,FALSE,"oto_tut";#N/A,#N/A,FALSE,"oto_er";#N/A,#N/A,FALSE,"5";#N/A,#N/A,FALSE,"brü_ihz";#N/A,#N/A,FALSE,"brü_tut";#N/A,#N/A,FALSE,"brü_er";#N/A,#N/A,FALSE,"elk_iç_ihz";#N/A,#N/A,FALSE,"elk_iç_tut";#N/A,#N/A,FALSE,"elk_iç_er"}</definedName>
    <definedName name="wrn.ekinci._.ihzarat." hidden="1">{#N/A,#N/A,FALSE,"ihz. icmal";#N/A,#N/A,FALSE,"inş_iç_ihz";#N/A,#N/A,FALSE,"inş_iç_tut";#N/A,#N/A,FALSE,"inş_iç_er";#N/A,#N/A,FALSE,"1";#N/A,#N/A,FALSE,"sıh_iç_ihz";#N/A,#N/A,FALSE,"sıh_iç_tut";#N/A,#N/A,FALSE,"sıh_iç_er";#N/A,#N/A,FALSE,"2";#N/A,#N/A,FALSE,"müş_iç_ihz";#N/A,#N/A,FALSE,"müş_iç_tut";#N/A,#N/A,FALSE,"müş_iç_er";#N/A,#N/A,FALSE,"3";#N/A,#N/A,FALSE,"kal_iç_ihz";#N/A,#N/A,FALSE,"kal_iç_tut";#N/A,#N/A,FALSE,"kal_iç_er";#N/A,#N/A,FALSE,"4";#N/A,#N/A,FALSE,"oto_ihz";#N/A,#N/A,FALSE,"oto_tut";#N/A,#N/A,FALSE,"oto_er";#N/A,#N/A,FALSE,"5";#N/A,#N/A,FALSE,"brü_ihz";#N/A,#N/A,FALSE,"brü_tut";#N/A,#N/A,FALSE,"brü_er";#N/A,#N/A,FALSE,"elk_iç_ihz";#N/A,#N/A,FALSE,"elk_iç_tut";#N/A,#N/A,FALSE,"elk_iç_er"}</definedName>
    <definedName name="wrn.ekinci._.ihzarat._1" localSheetId="3" hidden="1">{#N/A,#N/A,FALSE,"ihz. icmal";#N/A,#N/A,FALSE,"inş_iç_ihz";#N/A,#N/A,FALSE,"inş_iç_tut";#N/A,#N/A,FALSE,"inş_iç_er";#N/A,#N/A,FALSE,"1";#N/A,#N/A,FALSE,"sıh_iç_ihz";#N/A,#N/A,FALSE,"sıh_iç_tut";#N/A,#N/A,FALSE,"sıh_iç_er";#N/A,#N/A,FALSE,"2";#N/A,#N/A,FALSE,"müş_iç_ihz";#N/A,#N/A,FALSE,"müş_iç_tut";#N/A,#N/A,FALSE,"müş_iç_er";#N/A,#N/A,FALSE,"3";#N/A,#N/A,FALSE,"kal_iç_ihz";#N/A,#N/A,FALSE,"kal_iç_tut";#N/A,#N/A,FALSE,"kal_iç_er";#N/A,#N/A,FALSE,"4";#N/A,#N/A,FALSE,"oto_ihz";#N/A,#N/A,FALSE,"oto_tut";#N/A,#N/A,FALSE,"oto_er";#N/A,#N/A,FALSE,"5";#N/A,#N/A,FALSE,"brü_ihz";#N/A,#N/A,FALSE,"brü_tut";#N/A,#N/A,FALSE,"brü_er";#N/A,#N/A,FALSE,"elk_iç_ihz";#N/A,#N/A,FALSE,"elk_iç_tut";#N/A,#N/A,FALSE,"elk_iç_er"}</definedName>
    <definedName name="wrn.ekinci._.ihzarat._1" hidden="1">{#N/A,#N/A,FALSE,"ihz. icmal";#N/A,#N/A,FALSE,"inş_iç_ihz";#N/A,#N/A,FALSE,"inş_iç_tut";#N/A,#N/A,FALSE,"inş_iç_er";#N/A,#N/A,FALSE,"1";#N/A,#N/A,FALSE,"sıh_iç_ihz";#N/A,#N/A,FALSE,"sıh_iç_tut";#N/A,#N/A,FALSE,"sıh_iç_er";#N/A,#N/A,FALSE,"2";#N/A,#N/A,FALSE,"müş_iç_ihz";#N/A,#N/A,FALSE,"müş_iç_tut";#N/A,#N/A,FALSE,"müş_iç_er";#N/A,#N/A,FALSE,"3";#N/A,#N/A,FALSE,"kal_iç_ihz";#N/A,#N/A,FALSE,"kal_iç_tut";#N/A,#N/A,FALSE,"kal_iç_er";#N/A,#N/A,FALSE,"4";#N/A,#N/A,FALSE,"oto_ihz";#N/A,#N/A,FALSE,"oto_tut";#N/A,#N/A,FALSE,"oto_er";#N/A,#N/A,FALSE,"5";#N/A,#N/A,FALSE,"brü_ihz";#N/A,#N/A,FALSE,"brü_tut";#N/A,#N/A,FALSE,"brü_er";#N/A,#N/A,FALSE,"elk_iç_ihz";#N/A,#N/A,FALSE,"elk_iç_tut";#N/A,#N/A,FALSE,"elk_iç_er"}</definedName>
    <definedName name="wrn.ekinci._.imalat." localSheetId="3" hidden="1">{#N/A,#N/A,TRUE,"ÝCMAL";#N/A,#N/A,TRUE,"22071CO";#N/A,#N/A,TRUE,"22072CO";#N/A,#N/A,TRUE,"22073CO";#N/A,#N/A,TRUE,"22074CK";#N/A,#N/A,TRUE,"22075CO";#N/A,#N/A,TRUE,"22076CO";#N/A,#N/A,TRUE,"22081BO";#N/A,#N/A,TRUE,"22082BO";#N/A,#N/A,TRUE,"22083BO";#N/A,#N/A,TRUE,"22084BO";#N/A,#N/A,TRUE,"22085BO";#N/A,#N/A,TRUE,"22086CO";#N/A,#N/A,TRUE,"22087CK";#N/A,#N/A,TRUE,"22091BO";#N/A,#N/A,TRUE,"22092BO";#N/A,#N/A,TRUE,"22093BO";#N/A,#N/A,TRUE,"22094BO";#N/A,#N/A,TRUE,"22095CO";#N/A,#N/A,TRUE,"22096CK";#N/A,#N/A,TRUE,"22101CO";#N/A,#N/A,TRUE,"22102CO";#N/A,#N/A,TRUE,"22103CO";#N/A,#N/A,TRUE,"22104CO";#N/A,#N/A,TRUE,"22106BK";#N/A,#N/A,TRUE,"22105CO";#N/A,#N/A,TRUE,"22106BK";#N/A,#N/A,TRUE,"22107BO";#N/A,#N/A,TRUE,"22131CK";#N/A,#N/A,TRUE,"22132CO";#N/A,#N/A,TRUE,"22133CO";#N/A,#N/A,TRUE,"22134CO";#N/A,#N/A,TRUE,"22141BK";#N/A,#N/A,TRUE,"22142BO";#N/A,#N/A,TRUE,"22143CO";#N/A,#N/A,TRUE,"22144CO";#N/A,#N/A,TRUE,"22145CO";#N/A,#N/A,TRUE,"22146CO";#N/A,#N/A,TRUE,"22161CO";#N/A,#N/A,TRUE,"22162CO";#N/A,#N/A,TRUE,"22163CK";#N/A,#N/A,TRUE,"22164CK";#N/A,#N/A,TRUE,"22165CO";#N/A,#N/A,TRUE,"22166CO";#N/A,#N/A,TRUE,"22167CO";#N/A,#N/A,TRUE,"22171CK";#N/A,#N/A,TRUE,"22172CO";#N/A,#N/A,TRUE,"22173CO";#N/A,#N/A,TRUE,"22174CK";#N/A,#N/A,TRUE,"22175CO";#N/A,#N/A,TRUE,"22176CO";#N/A,#N/A,TRUE,"22177CO"}</definedName>
    <definedName name="wrn.ekinci._.imalat." hidden="1">{#N/A,#N/A,TRUE,"ÝCMAL";#N/A,#N/A,TRUE,"22071CO";#N/A,#N/A,TRUE,"22072CO";#N/A,#N/A,TRUE,"22073CO";#N/A,#N/A,TRUE,"22074CK";#N/A,#N/A,TRUE,"22075CO";#N/A,#N/A,TRUE,"22076CO";#N/A,#N/A,TRUE,"22081BO";#N/A,#N/A,TRUE,"22082BO";#N/A,#N/A,TRUE,"22083BO";#N/A,#N/A,TRUE,"22084BO";#N/A,#N/A,TRUE,"22085BO";#N/A,#N/A,TRUE,"22086CO";#N/A,#N/A,TRUE,"22087CK";#N/A,#N/A,TRUE,"22091BO";#N/A,#N/A,TRUE,"22092BO";#N/A,#N/A,TRUE,"22093BO";#N/A,#N/A,TRUE,"22094BO";#N/A,#N/A,TRUE,"22095CO";#N/A,#N/A,TRUE,"22096CK";#N/A,#N/A,TRUE,"22101CO";#N/A,#N/A,TRUE,"22102CO";#N/A,#N/A,TRUE,"22103CO";#N/A,#N/A,TRUE,"22104CO";#N/A,#N/A,TRUE,"22106BK";#N/A,#N/A,TRUE,"22105CO";#N/A,#N/A,TRUE,"22106BK";#N/A,#N/A,TRUE,"22107BO";#N/A,#N/A,TRUE,"22131CK";#N/A,#N/A,TRUE,"22132CO";#N/A,#N/A,TRUE,"22133CO";#N/A,#N/A,TRUE,"22134CO";#N/A,#N/A,TRUE,"22141BK";#N/A,#N/A,TRUE,"22142BO";#N/A,#N/A,TRUE,"22143CO";#N/A,#N/A,TRUE,"22144CO";#N/A,#N/A,TRUE,"22145CO";#N/A,#N/A,TRUE,"22146CO";#N/A,#N/A,TRUE,"22161CO";#N/A,#N/A,TRUE,"22162CO";#N/A,#N/A,TRUE,"22163CK";#N/A,#N/A,TRUE,"22164CK";#N/A,#N/A,TRUE,"22165CO";#N/A,#N/A,TRUE,"22166CO";#N/A,#N/A,TRUE,"22167CO";#N/A,#N/A,TRUE,"22171CK";#N/A,#N/A,TRUE,"22172CO";#N/A,#N/A,TRUE,"22173CO";#N/A,#N/A,TRUE,"22174CK";#N/A,#N/A,TRUE,"22175CO";#N/A,#N/A,TRUE,"22176CO";#N/A,#N/A,TRUE,"22177CO"}</definedName>
    <definedName name="wrn.elektrik_iç." localSheetId="3" hidden="1">{#N/A,#N/A,FALSE,"elk_iç_er";#N/A,#N/A,FALSE,"elk_iç_tut";#N/A,#N/A,FALSE,"elk_iç_ihz"}</definedName>
    <definedName name="wrn.elektrik_iç." hidden="1">{#N/A,#N/A,FALSE,"elk_iç_er";#N/A,#N/A,FALSE,"elk_iç_tut";#N/A,#N/A,FALSE,"elk_iç_ihz"}</definedName>
    <definedName name="wrn.Equipment._.List." localSheetId="3" hidden="1">{#N/A,#N/A,TRUE,"COVERSHEET";#N/A,#N/A,TRUE,"LEGEND";#N/A,#N/A,TRUE,"LIST"}</definedName>
    <definedName name="wrn.Equipment._.List." hidden="1">{#N/A,#N/A,TRUE,"COVERSHEET";#N/A,#N/A,TRUE,"LEGEND";#N/A,#N/A,TRUE,"LIST"}</definedName>
    <definedName name="wrn.full." localSheetId="3" hidden="1">{"b",#N/A,FALSE,"B";"C 1",#N/A,FALSE,"C";"C 2",#N/A,FALSE,"C";"D 1",#N/A,FALSE,"D";"d 2",#N/A,FALSE,"D";"D 3",#N/A,FALSE,"D";"E",#N/A,FALSE,"E";"F 1",#N/A,FALSE,"F";"F 2",#N/A,FALSE,"F";"F 3",#N/A,FALSE,"F";"G 1",#N/A,FALSE,"G";"G 2",#N/A,FALSE,"G";"I 1",#N/A,FALSE,"I";"J 1",#N/A,FALSE,"J";"J 2",#N/A,FALSE,"J";"L",#N/A,FALSE,"L";"M 1",#N/A,FALSE,"M";"N",#N/A,FALSE,"N"}</definedName>
    <definedName name="wrn.full." hidden="1">{"b",#N/A,FALSE,"B";"C 1",#N/A,FALSE,"C";"C 2",#N/A,FALSE,"C";"D 1",#N/A,FALSE,"D";"d 2",#N/A,FALSE,"D";"D 3",#N/A,FALSE,"D";"E",#N/A,FALSE,"E";"F 1",#N/A,FALSE,"F";"F 2",#N/A,FALSE,"F";"F 3",#N/A,FALSE,"F";"G 1",#N/A,FALSE,"G";"G 2",#N/A,FALSE,"G";"I 1",#N/A,FALSE,"I";"J 1",#N/A,FALSE,"J";"J 2",#N/A,FALSE,"J";"L",#N/A,FALSE,"L";"M 1",#N/A,FALSE,"M";"N",#N/A,FALSE,"N"}</definedName>
    <definedName name="wrn.gecici." localSheetId="3" hidden="1">{#N/A,#N/A,FALSE,"avans";#N/A,#N/A,FALSE,"teminat_mektubu";#N/A,#N/A,FALSE,"ihz. icmal";#N/A,#N/A,FALSE,"söz_fiy_fark";#N/A,#N/A,FALSE,"kap2";#N/A,#N/A,FALSE,"mal_FF_icm";#N/A,#N/A,FALSE,"kap1"}</definedName>
    <definedName name="wrn.gecici." hidden="1">{#N/A,#N/A,FALSE,"avans";#N/A,#N/A,FALSE,"teminat_mektubu";#N/A,#N/A,FALSE,"ihz. icmal";#N/A,#N/A,FALSE,"söz_fiy_fark";#N/A,#N/A,FALSE,"kap2";#N/A,#N/A,FALSE,"mal_FF_icm";#N/A,#N/A,FALSE,"kap1"}</definedName>
    <definedName name="wrn.GENEL." localSheetId="3" hidden="1">{#N/A,#N/A,FALSE,"kap1";#N/A,#N/A,FALSE,"kap2";#N/A,#N/A,FALSE,"tem_mektubu";#N/A,#N/A,FALSE,"avans";#N/A,#N/A,FALSE,"söz_fiy_fark";#N/A,#N/A,FALSE,"fat_ihz"}</definedName>
    <definedName name="wrn.GENEL." hidden="1">{#N/A,#N/A,FALSE,"kap1";#N/A,#N/A,FALSE,"kap2";#N/A,#N/A,FALSE,"tem_mektubu";#N/A,#N/A,FALSE,"avans";#N/A,#N/A,FALSE,"söz_fiy_fark";#N/A,#N/A,FALSE,"fat_ihz"}</definedName>
    <definedName name="wrn.GENEL._1" localSheetId="3" hidden="1">{#N/A,#N/A,FALSE,"kap1";#N/A,#N/A,FALSE,"kap2";#N/A,#N/A,FALSE,"tem_mektubu";#N/A,#N/A,FALSE,"avans";#N/A,#N/A,FALSE,"söz_fiy_fark";#N/A,#N/A,FALSE,"fat_ihz"}</definedName>
    <definedName name="wrn.GENEL._1" hidden="1">{#N/A,#N/A,FALSE,"kap1";#N/A,#N/A,FALSE,"kap2";#N/A,#N/A,FALSE,"tem_mektubu";#N/A,#N/A,FALSE,"avans";#N/A,#N/A,FALSE,"söz_fiy_fark";#N/A,#N/A,FALSE,"fat_ihz"}</definedName>
    <definedName name="wrn.HAK1." localSheetId="3" hidden="1">{#N/A,#N/A,FALSE,"imalat_kesif";#N/A,#N/A,FALSE,"imalat_seviye";#N/A,#N/A,FALSE,"141";#N/A,#N/A,FALSE,"142";#N/A,#N/A,FALSE,"143";#N/A,#N/A,FALSE,"144";#N/A,#N/A,FALSE,"145";#N/A,#N/A,FALSE,"146";#N/A,#N/A,FALSE,"147";#N/A,#N/A,FALSE,"148";#N/A,#N/A,FALSE,"149"}</definedName>
    <definedName name="wrn.HAK1." hidden="1">{#N/A,#N/A,FALSE,"imalat_kesif";#N/A,#N/A,FALSE,"imalat_seviye";#N/A,#N/A,FALSE,"141";#N/A,#N/A,FALSE,"142";#N/A,#N/A,FALSE,"143";#N/A,#N/A,FALSE,"144";#N/A,#N/A,FALSE,"145";#N/A,#N/A,FALSE,"146";#N/A,#N/A,FALSE,"147";#N/A,#N/A,FALSE,"148";#N/A,#N/A,FALSE,"149"}</definedName>
    <definedName name="wrn.hakkari._.imalat." localSheetId="3" hidden="1">{#N/A,#N/A,FALSE,"HAB1CO";#N/A,#N/A,FALSE,"HAB2CO";#N/A,#N/A,FALSE,"HAB3BO";#N/A,#N/A,FALSE,"HAB4BO";#N/A,#N/A,FALSE,"HAB5BO";#N/A,#N/A,FALSE,"HAB6BK";#N/A,#N/A,FALSE,"HAB7CK";#N/A,#N/A,FALSE,"HAB8CO";#N/A,#N/A,FALSE,"HAC1CO";#N/A,#N/A,FALSE,"HAC2CO";#N/A,#N/A,FALSE,"HAC3CK";#N/A,#N/A,FALSE,"HAC4CO";#N/A,#N/A,FALSE,"HAC5CO";#N/A,#N/A,FALSE,"HAC6CO";#N/A,#N/A,FALSE,"HAC7CO";#N/A,#N/A,FALSE,"HAC8CK";#N/A,#N/A,FALSE,"HAG4BO";#N/A,#N/A,FALSE,"HAG5BK";#N/A,#N/A,FALSE,"HAI1CO";#N/A,#N/A,FALSE,"HAI2CO";#N/A,#N/A,FALSE,"HAI3BO";#N/A,#N/A,FALSE,"HAI4BO";#N/A,#N/A,FALSE,"HAI5CK";#N/A,#N/A,FALSE,"HAI6CO";#N/A,#N/A,FALSE,"ÝCMAL"}</definedName>
    <definedName name="wrn.hakkari._.imalat." hidden="1">{#N/A,#N/A,FALSE,"HAB1CO";#N/A,#N/A,FALSE,"HAB2CO";#N/A,#N/A,FALSE,"HAB3BO";#N/A,#N/A,FALSE,"HAB4BO";#N/A,#N/A,FALSE,"HAB5BO";#N/A,#N/A,FALSE,"HAB6BK";#N/A,#N/A,FALSE,"HAB7CK";#N/A,#N/A,FALSE,"HAB8CO";#N/A,#N/A,FALSE,"HAC1CO";#N/A,#N/A,FALSE,"HAC2CO";#N/A,#N/A,FALSE,"HAC3CK";#N/A,#N/A,FALSE,"HAC4CO";#N/A,#N/A,FALSE,"HAC5CO";#N/A,#N/A,FALSE,"HAC6CO";#N/A,#N/A,FALSE,"HAC7CO";#N/A,#N/A,FALSE,"HAC8CK";#N/A,#N/A,FALSE,"HAG4BO";#N/A,#N/A,FALSE,"HAG5BK";#N/A,#N/A,FALSE,"HAI1CO";#N/A,#N/A,FALSE,"HAI2CO";#N/A,#N/A,FALSE,"HAI3BO";#N/A,#N/A,FALSE,"HAI4BO";#N/A,#N/A,FALSE,"HAI5CK";#N/A,#N/A,FALSE,"HAI6CO";#N/A,#N/A,FALSE,"ÝCMAL"}</definedName>
    <definedName name="wrn.ihzarat." localSheetId="3" hidden="1">{#N/A,#N/A,FALSE,"ihz. icmal";#N/A,#N/A,FALSE,"inş_iç_ihz";#N/A,#N/A,FALSE,"inş_iç_tut";#N/A,#N/A,FALSE,"inş_iç_er";#N/A,#N/A,FALSE,"1";#N/A,#N/A,FALSE,"sıh_iç_ihz";#N/A,#N/A,FALSE,"sıh_iç_tut";#N/A,#N/A,FALSE,"sıh_iç_er";#N/A,#N/A,FALSE,"2";#N/A,#N/A,FALSE,"müş_iç_ihz";#N/A,#N/A,FALSE,"müş_iç_tut";#N/A,#N/A,FALSE,"müş_iç_er";#N/A,#N/A,FALSE,"3";#N/A,#N/A,FALSE,"kal_iç_ihz";#N/A,#N/A,FALSE,"kal_iç_tut";#N/A,#N/A,FALSE,"kal_iç_er";#N/A,#N/A,FALSE,"4";#N/A,#N/A,FALSE,"oto_ihz";#N/A,#N/A,FALSE,"oto_tut";#N/A,#N/A,FALSE,"oto_er";#N/A,#N/A,FALSE,"5";#N/A,#N/A,FALSE,"brü_ihz";#N/A,#N/A,FALSE,"brü_tut";#N/A,#N/A,FALSE,"brü_er";#N/A,#N/A,FALSE,"elk_iç_ihz";#N/A,#N/A,FALSE,"elk_iç_tut";#N/A,#N/A,FALSE,"elk_iç_er"}</definedName>
    <definedName name="wrn.ihzarat." hidden="1">{#N/A,#N/A,FALSE,"ihz. icmal";#N/A,#N/A,FALSE,"inş_iç_ihz";#N/A,#N/A,FALSE,"inş_iç_tut";#N/A,#N/A,FALSE,"inş_iç_er";#N/A,#N/A,FALSE,"1";#N/A,#N/A,FALSE,"sıh_iç_ihz";#N/A,#N/A,FALSE,"sıh_iç_tut";#N/A,#N/A,FALSE,"sıh_iç_er";#N/A,#N/A,FALSE,"2";#N/A,#N/A,FALSE,"müş_iç_ihz";#N/A,#N/A,FALSE,"müş_iç_tut";#N/A,#N/A,FALSE,"müş_iç_er";#N/A,#N/A,FALSE,"3";#N/A,#N/A,FALSE,"kal_iç_ihz";#N/A,#N/A,FALSE,"kal_iç_tut";#N/A,#N/A,FALSE,"kal_iç_er";#N/A,#N/A,FALSE,"4";#N/A,#N/A,FALSE,"oto_ihz";#N/A,#N/A,FALSE,"oto_tut";#N/A,#N/A,FALSE,"oto_er";#N/A,#N/A,FALSE,"5";#N/A,#N/A,FALSE,"brü_ihz";#N/A,#N/A,FALSE,"brü_tut";#N/A,#N/A,FALSE,"brü_er";#N/A,#N/A,FALSE,"elk_iç_ihz";#N/A,#N/A,FALSE,"elk_iç_tut";#N/A,#N/A,FALSE,"elk_iç_er"}</definedName>
    <definedName name="wrn.ILAVE._.BETON." localSheetId="3" hidden="1">{#N/A,#N/A,FALSE,"B216 4-5'-9 (12 Hak)";#N/A,#N/A,FALSE,"B216 8 (12 Hak)";#N/A,#N/A,FALSE,"B214 4 (İlave) ";#N/A,#N/A,FALSE,"B214 3 (İlave) ";#N/A,#N/A,FALSE,"B214 2 (İlave)";#N/A,#N/A,FALSE,"B213 7 (İlave)";#N/A,#N/A,FALSE,"B210 12 (İlave)";#N/A,#N/A,FALSE,"B209 11 (İlave) ";#N/A,#N/A,FALSE,"B209 12 (İlave) ";#N/A,#N/A,FALSE,"B209 10 (İlave) ";#N/A,#N/A,FALSE,"B209 9 (İlave)";#N/A,#N/A,FALSE,"B209 6 (İlave) ";#N/A,#N/A,FALSE,"B207 (Ek)";#N/A,#N/A,FALSE,"B210 10 (İlave)"}</definedName>
    <definedName name="wrn.ILAVE._.BETON." hidden="1">{#N/A,#N/A,FALSE,"B216 4-5'-9 (12 Hak)";#N/A,#N/A,FALSE,"B216 8 (12 Hak)";#N/A,#N/A,FALSE,"B214 4 (İlave) ";#N/A,#N/A,FALSE,"B214 3 (İlave) ";#N/A,#N/A,FALSE,"B214 2 (İlave)";#N/A,#N/A,FALSE,"B213 7 (İlave)";#N/A,#N/A,FALSE,"B210 12 (İlave)";#N/A,#N/A,FALSE,"B209 11 (İlave) ";#N/A,#N/A,FALSE,"B209 12 (İlave) ";#N/A,#N/A,FALSE,"B209 10 (İlave) ";#N/A,#N/A,FALSE,"B209 9 (İlave)";#N/A,#N/A,FALSE,"B209 6 (İlave) ";#N/A,#N/A,FALSE,"B207 (Ek)";#N/A,#N/A,FALSE,"B210 10 (İlave)"}</definedName>
    <definedName name="wrn.ILAVE._.BETON._1" localSheetId="3" hidden="1">{#N/A,#N/A,FALSE,"B216 4-5'-9 (12 Hak)";#N/A,#N/A,FALSE,"B216 8 (12 Hak)";#N/A,#N/A,FALSE,"B214 4 (İlave) ";#N/A,#N/A,FALSE,"B214 3 (İlave) ";#N/A,#N/A,FALSE,"B214 2 (İlave)";#N/A,#N/A,FALSE,"B213 7 (İlave)";#N/A,#N/A,FALSE,"B210 12 (İlave)";#N/A,#N/A,FALSE,"B209 11 (İlave) ";#N/A,#N/A,FALSE,"B209 12 (İlave) ";#N/A,#N/A,FALSE,"B209 10 (İlave) ";#N/A,#N/A,FALSE,"B209 9 (İlave)";#N/A,#N/A,FALSE,"B209 6 (İlave) ";#N/A,#N/A,FALSE,"B207 (Ek)";#N/A,#N/A,FALSE,"B210 10 (İlave)"}</definedName>
    <definedName name="wrn.ILAVE._.BETON._1" hidden="1">{#N/A,#N/A,FALSE,"B216 4-5'-9 (12 Hak)";#N/A,#N/A,FALSE,"B216 8 (12 Hak)";#N/A,#N/A,FALSE,"B214 4 (İlave) ";#N/A,#N/A,FALSE,"B214 3 (İlave) ";#N/A,#N/A,FALSE,"B214 2 (İlave)";#N/A,#N/A,FALSE,"B213 7 (İlave)";#N/A,#N/A,FALSE,"B210 12 (İlave)";#N/A,#N/A,FALSE,"B209 11 (İlave) ";#N/A,#N/A,FALSE,"B209 12 (İlave) ";#N/A,#N/A,FALSE,"B209 10 (İlave) ";#N/A,#N/A,FALSE,"B209 9 (İlave)";#N/A,#N/A,FALSE,"B209 6 (İlave) ";#N/A,#N/A,FALSE,"B207 (Ek)";#N/A,#N/A,FALSE,"B210 10 (İlave)"}</definedName>
    <definedName name="wrn.ILAVE._.DEMIR." localSheetId="3" hidden="1">{#N/A,#N/A,FALSE,"D216 4-5'-9 (12 Hak)";#N/A,#N/A,FALSE,"D216 8 (12 Hak)";#N/A,#N/A,FALSE,"D214 4 (İlave) ";#N/A,#N/A,FALSE,"D214 3 (İlave) ";#N/A,#N/A,FALSE,"D214 2 (İlave)";#N/A,#N/A,FALSE,"D213 7 (İlave)";#N/A,#N/A,FALSE,"D 210 12 (İlave)";#N/A,#N/A,FALSE,"D209 11 (İlave) ";#N/A,#N/A,FALSE,"D209 12 (İlave)  ";#N/A,#N/A,FALSE,"D209 10 (İlave) ";#N/A,#N/A,FALSE,"D209 9 (İlave)";#N/A,#N/A,FALSE,"D209 6 (İlave) ";#N/A,#N/A,FALSE,"D207 (Ek)";#N/A,#N/A,FALSE,"D 210 10 (İlave)"}</definedName>
    <definedName name="wrn.ILAVE._.DEMIR." hidden="1">{#N/A,#N/A,FALSE,"D216 4-5'-9 (12 Hak)";#N/A,#N/A,FALSE,"D216 8 (12 Hak)";#N/A,#N/A,FALSE,"D214 4 (İlave) ";#N/A,#N/A,FALSE,"D214 3 (İlave) ";#N/A,#N/A,FALSE,"D214 2 (İlave)";#N/A,#N/A,FALSE,"D213 7 (İlave)";#N/A,#N/A,FALSE,"D 210 12 (İlave)";#N/A,#N/A,FALSE,"D209 11 (İlave) ";#N/A,#N/A,FALSE,"D209 12 (İlave)  ";#N/A,#N/A,FALSE,"D209 10 (İlave) ";#N/A,#N/A,FALSE,"D209 9 (İlave)";#N/A,#N/A,FALSE,"D209 6 (İlave) ";#N/A,#N/A,FALSE,"D207 (Ek)";#N/A,#N/A,FALSE,"D 210 10 (İlave)"}</definedName>
    <definedName name="wrn.ILAVE._.DEMIR._1" localSheetId="3" hidden="1">{#N/A,#N/A,FALSE,"D216 4-5'-9 (12 Hak)";#N/A,#N/A,FALSE,"D216 8 (12 Hak)";#N/A,#N/A,FALSE,"D214 4 (İlave) ";#N/A,#N/A,FALSE,"D214 3 (İlave) ";#N/A,#N/A,FALSE,"D214 2 (İlave)";#N/A,#N/A,FALSE,"D213 7 (İlave)";#N/A,#N/A,FALSE,"D 210 12 (İlave)";#N/A,#N/A,FALSE,"D209 11 (İlave) ";#N/A,#N/A,FALSE,"D209 12 (İlave)  ";#N/A,#N/A,FALSE,"D209 10 (İlave) ";#N/A,#N/A,FALSE,"D209 9 (İlave)";#N/A,#N/A,FALSE,"D209 6 (İlave) ";#N/A,#N/A,FALSE,"D207 (Ek)";#N/A,#N/A,FALSE,"D 210 10 (İlave)"}</definedName>
    <definedName name="wrn.ILAVE._.DEMIR._1" hidden="1">{#N/A,#N/A,FALSE,"D216 4-5'-9 (12 Hak)";#N/A,#N/A,FALSE,"D216 8 (12 Hak)";#N/A,#N/A,FALSE,"D214 4 (İlave) ";#N/A,#N/A,FALSE,"D214 3 (İlave) ";#N/A,#N/A,FALSE,"D214 2 (İlave)";#N/A,#N/A,FALSE,"D213 7 (İlave)";#N/A,#N/A,FALSE,"D 210 12 (İlave)";#N/A,#N/A,FALSE,"D209 11 (İlave) ";#N/A,#N/A,FALSE,"D209 12 (İlave)  ";#N/A,#N/A,FALSE,"D209 10 (İlave) ";#N/A,#N/A,FALSE,"D209 9 (İlave)";#N/A,#N/A,FALSE,"D209 6 (İlave) ";#N/A,#N/A,FALSE,"D207 (Ek)";#N/A,#N/A,FALSE,"D 210 10 (İlave)"}</definedName>
    <definedName name="wrn.INS." localSheetId="3" hidden="1">{#N/A,#N/A,FALSE,"kap2";#N/A,#N/A,FALSE,"tem_mektubu";#N/A,#N/A,FALSE,"söz_fiy_fark";#N/A,#N/A,FALSE,"fat_ihz";#N/A,#N/A,FALSE,"ihz. icmal";#N/A,#N/A,FALSE,"inş_iç_ihz";#N/A,#N/A,FALSE,"inş_iç_tut";#N/A,#N/A,FALSE,"inş_iç_er"}</definedName>
    <definedName name="wrn.INS." hidden="1">{#N/A,#N/A,FALSE,"kap2";#N/A,#N/A,FALSE,"tem_mektubu";#N/A,#N/A,FALSE,"söz_fiy_fark";#N/A,#N/A,FALSE,"fat_ihz";#N/A,#N/A,FALSE,"ihz. icmal";#N/A,#N/A,FALSE,"inş_iç_ihz";#N/A,#N/A,FALSE,"inş_iç_tut";#N/A,#N/A,FALSE,"inş_iç_er"}</definedName>
    <definedName name="wrn.INS._1" localSheetId="3" hidden="1">{#N/A,#N/A,FALSE,"kap2";#N/A,#N/A,FALSE,"tem_mektubu";#N/A,#N/A,FALSE,"söz_fiy_fark";#N/A,#N/A,FALSE,"fat_ihz";#N/A,#N/A,FALSE,"ihz. icmal";#N/A,#N/A,FALSE,"inş_iç_ihz";#N/A,#N/A,FALSE,"inş_iç_tut";#N/A,#N/A,FALSE,"inş_iç_er"}</definedName>
    <definedName name="wrn.INS._1" hidden="1">{#N/A,#N/A,FALSE,"kap2";#N/A,#N/A,FALSE,"tem_mektubu";#N/A,#N/A,FALSE,"söz_fiy_fark";#N/A,#N/A,FALSE,"fat_ihz";#N/A,#N/A,FALSE,"ihz. icmal";#N/A,#N/A,FALSE,"inş_iç_ihz";#N/A,#N/A,FALSE,"inş_iç_tut";#N/A,#N/A,FALSE,"inş_iç_er"}</definedName>
    <definedName name="wrn.insaat_ic." localSheetId="3" hidden="1">{#N/A,#N/A,FALSE,"inş_iç_ihz";#N/A,#N/A,FALSE,"inş_iç_er";#N/A,#N/A,FALSE,"inş_iç_tut"}</definedName>
    <definedName name="wrn.insaat_ic." hidden="1">{#N/A,#N/A,FALSE,"inş_iç_ihz";#N/A,#N/A,FALSE,"inş_iç_er";#N/A,#N/A,FALSE,"inş_iç_tut"}</definedName>
    <definedName name="wrn.istinat." localSheetId="3" hidden="1">{#N/A,#N/A,FALSE,"NF_S1";#N/A,#N/A,FALSE,"İ_100M";#N/A,#N/A,FALSE,"İ_150M";#N/A,#N/A,FALSE,"İ_200M"}</definedName>
    <definedName name="wrn.istinat." hidden="1">{#N/A,#N/A,FALSE,"NF_S1";#N/A,#N/A,FALSE,"İ_100M";#N/A,#N/A,FALSE,"İ_150M";#N/A,#N/A,FALSE,"İ_200M"}</definedName>
    <definedName name="wrn.istinat._1" localSheetId="3" hidden="1">{#N/A,#N/A,FALSE,"NF_S1";#N/A,#N/A,FALSE,"İ_100M";#N/A,#N/A,FALSE,"İ_150M";#N/A,#N/A,FALSE,"İ_200M"}</definedName>
    <definedName name="wrn.istinat._1" hidden="1">{#N/A,#N/A,FALSE,"NF_S1";#N/A,#N/A,FALSE,"İ_100M";#N/A,#N/A,FALSE,"İ_150M";#N/A,#N/A,FALSE,"İ_200M"}</definedName>
    <definedName name="wrn.KAL._.BÜR." localSheetId="3" hidden="1">{#N/A,#N/A,FALSE,"3";#N/A,#N/A,FALSE,"kal_iç_ihz";#N/A,#N/A,FALSE,"kal_iç_er";#N/A,#N/A,FALSE,"kal_iç_tut";#N/A,#N/A,FALSE,"5";#N/A,#N/A,FALSE,"brü_ihz";#N/A,#N/A,FALSE,"brü_er";#N/A,#N/A,FALSE,"brü_tut"}</definedName>
    <definedName name="wrn.KAL._.BÜR." hidden="1">{#N/A,#N/A,FALSE,"3";#N/A,#N/A,FALSE,"kal_iç_ihz";#N/A,#N/A,FALSE,"kal_iç_er";#N/A,#N/A,FALSE,"kal_iç_tut";#N/A,#N/A,FALSE,"5";#N/A,#N/A,FALSE,"brü_ihz";#N/A,#N/A,FALSE,"brü_er";#N/A,#N/A,FALSE,"brü_tut"}</definedName>
    <definedName name="wrn.KAL._.BÜR._1" localSheetId="3" hidden="1">{#N/A,#N/A,FALSE,"3";#N/A,#N/A,FALSE,"kal_iç_ihz";#N/A,#N/A,FALSE,"kal_iç_er";#N/A,#N/A,FALSE,"kal_iç_tut";#N/A,#N/A,FALSE,"5";#N/A,#N/A,FALSE,"brü_ihz";#N/A,#N/A,FALSE,"brü_er";#N/A,#N/A,FALSE,"brü_tut"}</definedName>
    <definedName name="wrn.KAL._.BÜR._1" hidden="1">{#N/A,#N/A,FALSE,"3";#N/A,#N/A,FALSE,"kal_iç_ihz";#N/A,#N/A,FALSE,"kal_iç_er";#N/A,#N/A,FALSE,"kal_iç_tut";#N/A,#N/A,FALSE,"5";#N/A,#N/A,FALSE,"brü_ihz";#N/A,#N/A,FALSE,"brü_er";#N/A,#N/A,FALSE,"brü_tut"}</definedName>
    <definedName name="wrn.kalorifer_ic." localSheetId="3" hidden="1">{#N/A,#N/A,FALSE,"kal_iç_ihz";#N/A,#N/A,FALSE,"kal_iç_er";#N/A,#N/A,FALSE,"kal_iç_tut"}</definedName>
    <definedName name="wrn.kalorifer_ic." hidden="1">{#N/A,#N/A,FALSE,"kal_iç_ihz";#N/A,#N/A,FALSE,"kal_iç_er";#N/A,#N/A,FALSE,"kal_iç_tut"}</definedName>
    <definedName name="wrn.kocoglu._.ihzarat." localSheetId="3" hidden="1">{#N/A,#N/A,FALSE,"kap1";#N/A,#N/A,FALSE,"kap2";#N/A,#N/A,FALSE,"avans";#N/A,#N/A,FALSE,"teminat_mektubu";#N/A,#N/A,FALSE,"söz_fiy_fark";#N/A,#N/A,FALSE,"fat_ihz";#N/A,#N/A,FALSE,"mal_FF_icm";#N/A,#N/A,FALSE,"çim_fiy_farkı";#N/A,#N/A,FALSE,"ihz. icmal";#N/A,#N/A,FALSE,"inş_iç_ihz";#N/A,#N/A,FALSE,"inş_iç_er";#N/A,#N/A,FALSE,"inş_iç_tut";#N/A,#N/A,FALSE,"inş_dış_ihz";#N/A,#N/A,FALSE,"inş_dış_tut";#N/A,#N/A,FALSE,"sıh_iç_ihz";#N/A,#N/A,FALSE,"sıh_iç_er";#N/A,#N/A,FALSE,"sıh_iç_tut";#N/A,#N/A,FALSE,"müş_iç_ihz";#N/A,#N/A,FALSE,"müş_iç_er";#N/A,#N/A,FALSE,"müş_iç_tut";#N/A,#N/A,FALSE,"kal_iç_ihz";#N/A,#N/A,FALSE,"kal_iç_er";#N/A,#N/A,FALSE,"kal_iç_tut";#N/A,#N/A,FALSE,"kal_dış_ihz";#N/A,#N/A,FALSE,"kal_dış_tut";#N/A,#N/A,FALSE,"elk_iç_ihz";#N/A,#N/A,FALSE,"elk_iç_er";#N/A,#N/A,FALSE,"elk_iç_tut"}</definedName>
    <definedName name="wrn.kocoglu._.ihzarat." hidden="1">{#N/A,#N/A,FALSE,"kap1";#N/A,#N/A,FALSE,"kap2";#N/A,#N/A,FALSE,"avans";#N/A,#N/A,FALSE,"teminat_mektubu";#N/A,#N/A,FALSE,"söz_fiy_fark";#N/A,#N/A,FALSE,"fat_ihz";#N/A,#N/A,FALSE,"mal_FF_icm";#N/A,#N/A,FALSE,"çim_fiy_farkı";#N/A,#N/A,FALSE,"ihz. icmal";#N/A,#N/A,FALSE,"inş_iç_ihz";#N/A,#N/A,FALSE,"inş_iç_er";#N/A,#N/A,FALSE,"inş_iç_tut";#N/A,#N/A,FALSE,"inş_dış_ihz";#N/A,#N/A,FALSE,"inş_dış_tut";#N/A,#N/A,FALSE,"sıh_iç_ihz";#N/A,#N/A,FALSE,"sıh_iç_er";#N/A,#N/A,FALSE,"sıh_iç_tut";#N/A,#N/A,FALSE,"müş_iç_ihz";#N/A,#N/A,FALSE,"müş_iç_er";#N/A,#N/A,FALSE,"müş_iç_tut";#N/A,#N/A,FALSE,"kal_iç_ihz";#N/A,#N/A,FALSE,"kal_iç_er";#N/A,#N/A,FALSE,"kal_iç_tut";#N/A,#N/A,FALSE,"kal_dış_ihz";#N/A,#N/A,FALSE,"kal_dış_tut";#N/A,#N/A,FALSE,"elk_iç_ihz";#N/A,#N/A,FALSE,"elk_iç_er";#N/A,#N/A,FALSE,"elk_iç_tut"}</definedName>
    <definedName name="wrn.kocoglu._.imalat." localSheetId="3" hidden="1">{#N/A,#N/A,TRUE,"ÝCMAL";#N/A,#N/A,TRUE,"32361BO";#N/A,#N/A,TRUE,"32362BO";#N/A,#N/A,TRUE,"32363BO";#N/A,#N/A,TRUE,"32364BK";#N/A,#N/A,TRUE,"32365BO";#N/A,#N/A,TRUE,"32366BO";#N/A,#N/A,TRUE,"32367BK";#N/A,#N/A,TRUE,"32368BO";#N/A,#N/A,TRUE,"32371CO";#N/A,#N/A,TRUE,"32372CO";#N/A,#N/A,TRUE,"32373CO";#N/A,#N/A,TRUE,"32374CO";#N/A,#N/A,TRUE,"32375CO";#N/A,#N/A,TRUE,"32376CK";#N/A,#N/A,TRUE,"32381BO";#N/A,#N/A,TRUE,"32382BO";#N/A,#N/A,TRUE,"32383BO";#N/A,#N/A,TRUE,"32384BO";#N/A,#N/A,TRUE,"32385BO";#N/A,#N/A,TRUE,"32386BK";#N/A,#N/A,TRUE,"32391BO";#N/A,#N/A,TRUE,"32392BO";#N/A,#N/A,TRUE,"32393BO";#N/A,#N/A,TRUE,"32394BO";#N/A,#N/A,TRUE,"32395BK";#N/A,#N/A,TRUE,"32441CO";#N/A,#N/A,TRUE,"32442CO";#N/A,#N/A,TRUE,"32443CO";#N/A,#N/A,TRUE,"32444CO";#N/A,#N/A,TRUE,"32445CK";#N/A,#N/A,TRUE,"32451BO";#N/A,#N/A,TRUE,"32452BO";#N/A,#N/A,TRUE,"32453CO";#N/A,#N/A,TRUE,"32454CO";#N/A,#N/A,TRUE,"32455CK";#N/A,#N/A,TRUE,"32461CO";#N/A,#N/A,TRUE,"32462CO";#N/A,#N/A,TRUE,"32463CO";#N/A,#N/A,TRUE,"32464CO";#N/A,#N/A,TRUE,"32465CK"}</definedName>
    <definedName name="wrn.kocoglu._.imalat." hidden="1">{#N/A,#N/A,TRUE,"ÝCMAL";#N/A,#N/A,TRUE,"32361BO";#N/A,#N/A,TRUE,"32362BO";#N/A,#N/A,TRUE,"32363BO";#N/A,#N/A,TRUE,"32364BK";#N/A,#N/A,TRUE,"32365BO";#N/A,#N/A,TRUE,"32366BO";#N/A,#N/A,TRUE,"32367BK";#N/A,#N/A,TRUE,"32368BO";#N/A,#N/A,TRUE,"32371CO";#N/A,#N/A,TRUE,"32372CO";#N/A,#N/A,TRUE,"32373CO";#N/A,#N/A,TRUE,"32374CO";#N/A,#N/A,TRUE,"32375CO";#N/A,#N/A,TRUE,"32376CK";#N/A,#N/A,TRUE,"32381BO";#N/A,#N/A,TRUE,"32382BO";#N/A,#N/A,TRUE,"32383BO";#N/A,#N/A,TRUE,"32384BO";#N/A,#N/A,TRUE,"32385BO";#N/A,#N/A,TRUE,"32386BK";#N/A,#N/A,TRUE,"32391BO";#N/A,#N/A,TRUE,"32392BO";#N/A,#N/A,TRUE,"32393BO";#N/A,#N/A,TRUE,"32394BO";#N/A,#N/A,TRUE,"32395BK";#N/A,#N/A,TRUE,"32441CO";#N/A,#N/A,TRUE,"32442CO";#N/A,#N/A,TRUE,"32443CO";#N/A,#N/A,TRUE,"32444CO";#N/A,#N/A,TRUE,"32445CK";#N/A,#N/A,TRUE,"32451BO";#N/A,#N/A,TRUE,"32452BO";#N/A,#N/A,TRUE,"32453CO";#N/A,#N/A,TRUE,"32454CO";#N/A,#N/A,TRUE,"32455CK";#N/A,#N/A,TRUE,"32461CO";#N/A,#N/A,TRUE,"32462CO";#N/A,#N/A,TRUE,"32463CO";#N/A,#N/A,TRUE,"32464CO";#N/A,#N/A,TRUE,"32465CK"}</definedName>
    <definedName name="wrn.LISTE_CONSO." hidden="1">{#N/A,#N/A,FALSE,"PageGarde";#N/A,#N/A,FALSE,"Notes";#N/A,#N/A,FALSE,"LCE"}</definedName>
    <definedName name="wrn.maff_report." localSheetId="3" hidden="1">{#N/A,#N/A,FALSE,"maff_h1";#N/A,#N/A,FALSE,"maff_h2";#N/A,#N/A,FALSE,"maff_h3";#N/A,#N/A,FALSE,"maff_h4";#N/A,#N/A,FALSE,"maff_h5";#N/A,#N/A,FALSE,"maff_h6";#N/A,#N/A,FALSE,"maff_h7"}</definedName>
    <definedName name="wrn.maff_report." hidden="1">{#N/A,#N/A,FALSE,"maff_h1";#N/A,#N/A,FALSE,"maff_h2";#N/A,#N/A,FALSE,"maff_h3";#N/A,#N/A,FALSE,"maff_h4";#N/A,#N/A,FALSE,"maff_h5";#N/A,#N/A,FALSE,"maff_h6";#N/A,#N/A,FALSE,"maff_h7"}</definedName>
    <definedName name="wrn.malzeme._.fiyat._.farkı." localSheetId="3" hidden="1">{#N/A,#N/A,FALSE,"M.F.F.İCMALİ";#N/A,#N/A,FALSE,"MFF HESAP TAB";#N/A,#N/A,FALSE,"AKARY.MİK";#N/A,#N/A,FALSE,"AKARY.TUTANAĞI";#N/A,#N/A,FALSE,"MOTORİN";#N/A,#N/A,FALSE," TAB ÇİM PÇ425";#N/A,#N/A,FALSE,"ÇİM. MİK PÇ-425";#N/A,#N/A,FALSE,"DEMİR";#N/A,#N/A,FALSE," TAB demir"}</definedName>
    <definedName name="wrn.malzeme._.fiyat._.farkı." hidden="1">{#N/A,#N/A,FALSE,"M.F.F.İCMALİ";#N/A,#N/A,FALSE,"MFF HESAP TAB";#N/A,#N/A,FALSE,"AKARY.MİK";#N/A,#N/A,FALSE,"AKARY.TUTANAĞI";#N/A,#N/A,FALSE,"MOTORİN";#N/A,#N/A,FALSE," TAB ÇİM PÇ425";#N/A,#N/A,FALSE,"ÇİM. MİK PÇ-425";#N/A,#N/A,FALSE,"DEMİR";#N/A,#N/A,FALSE," TAB demir"}</definedName>
    <definedName name="wrn.Manpower._.Details." localSheetId="3" hidden="1">{"Total Indirect Manpower",#N/A,FALSE,"J";"Total Direct Manpower",#N/A,FALSE,"J";"Direct Structural Manpower",#N/A,FALSE,"J";"Direct Mechanical Manpower",#N/A,FALSE,"J";"Direct Piping Manpower",#N/A,FALSE,"J";"Direct Tanks Manpower",#N/A,FALSE,"J";"Direct ElecInstrSS Manpower",#N/A,FALSE,"J"}</definedName>
    <definedName name="wrn.Manpower._.Details." hidden="1">{"Total Indirect Manpower",#N/A,FALSE,"J";"Total Direct Manpower",#N/A,FALSE,"J";"Direct Structural Manpower",#N/A,FALSE,"J";"Direct Mechanical Manpower",#N/A,FALSE,"J";"Direct Piping Manpower",#N/A,FALSE,"J";"Direct Tanks Manpower",#N/A,FALSE,"J";"Direct ElecInstrSS Manpower",#N/A,FALSE,"J"}</definedName>
    <definedName name="wrn.MKESIF." localSheetId="3" hidden="1">{#N/A,#N/A,TRUE,"İcmal1";#N/A,#N/A,TRUE,"icmal2";#N/A,#N/A,TRUE,"1";#N/A,#N/A,TRUE,"2";#N/A,#N/A,TRUE,"3";#N/A,#N/A,TRUE,"4";#N/A,#N/A,TRUE,"5";#N/A,#N/A,TRUE,"6";#N/A,#N/A,TRUE,"7";#N/A,#N/A,TRUE,"8";#N/A,#N/A,TRUE,"9";#N/A,#N/A,TRUE,"10";#N/A,#N/A,TRUE,"11";#N/A,#N/A,TRUE,"12";#N/A,#N/A,TRUE,"13";#N/A,#N/A,TRUE,"14";#N/A,#N/A,TRUE,"15";#N/A,#N/A,TRUE,"16";#N/A,#N/A,TRUE,"17"}</definedName>
    <definedName name="wrn.MKESIF." hidden="1">{#N/A,#N/A,TRUE,"İcmal1";#N/A,#N/A,TRUE,"icmal2";#N/A,#N/A,TRUE,"1";#N/A,#N/A,TRUE,"2";#N/A,#N/A,TRUE,"3";#N/A,#N/A,TRUE,"4";#N/A,#N/A,TRUE,"5";#N/A,#N/A,TRUE,"6";#N/A,#N/A,TRUE,"7";#N/A,#N/A,TRUE,"8";#N/A,#N/A,TRUE,"9";#N/A,#N/A,TRUE,"10";#N/A,#N/A,TRUE,"11";#N/A,#N/A,TRUE,"12";#N/A,#N/A,TRUE,"13";#N/A,#N/A,TRUE,"14";#N/A,#N/A,TRUE,"15";#N/A,#N/A,TRUE,"16";#N/A,#N/A,TRUE,"17"}</definedName>
    <definedName name="wrn.MKESIF._1" localSheetId="3" hidden="1">{#N/A,#N/A,TRUE,"İcmal1";#N/A,#N/A,TRUE,"icmal2";#N/A,#N/A,TRUE,"1";#N/A,#N/A,TRUE,"2";#N/A,#N/A,TRUE,"3";#N/A,#N/A,TRUE,"4";#N/A,#N/A,TRUE,"5";#N/A,#N/A,TRUE,"6";#N/A,#N/A,TRUE,"7";#N/A,#N/A,TRUE,"8";#N/A,#N/A,TRUE,"9";#N/A,#N/A,TRUE,"10";#N/A,#N/A,TRUE,"11";#N/A,#N/A,TRUE,"12";#N/A,#N/A,TRUE,"13";#N/A,#N/A,TRUE,"14";#N/A,#N/A,TRUE,"15";#N/A,#N/A,TRUE,"16";#N/A,#N/A,TRUE,"17"}</definedName>
    <definedName name="wrn.MKESIF._1" hidden="1">{#N/A,#N/A,TRUE,"İcmal1";#N/A,#N/A,TRUE,"icmal2";#N/A,#N/A,TRUE,"1";#N/A,#N/A,TRUE,"2";#N/A,#N/A,TRUE,"3";#N/A,#N/A,TRUE,"4";#N/A,#N/A,TRUE,"5";#N/A,#N/A,TRUE,"6";#N/A,#N/A,TRUE,"7";#N/A,#N/A,TRUE,"8";#N/A,#N/A,TRUE,"9";#N/A,#N/A,TRUE,"10";#N/A,#N/A,TRUE,"11";#N/A,#N/A,TRUE,"12";#N/A,#N/A,TRUE,"13";#N/A,#N/A,TRUE,"14";#N/A,#N/A,TRUE,"15";#N/A,#N/A,TRUE,"16";#N/A,#N/A,TRUE,"17"}</definedName>
    <definedName name="wrn.mukayese." localSheetId="3" hidden="1">{#N/A,#N/A,FALSE,"İcmal1";#N/A,#N/A,FALSE,"icmal2";#N/A,#N/A,FALSE,"1";#N/A,#N/A,FALSE,"2";#N/A,#N/A,FALSE,"3";#N/A,#N/A,FALSE,"4";#N/A,#N/A,FALSE,"5";#N/A,#N/A,FALSE,"6";#N/A,#N/A,FALSE,"7";#N/A,#N/A,FALSE,"8";#N/A,#N/A,FALSE,"9";#N/A,#N/A,FALSE,"10";#N/A,#N/A,FALSE,"11";#N/A,#N/A,FALSE,"12";#N/A,#N/A,FALSE,"13";#N/A,#N/A,FALSE,"14";#N/A,#N/A,FALSE,"15";#N/A,#N/A,FALSE,"16";#N/A,#N/A,FALSE,"17"}</definedName>
    <definedName name="wrn.mukayese." hidden="1">{#N/A,#N/A,FALSE,"İcmal1";#N/A,#N/A,FALSE,"icmal2";#N/A,#N/A,FALSE,"1";#N/A,#N/A,FALSE,"2";#N/A,#N/A,FALSE,"3";#N/A,#N/A,FALSE,"4";#N/A,#N/A,FALSE,"5";#N/A,#N/A,FALSE,"6";#N/A,#N/A,FALSE,"7";#N/A,#N/A,FALSE,"8";#N/A,#N/A,FALSE,"9";#N/A,#N/A,FALSE,"10";#N/A,#N/A,FALSE,"11";#N/A,#N/A,FALSE,"12";#N/A,#N/A,FALSE,"13";#N/A,#N/A,FALSE,"14";#N/A,#N/A,FALSE,"15";#N/A,#N/A,FALSE,"16";#N/A,#N/A,FALSE,"17"}</definedName>
    <definedName name="wrn.mukayese._1" localSheetId="3" hidden="1">{#N/A,#N/A,FALSE,"İcmal1";#N/A,#N/A,FALSE,"icmal2";#N/A,#N/A,FALSE,"1";#N/A,#N/A,FALSE,"2";#N/A,#N/A,FALSE,"3";#N/A,#N/A,FALSE,"4";#N/A,#N/A,FALSE,"5";#N/A,#N/A,FALSE,"6";#N/A,#N/A,FALSE,"7";#N/A,#N/A,FALSE,"8";#N/A,#N/A,FALSE,"9";#N/A,#N/A,FALSE,"10";#N/A,#N/A,FALSE,"11";#N/A,#N/A,FALSE,"12";#N/A,#N/A,FALSE,"13";#N/A,#N/A,FALSE,"14";#N/A,#N/A,FALSE,"15";#N/A,#N/A,FALSE,"16";#N/A,#N/A,FALSE,"17"}</definedName>
    <definedName name="wrn.mukayese._1" hidden="1">{#N/A,#N/A,FALSE,"İcmal1";#N/A,#N/A,FALSE,"icmal2";#N/A,#N/A,FALSE,"1";#N/A,#N/A,FALSE,"2";#N/A,#N/A,FALSE,"3";#N/A,#N/A,FALSE,"4";#N/A,#N/A,FALSE,"5";#N/A,#N/A,FALSE,"6";#N/A,#N/A,FALSE,"7";#N/A,#N/A,FALSE,"8";#N/A,#N/A,FALSE,"9";#N/A,#N/A,FALSE,"10";#N/A,#N/A,FALSE,"11";#N/A,#N/A,FALSE,"12";#N/A,#N/A,FALSE,"13";#N/A,#N/A,FALSE,"14";#N/A,#N/A,FALSE,"15";#N/A,#N/A,FALSE,"16";#N/A,#N/A,FALSE,"17"}</definedName>
    <definedName name="wrn.müşterek." localSheetId="3" hidden="1">{#N/A,#N/A,FALSE,"söz_fiy_fark";#N/A,#N/A,FALSE,"ihz. icmal";#N/A,#N/A,FALSE,"1";#N/A,#N/A,FALSE,"sıh_iç_ihz";#N/A,#N/A,FALSE,"sıh_iç_tut";#N/A,#N/A,FALSE,"sıh_iç_er";#N/A,#N/A,FALSE,"2";#N/A,#N/A,FALSE,"müş_iç_ihz";#N/A,#N/A,FALSE,"müş_iç_tut";#N/A,#N/A,FALSE,"müş_iç_er";#N/A,#N/A,FALSE,"3";#N/A,#N/A,FALSE,"kal_iç_ihz";#N/A,#N/A,FALSE,"kal_iç_tut";#N/A,#N/A,FALSE,"kal_iç_er";#N/A,#N/A,FALSE,"4";#N/A,#N/A,FALSE,"oto_ihz";#N/A,#N/A,FALSE,"oto_tut";#N/A,#N/A,FALSE,"oto_er";#N/A,#N/A,FALSE,"5";#N/A,#N/A,FALSE,"brü_ihz";#N/A,#N/A,FALSE,"brü_tut";#N/A,#N/A,FALSE,"brü_er"}</definedName>
    <definedName name="wrn.müşterek." hidden="1">{#N/A,#N/A,FALSE,"söz_fiy_fark";#N/A,#N/A,FALSE,"ihz. icmal";#N/A,#N/A,FALSE,"1";#N/A,#N/A,FALSE,"sıh_iç_ihz";#N/A,#N/A,FALSE,"sıh_iç_tut";#N/A,#N/A,FALSE,"sıh_iç_er";#N/A,#N/A,FALSE,"2";#N/A,#N/A,FALSE,"müş_iç_ihz";#N/A,#N/A,FALSE,"müş_iç_tut";#N/A,#N/A,FALSE,"müş_iç_er";#N/A,#N/A,FALSE,"3";#N/A,#N/A,FALSE,"kal_iç_ihz";#N/A,#N/A,FALSE,"kal_iç_tut";#N/A,#N/A,FALSE,"kal_iç_er";#N/A,#N/A,FALSE,"4";#N/A,#N/A,FALSE,"oto_ihz";#N/A,#N/A,FALSE,"oto_tut";#N/A,#N/A,FALSE,"oto_er";#N/A,#N/A,FALSE,"5";#N/A,#N/A,FALSE,"brü_ihz";#N/A,#N/A,FALSE,"brü_tut";#N/A,#N/A,FALSE,"brü_er"}</definedName>
    <definedName name="wrn.musterek_ic." localSheetId="3" hidden="1">{#N/A,#N/A,FALSE,"müş_iç_ihz";#N/A,#N/A,FALSE,"müş_iç_er";#N/A,#N/A,FALSE,"müş_iç_tut"}</definedName>
    <definedName name="wrn.musterek_ic." hidden="1">{#N/A,#N/A,FALSE,"müş_iç_ihz";#N/A,#N/A,FALSE,"müş_iç_er";#N/A,#N/A,FALSE,"müş_iç_tut"}</definedName>
    <definedName name="wrn.nakliye." localSheetId="3" hidden="1">{#N/A,#N/A,FALSE,"NAKLİYE_MESAFE";#N/A,#N/A,FALSE,"NF_01";#N/A,#N/A,FALSE,"NF_02";#N/A,#N/A,FALSE,"NF_03";#N/A,#N/A,FALSE,"NF_04";#N/A,#N/A,FALSE,"NF_05";#N/A,#N/A,FALSE,"NF_06"}</definedName>
    <definedName name="wrn.nakliye." hidden="1">{#N/A,#N/A,FALSE,"NAKLİYE_MESAFE";#N/A,#N/A,FALSE,"NF_01";#N/A,#N/A,FALSE,"NF_02";#N/A,#N/A,FALSE,"NF_03";#N/A,#N/A,FALSE,"NF_04";#N/A,#N/A,FALSE,"NF_05";#N/A,#N/A,FALSE,"NF_06"}</definedName>
    <definedName name="wrn.NAKLİYE._.METRAJI." localSheetId="3" hidden="1">{#N/A,#N/A,FALSE,"NAK-BEŞİRLİ"}</definedName>
    <definedName name="wrn.NAKLİYE._.METRAJI." hidden="1">{#N/A,#N/A,FALSE,"NAK-BEŞİRLİ"}</definedName>
    <definedName name="wrn.nakliye._1" localSheetId="3" hidden="1">{#N/A,#N/A,FALSE,"NAKLİYE_MESAFE";#N/A,#N/A,FALSE,"NF_01";#N/A,#N/A,FALSE,"NF_02";#N/A,#N/A,FALSE,"NF_03";#N/A,#N/A,FALSE,"NF_04";#N/A,#N/A,FALSE,"NF_05";#N/A,#N/A,FALSE,"NF_06"}</definedName>
    <definedName name="wrn.nakliye._1" hidden="1">{#N/A,#N/A,FALSE,"NAKLİYE_MESAFE";#N/A,#N/A,FALSE,"NF_01";#N/A,#N/A,FALSE,"NF_02";#N/A,#N/A,FALSE,"NF_03";#N/A,#N/A,FALSE,"NF_04";#N/A,#N/A,FALSE,"NF_05";#N/A,#N/A,FALSE,"NF_06"}</definedName>
    <definedName name="wrn.NAKLİYELER." localSheetId="3" hidden="1">{#N/A,#N/A,FALSE,"SANAT NAKLİYE "}</definedName>
    <definedName name="wrn.NAKLİYELER." hidden="1">{#N/A,#N/A,FALSE,"SANAT NAKLİYE "}</definedName>
    <definedName name="wrn.ÖDEME._.SAYFALARI." localSheetId="3" hidden="1">{#N/A,#N/A,TRUE,"TAKİP";#N/A,#N/A,TRUE,"RAPOR";#N/A,#N/A,TRUE,"ÖDEME";#N/A,#N/A,TRUE,"İCMAL"}</definedName>
    <definedName name="wrn.ÖDEME._.SAYFALARI." hidden="1">{#N/A,#N/A,TRUE,"TAKİP";#N/A,#N/A,TRUE,"RAPOR";#N/A,#N/A,TRUE,"ÖDEME";#N/A,#N/A,TRUE,"İCMAL"}</definedName>
    <definedName name="wrn.oztas._.imalat." localSheetId="3" hidden="1">{#N/A,#N/A,TRUE,"ÝCMAL";#N/A,#N/A,TRUE,"25101CO";#N/A,#N/A,TRUE,"25102CO";#N/A,#N/A,TRUE,"25103CK";#N/A,#N/A,TRUE,"25104CO";#N/A,#N/A,TRUE,"25201BO";#N/A,#N/A,TRUE,"25202BO";#N/A,#N/A,TRUE,"25203BO";#N/A,#N/A,TRUE,"25204BO";#N/A,#N/A,TRUE,"25205BO";#N/A,#N/A,TRUE,"25206BO";#N/A,#N/A,TRUE,"25207BO";#N/A,#N/A,TRUE,"25208BO";#N/A,#N/A,TRUE,"25209BK";#N/A,#N/A,TRUE,"25301BO";#N/A,#N/A,TRUE,"25302BO";#N/A,#N/A,TRUE,"25303BO";#N/A,#N/A,TRUE,"25304BO";#N/A,#N/A,TRUE,"25305BO";#N/A,#N/A,TRUE,"25306BO";#N/A,#N/A,TRUE,"25307BK";#N/A,#N/A,TRUE,"25701CK";#N/A,#N/A,TRUE,"25702CO";#N/A,#N/A,TRUE,"25703BO";#N/A,#N/A,TRUE,"25704BO";#N/A,#N/A,TRUE,"25705BO";#N/A,#N/A,TRUE,"25801BO";#N/A,#N/A,TRUE,"25802BO";#N/A,#N/A,TRUE,"25803BO";#N/A,#N/A,TRUE,"25804CO";#N/A,#N/A,TRUE,"25805CK";#N/A,#N/A,TRUE,"25901CO";#N/A,#N/A,TRUE,"25902CK";#N/A,#N/A,TRUE,"25903CO";#N/A,#N/A,TRUE,"25904CO";#N/A,#N/A,TRUE,"25905CO";#N/A,#N/A,TRUE,"25906CO";#N/A,#N/A,TRUE,"25907CO";#N/A,#N/A,TRUE,"25908CO";#N/A,#N/A,TRUE,"25909CO";#N/A,#N/A,TRUE,"25910CK";#N/A,#N/A,TRUE,"26001CO";#N/A,#N/A,TRUE,"26002CO";#N/A,#N/A,TRUE,"26003CO";#N/A,#N/A,TRUE,"26004CK";#N/A,#N/A,TRUE,"26005CO";#N/A,#N/A,TRUE,"277301CO";#N/A,#N/A,TRUE,"277302CO";#N/A,#N/A,TRUE,"277303CO";#N/A,#N/A,TRUE,"277304CK";#N/A,#N/A,TRUE,"277305CO";#N/A,#N/A,TRUE,"277306CO";#N/A,#N/A,TRUE,"277401CO";#N/A,#N/A,TRUE,"277402CO";#N/A,#N/A,TRUE,"277403CO";#N/A,#N/A,TRUE,"277404CK";#N/A,#N/A,TRUE,"277405CO";#N/A,#N/A,TRUE,"277501CK";#N/A,#N/A,TRUE,"277502CO";#N/A,#N/A,TRUE,"277503CO"}</definedName>
    <definedName name="wrn.oztas._.imalat." hidden="1">{#N/A,#N/A,TRUE,"ÝCMAL";#N/A,#N/A,TRUE,"25101CO";#N/A,#N/A,TRUE,"25102CO";#N/A,#N/A,TRUE,"25103CK";#N/A,#N/A,TRUE,"25104CO";#N/A,#N/A,TRUE,"25201BO";#N/A,#N/A,TRUE,"25202BO";#N/A,#N/A,TRUE,"25203BO";#N/A,#N/A,TRUE,"25204BO";#N/A,#N/A,TRUE,"25205BO";#N/A,#N/A,TRUE,"25206BO";#N/A,#N/A,TRUE,"25207BO";#N/A,#N/A,TRUE,"25208BO";#N/A,#N/A,TRUE,"25209BK";#N/A,#N/A,TRUE,"25301BO";#N/A,#N/A,TRUE,"25302BO";#N/A,#N/A,TRUE,"25303BO";#N/A,#N/A,TRUE,"25304BO";#N/A,#N/A,TRUE,"25305BO";#N/A,#N/A,TRUE,"25306BO";#N/A,#N/A,TRUE,"25307BK";#N/A,#N/A,TRUE,"25701CK";#N/A,#N/A,TRUE,"25702CO";#N/A,#N/A,TRUE,"25703BO";#N/A,#N/A,TRUE,"25704BO";#N/A,#N/A,TRUE,"25705BO";#N/A,#N/A,TRUE,"25801BO";#N/A,#N/A,TRUE,"25802BO";#N/A,#N/A,TRUE,"25803BO";#N/A,#N/A,TRUE,"25804CO";#N/A,#N/A,TRUE,"25805CK";#N/A,#N/A,TRUE,"25901CO";#N/A,#N/A,TRUE,"25902CK";#N/A,#N/A,TRUE,"25903CO";#N/A,#N/A,TRUE,"25904CO";#N/A,#N/A,TRUE,"25905CO";#N/A,#N/A,TRUE,"25906CO";#N/A,#N/A,TRUE,"25907CO";#N/A,#N/A,TRUE,"25908CO";#N/A,#N/A,TRUE,"25909CO";#N/A,#N/A,TRUE,"25910CK";#N/A,#N/A,TRUE,"26001CO";#N/A,#N/A,TRUE,"26002CO";#N/A,#N/A,TRUE,"26003CO";#N/A,#N/A,TRUE,"26004CK";#N/A,#N/A,TRUE,"26005CO";#N/A,#N/A,TRUE,"277301CO";#N/A,#N/A,TRUE,"277302CO";#N/A,#N/A,TRUE,"277303CO";#N/A,#N/A,TRUE,"277304CK";#N/A,#N/A,TRUE,"277305CO";#N/A,#N/A,TRUE,"277306CO";#N/A,#N/A,TRUE,"277401CO";#N/A,#N/A,TRUE,"277402CO";#N/A,#N/A,TRUE,"277403CO";#N/A,#N/A,TRUE,"277404CK";#N/A,#N/A,TRUE,"277405CO";#N/A,#N/A,TRUE,"277501CK";#N/A,#N/A,TRUE,"277502CO";#N/A,#N/A,TRUE,"277503CO"}</definedName>
    <definedName name="wrn.ratio." hidden="1">{#N/A,#N/A,FALSE,"JACKETS (1100 t) (1)"}</definedName>
    <definedName name="wrn.REPORT." localSheetId="3" hidden="1">{#N/A,#N/A,FALSE,"0XX_1";#N/A,#N/A,FALSE,"OXX_2";#N/A,#N/A,FALSE,"0XX_3";#N/A,#N/A,FALSE,"0XX_4";#N/A,#N/A,FALSE,"0XX_5";#N/A,#N/A,FALSE,"0XX_6";#N/A,#N/A,FALSE,"1XX_1";#N/A,#N/A,FALSE,"1XX_2";#N/A,#N/A,FALSE,"2XX_1";#N/A,#N/A,FALSE,"2XX_2";#N/A,#N/A,FALSE,"2XX_3";#N/A,#N/A,FALSE,"2XX_4";#N/A,#N/A,FALSE,"3XX_1";#N/A,#N/A,FALSE,"3XX_2";#N/A,#N/A,FALSE,"3XX_3";#N/A,#N/A,FALSE,"3XX_4";#N/A,#N/A,FALSE,"3XX_5";#N/A,#N/A,FALSE,"3XX_6";#N/A,#N/A,FALSE,"3XX_7";#N/A,#N/A,FALSE,"3XX_8";#N/A,#N/A,FALSE,"3XX_9";#N/A,#N/A,FALSE,"4XX_1";#N/A,#N/A,FALSE,"4XX_2";#N/A,#N/A,FALSE,"4XX_3";#N/A,#N/A,FALSE,"5XX_1";#N/A,#N/A,FALSE,"5XX_2";#N/A,#N/A,FALSE,"6XX_1";#N/A,#N/A,FALSE,"6XX_2";#N/A,#N/A,FALSE,"6XX_3";#N/A,#N/A,FALSE,"6XX_4";#N/A,#N/A,FALSE,"7XX_1";#N/A,#N/A,FALSE,"7XX_2";#N/A,#N/A,FALSE,"8XX_1";#N/A,#N/A,FALSE,"8XX_2"}</definedName>
    <definedName name="wrn.REPORT." hidden="1">{#N/A,#N/A,FALSE,"0XX_1";#N/A,#N/A,FALSE,"OXX_2";#N/A,#N/A,FALSE,"0XX_3";#N/A,#N/A,FALSE,"0XX_4";#N/A,#N/A,FALSE,"0XX_5";#N/A,#N/A,FALSE,"0XX_6";#N/A,#N/A,FALSE,"1XX_1";#N/A,#N/A,FALSE,"1XX_2";#N/A,#N/A,FALSE,"2XX_1";#N/A,#N/A,FALSE,"2XX_2";#N/A,#N/A,FALSE,"2XX_3";#N/A,#N/A,FALSE,"2XX_4";#N/A,#N/A,FALSE,"3XX_1";#N/A,#N/A,FALSE,"3XX_2";#N/A,#N/A,FALSE,"3XX_3";#N/A,#N/A,FALSE,"3XX_4";#N/A,#N/A,FALSE,"3XX_5";#N/A,#N/A,FALSE,"3XX_6";#N/A,#N/A,FALSE,"3XX_7";#N/A,#N/A,FALSE,"3XX_8";#N/A,#N/A,FALSE,"3XX_9";#N/A,#N/A,FALSE,"4XX_1";#N/A,#N/A,FALSE,"4XX_2";#N/A,#N/A,FALSE,"4XX_3";#N/A,#N/A,FALSE,"5XX_1";#N/A,#N/A,FALSE,"5XX_2";#N/A,#N/A,FALSE,"6XX_1";#N/A,#N/A,FALSE,"6XX_2";#N/A,#N/A,FALSE,"6XX_3";#N/A,#N/A,FALSE,"6XX_4";#N/A,#N/A,FALSE,"7XX_1";#N/A,#N/A,FALSE,"7XX_2";#N/A,#N/A,FALSE,"8XX_1";#N/A,#N/A,FALSE,"8XX_2"}</definedName>
    <definedName name="wrn.SIHHI." localSheetId="3" hidden="1">{#N/A,#N/A,FALSE,"1";#N/A,#N/A,FALSE,"sıh_iç_ihz";#N/A,#N/A,FALSE,"sıh_iç_tut";#N/A,#N/A,FALSE,"sıh_iç_er";#N/A,#N/A,FALSE,"ihz. icmal";#N/A,#N/A,FALSE,"inş_iç_ihz";#N/A,#N/A,FALSE,"inş_iç_tut";#N/A,#N/A,FALSE,"inş_iç_er";#N/A,#N/A,FALSE,"elk_iç_ihz";#N/A,#N/A,FALSE,"elk_iç_tut";#N/A,#N/A,FALSE,"elk_iç_er"}</definedName>
    <definedName name="wrn.SIHHI." hidden="1">{#N/A,#N/A,FALSE,"1";#N/A,#N/A,FALSE,"sıh_iç_ihz";#N/A,#N/A,FALSE,"sıh_iç_tut";#N/A,#N/A,FALSE,"sıh_iç_er";#N/A,#N/A,FALSE,"ihz. icmal";#N/A,#N/A,FALSE,"inş_iç_ihz";#N/A,#N/A,FALSE,"inş_iç_tut";#N/A,#N/A,FALSE,"inş_iç_er";#N/A,#N/A,FALSE,"elk_iç_ihz";#N/A,#N/A,FALSE,"elk_iç_tut";#N/A,#N/A,FALSE,"elk_iç_er"}</definedName>
    <definedName name="wrn.SIHHI._1" localSheetId="3" hidden="1">{#N/A,#N/A,FALSE,"1";#N/A,#N/A,FALSE,"sıh_iç_ihz";#N/A,#N/A,FALSE,"sıh_iç_tut";#N/A,#N/A,FALSE,"sıh_iç_er";#N/A,#N/A,FALSE,"ihz. icmal";#N/A,#N/A,FALSE,"inş_iç_ihz";#N/A,#N/A,FALSE,"inş_iç_tut";#N/A,#N/A,FALSE,"inş_iç_er";#N/A,#N/A,FALSE,"elk_iç_ihz";#N/A,#N/A,FALSE,"elk_iç_tut";#N/A,#N/A,FALSE,"elk_iç_er"}</definedName>
    <definedName name="wrn.SIHHI._1" hidden="1">{#N/A,#N/A,FALSE,"1";#N/A,#N/A,FALSE,"sıh_iç_ihz";#N/A,#N/A,FALSE,"sıh_iç_tut";#N/A,#N/A,FALSE,"sıh_iç_er";#N/A,#N/A,FALSE,"ihz. icmal";#N/A,#N/A,FALSE,"inş_iç_ihz";#N/A,#N/A,FALSE,"inş_iç_tut";#N/A,#N/A,FALSE,"inş_iç_er";#N/A,#N/A,FALSE,"elk_iç_ihz";#N/A,#N/A,FALSE,"elk_iç_tut";#N/A,#N/A,FALSE,"elk_iç_er"}</definedName>
    <definedName name="wrn.sihhi_ic." localSheetId="3" hidden="1">{#N/A,#N/A,FALSE,"sıh_iç_ihz";#N/A,#N/A,FALSE,"sıh_iç_er";#N/A,#N/A,FALSE,"sıh_iç_tut"}</definedName>
    <definedName name="wrn.sihhi_ic." hidden="1">{#N/A,#N/A,FALSE,"sıh_iç_ihz";#N/A,#N/A,FALSE,"sıh_iç_er";#N/A,#N/A,FALSE,"sıh_iç_tut"}</definedName>
    <definedName name="wrn.sirnak._.imalat." localSheetId="3" hidden="1">{#N/A,#N/A,TRUE,"ÞIA1BO";#N/A,#N/A,TRUE,"ÞIA2BO";#N/A,#N/A,TRUE,"ÞIA3BO";#N/A,#N/A,TRUE,"ÞIA4BK";#N/A,#N/A,TRUE,"ÞIB1BK";#N/A,#N/A,TRUE,"ÞIB2BO";#N/A,#N/A,TRUE,"ÞIG1BO";#N/A,#N/A,TRUE,"ÞIG2BO";#N/A,#N/A,TRUE,"ÞIG3BO";#N/A,#N/A,TRUE,"ÞIG4CO";#N/A,#N/A,TRUE,"ÞIG5CO";#N/A,#N/A,TRUE,"ÞIG6CO";#N/A,#N/A,TRUE,"ÞIG7CO";#N/A,#N/A,TRUE,"ÞIG8CK";#N/A,#N/A,TRUE,"ÞIG9CO";#N/A,#N/A,TRUE,"ÞIG10CK";#N/A,#N/A,TRUE,"ÞIH1CO";#N/A,#N/A,TRUE,"ÞIH2CO";#N/A,#N/A,TRUE,"ÞIH3CO";#N/A,#N/A,TRUE,"ÞIH4CO";#N/A,#N/A,TRUE,"ÞIH5CO";#N/A,#N/A,TRUE,"ÞIH7CO";#N/A,#N/A,TRUE,"ÝCMAL";#N/A,#N/A,TRUE,"A Adasý";#N/A,#N/A,TRUE,"B Adasý";#N/A,#N/A,TRUE,"G Adasý";#N/A,#N/A,TRUE,"H Adasý";#N/A,#N/A,TRUE,"J Adasý"}</definedName>
    <definedName name="wrn.sirnak._.imalat." hidden="1">{#N/A,#N/A,TRUE,"ÞIA1BO";#N/A,#N/A,TRUE,"ÞIA2BO";#N/A,#N/A,TRUE,"ÞIA3BO";#N/A,#N/A,TRUE,"ÞIA4BK";#N/A,#N/A,TRUE,"ÞIB1BK";#N/A,#N/A,TRUE,"ÞIB2BO";#N/A,#N/A,TRUE,"ÞIG1BO";#N/A,#N/A,TRUE,"ÞIG2BO";#N/A,#N/A,TRUE,"ÞIG3BO";#N/A,#N/A,TRUE,"ÞIG4CO";#N/A,#N/A,TRUE,"ÞIG5CO";#N/A,#N/A,TRUE,"ÞIG6CO";#N/A,#N/A,TRUE,"ÞIG7CO";#N/A,#N/A,TRUE,"ÞIG8CK";#N/A,#N/A,TRUE,"ÞIG9CO";#N/A,#N/A,TRUE,"ÞIG10CK";#N/A,#N/A,TRUE,"ÞIH1CO";#N/A,#N/A,TRUE,"ÞIH2CO";#N/A,#N/A,TRUE,"ÞIH3CO";#N/A,#N/A,TRUE,"ÞIH4CO";#N/A,#N/A,TRUE,"ÞIH5CO";#N/A,#N/A,TRUE,"ÞIH7CO";#N/A,#N/A,TRUE,"ÝCMAL";#N/A,#N/A,TRUE,"A Adasý";#N/A,#N/A,TRUE,"B Adasý";#N/A,#N/A,TRUE,"G Adasý";#N/A,#N/A,TRUE,"H Adasý";#N/A,#N/A,TRUE,"J Adasý"}</definedName>
    <definedName name="wrn.STAFFS." localSheetId="3" hidden="1">{#N/A,#N/A,FALSE,"TABLE"}</definedName>
    <definedName name="wrn.STAFFS." hidden="1">{#N/A,#N/A,FALSE,"TABLE"}</definedName>
    <definedName name="wrn.TOTAL._.MAN._.H.O.." hidden="1">{"MAN H.O.",#N/A,FALSE,"tabella"}</definedName>
    <definedName name="wrn.tutanaklar." localSheetId="3" hidden="1">{#N/A,#N/A,FALSE,"ilan TUT";#N/A,#N/A,FALSE,"ilan";#N/A,#N/A,FALSE,"ÇİMENT";#N/A,#N/A,FALSE,"fatura"}</definedName>
    <definedName name="wrn.tutanaklar." hidden="1">{#N/A,#N/A,FALSE,"ilan TUT";#N/A,#N/A,FALSE,"ilan";#N/A,#N/A,FALSE,"ÇİMENT";#N/A,#N/A,FALSE,"fatura"}</definedName>
    <definedName name="wrn.x." hidden="1">{#N/A,#N/A,FALSE,"fax답변"}</definedName>
    <definedName name="wrn.YEŞİLDEFTER." localSheetId="3" hidden="1">{#N/A,#N/A,FALSE,"YEŞİL KAPAK";#N/A,#N/A,FALSE,"YEŞİL TOPRAK.";#N/A,#N/A,FALSE,"YEŞİL SANAT";#N/A,#N/A,FALSE,"YEŞİL AYASOFYA KÖP.";#N/A,#N/A,FALSE,"YEŞİL AKYAZI";#N/A,#N/A,FALSE,"YEŞİL BEŞİRLİ";#N/A,#N/A,FALSE,"YEŞİL HAVAALAN";#N/A,#N/A,FALSE,"YEŞİL SONDAJ.";#N/A,#N/A,FALSE,"YEŞİL KAMU";#N/A,#N/A,FALSE,"YEŞİL FAROZ "}</definedName>
    <definedName name="wrn.YEŞİLDEFTER." hidden="1">{#N/A,#N/A,FALSE,"YEŞİL KAPAK";#N/A,#N/A,FALSE,"YEŞİL TOPRAK.";#N/A,#N/A,FALSE,"YEŞİL SANAT";#N/A,#N/A,FALSE,"YEŞİL AYASOFYA KÖP.";#N/A,#N/A,FALSE,"YEŞİL AKYAZI";#N/A,#N/A,FALSE,"YEŞİL BEŞİRLİ";#N/A,#N/A,FALSE,"YEŞİL HAVAALAN";#N/A,#N/A,FALSE,"YEŞİL SONDAJ.";#N/A,#N/A,FALSE,"YEŞİL KAMU";#N/A,#N/A,FALSE,"YEŞİL FAROZ "}</definedName>
    <definedName name="wrn.건물기초." localSheetId="3"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wrn.건물기초."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wrn.건설기계사업소._.상반기보고." localSheetId="3" hidden="1">{#N/A,#N/A,FALSE,"사업총괄";#N/A,#N/A,FALSE,"장비사업";#N/A,#N/A,FALSE,"철구사업";#N/A,#N/A,FALSE,"준설사업"}</definedName>
    <definedName name="wrn.건설기계사업소._.상반기보고." hidden="1">{#N/A,#N/A,FALSE,"사업총괄";#N/A,#N/A,FALSE,"장비사업";#N/A,#N/A,FALSE,"철구사업";#N/A,#N/A,FALSE,"준설사업"}</definedName>
    <definedName name="wrn.골재소요량." localSheetId="3" hidden="1">{#N/A,#N/A,FALSE,"골재소요량";#N/A,#N/A,FALSE,"골재소요량"}</definedName>
    <definedName name="wrn.골재소요량." hidden="1">{#N/A,#N/A,FALSE,"골재소요량";#N/A,#N/A,FALSE,"골재소요량"}</definedName>
    <definedName name="wrn.교대." localSheetId="3" hidden="1">{#N/A,#N/A,FALSE,"type1";#N/A,#N/A,FALSE,"지지력";#N/A,#N/A,FALSE,"PILE계산";#N/A,#N/A,FALSE,"PILE ";#N/A,#N/A,FALSE,"철근량";#N/A,#N/A,FALSE,"균열검토";#N/A,#N/A,FALSE,"날개벽";#N/A,#N/A,FALSE,"주철근조립도";#N/A,#N/A,FALSE,"교좌"}</definedName>
    <definedName name="wrn.교대." hidden="1">{#N/A,#N/A,FALSE,"type1";#N/A,#N/A,FALSE,"지지력";#N/A,#N/A,FALSE,"PILE계산";#N/A,#N/A,FALSE,"PILE ";#N/A,#N/A,FALSE,"철근량";#N/A,#N/A,FALSE,"균열검토";#N/A,#N/A,FALSE,"날개벽";#N/A,#N/A,FALSE,"주철근조립도";#N/A,#N/A,FALSE,"교좌"}</definedName>
    <definedName name="wrn.교육청." localSheetId="3" hidden="1">{#N/A,#N/A,FALSE,"전력간선"}</definedName>
    <definedName name="wrn.교육청." hidden="1">{#N/A,#N/A,FALSE,"전력간선"}</definedName>
    <definedName name="wrn.구조2." localSheetId="3" hidden="1">{#N/A,#N/A,FALSE,"구조2"}</definedName>
    <definedName name="wrn.구조2." hidden="1">{#N/A,#N/A,FALSE,"구조2"}</definedName>
    <definedName name="wrn.단가표지." localSheetId="3" hidden="1">{#N/A,#N/A,FALSE,"단가표지"}</definedName>
    <definedName name="wrn.단가표지." hidden="1">{#N/A,#N/A,FALSE,"단가표지"}</definedName>
    <definedName name="wrn.배수1." localSheetId="3" hidden="1">{#N/A,#N/A,FALSE,"배수1"}</definedName>
    <definedName name="wrn.배수1." hidden="1">{#N/A,#N/A,FALSE,"배수1"}</definedName>
    <definedName name="wrn.배수2." localSheetId="3" hidden="1">{#N/A,#N/A,FALSE,"배수2"}</definedName>
    <definedName name="wrn.배수2." hidden="1">{#N/A,#N/A,FALSE,"배수2"}</definedName>
    <definedName name="wrn.변경예산." localSheetId="3" hidden="1">{#N/A,#N/A,FALSE,"변경관리예산";#N/A,#N/A,FALSE,"변경장비예산";#N/A,#N/A,FALSE,"변경준설예산";#N/A,#N/A,FALSE,"변경철구예산"}</definedName>
    <definedName name="wrn.변경예산." hidden="1">{#N/A,#N/A,FALSE,"변경관리예산";#N/A,#N/A,FALSE,"변경장비예산";#N/A,#N/A,FALSE,"변경준설예산";#N/A,#N/A,FALSE,"변경철구예산"}</definedName>
    <definedName name="wrn.부대1." localSheetId="3" hidden="1">{#N/A,#N/A,FALSE,"부대1"}</definedName>
    <definedName name="wrn.부대1." hidden="1">{#N/A,#N/A,FALSE,"부대1"}</definedName>
    <definedName name="wrn.부대2." localSheetId="3" hidden="1">{#N/A,#N/A,FALSE,"부대2"}</definedName>
    <definedName name="wrn.부대2." hidden="1">{#N/A,#N/A,FALSE,"부대2"}</definedName>
    <definedName name="wrn.부산주경기장." localSheetId="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wrn.부산주경기장."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wrn.부서회의." hidden="1">{"LKD",#N/A,FALSE,"표지"}</definedName>
    <definedName name="wrn.사업현황." localSheetId="3"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wrn.사업현황."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wrn.설계내역서." hidden="1">{#N/A,#N/A,FALSE,"설계내억서"}</definedName>
    <definedName name="wrn.속도." localSheetId="3" hidden="1">{#N/A,#N/A,FALSE,"속도"}</definedName>
    <definedName name="wrn.속도." hidden="1">{#N/A,#N/A,FALSE,"속도"}</definedName>
    <definedName name="wrn.손익보고." localSheetId="3" hidden="1">{#N/A,#N/A,FALSE,"손익표지";#N/A,#N/A,FALSE,"손익계산";#N/A,#N/A,FALSE,"일반관리비";#N/A,#N/A,FALSE,"영업외수익";#N/A,#N/A,FALSE,"영업외비용";#N/A,#N/A,FALSE,"매출액";#N/A,#N/A,FALSE,"요약손익";#N/A,#N/A,FALSE,"요약대차";#N/A,#N/A,FALSE,"매출채권현황";#N/A,#N/A,FALSE,"매출채권명세"}</definedName>
    <definedName name="wrn.손익보고." hidden="1">{#N/A,#N/A,FALSE,"손익표지";#N/A,#N/A,FALSE,"손익계산";#N/A,#N/A,FALSE,"일반관리비";#N/A,#N/A,FALSE,"영업외수익";#N/A,#N/A,FALSE,"영업외비용";#N/A,#N/A,FALSE,"매출액";#N/A,#N/A,FALSE,"요약손익";#N/A,#N/A,FALSE,"요약대차";#N/A,#N/A,FALSE,"매출채권현황";#N/A,#N/A,FALSE,"매출채권명세"}</definedName>
    <definedName name="wrn.신용찬." localSheetId="3" hidden="1">{#N/A,#N/A,TRUE,"토적및재료집계";#N/A,#N/A,TRUE,"토적및재료집계";#N/A,#N/A,TRUE,"단위량"}</definedName>
    <definedName name="wrn.신용찬." hidden="1">{#N/A,#N/A,TRUE,"토적및재료집계";#N/A,#N/A,TRUE,"토적및재료집계";#N/A,#N/A,TRUE,"단위량"}</definedName>
    <definedName name="wrn.업체별._.견적공사명." hidden="1">{"SJ - 기본 보기",#N/A,FALSE,"공사별 외주견적"}</definedName>
    <definedName name="wrn.연동제." hidden="1">{#N/A,#N/A,TRUE,"총괄"}</definedName>
    <definedName name="wrn.예상손익." localSheetId="3" hidden="1">{#N/A,#N/A,FALSE,"예상손익";#N/A,#N/A,FALSE,"관리분석";#N/A,#N/A,FALSE,"장비분석";#N/A,#N/A,FALSE,"준설분석";#N/A,#N/A,FALSE,"철구분석"}</definedName>
    <definedName name="wrn.예상손익." hidden="1">{#N/A,#N/A,FALSE,"예상손익";#N/A,#N/A,FALSE,"관리분석";#N/A,#N/A,FALSE,"장비분석";#N/A,#N/A,FALSE,"준설분석";#N/A,#N/A,FALSE,"철구분석"}</definedName>
    <definedName name="wrn.운반시간." localSheetId="3" hidden="1">{#N/A,#N/A,FALSE,"운반시간"}</definedName>
    <definedName name="wrn.운반시간." hidden="1">{#N/A,#N/A,FALSE,"운반시간"}</definedName>
    <definedName name="wrn.이정표." localSheetId="3" hidden="1">{#N/A,#N/A,FALSE,"이정표"}</definedName>
    <definedName name="wrn.이정표." hidden="1">{#N/A,#N/A,FALSE,"이정표"}</definedName>
    <definedName name="wrn.이태원._.철근." localSheetId="3" hidden="1">{#N/A,#N/A,FALSE,"이태원철근"}</definedName>
    <definedName name="wrn.이태원._.철근." hidden="1">{#N/A,#N/A,FALSE,"이태원철근"}</definedName>
    <definedName name="wrn.전부인쇄." localSheetId="3" hidden="1">{#N/A,#N/A,FALSE,"단축1";#N/A,#N/A,FALSE,"단축2";#N/A,#N/A,FALSE,"단축3";#N/A,#N/A,FALSE,"장축";#N/A,#N/A,FALSE,"4WD"}</definedName>
    <definedName name="wrn.전부인쇄." hidden="1">{#N/A,#N/A,FALSE,"단축1";#N/A,#N/A,FALSE,"단축2";#N/A,#N/A,FALSE,"단축3";#N/A,#N/A,FALSE,"장축";#N/A,#N/A,FALSE,"4WD"}</definedName>
    <definedName name="wrn.조골재." localSheetId="3" hidden="1">{#N/A,#N/A,FALSE,"조골재"}</definedName>
    <definedName name="wrn.조골재." hidden="1">{#N/A,#N/A,FALSE,"조골재"}</definedName>
    <definedName name="wrn.철골집계표._.5칸." hidden="1">{#N/A,#N/A,FALSE,"Sheet1"}</definedName>
    <definedName name="wrn.토공1." localSheetId="3" hidden="1">{#N/A,#N/A,FALSE,"구조1"}</definedName>
    <definedName name="wrn.토공1." hidden="1">{#N/A,#N/A,FALSE,"구조1"}</definedName>
    <definedName name="wrn.토공2." localSheetId="3" hidden="1">{#N/A,#N/A,FALSE,"토공2"}</definedName>
    <definedName name="wrn.토공2." hidden="1">{#N/A,#N/A,FALSE,"토공2"}</definedName>
    <definedName name="wrn.통신지." localSheetId="3" hidden="1">{#N/A,#N/A,FALSE,"기안지";#N/A,#N/A,FALSE,"통신지"}</definedName>
    <definedName name="wrn.통신지." hidden="1">{#N/A,#N/A,FALSE,"기안지";#N/A,#N/A,FALSE,"통신지"}</definedName>
    <definedName name="wrn.포장1." localSheetId="3" hidden="1">{#N/A,#N/A,FALSE,"포장1";#N/A,#N/A,FALSE,"포장1"}</definedName>
    <definedName name="wrn.포장1." hidden="1">{#N/A,#N/A,FALSE,"포장1";#N/A,#N/A,FALSE,"포장1"}</definedName>
    <definedName name="wrn.포장2." localSheetId="3" hidden="1">{#N/A,#N/A,FALSE,"포장2"}</definedName>
    <definedName name="wrn.포장2." hidden="1">{#N/A,#N/A,FALSE,"포장2"}</definedName>
    <definedName name="wrn.표지목차." localSheetId="3" hidden="1">{#N/A,#N/A,FALSE,"표지목차"}</definedName>
    <definedName name="wrn.표지목차." hidden="1">{#N/A,#N/A,FALSE,"표지목차"}</definedName>
    <definedName name="wrn.혼합골재." localSheetId="3" hidden="1">{#N/A,#N/A,FALSE,"혼합골재"}</definedName>
    <definedName name="wrn.혼합골재." hidden="1">{#N/A,#N/A,FALSE,"혼합골재"}</definedName>
    <definedName name="WRR" localSheetId="3" hidden="1">{#VALUE!,#N/A,FALSE,0;#N/A,#N/A,FALSE,0;#N/A,#N/A,FALSE,0;#N/A,#N/A,FALSE,0}</definedName>
    <definedName name="WRR" hidden="1">{#VALUE!,#N/A,FALSE,0;#N/A,#N/A,FALSE,0;#N/A,#N/A,FALSE,0;#N/A,#N/A,FALSE,0}</definedName>
    <definedName name="wsq" hidden="1">#REF!</definedName>
    <definedName name="wsx" localSheetId="3" hidden="1">{#N/A,#N/A,FALSE,"TABLE"}</definedName>
    <definedName name="wsx" hidden="1">{#N/A,#N/A,FALSE,"TABLE"}</definedName>
    <definedName name="wtr" localSheetId="3">#REF!</definedName>
    <definedName name="wtr">#REF!</definedName>
    <definedName name="WV" localSheetId="0">BlankMacro1</definedName>
    <definedName name="WV" localSheetId="2">BlankMacro1</definedName>
    <definedName name="WV" localSheetId="17">BlankMacro1</definedName>
    <definedName name="WV" localSheetId="15">BlankMacro1</definedName>
    <definedName name="WV">BlankMacro1</definedName>
    <definedName name="ww" localSheetId="3" hidden="1">{#N/A,#N/A,FALSE,"BRIM_ICMAL";#N/A,#N/A,FALSE,"ASE_KUR";#N/A,#N/A,FALSE,"ASE_YES";#N/A,#N/A,FALSE,"AM_KUR";#N/A,#N/A,FALSE,"AMU_YES";#N/A,#N/A,FALSE,"PAR_KUR";#N/A,#N/A,FALSE,"PAR_YES";#N/A,#N/A,FALSE,"YSE_YES";#N/A,#N/A,FALSE,"YSE_YES";#N/A,#N/A,FALSE,"YM_KUR";#N/A,#N/A,FALSE,"YM_YES";#N/A,#N/A,FALSE,"YAB_KUR";#N/A,#N/A,FALSE,"YAB_YES";#N/A,#N/A,FALSE,"elek_kur";#N/A,#N/A,FALSE,"elek_yes";#N/A,#N/A,FALSE,"içm_KUR";#N/A,#N/A,FALSE,"içm_YES";#N/A,#N/A,FALSE,"TEL_KUR";#N/A,#N/A,FALSE,"TEL_YES";#N/A,#N/A,FALSE,"ISI_TES_KUR";#N/A,#N/A,FALSE,"ISI_TES_YES";#N/A,#N/A,FALSE,"ISIKAN_KUR";#N/A,#N/A,FALSE,"ISI_KAN_YES";#N/A,#N/A,FALSE,"YOLOT_KUR";#N/A,#N/A,FALSE,"YOLOT_YES";#N/A,#N/A,FALSE,"İST_KUR";#N/A,#N/A,FALSE,"İST_YES";#N/A,#N/A,FALSE,"ÇEVR_KUR";#N/A,#N/A,FALSE,"ÇEVRE_YES";#N/A,#N/A,FALSE,"PEY_KUR";#N/A,#N/A,FALSE,"PEY_YES";#N/A,#N/A,FALSE,"SULAMA_KUR";#N/A,#N/A,FALSE,"SULAMA_YES"}</definedName>
    <definedName name="ww" hidden="1">{#N/A,#N/A,FALSE,"CCTV"}</definedName>
    <definedName name="WWW" localSheetId="3" hidden="1">{#N/A,#N/A,FALSE,"CCTV"}</definedName>
    <definedName name="WWW" hidden="1">{#N/A,#N/A,FALSE,"CCTV"}</definedName>
    <definedName name="WWWFFFF" hidden="1">'[82]TABLO-3'!$B$7:$B$7</definedName>
    <definedName name="wysapşxcy574" localSheetId="3" hidden="1">{#N/A,#N/A,FALSE,"Çaykara ataköy (1)";#N/A,#N/A,FALSE,"Çaykara ataköy (2)";#N/A,#N/A,FALSE,"Rize Kalkandere ";#N/A,#N/A,FALSE,"meydancık";#N/A,#N/A,FALSE,"muratlı"}</definedName>
    <definedName name="wysapşxcy574" hidden="1">{#N/A,#N/A,FALSE,"Çaykara ataköy (1)";#N/A,#N/A,FALSE,"Çaykara ataköy (2)";#N/A,#N/A,FALSE,"Rize Kalkandere ";#N/A,#N/A,FALSE,"meydancık";#N/A,#N/A,FALSE,"muratlı"}</definedName>
    <definedName name="WYWY" localSheetId="3" hidden="1">{#N/A,#N/A,FALSE,"TABLE"}</definedName>
    <definedName name="WYWY" hidden="1">{#N/A,#N/A,FALSE,"TABLE"}</definedName>
    <definedName name="x" localSheetId="3" hidden="1">{#N/A,#N/A,FALSE,"운반시간"}</definedName>
    <definedName name="X" hidden="1">{"LKD",#N/A,FALSE,"표지"}</definedName>
    <definedName name="xc" localSheetId="3" hidden="1">{#N/A,#N/A,FALSE,"TABLE"}</definedName>
    <definedName name="xc" hidden="1">{#N/A,#N/A,FALSE,"TABLE"}</definedName>
    <definedName name="xh">{"'장비'!$A$3:$M$12"}</definedName>
    <definedName name="xjj1" localSheetId="3">BlankMacro1</definedName>
    <definedName name="xjj1">BlankMacro1</definedName>
    <definedName name="XLS" localSheetId="3">#REF!</definedName>
    <definedName name="XLS">#REF!</definedName>
    <definedName name="XRefColumnsCount" hidden="1">12</definedName>
    <definedName name="XRefCopyRangeCount" hidden="1">7</definedName>
    <definedName name="xv" localSheetId="3" hidden="1">{#N/A,#N/A,FALSE,"TABLE"}</definedName>
    <definedName name="xv" hidden="1">{#N/A,#N/A,FALSE,"TABLE"}</definedName>
    <definedName name="xx" localSheetId="3">#REF!</definedName>
    <definedName name="xx">{"'장비'!$A$3:$M$12"}</definedName>
    <definedName name="xxx" localSheetId="3" hidden="1">{#N/A,#N/A,FALSE,"TABLE"}</definedName>
    <definedName name="xxx">{"'장비'!$A$3:$M$12"}</definedName>
    <definedName name="XZ" localSheetId="3" hidden="1">{#N/A,#N/A,FALSE,"TABLE"}</definedName>
    <definedName name="XZ" hidden="1">{#N/A,#N/A,FALSE,"TABLE"}</definedName>
    <definedName name="Y" localSheetId="3" hidden="1">{#N/A,#N/A,FALSE,"이태원철근"}</definedName>
    <definedName name="Y" hidden="1">{#N/A,#N/A,FALSE,"이태원철근"}</definedName>
    <definedName name="y_strainer" localSheetId="3">#REF!</definedName>
    <definedName name="y_strainer">#REF!</definedName>
    <definedName name="y8gyyug" localSheetId="3">#REF!</definedName>
    <definedName name="y8gyyug">#REF!</definedName>
    <definedName name="yAdi">"Tip Çek Yapıları - I"</definedName>
    <definedName name="yapiimar" localSheetId="3" hidden="1">{#N/A,#N/A,FALSE,"ihz. icmal";#N/A,#N/A,FALSE,"avans";#N/A,#N/A,FALSE,"mal_FF_icm";#N/A,#N/A,FALSE,"fat_ihz";#N/A,#N/A,FALSE,"söz_fiy_fark";#N/A,#N/A,FALSE,"kap2"}</definedName>
    <definedName name="yapiimar" hidden="1">{#N/A,#N/A,FALSE,"ihz. icmal";#N/A,#N/A,FALSE,"avans";#N/A,#N/A,FALSE,"mal_FF_icm";#N/A,#N/A,FALSE,"fat_ihz";#N/A,#N/A,FALSE,"söz_fiy_fark";#N/A,#N/A,FALSE,"kap2"}</definedName>
    <definedName name="YFUFY" localSheetId="3" hidden="1">{#N/A,#N/A,FALSE,"TABLE"}</definedName>
    <definedName name="YFUFY" hidden="1">{#N/A,#N/A,FALSE,"TABLE"}</definedName>
    <definedName name="yg542hg" hidden="1">#REF!</definedName>
    <definedName name="ykr" localSheetId="3" hidden="1">{#N/A,#N/A,FALSE,"Çaykara ataköy (1)";#N/A,#N/A,FALSE,"Çaykara ataköy (2)";#N/A,#N/A,FALSE,"Rize Kalkandere ";#N/A,#N/A,FALSE,"meydancık";#N/A,#N/A,FALSE,"muratlı"}</definedName>
    <definedName name="ykr" hidden="1">{#N/A,#N/A,FALSE,"Çaykara ataköy (1)";#N/A,#N/A,FALSE,"Çaykara ataköy (2)";#N/A,#N/A,FALSE,"Rize Kalkandere ";#N/A,#N/A,FALSE,"meydancık";#N/A,#N/A,FALSE,"muratlı"}</definedName>
    <definedName name="ykroki" localSheetId="3" hidden="1">{#N/A,#N/A,FALSE,"Çaykara ataköy (1)";#N/A,#N/A,FALSE,"Çaykara ataköy (2)";#N/A,#N/A,FALSE,"Rize Kalkandere ";#N/A,#N/A,FALSE,"meydancık";#N/A,#N/A,FALSE,"muratlı"}</definedName>
    <definedName name="ykroki" hidden="1">{#N/A,#N/A,FALSE,"Çaykara ataköy (1)";#N/A,#N/A,FALSE,"Çaykara ataköy (2)";#N/A,#N/A,FALSE,"Rize Kalkandere ";#N/A,#N/A,FALSE,"meydancık";#N/A,#N/A,FALSE,"muratlı"}</definedName>
    <definedName name="YMYM" localSheetId="3" hidden="1">{#N/A,#N/A,FALSE,"TABLE"}</definedName>
    <definedName name="YMYM" hidden="1">{#N/A,#N/A,FALSE,"TABLE"}</definedName>
    <definedName name="yn" localSheetId="3">#REF!</definedName>
    <definedName name="yn">#REF!</definedName>
    <definedName name="ynkim" localSheetId="3" hidden="1">{#N/A,#N/A,TRUE,"Basic";#N/A,#N/A,TRUE,"EXT-TABLE";#N/A,#N/A,TRUE,"STEEL";#N/A,#N/A,TRUE,"INT-Table";#N/A,#N/A,TRUE,"STEEL";#N/A,#N/A,TRUE,"Door"}</definedName>
    <definedName name="ynkim" hidden="1">{#N/A,#N/A,TRUE,"Basic";#N/A,#N/A,TRUE,"EXT-TABLE";#N/A,#N/A,TRUE,"STEEL";#N/A,#N/A,TRUE,"INT-Table";#N/A,#N/A,TRUE,"STEEL";#N/A,#N/A,TRUE,"Door"}</definedName>
    <definedName name="yok" localSheetId="3" hidden="1">{#N/A,#N/A,FALSE,"Çaykara ataköy (1)";#N/A,#N/A,FALSE,"Çaykara ataköy (2)";#N/A,#N/A,FALSE,"Rize Kalkandere ";#N/A,#N/A,FALSE,"meydancık";#N/A,#N/A,FALSE,"muratlı"}</definedName>
    <definedName name="yok" hidden="1">{#N/A,#N/A,FALSE,"Çaykara ataköy (1)";#N/A,#N/A,FALSE,"Çaykara ataköy (2)";#N/A,#N/A,FALSE,"Rize Kalkandere ";#N/A,#N/A,FALSE,"meydancık";#N/A,#N/A,FALSE,"muratlı"}</definedName>
    <definedName name="Yosuequipment0106_X_port_Equipment_List___Final__List" localSheetId="3">#REF!</definedName>
    <definedName name="Yosuequipment0106_X_port_Equipment_List___Final__List">#REF!</definedName>
    <definedName name="YOYO" localSheetId="3" hidden="1">{#N/A,#N/A,FALSE,"TABLE"}</definedName>
    <definedName name="YOYO" hidden="1">{#N/A,#N/A,FALSE,"TABLE"}</definedName>
    <definedName name="yrdtytyt" localSheetId="3" hidden="1">{#N/A,#N/A,FALSE,"CCTV"}</definedName>
    <definedName name="yrdtytyt" hidden="1">{#N/A,#N/A,FALSE,"CCTV"}</definedName>
    <definedName name="YRUEYU" localSheetId="3" hidden="1">{#N/A,#N/A,FALSE,"TABLE"}</definedName>
    <definedName name="YRUEYU" hidden="1">{#N/A,#N/A,FALSE,"TABLE"}</definedName>
    <definedName name="ys" localSheetId="3">#REF!</definedName>
    <definedName name="ys">#REF!</definedName>
    <definedName name="yu">{"'장비'!$A$3:$M$12"}</definedName>
    <definedName name="yugyy" localSheetId="3">#REF!</definedName>
    <definedName name="yugyy">#REF!</definedName>
    <definedName name="yuio" localSheetId="3">#REF!</definedName>
    <definedName name="yuio">#REF!</definedName>
    <definedName name="YUYJĞ" hidden="1">#REF!</definedName>
    <definedName name="yuyu">{"'장비'!$A$3:$M$12"}</definedName>
    <definedName name="yuyuyu">{"'장비'!$A$3:$M$12"}</definedName>
    <definedName name="Yvalues" localSheetId="3">OFFSET([0]!Xvalues,0,1)</definedName>
    <definedName name="Yvalues">OFFSET([0]!Xvalues,0,1)</definedName>
    <definedName name="Yvalues2" localSheetId="3">OFFSET([0]!Xvalues,0,2)</definedName>
    <definedName name="Yvalues2">OFFSET([0]!Xvalues,0,2)</definedName>
    <definedName name="yy" localSheetId="3">#REF!</definedName>
    <definedName name="yy" hidden="1">{"LKD",#N/A,FALSE,"표지"}</definedName>
    <definedName name="yyuuu" localSheetId="3">#REF!</definedName>
    <definedName name="yyuuu">#REF!</definedName>
    <definedName name="yyy" localSheetId="3" hidden="1">{#N/A,#N/A,FALSE,"Çaykara ataköy (1)";#N/A,#N/A,FALSE,"Çaykara ataköy (2)";#N/A,#N/A,FALSE,"Rize Kalkandere ";#N/A,#N/A,FALSE,"meydancık";#N/A,#N/A,FALSE,"muratlı"}</definedName>
    <definedName name="yyy">{"'장비'!$A$3:$M$12"}</definedName>
    <definedName name="YYYYY" hidden="1">#REF!</definedName>
    <definedName name="YZ" localSheetId="3" hidden="1">{#N/A,#N/A,FALSE,"TABLE"}</definedName>
    <definedName name="YZ" hidden="1">{#N/A,#N/A,FALSE,"TABLE"}</definedName>
    <definedName name="Z" localSheetId="17">#REF!</definedName>
    <definedName name="Z" localSheetId="15">#REF!</definedName>
    <definedName name="Z" localSheetId="4">#REF!</definedName>
    <definedName name="Z" localSheetId="3">#REF!</definedName>
    <definedName name="Z">#REF!</definedName>
    <definedName name="Z_6332A1C3_4451_11D5_8DF3_00C026000EEF_.wvu.PrintTitles" localSheetId="3" hidden="1">#REF!</definedName>
    <definedName name="Z_6332A1C3_4451_11D5_8DF3_00C026000EEF_.wvu.PrintTitles" hidden="1">#REF!</definedName>
    <definedName name="Z_6FD68921_FD8A_11D1_84A4_444553540000_.wvu.Cols" hidden="1">#REF!</definedName>
    <definedName name="Z_B3255642_8A6B_11D5_916F_005004920FCB_.wvu.PrintTitles" hidden="1">#REF!</definedName>
    <definedName name="Z_DB8AC590_3D3A_11D5_BCB0_000021EC112A_.wvu.Cols" localSheetId="3" hidden="1">#REF!</definedName>
    <definedName name="Z_DB8AC590_3D3A_11D5_BCB0_000021EC112A_.wvu.Cols" hidden="1">#REF!</definedName>
    <definedName name="Z_DB8AC590_3D3A_11D5_BCB0_000021EC112A_.wvu.PrintArea" hidden="1">#REF!</definedName>
    <definedName name="Z_DB8AC590_3D3A_11D5_BCB0_000021EC112A_.wvu.PrintTitles" hidden="1">#REF!</definedName>
    <definedName name="Z_DB8AC590_3D3A_11D5_BCB0_000021EC112A_.wvu.Rows" localSheetId="3" hidden="1">#REF!,#REF!</definedName>
    <definedName name="Z_DB8AC590_3D3A_11D5_BCB0_000021EC112A_.wvu.Rows" hidden="1">#REF!,#REF!</definedName>
    <definedName name="Z_L_I_T_E_N">#N/A</definedName>
    <definedName name="ZA" localSheetId="3" hidden="1">{#N/A,#N/A,FALSE,"TABLE"}</definedName>
    <definedName name="ZA" hidden="1">{#N/A,#N/A,FALSE,"TABLE"}</definedName>
    <definedName name="zas" hidden="1">#REF!</definedName>
    <definedName name="zc" localSheetId="3" hidden="1">{#N/A,#N/A,FALSE,"TABLE"}</definedName>
    <definedName name="zc" hidden="1">{#N/A,#N/A,FALSE,"TABLE"}</definedName>
    <definedName name="ZIGZAG" localSheetId="3" hidden="1">{#N/A,#N/A,FALSE,"TABLE"}</definedName>
    <definedName name="ZIGZAG" hidden="1">{#N/A,#N/A,FALSE,"TABLE"}</definedName>
    <definedName name="zx" localSheetId="3" hidden="1">{#N/A,#N/A,FALSE,"TABLE"}</definedName>
    <definedName name="zx">{"'장비'!$A$3:$M$12"}</definedName>
    <definedName name="ZXC" localSheetId="3" hidden="1">{#N/A,#N/A,FALSE,"이태원철근"}</definedName>
    <definedName name="ZXC" hidden="1">{#N/A,#N/A,FALSE,"이태원철근"}</definedName>
    <definedName name="ZXXX" localSheetId="3" hidden="1">{#N/A,#N/A,FALSE,"TABLE"}</definedName>
    <definedName name="ZXXX" hidden="1">{#N/A,#N/A,FALSE,"TABLE"}</definedName>
    <definedName name="zy" localSheetId="3" hidden="1">{#N/A,#N/A,FALSE,"TABLE"}</definedName>
    <definedName name="zy" hidden="1">{#N/A,#N/A,FALSE,"TABLE"}</definedName>
    <definedName name="zz" hidden="1">{"LKD",#N/A,FALSE,"표지"}</definedName>
    <definedName name="zzz" localSheetId="3" hidden="1">{#N/A,#N/A,TRUE,"Basic";#N/A,#N/A,TRUE,"EXT-TABLE";#N/A,#N/A,TRUE,"STEEL";#N/A,#N/A,TRUE,"INT-Table";#N/A,#N/A,TRUE,"STEEL";#N/A,#N/A,TRUE,"Door"}</definedName>
    <definedName name="zzz" hidden="1">{#N/A,#N/A,TRUE,"Basic";#N/A,#N/A,TRUE,"EXT-TABLE";#N/A,#N/A,TRUE,"STEEL";#N/A,#N/A,TRUE,"INT-Table";#N/A,#N/A,TRUE,"STEEL";#N/A,#N/A,TRUE,"Door"}</definedName>
    <definedName name="zzzz" localSheetId="3" hidden="1">{#N/A,#N/A,FALSE,"이태원철근"}</definedName>
    <definedName name="zzzz" hidden="1">{#N/A,#N/A,FALSE,"이태원철근"}</definedName>
    <definedName name="ㄱ" localSheetId="3" hidden="1">{#N/A,#N/A,FALSE,"이태원철근"}</definedName>
    <definedName name="ㄱ" hidden="1">{#N/A,#N/A,FALSE,"이태원철근"}</definedName>
    <definedName name="ㄱㄱ" localSheetId="3" hidden="1">{#N/A,#N/A,FALSE,"이태원철근"}</definedName>
    <definedName name="ㄱㄱ" hidden="1">{#N/A,#N/A,FALSE,"이태원철근"}</definedName>
    <definedName name="ㄱㄱㄱ" hidden="1">{#N/A,#N/A,FALSE,"이태원철근"}</definedName>
    <definedName name="ㄱㄱㄱㄱ" hidden="1">{#N/A,#N/A,FALSE,"이태원철근"}</definedName>
    <definedName name="ㄱㄱㄱㄱㄱ" localSheetId="3" hidden="1">{#N/A,#N/A,FALSE,"이태원철근"}</definedName>
    <definedName name="ㄱㄱㄱㄱㄱ" hidden="1">{#N/A,#N/A,FALSE,"이태원철근"}</definedName>
    <definedName name="ㄱㄷㅈㅂㄱㄷㅈ" hidden="1">{#N/A,#N/A,FALSE,"이태원철근"}</definedName>
    <definedName name="ㄱ됴ㅐㅏ독핻" localSheetId="3" hidden="1">{#N/A,#N/A,FALSE,"혼합골재"}</definedName>
    <definedName name="ㄱ됴ㅐㅏ독핻" hidden="1">{#N/A,#N/A,FALSE,"혼합골재"}</definedName>
    <definedName name="ㄱㄹㅇㄷ" hidden="1">#REF!</definedName>
    <definedName name="ㄱ미" localSheetId="3" hidden="1">{#N/A,#N/A,TRUE,"Basic";#N/A,#N/A,TRUE,"EXT-TABLE";#N/A,#N/A,TRUE,"STEEL";#N/A,#N/A,TRUE,"INT-Table";#N/A,#N/A,TRUE,"STEEL";#N/A,#N/A,TRUE,"Door"}</definedName>
    <definedName name="ㄱ미" hidden="1">{#N/A,#N/A,TRUE,"Basic";#N/A,#N/A,TRUE,"EXT-TABLE";#N/A,#N/A,TRUE,"STEEL";#N/A,#N/A,TRUE,"INT-Table";#N/A,#N/A,TRUE,"STEEL";#N/A,#N/A,TRUE,"Door"}</definedName>
    <definedName name="ㄱ미_1" hidden="1">{#N/A,#N/A,TRUE,"Basic";#N/A,#N/A,TRUE,"EXT-TABLE";#N/A,#N/A,TRUE,"STEEL";#N/A,#N/A,TRUE,"INT-Table";#N/A,#N/A,TRUE,"STEEL";#N/A,#N/A,TRUE,"Door"}</definedName>
    <definedName name="ㄱ쇽숏교" hidden="1">{#N/A,#N/A,FALSE,"이태원철근"}</definedName>
    <definedName name="ㄱ숏ㄱ요오헐" hidden="1">{#N/A,#N/A,FALSE,"이태원철근"}</definedName>
    <definedName name="가" hidden="1">#REF!</definedName>
    <definedName name="가갸" localSheetId="3" hidden="1">{#N/A,#N/A,FALSE,"이태원철근"}</definedName>
    <definedName name="가갸" hidden="1">{#N/A,#N/A,FALSE,"이태원철근"}</definedName>
    <definedName name="가건물손료">#REF!</definedName>
    <definedName name="가격" localSheetId="3">#REF!</definedName>
    <definedName name="가격">#REF!</definedName>
    <definedName name="가나" hidden="1">{#N/A,#N/A,FALSE,"이태원철근"}</definedName>
    <definedName name="가나다라마사" hidden="1">{#N/A,#N/A,FALSE,"이태원철근"}</definedName>
    <definedName name="가물" hidden="1">{#N/A,#N/A,FALSE,"이태원철근"}</definedName>
    <definedName name="가설">[47]Main!#REF!</definedName>
    <definedName name="가설건물면적산정" localSheetId="3" hidden="1">{#N/A,#N/A,FALSE,"사업총괄";#N/A,#N/A,FALSE,"장비사업";#N/A,#N/A,FALSE,"철구사업";#N/A,#N/A,FALSE,"준설사업"}</definedName>
    <definedName name="가설건물면적산정" hidden="1">{#N/A,#N/A,FALSE,"사업총괄";#N/A,#N/A,FALSE,"장비사업";#N/A,#N/A,FALSE,"철구사업";#N/A,#N/A,FALSE,"준설사업"}</definedName>
    <definedName name="가설공사비" localSheetId="3">#REF!</definedName>
    <definedName name="가설공사비">#REF!</definedName>
    <definedName name="가스창고" localSheetId="3">#REF!</definedName>
    <definedName name="가스창고">#REF!</definedName>
    <definedName name="가실행" hidden="1">{#N/A,#N/A,FALSE,"지침";#N/A,#N/A,FALSE,"환경분석";#N/A,#N/A,FALSE,"Sheet16"}</definedName>
    <definedName name="가을이구나">#REF!</definedName>
    <definedName name="간접노무비" localSheetId="3">#REF!</definedName>
    <definedName name="간접노무비">#REF!</definedName>
    <definedName name="간접웡">'[151]공사비 내역 (가)'!$AE$41</definedName>
    <definedName name="간접재료비" localSheetId="3">#REF!</definedName>
    <definedName name="간접재료비">#REF!</definedName>
    <definedName name="감" hidden="1">{#N/A,#N/A,TRUE,"Basic";#N/A,#N/A,TRUE,"EXT-TABLE";#N/A,#N/A,TRUE,"STEEL";#N/A,#N/A,TRUE,"INT-Table";#N/A,#N/A,TRUE,"STEEL";#N/A,#N/A,TRUE,"Door"}</definedName>
    <definedName name="감_1" hidden="1">{#N/A,#N/A,TRUE,"Basic";#N/A,#N/A,TRUE,"EXT-TABLE";#N/A,#N/A,TRUE,"STEEL";#N/A,#N/A,TRUE,"INT-Table";#N/A,#N/A,TRUE,"STEEL";#N/A,#N/A,TRUE,"Door"}</definedName>
    <definedName name="감리상주" hidden="1">{#N/A,#N/A,FALSE,"지침";#N/A,#N/A,FALSE,"환경분석";#N/A,#N/A,FALSE,"Sheet16"}</definedName>
    <definedName name="갑" localSheetId="3">#REF!</definedName>
    <definedName name="갑">#REF!</definedName>
    <definedName name="갑지" localSheetId="3">BlankMacro1</definedName>
    <definedName name="갑지">BlankMacro1</definedName>
    <definedName name="강1" localSheetId="3">#REF!</definedName>
    <definedName name="강1">#REF!</definedName>
    <definedName name="강2" localSheetId="3">#REF!</definedName>
    <definedName name="강2">#REF!</definedName>
    <definedName name="강3" localSheetId="3">#REF!</definedName>
    <definedName name="강3">#REF!</definedName>
    <definedName name="강관비계" localSheetId="3">#REF!</definedName>
    <definedName name="강관비계">#REF!</definedName>
    <definedName name="강릉교동" localSheetId="3" hidden="1">#REF!</definedName>
    <definedName name="강릉교동" hidden="1">#REF!</definedName>
    <definedName name="강릉교동터파기" localSheetId="3" hidden="1">#REF!</definedName>
    <definedName name="강릉교동터파기" hidden="1">#REF!</definedName>
    <definedName name="강릉교동토목" localSheetId="3" hidden="1">#REF!</definedName>
    <definedName name="강릉교동토목" hidden="1">#REF!</definedName>
    <definedName name="강릉교동흙막이" hidden="1">#REF!</definedName>
    <definedName name="강릉토공사" hidden="1">#REF!</definedName>
    <definedName name="강릉토목공사" hidden="1">#REF!</definedName>
    <definedName name="강릉토목임" hidden="1">#REF!</definedName>
    <definedName name="강재호" localSheetId="3" hidden="1">{#N/A,#N/A,FALSE,"변경관리예산";#N/A,#N/A,FALSE,"변경장비예산";#N/A,#N/A,FALSE,"변경준설예산";#N/A,#N/A,FALSE,"변경철구예산"}</definedName>
    <definedName name="강재호" hidden="1">{#N/A,#N/A,FALSE,"변경관리예산";#N/A,#N/A,FALSE,"변경장비예산";#N/A,#N/A,FALSE,"변경준설예산";#N/A,#N/A,FALSE,"변경철구예산"}</definedName>
    <definedName name="개월" localSheetId="3">#REF!</definedName>
    <definedName name="개월">#REF!</definedName>
    <definedName name="거래처" localSheetId="3">#REF!</definedName>
    <definedName name="거래처">#REF!</definedName>
    <definedName name="거제" localSheetId="3" hidden="1">{#N/A,#N/A,FALSE,"이태원철근"}</definedName>
    <definedName name="거제" hidden="1">{#N/A,#N/A,FALSE,"이태원철근"}</definedName>
    <definedName name="거제2" localSheetId="3" hidden="1">{#N/A,#N/A,FALSE,"이태원철근"}</definedName>
    <definedName name="거제2" hidden="1">{#N/A,#N/A,FALSE,"이태원철근"}</definedName>
    <definedName name="거제리" localSheetId="3" hidden="1">{#N/A,#N/A,FALSE,"이태원철근"}</definedName>
    <definedName name="거제리" hidden="1">{#N/A,#N/A,FALSE,"이태원철근"}</definedName>
    <definedName name="거제현장" localSheetId="3" hidden="1">{#N/A,#N/A,FALSE,"이태원철근"}</definedName>
    <definedName name="거제현장" hidden="1">{#N/A,#N/A,FALSE,"이태원철근"}</definedName>
    <definedName name="건">#N/A</definedName>
    <definedName name="건기" localSheetId="3" hidden="1">{#N/A,#N/A,FALSE,"사업총괄";#N/A,#N/A,FALSE,"장비사업";#N/A,#N/A,FALSE,"철구사업";#N/A,#N/A,FALSE,"준설사업"}</definedName>
    <definedName name="건기" hidden="1">{#N/A,#N/A,FALSE,"사업총괄";#N/A,#N/A,FALSE,"장비사업";#N/A,#N/A,FALSE,"철구사업";#N/A,#N/A,FALSE,"준설사업"}</definedName>
    <definedName name="건기2" localSheetId="3" hidden="1">{#N/A,#N/A,FALSE,"사업총괄";#N/A,#N/A,FALSE,"장비사업";#N/A,#N/A,FALSE,"철구사업";#N/A,#N/A,FALSE,"준설사업"}</definedName>
    <definedName name="건기2" hidden="1">{#N/A,#N/A,FALSE,"사업총괄";#N/A,#N/A,FALSE,"장비사업";#N/A,#N/A,FALSE,"철구사업";#N/A,#N/A,FALSE,"준설사업"}</definedName>
    <definedName name="건설기계새로움" localSheetId="3" hidden="1">{#VALUE!,#N/A,FALSE,0;#N/A,#N/A,FALSE,0;#N/A,#N/A,FALSE,0;#N/A,#N/A,FALSE,0}</definedName>
    <definedName name="건설기계새로움" hidden="1">{#VALUE!,#N/A,FALSE,0;#N/A,#N/A,FALSE,0;#N/A,#N/A,FALSE,0;#N/A,#N/A,FALSE,0}</definedName>
    <definedName name="건축" localSheetId="3">#REF!</definedName>
    <definedName name="건축" hidden="1">{#N/A,#N/A,TRUE,"토적및재료집계";#N/A,#N/A,TRUE,"토적및재료집계";#N/A,#N/A,TRUE,"단위량"}</definedName>
    <definedName name="건축외">#REF!</definedName>
    <definedName name="건축외총">#REF!</definedName>
    <definedName name="겉표지" hidden="1">{#N/A,#N/A,TRUE,"Basic";#N/A,#N/A,TRUE,"EXT-TABLE";#N/A,#N/A,TRUE,"STEEL";#N/A,#N/A,TRUE,"INT-Table";#N/A,#N/A,TRUE,"STEEL";#N/A,#N/A,TRUE,"Door"}</definedName>
    <definedName name="겉표지_1" hidden="1">{#N/A,#N/A,TRUE,"Basic";#N/A,#N/A,TRUE,"EXT-TABLE";#N/A,#N/A,TRUE,"STEEL";#N/A,#N/A,TRUE,"INT-Table";#N/A,#N/A,TRUE,"STEEL";#N/A,#N/A,TRUE,"Door"}</definedName>
    <definedName name="견적" localSheetId="3" hidden="1">#REF!</definedName>
    <definedName name="견적" hidden="1">{#N/A,#N/A,FALSE,"CCTV"}</definedName>
    <definedName name="견적2" localSheetId="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견적2" hidden="1">{#N/A,#N/A,FALSE,"CCTV"}</definedName>
    <definedName name="견적3" localSheetId="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견적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견적4" localSheetId="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견적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견적SHEET" hidden="1">{#N/A,#N/A,FALSE,"CCTV"}</definedName>
    <definedName name="견적조건" hidden="1">[152]산근!#REF!</definedName>
    <definedName name="견적조건8" hidden="1">{#N/A,#N/A,FALSE,"CCTV"}</definedName>
    <definedName name="견적품의서">{"'장비'!$A$3:$M$12"}</definedName>
    <definedName name="경도급" localSheetId="3">#REF!</definedName>
    <definedName name="경도급">#REF!</definedName>
    <definedName name="경비조정중기" localSheetId="3">#REF!</definedName>
    <definedName name="경비조정중기">#REF!</definedName>
    <definedName name="경순" localSheetId="3" hidden="1">{#N/A,#N/A,FALSE,"이태원철근"}</definedName>
    <definedName name="경순" hidden="1">{#N/A,#N/A,FALSE,"이태원철근"}</definedName>
    <definedName name="경영" hidden="1">#REF!</definedName>
    <definedName name="경제" localSheetId="4">[153]세금자료!$A$3:$D$52</definedName>
    <definedName name="경제">[154]세금자료!$A$3:$D$52</definedName>
    <definedName name="경회사" localSheetId="3">#REF!</definedName>
    <definedName name="경회사">#REF!</definedName>
    <definedName name="계" hidden="1">#REF!</definedName>
    <definedName name="계매10">#REF!</definedName>
    <definedName name="계매11">#REF!</definedName>
    <definedName name="계매12">#REF!</definedName>
    <definedName name="계매5">#REF!</definedName>
    <definedName name="계매6">#REF!</definedName>
    <definedName name="계매7">#REF!</definedName>
    <definedName name="계매8">#REF!</definedName>
    <definedName name="계매9">#REF!</definedName>
    <definedName name="계매과">#REF!</definedName>
    <definedName name="계매내년">#REF!</definedName>
    <definedName name="계매신">#REF!</definedName>
    <definedName name="계매잔">#REF!</definedName>
    <definedName name="계약고">[155]요약!$K$49</definedName>
    <definedName name="계이10">#REF!</definedName>
    <definedName name="계이11">#REF!</definedName>
    <definedName name="계이12">#REF!</definedName>
    <definedName name="계이5">#REF!</definedName>
    <definedName name="계이6">#REF!</definedName>
    <definedName name="계이7">#REF!</definedName>
    <definedName name="계이8">#REF!</definedName>
    <definedName name="계이9">#REF!</definedName>
    <definedName name="계이과">#REF!</definedName>
    <definedName name="계이내년">#REF!</definedName>
    <definedName name="계이신">#REF!</definedName>
    <definedName name="계이잔">#REF!</definedName>
    <definedName name="계측기기"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계획" localSheetId="3">#REF!</definedName>
    <definedName name="계획" hidden="1">{#N/A,#N/A,FALSE,"TABLE"}</definedName>
    <definedName name="고가" hidden="1">#N/A</definedName>
    <definedName name="고고" localSheetId="3" hidden="1">{#N/A,#N/A,FALSE,"이태원철근"}</definedName>
    <definedName name="고고" hidden="1">{#N/A,#N/A,FALSE,"이태원철근"}</definedName>
    <definedName name="고급" localSheetId="3">#REF!</definedName>
    <definedName name="고급">#REF!</definedName>
    <definedName name="고민수" hidden="1">{"LKD",#N/A,FALSE,"표지"}</definedName>
    <definedName name="공공도서"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공공도서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공구" localSheetId="3">#REF!</definedName>
    <definedName name="공구">#REF!</definedName>
    <definedName name="공구손료" localSheetId="3">#REF!</definedName>
    <definedName name="공구손료">#REF!</definedName>
    <definedName name="공기" localSheetId="3">#REF!</definedName>
    <definedName name="공기">[109]입찰내역서!$T$54</definedName>
    <definedName name="공기1" hidden="1">[156]설계내역서!#REF!</definedName>
    <definedName name="공무">#REF!</definedName>
    <definedName name="공무외">#REF!,#REF!,#REF!</definedName>
    <definedName name="공무외총">#REF!,#REF!,#REF!</definedName>
    <definedName name="공사" localSheetId="3" hidden="1">{#N/A,#N/A,FALSE,"이태원철근"}</definedName>
    <definedName name="공사" hidden="1">{#N/A,#N/A,FALSE,"이태원철근"}</definedName>
    <definedName name="공사_NDE">[152]공사비_NDE!$A$1:$K$6295</definedName>
    <definedName name="공사_PAINT">[152]공사비_NDE!$A$1:$K$6295</definedName>
    <definedName name="공사1" localSheetId="3" hidden="1">{#N/A,#N/A,FALSE,"이태원철근"}</definedName>
    <definedName name="공사1" hidden="1">{#N/A,#N/A,FALSE,"이태원철근"}</definedName>
    <definedName name="공사개요최종" localSheetId="3" hidden="1">{#N/A,#N/A,FALSE,"이태원철근"}</definedName>
    <definedName name="공사개요최종" hidden="1">{#N/A,#N/A,FALSE,"이태원철근"}</definedName>
    <definedName name="공사규모">'[157]Bond Fee'!$I$3</definedName>
    <definedName name="공사기간" localSheetId="3">#REF!</definedName>
    <definedName name="공사기간">#REF!</definedName>
    <definedName name="공사기간2" localSheetId="3">#REF!</definedName>
    <definedName name="공사기간2">#REF!</definedName>
    <definedName name="공사명4">[158]환율!$B$14</definedName>
    <definedName name="공사손익.중국" localSheetId="3">#REF!</definedName>
    <definedName name="공사손익.중국">#REF!</definedName>
    <definedName name="공사원가계산서" localSheetId="3" hidden="1">{#N/A,#N/A,TRUE,"토적및재료집계";#N/A,#N/A,TRUE,"토적및재료집계";#N/A,#N/A,TRUE,"단위량"}</definedName>
    <definedName name="공사원가계산서" hidden="1">{#N/A,#N/A,TRUE,"토적및재료집계";#N/A,#N/A,TRUE,"토적및재료집계";#N/A,#N/A,TRUE,"단위량"}</definedName>
    <definedName name="공사총액">#REF!</definedName>
    <definedName name="공사코드">'[159]Sheet2 (2)'!$A$6:$B$144</definedName>
    <definedName name="공사현황2" hidden="1">{#N/A,#N/A,FALSE,"이태원철근"}</definedName>
    <definedName name="공양식" localSheetId="3"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공양식"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공일" localSheetId="3">#REF!</definedName>
    <definedName name="공일">#REF!</definedName>
    <definedName name="공정" hidden="1">{#N/A,#N/A,FALSE,"이태원철근"}</definedName>
    <definedName name="공정2" hidden="1">{#N/A,#N/A,FALSE,"이태원철근"}</definedName>
    <definedName name="공정계획" localSheetId="3" hidden="1">{#N/A,#N/A,FALSE,"이태원철근"}</definedName>
    <definedName name="공정계획" hidden="1">{#N/A,#N/A,FALSE,"이태원철근"}</definedName>
    <definedName name="공정표" localSheetId="3" hidden="1">{#N/A,#N/A,FALSE,"운반시간"}</definedName>
    <definedName name="공정표" hidden="1">{#N/A,#N/A,FALSE,"운반시간"}</definedName>
    <definedName name="공종" localSheetId="3">#REF!</definedName>
    <definedName name="공종">#REF!</definedName>
    <definedName name="공종갯수" localSheetId="3">#REF!</definedName>
    <definedName name="공종갯수">#REF!</definedName>
    <definedName name="공종보기">[160]!공종보기</definedName>
    <definedName name="공통가설내역서" localSheetId="3" hidden="1">{#N/A,#N/A,FALSE,"이태원철근"}</definedName>
    <definedName name="공통가설내역서" hidden="1">{#N/A,#N/A,FALSE,"이태원철근"}</definedName>
    <definedName name="공통비" hidden="1">#REF!</definedName>
    <definedName name="공통비총괄표" localSheetId="3">#REF!</definedName>
    <definedName name="공통비총괄표">#REF!</definedName>
    <definedName name="공통비코아" hidden="1">[15]Sheet2!#REF!</definedName>
    <definedName name="관급" localSheetId="3">#REF!,#REF!,#REF!</definedName>
    <definedName name="관급">#REF!,#REF!,#REF!</definedName>
    <definedName name="관급자재비" localSheetId="3">#REF!</definedName>
    <definedName name="관급자재비">#REF!</definedName>
    <definedName name="관리">#REF!</definedName>
    <definedName name="관리외">#REF!,#REF!</definedName>
    <definedName name="관리외총">#REF!,#REF!</definedName>
    <definedName name="광장동" localSheetId="3">BlankMacro1</definedName>
    <definedName name="광장동">BlankMacro1</definedName>
    <definedName name="교" hidden="1">{#N/A,#N/A,FALSE,"이태원철근"}</definedName>
    <definedName name="교굑" localSheetId="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교굑"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교동토" localSheetId="3" hidden="1">#REF!</definedName>
    <definedName name="교동토" hidden="1">#REF!</definedName>
    <definedName name="교동토목" localSheetId="3" hidden="1">{#N/A,#N/A,FALSE,"이태원철근"}</definedName>
    <definedName name="교동토목" hidden="1">{#N/A,#N/A,FALSE,"이태원철근"}</definedName>
    <definedName name="교동토목공사" localSheetId="3" hidden="1">{#N/A,#N/A,FALSE,"이태원철근"}</definedName>
    <definedName name="교동토목공사" hidden="1">{#N/A,#N/A,FALSE,"이태원철근"}</definedName>
    <definedName name="교ㅗ" hidden="1">{#N/A,#N/A,FALSE,"이태원철근"}</definedName>
    <definedName name="구분" localSheetId="3">#REF!</definedName>
    <definedName name="구분">#REF!</definedName>
    <definedName name="구조물_터파기" localSheetId="3">#REF!</definedName>
    <definedName name="구조물_터파기">#REF!</definedName>
    <definedName name="구조물공" localSheetId="3" hidden="1">{#N/A,#N/A,FALSE,"이정표"}</definedName>
    <definedName name="구조물공" hidden="1">{#N/A,#N/A,FALSE,"이정표"}</definedName>
    <definedName name="구조물공사" hidden="1">{#N/A,#N/A,TRUE,"토적및재료집계";#N/A,#N/A,TRUE,"토적및재료집계";#N/A,#N/A,TRUE,"단위량"}</definedName>
    <definedName name="구조물터파기" localSheetId="3">#REF!</definedName>
    <definedName name="구조물터파기">#REF!</definedName>
    <definedName name="국가" localSheetId="3">[161]Sheet2!$A$2:$A$11</definedName>
    <definedName name="국가">[162]Sheet2!$A$2:$A$11</definedName>
    <definedName name="국내" hidden="1">#REF!</definedName>
    <definedName name="규격" localSheetId="3">#REF!</definedName>
    <definedName name="규격">#REF!</definedName>
    <definedName name="그림24">#REF!</definedName>
    <definedName name="그만" localSheetId="3">#REF!</definedName>
    <definedName name="그만">#REF!</definedName>
    <definedName name="근무시간" localSheetId="3">[161]Sheet2!$B$2:$B$11</definedName>
    <definedName name="근무시간">[162]Sheet2!$B$2:$B$11</definedName>
    <definedName name="금액" localSheetId="3">#REF!</definedName>
    <definedName name="금액">#REF!</definedName>
    <definedName name="금액비교" hidden="1">{#N/A,#N/A,TRUE,"Basic";#N/A,#N/A,TRUE,"EXT-TABLE";#N/A,#N/A,TRUE,"STEEL";#N/A,#N/A,TRUE,"INT-Table";#N/A,#N/A,TRUE,"STEEL";#N/A,#N/A,TRUE,"Door"}</definedName>
    <definedName name="기간">#REF!</definedName>
    <definedName name="기계" localSheetId="3">#REF!</definedName>
    <definedName name="기계">#REF!</definedName>
    <definedName name="기계1" localSheetId="3">#REF!</definedName>
    <definedName name="기계1">#REF!</definedName>
    <definedName name="기계외">#REF!</definedName>
    <definedName name="기계외총">#REF!</definedName>
    <definedName name="기공" hidden="1">[163]노임이!#REF!</definedName>
    <definedName name="기기222" localSheetId="3" hidden="1">{#VALUE!,#N/A,FALSE,0;#N/A,#N/A,FALSE,0;#N/A,#N/A,FALSE,0;#N/A,#N/A,FALSE,0}</definedName>
    <definedName name="기기222" hidden="1">{#VALUE!,#N/A,FALSE,0;#N/A,#N/A,FALSE,0;#N/A,#N/A,FALSE,0;#N/A,#N/A,FALSE,0}</definedName>
    <definedName name="기기231" localSheetId="3"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기기231"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기기기" localSheetId="3" hidden="1">{#N/A,#N/A,FALSE,"사업총괄";#N/A,#N/A,FALSE,"장비사업";#N/A,#N/A,FALSE,"철구사업";#N/A,#N/A,FALSE,"준설사업"}</definedName>
    <definedName name="기기기" hidden="1">{#N/A,#N/A,FALSE,"사업총괄";#N/A,#N/A,FALSE,"장비사업";#N/A,#N/A,FALSE,"철구사업";#N/A,#N/A,FALSE,"준설사업"}</definedName>
    <definedName name="기기신설" localSheetId="3">#REF!</definedName>
    <definedName name="기기신설">#REF!</definedName>
    <definedName name="기기철거" localSheetId="3">#REF!</definedName>
    <definedName name="기기철거">#REF!</definedName>
    <definedName name="기능공" localSheetId="3">#REF!</definedName>
    <definedName name="기능공">#REF!</definedName>
    <definedName name="기능공1" localSheetId="3">#REF!</definedName>
    <definedName name="기능공1">#REF!</definedName>
    <definedName name="기능공2">[164]Sheet1!$AE$54</definedName>
    <definedName name="기능공투입계획" localSheetId="3">#REF!</definedName>
    <definedName name="기능공투입계획">#REF!</definedName>
    <definedName name="기본" localSheetId="3">#REF!</definedName>
    <definedName name="기본">#REF!</definedName>
    <definedName name="기본시간" localSheetId="3">[161]Sheet2!$C$2:$C$11</definedName>
    <definedName name="기본시간">[162]Sheet2!$C$2:$C$11</definedName>
    <definedName name="기성3" hidden="1">{#N/A,#N/A,FALSE,"CCTV"}</definedName>
    <definedName name="기안" localSheetId="3" hidden="1">#REF!</definedName>
    <definedName name="기안" hidden="1">#REF!</definedName>
    <definedName name="기안변경" localSheetId="3" hidden="1">#REF!</definedName>
    <definedName name="기안변경" hidden="1">#REF!</definedName>
    <definedName name="기업" localSheetId="3">BlankMacro1</definedName>
    <definedName name="기업">BlankMacro1</definedName>
    <definedName name="기전1" localSheetId="3" hidden="1">{#N/A,#N/A,FALSE,"TABLE"}</definedName>
    <definedName name="기전1" hidden="1">{#N/A,#N/A,FALSE,"TABLE"}</definedName>
    <definedName name="기준환율">[109]입찰내역서!$R$11</definedName>
    <definedName name="기지지지" localSheetId="3" hidden="1">{#N/A,#N/A,FALSE,"사업총괄";#N/A,#N/A,FALSE,"장비사업";#N/A,#N/A,FALSE,"철구사업";#N/A,#N/A,FALSE,"준설사업"}</definedName>
    <definedName name="기지지지" hidden="1">{#N/A,#N/A,FALSE,"사업총괄";#N/A,#N/A,FALSE,"장비사업";#N/A,#N/A,FALSE,"철구사업";#N/A,#N/A,FALSE,"준설사업"}</definedName>
    <definedName name="기초_잡석깔기" localSheetId="3">#REF!</definedName>
    <definedName name="기초_잡석깔기">#REF!</definedName>
    <definedName name="기초잡석깔기" localSheetId="3">#REF!</definedName>
    <definedName name="기초잡석깔기">#REF!</definedName>
    <definedName name="기타경비" localSheetId="3" hidden="1">{#N/A,#N/A,TRUE,"토적및재료집계";#N/A,#N/A,TRUE,"토적및재료집계";#N/A,#N/A,TRUE,"단위량"}</definedName>
    <definedName name="기타경비" hidden="1">{#N/A,#N/A,TRUE,"토적및재료집계";#N/A,#N/A,TRUE,"토적및재료집계";#N/A,#N/A,TRUE,"단위량"}</definedName>
    <definedName name="기타경비1" localSheetId="3" hidden="1">{#N/A,#N/A,TRUE,"토적및재료집계";#N/A,#N/A,TRUE,"토적및재료집계";#N/A,#N/A,TRUE,"단위량"}</definedName>
    <definedName name="기타경비1" hidden="1">{#N/A,#N/A,TRUE,"토적및재료집계";#N/A,#N/A,TRUE,"토적및재료집계";#N/A,#N/A,TRUE,"단위량"}</definedName>
    <definedName name="김" localSheetId="3" hidden="1">{#N/A,#N/A,TRUE,"Basic";#N/A,#N/A,TRUE,"EXT-TABLE";#N/A,#N/A,TRUE,"STEEL";#N/A,#N/A,TRUE,"INT-Table";#N/A,#N/A,TRUE,"STEEL";#N/A,#N/A,TRUE,"Door"}</definedName>
    <definedName name="김" hidden="1">{#N/A,#N/A,TRUE,"Basic";#N/A,#N/A,TRUE,"EXT-TABLE";#N/A,#N/A,TRUE,"STEEL";#N/A,#N/A,TRUE,"INT-Table";#N/A,#N/A,TRUE,"STEEL";#N/A,#N/A,TRUE,"Door"}</definedName>
    <definedName name="김_1" hidden="1">{#N/A,#N/A,TRUE,"Basic";#N/A,#N/A,TRUE,"EXT-TABLE";#N/A,#N/A,TRUE,"STEEL";#N/A,#N/A,TRUE,"INT-Table";#N/A,#N/A,TRUE,"STEEL";#N/A,#N/A,TRUE,"Door"}</definedName>
    <definedName name="김1" localSheetId="3" hidden="1">{#N/A,#N/A,TRUE,"Basic";#N/A,#N/A,TRUE,"EXT-TABLE";#N/A,#N/A,TRUE,"STEEL";#N/A,#N/A,TRUE,"INT-Table";#N/A,#N/A,TRUE,"STEEL";#N/A,#N/A,TRUE,"Door"}</definedName>
    <definedName name="김1" hidden="1">{#N/A,#N/A,TRUE,"Basic";#N/A,#N/A,TRUE,"EXT-TABLE";#N/A,#N/A,TRUE,"STEEL";#N/A,#N/A,TRUE,"INT-Table";#N/A,#N/A,TRUE,"STEEL";#N/A,#N/A,TRUE,"Door"}</definedName>
    <definedName name="김1_1" hidden="1">{#N/A,#N/A,TRUE,"Basic";#N/A,#N/A,TRUE,"EXT-TABLE";#N/A,#N/A,TRUE,"STEEL";#N/A,#N/A,TRUE,"INT-Table";#N/A,#N/A,TRUE,"STEEL";#N/A,#N/A,TRUE,"Door"}</definedName>
    <definedName name="김2" localSheetId="3">#REF!</definedName>
    <definedName name="김2">#REF!</definedName>
    <definedName name="김3" localSheetId="3" hidden="1">{#N/A,#N/A,TRUE,"Basic";#N/A,#N/A,TRUE,"EXT-TABLE";#N/A,#N/A,TRUE,"STEEL";#N/A,#N/A,TRUE,"INT-Table";#N/A,#N/A,TRUE,"STEEL";#N/A,#N/A,TRUE,"Door"}</definedName>
    <definedName name="김3" hidden="1">{#N/A,#N/A,TRUE,"Basic";#N/A,#N/A,TRUE,"EXT-TABLE";#N/A,#N/A,TRUE,"STEEL";#N/A,#N/A,TRUE,"INT-Table";#N/A,#N/A,TRUE,"STEEL";#N/A,#N/A,TRUE,"Door"}</definedName>
    <definedName name="김3_1" hidden="1">{#N/A,#N/A,TRUE,"Basic";#N/A,#N/A,TRUE,"EXT-TABLE";#N/A,#N/A,TRUE,"STEEL";#N/A,#N/A,TRUE,"INT-Table";#N/A,#N/A,TRUE,"STEEL";#N/A,#N/A,TRUE,"Door"}</definedName>
    <definedName name="김김김" localSheetId="3">#REF!</definedName>
    <definedName name="김김김">#REF!</definedName>
    <definedName name="김동종" localSheetId="3" hidden="1">#REF!</definedName>
    <definedName name="김동종" hidden="1">#REF!</definedName>
    <definedName name="김명준" hidden="1">{"LKD",#N/A,FALSE,"표지"}</definedName>
    <definedName name="김병철" hidden="1">{"LKD",#N/A,FALSE,"표지"}</definedName>
    <definedName name="김병철1" hidden="1">{"LKD",#N/A,FALSE,"표지"}</definedName>
    <definedName name="김석철" localSheetId="3" hidden="1">{#N/A,#N/A,FALSE,"TABLE"}</definedName>
    <definedName name="김석철" hidden="1">{#N/A,#N/A,FALSE,"TABLE"}</definedName>
    <definedName name="김성배_상무" localSheetId="3">#REF!</definedName>
    <definedName name="김성배_상무">#REF!</definedName>
    <definedName name="김성찬" localSheetId="3" hidden="1">#REF!</definedName>
    <definedName name="김성찬" hidden="1">#REF!</definedName>
    <definedName name="김재홍" hidden="1">{"LKD",#N/A,FALSE,"표지"}</definedName>
    <definedName name="김전진행" localSheetId="3">#REF!</definedName>
    <definedName name="김전진행">#REF!</definedName>
    <definedName name="김전진행2" localSheetId="3">#REF!</definedName>
    <definedName name="김전진행2">#REF!</definedName>
    <definedName name="김전청산" localSheetId="3">#REF!</definedName>
    <definedName name="김전청산">#REF!</definedName>
    <definedName name="김중규" hidden="1">{#N/A,#N/A,FALSE,"이태원철근"}</definedName>
    <definedName name="김희진행" localSheetId="3">#REF!</definedName>
    <definedName name="김희진행">#REF!</definedName>
    <definedName name="김희진행2" localSheetId="3">#REF!</definedName>
    <definedName name="김희진행2">#REF!</definedName>
    <definedName name="김희청산" localSheetId="3">#REF!</definedName>
    <definedName name="김희청산">#REF!</definedName>
    <definedName name="끝에삽입" localSheetId="3" hidden="1">{#N/A,#N/A,FALSE,"이태원철근"}</definedName>
    <definedName name="끝에삽입" hidden="1">{#N/A,#N/A,FALSE,"이태원철근"}</definedName>
    <definedName name="ㄳ" localSheetId="3" hidden="1">{#N/A,#N/A,FALSE,"단가표지"}</definedName>
    <definedName name="ㄳ" hidden="1">{#N/A,#N/A,FALSE,"단가표지"}</definedName>
    <definedName name="ㄳㄱ소쇼ㅓ" hidden="1">#REF!</definedName>
    <definedName name="ㄴ" localSheetId="3" hidden="1">#REF!</definedName>
    <definedName name="ㄴ" hidden="1">{#N/A,#N/A,TRUE,"Basic";#N/A,#N/A,TRUE,"EXT-TABLE";#N/A,#N/A,TRUE,"STEEL";#N/A,#N/A,TRUE,"INT-Table";#N/A,#N/A,TRUE,"STEEL";#N/A,#N/A,TRUE,"Door"}</definedName>
    <definedName name="ㄴㄴ" localSheetId="3" hidden="1">{#N/A,#N/A,FALSE,"예상손익";#N/A,#N/A,FALSE,"관리분석";#N/A,#N/A,FALSE,"장비분석";#N/A,#N/A,FALSE,"준설분석";#N/A,#N/A,FALSE,"철구분석"}</definedName>
    <definedName name="ㄴㄴ" hidden="1">#REF!</definedName>
    <definedName name="ㄴㄴㄴ">#N/A</definedName>
    <definedName name="ㄴㄴㄴㄴ" localSheetId="3" hidden="1">'[165]매각(6)'!$A$1:$IV$4051</definedName>
    <definedName name="ㄴㄴㄴㄴ" hidden="1">'[166]매각(6)'!$1:$4051</definedName>
    <definedName name="ㄴㄴㄴㄴㄴ">#REF!</definedName>
    <definedName name="ㄴㄴㄴㄴㅇ">#N/A</definedName>
    <definedName name="ㄴㄴㄴㅇㅁ" localSheetId="3" hidden="1">{#N/A,#N/A,FALSE,"이태원철근"}</definedName>
    <definedName name="ㄴㄴㄴㅇㅁ" hidden="1">{#N/A,#N/A,FALSE,"이태원철근"}</definedName>
    <definedName name="ㄴㄴㄷ" hidden="1">{#N/A,#N/A,FALSE,"이태원철근"}</definedName>
    <definedName name="ㄴㄻㄴㅇ" localSheetId="3" hidden="1">{#N/A,#N/A,FALSE,"조골재"}</definedName>
    <definedName name="ㄴㄻㄴㅇ" hidden="1">{#N/A,#N/A,FALSE,"조골재"}</definedName>
    <definedName name="ㄴㅁ논ㄹ홍" hidden="1">{#N/A,#N/A,FALSE,"이태원철근"}</definedName>
    <definedName name="ㄴㅁㄹㄴㅁㅇㄴㅇㅁㄹㄴ" localSheetId="3" hidden="1">{#N/A,#N/A,FALSE,"단가표지"}</definedName>
    <definedName name="ㄴㅁㄹㄴㅁㅇㄴㅇㅁㄹㄴ" hidden="1">{#N/A,#N/A,FALSE,"단가표지"}</definedName>
    <definedName name="ㄴㅁㅁㄴㄴㅁ">#N/A</definedName>
    <definedName name="ㄴㅁㅁㅁㅁㅁㅁ" hidden="1">{#N/A,#N/A,FALSE,"이태원철근"}</definedName>
    <definedName name="ㄴㅁㅇㅂㅈㄷㅁㄴㅂㅈㄷ" hidden="1">{#N/A,#N/A,FALSE,"이태원철근"}</definedName>
    <definedName name="ㄴㅁㅇㅎㅁㄴㅇㄻㄴㄷㅈㄹㄴㅇ" hidden="1">{#N/A,#N/A,FALSE,"이태원철근"}</definedName>
    <definedName name="ㄴㅇ" localSheetId="3" hidden="1">{#N/A,#N/A,FALSE,"이태원철근"}</definedName>
    <definedName name="ㄴㅇ" hidden="1">{#N/A,#N/A,FALSE,"이태원철근"}</definedName>
    <definedName name="ㄴㅇㄹ" hidden="1">{#N/A,#N/A,FALSE,"CCTV"}</definedName>
    <definedName name="ㄴㅇㄹㄴㅇㄹㄴㅇㅁㄹㄴㄷㅈㄱㄹ" hidden="1">{#N/A,#N/A,FALSE,"이태원철근"}</definedName>
    <definedName name="ㄴㅇㄹㄴㅇㄻㄴㅇㄹ" hidden="1">{#N/A,#N/A,FALSE,"이태원철근"}</definedName>
    <definedName name="ㄴㅇㄻㄴㅇㄹ" hidden="1">{#N/A,#N/A,FALSE,"이태원철근"}</definedName>
    <definedName name="ㄴㅇㄻㄴㅇㄻㄴㅇㄻㄴㅇ" hidden="1">{#N/A,#N/A,FALSE,"이태원철근"}</definedName>
    <definedName name="ㄴㅇㅀㄴㄶ" localSheetId="3" hidden="1">{#N/A,#N/A,FALSE,"운반시간"}</definedName>
    <definedName name="ㄴㅇㅀㄴㄶ" hidden="1">{#N/A,#N/A,FALSE,"운반시간"}</definedName>
    <definedName name="ㄴㅇㅁㄴㅇㅂㅈㄷㅁㄴ" hidden="1">{#N/A,#N/A,FALSE,"이태원철근"}</definedName>
    <definedName name="ㄴㅇㅁㄹㄴㅇㄹㄴㅇㅁㄹㄴㅇㅁ" hidden="1">{#N/A,#N/A,FALSE,"이태원철근"}</definedName>
    <definedName name="ㄴㅇㅁㄹㄴㅇㄻㄴㅇㄹ" hidden="1">{#N/A,#N/A,FALSE,"이태원철근"}</definedName>
    <definedName name="ㄴㅇㅁㄻㄴㅇㅎㅁㄴㅇㅎ" hidden="1">{#N/A,#N/A,FALSE,"이태원철근"}</definedName>
    <definedName name="ㄴㅇㅁㅎㄴㅇㅁㄻㄴㅇㅎㅁㄴㅇㅎ" hidden="1">{#N/A,#N/A,FALSE,"이태원철근"}</definedName>
    <definedName name="ㄴㅇㅂㅈㄷㅇㅁㄴㅇㅁㅈㄷ" hidden="1">{#N/A,#N/A,FALSE,"이태원철근"}</definedName>
    <definedName name="ㄴㅇㅎ" hidden="1">{#N/A,#N/A,FALSE,"이태원철근"}</definedName>
    <definedName name="ㄴㅇㅎㄻㄴㄻㄴㅇ" hidden="1">{#N/A,#N/A,FALSE,"이태원철근"}</definedName>
    <definedName name="나" hidden="1">[14]유림골조!#REF!</definedName>
    <definedName name="남미Site출발항공료">'[109]계약고별 차등단가'!#REF!</definedName>
    <definedName name="남미출장비">'[109]계약고별 차등단가'!#REF!</definedName>
    <definedName name="남미한국출발항공료">'[109]계약고별 차등단가'!#REF!</definedName>
    <definedName name="남미호텔비">'[109]계약고별 차등단가'!#REF!</definedName>
    <definedName name="남청사"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납기일" localSheetId="3">#REF!</definedName>
    <definedName name="납기일">#REF!</definedName>
    <definedName name="내선전공">#REF!</definedName>
    <definedName name="내역" localSheetId="3" hidden="1">{#N/A,#N/A,FALSE,"단가표지"}</definedName>
    <definedName name="내역" hidden="1">{#N/A,#N/A,FALSE,"단가표지"}</definedName>
    <definedName name="내역1">[160]!내역1</definedName>
    <definedName name="내역서" localSheetId="3">#REF!</definedName>
    <definedName name="내역서">#REF!</definedName>
    <definedName name="내역서1" localSheetId="3">#REF!</definedName>
    <definedName name="내역서1">#REF!</definedName>
    <definedName name="낷" localSheetId="3">#REF!</definedName>
    <definedName name="낷">#REF!</definedName>
    <definedName name="낷2" localSheetId="3">#REF!</definedName>
    <definedName name="낷2">#REF!</definedName>
    <definedName name="넣러" localSheetId="3" hidden="1">{#N/A,#N/A,FALSE,"표지목차"}</definedName>
    <definedName name="넣러" hidden="1">{#N/A,#N/A,FALSE,"표지목차"}</definedName>
    <definedName name="년초99" localSheetId="3">#REF!</definedName>
    <definedName name="년초99">#REF!</definedName>
    <definedName name="노" localSheetId="3" hidden="1">{#N/A,#N/A,FALSE,"사업총괄";#N/A,#N/A,FALSE,"장비사업";#N/A,#N/A,FALSE,"철구사업";#N/A,#N/A,FALSE,"준설사업"}</definedName>
    <definedName name="노" hidden="1">{#N/A,#N/A,FALSE,"사업총괄";#N/A,#N/A,FALSE,"장비사업";#N/A,#N/A,FALSE,"철구사업";#N/A,#N/A,FALSE,"준설사업"}</definedName>
    <definedName name="노견토_포설_및_다짐" localSheetId="3">#REF!</definedName>
    <definedName name="노견토_포설_및_다짐">#REF!</definedName>
    <definedName name="노견토포설및다짐" localSheetId="3">#REF!</definedName>
    <definedName name="노견토포설및다짐">#REF!</definedName>
    <definedName name="노무비" localSheetId="3">#REF!</definedName>
    <definedName name="노무비">#REF!</definedName>
    <definedName name="노무비단가산출서" hidden="1">#REF!</definedName>
    <definedName name="노무인력투입계획교사" hidden="1">{#N/A,#N/A,FALSE,"이태원철근"}</definedName>
    <definedName name="노상_준비_공사" localSheetId="3">#REF!</definedName>
    <definedName name="노상_준비_공사">#REF!</definedName>
    <definedName name="노상준비공사" localSheetId="3">#REF!</definedName>
    <definedName name="노상준비공사">#REF!</definedName>
    <definedName name="노원문화" localSheetId="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노원문화"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노원문화1" localSheetId="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노원문화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노임" localSheetId="3">#REF!</definedName>
    <definedName name="노임">#REF!</definedName>
    <definedName name="노트" hidden="1">{#N/A,#N/A,TRUE,"총괄"}</definedName>
    <definedName name="노형1" localSheetId="3" hidden="1">{#N/A,#N/A,FALSE,"사업총괄";#N/A,#N/A,FALSE,"장비사업";#N/A,#N/A,FALSE,"철구사업";#N/A,#N/A,FALSE,"준설사업"}</definedName>
    <definedName name="노형1" hidden="1">{#N/A,#N/A,FALSE,"사업총괄";#N/A,#N/A,FALSE,"장비사업";#N/A,#N/A,FALSE,"철구사업";#N/A,#N/A,FALSE,"준설사업"}</definedName>
    <definedName name="놀ㄴ홀옿ㅇ" hidden="1">{#N/A,#N/A,FALSE,"이태원철근"}</definedName>
    <definedName name="놈ㄴㅁㅇ로" hidden="1">{#N/A,#N/A,FALSE,"이태원철근"}</definedName>
    <definedName name="놓ㄹ노" localSheetId="3" hidden="1">{#N/A,#N/A,FALSE,"골재소요량";#N/A,#N/A,FALSE,"골재소요량"}</definedName>
    <definedName name="놓ㄹ노" hidden="1">{#N/A,#N/A,FALSE,"골재소요량";#N/A,#N/A,FALSE,"골재소요량"}</definedName>
    <definedName name="놓롢론ㄹ" hidden="1">{#N/A,#N/A,FALSE,"이태원철근"}</definedName>
    <definedName name="ㄶㅇㅀㄴㅇ" localSheetId="3" hidden="1">{#N/A,#N/A,FALSE,"표지목차"}</definedName>
    <definedName name="ㄶㅇㅀㄴㅇ" hidden="1">{#N/A,#N/A,FALSE,"표지목차"}</definedName>
    <definedName name="ㄶㅇㅁㄶㅇㅎㅇㅁㄶㅁㄶㅇ" hidden="1">{#N/A,#N/A,FALSE,"이태원철근"}</definedName>
    <definedName name="ㄷ" hidden="1">{#N/A,#N/A,FALSE,"이태원철근"}</definedName>
    <definedName name="ㄷㄱ" localSheetId="3" hidden="1">{#N/A,#N/A,FALSE,"단가표지"}</definedName>
    <definedName name="ㄷㄱ" hidden="1">{#N/A,#N/A,FALSE,"단가표지"}</definedName>
    <definedName name="ㄷㄱㅈ" hidden="1">{#N/A,#N/A,FALSE,"이태원철근"}</definedName>
    <definedName name="ㄷㄱㅈㄱㄷㅈ" hidden="1">{#N/A,#N/A,FALSE,"이태원철근"}</definedName>
    <definedName name="ㄷ굦ㄷ굗ㄱㅈ" hidden="1">{#N/A,#N/A,FALSE,"이태원철근"}</definedName>
    <definedName name="ㄷㄳ" hidden="1">{#N/A,#N/A,FALSE,"이태원철근"}</definedName>
    <definedName name="ㄷㄷ" localSheetId="4" hidden="1">{#N/A,#N/A,FALSE,"이태원철근"}</definedName>
    <definedName name="ㄷㄷ">#N/A</definedName>
    <definedName name="ㄷㄷㄷ" localSheetId="3" hidden="1">{#N/A,#N/A,FALSE,"운반시간"}</definedName>
    <definedName name="ㄷㄷㄷ" hidden="1">{#N/A,#N/A,FALSE,"운반시간"}</definedName>
    <definedName name="ㄷㄷㄷㄷㄷ" localSheetId="3" hidden="1">{#N/A,#N/A,FALSE,"이태원철근"}</definedName>
    <definedName name="ㄷㄷㄷㄷㄷ" hidden="1">{#N/A,#N/A,FALSE,"이태원철근"}</definedName>
    <definedName name="ㄷㄹ" localSheetId="3" hidden="1">{#N/A,#N/A,FALSE,"부대2"}</definedName>
    <definedName name="ㄷㄹ" hidden="1">{#N/A,#N/A,FALSE,"부대2"}</definedName>
    <definedName name="ㄷㄹㄷ" hidden="1">#REF!</definedName>
    <definedName name="ㄷㄹㅈㄷㄽ" localSheetId="3" hidden="1">{#N/A,#N/A,FALSE,"포장2"}</definedName>
    <definedName name="ㄷㄹㅈㄷㄽ" hidden="1">{#N/A,#N/A,FALSE,"포장2"}</definedName>
    <definedName name="ㄷ오" localSheetId="3" hidden="1">{#N/A,#N/A,FALSE,"이태원철근"}</definedName>
    <definedName name="ㄷ오" hidden="1">{#N/A,#N/A,FALSE,"이태원철근"}</definedName>
    <definedName name="ㄷㅈㄱㅈㄷㄱㅈㄱ주" hidden="1">{#N/A,#N/A,FALSE,"이태원철근"}</definedName>
    <definedName name="ㄷㅈㅈㅈㅈㅂ" hidden="1">{#N/A,#N/A,FALSE,"이태원철근"}</definedName>
    <definedName name="다" localSheetId="3">#REF!</definedName>
    <definedName name="다" hidden="1">[25]Sheet4!#REF!</definedName>
    <definedName name="단가2" localSheetId="3" hidden="1">{#N/A,#N/A,FALSE,"이태원철근"}</definedName>
    <definedName name="단가2" hidden="1">{#N/A,#N/A,FALSE,"이태원철근"}</definedName>
    <definedName name="단가비교" localSheetId="3">#REF!</definedName>
    <definedName name="단가비교">#REF!</definedName>
    <definedName name="단가비교표" localSheetId="3">#REF!,#REF!</definedName>
    <definedName name="단가비교표">#REF!,#REF!</definedName>
    <definedName name="단가산출" localSheetId="3">#REF!</definedName>
    <definedName name="단가산출">#REF!</definedName>
    <definedName name="단가할증" localSheetId="3">#REF!</definedName>
    <definedName name="단가할증">#REF!</definedName>
    <definedName name="단순" localSheetId="17">#REF!</definedName>
    <definedName name="단순" localSheetId="15">#REF!</definedName>
    <definedName name="단순">#REF!</definedName>
    <definedName name="단위" localSheetId="3">#REF!</definedName>
    <definedName name="단위">#REF!</definedName>
    <definedName name="달러환율" localSheetId="3">#REF!</definedName>
    <definedName name="달러환율">#REF!</definedName>
    <definedName name="당" hidden="1">{#N/A,#N/A,FALSE,"이태원철근"}</definedName>
    <definedName name="당초계획" localSheetId="17" hidden="1">#REF!</definedName>
    <definedName name="당초계획" localSheetId="15" hidden="1">#REF!</definedName>
    <definedName name="당초계획" localSheetId="4" hidden="1">#REF!</definedName>
    <definedName name="당초계획" localSheetId="3" hidden="1">#REF!</definedName>
    <definedName name="당초계획" hidden="1">#REF!</definedName>
    <definedName name="대가" localSheetId="3">#REF!</definedName>
    <definedName name="대가">#REF!</definedName>
    <definedName name="대가1" localSheetId="3">#REF!</definedName>
    <definedName name="대가1">#REF!</definedName>
    <definedName name="대구공항"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대여금" localSheetId="3" hidden="1">{#N/A,#N/A,FALSE,"이태원철근"}</definedName>
    <definedName name="대여금" hidden="1">{#N/A,#N/A,FALSE,"이태원철근"}</definedName>
    <definedName name="대전유통">[167]견적서!$A$1:$D$1063</definedName>
    <definedName name="더ㅓ" localSheetId="3" hidden="1">{#N/A,#N/A,FALSE,"이태원철근"}</definedName>
    <definedName name="더ㅓ" hidden="1">{#N/A,#N/A,FALSE,"이태원철근"}</definedName>
    <definedName name="더ㅓㅓ" localSheetId="3" hidden="1">{#N/A,#N/A,FALSE,"이태원철근"}</definedName>
    <definedName name="더ㅓㅓ" hidden="1">{#N/A,#N/A,FALSE,"이태원철근"}</definedName>
    <definedName name="덕" hidden="1">{#N/A,#N/A,FALSE,"지침";#N/A,#N/A,FALSE,"환경분석";#N/A,#N/A,FALSE,"Sheet16"}</definedName>
    <definedName name="도" localSheetId="3" hidden="1">{#N/A,#N/A,FALSE,"이태원철근"}</definedName>
    <definedName name="도" hidden="1">{#N/A,#N/A,FALSE,"이태원철근"}</definedName>
    <definedName name="도급공사비" localSheetId="3">#REF!</definedName>
    <definedName name="도급공사비">#REF!</definedName>
    <definedName name="도급내역">[160]!도급내역</definedName>
    <definedName name="도급영역">[21]갑지!#REF!</definedName>
    <definedName name="도재운반" localSheetId="3">#REF!</definedName>
    <definedName name="도재운반">#REF!</definedName>
    <definedName name="동구연숩" hidden="1">{#N/A,#N/A,FALSE,"전력간선"}</definedName>
    <definedName name="동남아시아Site출발항공료">'[109]계약고별 차등단가'!#REF!</definedName>
    <definedName name="동남아시아출장비">'[109]계약고별 차등단가'!#REF!</definedName>
    <definedName name="동남아시아한국출발항공료">'[109]계약고별 차등단가'!#REF!</definedName>
    <definedName name="동남아시아호텔비">'[109]계약고별 차등단가'!#REF!</definedName>
    <definedName name="동원" localSheetId="3">#REF!</definedName>
    <definedName name="동원">#REF!</definedName>
    <definedName name="동원1" localSheetId="3">#REF!</definedName>
    <definedName name="동원1">#REF!</definedName>
    <definedName name="되메우기" localSheetId="3">#REF!</definedName>
    <definedName name="되메우기">#REF!</definedName>
    <definedName name="되메우기_및_다짐" localSheetId="3">#REF!</definedName>
    <definedName name="되메우기_및_다짐">#REF!</definedName>
    <definedName name="되메우기및다짐" localSheetId="3">#REF!</definedName>
    <definedName name="되메우기및다짐">#REF!</definedName>
    <definedName name="들" hidden="1">{#N/A,#N/A,FALSE,"이태원철근"}</definedName>
    <definedName name="ㄹ" localSheetId="3" hidden="1">{#N/A,#N/A,FALSE,"이태원철근"}</definedName>
    <definedName name="ㄹ" hidden="1">{#N/A,#N/A,FALSE,"이태원철근"}</definedName>
    <definedName name="ㄹㄴㄴㄴ" hidden="1">{#N/A,#N/A,FALSE,"이태원철근"}</definedName>
    <definedName name="ㄹㄴㄹ" hidden="1">#REF!</definedName>
    <definedName name="ㄹㄴㅇㄻㄴ" localSheetId="3" hidden="1">{#N/A,#N/A,FALSE,"단가표지"}</definedName>
    <definedName name="ㄹㄴㅇㄻㄴ" hidden="1">{#N/A,#N/A,FALSE,"단가표지"}</definedName>
    <definedName name="ㄹㄴ웋" localSheetId="3" hidden="1">{#N/A,#N/A,FALSE,"운반시간"}</definedName>
    <definedName name="ㄹㄴ웋" hidden="1">{#N/A,#N/A,FALSE,"운반시간"}</definedName>
    <definedName name="ㄹㄷㅈ" hidden="1">{#N/A,#N/A,FALSE,"이태원철근"}</definedName>
    <definedName name="ㄹㄹ" localSheetId="3" hidden="1">{#N/A,#N/A,FALSE,"조골재"}</definedName>
    <definedName name="ㄹㄹ" hidden="1">{#N/A,#N/A,FALSE,"조골재"}</definedName>
    <definedName name="ㄹㄹㄹ" hidden="1">{#N/A,#N/A,FALSE,"이태원철근"}</definedName>
    <definedName name="ㄹㄹㄹㄹㅀㅎ">#N/A</definedName>
    <definedName name="ㄹㅇ" localSheetId="3">#REF!</definedName>
    <definedName name="ㄹㅇ">#REF!</definedName>
    <definedName name="ㄹㅇㄹ" localSheetId="3" hidden="1">{#N/A,#N/A,FALSE,"혼합골재"}</definedName>
    <definedName name="ㄹㅇㄹ" hidden="1">{#N/A,#N/A,FALSE,"혼합골재"}</definedName>
    <definedName name="ㄹㅇㅁ" localSheetId="17">[164]사업부배부A!#REF!</definedName>
    <definedName name="ㄹㅇㅁ" localSheetId="15">[164]사업부배부A!#REF!</definedName>
    <definedName name="ㄹㅇㅁ">[164]사업부배부A!#REF!</definedName>
    <definedName name="ㄹㅇㅂ" hidden="1">{#N/A,#N/A,FALSE,"이태원철근"}</definedName>
    <definedName name="ㄹㅇㅎㄴㅇ" localSheetId="3" hidden="1">{#N/A,#N/A,FALSE,"조골재"}</definedName>
    <definedName name="ㄹㅇㅎㄴㅇ" hidden="1">{#N/A,#N/A,FALSE,"조골재"}</definedName>
    <definedName name="라" hidden="1">[25]Sheet4!#REF!</definedName>
    <definedName name="래그" hidden="1">{#N/A,#N/A,FALSE,"CCTV"}</definedName>
    <definedName name="러시아Site출발항공료">'[109]계약고별 차등단가'!#REF!</definedName>
    <definedName name="러시아출장비">'[109]계약고별 차등단가'!#REF!</definedName>
    <definedName name="러시아한국출발항공료">'[109]계약고별 차등단가'!#REF!</definedName>
    <definedName name="러시아호텔비">'[109]계약고별 차등단가'!#REF!</definedName>
    <definedName name="러ㅛ" hidden="1">{#N/A,#N/A,FALSE,"이태원철근"}</definedName>
    <definedName name="레미콘__철근" localSheetId="3">#REF!</definedName>
    <definedName name="레미콘__철근">#REF!</definedName>
    <definedName name="레미콘_철근" localSheetId="3">#REF!</definedName>
    <definedName name="레미콘_철근">#REF!</definedName>
    <definedName name="레미콘_타설" localSheetId="3">#REF!</definedName>
    <definedName name="레미콘_타설">#REF!</definedName>
    <definedName name="레미콘_타설__철근" localSheetId="3">#REF!</definedName>
    <definedName name="레미콘_타설__철근">#REF!</definedName>
    <definedName name="레미콘철근" localSheetId="3">#REF!</definedName>
    <definedName name="레미콘철근">#REF!</definedName>
    <definedName name="레미콘타설" localSheetId="3">#REF!</definedName>
    <definedName name="레미콘타설">#REF!</definedName>
    <definedName name="레미콘타설_철근" localSheetId="3">#REF!</definedName>
    <definedName name="레미콘타설_철근">#REF!</definedName>
    <definedName name="레미콘타설철근" localSheetId="3">#REF!</definedName>
    <definedName name="레미콘타설철근">#REF!</definedName>
    <definedName name="로" localSheetId="3" hidden="1">{#N/A,#N/A,FALSE,"이태원철근"}</definedName>
    <definedName name="로" hidden="1">{#N/A,#N/A,FALSE,"이태원철근"}</definedName>
    <definedName name="로소" localSheetId="3" hidden="1">{#N/A,#N/A,FALSE,"포장2"}</definedName>
    <definedName name="로소" hidden="1">{#N/A,#N/A,FALSE,"포장2"}</definedName>
    <definedName name="로하ㅗㅎ러ㅏㅓㅗㅎ려" hidden="1">{#N/A,#N/A,FALSE,"이태원철근"}</definedName>
    <definedName name="로허ㅗㅎ러ㅗㅎ러" hidden="1">{#N/A,#N/A,FALSE,"이태원철근"}</definedName>
    <definedName name="로허ㅗㅎ렁호ㅓ" hidden="1">{#N/A,#N/A,FALSE,"이태원철근"}</definedName>
    <definedName name="로ㅗ" localSheetId="3" hidden="1">{#N/A,#N/A,FALSE,"이태원철근"}</definedName>
    <definedName name="로ㅗ" hidden="1">{#N/A,#N/A,FALSE,"이태원철근"}</definedName>
    <definedName name="롷럻" hidden="1">{#N/A,#N/A,FALSE,"이태원철근"}</definedName>
    <definedName name="료료" localSheetId="3" hidden="1">{#N/A,#N/A,FALSE,"이태원철근"}</definedName>
    <definedName name="료료" hidden="1">{#N/A,#N/A,FALSE,"이태원철근"}</definedName>
    <definedName name="류기평" hidden="1">{"LKD",#N/A,FALSE,"표지"}</definedName>
    <definedName name="리리리" localSheetId="3">#REF!,#REF!,#REF!</definedName>
    <definedName name="리리리">#REF!,#REF!,#REF!</definedName>
    <definedName name="리비" localSheetId="3" hidden="1">#REF!</definedName>
    <definedName name="리비" hidden="1">#REF!</definedName>
    <definedName name="ㄻㄴㄹㅇㄴㅁ" localSheetId="3" hidden="1">{#N/A,#N/A,FALSE,"운반시간"}</definedName>
    <definedName name="ㄻㄴㄹㅇㄴㅁ" hidden="1">{#N/A,#N/A,FALSE,"운반시간"}</definedName>
    <definedName name="ㄻㄴㄻㄴㅇㄻㄴ" localSheetId="3" hidden="1">{#N/A,#N/A,FALSE,"표지목차"}</definedName>
    <definedName name="ㄻㄴㄻㄴㅇㄻㄴ" hidden="1">{#N/A,#N/A,FALSE,"표지목차"}</definedName>
    <definedName name="ㄻㄴㅇㄻㄴ" localSheetId="3" hidden="1">{#N/A,#N/A,FALSE,"단가표지"}</definedName>
    <definedName name="ㄻㄴㅇㄻㄴ" hidden="1">{#N/A,#N/A,FALSE,"단가표지"}</definedName>
    <definedName name="ㄻㄴㅇㄻㄴㄹ" localSheetId="3" hidden="1">{#N/A,#N/A,FALSE,"2~8번"}</definedName>
    <definedName name="ㄻㄴㅇㄻㄴㄹ" hidden="1">{#N/A,#N/A,FALSE,"2~8번"}</definedName>
    <definedName name="ㄻㄴㅇㄻㄴㄻㄴㅁㄴ" localSheetId="3" hidden="1">{#N/A,#N/A,FALSE,"단가표지"}</definedName>
    <definedName name="ㄻㄴㅇㄻㄴㄻㄴㅁㄴ" hidden="1">{#N/A,#N/A,FALSE,"단가표지"}</definedName>
    <definedName name="ㄻㄴㅇㄻㄴㅁ" localSheetId="3" hidden="1">{#N/A,#N/A,FALSE,"운반시간"}</definedName>
    <definedName name="ㄻㄴㅇㄻㄴㅁ" hidden="1">{#N/A,#N/A,FALSE,"운반시간"}</definedName>
    <definedName name="ㄻㄴㅇㄻㄴㅇ" localSheetId="3" hidden="1">{#N/A,#N/A,FALSE,"단가표지"}</definedName>
    <definedName name="ㄻㄴㅇㄻㄴㅇ" hidden="1">{#N/A,#N/A,FALSE,"단가표지"}</definedName>
    <definedName name="ㄻㄴㅇㄻㄴㅇㄻ" localSheetId="3" hidden="1">{#N/A,#N/A,FALSE,"표지목차"}</definedName>
    <definedName name="ㄻㄴㅇㄻㄴㅇㄻ" hidden="1">{#N/A,#N/A,FALSE,"표지목차"}</definedName>
    <definedName name="ㄻㄴㅇㅁㄴㅇ" localSheetId="3" hidden="1">{#N/A,#N/A,FALSE,"단가표지"}</definedName>
    <definedName name="ㄻㄴㅇㅁㄴㅇ" hidden="1">{#N/A,#N/A,FALSE,"단가표지"}</definedName>
    <definedName name="ㄻㅁ" localSheetId="3" hidden="1">{#N/A,#N/A,FALSE,"조골재"}</definedName>
    <definedName name="ㄻㅁ" hidden="1">{#N/A,#N/A,FALSE,"조골재"}</definedName>
    <definedName name="ㄼ" hidden="1">{#N/A,#N/A,FALSE,"이태원철근"}</definedName>
    <definedName name="ㄼㅂ" hidden="1">{#N/A,#N/A,FALSE,"이태원철근"}</definedName>
    <definedName name="ㄽ허쇼ㅓ쇼ㅓㅛ서" hidden="1">#REF!</definedName>
    <definedName name="ㅀ" localSheetId="3" hidden="1">#REF!</definedName>
    <definedName name="ㅀ" hidden="1">#REF!</definedName>
    <definedName name="ㅀㅇㅁ" localSheetId="3" hidden="1">{#N/A,#N/A,FALSE,"골재소요량";#N/A,#N/A,FALSE,"골재소요량"}</definedName>
    <definedName name="ㅀㅇㅁ" hidden="1">{#N/A,#N/A,FALSE,"골재소요량";#N/A,#N/A,FALSE,"골재소요량"}</definedName>
    <definedName name="ㅀ허" hidden="1">{#N/A,#N/A,FALSE,"CCTV"}</definedName>
    <definedName name="ㅁ" localSheetId="4" hidden="1">{#N/A,#N/A,FALSE,"이태원철근"}</definedName>
    <definedName name="ㅁ">#N/A</definedName>
    <definedName name="ㅁ01" localSheetId="3">#REF!</definedName>
    <definedName name="ㅁ01">#REF!</definedName>
    <definedName name="ㅁ1" localSheetId="3">#REF!</definedName>
    <definedName name="ㅁ1">#REF!</definedName>
    <definedName name="ㅁ139" localSheetId="3">#REF!</definedName>
    <definedName name="ㅁ139">#REF!</definedName>
    <definedName name="ㅁ1390" localSheetId="3">#REF!</definedName>
    <definedName name="ㅁ1390">#REF!</definedName>
    <definedName name="ㅁ545" localSheetId="3">#REF!</definedName>
    <definedName name="ㅁ545">#REF!</definedName>
    <definedName name="ㅁ636" localSheetId="3">#REF!</definedName>
    <definedName name="ㅁ636">#REF!</definedName>
    <definedName name="ㅁ835" localSheetId="3">#REF!</definedName>
    <definedName name="ㅁ835">#REF!</definedName>
    <definedName name="ㅁㄴㄹㄴ" localSheetId="3" hidden="1">{#N/A,#N/A,FALSE,"운반시간"}</definedName>
    <definedName name="ㅁㄴㄹㄴ" hidden="1">{#N/A,#N/A,FALSE,"운반시간"}</definedName>
    <definedName name="ㅁㄴㄹㅇㅁ" localSheetId="3" hidden="1">{#N/A,#N/A,FALSE,"단가표지"}</definedName>
    <definedName name="ㅁㄴㄹㅇㅁ" hidden="1">{#N/A,#N/A,FALSE,"단가표지"}</definedName>
    <definedName name="ㅁㄴㄹㅇㅁㄴㅇ" hidden="1">'[3]#REF'!#REF!</definedName>
    <definedName name="ㅁㄴㅁㅁ">#N/A</definedName>
    <definedName name="ㅁㄴㅁㅇ" hidden="1">#REF!</definedName>
    <definedName name="ㅁㄴㅇ" localSheetId="3" hidden="1">{#N/A,#N/A,FALSE,"배수1"}</definedName>
    <definedName name="ㅁㄴㅇ" hidden="1">{#N/A,#N/A,TRUE,"총괄"}</definedName>
    <definedName name="ㅁㄴㅇㄷㅂㅈㄷㅇㅂㅈㄷ" hidden="1">{#N/A,#N/A,FALSE,"이태원철근"}</definedName>
    <definedName name="ㅁㄴㅇㄹ" localSheetId="3" hidden="1">'[1]TOWER 10TON'!#REF!</definedName>
    <definedName name="ㅁㄴㅇㄹ" hidden="1">{#N/A,#N/A,FALSE,"이태원철근"}</definedName>
    <definedName name="ㅁㄴㅇㄹㄴㅇㄹ" hidden="1">{#N/A,#N/A,FALSE,"이태원철근"}</definedName>
    <definedName name="ㅁㄴㅇㄹㄴㅇㄻㄴㅇㄹㄴ" hidden="1">{#N/A,#N/A,FALSE,"이태원철근"}</definedName>
    <definedName name="ㅁㄴㅇㄹㄴㅇㅁㄹㄴㅇㅁㄻ누" hidden="1">{#N/A,#N/A,FALSE,"이태원철근"}</definedName>
    <definedName name="ㅁㄴㅇㄹㄴㅇㅁㄻㄴㅇㄻ" hidden="1">{#N/A,#N/A,FALSE,"이태원철근"}</definedName>
    <definedName name="ㅁㄴㅇㄹㄴㅇㅁㅎㄷㅈㅅㅎㄻㄴ" hidden="1">{#N/A,#N/A,FALSE,"이태원철근"}</definedName>
    <definedName name="ㅁㄴㅇㄹㄻㄴ" hidden="1">{#N/A,#N/A,FALSE,"이태원철근"}</definedName>
    <definedName name="ㅁㄴㅇㄻㄴㄹㄴㅁㅇ" hidden="1">{#N/A,#N/A,FALSE,"이태원철근"}</definedName>
    <definedName name="ㅁㄴㅇㄻㄴㅇㄹ" hidden="1">{#N/A,#N/A,FALSE,"이태원철근"}</definedName>
    <definedName name="ㅁㄴㅇㄻㄴㅇㄹㄴㅁㅇㄹ" hidden="1">{#N/A,#N/A,FALSE,"이태원철근"}</definedName>
    <definedName name="ㅁㄴㅇㄻㄴㅇㄻㄴㅇ" hidden="1">{#N/A,#N/A,FALSE,"이태원철근"}</definedName>
    <definedName name="ㅁㄴㅇㄻㄹ" hidden="1">{#N/A,#N/A,FALSE,"이태원철근"}</definedName>
    <definedName name="ㅁㄴㅇㅁㄶㅇㄶㅇㄶㅇㅁㅎㅇ" hidden="1">{#N/A,#N/A,FALSE,"이태원철근"}</definedName>
    <definedName name="ㅁㄴㅇㅂㅈㄷㅁㄴㄷㅇㅁㄴ" hidden="1">{#N/A,#N/A,FALSE,"이태원철근"}</definedName>
    <definedName name="ㅁㄴㅇㅂㅈㄷㅁㄴㅇㅂㅈ" hidden="1">{#N/A,#N/A,FALSE,"이태원철근"}</definedName>
    <definedName name="ㅁㄴㅇㅎㄴㅇㅁㄹㄷㅈㄹㄴㅇ" hidden="1">{#N/A,#N/A,FALSE,"이태원철근"}</definedName>
    <definedName name="ㅁㄴㅇㅎㄴㅇㅁㄹㄷㅈㄹㄴㅇㄹ" hidden="1">{#N/A,#N/A,FALSE,"이태원철근"}</definedName>
    <definedName name="ㅁㄴㅇㅎㄴㅇㅁㅎㅁㄴㅇㄻㄴㅇ" hidden="1">{#N/A,#N/A,FALSE,"이태원철근"}</definedName>
    <definedName name="ㅁㄴㅇㅎㄴㅇㅁㅎㅁㄴㅇㅎㅁㄴㅇㄹ" hidden="1">{#N/A,#N/A,FALSE,"이태원철근"}</definedName>
    <definedName name="ㅁㄴㅇㅎㄴㅇㅎㄶㅇㄶㅇㅁ" hidden="1">{#N/A,#N/A,FALSE,"이태원철근"}</definedName>
    <definedName name="ㅁㄴㅇㅎㅁㄴㄷㅇㅎㄴㅇㅁㅎㅁㄴ" hidden="1">{#N/A,#N/A,FALSE,"이태원철근"}</definedName>
    <definedName name="ㅁㄴㅇㅎㅁㄴㄷㅈㅎㄻㄴㅇㄻㄴㅇ" hidden="1">{#N/A,#N/A,FALSE,"이태원철근"}</definedName>
    <definedName name="ㅁㄴㅇㅎㅁㄴㅇㅅㄷㅈㅁㄻㄴㅇㄹ" hidden="1">{#N/A,#N/A,FALSE,"이태원철근"}</definedName>
    <definedName name="ㅁㄴㅇㅎㅁㄴㅇㅎㄻㄴㅇㄱㄹㄴㅇ" hidden="1">{#N/A,#N/A,FALSE,"이태원철근"}</definedName>
    <definedName name="ㅁㄴㅇㅎㅁㄴㅇㅎㄻㄴㅇㅎㅁㄴㅇ" hidden="1">{#N/A,#N/A,FALSE,"이태원철근"}</definedName>
    <definedName name="ㅁㄴㅇㅎㅁㄴㅇㅎㅁㄴㅇㄻㄴㅇㄹ" hidden="1">{#N/A,#N/A,FALSE,"이태원철근"}</definedName>
    <definedName name="ㅁㄴㅇㅎㅁㄴㅇㅎㅁㄴㅇㅎ" hidden="1">{#N/A,#N/A,FALSE,"이태원철근"}</definedName>
    <definedName name="ㅁㄴㅇㅎㅁㄴㅇㅎㅁㄴㅇㅎㄴㅇㅁㅎ" hidden="1">{#N/A,#N/A,FALSE,"이태원철근"}</definedName>
    <definedName name="ㅁㄴㅇㅎㅁㄴㅇㅎㅁㄴㅇㅎㄹㄴㅇㅁㅎㄴ" hidden="1">{#N/A,#N/A,FALSE,"이태원철근"}</definedName>
    <definedName name="ㅁㄴㅇㅎㅁㄴㅇㅎㅁㄴㅇㅎㅁ" hidden="1">{#N/A,#N/A,FALSE,"이태원철근"}</definedName>
    <definedName name="ㅁㄴㅇㅎㅁㄴㅇㅎㅁㄴㅇㅎㅁㄴ" hidden="1">{#N/A,#N/A,FALSE,"이태원철근"}</definedName>
    <definedName name="ㅁㄴㅇㅎㅁㄴㅇㅎㅁㄶㅇㅁㄶㅇ" hidden="1">{#N/A,#N/A,FALSE,"이태원철근"}</definedName>
    <definedName name="ㅁㄴㅇㅎㅁㄶㅇㅁㄶㅇㄶㅇㅁ" hidden="1">{#N/A,#N/A,FALSE,"이태원철근"}</definedName>
    <definedName name="ㅁㄴㅇㅎㅁㄶㅇㅇㅁㄶ" hidden="1">{#N/A,#N/A,FALSE,"이태원철근"}</definedName>
    <definedName name="ㅁㄴㅇㅎㅁㄷㅈㅎㅁㄴㄷㄱㄻㄴㅇ" hidden="1">{#N/A,#N/A,FALSE,"이태원철근"}</definedName>
    <definedName name="ㅁㄴㅇㅎㅁㅎㅇㅁㅎㅇ" hidden="1">{#N/A,#N/A,FALSE,"이태원철근"}</definedName>
    <definedName name="ㅁㄴ옴ㄴ오" hidden="1">{#N/A,#N/A,FALSE,"이태원철근"}</definedName>
    <definedName name="ㅁ뇬ㄱ쇿ㄴ" hidden="1">{#N/A,#N/A,FALSE,"이태원철근"}</definedName>
    <definedName name="ㅁㄶㅇㄶㅇㄶㅇㄶㅇㅁ" hidden="1">{#N/A,#N/A,FALSE,"이태원철근"}</definedName>
    <definedName name="ㅁㄶㅇㄶㅇㄶㅇㅁㅁㄶㅇㅎㅇ" hidden="1">{#N/A,#N/A,FALSE,"이태원철근"}</definedName>
    <definedName name="ㅁㄶㅇㄶㅇㅁㄶㅇㅁㄶㅇㄶㅇㅁ" hidden="1">{#N/A,#N/A,FALSE,"이태원철근"}</definedName>
    <definedName name="ㅁㄶㅇㄶㅇㅁㄶㅇㅁㄶㅇㅁㄶㅇ" hidden="1">{#N/A,#N/A,FALSE,"이태원철근"}</definedName>
    <definedName name="ㅁㄶㅇㅁㄶㅇㄶㅇㄶㅇㄶㅇ" hidden="1">{#N/A,#N/A,FALSE,"이태원철근"}</definedName>
    <definedName name="ㅁㄶㅇㅎㅎㅇㄴㄶㅇㅁㄶㅇ" hidden="1">{#N/A,#N/A,FALSE,"이태원철근"}</definedName>
    <definedName name="ㅁㄹ" localSheetId="3" hidden="1">{#N/A,#N/A,FALSE,"이태원철근"}</definedName>
    <definedName name="ㅁㄹ" hidden="1">{#N/A,#N/A,FALSE,"이태원철근"}</definedName>
    <definedName name="ㅁㄹㄴㅇ" localSheetId="3" hidden="1">{#N/A,#N/A,FALSE,"단가표지"}</definedName>
    <definedName name="ㅁㄹㄴㅇ" hidden="1">{#N/A,#N/A,FALSE,"단가표지"}</definedName>
    <definedName name="ㅁㄹㄴㅇㄻㄴㄹ" localSheetId="3" hidden="1">{#N/A,#N/A,FALSE,"골재소요량";#N/A,#N/A,FALSE,"골재소요량"}</definedName>
    <definedName name="ㅁㄹㄴㅇㄻㄴㄹ" hidden="1">{#N/A,#N/A,FALSE,"골재소요량";#N/A,#N/A,FALSE,"골재소요량"}</definedName>
    <definedName name="ㅁㄹㄴㅇㅁ" localSheetId="3" hidden="1">{#N/A,#N/A,FALSE,"표지목차"}</definedName>
    <definedName name="ㅁㄹㄴㅇㅁ" hidden="1">{#N/A,#N/A,FALSE,"표지목차"}</definedName>
    <definedName name="ㅁㄹㅇㄴ" localSheetId="3" hidden="1">{#N/A,#N/A,FALSE,"단가표지"}</definedName>
    <definedName name="ㅁㄹㅇㄴ" hidden="1">{#N/A,#N/A,FALSE,"단가표지"}</definedName>
    <definedName name="ㅁㄹㅇㅁㄴ" localSheetId="3" hidden="1">{#N/A,#N/A,FALSE,"골재소요량";#N/A,#N/A,FALSE,"골재소요량"}</definedName>
    <definedName name="ㅁㄹㅇㅁㄴ" hidden="1">{#N/A,#N/A,FALSE,"골재소요량";#N/A,#N/A,FALSE,"골재소요량"}</definedName>
    <definedName name="ㅁㄻㄴㄹ" localSheetId="3" hidden="1">{#N/A,#N/A,FALSE,"골재소요량";#N/A,#N/A,FALSE,"골재소요량"}</definedName>
    <definedName name="ㅁㄻㄴㄹ" hidden="1">{#N/A,#N/A,FALSE,"골재소요량";#N/A,#N/A,FALSE,"골재소요량"}</definedName>
    <definedName name="ㅁㅁ" hidden="1">{#N/A,#N/A,FALSE,"이태원철근"}</definedName>
    <definedName name="ㅁㅁㅁ" localSheetId="3">#REF!</definedName>
    <definedName name="ㅁㅁㅁ" hidden="1">{"LKD",#N/A,FALSE,"표지"}</definedName>
    <definedName name="ㅁㅁㅁㅁ" localSheetId="3" hidden="1">{#N/A,#N/A,FALSE,"혼합골재"}</definedName>
    <definedName name="ㅁㅁㅁㅁ" hidden="1">{#N/A,#N/A,FALSE,"혼합골재"}</definedName>
    <definedName name="ㅁㅁㅁㅁㅁ" hidden="1">{#N/A,#N/A,FALSE,"이태원철근"}</definedName>
    <definedName name="ㅁㅁㅁㅁㅁㅁ" localSheetId="3" hidden="1">{#N/A,#N/A,FALSE,"이태원철근"}</definedName>
    <definedName name="ㅁㅁㅁㅁㅁㅁ" hidden="1">{#N/A,#N/A,FALSE,"이태원철근"}</definedName>
    <definedName name="ㅁㅁㅁㅁㅁㅁㅁㅁㅁㅁㅁ" hidden="1">{#N/A,#N/A,FALSE,"이태원철근"}</definedName>
    <definedName name="ㅁㅁㅁㅁㅁㅁㅁㅁㅁㅁㅁㅁ" hidden="1">{#N/A,#N/A,FALSE,"이태원철근"}</definedName>
    <definedName name="ㅁㅁㅁㅁㅁㅁㅁㅁㅁㅁㅁㅁㅁ" hidden="1">{#N/A,#N/A,FALSE,"이태원철근"}</definedName>
    <definedName name="ㅁㅁㅁㅁㅁㅁㅁㅁㅁㅁㅁㅁㅁㅁ" hidden="1">{#N/A,#N/A,FALSE,"이태원철근"}</definedName>
    <definedName name="ㅁㅇㄴㄻㄴㅇㄻㄴㅇㄹ" hidden="1">{#N/A,#N/A,FALSE,"이태원철근"}</definedName>
    <definedName name="ㅁㅇㄹㄴㅇㅁㄹ" localSheetId="3" hidden="1">{#N/A,#N/A,FALSE,"운반시간"}</definedName>
    <definedName name="ㅁㅇㄹㄴㅇㅁㄹ" hidden="1">{#N/A,#N/A,FALSE,"운반시간"}</definedName>
    <definedName name="ㅁㅇㄻ" localSheetId="3" hidden="1">{#N/A,#N/A,FALSE,"조골재"}</definedName>
    <definedName name="ㅁㅇㄻ" hidden="1">{#N/A,#N/A,FALSE,"조골재"}</definedName>
    <definedName name="ㅁㅇㄻㄴㄹ" localSheetId="3" hidden="1">{#N/A,#N/A,FALSE,"혼합골재"}</definedName>
    <definedName name="ㅁㅇㄻㄴㄹ" hidden="1">{#N/A,#N/A,FALSE,"혼합골재"}</definedName>
    <definedName name="ㅁㅇㄻㄴㄻ" hidden="1">{#N/A,#N/A,FALSE,"이태원철근"}</definedName>
    <definedName name="ㅁㅇㄻㅇㅎ" localSheetId="3" hidden="1">{#N/A,#N/A,FALSE,"조골재"}</definedName>
    <definedName name="ㅁㅇㄻㅇㅎ" hidden="1">{#N/A,#N/A,FALSE,"조골재"}</definedName>
    <definedName name="ㅁㅇㅀㅁㅇ" localSheetId="3" hidden="1">{#N/A,#N/A,FALSE,"단가표지"}</definedName>
    <definedName name="ㅁㅇㅀㅁㅇ" hidden="1">{#N/A,#N/A,FALSE,"단가표지"}</definedName>
    <definedName name="ㅁㅇㅂㅈㄷㅇㅂㅈㄷㅁㄴ" hidden="1">{#N/A,#N/A,FALSE,"이태원철근"}</definedName>
    <definedName name="ㅁㅇㅎㅁㄴㅇㅎㅁㄴ">{"'장비'!$A$3:$M$12"}</definedName>
    <definedName name="ㅁㅇㅎㅁㄴㅇㅎㅇㅁㄶㄻㅇㄴ" hidden="1">{#N/A,#N/A,FALSE,"이태원철근"}</definedName>
    <definedName name="ㅁㅇㅎㅁㄶㅇㅁㅎㅇㄶㅇ" hidden="1">{#N/A,#N/A,FALSE,"이태원철근"}</definedName>
    <definedName name="ㅁ오ㅓㅇ머" hidden="1">{#N/A,#N/A,FALSE,"이태원철근"}</definedName>
    <definedName name="ㅁㅎㄻㅇㄻ" localSheetId="3" hidden="1">{#N/A,#N/A,FALSE,"운반시간"}</definedName>
    <definedName name="ㅁㅎㄻㅇㄻ" hidden="1">{#N/A,#N/A,FALSE,"운반시간"}</definedName>
    <definedName name="ㅁㅎㅇㅀㅁㅇ" localSheetId="3" hidden="1">{#N/A,#N/A,FALSE,"2~8번"}</definedName>
    <definedName name="ㅁㅎㅇㅀㅁㅇ" hidden="1">{#N/A,#N/A,FALSE,"2~8번"}</definedName>
    <definedName name="ㅁㅎㅇㅀㅁㅎ" localSheetId="3" hidden="1">{#N/A,#N/A,FALSE,"단가표지"}</definedName>
    <definedName name="ㅁㅎㅇㅀㅁㅎ" hidden="1">{#N/A,#N/A,FALSE,"단가표지"}</definedName>
    <definedName name="마감공사비A3" localSheetId="3" hidden="1">[168]유림골조!#REF!</definedName>
    <definedName name="마감공사비A3" hidden="1">[169]유림골조!#REF!</definedName>
    <definedName name="마지막" localSheetId="3">#REF!</definedName>
    <definedName name="마지막">#REF!</definedName>
    <definedName name="마포" localSheetId="3" hidden="1">{#N/A,#N/A,FALSE,"이태원철근"}</definedName>
    <definedName name="마포" hidden="1">{#N/A,#N/A,FALSE,"이태원철근"}</definedName>
    <definedName name="매입세액" localSheetId="3" hidden="1">{#N/A,#N/A,FALSE,"예상손익";#N/A,#N/A,FALSE,"관리분석";#N/A,#N/A,FALSE,"장비분석";#N/A,#N/A,FALSE,"준설분석";#N/A,#N/A,FALSE,"철구분석"}</definedName>
    <definedName name="매입세액" hidden="1">{#N/A,#N/A,FALSE,"예상손익";#N/A,#N/A,FALSE,"관리분석";#N/A,#N/A,FALSE,"장비분석";#N/A,#N/A,FALSE,"준설분석";#N/A,#N/A,FALSE,"철구분석"}</definedName>
    <definedName name="매출" hidden="1">{#N/A,#N/A,FALSE,"이태원철근"}</definedName>
    <definedName name="매출원가율">[109]입찰내역서!$T$48</definedName>
    <definedName name="맹민용" localSheetId="3">BlankMacro1</definedName>
    <definedName name="맹민용">BlankMacro1</definedName>
    <definedName name="먁" hidden="1">#REF!</definedName>
    <definedName name="모래부설_및_다짐" localSheetId="3">#REF!</definedName>
    <definedName name="모래부설_및_다짐">#REF!</definedName>
    <definedName name="모래부설및다짐" localSheetId="3">#REF!</definedName>
    <definedName name="모래부설및다짐">#REF!</definedName>
    <definedName name="모래운반" localSheetId="3">#REF!</definedName>
    <definedName name="모래운반">#REF!</definedName>
    <definedName name="목차9" localSheetId="3" hidden="1">{#N/A,#N/A,FALSE,"이태원철근"}</definedName>
    <definedName name="목차9" hidden="1">{#N/A,#N/A,FALSE,"이태원철근"}</definedName>
    <definedName name="뫃ㄹ놓ㄴ오" hidden="1">{#N/A,#N/A,FALSE,"이태원철근"}</definedName>
    <definedName name="무늬강판_제작_설치" localSheetId="3">#REF!</definedName>
    <definedName name="무늬강판_제작_설치">#REF!</definedName>
    <definedName name="무늬강판제작설치" localSheetId="3">#REF!</definedName>
    <definedName name="무늬강판제작설치">#REF!</definedName>
    <definedName name="문" localSheetId="3">BlankMacro1</definedName>
    <definedName name="문">BlankMacro1</definedName>
    <definedName name="물" localSheetId="3" hidden="1">{#N/A,#N/A,FALSE,"이태원철근"}</definedName>
    <definedName name="물" hidden="1">{#N/A,#N/A,FALSE,"이태원철근"}</definedName>
    <definedName name="물가" localSheetId="3" hidden="1">{#N/A,#N/A,FALSE,"이태원철근"}</definedName>
    <definedName name="물가" hidden="1">{#N/A,#N/A,FALSE,"이태원철근"}</definedName>
    <definedName name="물가2" hidden="1">{#N/A,#N/A,FALSE,"이태원철근"}</definedName>
    <definedName name="물량">'[170]RCF CLAIMED'!$A$1:$S$27</definedName>
    <definedName name="물품대" localSheetId="3">#REF!</definedName>
    <definedName name="물품대">#REF!</definedName>
    <definedName name="뭉">{"'장비'!$A$3:$M$12"}</definedName>
    <definedName name="뭐" hidden="1">{#N/A,#N/A,FALSE,"이태원철근"}</definedName>
    <definedName name="뭐가이태원이야" localSheetId="3" hidden="1">{#N/A,#N/A,FALSE,"이태원철근"}</definedName>
    <definedName name="뭐가이태원이야" hidden="1">{#N/A,#N/A,FALSE,"이태원철근"}</definedName>
    <definedName name="뮤직" hidden="1">{#N/A,#N/A,FALSE,"이태원철근"}</definedName>
    <definedName name="미국Site출발항공료">'[109]계약고별 차등단가'!#REF!</definedName>
    <definedName name="미국출장비">'[109]계약고별 차등단가'!#REF!</definedName>
    <definedName name="미국한국출발항공료">'[109]계약고별 차등단가'!#REF!</definedName>
    <definedName name="미국호텔비">'[109]계약고별 차등단가'!#REF!</definedName>
    <definedName name="미동의" localSheetId="3" hidden="1">{#N/A,#N/A,FALSE,"이태원철근"}</definedName>
    <definedName name="미동의" hidden="1">{#N/A,#N/A,FALSE,"이태원철근"}</definedName>
    <definedName name="미동의이주" hidden="1">#N/A</definedName>
    <definedName name="미상주" hidden="1">{#N/A,#N/A,FALSE,"지침";#N/A,#N/A,FALSE,"환경분석";#N/A,#N/A,FALSE,"Sheet16"}</definedName>
    <definedName name="미이주" localSheetId="3" hidden="1">{#N/A,#N/A,FALSE,"이태원철근"}</definedName>
    <definedName name="미이주" hidden="1">{#N/A,#N/A,FALSE,"이태원철근"}</definedName>
    <definedName name="민원관련" localSheetId="3"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민원관련"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민원대응" localSheetId="3" hidden="1">{#N/A,#N/A,FALSE,"변경관리예산";#N/A,#N/A,FALSE,"변경장비예산";#N/A,#N/A,FALSE,"변경준설예산";#N/A,#N/A,FALSE,"변경철구예산"}</definedName>
    <definedName name="민원대응" hidden="1">{#N/A,#N/A,FALSE,"변경관리예산";#N/A,#N/A,FALSE,"변경장비예산";#N/A,#N/A,FALSE,"변경준설예산";#N/A,#N/A,FALSE,"변경철구예산"}</definedName>
    <definedName name="민원품의" localSheetId="3" hidden="1">{#N/A,#N/A,FALSE,"변경관리예산";#N/A,#N/A,FALSE,"변경장비예산";#N/A,#N/A,FALSE,"변경준설예산";#N/A,#N/A,FALSE,"변경철구예산"}</definedName>
    <definedName name="민원품의" hidden="1">{#N/A,#N/A,FALSE,"변경관리예산";#N/A,#N/A,FALSE,"변경장비예산";#N/A,#N/A,FALSE,"변경준설예산";#N/A,#N/A,FALSE,"변경철구예산"}</definedName>
    <definedName name="ㅂ" localSheetId="4" hidden="1">{#N/A,#N/A,FALSE,"이태원철근"}</definedName>
    <definedName name="ㅂ">#N/A</definedName>
    <definedName name="ㅂㄷ" hidden="1">{#N/A,#N/A,FALSE,"이태원철근"}</definedName>
    <definedName name="ㅂㅂ" localSheetId="3" hidden="1">{#N/A,#N/A,FALSE,"단가표지"}</definedName>
    <definedName name="ㅂㅂ" hidden="1">{#N/A,#N/A,FALSE,"단가표지"}</definedName>
    <definedName name="ㅂㅂㅂ">#N/A</definedName>
    <definedName name="ㅂㅂㅂㅂ" localSheetId="3" hidden="1">{#N/A,#N/A,FALSE,"조골재"}</definedName>
    <definedName name="ㅂㅂㅂㅂ" hidden="1">{#N/A,#N/A,FALSE,"조골재"}</definedName>
    <definedName name="ㅂㅂㅂㅂㅂ">#N/A</definedName>
    <definedName name="ㅂㅂㅂㅂㅂㅂㅂ" hidden="1">{#N/A,#N/A,FALSE,"이태원철근"}</definedName>
    <definedName name="ㅂㅂㅂㅂㅂㅂㅂㅂ" hidden="1">{#N/A,#N/A,FALSE,"이태원철근"}</definedName>
    <definedName name="ㅂㅂㅂㅂㅂㅂㅂㅂㅂ" hidden="1">{#N/A,#N/A,FALSE,"이태원철근"}</definedName>
    <definedName name="ㅂㅂㅂㅂㅂㅂㅂㅂㅂㅂㅂ" hidden="1">{#N/A,#N/A,FALSE,"이태원철근"}</definedName>
    <definedName name="ㅂㅂㅂㅂㅂㅂㅂㅂㅂㅂㅂㅂ" hidden="1">{#N/A,#N/A,FALSE,"이태원철근"}</definedName>
    <definedName name="ㅂㅂㅂㅂㅂㅂㅂㅂㅂㅂㅂㅂㅂ" hidden="1">{#N/A,#N/A,FALSE,"이태원철근"}</definedName>
    <definedName name="ㅂㅂㅂㅂㅂㅂㅂㅂㅂㅂㅂㅂㅂㅂㅂㅂㅂ" hidden="1">{#N/A,#N/A,FALSE,"이태원철근"}</definedName>
    <definedName name="ㅂㅂㅂㅂㅂㅂㅂㅂㅂㅂㅂㅂㅂㅂㅂㅂㅂㅂ" hidden="1">{#N/A,#N/A,FALSE,"이태원철근"}</definedName>
    <definedName name="ㅂㅂㅂㅂㅂㅂㅂㅂㅂㅂㅂㅂㅂㅂㅂㅂㅂㅂㅂ" hidden="1">{#N/A,#N/A,FALSE,"이태원철근"}</definedName>
    <definedName name="ㅂㅂㅂㅂㅂㅂㅂㅂㅂㅂㅂㅂㅂㅂㅂㅂㅂㅂㅂㅂ" hidden="1">{#N/A,#N/A,FALSE,"이태원철근"}</definedName>
    <definedName name="ㅂㅂㅂㅂㅂㅂㅂㅂㅂㅂㅂㅂㅂㅂㅂㅂㅂㅂㅂㅂㅂㅂㅂㅂㅂㅂ" hidden="1">{#N/A,#N/A,FALSE,"이태원철근"}</definedName>
    <definedName name="ㅂㅂㅂㅂㅂㅂㅂㅂㅂㅂㅂㅂㅂㅂㅂㅂㅂㅂㅂㅂㅂㅂㅂㅂㅂㅂㅂㅂ" hidden="1">{#N/A,#N/A,FALSE,"이태원철근"}</definedName>
    <definedName name="ㅂㅂㅂㅂㅂㅂㅂㅂㅂㅂㅂㅂㅂㅂㅂㅂㅂㅂㅂㅂㅂㅂㅂㅂㅂㅂㅂㅂㅂㅂ" hidden="1">{#N/A,#N/A,FALSE,"이태원철근"}</definedName>
    <definedName name="ㅂㅂㅂㅂㅂㅂㅂㅂㅂㅂㅂㅂㅂㅂㅂㅂㅂㅂㅂㅂㅂㅂㅂㅂㅂㅂㅂㅂㅂㅂㅂㅂ" hidden="1">{#N/A,#N/A,FALSE,"이태원철근"}</definedName>
    <definedName name="ㅂㅂㅂㅂㅂㅂㅂㅂㅂㅂㅂㅂㅂㅂㅂㅂㅂㅂㅂㅂㅂㅂㅂㅂㅂㅂㅂㅂㅂㅂㅂㅂㅂㅂㅂㅂㅂ" hidden="1">{#N/A,#N/A,FALSE,"이태원철근"}</definedName>
    <definedName name="ㅂㅂㅂㅂㅂㅂㅂㅂㅂㅂㅂㅂㅂㅂㅂㅂ부" hidden="1">{#N/A,#N/A,FALSE,"이태원철근"}</definedName>
    <definedName name="ㅂㅂㅂㅂㅂㅂㅂㅂㅂㅂㅂ부" hidden="1">{#N/A,#N/A,FALSE,"이태원철근"}</definedName>
    <definedName name="ㅂㅂㅂㅂㅂㅂㅂㅂㅂㅂ붑ㅂ" hidden="1">{#N/A,#N/A,FALSE,"이태원철근"}</definedName>
    <definedName name="ㅂㅂㅂㅂㅂㅂㅂㅂㅂ부" hidden="1">{#N/A,#N/A,FALSE,"이태원철근"}</definedName>
    <definedName name="ㅂㅂㅂㅂㅂㅂㅂㅂ부" hidden="1">{#N/A,#N/A,FALSE,"이태원철근"}</definedName>
    <definedName name="ㅂㅂㅂㅂㅂㅂㅂ부" hidden="1">{#N/A,#N/A,FALSE,"이태원철근"}</definedName>
    <definedName name="ㅂㅂㅂㅂㅂ부" hidden="1">{#N/A,#N/A,FALSE,"이태원철근"}</definedName>
    <definedName name="ㅂㅂㅂㅂ붑ㅂㅂ" hidden="1">{#N/A,#N/A,FALSE,"이태원철근"}</definedName>
    <definedName name="ㅂㅂ붑ㅂㅂㅂㅂㅂㅂㅂㅂ" hidden="1">{#N/A,#N/A,FALSE,"이태원철근"}</definedName>
    <definedName name="ㅂㅈ" hidden="1">{#N/A,#N/A,FALSE,"이태원철근"}</definedName>
    <definedName name="ㅂㅈㄱㅂㅈㄱ" hidden="1">{#N/A,#N/A,FALSE,"이태원철근"}</definedName>
    <definedName name="ㅂㅈㄱㅂㅈㄱㄷㅂ" hidden="1">{#N/A,#N/A,FALSE,"이태원철근"}</definedName>
    <definedName name="ㅂㅈㄱㅂㅈㄱㄷㅂㅈㄱ" hidden="1">{#N/A,#N/A,FALSE,"이태원철근"}</definedName>
    <definedName name="ㅂㅈㄱㅂㅈㄱㅇㅂㅈ" hidden="1">{#N/A,#N/A,FALSE,"이태원철근"}</definedName>
    <definedName name="ㅂㅈㄱㅂㅈㄱㅇㅂㅈㄱ" hidden="1">{#N/A,#N/A,FALSE,"이태원철근"}</definedName>
    <definedName name="ㅂㅈㄱㅂㅈㄷㄱㅂㅈㄷ" hidden="1">{#N/A,#N/A,FALSE,"이태원철근"}</definedName>
    <definedName name="ㅂㅈㄱㅂㅈㄷㅂㅈㄷ" hidden="1">{#N/A,#N/A,FALSE,"이태원철근"}</definedName>
    <definedName name="ㅂㅈㄱㅂㅈㅇㅂㅈㅇㄷㅂㅈ" hidden="1">{#N/A,#N/A,FALSE,"이태원철근"}</definedName>
    <definedName name="ㅂㅈㄷ" localSheetId="3" hidden="1">{#N/A,#N/A,FALSE,"배수1"}</definedName>
    <definedName name="ㅂㅈㄷ" hidden="1">{#N/A,#N/A,FALSE,"이태원철근"}</definedName>
    <definedName name="ㅂㅈㄷㄱㅂㅈㄱㅂㅈ" hidden="1">{#N/A,#N/A,FALSE,"이태원철근"}</definedName>
    <definedName name="ㅂㅈㄷㅂㅈㄱㅂㅈㅇ" hidden="1">{#N/A,#N/A,FALSE,"이태원철근"}</definedName>
    <definedName name="ㅂㅈㄷㅂㅈㅈㅇ부" hidden="1">{#N/A,#N/A,FALSE,"이태원철근"}</definedName>
    <definedName name="ㅂㅈㄷㅈㄷ" hidden="1">{#N/A,#N/A,FALSE,"이태원철근"}</definedName>
    <definedName name="ㅂㅈㅇㅁㄴㅇㅂㅈㄷㅁㄴ" hidden="1">{#N/A,#N/A,FALSE,"이태원철근"}</definedName>
    <definedName name="ㅂㅈㅇㅁㅇㅂㅈㄷㅁㄴ" hidden="1">{#N/A,#N/A,FALSE,"이태원철근"}</definedName>
    <definedName name="ㅂㅈㅇㅂㄴㅇㄴㅂㅇㅂㅈ" hidden="1">{#N/A,#N/A,FALSE,"이태원철근"}</definedName>
    <definedName name="ㅂㅈㅇㅂㅈㅇㅂㅈㅇ" hidden="1">{#N/A,#N/A,FALSE,"이태원철근"}</definedName>
    <definedName name="바" hidden="1">{#N/A,#N/A,FALSE,"이태원철근"}</definedName>
    <definedName name="바보" localSheetId="3">#REF!</definedName>
    <definedName name="바보">#REF!</definedName>
    <definedName name="박종태" hidden="1">{#N/A,#N/A,FALSE,"이태원철근"}</definedName>
    <definedName name="박태균" localSheetId="3" hidden="1">{#N/A,#N/A,FALSE,"변경관리예산";#N/A,#N/A,FALSE,"변경장비예산";#N/A,#N/A,FALSE,"변경준설예산";#N/A,#N/A,FALSE,"변경철구예산"}</definedName>
    <definedName name="박태균" hidden="1">{#N/A,#N/A,FALSE,"변경관리예산";#N/A,#N/A,FALSE,"변경장비예산";#N/A,#N/A,FALSE,"변경준설예산";#N/A,#N/A,FALSE,"변경철구예산"}</definedName>
    <definedName name="발표양식">#N/A</definedName>
    <definedName name="방송설비" localSheetId="3">#REF!</definedName>
    <definedName name="방송설비">#REF!</definedName>
    <definedName name="배관" localSheetId="3">#REF!</definedName>
    <definedName name="배관">#REF!</definedName>
    <definedName name="배관2">#REF!</definedName>
    <definedName name="배관외">#REF!,#REF!,#REF!,#REF!</definedName>
    <definedName name="배관외총">#REF!,#REF!,#REF!,#REF!</definedName>
    <definedName name="배부기준" localSheetId="17">[171]영업소실적!#REF!</definedName>
    <definedName name="배부기준" localSheetId="15">[171]영업소실적!#REF!</definedName>
    <definedName name="배부기준">[171]영업소실적!#REF!</definedName>
    <definedName name="배부내역" localSheetId="17">[39]주관사업!#REF!</definedName>
    <definedName name="배부내역" localSheetId="15">[39]주관사업!#REF!</definedName>
    <definedName name="배부내역">[39]주관사업!#REF!</definedName>
    <definedName name="배수공" localSheetId="3" hidden="1">{#N/A,#N/A,FALSE,"부대1"}</definedName>
    <definedName name="배수공" hidden="1">{#N/A,#N/A,FALSE,"부대1"}</definedName>
    <definedName name="버티">#N/A</definedName>
    <definedName name="변환" localSheetId="3">#REF!</definedName>
    <definedName name="변환">#REF!</definedName>
    <definedName name="보" hidden="1">{#N/A,#N/A,FALSE,"이태원철근"}</definedName>
    <definedName name="보고양식1" localSheetId="3">#REF!</definedName>
    <definedName name="보고양식1">#REF!</definedName>
    <definedName name="보고양식2" localSheetId="3">#REF!</definedName>
    <definedName name="보고양식2">#REF!</definedName>
    <definedName name="보고양식3" localSheetId="3">#REF!</definedName>
    <definedName name="보고양식3">#REF!</definedName>
    <definedName name="보오링그라우팅"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보온1" localSheetId="3">#REF!</definedName>
    <definedName name="보온1">#REF!</definedName>
    <definedName name="보정리" localSheetId="3" hidden="1">{#N/A,#N/A,FALSE,"이태원철근"}</definedName>
    <definedName name="보정리" hidden="1">{#N/A,#N/A,FALSE,"이태원철근"}</definedName>
    <definedName name="보조기층_운반" localSheetId="3">#REF!</definedName>
    <definedName name="보조기층_운반">#REF!</definedName>
    <definedName name="보조기층_포설_및_다짐" localSheetId="3">#REF!</definedName>
    <definedName name="보조기층_포설_및_다짐">#REF!</definedName>
    <definedName name="보조기층운반" localSheetId="3">#REF!</definedName>
    <definedName name="보조기층운반">#REF!</definedName>
    <definedName name="보조기층재_운반" localSheetId="3">#REF!</definedName>
    <definedName name="보조기층재_운반">#REF!</definedName>
    <definedName name="보조기층재운반" localSheetId="3">#REF!</definedName>
    <definedName name="보조기층재운반">#REF!</definedName>
    <definedName name="보조기층포설및다짐" localSheetId="3">#REF!</definedName>
    <definedName name="보조기층포설및다짐">#REF!</definedName>
    <definedName name="보충" localSheetId="3" hidden="1">#REF!</definedName>
    <definedName name="보충" hidden="1">#REF!</definedName>
    <definedName name="보할" localSheetId="3" hidden="1">{#N/A,#N/A,FALSE,"이태원철근"}</definedName>
    <definedName name="보할" hidden="1">{#N/A,#N/A,FALSE,"이태원철근"}</definedName>
    <definedName name="보할공정률매출투입취하" localSheetId="3" hidden="1">{#N/A,#N/A,FALSE,"이태원철근"}</definedName>
    <definedName name="보할공정률매출투입취하" hidden="1">{#N/A,#N/A,FALSE,"이태원철근"}</definedName>
    <definedName name="보할푬_2000년" localSheetId="3" hidden="1">{#N/A,#N/A,FALSE,"이태원철근"}</definedName>
    <definedName name="보할푬_2000년" hidden="1">{#N/A,#N/A,FALSE,"이태원철근"}</definedName>
    <definedName name="보험" localSheetId="3">#REF!</definedName>
    <definedName name="보험">#REF!</definedName>
    <definedName name="보활공정" localSheetId="3" hidden="1">{#N/A,#N/A,FALSE,"이태원철근"}</definedName>
    <definedName name="보활공정" hidden="1">{#N/A,#N/A,FALSE,"이태원철근"}</definedName>
    <definedName name="복리" localSheetId="3">#REF!</definedName>
    <definedName name="복리">#REF!</definedName>
    <definedName name="복사" localSheetId="3" hidden="1">{#N/A,#N/A,FALSE,"이태원철근"}</definedName>
    <definedName name="복사" hidden="1">{#N/A,#N/A,FALSE,"이태원철근"}</definedName>
    <definedName name="복잡" localSheetId="17">#REF!</definedName>
    <definedName name="복잡" localSheetId="15">#REF!</definedName>
    <definedName name="복잡">#REF!</definedName>
    <definedName name="부가가치세" localSheetId="3">#REF!</definedName>
    <definedName name="부가가치세">#REF!</definedName>
    <definedName name="부대" localSheetId="3" hidden="1">{#N/A,#N/A,FALSE,"골재소요량";#N/A,#N/A,FALSE,"골재소요량"}</definedName>
    <definedName name="부대" hidden="1">{#N/A,#N/A,FALSE,"골재소요량";#N/A,#N/A,FALSE,"골재소요량"}</definedName>
    <definedName name="부대1" localSheetId="3" hidden="1">{#N/A,#N/A,FALSE,"운반시간"}</definedName>
    <definedName name="부대1" hidden="1">{#N/A,#N/A,FALSE,"운반시간"}</definedName>
    <definedName name="부대건축2" hidden="1">'[1]TOWER 12TON'!#REF!</definedName>
    <definedName name="부대공사" localSheetId="3" hidden="1">#REF!</definedName>
    <definedName name="부대공사" hidden="1">#REF!</definedName>
    <definedName name="부대공통비총괄표">'[172]간접비(1)'!$AF$54</definedName>
    <definedName name="부대입찰서류작성" localSheetId="3" hidden="1">'[173]갑지(추정)'!#REF!</definedName>
    <definedName name="부대입찰서류작성" hidden="1">'[173]갑지(추정)'!#REF!</definedName>
    <definedName name="부임일" hidden="1">{#N/A,#N/A,FALSE,"이태원철근"}</definedName>
    <definedName name="분" localSheetId="3" hidden="1">{#N/A,#N/A,FALSE,"이태원철근"}</definedName>
    <definedName name="분" hidden="1">{#N/A,#N/A,FALSE,"이태원철근"}</definedName>
    <definedName name="분당공" hidden="1">'[1]TOWER 10TON'!$A$58:$A$97</definedName>
    <definedName name="분당물가" hidden="1">'[1]TOWER 10TON'!$F$58:$F$73</definedName>
    <definedName name="분당코아" hidden="1">'[1]TOWER 10TON'!$F$58:$F$73</definedName>
    <definedName name="분당협조" localSheetId="3" hidden="1">{#N/A,#N/A,FALSE,"이태원철근"}</definedName>
    <definedName name="분당협조" hidden="1">{#N/A,#N/A,FALSE,"이태원철근"}</definedName>
    <definedName name="분류" hidden="1">{"LKD",#N/A,FALSE,"표지"}</definedName>
    <definedName name="분석변경" localSheetId="3" hidden="1">{#N/A,#N/A,FALSE,"변경관리예산";#N/A,#N/A,FALSE,"변경장비예산";#N/A,#N/A,FALSE,"변경준설예산";#N/A,#N/A,FALSE,"변경철구예산"}</definedName>
    <definedName name="분석변경" hidden="1">{#N/A,#N/A,FALSE,"변경관리예산";#N/A,#N/A,FALSE,"변경장비예산";#N/A,#N/A,FALSE,"변경준설예산";#N/A,#N/A,FALSE,"변경철구예산"}</definedName>
    <definedName name="분양" localSheetId="3" hidden="1">{#N/A,#N/A,FALSE,"이태원철근"}</definedName>
    <definedName name="분양" hidden="1">{#N/A,#N/A,FALSE,"이태원철근"}</definedName>
    <definedName name="뷰" localSheetId="3" hidden="1">{#N/A,#N/A,FALSE,"단가표지"}</definedName>
    <definedName name="뷰" hidden="1">{#N/A,#N/A,FALSE,"단가표지"}</definedName>
    <definedName name="비고" localSheetId="3">#REF!</definedName>
    <definedName name="비고">#REF!</definedName>
    <definedName name="비교" localSheetId="3">#REF!</definedName>
    <definedName name="비교">#REF!</definedName>
    <definedName name="비교표1">255</definedName>
    <definedName name="비품임차1" localSheetId="3" hidden="1">[174]STAND20!$A$1:$IT$3893</definedName>
    <definedName name="비품임차1" hidden="1">[175]STAND20!$A$1:$IT$3893</definedName>
    <definedName name="빈칸" localSheetId="3">#REF!</definedName>
    <definedName name="빈칸">#REF!</definedName>
    <definedName name="ㅅ" localSheetId="3" hidden="1">{#N/A,#N/A,FALSE,"이태원철근"}</definedName>
    <definedName name="ㅅ" hidden="1">{#N/A,#N/A,FALSE,"이태원철근"}</definedName>
    <definedName name="ㅅ굲유" localSheetId="3" hidden="1">{#N/A,#N/A,FALSE,"조골재"}</definedName>
    <definedName name="ㅅ굲유" hidden="1">{#N/A,#N/A,FALSE,"조골재"}</definedName>
    <definedName name="ㅅㅅ" hidden="1">{"LKD",#N/A,FALSE,"표지"}</definedName>
    <definedName name="사" hidden="1">{#N/A,#N/A,FALSE,"이태원철근"}</definedName>
    <definedName name="사랑해" hidden="1">{#N/A,#N/A,FALSE,"이태원철근"}</definedName>
    <definedName name="사무임차1" hidden="1">#REF!</definedName>
    <definedName name="사업" localSheetId="3" hidden="1">{#N/A,#N/A,FALSE,"이태원철근"}</definedName>
    <definedName name="사업" hidden="1">{#N/A,#N/A,FALSE,"이태원철근"}</definedName>
    <definedName name="사업계획" localSheetId="3" hidden="1">{#N/A,#N/A,FALSE,"이태원철근"}</definedName>
    <definedName name="사업계획" hidden="1">{#N/A,#N/A,FALSE,"이태원철근"}</definedName>
    <definedName name="사업계획수정" hidden="1">#REF!</definedName>
    <definedName name="사업부양식2" localSheetId="3" hidden="1">#REF!</definedName>
    <definedName name="사업부양식2" hidden="1">#REF!</definedName>
    <definedName name="사업비최종" localSheetId="3" hidden="1">{#N/A,#N/A,FALSE,"손익표지";#N/A,#N/A,FALSE,"손익계산";#N/A,#N/A,FALSE,"일반관리비";#N/A,#N/A,FALSE,"영업외수익";#N/A,#N/A,FALSE,"영업외비용";#N/A,#N/A,FALSE,"매출액";#N/A,#N/A,FALSE,"요약손익";#N/A,#N/A,FALSE,"요약대차";#N/A,#N/A,FALSE,"매출채권현황";#N/A,#N/A,FALSE,"매출채권명세"}</definedName>
    <definedName name="사업비최종" hidden="1">{#N/A,#N/A,FALSE,"손익표지";#N/A,#N/A,FALSE,"손익계산";#N/A,#N/A,FALSE,"일반관리비";#N/A,#N/A,FALSE,"영업외수익";#N/A,#N/A,FALSE,"영업외비용";#N/A,#N/A,FALSE,"매출액";#N/A,#N/A,FALSE,"요약손익";#N/A,#N/A,FALSE,"요약대차";#N/A,#N/A,FALSE,"매출채권현황";#N/A,#N/A,FALSE,"매출채권명세"}</definedName>
    <definedName name="사업현황" hidden="1">{#N/A,#N/A,FALSE,"TABLE"}</definedName>
    <definedName name="사토운반" localSheetId="3">#REF!</definedName>
    <definedName name="사토운반">#REF!</definedName>
    <definedName name="사호" localSheetId="3" hidden="1">{#N/A,#N/A,FALSE,"이태원철근"}</definedName>
    <definedName name="사호" hidden="1">{#N/A,#N/A,FALSE,"이태원철근"}</definedName>
    <definedName name="산식" localSheetId="3">[161]Sheet2!$H$2:$H$11</definedName>
    <definedName name="산식">[162]Sheet2!$H$2:$H$11</definedName>
    <definedName name="산재보험료" localSheetId="3">#REF!</definedName>
    <definedName name="산재보험료">#REF!</definedName>
    <definedName name="산출" hidden="1">#REF!</definedName>
    <definedName name="상" hidden="1">{#N/A,#N/A,FALSE,"지침";#N/A,#N/A,FALSE,"환경분석";#N/A,#N/A,FALSE,"Sheet16"}</definedName>
    <definedName name="상각비2" localSheetId="3" hidden="1">#REF!</definedName>
    <definedName name="상각비2" hidden="1">#REF!</definedName>
    <definedName name="상도사"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상벌기준2" localSheetId="3" hidden="1">{#N/A,#N/A,FALSE,"예상손익";#N/A,#N/A,FALSE,"관리분석";#N/A,#N/A,FALSE,"장비분석";#N/A,#N/A,FALSE,"준설분석";#N/A,#N/A,FALSE,"철구분석"}</definedName>
    <definedName name="상벌기준2" hidden="1">{#N/A,#N/A,FALSE,"예상손익";#N/A,#N/A,FALSE,"관리분석";#N/A,#N/A,FALSE,"장비분석";#N/A,#N/A,FALSE,"준설분석";#N/A,#N/A,FALSE,"철구분석"}</definedName>
    <definedName name="상자" localSheetId="3" hidden="1">{#N/A,#N/A,FALSE,"이태원철근"}</definedName>
    <definedName name="상자" hidden="1">{#N/A,#N/A,FALSE,"이태원철근"}</definedName>
    <definedName name="상주" hidden="1">{#N/A,#N/A,FALSE,"지침";#N/A,#N/A,FALSE,"환경분석";#N/A,#N/A,FALSE,"Sheet16"}</definedName>
    <definedName name="상주감독" hidden="1">{#N/A,#N/A,FALSE,"지침";#N/A,#N/A,FALSE,"환경분석";#N/A,#N/A,FALSE,"Sheet16"}</definedName>
    <definedName name="상주감리" hidden="1">{#N/A,#N/A,FALSE,"지침";#N/A,#N/A,FALSE,"환경분석";#N/A,#N/A,FALSE,"Sheet16"}</definedName>
    <definedName name="상품" hidden="1">#REF!</definedName>
    <definedName name="새" hidden="1">{#N/A,#N/A,FALSE,"이태원철근"}</definedName>
    <definedName name="새공통" localSheetId="3" hidden="1">{#N/A,#N/A,FALSE,"이태원철근"}</definedName>
    <definedName name="새공통" hidden="1">{#N/A,#N/A,FALSE,"이태원철근"}</definedName>
    <definedName name="새로" hidden="1">#REF!</definedName>
    <definedName name="새안" localSheetId="3" hidden="1">{#N/A,#N/A,FALSE,"TABLE"}</definedName>
    <definedName name="새안" hidden="1">{#N/A,#N/A,FALSE,"TABLE"}</definedName>
    <definedName name="새이름" localSheetId="3"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새이름"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새파일" hidden="1">#REF!</definedName>
    <definedName name="샘풀카피" hidden="1">{#N/A,#N/A,FALSE,"CCTV"}</definedName>
    <definedName name="샘플카피2" hidden="1">{#N/A,#N/A,FALSE,"CCTV"}</definedName>
    <definedName name="샘플카피3" hidden="1">{#N/A,#N/A,FALSE,"CCTV"}</definedName>
    <definedName name="생" localSheetId="3" hidden="1">{#N/A,#N/A,FALSE,"이태원철근"}</definedName>
    <definedName name="생" hidden="1">{#N/A,#N/A,FALSE,"이태원철근"}</definedName>
    <definedName name="생산" localSheetId="3" hidden="1">{#N/A,#N/A,FALSE,"이태원철근"}</definedName>
    <definedName name="생산" hidden="1">{#N/A,#N/A,FALSE,"이태원철근"}</definedName>
    <definedName name="서울공기">[176]환율!$B$15</definedName>
    <definedName name="서울사무소">[109]입찰내역서!$T$64</definedName>
    <definedName name="서울최대인원">[64]세부내역!$O$115</definedName>
    <definedName name="석" hidden="1">{#N/A,#N/A,FALSE,"지침";#N/A,#N/A,FALSE,"환경분석";#N/A,#N/A,FALSE,"Sheet16"}</definedName>
    <definedName name="선로신설" localSheetId="3">#REF!</definedName>
    <definedName name="선로신설">#REF!</definedName>
    <definedName name="선로철거" localSheetId="3">#REF!</definedName>
    <definedName name="선로철거">#REF!</definedName>
    <definedName name="선택층_포설_및_다짐" localSheetId="3">#REF!</definedName>
    <definedName name="선택층_포설_및_다짐">#REF!</definedName>
    <definedName name="선택층포설및다짐" localSheetId="3">#REF!</definedName>
    <definedName name="선택층포설및다짐">#REF!</definedName>
    <definedName name="선투입추정" localSheetId="3">#REF!</definedName>
    <definedName name="선투입추정">#REF!</definedName>
    <definedName name="설" hidden="1">{#N/A,#N/A,TRUE,"총괄"}</definedName>
    <definedName name="설계내역" localSheetId="3">#REF!</definedName>
    <definedName name="설계내역">#REF!</definedName>
    <definedName name="설변" hidden="1">{#N/A,#N/A,TRUE,"총괄"}</definedName>
    <definedName name="설비" localSheetId="3" hidden="1">{#N/A,#N/A,FALSE,"이태원철근"}</definedName>
    <definedName name="설비" hidden="1">{#N/A,#N/A,FALSE,"이태원철근"}</definedName>
    <definedName name="세금" localSheetId="3">#REF!</definedName>
    <definedName name="세금">#REF!</definedName>
    <definedName name="소33" localSheetId="3" hidden="1">{#N/A,#N/A,FALSE,"이태원철근"}</definedName>
    <definedName name="소33" hidden="1">{#N/A,#N/A,FALSE,"이태원철근"}</definedName>
    <definedName name="소모" localSheetId="3">#REF!</definedName>
    <definedName name="소모">#REF!</definedName>
    <definedName name="소모비" localSheetId="3">#REF!</definedName>
    <definedName name="소모비">#REF!</definedName>
    <definedName name="소방" localSheetId="3">#REF!</definedName>
    <definedName name="소방">#REF!</definedName>
    <definedName name="소방사항" localSheetId="3" hidden="1">[177]소방사항!#REF!</definedName>
    <definedName name="소방사항" hidden="1">[177]소방사항!#REF!</definedName>
    <definedName name="소요계획" hidden="1">{#N/A,#N/A,FALSE,"이태원철근"}</definedName>
    <definedName name="소프" localSheetId="3">#REF!</definedName>
    <definedName name="소프">#REF!</definedName>
    <definedName name="소ㅗㅗ" localSheetId="3" hidden="1">{#N/A,#N/A,FALSE,"이태원철근"}</definedName>
    <definedName name="소ㅗㅗ" hidden="1">{#N/A,#N/A,FALSE,"이태원철근"}</definedName>
    <definedName name="손익계산서" localSheetId="3" hidden="1">#REF!</definedName>
    <definedName name="손익계산서" hidden="1">#REF!</definedName>
    <definedName name="손잉율" localSheetId="3"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손잉율"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솔비" localSheetId="3" hidden="1">{#N/A,#N/A,FALSE,"이태원철근"}</definedName>
    <definedName name="솔비" hidden="1">{#N/A,#N/A,FALSE,"이태원철근"}</definedName>
    <definedName name="쇼" hidden="1">{#N/A,#N/A,FALSE,"이태원철근"}</definedName>
    <definedName name="숏" localSheetId="3">#REF!</definedName>
    <definedName name="숏">#REF!</definedName>
    <definedName name="수" localSheetId="3" hidden="1">{#N/A,#N/A,TRUE,"Basic";#N/A,#N/A,TRUE,"EXT-TABLE";#N/A,#N/A,TRUE,"STEEL";#N/A,#N/A,TRUE,"INT-Table";#N/A,#N/A,TRUE,"STEEL";#N/A,#N/A,TRUE,"Door"}</definedName>
    <definedName name="수" hidden="1">{#N/A,#N/A,TRUE,"Basic";#N/A,#N/A,TRUE,"EXT-TABLE";#N/A,#N/A,TRUE,"STEEL";#N/A,#N/A,TRUE,"INT-Table";#N/A,#N/A,TRUE,"STEEL";#N/A,#N/A,TRUE,"Door"}</definedName>
    <definedName name="수_1" hidden="1">{#N/A,#N/A,TRUE,"Basic";#N/A,#N/A,TRUE,"EXT-TABLE";#N/A,#N/A,TRUE,"STEEL";#N/A,#N/A,TRUE,"INT-Table";#N/A,#N/A,TRUE,"STEEL";#N/A,#N/A,TRUE,"Door"}</definedName>
    <definedName name="수금3" hidden="1">'[17]Eq. Mobilization'!#REF!</definedName>
    <definedName name="수금4" hidden="1">'[17]Eq. Mobilization'!#REF!</definedName>
    <definedName name="수금5" hidden="1">'[17]Eq. Mobilization'!#REF!</definedName>
    <definedName name="수당" hidden="1">#N/A</definedName>
    <definedName name="수량" localSheetId="3">#REF!</definedName>
    <definedName name="수량">#REF!</definedName>
    <definedName name="수량계산" localSheetId="3">#REF!</definedName>
    <definedName name="수량계산">#REF!</definedName>
    <definedName name="수량산출" localSheetId="3">#REF!</definedName>
    <definedName name="수량산출">#REF!</definedName>
    <definedName name="수소_및_탄산가스창고" localSheetId="3">#REF!</definedName>
    <definedName name="수소_및_탄산가스창고">#REF!</definedName>
    <definedName name="수수">#N/A</definedName>
    <definedName name="수수수">#N/A</definedName>
    <definedName name="수수실적7월">#N/A</definedName>
    <definedName name="수원지검"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수정설계단가" localSheetId="3">#REF!</definedName>
    <definedName name="수정설계단가">#REF!</definedName>
    <definedName name="수주산설1">#REF!</definedName>
    <definedName name="수주산설2팀">#REF!</definedName>
    <definedName name="수주일" localSheetId="3">#REF!</definedName>
    <definedName name="수주일">#REF!</definedName>
    <definedName name="순공사비" localSheetId="3">#REF!</definedName>
    <definedName name="순공사비">#REF!</definedName>
    <definedName name="순서" hidden="1">#REF!</definedName>
    <definedName name="승" hidden="1">{#N/A,#N/A,FALSE,"지침";#N/A,#N/A,FALSE,"환경분석";#N/A,#N/A,FALSE,"Sheet16"}</definedName>
    <definedName name="승인보고21차" localSheetId="3" hidden="1">{#N/A,#N/A,FALSE,"기안지";#N/A,#N/A,FALSE,"통신지"}</definedName>
    <definedName name="승인보고21차" hidden="1">{#N/A,#N/A,FALSE,"기안지";#N/A,#N/A,FALSE,"통신지"}</definedName>
    <definedName name="승인보고22차" localSheetId="3" hidden="1">{#N/A,#N/A,FALSE,"기안지";#N/A,#N/A,FALSE,"통신지"}</definedName>
    <definedName name="승인보고22차" hidden="1">{#N/A,#N/A,FALSE,"기안지";#N/A,#N/A,FALSE,"통신지"}</definedName>
    <definedName name="시" hidden="1">{#N/A,#N/A,FALSE,"이태원철근"}</definedName>
    <definedName name="시작일">[109]입찰내역서!$T$53</definedName>
    <definedName name="시행" hidden="1">{#N/A,#N/A,FALSE,"이태원철근"}</definedName>
    <definedName name="시행2" hidden="1">{#N/A,#N/A,FALSE,"이태원철근"}</definedName>
    <definedName name="시험비" localSheetId="3">#REF!</definedName>
    <definedName name="시험비">#REF!</definedName>
    <definedName name="시험비__토목" localSheetId="3">#REF!</definedName>
    <definedName name="시험비__토목">#REF!</definedName>
    <definedName name="시험비_토목" localSheetId="3">#REF!</definedName>
    <definedName name="시험비_토목">#REF!</definedName>
    <definedName name="시험비토목" localSheetId="3">#REF!</definedName>
    <definedName name="시험비토목">#REF!</definedName>
    <definedName name="신규" localSheetId="3">#REF!</definedName>
    <definedName name="신규">#REF!</definedName>
    <definedName name="신규계획97" localSheetId="3">#REF!</definedName>
    <definedName name="신규계획97">#REF!</definedName>
    <definedName name="新規工事__小計" localSheetId="3">#REF!</definedName>
    <definedName name="新規工事__小計">#REF!</definedName>
    <definedName name="新規工事_計">#N/A</definedName>
    <definedName name="新規工事_小計" localSheetId="3">#REF!</definedName>
    <definedName name="新規工事_小計">#REF!</definedName>
    <definedName name="신규사업97" localSheetId="3">#REF!</definedName>
    <definedName name="신규사업97">#REF!</definedName>
    <definedName name="新規推進__小計" localSheetId="3">#REF!</definedName>
    <definedName name="新規推進__小計">#REF!</definedName>
    <definedName name="신성" localSheetId="3">#REF!</definedName>
    <definedName name="신성">#REF!</definedName>
    <definedName name="신성감" localSheetId="3">#REF!</definedName>
    <definedName name="신성감">#REF!</definedName>
    <definedName name="신재점" hidden="1">{#N/A,#N/A,FALSE,"이태원철근"}</definedName>
    <definedName name="신정연휴" localSheetId="3" hidden="1">{#N/A,#N/A,FALSE,"예상손익";#N/A,#N/A,FALSE,"관리분석";#N/A,#N/A,FALSE,"장비분석";#N/A,#N/A,FALSE,"준설분석";#N/A,#N/A,FALSE,"철구분석"}</definedName>
    <definedName name="신정연휴" hidden="1">{#N/A,#N/A,FALSE,"예상손익";#N/A,#N/A,FALSE,"관리분석";#N/A,#N/A,FALSE,"장비분석";#N/A,#N/A,FALSE,"준설분석";#N/A,#N/A,FALSE,"철구분석"}</definedName>
    <definedName name="신진공사" localSheetId="3">#REF!</definedName>
    <definedName name="신진공사">#REF!</definedName>
    <definedName name="신진자금" localSheetId="3">#REF!</definedName>
    <definedName name="신진자금">#REF!</definedName>
    <definedName name="실시공내역" localSheetId="3" hidden="1">[178]콘크리트타설집계표!#REF!</definedName>
    <definedName name="실시공내역" hidden="1">[178]콘크리트타설집계표!#REF!</definedName>
    <definedName name="실적">#N/A</definedName>
    <definedName name="실적총괄1" hidden="1">'[3]#REF'!$A$1:$IV$4083</definedName>
    <definedName name="실총" hidden="1">'[3]#REF'!$A$1:$IV$4083</definedName>
    <definedName name="실행" localSheetId="3" hidden="1">{#N/A,#N/A,FALSE,"운반시간"}</definedName>
    <definedName name="실행" hidden="1">{#N/A,#N/A,FALSE,"운반시간"}</definedName>
    <definedName name="실행2" hidden="1">{#N/A,#N/A,FALSE,"지침";#N/A,#N/A,FALSE,"환경분석";#N/A,#N/A,FALSE,"Sheet16"}</definedName>
    <definedName name="실행영역">#REF!</definedName>
    <definedName name="심우" localSheetId="3">#REF!</definedName>
    <definedName name="심우">#REF!</definedName>
    <definedName name="심우을" localSheetId="3">#REF!</definedName>
    <definedName name="심우을">#REF!</definedName>
    <definedName name="ㅇ">#N/A</definedName>
    <definedName name="ㅇㄴ" hidden="1">#REF!</definedName>
    <definedName name="ㅇㄴㄻ" localSheetId="3" hidden="1">{#N/A,#N/A,FALSE,"표지목차"}</definedName>
    <definedName name="ㅇㄴㄻ" hidden="1">{#N/A,#N/A,FALSE,"표지목차"}</definedName>
    <definedName name="ㅇㄴㄻㄴㅇ" localSheetId="3" hidden="1">{#N/A,#N/A,FALSE,"표지목차"}</definedName>
    <definedName name="ㅇㄴㄻㄴㅇ" hidden="1">{#N/A,#N/A,FALSE,"표지목차"}</definedName>
    <definedName name="ㅇㄴㅁㄴㅁㄴㅇㄴㅇㅁㄴㅇㅁㄴㅇㅁㄴㅇㅇㄴㄴㅇㅇㄴㅁ">#N/A</definedName>
    <definedName name="ㅇㄴㅁㅎ" hidden="1">{#N/A,#N/A,FALSE,"이태원철근"}</definedName>
    <definedName name="ㅇㄴㅇ">#N/A</definedName>
    <definedName name="ㅇㄹ" localSheetId="3" hidden="1">{#N/A,#N/A,FALSE,"이태원철근"}</definedName>
    <definedName name="ㅇㄹ" hidden="1">{#N/A,#N/A,FALSE,"이태원철근"}</definedName>
    <definedName name="ㅇㄹㄴㄻㄴㅇㄹ" hidden="1">{#N/A,#N/A,FALSE,"이태원철근"}</definedName>
    <definedName name="ㅇㄹㄹ">#N/A</definedName>
    <definedName name="ㅇㄻㄴㅁㄴㄻ" localSheetId="3" hidden="1">{#N/A,#N/A,FALSE,"단가표지"}</definedName>
    <definedName name="ㅇㄻㄴㅁㄴㄻ" hidden="1">{#N/A,#N/A,FALSE,"단가표지"}</definedName>
    <definedName name="ㅇㄻㅇㄻㄴㄹ" localSheetId="3" hidden="1">{#N/A,#N/A,FALSE,"단가표지"}</definedName>
    <definedName name="ㅇㄻㅇㄻㄴㄹ" hidden="1">{#N/A,#N/A,FALSE,"단가표지"}</definedName>
    <definedName name="ㅇㅀㅁㅇㅁㅇ" localSheetId="3" hidden="1">{#N/A,#N/A,FALSE,"단가표지"}</definedName>
    <definedName name="ㅇㅀㅁㅇㅁㅇ" hidden="1">{#N/A,#N/A,FALSE,"단가표지"}</definedName>
    <definedName name="ㅇㅁㅎㅁㅇㄶㄻㅇㄶㄹ" hidden="1">{#N/A,#N/A,FALSE,"이태원철근"}</definedName>
    <definedName name="ㅇㅂㄴㅇㄴㅁㅇㄷㅂㅈ" hidden="1">{#N/A,#N/A,FALSE,"이태원철근"}</definedName>
    <definedName name="ㅇㅂㅁ" hidden="1">{#N/A,#N/A,FALSE,"이태원철근"}</definedName>
    <definedName name="ㅇㅅ굓요" hidden="1">{#N/A,#N/A,FALSE,"이태원철근"}</definedName>
    <definedName name="ㅇㅇ" localSheetId="4" hidden="1">{#N/A,#N/A,FALSE,"이태원철근"}</definedName>
    <definedName name="ㅇㅇ">#N/A</definedName>
    <definedName name="ㅇㅇ4" localSheetId="3" hidden="1">{#N/A,#N/A,FALSE,"이태원철근"}</definedName>
    <definedName name="ㅇㅇ4" hidden="1">{#N/A,#N/A,FALSE,"이태원철근"}</definedName>
    <definedName name="ㅇㅇㅇ" localSheetId="4" hidden="1">{#N/A,#N/A,FALSE,"이태원철근"}</definedName>
    <definedName name="ㅇㅇㅇ" localSheetId="3">#REF!</definedName>
    <definedName name="ㅇㅇㅇ">#N/A</definedName>
    <definedName name="ㅇㅇㅇㅇ">#N/A</definedName>
    <definedName name="ㅇㅇㅇㅇㅇㅇ" localSheetId="3" hidden="1">{#N/A,#N/A,FALSE,"이태원철근"}</definedName>
    <definedName name="ㅇㅇㅇㅇㅇㅇ" hidden="1">{#N/A,#N/A,FALSE,"이태원철근"}</definedName>
    <definedName name="ㅇㅇㅇㅇㅇㅇㅇ" hidden="1">{#N/A,#N/A,FALSE,"이태원철근"}</definedName>
    <definedName name="ㅇㅎㅇ" localSheetId="3" hidden="1">{#N/A,#N/A,FALSE,"포장1";#N/A,#N/A,FALSE,"포장1"}</definedName>
    <definedName name="ㅇㅎㅇ" hidden="1">{#N/A,#N/A,FALSE,"포장1";#N/A,#N/A,FALSE,"포장1"}</definedName>
    <definedName name="ㅇ호" localSheetId="3" hidden="1">{#N/A,#N/A,FALSE,"혼합골재"}</definedName>
    <definedName name="ㅇ호" hidden="1">{#N/A,#N/A,FALSE,"혼합골재"}</definedName>
    <definedName name="ㅇ호ㅓㅗ허" hidden="1">{#N/A,#N/A,FALSE,"이태원철근"}</definedName>
    <definedName name="아">{"'터널공'!$A$177:$A$186"}</definedName>
    <definedName name="아름" localSheetId="3" hidden="1">{#N/A,#N/A,FALSE,"이태원철근"}</definedName>
    <definedName name="아름" hidden="1">{#N/A,#N/A,FALSE,"이태원철근"}</definedName>
    <definedName name="아마도">#REF!</definedName>
    <definedName name="아무거나" hidden="1">#REF!</definedName>
    <definedName name="아스콘_기층_포설" localSheetId="3">#REF!</definedName>
    <definedName name="아스콘_기층_포설">#REF!</definedName>
    <definedName name="아스콘_포장깨기" localSheetId="3">#REF!</definedName>
    <definedName name="아스콘_포장깨기">#REF!</definedName>
    <definedName name="아스콘_포장절단" localSheetId="3">#REF!</definedName>
    <definedName name="아스콘_포장절단">#REF!</definedName>
    <definedName name="아스콘_표층_포설" localSheetId="3">#REF!</definedName>
    <definedName name="아스콘_표층_포설">#REF!</definedName>
    <definedName name="아스콘기층포설" localSheetId="3">#REF!</definedName>
    <definedName name="아스콘기층포설">#REF!</definedName>
    <definedName name="아스콘포장깨기" localSheetId="3">#REF!</definedName>
    <definedName name="아스콘포장깨기">#REF!</definedName>
    <definedName name="아스콘포장절단" localSheetId="3">#REF!</definedName>
    <definedName name="아스콘포장절단">#REF!</definedName>
    <definedName name="아스콘표층포설" localSheetId="3">#REF!</definedName>
    <definedName name="아스콘표층포설">#REF!</definedName>
    <definedName name="아스팔트_운반" localSheetId="3">#REF!</definedName>
    <definedName name="아스팔트_운반">#REF!</definedName>
    <definedName name="아스팔트운반" localSheetId="3">#REF!</definedName>
    <definedName name="아스팔트운반">#REF!</definedName>
    <definedName name="아아아아아앙">#REF!</definedName>
    <definedName name="아야아야아야야야야야야야양" hidden="1">#REF!</definedName>
    <definedName name="아이">#REF!</definedName>
    <definedName name="아프리카Site출발항공료">'[109]계약고별 차등단가'!#REF!</definedName>
    <definedName name="아프리카출장비">'[109]계약고별 차등단가'!#REF!</definedName>
    <definedName name="아프리카한국출발항공료">'[109]계약고별 차등단가'!#REF!</definedName>
    <definedName name="아프리카호텔비">'[109]계약고별 차등단가'!#REF!</definedName>
    <definedName name="안" hidden="1">[179]공통!$F$45</definedName>
    <definedName name="안내" localSheetId="3" hidden="1">{#N/A,#N/A,FALSE,"이태원철근"}</definedName>
    <definedName name="안내" hidden="1">{#N/A,#N/A,FALSE,"이태원철근"}</definedName>
    <definedName name="안성진행" localSheetId="3">#REF!</definedName>
    <definedName name="안성진행">#REF!</definedName>
    <definedName name="안성진행2" localSheetId="3">#REF!</definedName>
    <definedName name="안성진행2">#REF!</definedName>
    <definedName name="안성청산" localSheetId="3">#REF!</definedName>
    <definedName name="안성청산">#REF!</definedName>
    <definedName name="안양현대" localSheetId="3" hidden="1">{#N/A,#N/A,FALSE,"이태원철근"}</definedName>
    <definedName name="안양현대" hidden="1">{#N/A,#N/A,FALSE,"이태원철근"}</definedName>
    <definedName name="안전" localSheetId="3">#REF!</definedName>
    <definedName name="안전">#REF!</definedName>
    <definedName name="안전관리비" localSheetId="3">#REF!</definedName>
    <definedName name="안전관리비">#REF!</definedName>
    <definedName name="안전급여">#REF!</definedName>
    <definedName name="안전상여금">#REF!</definedName>
    <definedName name="안전외">#REF!</definedName>
    <definedName name="안전외총">#REF!</definedName>
    <definedName name="안정" localSheetId="3" hidden="1">{#N/A,#N/A,FALSE,"사업총괄";#N/A,#N/A,FALSE,"장비사업";#N/A,#N/A,FALSE,"철구사업";#N/A,#N/A,FALSE,"준설사업"}</definedName>
    <definedName name="안정" hidden="1">{#N/A,#N/A,FALSE,"사업총괄";#N/A,#N/A,FALSE,"장비사업";#N/A,#N/A,FALSE,"철구사업";#N/A,#N/A,FALSE,"준설사업"}</definedName>
    <definedName name="안효진행" localSheetId="3">#REF!</definedName>
    <definedName name="안효진행">#REF!</definedName>
    <definedName name="안효청산" localSheetId="3">#REF!</definedName>
    <definedName name="안효청산">#REF!</definedName>
    <definedName name="암__거" localSheetId="3">#REF!</definedName>
    <definedName name="암__거">#REF!</definedName>
    <definedName name="암거" localSheetId="3">#REF!</definedName>
    <definedName name="암거">#REF!</definedName>
    <definedName name="암거_날개벽" localSheetId="3">#REF!</definedName>
    <definedName name="암거_날개벽">#REF!</definedName>
    <definedName name="암거날개벽" localSheetId="3">#REF!</definedName>
    <definedName name="암거날개벽">#REF!</definedName>
    <definedName name="야간" hidden="1">{#N/A,#N/A,FALSE,"지침";#N/A,#N/A,FALSE,"환경분석";#N/A,#N/A,FALSE,"Sheet16"}</definedName>
    <definedName name="약수">#N/A</definedName>
    <definedName name="양" localSheetId="3" hidden="1">{#N/A,#N/A,FALSE,"이태원철근"}</definedName>
    <definedName name="양" hidden="1">{#N/A,#N/A,FALSE,"이태원철근"}</definedName>
    <definedName name="양식1" localSheetId="3" hidden="1">{#VALUE!,#N/A,FALSE,0;#N/A,#N/A,FALSE,0;#N/A,#N/A,FALSE,0;#N/A,#N/A,FALSE,0}</definedName>
    <definedName name="양식1" hidden="1">{#VALUE!,#N/A,FALSE,0;#N/A,#N/A,FALSE,0;#N/A,#N/A,FALSE,0;#N/A,#N/A,FALSE,0}</definedName>
    <definedName name="양중계획" localSheetId="3" hidden="1">{#N/A,#N/A,FALSE,"이태원철근"}</definedName>
    <definedName name="양중계획" hidden="1">{#N/A,#N/A,FALSE,"이태원철근"}</definedName>
    <definedName name="어ㅏㅣ" hidden="1">{#N/A,#N/A,FALSE,"이태원철근"}</definedName>
    <definedName name="업무" localSheetId="3" hidden="1">{#N/A,#N/A,FALSE,"이태원철근"}</definedName>
    <definedName name="업무" hidden="1">{#N/A,#N/A,FALSE,"이태원철근"}</definedName>
    <definedName name="업체" hidden="1">#REF!</definedName>
    <definedName name="엑설" localSheetId="3">#REF!</definedName>
    <definedName name="엑설">#REF!</definedName>
    <definedName name="엔s" localSheetId="3">#REF!</definedName>
    <definedName name="엔s">#REF!</definedName>
    <definedName name="엔화" localSheetId="3">#REF!</definedName>
    <definedName name="엔화">#REF!</definedName>
    <definedName name="여비" localSheetId="3">#REF!</definedName>
    <definedName name="여비">#REF!</definedName>
    <definedName name="연습" localSheetId="3">#REF!</definedName>
    <definedName name="연습">#REF!</definedName>
    <definedName name="영흥재료비" localSheetId="3">'Overseas(新)'!영흥재료비</definedName>
    <definedName name="영흥재료비">[0]!영흥재료비</definedName>
    <definedName name="예매10">#REF!</definedName>
    <definedName name="예매11">#REF!</definedName>
    <definedName name="예매12">#REF!</definedName>
    <definedName name="예매5">#REF!</definedName>
    <definedName name="예매6">#REF!</definedName>
    <definedName name="예매7">#REF!</definedName>
    <definedName name="예매8">#REF!</definedName>
    <definedName name="예매9">#REF!</definedName>
    <definedName name="예매과">#REF!</definedName>
    <definedName name="예매내년">#REF!</definedName>
    <definedName name="예매신">#REF!</definedName>
    <definedName name="예매잔">#REF!</definedName>
    <definedName name="예산내역" localSheetId="3" hidden="1">{#N/A,#N/A,FALSE,"이태원철근"}</definedName>
    <definedName name="예산내역" hidden="1">{#N/A,#N/A,FALSE,"이태원철근"}</definedName>
    <definedName name="예이10">#REF!</definedName>
    <definedName name="예이11">#REF!</definedName>
    <definedName name="예이12">#REF!</definedName>
    <definedName name="예이5">#REF!</definedName>
    <definedName name="예이6">#REF!</definedName>
    <definedName name="예이7">#REF!</definedName>
    <definedName name="예이8">#REF!</definedName>
    <definedName name="예이9">#REF!</definedName>
    <definedName name="예이과">#REF!</definedName>
    <definedName name="예이내년">#REF!</definedName>
    <definedName name="예이신">#REF!</definedName>
    <definedName name="예이잔">#REF!</definedName>
    <definedName name="오1" localSheetId="3">#REF!</definedName>
    <definedName name="오1">#REF!</definedName>
    <definedName name="오2" localSheetId="3">#REF!</definedName>
    <definedName name="오2">#REF!</definedName>
    <definedName name="오3" localSheetId="3">#REF!</definedName>
    <definedName name="오3">#REF!</definedName>
    <definedName name="오세아니아Site출발항공료">'[109]계약고별 차등단가'!#REF!</definedName>
    <definedName name="오세아니아출장비">'[109]계약고별 차등단가'!#REF!</definedName>
    <definedName name="오세아니아한국출발항공료">'[109]계약고별 차등단가'!#REF!</definedName>
    <definedName name="오세아니아호텔비">'[109]계약고별 차등단가'!#REF!</definedName>
    <definedName name="옥" localSheetId="3" hidden="1">{#N/A,#N/A,FALSE,"이태원철근"}</definedName>
    <definedName name="옥" hidden="1">{#N/A,#N/A,FALSE,"이태원철근"}</definedName>
    <definedName name="옥내" localSheetId="3" hidden="1">{#N/A,#N/A,FALSE,"이태원철근"}</definedName>
    <definedName name="옥내" hidden="1">{#N/A,#N/A,FALSE,"이태원철근"}</definedName>
    <definedName name="옥외1" localSheetId="3">#REF!</definedName>
    <definedName name="옥외1">#REF!</definedName>
    <definedName name="옥외2" localSheetId="3">#REF!</definedName>
    <definedName name="옥외2">#REF!</definedName>
    <definedName name="옥외3" localSheetId="3">#REF!</definedName>
    <definedName name="옥외3">#REF!</definedName>
    <definedName name="옥외4" localSheetId="3">#REF!</definedName>
    <definedName name="옥외4">#REF!</definedName>
    <definedName name="옥외5" localSheetId="3">#REF!</definedName>
    <definedName name="옥외5">#REF!</definedName>
    <definedName name="옥외6" localSheetId="3">#REF!</definedName>
    <definedName name="옥외6">#REF!</definedName>
    <definedName name="옥외7" localSheetId="3">#REF!</definedName>
    <definedName name="옥외7">#REF!</definedName>
    <definedName name="옥외8" localSheetId="3">#REF!</definedName>
    <definedName name="옥외8">#REF!</definedName>
    <definedName name="옥외공사" localSheetId="3" hidden="1">{#N/A,#N/A,FALSE,"이태원철근"}</definedName>
    <definedName name="옥외공사" hidden="1">{#N/A,#N/A,FALSE,"이태원철근"}</definedName>
    <definedName name="옥외대비" localSheetId="3" hidden="1">{#N/A,#N/A,FALSE,"이태원철근"}</definedName>
    <definedName name="옥외대비" hidden="1">{#N/A,#N/A,FALSE,"이태원철근"}</definedName>
    <definedName name="옥외대비1" hidden="1">{#N/A,#N/A,FALSE,"이태원철근"}</definedName>
    <definedName name="옥외수량1" localSheetId="3">#REF!</definedName>
    <definedName name="옥외수량1">#REF!</definedName>
    <definedName name="옥외수량2" localSheetId="3">#REF!</definedName>
    <definedName name="옥외수량2">#REF!</definedName>
    <definedName name="옥외수량3" localSheetId="3">#REF!</definedName>
    <definedName name="옥외수량3">#REF!</definedName>
    <definedName name="옥외수량4" localSheetId="3">#REF!</definedName>
    <definedName name="옥외수량4">#REF!</definedName>
    <definedName name="옥외수량5" localSheetId="3">#REF!</definedName>
    <definedName name="옥외수량5">#REF!</definedName>
    <definedName name="옥외수량6" localSheetId="3">#REF!</definedName>
    <definedName name="옥외수량6">#REF!</definedName>
    <definedName name="옥외수량7" localSheetId="3">#REF!</definedName>
    <definedName name="옥외수량7">#REF!</definedName>
    <definedName name="옥외수량8" localSheetId="3">#REF!</definedName>
    <definedName name="옥외수량8">#REF!</definedName>
    <definedName name="완결" localSheetId="3" hidden="1">{#N/A,#N/A,FALSE,"사업총괄";#N/A,#N/A,FALSE,"장비사업";#N/A,#N/A,FALSE,"철구사업";#N/A,#N/A,FALSE,"준설사업"}</definedName>
    <definedName name="완결" hidden="1">{#N/A,#N/A,FALSE,"사업총괄";#N/A,#N/A,FALSE,"장비사업";#N/A,#N/A,FALSE,"철구사업";#N/A,#N/A,FALSE,"준설사업"}</definedName>
    <definedName name="완결2" localSheetId="3" hidden="1">{#N/A,#N/A,FALSE,"사업총괄";#N/A,#N/A,FALSE,"장비사업";#N/A,#N/A,FALSE,"철구사업";#N/A,#N/A,FALSE,"준설사업"}</definedName>
    <definedName name="완결2" hidden="1">{#N/A,#N/A,FALSE,"사업총괄";#N/A,#N/A,FALSE,"장비사업";#N/A,#N/A,FALSE,"철구사업";#N/A,#N/A,FALSE,"준설사업"}</definedName>
    <definedName name="완공" localSheetId="3">#REF!</definedName>
    <definedName name="완공">#REF!</definedName>
    <definedName name="完工工事_計">#N/A</definedName>
    <definedName name="왜그래" localSheetId="3">#REF!</definedName>
    <definedName name="왜그래">#REF!</definedName>
    <definedName name="우가" hidden="1">{#N/A,#N/A,FALSE,"이태원철근"}</definedName>
    <definedName name="우리" localSheetId="3" hidden="1">{#N/A,#N/A,FALSE,"이태원철근"}</definedName>
    <definedName name="우리" hidden="1">{#N/A,#N/A,FALSE,"이태원철근"}</definedName>
    <definedName name="우성공사" localSheetId="3">#REF!</definedName>
    <definedName name="우성공사">#REF!</definedName>
    <definedName name="우ㅗ홓ㅇ" localSheetId="3" hidden="1">{#N/A,#N/A,FALSE,"조골재"}</definedName>
    <definedName name="우ㅗ홓ㅇ" hidden="1">{#N/A,#N/A,FALSE,"조골재"}</definedName>
    <definedName name="운반" localSheetId="3">#REF!</definedName>
    <definedName name="운반">#REF!</definedName>
    <definedName name="운반비" localSheetId="3">#REF!</definedName>
    <definedName name="운반비">#REF!</definedName>
    <definedName name="워크"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원가계산" localSheetId="3">'Overseas(新)'!원가계산</definedName>
    <definedName name="원가계산">[0]!원가계산</definedName>
    <definedName name="원가계산서" localSheetId="3">#REF!</definedName>
    <definedName name="원가계산서">#REF!</definedName>
    <definedName name="원가계산창" localSheetId="3">'Overseas(新)'!원가계산창</definedName>
    <definedName name="원가계산창">[0]!원가계산창</definedName>
    <definedName name="원남내역" hidden="1">[180]실행철강하도!$A$1:$A$4</definedName>
    <definedName name="원화환율" localSheetId="3">#REF!</definedName>
    <definedName name="원화환율">#REF!</definedName>
    <definedName name="월드건설" localSheetId="3" hidden="1">{#N/A,#N/A,FALSE,"이태원철근"}</definedName>
    <definedName name="월드건설" hidden="1">{#N/A,#N/A,FALSE,"이태원철근"}</definedName>
    <definedName name="월별영업" localSheetId="17">#REF!</definedName>
    <definedName name="월별영업" localSheetId="15">#REF!</definedName>
    <definedName name="월별영업" localSheetId="3">#REF!</definedName>
    <definedName name="월별영업">#REF!</definedName>
    <definedName name="월별투입" hidden="1">{#N/A,#N/A,FALSE,"지침";#N/A,#N/A,FALSE,"환경분석";#N/A,#N/A,FALSE,"Sheet16"}</definedName>
    <definedName name="위치" localSheetId="3">[161]GCC!$C$5</definedName>
    <definedName name="위치">[162]GCC!$C$5</definedName>
    <definedName name="유" localSheetId="3" hidden="1">{#N/A,#N/A,FALSE,"이태원철근"}</definedName>
    <definedName name="유" hidden="1">{#N/A,#N/A,FALSE,"이태원철근"}</definedName>
    <definedName name="유_지_창_고" localSheetId="3">#REF!</definedName>
    <definedName name="유_지_창_고">#REF!</definedName>
    <definedName name="유1" localSheetId="3">#REF!</definedName>
    <definedName name="유1">#REF!</definedName>
    <definedName name="유2" localSheetId="3">#REF!</definedName>
    <definedName name="유2">#REF!</definedName>
    <definedName name="유3" localSheetId="3">#REF!</definedName>
    <definedName name="유3">#REF!</definedName>
    <definedName name="有價__券.1.A" localSheetId="3">#REF!</definedName>
    <definedName name="有價__券.1.A">#REF!</definedName>
    <definedName name="유럽Site출발항공료">'[109]계약고별 차등단가'!#REF!</definedName>
    <definedName name="유럽출장비">'[109]계약고별 차등단가'!#REF!</definedName>
    <definedName name="유럽한국출발항공료">'[109]계약고별 차등단가'!#REF!</definedName>
    <definedName name="유럽호텔비">'[109]계약고별 차등단가'!#REF!</definedName>
    <definedName name="유지창고" localSheetId="3">#REF!</definedName>
    <definedName name="유지창고">#REF!</definedName>
    <definedName name="율촌가설" localSheetId="3">#REF!</definedName>
    <definedName name="율촌가설">#REF!</definedName>
    <definedName name="을" localSheetId="3">#REF!</definedName>
    <definedName name="을">#REF!</definedName>
    <definedName name="이" localSheetId="3" hidden="1">{#N/A,#N/A,FALSE,"이태원철근"}</definedName>
    <definedName name="이" hidden="1">{#N/A,#N/A,FALSE,"이태원철근"}</definedName>
    <definedName name="이1" localSheetId="3">#REF!</definedName>
    <definedName name="이1">#REF!</definedName>
    <definedName name="이2" localSheetId="3">#REF!</definedName>
    <definedName name="이2">#REF!</definedName>
    <definedName name="이3" localSheetId="3">#REF!</definedName>
    <definedName name="이3">#REF!</definedName>
    <definedName name="이금모" hidden="1">{"LKD",#N/A,FALSE,"표지"}</definedName>
    <definedName name="이름" localSheetId="3" hidden="1">{#N/A,#N/A,FALSE,"이태원철근"}</definedName>
    <definedName name="이름" hidden="1">{#N/A,#N/A,FALSE,"이태원철근"}</definedName>
    <definedName name="이승훈" localSheetId="3" hidden="1">{#N/A,#N/A,FALSE,"TABLE"}</definedName>
    <definedName name="이승훈" hidden="1">{#N/A,#N/A,FALSE,"TABLE"}</definedName>
    <definedName name="移越工事__小計" localSheetId="3">#REF!</definedName>
    <definedName name="移越工事__小計">#REF!</definedName>
    <definedName name="이이" localSheetId="3" hidden="1">{#N/A,#N/A,FALSE,"이태원철근"}</definedName>
    <definedName name="이이" hidden="1">{#N/A,#N/A,FALSE,"이태원철근"}</definedName>
    <definedName name="이정" localSheetId="3" hidden="1">{#N/A,#N/A,FALSE,"2~8번"}</definedName>
    <definedName name="이정" hidden="1">{#N/A,#N/A,FALSE,"2~8번"}</definedName>
    <definedName name="이태원" localSheetId="17">'[122]IT-BAT'!#REF!</definedName>
    <definedName name="이태원" localSheetId="15">'[122]IT-BAT'!#REF!</definedName>
    <definedName name="이태원">'[122]IT-BAT'!#REF!</definedName>
    <definedName name="이ㅏㅎ" hidden="1">{#N/A,#N/A,FALSE,"이태원철근"}</definedName>
    <definedName name="인공" localSheetId="3">#REF!</definedName>
    <definedName name="인공">#REF!</definedName>
    <definedName name="인도">#REF!</definedName>
    <definedName name="인력2" hidden="1">{#N/A,#N/A,FALSE,"CCTV"}</definedName>
    <definedName name="인력투입" localSheetId="3">#REF!</definedName>
    <definedName name="인력투입">#REF!</definedName>
    <definedName name="인쇄양식">#N/A</definedName>
    <definedName name="인쇄영역">[181]갑지!$B$1:$F$18,[181]갑지!#REF!,[181]갑지!#REF!</definedName>
    <definedName name="인원">#REF!</definedName>
    <definedName name="인원2" localSheetId="17">[182]인원계획!#REF!</definedName>
    <definedName name="인원2" localSheetId="15">[182]인원계획!#REF!</definedName>
    <definedName name="인원2">[182]인원계획!#REF!</definedName>
    <definedName name="인천"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인천공항"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인천지검"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일반" localSheetId="3">#REF!</definedName>
    <definedName name="일반">#REF!</definedName>
    <definedName name="일반통신설비" localSheetId="3">#REF!</definedName>
    <definedName name="일반통신설비">#REF!</definedName>
    <definedName name="일본출장비">'[109]계약고별 차등단가'!#REF!</definedName>
    <definedName name="일본한국출발항공료">'[109]계약고별 차등단가'!#REF!</definedName>
    <definedName name="일본호텔비">'[109]계약고별 차등단가'!#REF!</definedName>
    <definedName name="일위" localSheetId="3">#REF!,#REF!</definedName>
    <definedName name="일위">#REF!,#REF!</definedName>
    <definedName name="일위대가" localSheetId="3">#REF!</definedName>
    <definedName name="일위대가">#REF!</definedName>
    <definedName name="일위대가1" localSheetId="3">#REF!</definedName>
    <definedName name="일위대가1">#REF!</definedName>
    <definedName name="일위대가단가" localSheetId="3">#REF!</definedName>
    <definedName name="일위대가단가">#REF!</definedName>
    <definedName name="일위산출" localSheetId="3">#REF!</definedName>
    <definedName name="일위산출">#REF!</definedName>
    <definedName name="일위산출1" localSheetId="3">#REF!</definedName>
    <definedName name="일위산출1">#REF!</definedName>
    <definedName name="일자" localSheetId="3">#REF!</definedName>
    <definedName name="일자">#REF!</definedName>
    <definedName name="일정표" hidden="1">{#N/A,#N/A,FALSE,"이태원철근"}</definedName>
    <definedName name="일정표0124" hidden="1">{#N/A,#N/A,FALSE,"이태원철근"}</definedName>
    <definedName name="일투입" hidden="1">{#N/A,#N/A,FALSE,"지침";#N/A,#N/A,FALSE,"환경분석";#N/A,#N/A,FALSE,"Sheet16"}</definedName>
    <definedName name="임금" localSheetId="3" hidden="1">'[183]간접비 총괄표'!$B$840:$B$1248</definedName>
    <definedName name="임금" hidden="1">'[184]간접비 총괄표'!$B$840:$B$1248</definedName>
    <definedName name="임금시간" localSheetId="3">[161]Sheet2!$G$2:$G$11</definedName>
    <definedName name="임금시간">[162]Sheet2!$G$2:$G$11</definedName>
    <definedName name="임직" localSheetId="3" hidden="1">#REF!</definedName>
    <definedName name="임직" hidden="1">#REF!</definedName>
    <definedName name="ㅈ" localSheetId="17">[36]상반기손익차2총괄!#REF!</definedName>
    <definedName name="ㅈ" localSheetId="15">[36]상반기손익차2총괄!#REF!</definedName>
    <definedName name="ㅈ" localSheetId="4" hidden="1">{#N/A,#N/A,FALSE,"이태원철근"}</definedName>
    <definedName name="ㅈ">[36]상반기손익차2총괄!#REF!</definedName>
    <definedName name="ㅈㄷㄱ" hidden="1">{#N/A,#N/A,FALSE,"이태원철근"}</definedName>
    <definedName name="ㅈㄷㄱㅈㄷㄱ" hidden="1">{#N/A,#N/A,FALSE,"이태원철근"}</definedName>
    <definedName name="ㅈㄷㄱㅈㄷㄱㄷ주" hidden="1">{#N/A,#N/A,FALSE,"이태원철근"}</definedName>
    <definedName name="ㅈㄷㄱㅈㄷㄱㅈ" hidden="1">{#N/A,#N/A,FALSE,"이태원철근"}</definedName>
    <definedName name="ㅈㄷㄱㅈㄷㄱㅈㄷ" hidden="1">{#N/A,#N/A,FALSE,"이태원철근"}</definedName>
    <definedName name="ㅈㄷㄱㅈㄷㄱㅈㄷㄱ" hidden="1">{#N/A,#N/A,FALSE,"이태원철근"}</definedName>
    <definedName name="ㅈㄷㄱㅈㄷㄱㅈㄷㄱㅈㄷ" hidden="1">{#N/A,#N/A,FALSE,"이태원철근"}</definedName>
    <definedName name="ㅈㄷㄱㅈㄷㄱㅈㅈ" hidden="1">{#N/A,#N/A,FALSE,"이태원철근"}</definedName>
    <definedName name="ㅈㄷ교죠ㅜ" hidden="1">{#N/A,#N/A,FALSE,"이태원철근"}</definedName>
    <definedName name="ㅈㄷ굗ㄱ죠죠" hidden="1">{#N/A,#N/A,FALSE,"이태원철근"}</definedName>
    <definedName name="ㅈㄷ굦ㄷ굑ㅈ됴죧ㄱ" hidden="1">{#N/A,#N/A,FALSE,"이태원철근"}</definedName>
    <definedName name="ㅈㄷㄳ" hidden="1">{#N/A,#N/A,FALSE,"이태원철근"}</definedName>
    <definedName name="ㅈㄷㅅㅅㅈㅅㅈㄷ" hidden="1">{#N/A,#N/A,FALSE,"이태원철근"}</definedName>
    <definedName name="ㅈㄷㅅㅈㅅ" hidden="1">{#N/A,#N/A,FALSE,"이태원철근"}</definedName>
    <definedName name="ㅈㄷ쇼ㅛㅈㄱ" hidden="1">{#N/A,#N/A,FALSE,"이태원철근"}</definedName>
    <definedName name="ㅈㄷㅇㄴㅇㄹ" localSheetId="3" hidden="1">{#N/A,#N/A,FALSE,"속도"}</definedName>
    <definedName name="ㅈㄷㅇㄴㅇㄹ" hidden="1">{#N/A,#N/A,FALSE,"속도"}</definedName>
    <definedName name="ㅈㄷㅈㄷ">#N/A</definedName>
    <definedName name="ㅈㅂㅇㄴㅁㅇㅈㅇㅂ" hidden="1">{#N/A,#N/A,FALSE,"이태원철근"}</definedName>
    <definedName name="ㅈㅇㅁㄴㅇㅂㄴㄷㅇㅁ" hidden="1">{#N/A,#N/A,FALSE,"이태원철근"}</definedName>
    <definedName name="ㅈㅈ" localSheetId="3" hidden="1">{#N/A,#N/A,FALSE,"표지목차"}</definedName>
    <definedName name="ㅈㅈ">{"'장비'!$A$3:$M$12"}</definedName>
    <definedName name="ㅈㅈㅈ" localSheetId="3">#REF!</definedName>
    <definedName name="ㅈㅈㅈ" hidden="1">{"LKD",#N/A,FALSE,"표지"}</definedName>
    <definedName name="자" hidden="1">{#N/A,#N/A,FALSE,"이태원철근"}</definedName>
    <definedName name="자갈운반" localSheetId="3">#REF!</definedName>
    <definedName name="자갈운반">#REF!</definedName>
    <definedName name="자금7차" hidden="1">{#N/A,#N/A,FALSE,"이태원철근"}</definedName>
    <definedName name="자금수급" localSheetId="3">#REF!</definedName>
    <definedName name="자금수급">#REF!</definedName>
    <definedName name="자금운영7차" hidden="1">#N/A</definedName>
    <definedName name="자동화재탐지설비" localSheetId="3">#REF!</definedName>
    <definedName name="자동화재탐지설비">#REF!</definedName>
    <definedName name="자리수" localSheetId="3">#REF!</definedName>
    <definedName name="자리수">#REF!</definedName>
    <definedName name="자양" hidden="1">{#N/A,#N/A,FALSE,"이태원철근"}</definedName>
    <definedName name="자양공사개요" hidden="1">{#N/A,#N/A,FALSE,"이태원철근"}</definedName>
    <definedName name="자운" hidden="1">'[3]#REF'!$A$1:$IV$4083</definedName>
    <definedName name="자재단가" hidden="1">{#N/A,#N/A,TRUE,"총괄"}</definedName>
    <definedName name="자재단가근거" localSheetId="3" hidden="1">#REF!</definedName>
    <definedName name="자재단가근거" hidden="1">#REF!</definedName>
    <definedName name="자재단가표" localSheetId="3">#REF!</definedName>
    <definedName name="자재단가표">#REF!</definedName>
    <definedName name="작성" localSheetId="3">#REF!</definedName>
    <definedName name="작성">#REF!</definedName>
    <definedName name="작업계획">{"'장비'!$A$3:$M$12"}</definedName>
    <definedName name="잔액" localSheetId="3">#REF!</definedName>
    <definedName name="잔액">#REF!</definedName>
    <definedName name="잡석운반" localSheetId="3">#REF!</definedName>
    <definedName name="잡석운반">#REF!</definedName>
    <definedName name="잡자재비" localSheetId="3">#REF!</definedName>
    <definedName name="잡자재비">#REF!</definedName>
    <definedName name="장동" localSheetId="3">BlankMacro1</definedName>
    <definedName name="장동">BlankMacro1</definedName>
    <definedName name="장비" localSheetId="3">BlankMacro1</definedName>
    <definedName name="장비" hidden="1">{#N/A,#N/A,FALSE,"CCTV"}</definedName>
    <definedName name="장비2" hidden="1">{#N/A,#N/A,FALSE,"손익표지";#N/A,#N/A,FALSE,"손익계산";#N/A,#N/A,FALSE,"일반관리비";#N/A,#N/A,FALSE,"영업외수익";#N/A,#N/A,FALSE,"영업외비용";#N/A,#N/A,FALSE,"매출액";#N/A,#N/A,FALSE,"요약손익";#N/A,#N/A,FALSE,"요약대차";#N/A,#N/A,FALSE,"매출채권현황";#N/A,#N/A,FALSE,"매출채권명세"}</definedName>
    <definedName name="장비동원" localSheetId="3">BlankMacro1</definedName>
    <definedName name="장비동원">BlankMacro1</definedName>
    <definedName name="재건축경과" localSheetId="3" hidden="1">{#N/A,#N/A,FALSE,"이태원철근"}</definedName>
    <definedName name="재건축경과" hidden="1">{#N/A,#N/A,FALSE,"이태원철근"}</definedName>
    <definedName name="재검토" localSheetId="3">#REF!</definedName>
    <definedName name="재검토">#REF!</definedName>
    <definedName name="재도급" localSheetId="3">#REF!</definedName>
    <definedName name="재도급">#REF!</definedName>
    <definedName name="재료비" localSheetId="3">#REF!</definedName>
    <definedName name="재료비">#REF!</definedName>
    <definedName name="재료비1" localSheetId="3">#REF!</definedName>
    <definedName name="재료비1">#REF!</definedName>
    <definedName name="재료비10" localSheetId="3">#REF!</definedName>
    <definedName name="재료비10">#REF!</definedName>
    <definedName name="재료비11" localSheetId="3">#REF!</definedName>
    <definedName name="재료비11">#REF!</definedName>
    <definedName name="재료비12" localSheetId="3">#REF!</definedName>
    <definedName name="재료비12">#REF!</definedName>
    <definedName name="재료비13" localSheetId="3">#REF!</definedName>
    <definedName name="재료비13">#REF!</definedName>
    <definedName name="재료비14" localSheetId="3">#REF!</definedName>
    <definedName name="재료비14">#REF!</definedName>
    <definedName name="재료비15" localSheetId="3">#REF!</definedName>
    <definedName name="재료비15">#REF!</definedName>
    <definedName name="재료비16" localSheetId="3">#REF!</definedName>
    <definedName name="재료비16">#REF!</definedName>
    <definedName name="재료비2" localSheetId="3">#REF!</definedName>
    <definedName name="재료비2">#REF!</definedName>
    <definedName name="재료비3" localSheetId="3">#REF!</definedName>
    <definedName name="재료비3">#REF!</definedName>
    <definedName name="재료비4" localSheetId="3">#REF!</definedName>
    <definedName name="재료비4">#REF!</definedName>
    <definedName name="재료비5" localSheetId="3">#REF!</definedName>
    <definedName name="재료비5">#REF!</definedName>
    <definedName name="재료비6" localSheetId="3">#REF!</definedName>
    <definedName name="재료비6">#REF!</definedName>
    <definedName name="재료비7" localSheetId="3">#REF!</definedName>
    <definedName name="재료비7">#REF!</definedName>
    <definedName name="재료비8" localSheetId="3">#REF!</definedName>
    <definedName name="재료비8">#REF!</definedName>
    <definedName name="재료비9" localSheetId="3">#REF!</definedName>
    <definedName name="재료비9">#REF!</definedName>
    <definedName name="재정부" localSheetId="3">#REF!</definedName>
    <definedName name="재정부">#REF!</definedName>
    <definedName name="재회사" localSheetId="3">#REF!</definedName>
    <definedName name="재회사">#REF!</definedName>
    <definedName name="전" localSheetId="3">#REF!</definedName>
    <definedName name="전">#N/A</definedName>
    <definedName name="전기" localSheetId="3">#N/A</definedName>
    <definedName name="전기">{"'장비'!$A$3:$M$12"}</definedName>
    <definedName name="전기계장" localSheetId="3">#REF!</definedName>
    <definedName name="전기계장">#REF!</definedName>
    <definedName name="전기계장외">#REF!</definedName>
    <definedName name="전기계장외총">#REF!</definedName>
    <definedName name="전기공사" localSheetId="3">#REF!</definedName>
    <definedName name="전기공사">#REF!</definedName>
    <definedName name="전기공사비교" hidden="1">{#N/A,#N/A,FALSE,"손익표지";#N/A,#N/A,FALSE,"손익계산";#N/A,#N/A,FALSE,"일반관리비";#N/A,#N/A,FALSE,"영업외수익";#N/A,#N/A,FALSE,"영업외비용";#N/A,#N/A,FALSE,"매출액";#N/A,#N/A,FALSE,"요약손익";#N/A,#N/A,FALSE,"요약대차";#N/A,#N/A,FALSE,"매출채권현황";#N/A,#N/A,FALSE,"매출채권명세"}</definedName>
    <definedName name="전기내역" hidden="1">{#N/A,#N/A,FALSE,"CCTV"}</definedName>
    <definedName name="전등신설" localSheetId="3">#REF!</definedName>
    <definedName name="전등신설">#REF!</definedName>
    <definedName name="全体" localSheetId="3">#REF!</definedName>
    <definedName name="全体">#REF!</definedName>
    <definedName name="全体１" localSheetId="3">#REF!</definedName>
    <definedName name="全体１">#REF!</definedName>
    <definedName name="전선관및접지내역서" hidden="1">'[185]당진1,2호기전선관설치및접지4차공사내역서-을지'!#REF!</definedName>
    <definedName name="전체sum" localSheetId="3">#REF!</definedName>
    <definedName name="전체sum">#REF!</definedName>
    <definedName name="전체서류">'[186]General Data'!$B$14</definedName>
    <definedName name="절" localSheetId="3" hidden="1">#REF!</definedName>
    <definedName name="절" hidden="1">#REF!</definedName>
    <definedName name="정리" localSheetId="3">#REF!</definedName>
    <definedName name="정리">#REF!</definedName>
    <definedName name="정명영" localSheetId="3" hidden="1">{#N/A,#N/A,FALSE,"이태원철근"}</definedName>
    <definedName name="정명영" hidden="1">{#N/A,#N/A,FALSE,"이태원철근"}</definedName>
    <definedName name="정전무사업" localSheetId="3">#REF!</definedName>
    <definedName name="정전무사업">#REF!</definedName>
    <definedName name="정전무사업계획97" localSheetId="3">#REF!</definedName>
    <definedName name="정전무사업계획97">#REF!</definedName>
    <definedName name="정하명" hidden="1">{#N/A,#N/A,TRUE,"Basic";#N/A,#N/A,TRUE,"EXT-TABLE";#N/A,#N/A,TRUE,"STEEL";#N/A,#N/A,TRUE,"INT-Table";#N/A,#N/A,TRUE,"STEEL";#N/A,#N/A,TRUE,"Door"}</definedName>
    <definedName name="정호" localSheetId="3">#REF!</definedName>
    <definedName name="정호">#REF!</definedName>
    <definedName name="제1호표" localSheetId="3">#REF!</definedName>
    <definedName name="제1호표">#REF!</definedName>
    <definedName name="제2호표" localSheetId="3">#REF!</definedName>
    <definedName name="제2호표">#REF!</definedName>
    <definedName name="제3호표" localSheetId="3">#REF!</definedName>
    <definedName name="제3호표">#REF!</definedName>
    <definedName name="제4호표" localSheetId="3">#REF!</definedName>
    <definedName name="제4호표">#REF!</definedName>
    <definedName name="제5호표" localSheetId="3">#REF!</definedName>
    <definedName name="제5호표">#REF!</definedName>
    <definedName name="제6호표" localSheetId="3">#REF!</definedName>
    <definedName name="제6호표">#REF!</definedName>
    <definedName name="제목" localSheetId="3">#REF!</definedName>
    <definedName name="제목">#REF!</definedName>
    <definedName name="제출2" localSheetId="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제출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조감도" localSheetId="3" hidden="1">{#N/A,#N/A,FALSE,"이태원철근"}</definedName>
    <definedName name="조감도" hidden="1">{#N/A,#N/A,FALSE,"이태원철근"}</definedName>
    <definedName name="조감도2" localSheetId="3" hidden="1">{#N/A,#N/A,FALSE,"이태원철근"}</definedName>
    <definedName name="조감도2" hidden="1">{#N/A,#N/A,FALSE,"이태원철근"}</definedName>
    <definedName name="조건2" hidden="1">{#N/A,#N/A,FALSE,"CCTV"}</definedName>
    <definedName name="조견표1" localSheetId="3" hidden="1">{#N/A,#N/A,FALSE,"예상손익";#N/A,#N/A,FALSE,"관리분석";#N/A,#N/A,FALSE,"장비분석";#N/A,#N/A,FALSE,"준설분석";#N/A,#N/A,FALSE,"철구분석"}</definedName>
    <definedName name="조견표1" hidden="1">{#N/A,#N/A,FALSE,"예상손익";#N/A,#N/A,FALSE,"관리분석";#N/A,#N/A,FALSE,"장비분석";#N/A,#N/A,FALSE,"준설분석";#N/A,#N/A,FALSE,"철구분석"}</definedName>
    <definedName name="조사가" hidden="1">[187]내역서!#REF!</definedName>
    <definedName name="조원일">'[188]99년하반기'!$C$12:$C$18,'[188]99년하반기'!$E$12:$E$18,'[188]99년하반기'!$G$12:$G$18,'[188]99년하반기'!$I$12:$I$18,'[188]99년하반기'!$K$12:$K$18,'[188]99년하반기'!$M$12:$M$18,'[188]99년하반기'!$C$30:$C$36,'[188]99년하반기'!$E$30:$E$36,'[188]99년하반기'!$G$30:$G$36,'[188]99년하반기'!$I$30:$I$36,'[188]99년하반기'!$K$30:$K$36,'[188]99년하반기'!$M$30:$M$36</definedName>
    <definedName name="조직도" localSheetId="3" hidden="1">{#N/A,#N/A,FALSE,"이태원철근"}</definedName>
    <definedName name="조직도" hidden="1">{#N/A,#N/A,FALSE,"이태원철근"}</definedName>
    <definedName name="조직도1" localSheetId="3" hidden="1">{#N/A,#N/A,FALSE,"기안지";#N/A,#N/A,FALSE,"통신지"}</definedName>
    <definedName name="조직도1" hidden="1">{#N/A,#N/A,FALSE,"기안지";#N/A,#N/A,FALSE,"통신지"}</definedName>
    <definedName name="조직도2" localSheetId="3" hidden="1">{#N/A,#N/A,FALSE,"기안지";#N/A,#N/A,FALSE,"통신지"}</definedName>
    <definedName name="조직도2" hidden="1">{#N/A,#N/A,FALSE,"기안지";#N/A,#N/A,FALSE,"통신지"}</definedName>
    <definedName name="조직표" hidden="1">{#N/A,#N/A,FALSE,"이태원철근"}</definedName>
    <definedName name="조직표현장" localSheetId="3" hidden="1">'[189]간접비 총괄표'!$I$10:$I$1248</definedName>
    <definedName name="조직표현장" hidden="1">'[190]간접비 총괄표'!$I$10:$I$1248</definedName>
    <definedName name="종근" localSheetId="3" hidden="1">{#N/A,#N/A,FALSE,"사업총괄";#N/A,#N/A,FALSE,"장비사업";#N/A,#N/A,FALSE,"철구사업";#N/A,#N/A,FALSE,"준설사업"}</definedName>
    <definedName name="종근" hidden="1">{#N/A,#N/A,FALSE,"사업총괄";#N/A,#N/A,FALSE,"장비사업";#N/A,#N/A,FALSE,"철구사업";#N/A,#N/A,FALSE,"준설사업"}</definedName>
    <definedName name="종배수관_부설" localSheetId="3">#REF!</definedName>
    <definedName name="종배수관_부설">#REF!</definedName>
    <definedName name="종배수관부설" localSheetId="3">#REF!</definedName>
    <definedName name="종배수관부설">#REF!</definedName>
    <definedName name="종합청사"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주간" hidden="1">{#N/A,#N/A,FALSE,"지침";#N/A,#N/A,FALSE,"환경분석";#N/A,#N/A,FALSE,"Sheet16"}</definedName>
    <definedName name="주거" localSheetId="3" hidden="1">{#N/A,#N/A,FALSE,"이태원철근"}</definedName>
    <definedName name="주거" hidden="1">{#N/A,#N/A,FALSE,"이태원철근"}</definedName>
    <definedName name="주요" hidden="1">{#N/A,#N/A,FALSE,"TABLE"}</definedName>
    <definedName name="주차" localSheetId="3">[161]Sheet2!$D$2:$D$11</definedName>
    <definedName name="주차">[162]Sheet2!$D$2:$D$11</definedName>
    <definedName name="주택사업본부" localSheetId="3">#REF!</definedName>
    <definedName name="주택사업본부">#REF!</definedName>
    <definedName name="죽전" localSheetId="3" hidden="1">{#N/A,#N/A,FALSE,"이태원철근"}</definedName>
    <definedName name="죽전" hidden="1">{#N/A,#N/A,FALSE,"이태원철근"}</definedName>
    <definedName name="죽전3차" hidden="1">{#N/A,#N/A,FALSE,"이태원철근"}</definedName>
    <definedName name="죽전5차" localSheetId="3" hidden="1">{#N/A,#N/A,FALSE,"이태원철근"}</definedName>
    <definedName name="죽전5차" hidden="1">{#N/A,#N/A,FALSE,"이태원철근"}</definedName>
    <definedName name="중국Site출발항공료">'[109]계약고별 차등단가'!#REF!</definedName>
    <definedName name="중국출장비">'[109]계약고별 차등단가'!#REF!</definedName>
    <definedName name="중국한국출발항공료">'[109]계약고별 차등단가'!#REF!</definedName>
    <definedName name="중국호텔비">'[109]계약고별 차등단가'!#REF!</definedName>
    <definedName name="중급" localSheetId="3">#REF!</definedName>
    <definedName name="중급">#REF!</definedName>
    <definedName name="중기" localSheetId="3">#REF!</definedName>
    <definedName name="중기">#REF!</definedName>
    <definedName name="중기운반" localSheetId="3">#REF!</definedName>
    <definedName name="중기운반">#REF!</definedName>
    <definedName name="중단공사" localSheetId="3">#REF!</definedName>
    <definedName name="중단공사">#REF!</definedName>
    <definedName name="中斷工事__小計" localSheetId="3">#REF!</definedName>
    <definedName name="中斷工事__小計">#REF!</definedName>
    <definedName name="중동Site출발항공료">'[109]계약고별 차등단가'!#REF!</definedName>
    <definedName name="중동출장비">'[109]계약고별 차등단가'!#REF!</definedName>
    <definedName name="중동한국출발항공료">'[109]계약고별 차등단가'!#REF!</definedName>
    <definedName name="중동호텔비">'[109]계약고별 차등단가'!#REF!</definedName>
    <definedName name="중량산출" hidden="1">{#N/A,#N/A,FALSE,"Sheet1"}</definedName>
    <definedName name="중량산출1" hidden="1">{#N/A,#N/A,FALSE,"Sheet1"}</definedName>
    <definedName name="중미Site출발항공료">'[109]계약고별 차등단가'!#REF!</definedName>
    <definedName name="중미출장비">'[109]계약고별 차등단가'!#REF!</definedName>
    <definedName name="중미한국출발항공료">'[109]계약고별 차등단가'!#REF!</definedName>
    <definedName name="중미호텔비">'[109]계약고별 차등단가'!#REF!</definedName>
    <definedName name="중앙아시아Site출발항공료">'[109]계약고별 차등단가'!#REF!</definedName>
    <definedName name="중앙아시아출장비">'[109]계약고별 차등단가'!#REF!</definedName>
    <definedName name="중앙아시아한국출발항공료">'[109]계약고별 차등단가'!#REF!</definedName>
    <definedName name="중앙아시아호텔비">'[109]계약고별 차등단가'!#REF!</definedName>
    <definedName name="중점0601" localSheetId="3" hidden="1">{#N/A,#N/A,FALSE,"이태원철근"}</definedName>
    <definedName name="중점0601" hidden="1">{#N/A,#N/A,FALSE,"이태원철근"}</definedName>
    <definedName name="중점관리" localSheetId="3" hidden="1">{#N/A,#N/A,FALSE,"이태원철근"}</definedName>
    <definedName name="중점관리" hidden="1">{#N/A,#N/A,FALSE,"이태원철근"}</definedName>
    <definedName name="중추2교대거푸집집계" localSheetId="3" hidden="1">{#N/A,#N/A,FALSE,"배수1"}</definedName>
    <definedName name="중추2교대거푸집집계" hidden="1">{#N/A,#N/A,FALSE,"배수1"}</definedName>
    <definedName name="지" localSheetId="3">#REF!</definedName>
    <definedName name="지" hidden="1">{#N/A,#N/A,FALSE,"이태원철근"}</definedName>
    <definedName name="지사">[109]입찰내역서!$T$62</definedName>
    <definedName name="지장선로" localSheetId="3">#REF!</definedName>
    <definedName name="지장선로">#REF!</definedName>
    <definedName name="직노1" localSheetId="3">#REF!</definedName>
    <definedName name="직노1">#REF!</definedName>
    <definedName name="직매54P" localSheetId="3" hidden="1">{#N/A,#N/A,TRUE,"토적및재료집계";#N/A,#N/A,TRUE,"토적및재료집계";#N/A,#N/A,TRUE,"단위량"}</definedName>
    <definedName name="직매54P" hidden="1">{#N/A,#N/A,TRUE,"토적및재료집계";#N/A,#N/A,TRUE,"토적및재료집계";#N/A,#N/A,TRUE,"단위량"}</definedName>
    <definedName name="직원소요철수계획" hidden="1">{#N/A,#N/A,FALSE,"이태원철근"}</definedName>
    <definedName name="직원수" hidden="1">{#N/A,#N/A,FALSE,"이태원철근"}</definedName>
    <definedName name="직원임금" localSheetId="3" hidden="1">'[183]간접비 총괄표'!$I$10:$I$1248</definedName>
    <definedName name="직원임금" hidden="1">'[184]간접비 총괄표'!$I$10:$I$1248</definedName>
    <definedName name="직원조직" localSheetId="3" hidden="1">{#N/A,#N/A,FALSE,"이태원철근"}</definedName>
    <definedName name="직원조직" hidden="1">{#N/A,#N/A,FALSE,"이태원철근"}</definedName>
    <definedName name="직원조직표" localSheetId="3" hidden="1">{#N/A,#N/A,FALSE,"이태원철근"}</definedName>
    <definedName name="직원조직표" hidden="1">{#N/A,#N/A,FALSE,"이태원철근"}</definedName>
    <definedName name="직원조직표1" localSheetId="3" hidden="1">{#N/A,#N/A,FALSE,"이태원철근"}</definedName>
    <definedName name="직원조직표1" hidden="1">{#N/A,#N/A,FALSE,"이태원철근"}</definedName>
    <definedName name="직원조직표복사" hidden="1">{#N/A,#N/A,FALSE,"이태원철근"}</definedName>
    <definedName name="직재" localSheetId="3">#REF!</definedName>
    <definedName name="직재">#REF!</definedName>
    <definedName name="직접노무비" localSheetId="3">#REF!</definedName>
    <definedName name="직접노무비">#REF!</definedName>
    <definedName name="직접재료비" localSheetId="3">#REF!</definedName>
    <definedName name="직접재료비">#REF!</definedName>
    <definedName name="직종" localSheetId="3">#REF!</definedName>
    <definedName name="직종">#REF!</definedName>
    <definedName name="진행" localSheetId="3">#REF!</definedName>
    <definedName name="진행">#REF!</definedName>
    <definedName name="진행1" localSheetId="3">#REF!</definedName>
    <definedName name="진행1">#REF!</definedName>
    <definedName name="進行工事__小計" localSheetId="3">#REF!</definedName>
    <definedName name="進行工事__小計">#REF!</definedName>
    <definedName name="進行工事__小計1" localSheetId="3">#REF!</definedName>
    <definedName name="進行工事__小計1">#REF!</definedName>
    <definedName name="질소_및_탄산가스창고" localSheetId="3">#REF!</definedName>
    <definedName name="질소_및_탄산가스창고">#REF!</definedName>
    <definedName name="집계SHEET">[191]당초!#REF!</definedName>
    <definedName name="집계표" hidden="1">{#N/A,#N/A,FALSE,"Sheet1"}</definedName>
    <definedName name="집수정" localSheetId="3">#REF!</definedName>
    <definedName name="집수정">#REF!</definedName>
    <definedName name="ㅊ1555" localSheetId="3">#REF!</definedName>
    <definedName name="ㅊ1555">#REF!</definedName>
    <definedName name="ㅊㅍㅋㅌㅊㅋ" localSheetId="3" hidden="1">{#N/A,#N/A,FALSE,"운반시간"}</definedName>
    <definedName name="ㅊㅍㅋㅌㅊㅋ" hidden="1">{#N/A,#N/A,FALSE,"운반시간"}</definedName>
    <definedName name="ㅊㅍㅋㅌㅍㅌ" localSheetId="3" hidden="1">{#N/A,#N/A,FALSE,"혼합골재"}</definedName>
    <definedName name="ㅊㅍㅋㅌㅍㅌ" hidden="1">{#N/A,#N/A,FALSE,"혼합골재"}</definedName>
    <definedName name="차량" localSheetId="3" hidden="1">'[192]간접비 총괄표'!$I$10:$I$1248</definedName>
    <definedName name="차량" hidden="1">#REF!</definedName>
    <definedName name="차량현황1" hidden="1">#REF!</definedName>
    <definedName name="차선도색" localSheetId="3">#REF!</definedName>
    <definedName name="차선도색">#REF!</definedName>
    <definedName name="착수최종" hidden="1">{#N/A,#N/A,FALSE,"이태원철근"}</definedName>
    <definedName name="참고2" localSheetId="3" hidden="1">[193]현장!#REF!</definedName>
    <definedName name="참고2" hidden="1">[193]현장!#REF!</definedName>
    <definedName name="참고자료" localSheetId="3" hidden="1">{#VALUE!,#N/A,FALSE,0;#N/A,#N/A,FALSE,0;#N/A,#N/A,FALSE,0;#N/A,#N/A,FALSE,0}</definedName>
    <definedName name="참고자료" hidden="1">{#VALUE!,#N/A,FALSE,0;#N/A,#N/A,FALSE,0;#N/A,#N/A,FALSE,0;#N/A,#N/A,FALSE,0}</definedName>
    <definedName name="참고자료2" localSheetId="3" hidden="1">{#VALUE!,#N/A,FALSE,0;#N/A,#N/A,FALSE,0;#N/A,#N/A,FALSE,0;#N/A,#N/A,FALSE,0}</definedName>
    <definedName name="참고자료2" hidden="1">{#VALUE!,#N/A,FALSE,0;#N/A,#N/A,FALSE,0;#N/A,#N/A,FALSE,0;#N/A,#N/A,FALSE,0}</definedName>
    <definedName name="창원" hidden="1">{#N/A,#N/A,FALSE,"이태원철근"}</definedName>
    <definedName name="창원공사현황" hidden="1">{#N/A,#N/A,FALSE,"이태원철근"}</definedName>
    <definedName name="처리" localSheetId="3">#REF!</definedName>
    <definedName name="처리">#REF!</definedName>
    <definedName name="철거자재" localSheetId="3">#REF!</definedName>
    <definedName name="철거자재">#REF!</definedName>
    <definedName name="철구사업본부" localSheetId="3">#REF!</definedName>
    <definedName name="철구사업본부">#REF!</definedName>
    <definedName name="철재류_운반" localSheetId="3">#REF!</definedName>
    <definedName name="철재류_운반">#REF!</definedName>
    <definedName name="철재류운반" localSheetId="3">#REF!</definedName>
    <definedName name="철재류운반">#REF!</definedName>
    <definedName name="첫장" hidden="1">{#N/A,#N/A,TRUE,"총괄"}</definedName>
    <definedName name="淸算工事__小計" localSheetId="3">#REF!</definedName>
    <definedName name="淸算工事__小計">#REF!</definedName>
    <definedName name="청상과부" localSheetId="3">#REF!</definedName>
    <definedName name="청상과부">#REF!</definedName>
    <definedName name="청상과부1" localSheetId="3">#REF!</definedName>
    <definedName name="청상과부1">#REF!</definedName>
    <definedName name="초기예산서보고" localSheetId="3" hidden="1">{#N/A,#N/A,FALSE,"이태원철근"}</definedName>
    <definedName name="초기예산서보고" hidden="1">{#N/A,#N/A,FALSE,"이태원철근"}</definedName>
    <definedName name="초기예산표지" hidden="1">{#N/A,#N/A,FALSE,"이태원철근"}</definedName>
    <definedName name="총공사비" localSheetId="3">#REF!</definedName>
    <definedName name="총공사비">#REF!</definedName>
    <definedName name="총괄내역" hidden="1">{#N/A,#N/A,TRUE,"총괄"}</definedName>
    <definedName name="총괄내역서" hidden="1">{#N/A,#N/A,TRUE,"총괄"}</definedName>
    <definedName name="총괄표" localSheetId="3" hidden="1">#REF!</definedName>
    <definedName name="총괄표">#REF!</definedName>
    <definedName name="총도급" localSheetId="3">#REF!</definedName>
    <definedName name="총도급">#REF!</definedName>
    <definedName name="총원가" localSheetId="3">#REF!</definedName>
    <definedName name="총원가">#REF!</definedName>
    <definedName name="총일수" localSheetId="3">#REF!</definedName>
    <definedName name="총일수">#REF!</definedName>
    <definedName name="총회사" localSheetId="3">#REF!</definedName>
    <definedName name="총회사">#REF!</definedName>
    <definedName name="최건진행" localSheetId="3">#REF!</definedName>
    <definedName name="최건진행">#REF!</definedName>
    <definedName name="최건청산" localSheetId="3">#REF!</definedName>
    <definedName name="최건청산">#REF!</definedName>
    <definedName name="최건청산2" localSheetId="3">#REF!</definedName>
    <definedName name="최건청산2">#REF!</definedName>
    <definedName name="최대현" hidden="1">{"LKD",#N/A,FALSE,"표지"}</definedName>
    <definedName name="최대현1" hidden="1">{"LKD",#N/A,FALSE,"표지"}</definedName>
    <definedName name="추가" hidden="1">#REF!</definedName>
    <definedName name="추이" localSheetId="3" hidden="1">{#VALUE!,#N/A,FALSE,0;#N/A,#N/A,FALSE,0;#N/A,#N/A,FALSE,0;#N/A,#N/A,FALSE,0}</definedName>
    <definedName name="추이" hidden="1">{#VALUE!,#N/A,FALSE,0;#N/A,#N/A,FALSE,0;#N/A,#N/A,FALSE,0;#N/A,#N/A,FALSE,0}</definedName>
    <definedName name="추정" hidden="1">#REF!</definedName>
    <definedName name="추정2" hidden="1">[194]갑지!#REF!</definedName>
    <definedName name="추정가격" localSheetId="3">#REF!</definedName>
    <definedName name="추정가격">#REF!</definedName>
    <definedName name="추정사업계획" localSheetId="3">#REF!</definedName>
    <definedName name="추정사업계획">#REF!</definedName>
    <definedName name="추진" localSheetId="3">#REF!</definedName>
    <definedName name="추진">#REF!</definedName>
    <definedName name="취하" localSheetId="3" hidden="1">{#N/A,#N/A,FALSE,"이태원철근"}</definedName>
    <definedName name="취하" hidden="1">{#N/A,#N/A,FALSE,"이태원철근"}</definedName>
    <definedName name="취하1" localSheetId="3" hidden="1">{#N/A,#N/A,FALSE,"이태원철근"}</definedName>
    <definedName name="취하1" hidden="1">{#N/A,#N/A,FALSE,"이태원철근"}</definedName>
    <definedName name="취하실적1." hidden="1">{#N/A,#N/A,FALSE,"이태원철근"}</definedName>
    <definedName name="측구_터파기" localSheetId="3">#REF!</definedName>
    <definedName name="측구_터파기">#REF!</definedName>
    <definedName name="측구터파기" localSheetId="3">#REF!</definedName>
    <definedName name="측구터파기">#REF!</definedName>
    <definedName name="층따기" localSheetId="3">#REF!</definedName>
    <definedName name="층따기">#REF!</definedName>
    <definedName name="ㅋ" localSheetId="3" hidden="1">{#N/A,#N/A,FALSE,"이태원철근"}</definedName>
    <definedName name="ㅋ" hidden="1">{#N/A,#N/A,FALSE,"이태원철근"}</definedName>
    <definedName name="ㅋ츄" hidden="1">{#N/A,#N/A,FALSE,"이태원철근"}</definedName>
    <definedName name="ㅋㅋㅋㅋㅋㅋ" localSheetId="3" hidden="1">{#N/A,#N/A,FALSE,"이태원철근"}</definedName>
    <definedName name="ㅋㅋㅋㅋㅋㅋ" hidden="1">{#N/A,#N/A,FALSE,"이태원철근"}</definedName>
    <definedName name="카메라" hidden="1">{#N/A,#N/A,FALSE,"이태원철근"}</definedName>
    <definedName name="캇타_줄눈" localSheetId="3">#REF!</definedName>
    <definedName name="캇타_줄눈">#REF!</definedName>
    <definedName name="캇타줄눈" localSheetId="3">#REF!</definedName>
    <definedName name="캇타줄눈">#REF!</definedName>
    <definedName name="캐나다Site출발항공료">'[109]계약고별 차등단가'!#REF!</definedName>
    <definedName name="캐나다출장비">'[109]계약고별 차등단가'!#REF!</definedName>
    <definedName name="캐나다한국출발항공료">'[109]계약고별 차등단가'!#REF!</definedName>
    <definedName name="캐나다호텔비">'[109]계약고별 차등단가'!#REF!</definedName>
    <definedName name="케이블간지" localSheetId="3" hidden="1">{#N/A,#N/A,TRUE,"토적및재료집계";#N/A,#N/A,TRUE,"토적및재료집계";#N/A,#N/A,TRUE,"단위량"}</definedName>
    <definedName name="케이블간지" hidden="1">{#N/A,#N/A,TRUE,"토적및재료집계";#N/A,#N/A,TRUE,"토적및재료집계";#N/A,#N/A,TRUE,"단위량"}</definedName>
    <definedName name="콘크리트_포장_깨기" localSheetId="3">#REF!</definedName>
    <definedName name="콘크리트_포장_깨기">#REF!</definedName>
    <definedName name="콘크리트_포장_절단" localSheetId="3">#REF!</definedName>
    <definedName name="콘크리트_포장_절단">#REF!</definedName>
    <definedName name="콘크리트포장깨기" localSheetId="3">#REF!</definedName>
    <definedName name="콘크리트포장깨기">#REF!</definedName>
    <definedName name="콘크리트포장절단" localSheetId="3">#REF!</definedName>
    <definedName name="콘크리트포장절단">#REF!</definedName>
    <definedName name="클_레_임">#N/A</definedName>
    <definedName name="ㅌㄵㅅ" hidden="1">{#N/A,#N/A,FALSE,"이태원철근"}</definedName>
    <definedName name="ㅌㅇ" hidden="1">{#N/A,#N/A,FALSE,"이태원철근"}</definedName>
    <definedName name="ㅌㅇㄴ" hidden="1">[195]상품입고집계!#REF!</definedName>
    <definedName name="ㅌㅊ" hidden="1">{#N/A,#N/A,FALSE,"이태원철근"}</definedName>
    <definedName name="ㅌㅌㅌ" localSheetId="3">BlankMacro1</definedName>
    <definedName name="ㅌㅌㅌ">BlankMacro1</definedName>
    <definedName name="ㅌㅍ츛ㅌ" localSheetId="3" hidden="1">{#N/A,#N/A,FALSE,"운반시간"}</definedName>
    <definedName name="ㅌㅍ츛ㅌ" hidden="1">{#N/A,#N/A,FALSE,"운반시간"}</definedName>
    <definedName name="태광공사" localSheetId="3">#REF!</definedName>
    <definedName name="태광공사">#REF!</definedName>
    <definedName name="터_파_기" localSheetId="3">#REF!</definedName>
    <definedName name="터_파_기">#REF!</definedName>
    <definedName name="터파기" localSheetId="3">#REF!</definedName>
    <definedName name="터파기">#REF!</definedName>
    <definedName name="턴키" localSheetId="3" hidden="1">{#N/A,#N/A,FALSE,"사업총괄";#N/A,#N/A,FALSE,"장비사업";#N/A,#N/A,FALSE,"철구사업";#N/A,#N/A,FALSE,"준설사업"}</definedName>
    <definedName name="턴키" hidden="1">{#N/A,#N/A,FALSE,"사업총괄";#N/A,#N/A,FALSE,"장비사업";#N/A,#N/A,FALSE,"철구사업";#N/A,#N/A,FALSE,"준설사업"}</definedName>
    <definedName name="테스크" localSheetId="3" hidden="1">{#N/A,#N/A,FALSE,"단가표지"}</definedName>
    <definedName name="테스크" hidden="1">{#N/A,#N/A,FALSE,"단가표지"}</definedName>
    <definedName name="테스트" hidden="1">#REF!</definedName>
    <definedName name="텍코팅" localSheetId="3">#REF!</definedName>
    <definedName name="텍코팅">#REF!</definedName>
    <definedName name="템플리트모듈1" localSheetId="0">BlankMacro1</definedName>
    <definedName name="템플리트모듈1" localSheetId="2">BlankMacro1</definedName>
    <definedName name="템플리트모듈1" localSheetId="17">BlankMacro1</definedName>
    <definedName name="템플리트모듈1" localSheetId="15">BlankMacro1</definedName>
    <definedName name="템플리트모듈1" localSheetId="3">BlankMacro1</definedName>
    <definedName name="템플리트모듈1">BlankMacro1</definedName>
    <definedName name="템플리트모듈2" localSheetId="0">BlankMacro1</definedName>
    <definedName name="템플리트모듈2" localSheetId="2">BlankMacro1</definedName>
    <definedName name="템플리트모듈2" localSheetId="17">BlankMacro1</definedName>
    <definedName name="템플리트모듈2" localSheetId="15">BlankMacro1</definedName>
    <definedName name="템플리트모듈2" localSheetId="3">BlankMacro1</definedName>
    <definedName name="템플리트모듈2">BlankMacro1</definedName>
    <definedName name="템플리트모듈3" localSheetId="0">BlankMacro1</definedName>
    <definedName name="템플리트모듈3" localSheetId="2">BlankMacro1</definedName>
    <definedName name="템플리트모듈3" localSheetId="17">BlankMacro1</definedName>
    <definedName name="템플리트모듈3" localSheetId="15">BlankMacro1</definedName>
    <definedName name="템플리트모듈3" localSheetId="3">BlankMacro1</definedName>
    <definedName name="템플리트모듈3">BlankMacro1</definedName>
    <definedName name="템플리트모듈4" localSheetId="0">BlankMacro1</definedName>
    <definedName name="템플리트모듈4" localSheetId="2">BlankMacro1</definedName>
    <definedName name="템플리트모듈4" localSheetId="17">BlankMacro1</definedName>
    <definedName name="템플리트모듈4" localSheetId="15">BlankMacro1</definedName>
    <definedName name="템플리트모듈4" localSheetId="3">BlankMacro1</definedName>
    <definedName name="템플리트모듈4">BlankMacro1</definedName>
    <definedName name="템플리트모듈5" localSheetId="0">BlankMacro1</definedName>
    <definedName name="템플리트모듈5" localSheetId="2">BlankMacro1</definedName>
    <definedName name="템플리트모듈5" localSheetId="17">BlankMacro1</definedName>
    <definedName name="템플리트모듈5" localSheetId="15">BlankMacro1</definedName>
    <definedName name="템플리트모듈5" localSheetId="3">BlankMacro1</definedName>
    <definedName name="템플리트모듈5">BlankMacro1</definedName>
    <definedName name="템플리트모듈6" localSheetId="0">BlankMacro1</definedName>
    <definedName name="템플리트모듈6" localSheetId="2">BlankMacro1</definedName>
    <definedName name="템플리트모듈6" localSheetId="17">BlankMacro1</definedName>
    <definedName name="템플리트모듈6" localSheetId="15">BlankMacro1</definedName>
    <definedName name="템플리트모듈6" localSheetId="3">BlankMacro1</definedName>
    <definedName name="템플리트모듈6">BlankMacro1</definedName>
    <definedName name="토">#N/A</definedName>
    <definedName name="토건">{"'장비'!$A$3:$M$12"}</definedName>
    <definedName name="토건업체">{"'장비'!$A$3:$M$12"}</definedName>
    <definedName name="토목" localSheetId="3">#REF!</definedName>
    <definedName name="토목" hidden="1">#REF!</definedName>
    <definedName name="토목1" localSheetId="3" hidden="1">{#N/A,#N/A,FALSE,"사업총괄";#N/A,#N/A,FALSE,"장비사업";#N/A,#N/A,FALSE,"철구사업";#N/A,#N/A,FALSE,"준설사업"}</definedName>
    <definedName name="토목1">#REF!</definedName>
    <definedName name="토목2">#REF!</definedName>
    <definedName name="토목3">#REF!</definedName>
    <definedName name="토목p" localSheetId="3">#REF!</definedName>
    <definedName name="토목p">#REF!</definedName>
    <definedName name="토목공사" localSheetId="3" hidden="1">{#N/A,#N/A,FALSE,"이태원철근"}</definedName>
    <definedName name="토목공사" hidden="1">{#N/A,#N/A,FALSE,"이태원철근"}</definedName>
    <definedName name="토목공사2" hidden="1">{#N/A,#N/A,FALSE,"이태원철근"}</definedName>
    <definedName name="토목공사강릉" hidden="1">#REF!</definedName>
    <definedName name="토목설계" localSheetId="3" hidden="1">{#N/A,#N/A,FALSE,"골재소요량";#N/A,#N/A,FALSE,"골재소요량"}</definedName>
    <definedName name="토목설계" hidden="1">{#N/A,#N/A,FALSE,"골재소요량";#N/A,#N/A,FALSE,"골재소요량"}</definedName>
    <definedName name="토목실견적" localSheetId="3" hidden="1">{#N/A,#N/A,FALSE,"이태원철근"}</definedName>
    <definedName name="토목실견적" hidden="1">{#N/A,#N/A,FALSE,"이태원철근"}</definedName>
    <definedName name="토목외">#REF!,#REF!</definedName>
    <definedName name="토목외총">#REF!,#REF!</definedName>
    <definedName name="토목이월" localSheetId="3">#REF!</definedName>
    <definedName name="토목이월">#REF!</definedName>
    <definedName name="토목이월1" localSheetId="3">#REF!</definedName>
    <definedName name="토목이월1">#REF!</definedName>
    <definedName name="투" localSheetId="3" hidden="1">#REF!</definedName>
    <definedName name="투" hidden="1">#REF!</definedName>
    <definedName name="투찰예정가50">{"'장비'!$A$3:$M$12"}</definedName>
    <definedName name="투찰예정본부장">{"'장비'!$A$3:$M$12"}</definedName>
    <definedName name="특기시방" hidden="1">#REF!</definedName>
    <definedName name="특수" localSheetId="3">#REF!</definedName>
    <definedName name="특수">#REF!</definedName>
    <definedName name="ㅍ" hidden="1">{#N/A,#N/A,FALSE,"이태원철근"}</definedName>
    <definedName name="ㅍㅇㄴ" hidden="1">{#N/A,#N/A,FALSE,"이태원철근"}</definedName>
    <definedName name="ㅍㅇㅁㅂ" hidden="1">{#N/A,#N/A,FALSE,"이태원철근"}</definedName>
    <definedName name="ㅍㅈ" hidden="1">{#N/A,#N/A,FALSE,"이태원철근"}</definedName>
    <definedName name="ㅍ춫" localSheetId="3" hidden="1">{#N/A,#N/A,FALSE,"골재소요량";#N/A,#N/A,FALSE,"골재소요량"}</definedName>
    <definedName name="ㅍ춫" hidden="1">{#N/A,#N/A,FALSE,"골재소요량";#N/A,#N/A,FALSE,"골재소요량"}</definedName>
    <definedName name="ㅍ츝" localSheetId="3" hidden="1">{#N/A,#N/A,FALSE,"표지목차"}</definedName>
    <definedName name="ㅍ츝" hidden="1">{#N/A,#N/A,FALSE,"표지목차"}</definedName>
    <definedName name="ㅍㅍ" localSheetId="3" hidden="1">{#N/A,#N/A,TRUE,"토적및재료집계";#N/A,#N/A,TRUE,"토적및재료집계";#N/A,#N/A,TRUE,"단위량"}</definedName>
    <definedName name="ㅍㅍ" hidden="1">{#N/A,#N/A,TRUE,"토적및재료집계";#N/A,#N/A,TRUE,"토적및재료집계";#N/A,#N/A,TRUE,"단위량"}</definedName>
    <definedName name="ㅍㅍㅍ">#N/A</definedName>
    <definedName name="ㅍㅍㅍㅍㅍㅍㅍ" hidden="1">{#N/A,#N/A,FALSE,"이태원철근"}</definedName>
    <definedName name="ㅍㅎㄷ" hidden="1">{#N/A,#N/A,FALSE,"이태원철근"}</definedName>
    <definedName name="파운드" localSheetId="3">#REF!</definedName>
    <definedName name="파운드">#REF!</definedName>
    <definedName name="파운드환율" localSheetId="3">#REF!</definedName>
    <definedName name="파운드환율">#REF!</definedName>
    <definedName name="팔십" localSheetId="3">#REF!</definedName>
    <definedName name="팔십">#REF!</definedName>
    <definedName name="평" localSheetId="3">#REF!</definedName>
    <definedName name="평">#REF!</definedName>
    <definedName name="평일추가" localSheetId="3">[161]Sheet2!$E$2:$E$11</definedName>
    <definedName name="평일추가">[162]Sheet2!$E$2:$E$11</definedName>
    <definedName name="폐기고" localSheetId="3">#REF!</definedName>
    <definedName name="폐기고">#REF!</definedName>
    <definedName name="폐기물_운반" localSheetId="3">#REF!</definedName>
    <definedName name="폐기물_운반">#REF!</definedName>
    <definedName name="폐기물_저장창고_및_소각로" localSheetId="3">#REF!</definedName>
    <definedName name="폐기물_저장창고_및_소각로">#REF!</definedName>
    <definedName name="폐기물_처리비" localSheetId="3">#REF!</definedName>
    <definedName name="폐기물_처리비">#REF!</definedName>
    <definedName name="폐기물운반" localSheetId="3">#REF!</definedName>
    <definedName name="폐기물운반">#REF!</definedName>
    <definedName name="폐기물처리비" localSheetId="3">#REF!</definedName>
    <definedName name="폐기물처리비">#REF!</definedName>
    <definedName name="표지" localSheetId="3">#REF!</definedName>
    <definedName name="표지" hidden="1">{#N/A,#N/A,TRUE,"Basic";#N/A,#N/A,TRUE,"EXT-TABLE";#N/A,#N/A,TRUE,"STEEL";#N/A,#N/A,TRUE,"INT-Table";#N/A,#N/A,TRUE,"STEEL";#N/A,#N/A,TRUE,"Door"}</definedName>
    <definedName name="표지_1" hidden="1">{#N/A,#N/A,TRUE,"Basic";#N/A,#N/A,TRUE,"EXT-TABLE";#N/A,#N/A,TRUE,"STEEL";#N/A,#N/A,TRUE,"INT-Table";#N/A,#N/A,TRUE,"STEEL";#N/A,#N/A,TRUE,"Door"}</definedName>
    <definedName name="표지2" localSheetId="3" hidden="1">#REF!</definedName>
    <definedName name="표지2" hidden="1">#REF!</definedName>
    <definedName name="표토제거" localSheetId="3">#REF!</definedName>
    <definedName name="표토제거">#REF!</definedName>
    <definedName name="품명" localSheetId="3">#REF!</definedName>
    <definedName name="품명">#REF!</definedName>
    <definedName name="품셈단가표" localSheetId="3">#REF!</definedName>
    <definedName name="품셈단가표">#REF!</definedName>
    <definedName name="품의민원" localSheetId="3"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품의민원"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품의서2" hidden="1">[196]필리핀!$A$1:$IV$4057</definedName>
    <definedName name="품질">#REF!</definedName>
    <definedName name="품질외">#REF!</definedName>
    <definedName name="품질외총">#REF!</definedName>
    <definedName name="풍납동" localSheetId="3" hidden="1">'[1]TOWER 10TON'!#REF!</definedName>
    <definedName name="풍납동" hidden="1">'[1]TOWER 10TON'!#REF!</definedName>
    <definedName name="풍납동아파트" localSheetId="3" hidden="1">'[1]TOWER 10TON'!#REF!</definedName>
    <definedName name="풍납동아파트" hidden="1">'[1]TOWER 10TON'!#REF!</definedName>
    <definedName name="프라임_코팅" localSheetId="3">#REF!</definedName>
    <definedName name="프라임_코팅">#REF!</definedName>
    <definedName name="프라임코팅" localSheetId="3">#REF!</definedName>
    <definedName name="프라임코팅">#REF!</definedName>
    <definedName name="플">#N/A</definedName>
    <definedName name="피로티" localSheetId="3" hidden="1">{#N/A,#N/A,FALSE,"이태원철근"}</definedName>
    <definedName name="피로티" hidden="1">{#N/A,#N/A,FALSE,"이태원철근"}</definedName>
    <definedName name="피로티1" localSheetId="3" hidden="1">{#N/A,#N/A,FALSE,"이태원철근"}</definedName>
    <definedName name="피로티1" hidden="1">{#N/A,#N/A,FALSE,"이태원철근"}</definedName>
    <definedName name="ㅎ" hidden="1">{#N/A,#N/A,FALSE,"이태원철근"}</definedName>
    <definedName name="ㅎ384" localSheetId="3">#REF!</definedName>
    <definedName name="ㅎ384">#REF!</definedName>
    <definedName name="ㅎ4ㄷㅈ" hidden="1">{#N/A,#N/A,FALSE,"이태원철근"}</definedName>
    <definedName name="ㅎㄱㄷㅂㅈ" hidden="1">{#N/A,#N/A,FALSE,"이태원철근"}</definedName>
    <definedName name="ㅎㄱㄷㅈ" hidden="1">{#N/A,#N/A,FALSE,"이태원철근"}</definedName>
    <definedName name="ㅎㄱㅈ" hidden="1">{#N/A,#N/A,FALSE,"이태원철근"}</definedName>
    <definedName name="ㅎㄴ" localSheetId="3" hidden="1">{#N/A,#N/A,FALSE,"단가표지"}</definedName>
    <definedName name="ㅎㄴ" hidden="1">{#N/A,#N/A,FALSE,"단가표지"}</definedName>
    <definedName name="ㅎㄷ" hidden="1">{#N/A,#N/A,FALSE,"이태원철근"}</definedName>
    <definedName name="ㅎㄷㅈㅈ" hidden="1">{#N/A,#N/A,FALSE,"이태원철근"}</definedName>
    <definedName name="ㅎㄹㄴㅇ" localSheetId="3" hidden="1">{#N/A,#N/A,FALSE,"단가표지"}</definedName>
    <definedName name="ㅎㄹㄴㅇ" hidden="1">{#N/A,#N/A,FALSE,"단가표지"}</definedName>
    <definedName name="ㅎㄹㅇㄴ" localSheetId="3" hidden="1">{#N/A,#N/A,FALSE,"골재소요량";#N/A,#N/A,FALSE,"골재소요량"}</definedName>
    <definedName name="ㅎㄹㅇㄴ" hidden="1">{#N/A,#N/A,FALSE,"골재소요량";#N/A,#N/A,FALSE,"골재소요량"}</definedName>
    <definedName name="ㅎㄹㅇㅁㅁㅎ" localSheetId="3" hidden="1">{#N/A,#N/A,FALSE,"조골재"}</definedName>
    <definedName name="ㅎㄹㅇㅁㅁㅎ" hidden="1">{#N/A,#N/A,FALSE,"조골재"}</definedName>
    <definedName name="ㅎㄹㅇㅁㅎㅁ" localSheetId="3" hidden="1">{#N/A,#N/A,FALSE,"표지목차"}</definedName>
    <definedName name="ㅎㄹㅇㅁㅎㅁ" hidden="1">{#N/A,#N/A,FALSE,"표지목차"}</definedName>
    <definedName name="ㅎㄹㅇㅎ" localSheetId="3" hidden="1">{#N/A,#N/A,FALSE,"단가표지"}</definedName>
    <definedName name="ㅎㄹㅇㅎ" hidden="1">{#N/A,#N/A,FALSE,"단가표지"}</definedName>
    <definedName name="ㅎㄹㅇㅎㅇㅁㅎ" localSheetId="3" hidden="1">{#N/A,#N/A,FALSE,"운반시간"}</definedName>
    <definedName name="ㅎㄹㅇㅎㅇㅁㅎ" hidden="1">{#N/A,#N/A,FALSE,"운반시간"}</definedName>
    <definedName name="ㅎ라ㅓㅓㅗㅎ라러" hidden="1">{#N/A,#N/A,FALSE,"이태원철근"}</definedName>
    <definedName name="ㅎ러ㅗ엉ㅎ러ㅗㅎㄹㅇ" hidden="1">{#N/A,#N/A,FALSE,"이태원철근"}</definedName>
    <definedName name="ㅎ륜ㅇㄹ" localSheetId="3" hidden="1">{#N/A,#N/A,FALSE,"2~8번"}</definedName>
    <definedName name="ㅎ륜ㅇㄹ" hidden="1">{#N/A,#N/A,FALSE,"2~8번"}</definedName>
    <definedName name="ㅎ르ㅓㅗㅓ" localSheetId="3" hidden="1">{#N/A,#N/A,FALSE,"골재소요량";#N/A,#N/A,FALSE,"골재소요량"}</definedName>
    <definedName name="ㅎ르ㅓㅗㅓ" hidden="1">{#N/A,#N/A,FALSE,"골재소요량";#N/A,#N/A,FALSE,"골재소요량"}</definedName>
    <definedName name="ㅎㄻㄹㅇㅎㅇㅁ" localSheetId="3" hidden="1">{#N/A,#N/A,FALSE,"혼합골재"}</definedName>
    <definedName name="ㅎㄻㄹㅇㅎㅇㅁ" hidden="1">{#N/A,#N/A,FALSE,"혼합골재"}</definedName>
    <definedName name="ㅎㄻㅇㅎㅁㅇㅎㅁㅇㅎ" localSheetId="3" hidden="1">{#N/A,#N/A,FALSE,"골재소요량";#N/A,#N/A,FALSE,"골재소요량"}</definedName>
    <definedName name="ㅎㄻㅇㅎㅁㅇㅎㅁㅇㅎ" hidden="1">{#N/A,#N/A,FALSE,"골재소요량";#N/A,#N/A,FALSE,"골재소요량"}</definedName>
    <definedName name="ㅎㅁㅇㅀㅁㅇ" localSheetId="3" hidden="1">{#N/A,#N/A,FALSE,"단가표지"}</definedName>
    <definedName name="ㅎㅁㅇㅀㅁㅇ" hidden="1">{#N/A,#N/A,FALSE,"단가표지"}</definedName>
    <definedName name="ㅎㅁㅇㅀㅁㅇㅎㅁ" localSheetId="3" hidden="1">{#N/A,#N/A,FALSE,"단가표지"}</definedName>
    <definedName name="ㅎㅁㅇㅀㅁㅇㅎㅁ" hidden="1">{#N/A,#N/A,FALSE,"단가표지"}</definedName>
    <definedName name="ㅎㅁㅎㄻㄴㅇ" localSheetId="3" hidden="1">{#N/A,#N/A,FALSE,"단가표지"}</definedName>
    <definedName name="ㅎㅁㅎㄻㄴㅇ" hidden="1">{#N/A,#N/A,FALSE,"단가표지"}</definedName>
    <definedName name="ㅎㅇㄴ" localSheetId="3" hidden="1">{#N/A,#N/A,FALSE,"단가표지"}</definedName>
    <definedName name="ㅎㅇㄴ" hidden="1">{#N/A,#N/A,FALSE,"단가표지"}</definedName>
    <definedName name="ㅎㅇㄹ홍ㄴ로" localSheetId="3" hidden="1">{#N/A,#N/A,FALSE,"단가표지"}</definedName>
    <definedName name="ㅎㅇㄹ홍ㄴ로" hidden="1">{#N/A,#N/A,FALSE,"단가표지"}</definedName>
    <definedName name="ㅎㅇㄻㅎㅁㅇ" localSheetId="3" hidden="1">{#N/A,#N/A,FALSE,"혼합골재"}</definedName>
    <definedName name="ㅎㅇㄻㅎㅁㅇ" hidden="1">{#N/A,#N/A,FALSE,"혼합골재"}</definedName>
    <definedName name="ㅎㅇㄻㅎㅁㅎㅁㅇ" localSheetId="3" hidden="1">{#N/A,#N/A,FALSE,"운반시간"}</definedName>
    <definedName name="ㅎㅇㄻㅎㅁㅎㅁㅇ" hidden="1">{#N/A,#N/A,FALSE,"운반시간"}</definedName>
    <definedName name="ㅎㅇㅀ" localSheetId="3" hidden="1">{#N/A,#N/A,FALSE,"단가표지"}</definedName>
    <definedName name="ㅎㅇㅀ" hidden="1">{#N/A,#N/A,FALSE,"단가표지"}</definedName>
    <definedName name="ㅎㅇㅀㄴ" localSheetId="3" hidden="1">{#N/A,#N/A,FALSE,"골재소요량";#N/A,#N/A,FALSE,"골재소요량"}</definedName>
    <definedName name="ㅎㅇㅀㄴ" hidden="1">{#N/A,#N/A,FALSE,"골재소요량";#N/A,#N/A,FALSE,"골재소요량"}</definedName>
    <definedName name="ㅎㅇㅀㅁㅇㅎㅁㅇ" localSheetId="3" hidden="1">{#N/A,#N/A,FALSE,"단가표지"}</definedName>
    <definedName name="ㅎㅇㅀㅁㅇㅎㅁㅇ" hidden="1">{#N/A,#N/A,FALSE,"단가표지"}</definedName>
    <definedName name="ㅎㅇㅀㅇㅀ" localSheetId="3" hidden="1">{#N/A,#N/A,FALSE,"표지목차"}</definedName>
    <definedName name="ㅎㅇㅀㅇㅀ" hidden="1">{#N/A,#N/A,FALSE,"표지목차"}</definedName>
    <definedName name="ㅎㅇㅀㅇㅀㅇ" localSheetId="3" hidden="1">{#N/A,#N/A,FALSE,"표지목차"}</definedName>
    <definedName name="ㅎㅇㅀㅇㅀㅇ" hidden="1">{#N/A,#N/A,FALSE,"표지목차"}</definedName>
    <definedName name="ㅎㅇㅁㄴㄹ" localSheetId="3" hidden="1">{#N/A,#N/A,FALSE,"운반시간"}</definedName>
    <definedName name="ㅎㅇㅁㄴㄹ" hidden="1">{#N/A,#N/A,FALSE,"운반시간"}</definedName>
    <definedName name="ㅎㅇㅁㅀㅁㅇ" localSheetId="3" hidden="1">{#N/A,#N/A,FALSE,"단가표지"}</definedName>
    <definedName name="ㅎㅇㅁㅀㅁㅇ" hidden="1">{#N/A,#N/A,FALSE,"단가표지"}</definedName>
    <definedName name="ㅎㅎ">#N/A</definedName>
    <definedName name="하" hidden="1">{#N/A,#N/A,FALSE,"지침";#N/A,#N/A,FALSE,"환경분석";#N/A,#N/A,FALSE,"Sheet16"}</definedName>
    <definedName name="하도사" localSheetId="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도사"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드1" localSheetId="3">#REF!</definedName>
    <definedName name="하드1">#REF!</definedName>
    <definedName name="하드2" localSheetId="3">#REF!</definedName>
    <definedName name="하드2">#REF!</definedName>
    <definedName name="하수도2" localSheetId="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수도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이얀" localSheetId="3" hidden="1">{#N/A,#N/A,FALSE,"이태원철근"}</definedName>
    <definedName name="하이얀" hidden="1">{#N/A,#N/A,FALSE,"이태원철근"}</definedName>
    <definedName name="하자" localSheetId="3">#REF!</definedName>
    <definedName name="하자">#REF!</definedName>
    <definedName name="하하" hidden="1">{"LKD",#N/A,FALSE,"표지"}</definedName>
    <definedName name="한" localSheetId="3" hidden="1">#REF!</definedName>
    <definedName name="한" hidden="1">#REF!</definedName>
    <definedName name="한강진">#N/A</definedName>
    <definedName name="한국Site출발항공료">'[109]계약고별 차등단가'!#REF!</definedName>
    <definedName name="한국호텔비">'[109]계약고별 차등단가'!#REF!</definedName>
    <definedName name="할" hidden="1">{"LKD",#N/A,FALSE,"표지"}</definedName>
    <definedName name="할인율" localSheetId="3">#REF!</definedName>
    <definedName name="할인율">#REF!</definedName>
    <definedName name="함종근" localSheetId="3" hidden="1">{#N/A,#N/A,FALSE,"변경관리예산";#N/A,#N/A,FALSE,"변경장비예산";#N/A,#N/A,FALSE,"변경준설예산";#N/A,#N/A,FALSE,"변경철구예산"}</definedName>
    <definedName name="함종근" hidden="1">{#N/A,#N/A,FALSE,"변경관리예산";#N/A,#N/A,FALSE,"변경장비예산";#N/A,#N/A,FALSE,"변경준설예산";#N/A,#N/A,FALSE,"변경철구예산"}</definedName>
    <definedName name="合____計">#N/A</definedName>
    <definedName name="합계" localSheetId="3">#REF!</definedName>
    <definedName name="합계">#REF!</definedName>
    <definedName name="합판거푸집" localSheetId="3">#REF!</definedName>
    <definedName name="합판거푸집">#REF!</definedName>
    <definedName name="해외인원추이" localSheetId="17">[58]요약배부!#REF!</definedName>
    <definedName name="해외인원추이" localSheetId="15">[58]요약배부!#REF!</definedName>
    <definedName name="해외인원추이">[58]요약배부!#REF!</definedName>
    <definedName name="행" hidden="1">{#N/A,#N/A,FALSE,"이태원철근"}</definedName>
    <definedName name="行見出し" localSheetId="3">#REF!</definedName>
    <definedName name="行見出し">#REF!</definedName>
    <definedName name="행선안내게시기설비" localSheetId="3">#REF!</definedName>
    <definedName name="행선안내게시기설비">#REF!</definedName>
    <definedName name="현" localSheetId="3" hidden="1">{#N/A,#N/A,FALSE,"이태원철근"}</definedName>
    <definedName name="현" hidden="1">{#N/A,#N/A,FALSE,"이태원철근"}</definedName>
    <definedName name="現代綜合商事經由分" localSheetId="17">[24]수입!#REF!</definedName>
    <definedName name="現代綜合商事經由分" localSheetId="15">[24]수입!#REF!</definedName>
    <definedName name="現代綜合商事經由分">[24]수입!#REF!</definedName>
    <definedName name="현대코아공통비" localSheetId="3" hidden="1">#REF!</definedName>
    <definedName name="현대코아공통비" hidden="1">#REF!</definedName>
    <definedName name="현장공기">'[197]계약고&amp;환율'!$B$11</definedName>
    <definedName name="현장재해율" localSheetId="3"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현장재해율"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현장재해율_5" localSheetId="3" hidden="1">{#N/A,#N/A,FALSE,"사업총괄";#N/A,#N/A,FALSE,"장비사업";#N/A,#N/A,FALSE,"철구사업";#N/A,#N/A,FALSE,"준설사업"}</definedName>
    <definedName name="현장재해율_5" hidden="1">{#N/A,#N/A,FALSE,"사업총괄";#N/A,#N/A,FALSE,"장비사업";#N/A,#N/A,FALSE,"철구사업";#N/A,#N/A,FALSE,"준설사업"}</definedName>
    <definedName name="현장조직1" hidden="1">{"LKD",#N/A,FALSE,"표지"}</definedName>
    <definedName name="현장주변사진" localSheetId="3" hidden="1">{#N/A,#N/A,FALSE,"이태원철근"}</definedName>
    <definedName name="현장주변사진" hidden="1">{#N/A,#N/A,FALSE,"이태원철근"}</definedName>
    <definedName name="현장투입기간">[109]입찰내역서!$T$63</definedName>
    <definedName name="현조" hidden="1">#REF!</definedName>
    <definedName name="현지화">[109]입찰내역서!$R$14</definedName>
    <definedName name="협조전" localSheetId="3" hidden="1">#REF!</definedName>
    <definedName name="협조전" hidden="1">#REF!</definedName>
    <definedName name="혜진" localSheetId="3" hidden="1">{#N/A,#N/A,FALSE,"이태원철근"}</definedName>
    <definedName name="혜진" hidden="1">{#N/A,#N/A,FALSE,"이태원철근"}</definedName>
    <definedName name="호가" hidden="1">{"LKD",#N/A,FALSE,"표지"}</definedName>
    <definedName name="호우" localSheetId="3" hidden="1">{#N/A,#N/A,FALSE,"표지목차"}</definedName>
    <definedName name="호우" hidden="1">{#N/A,#N/A,FALSE,"표지목차"}</definedName>
    <definedName name="호우ㅗ" localSheetId="3" hidden="1">{#N/A,#N/A,FALSE,"단가표지"}</definedName>
    <definedName name="호우ㅗ" hidden="1">{#N/A,#N/A,FALSE,"단가표지"}</definedName>
    <definedName name="호표" localSheetId="3">#REF!</definedName>
    <definedName name="호표">#REF!</definedName>
    <definedName name="호표1" localSheetId="3">#REF!</definedName>
    <definedName name="호표1">#REF!</definedName>
    <definedName name="호ㅓ" localSheetId="3" hidden="1">#REF!</definedName>
    <definedName name="호ㅓ" hidden="1">#REF!</definedName>
    <definedName name="호ㅓㅎ" localSheetId="3" hidden="1">{#N/A,#N/A,FALSE,"표지목차"}</definedName>
    <definedName name="호ㅓㅎ" hidden="1">{#N/A,#N/A,FALSE,"표지목차"}</definedName>
    <definedName name="혼ㄹ" localSheetId="3" hidden="1">{#N/A,#N/A,FALSE,"운반시간"}</definedName>
    <definedName name="혼ㄹ" hidden="1">{#N/A,#N/A,FALSE,"운반시간"}</definedName>
    <definedName name="홀ㄴㄺㅅ" localSheetId="3" hidden="1">{#N/A,#N/A,FALSE,"단가표지"}</definedName>
    <definedName name="홀ㄴㄺㅅ" hidden="1">{#N/A,#N/A,FALSE,"단가표지"}</definedName>
    <definedName name="홍범표" hidden="1">{#N/A,#N/A,FALSE,"이태원철근"}</definedName>
    <definedName name="홓렁호ㅓ호" localSheetId="3" hidden="1">{#N/A,#N/A,FALSE,"단가표지"}</definedName>
    <definedName name="홓렁호ㅓ호" hidden="1">{#N/A,#N/A,FALSE,"단가표지"}</definedName>
    <definedName name="홓로" localSheetId="3" hidden="1">{#N/A,#N/A,FALSE,"단가표지"}</definedName>
    <definedName name="홓로" hidden="1">{#N/A,#N/A,FALSE,"단가표지"}</definedName>
    <definedName name="화허호ㅓ" localSheetId="3" hidden="1">{#N/A,#N/A,FALSE,"조골재"}</definedName>
    <definedName name="화허호ㅓ" hidden="1">{#N/A,#N/A,FALSE,"조골재"}</definedName>
    <definedName name="화ㅓㅗ허ㅏㅎ" hidden="1">{#N/A,#N/A,FALSE,"이태원철근"}</definedName>
    <definedName name="환룰" localSheetId="3">#REF!</definedName>
    <definedName name="환룰">#REF!</definedName>
    <definedName name="환률" localSheetId="3">#REF!</definedName>
    <definedName name="환률">#REF!</definedName>
    <definedName name="환율" localSheetId="3" hidden="1">{#N/A,#N/A,FALSE,"이태원철근"}</definedName>
    <definedName name="환율" hidden="1">{#N/A,#N/A,FALSE,"이태원철근"}</definedName>
    <definedName name="환전" localSheetId="3">BlankMacro1</definedName>
    <definedName name="환전">BlankMacro1</definedName>
    <definedName name="활동성" localSheetId="3" hidden="1">{#N/A,#N/A,FALSE,"사업총괄";#N/A,#N/A,FALSE,"장비사업";#N/A,#N/A,FALSE,"철구사업";#N/A,#N/A,FALSE,"준설사업"}</definedName>
    <definedName name="활동성" hidden="1">{#N/A,#N/A,FALSE,"사업총괄";#N/A,#N/A,FALSE,"장비사업";#N/A,#N/A,FALSE,"철구사업";#N/A,#N/A,FALSE,"준설사업"}</definedName>
    <definedName name="횡배수_날개벽" localSheetId="3">#REF!</definedName>
    <definedName name="횡배수_날개벽">#REF!</definedName>
    <definedName name="횡배수관_부설" localSheetId="3">#REF!</definedName>
    <definedName name="횡배수관_부설">#REF!</definedName>
    <definedName name="횡배수관부설" localSheetId="3">#REF!</definedName>
    <definedName name="횡배수관부설">#REF!</definedName>
    <definedName name="횡배수날개벽" localSheetId="3">#REF!</definedName>
    <definedName name="횡배수날개벽">#REF!</definedName>
    <definedName name="효" localSheetId="3" hidden="1">{#N/A,#N/A,FALSE,"이태원철근"}</definedName>
    <definedName name="효" hidden="1">{#N/A,#N/A,FALSE,"이태원철근"}</definedName>
    <definedName name="후_담당간사에게_제출한다." localSheetId="3">#REF!</definedName>
    <definedName name="후_담당간사에게_제출한다.">#REF!</definedName>
    <definedName name="휴일추가" localSheetId="3">[161]Sheet2!$F$2:$F$11</definedName>
    <definedName name="휴일추가">[162]Sheet2!$F$2:$F$11</definedName>
    <definedName name="휻" hidden="1">{#N/A,#N/A,FALSE,"이태원철근"}</definedName>
    <definedName name="흙깍기" localSheetId="3">#REF!</definedName>
    <definedName name="흙깍기">#REF!</definedName>
    <definedName name="흙쌓기" localSheetId="3">#REF!</definedName>
    <definedName name="흙쌓기">#REF!</definedName>
    <definedName name="ㅏ" localSheetId="3" hidden="1">{#N/A,#N/A,FALSE,"이태원철근"}</definedName>
    <definedName name="ㅏ" hidden="1">{#N/A,#N/A,FALSE,"이태원철근"}</definedName>
    <definedName name="ㅏ허화" localSheetId="3" hidden="1">{#N/A,#N/A,FALSE,"골재소요량";#N/A,#N/A,FALSE,"골재소요량"}</definedName>
    <definedName name="ㅏ허화" hidden="1">{#N/A,#N/A,FALSE,"골재소요량";#N/A,#N/A,FALSE,"골재소요량"}</definedName>
    <definedName name="ㅏㅏ" localSheetId="3">#REF!</definedName>
    <definedName name="ㅏㅏ">#REF!</definedName>
    <definedName name="ㅏㅏㅏㅏㅏ">#N/A</definedName>
    <definedName name="ㅏㅓㅎ라" localSheetId="3" hidden="1">{#N/A,#N/A,FALSE,"표지목차"}</definedName>
    <definedName name="ㅏㅓㅎ라" hidden="1">{#N/A,#N/A,FALSE,"표지목차"}</definedName>
    <definedName name="ㅏㅓ화호" localSheetId="3" hidden="1">{#N/A,#N/A,FALSE,"단가표지"}</definedName>
    <definedName name="ㅏㅓ화호" hidden="1">{#N/A,#N/A,FALSE,"단가표지"}</definedName>
    <definedName name="ㅏㅓㅏㅓㅣ" hidden="1">{#N/A,#N/A,FALSE,"이태원철근"}</definedName>
    <definedName name="ㅏㅓㅗ라" localSheetId="3" hidden="1">{#N/A,#N/A,FALSE,"골재소요량";#N/A,#N/A,FALSE,"골재소요량"}</definedName>
    <definedName name="ㅏㅓㅗ라" hidden="1">{#N/A,#N/A,FALSE,"골재소요량";#N/A,#N/A,FALSE,"골재소요량"}</definedName>
    <definedName name="ㅏㅓㅗㅎ" localSheetId="3" hidden="1">{#N/A,#N/A,FALSE,"운반시간"}</definedName>
    <definedName name="ㅏㅓㅗㅎ" hidden="1">{#N/A,#N/A,FALSE,"운반시간"}</definedName>
    <definedName name="ㅏㅓㅗㅓ" localSheetId="3" hidden="1">{#N/A,#N/A,FALSE,"운반시간"}</definedName>
    <definedName name="ㅏㅓㅗㅓ" hidden="1">{#N/A,#N/A,FALSE,"운반시간"}</definedName>
    <definedName name="ㅏㅓㅘ허호" localSheetId="3" hidden="1">{#N/A,#N/A,FALSE,"단가표지"}</definedName>
    <definedName name="ㅏㅓㅘ허호" hidden="1">{#N/A,#N/A,FALSE,"단가표지"}</definedName>
    <definedName name="ㅏㅓㅣㅏㅓㅣㅏㅓㅣ" hidden="1">{#N/A,#N/A,FALSE,"이태원철근"}</definedName>
    <definedName name="ㅏㅓㅣㅏㅓㅣㅏㅓㅣㅓ" hidden="1">{#N/A,#N/A,FALSE,"이태원철근"}</definedName>
    <definedName name="ㅏㅗㅓㅏ화호" localSheetId="3" hidden="1">{#N/A,#N/A,FALSE,"표지목차"}</definedName>
    <definedName name="ㅏㅗㅓㅏ화호" hidden="1">{#N/A,#N/A,FALSE,"표지목차"}</definedName>
    <definedName name="ㅏㅣ" localSheetId="3" hidden="1">{#N/A,#N/A,FALSE,"단가표지"}</definedName>
    <definedName name="ㅏㅣ" hidden="1">{#N/A,#N/A,FALSE,"단가표지"}</definedName>
    <definedName name="ㅏㅣㅓㅏㅣㅓㅏㅣ" localSheetId="3">#REF!</definedName>
    <definedName name="ㅏㅣㅓㅏㅣㅓㅏㅣ">#REF!</definedName>
    <definedName name="ㅐ" localSheetId="3" hidden="1">{#N/A,#N/A,FALSE,"이태원철근"}</definedName>
    <definedName name="ㅐ" hidden="1">{#N/A,#N/A,FALSE,"이태원철근"}</definedName>
    <definedName name="ㅐ1236" localSheetId="3">#REF!</definedName>
    <definedName name="ㅐ1236">#REF!</definedName>
    <definedName name="ㅐ15" localSheetId="3">#REF!</definedName>
    <definedName name="ㅐ15">#REF!</definedName>
    <definedName name="ㅐㅐㅐ" localSheetId="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ㅐㅐㅐ"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ㅐㅑㅑㅐㅓㅕㅑ" localSheetId="3">#REF!,#REF!</definedName>
    <definedName name="ㅐㅑㅑㅐㅓㅕㅑ">#REF!,#REF!</definedName>
    <definedName name="ㅐㅑㅛㅅ" localSheetId="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ㅐㅑㅛㅅ"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ㅐㅗㅅ" localSheetId="3">#REF!</definedName>
    <definedName name="ㅐㅗㅅ">#REF!</definedName>
    <definedName name="ㅑ" localSheetId="3">#REF!,#REF!,#REF!</definedName>
    <definedName name="ㅑ" hidden="1">{#N/A,#N/A,FALSE,"이태원철근"}</definedName>
    <definedName name="ㅑ3081" localSheetId="3">#REF!</definedName>
    <definedName name="ㅑ3081">#REF!</definedName>
    <definedName name="ㅑ722" localSheetId="3">#REF!</definedName>
    <definedName name="ㅑ722">#REF!</definedName>
    <definedName name="ㅑㅐㅕㅑㅐㅕㅑㅑ" localSheetId="3">#REF!</definedName>
    <definedName name="ㅑㅐㅕㅑㅐㅕㅑㅑ">#REF!</definedName>
    <definedName name="ㅓ" localSheetId="3" hidden="1">{#N/A,#N/A,FALSE,"이태원철근"}</definedName>
    <definedName name="ㅓ" hidden="1">{#N/A,#N/A,FALSE,"이태원철근"}</definedName>
    <definedName name="ㅓ롤" localSheetId="3" hidden="1">{#N/A,#N/A,FALSE,"골재소요량";#N/A,#N/A,FALSE,"골재소요량"}</definedName>
    <definedName name="ㅓ롤" hidden="1">{#N/A,#N/A,FALSE,"골재소요량";#N/A,#N/A,FALSE,"골재소요량"}</definedName>
    <definedName name="ㅓㅇㄴ" localSheetId="3" hidden="1">{#N/A,#N/A,FALSE,"단가표지"}</definedName>
    <definedName name="ㅓㅇㄴ" hidden="1">{#N/A,#N/A,FALSE,"단가표지"}</definedName>
    <definedName name="ㅓㅇ호ㅓㅇ호ㅓㅇ허" localSheetId="3" hidden="1">{#N/A,#N/A,FALSE,"표지목차"}</definedName>
    <definedName name="ㅓㅇ호ㅓㅇ호ㅓㅇ허" hidden="1">{#N/A,#N/A,FALSE,"표지목차"}</definedName>
    <definedName name="ㅓㅎ렁홍" localSheetId="3" hidden="1">{#N/A,#N/A,FALSE,"혼합골재"}</definedName>
    <definedName name="ㅓㅎ렁홍" hidden="1">{#N/A,#N/A,FALSE,"혼합골재"}</definedName>
    <definedName name="ㅓㅎ로ㅗㄴ" localSheetId="3" hidden="1">{#N/A,#N/A,FALSE,"단가표지"}</definedName>
    <definedName name="ㅓㅎ로ㅗㄴ" hidden="1">{#N/A,#N/A,FALSE,"단가표지"}</definedName>
    <definedName name="ㅓㅎㅇㅎ" localSheetId="3" hidden="1">{#N/A,#N/A,FALSE,"운반시간"}</definedName>
    <definedName name="ㅓㅎㅇㅎ" hidden="1">{#N/A,#N/A,FALSE,"운반시간"}</definedName>
    <definedName name="ㅓ호ㅓ" localSheetId="3" hidden="1">{#N/A,#N/A,FALSE,"표지목차"}</definedName>
    <definedName name="ㅓ호ㅓ" hidden="1">{#N/A,#N/A,FALSE,"표지목차"}</definedName>
    <definedName name="ㅓ호ㅓㅗㄹ" localSheetId="3" hidden="1">{#N/A,#N/A,FALSE,"단가표지"}</definedName>
    <definedName name="ㅓ호ㅓㅗㄹ" hidden="1">{#N/A,#N/A,FALSE,"단가표지"}</definedName>
    <definedName name="ㅓㅏ호" localSheetId="3" hidden="1">{#N/A,#N/A,FALSE,"단가표지"}</definedName>
    <definedName name="ㅓㅏ호" hidden="1">{#N/A,#N/A,FALSE,"단가표지"}</definedName>
    <definedName name="ㅓㅏ호ㅓ" localSheetId="3" hidden="1">{#N/A,#N/A,FALSE,"단가표지"}</definedName>
    <definedName name="ㅓㅏ호ㅓ" hidden="1">{#N/A,#N/A,FALSE,"단가표지"}</definedName>
    <definedName name="ㅓㅏㅗ하ㅗㅓㅎ" localSheetId="3" hidden="1">{#N/A,#N/A,FALSE,"혼합골재"}</definedName>
    <definedName name="ㅓㅏㅗ하ㅗㅓㅎ" hidden="1">{#N/A,#N/A,FALSE,"혼합골재"}</definedName>
    <definedName name="ㅓㅏㅗㅓ" localSheetId="3">#REF!</definedName>
    <definedName name="ㅓㅏㅗㅓ">#REF!</definedName>
    <definedName name="ㅓㅏㅗㅓㅏㅗㅓ" localSheetId="3">#REF!</definedName>
    <definedName name="ㅓㅏㅗㅓㅏㅗㅓ">#REF!</definedName>
    <definedName name="ㅓㅏㅗㅓㅗ" localSheetId="3">#REF!</definedName>
    <definedName name="ㅓㅏㅗㅓㅗ">#REF!</definedName>
    <definedName name="ㅓㅏㅣㅓㅣㅓㅣㅓㅏ" hidden="1">{#N/A,#N/A,FALSE,"이태원철근"}</definedName>
    <definedName name="ㅓㅓㅓ" hidden="1">{#N/A,#N/A,FALSE,"이태원철근"}</definedName>
    <definedName name="ㅓㅓㅓㅓㅓ">#N/A</definedName>
    <definedName name="ㅓㅓㅗ라ㅓㄴ오라ㅓㅁㄴ오라넘오람ㄴ엄ㄴㅇㅇㄴㅁㅁㄴㅇㅇㄴㄴㅇㅁ">#N/A</definedName>
    <definedName name="ㅓㅗ" localSheetId="3" hidden="1">{#N/A,#N/A,FALSE,"운반시간"}</definedName>
    <definedName name="ㅓㅗ" hidden="1">{#N/A,#N/A,FALSE,"운반시간"}</definedName>
    <definedName name="ㅓㅗㅎㄹ" localSheetId="3" hidden="1">{#N/A,#N/A,FALSE,"조골재"}</definedName>
    <definedName name="ㅓㅗㅎㄹ" hidden="1">{#N/A,#N/A,FALSE,"조골재"}</definedName>
    <definedName name="ㅓㅗㅎ러ㅗㅎ러" localSheetId="3" hidden="1">{#N/A,#N/A,FALSE,"혼합골재"}</definedName>
    <definedName name="ㅓㅗㅎ러ㅗㅎ러" hidden="1">{#N/A,#N/A,FALSE,"혼합골재"}</definedName>
    <definedName name="ㅓㅗㅎ러ㅗ호ㅓ" localSheetId="3" hidden="1">{#N/A,#N/A,FALSE,"단가표지"}</definedName>
    <definedName name="ㅓㅗㅎ러ㅗ호ㅓ" hidden="1">{#N/A,#N/A,FALSE,"단가표지"}</definedName>
    <definedName name="ㅓㅗ허" localSheetId="3" hidden="1">{#N/A,#N/A,FALSE,"조골재"}</definedName>
    <definedName name="ㅓㅗ허" hidden="1">{#N/A,#N/A,FALSE,"조골재"}</definedName>
    <definedName name="ㅓㅗ허ㅗㄹ" localSheetId="3" hidden="1">{#N/A,#N/A,FALSE,"운반시간"}</definedName>
    <definedName name="ㅓㅗ허ㅗㄹ" hidden="1">{#N/A,#N/A,FALSE,"운반시간"}</definedName>
    <definedName name="ㅓㅗ허ㅗㅎㄹ" localSheetId="3" hidden="1">{#N/A,#N/A,FALSE,"골재소요량";#N/A,#N/A,FALSE,"골재소요량"}</definedName>
    <definedName name="ㅓㅗ허ㅗㅎㄹ" hidden="1">{#N/A,#N/A,FALSE,"골재소요량";#N/A,#N/A,FALSE,"골재소요량"}</definedName>
    <definedName name="ㅓㅗ허ㅗㅎ러" localSheetId="3" hidden="1">{#N/A,#N/A,FALSE,"운반시간"}</definedName>
    <definedName name="ㅓㅗ허ㅗㅎ러" hidden="1">{#N/A,#N/A,FALSE,"운반시간"}</definedName>
    <definedName name="ㅓㅗ헝홍허" localSheetId="3" hidden="1">{#N/A,#N/A,FALSE,"골재소요량";#N/A,#N/A,FALSE,"골재소요량"}</definedName>
    <definedName name="ㅓㅗ헝홍허" hidden="1">{#N/A,#N/A,FALSE,"골재소요량";#N/A,#N/A,FALSE,"골재소요량"}</definedName>
    <definedName name="ㅓㅗ헣ㄹ" localSheetId="3" hidden="1">{#N/A,#N/A,FALSE,"단가표지"}</definedName>
    <definedName name="ㅓㅗ헣ㄹ" hidden="1">{#N/A,#N/A,FALSE,"단가표지"}</definedName>
    <definedName name="ㅓㅗ헣러" localSheetId="3" hidden="1">{#N/A,#N/A,FALSE,"단가표지"}</definedName>
    <definedName name="ㅓㅗ헣러" hidden="1">{#N/A,#N/A,FALSE,"단가표지"}</definedName>
    <definedName name="ㅓㅗ헣로ㅓ" localSheetId="3" hidden="1">{#N/A,#N/A,FALSE,"조골재"}</definedName>
    <definedName name="ㅓㅗ헣로ㅓ" hidden="1">{#N/A,#N/A,FALSE,"조골재"}</definedName>
    <definedName name="ㅓㅗ헣호ㅓ" localSheetId="3" hidden="1">{#N/A,#N/A,FALSE,"조골재"}</definedName>
    <definedName name="ㅓㅗ헣호ㅓ" hidden="1">{#N/A,#N/A,FALSE,"조골재"}</definedName>
    <definedName name="ㅓㅗ호" localSheetId="3" hidden="1">{#N/A,#N/A,FALSE,"단가표지"}</definedName>
    <definedName name="ㅓㅗ호" hidden="1">{#N/A,#N/A,FALSE,"단가표지"}</definedName>
    <definedName name="ㅓㅗ호ㅓ" localSheetId="3">#REF!</definedName>
    <definedName name="ㅓㅗ호ㅓ">#REF!</definedName>
    <definedName name="ㅓㅗ호ㅓㅗ" localSheetId="3" hidden="1">{#N/A,#N/A,FALSE,"2~8번"}</definedName>
    <definedName name="ㅓㅗ호ㅓㅗ" hidden="1">{#N/A,#N/A,FALSE,"2~8번"}</definedName>
    <definedName name="ㅓㅗㅓㅏㅗㅓㅏㅗㅓ" localSheetId="3">#REF!</definedName>
    <definedName name="ㅓㅗㅓㅏㅗㅓㅏㅗㅓ">#REF!</definedName>
    <definedName name="ㅓㅗㅓㅗㅓㅗ" hidden="1">[150]현금흐름표!$F$45</definedName>
    <definedName name="ㅓㅗㅗ" localSheetId="3" hidden="1">{#N/A,#N/A,FALSE,"단가표지"}</definedName>
    <definedName name="ㅓㅗㅗ" hidden="1">{#N/A,#N/A,FALSE,"단가표지"}</definedName>
    <definedName name="ㅓㅗㅗㅗ" localSheetId="3" hidden="1">{#N/A,#N/A,FALSE,"골재소요량";#N/A,#N/A,FALSE,"골재소요량"}</definedName>
    <definedName name="ㅓㅗㅗㅗ" hidden="1">{#N/A,#N/A,FALSE,"골재소요량";#N/A,#N/A,FALSE,"골재소요량"}</definedName>
    <definedName name="ㅓㅛㅅㄱ" hidden="1">{#N/A,#N/A,FALSE,"이태원철근"}</definedName>
    <definedName name="ㅓㅛ서ㅛ서ㅑ쇼ㅕ" hidden="1">{#N/A,#N/A,FALSE,"이태원철근"}</definedName>
    <definedName name="ㅓㅜㅗ" localSheetId="3">#REF!</definedName>
    <definedName name="ㅓㅜㅗ">#REF!</definedName>
    <definedName name="ㅓㅣㅘㅣ" localSheetId="3">#REF!,#REF!</definedName>
    <definedName name="ㅓㅣㅘㅣ">#REF!,#REF!</definedName>
    <definedName name="ㅔ" localSheetId="3" hidden="1">{#N/A,#N/A,FALSE,"이태원철근"}</definedName>
    <definedName name="ㅔ" hidden="1">{#N/A,#N/A,FALSE,"이태원철근"}</definedName>
    <definedName name="ㅔㅔㅔㅔㅔㅔㅔㅔㅔㅔㅔㅔㅔㅔ" hidden="1">{#N/A,#N/A,FALSE,"이태원철근"}</definedName>
    <definedName name="ㅕ" hidden="1">{#N/A,#N/A,FALSE,"이태원철근"}</definedName>
    <definedName name="ㅕ겨겨" localSheetId="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ㅕ겨겨"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ㅕㅑ" hidden="1">{#N/A,#N/A,FALSE,"이태원철근"}</definedName>
    <definedName name="ㅕㅑㅐㅕㅑ" hidden="1">{#N/A,#N/A,FALSE,"이태원철근"}</definedName>
    <definedName name="ㅕㅑㅐㅕㅑㅐ" hidden="1">{#N/A,#N/A,FALSE,"이태원철근"}</definedName>
    <definedName name="ㅕㅑㅑㅐㅓㅕㅑ" localSheetId="3">#REF!,#REF!</definedName>
    <definedName name="ㅕㅑㅑㅐㅓㅕㅑ">#REF!,#REF!</definedName>
    <definedName name="ㅕㅑㅕㅑㅐㅑㅕㅐ" localSheetId="3">#REF!,#REF!</definedName>
    <definedName name="ㅕㅑㅕㅑㅐㅑㅕㅐ">#REF!,#REF!</definedName>
    <definedName name="ㅕㅑㅜㅐㅑ" hidden="1">{#N/A,#N/A,FALSE,"이태원철근"}</definedName>
    <definedName name="ㅗ" localSheetId="3" hidden="1">{#N/A,#N/A,FALSE,"이태원철근"}</definedName>
    <definedName name="ㅗ" hidden="1">{#N/A,#N/A,FALSE,"이태원철근"}</definedName>
    <definedName name="ㅗ1019" localSheetId="3">#REF!</definedName>
    <definedName name="ㅗ1019">#REF!</definedName>
    <definedName name="ㅗ18">#REF!</definedName>
    <definedName name="ㅗㄱ" hidden="1">{#N/A,#N/A,FALSE,"이태원철근"}</definedName>
    <definedName name="ㅗㄳ" hidden="1">{#N/A,#N/A,FALSE,"이태원철근"}</definedName>
    <definedName name="ㅗㄹㄶ" localSheetId="3" hidden="1">{#N/A,#N/A,FALSE,"조골재"}</definedName>
    <definedName name="ㅗㄹㄶ" hidden="1">{#N/A,#N/A,FALSE,"조골재"}</definedName>
    <definedName name="ㅗㅎ" localSheetId="3" hidden="1">{#N/A,#N/A,FALSE,"운반시간"}</definedName>
    <definedName name="ㅗㅎ" hidden="1">{#N/A,#N/A,FALSE,"운반시간"}</definedName>
    <definedName name="ㅗㅎㄴ" localSheetId="3" hidden="1">{#N/A,#N/A,FALSE,"골재소요량";#N/A,#N/A,FALSE,"골재소요량"}</definedName>
    <definedName name="ㅗㅎㄴ" hidden="1">{#N/A,#N/A,FALSE,"골재소요량";#N/A,#N/A,FALSE,"골재소요량"}</definedName>
    <definedName name="ㅗㅎㄴㄹ" localSheetId="3" hidden="1">{#N/A,#N/A,FALSE,"단가표지"}</definedName>
    <definedName name="ㅗㅎㄴㄹ" hidden="1">{#N/A,#N/A,FALSE,"단가표지"}</definedName>
    <definedName name="ㅗㅎ러ㅗㅎ럴호" hidden="1">{#N/A,#N/A,FALSE,"이태원철근"}</definedName>
    <definedName name="ㅗㅎ로ㅜ" localSheetId="3" hidden="1">{#N/A,#N/A,FALSE,"운반시간"}</definedName>
    <definedName name="ㅗㅎ로ㅜ" hidden="1">{#N/A,#N/A,FALSE,"운반시간"}</definedName>
    <definedName name="ㅗㅎ론ㄹ" localSheetId="3" hidden="1">{#N/A,#N/A,FALSE,"표지목차"}</definedName>
    <definedName name="ㅗㅎ론ㄹ" hidden="1">{#N/A,#N/A,FALSE,"표지목차"}</definedName>
    <definedName name="ㅗㅎ롯홋ㄱ" localSheetId="3" hidden="1">{#N/A,#N/A,FALSE,"혼합골재"}</definedName>
    <definedName name="ㅗㅎ롯홋ㄱ" hidden="1">{#N/A,#N/A,FALSE,"혼합골재"}</definedName>
    <definedName name="ㅗㅎㅈㅈㅈㅈㅈㅈㅈㅈ" hidden="1">{#N/A,#N/A,FALSE,"이태원철근"}</definedName>
    <definedName name="ㅗ허ㅗ" localSheetId="3" hidden="1">{#N/A,#N/A,FALSE,"단가표지"}</definedName>
    <definedName name="ㅗ허ㅗ" hidden="1">{#N/A,#N/A,FALSE,"단가표지"}</definedName>
    <definedName name="ㅗ호" localSheetId="3" hidden="1">{#N/A,#N/A,FALSE,"단가표지"}</definedName>
    <definedName name="ㅗ호" hidden="1">{#N/A,#N/A,FALSE,"단가표지"}</definedName>
    <definedName name="ㅗㅓ쇼ㅓㅕㄷ쇼ㅓㅕㄷㅅ" localSheetId="3" hidden="1">{#N/A,#N/A,FALSE,"단가표지"}</definedName>
    <definedName name="ㅗㅓ쇼ㅓㅕㄷ쇼ㅓㅕㄷㅅ" hidden="1">{#N/A,#N/A,FALSE,"단가표지"}</definedName>
    <definedName name="ㅗㅓㅎ로ㅓㅎㄹ" localSheetId="3" hidden="1">{#N/A,#N/A,FALSE,"표지목차"}</definedName>
    <definedName name="ㅗㅓㅎ로ㅓㅎㄹ" hidden="1">{#N/A,#N/A,FALSE,"표지목차"}</definedName>
    <definedName name="ㅗㅓㅏㅣㅗㅓㅏㅣ" hidden="1">{#N/A,#N/A,FALSE,"이태원철근"}</definedName>
    <definedName name="ㅗㅓㅣㅗ" localSheetId="3">#REF!,#REF!</definedName>
    <definedName name="ㅗㅓㅣㅗ">#REF!,#REF!</definedName>
    <definedName name="ㅗㅗ" hidden="1">{#N/A,#N/A,TRUE,"토적및재료집계";#N/A,#N/A,TRUE,"토적및재료집계";#N/A,#N/A,TRUE,"단위량"}</definedName>
    <definedName name="ㅗㅗㅓ" localSheetId="3">#REF!</definedName>
    <definedName name="ㅗㅗㅓ">#REF!</definedName>
    <definedName name="ㅗㅗㅓㅓㅏㅣ" localSheetId="3">#REF!</definedName>
    <definedName name="ㅗㅗㅓㅓㅏㅣ">#REF!</definedName>
    <definedName name="ㅗㅗㅗ" localSheetId="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ㅗㅗ"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ㅗㅗㅗ">#N/A</definedName>
    <definedName name="ㅗㅗㅗㅗㅗㅗㅗㅗ" hidden="1">{#N/A,#N/A,FALSE,"이태원철근"}</definedName>
    <definedName name="ㅗㅠㄱㅈ" hidden="1">{#N/A,#N/A,FALSE,"이태원철근"}</definedName>
    <definedName name="ㅗㅠㅍ" localSheetId="3" hidden="1">{#N/A,#N/A,FALSE,"혼합골재"}</definedName>
    <definedName name="ㅗㅠㅍ" hidden="1">{#N/A,#N/A,FALSE,"혼합골재"}</definedName>
    <definedName name="ㅛ" localSheetId="3" hidden="1">{#N/A,#N/A,FALSE,"이태원철근"}</definedName>
    <definedName name="ㅛ" hidden="1">{#N/A,#N/A,FALSE,"이태원철근"}</definedName>
    <definedName name="ㅛ셔쇼려ㅛ셔" hidden="1">{#N/A,#N/A,FALSE,"이태원철근"}</definedName>
    <definedName name="ㅛ셔ㅛ셔ㅛ쇼ㅕ" hidden="1">{#N/A,#N/A,FALSE,"이태원철근"}</definedName>
    <definedName name="ㅛㅕㅕㅕ">#N/A</definedName>
    <definedName name="ㅛㅗㄹ호ㅓㅎㅅㄹ" localSheetId="3" hidden="1">{#N/A,#N/A,FALSE,"이태원철근"}</definedName>
    <definedName name="ㅛㅗㄹ호ㅓㅎㅅㄹ" hidden="1">{#N/A,#N/A,FALSE,"이태원철근"}</definedName>
    <definedName name="ㅛㅛㅛ" localSheetId="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ㅛㅛㅛ"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ㅜ" localSheetId="17">'[50]9-1차이내역'!#REF!</definedName>
    <definedName name="ㅜ" localSheetId="15">'[50]9-1차이내역'!#REF!</definedName>
    <definedName name="ㅜ" localSheetId="4" hidden="1">{#N/A,#N/A,FALSE,"이태원철근"}</definedName>
    <definedName name="ㅜ">'[50]9-1차이내역'!#REF!</definedName>
    <definedName name="ㅜㄴㄱ" localSheetId="3" hidden="1">{#N/A,#N/A,FALSE,"운반시간"}</definedName>
    <definedName name="ㅜㄴㄱ" hidden="1">{#N/A,#N/A,FALSE,"운반시간"}</definedName>
    <definedName name="ㅜㄹ윤" localSheetId="3" hidden="1">{#N/A,#N/A,FALSE,"단가표지"}</definedName>
    <definedName name="ㅜㄹ윤" hidden="1">{#N/A,#N/A,FALSE,"단가표지"}</definedName>
    <definedName name="ㅜㅀㄴㅇ" hidden="1">{#N/A,#N/A,FALSE,"이태원철근"}</definedName>
    <definedName name="ㅜㅂㅂㅂㅂㅂㅂ" hidden="1">{#N/A,#N/A,FALSE,"이태원철근"}</definedName>
    <definedName name="ㅜㅂㅂㅂㅂㅂㅂㅂㅂㅂㅂㅂ" hidden="1">{#N/A,#N/A,FALSE,"이태원철근"}</definedName>
    <definedName name="ㅜㅅㅎㄹㅇ" hidden="1">{#N/A,#N/A,FALSE,"이태원철근"}</definedName>
    <definedName name="ㅜㅊㅍ" localSheetId="3" hidden="1">{#N/A,#N/A,FALSE,"표지목차"}</definedName>
    <definedName name="ㅜㅊㅍ" hidden="1">{#N/A,#N/A,FALSE,"표지목차"}</definedName>
    <definedName name="ㅜㅋㅊㅍ" localSheetId="3" hidden="1">{#N/A,#N/A,FALSE,"조골재"}</definedName>
    <definedName name="ㅜㅋㅊㅍ" hidden="1">{#N/A,#N/A,FALSE,"조골재"}</definedName>
    <definedName name="ㅜㅍ추ㅠ" localSheetId="3" hidden="1">{#N/A,#N/A,FALSE,"혼합골재"}</definedName>
    <definedName name="ㅜㅍ추ㅠ" hidden="1">{#N/A,#N/A,FALSE,"혼합골재"}</definedName>
    <definedName name="ㅜㅍ츄ㅜㅠㅍ춫ㅍ" hidden="1">{#N/A,#N/A,FALSE,"이태원철근"}</definedName>
    <definedName name="ㅜㅎㄴ" localSheetId="3" hidden="1">{#N/A,#N/A,FALSE,"골재소요량";#N/A,#N/A,FALSE,"골재소요량"}</definedName>
    <definedName name="ㅜㅎㄴ" hidden="1">{#N/A,#N/A,FALSE,"골재소요량";#N/A,#N/A,FALSE,"골재소요량"}</definedName>
    <definedName name="ㅜㅎㅅㄱㄴ" localSheetId="3" hidden="1">{#N/A,#N/A,FALSE,"단가표지"}</definedName>
    <definedName name="ㅜㅎㅅㄱㄴ" hidden="1">{#N/A,#N/A,FALSE,"단가표지"}</definedName>
    <definedName name="ㅜㅗㅇㅎㅌ" localSheetId="3" hidden="1">{#N/A,#N/A,FALSE,"단가표지"}</definedName>
    <definedName name="ㅜㅗㅇㅎㅌ" hidden="1">{#N/A,#N/A,FALSE,"단가표지"}</definedName>
    <definedName name="ㅜㅗㅇ훟" localSheetId="3" hidden="1">{#N/A,#N/A,FALSE,"단가표지"}</definedName>
    <definedName name="ㅜㅗㅇ훟" hidden="1">{#N/A,#N/A,FALSE,"단가표지"}</definedName>
    <definedName name="ㅜㅗㅗㅗㅇㅎ" localSheetId="3" hidden="1">{#N/A,#N/A,FALSE,"운반시간"}</definedName>
    <definedName name="ㅜㅗㅗㅗㅇㅎ" hidden="1">{#N/A,#N/A,FALSE,"운반시간"}</definedName>
    <definedName name="ㅜㅜㅜ">#N/A</definedName>
    <definedName name="ㅜㅠ푸" localSheetId="3" hidden="1">{#N/A,#N/A,FALSE,"운반시간"}</definedName>
    <definedName name="ㅜㅠ푸" hidden="1">{#N/A,#N/A,FALSE,"운반시간"}</definedName>
    <definedName name="ㅜㅠㅠ" localSheetId="3" hidden="1">{#N/A,#N/A,FALSE,"골재소요량";#N/A,#N/A,FALSE,"골재소요량"}</definedName>
    <definedName name="ㅜㅠㅠ" hidden="1">{#N/A,#N/A,FALSE,"골재소요량";#N/A,#N/A,FALSE,"골재소요량"}</definedName>
    <definedName name="ㅝㅎㄹ" localSheetId="3" hidden="1">{#N/A,#N/A,FALSE,"단가표지"}</definedName>
    <definedName name="ㅝㅎㄹ" hidden="1">{#N/A,#N/A,FALSE,"단가표지"}</definedName>
    <definedName name="ㅠ" localSheetId="3" hidden="1">{#N/A,#N/A,FALSE,"이태원철근"}</definedName>
    <definedName name="ㅠ" hidden="1">{#N/A,#N/A,FALSE,"이태원철근"}</definedName>
    <definedName name="ㅠㄴ" localSheetId="3" hidden="1">{#N/A,#N/A,FALSE,"조골재"}</definedName>
    <definedName name="ㅠㄴ" hidden="1">{#N/A,#N/A,FALSE,"조골재"}</definedName>
    <definedName name="ㅠㄷ" hidden="1">{#N/A,#N/A,FALSE,"이태원철근"}</definedName>
    <definedName name="ㅠㄹㄴ" hidden="1">{#N/A,#N/A,FALSE,"이태원철근"}</definedName>
    <definedName name="ㅠㄹㅇㄴㄴㄹㅇ" localSheetId="3" hidden="1">{#N/A,#N/A,FALSE,"단가표지"}</definedName>
    <definedName name="ㅠㄹㅇㄴㄴㄹㅇ" hidden="1">{#N/A,#N/A,FALSE,"단가표지"}</definedName>
    <definedName name="ㅠㄹㅈㅈ" hidden="1">{#N/A,#N/A,FALSE,"이태원철근"}</definedName>
    <definedName name="ㅠㅂㄷ" hidden="1">{#N/A,#N/A,FALSE,"이태원철근"}</definedName>
    <definedName name="ㅠㅇㄹㅈ" hidden="1">{#N/A,#N/A,FALSE,"이태원철근"}</definedName>
    <definedName name="ㅠㅊㅌ퓿ㅌ" localSheetId="3" hidden="1">{#N/A,#N/A,FALSE,"2~8번"}</definedName>
    <definedName name="ㅠㅊㅌ퓿ㅌ" hidden="1">{#N/A,#N/A,FALSE,"2~8번"}</definedName>
    <definedName name="ㅠㅊㅍㅌ" localSheetId="3" hidden="1">{#N/A,#N/A,FALSE,"단가표지"}</definedName>
    <definedName name="ㅠㅊㅍㅌ" hidden="1">{#N/A,#N/A,FALSE,"단가표지"}</definedName>
    <definedName name="ㅠㅊㅍ튜" localSheetId="3" hidden="1">{#N/A,#N/A,FALSE,"단가표지"}</definedName>
    <definedName name="ㅠㅊㅍ튜" hidden="1">{#N/A,#N/A,FALSE,"단가표지"}</definedName>
    <definedName name="ㅠㅊㅍ튵ㅊ" localSheetId="3" hidden="1">{#N/A,#N/A,FALSE,"운반시간"}</definedName>
    <definedName name="ㅠㅊㅍ튵ㅊ" hidden="1">{#N/A,#N/A,FALSE,"운반시간"}</definedName>
    <definedName name="ㅠㅊ픁츄" localSheetId="3" hidden="1">{#N/A,#N/A,FALSE,"단가표지"}</definedName>
    <definedName name="ㅠㅊ픁츄" hidden="1">{#N/A,#N/A,FALSE,"단가표지"}</definedName>
    <definedName name="ㅠㅍ" localSheetId="3" hidden="1">{#N/A,#N/A,FALSE,"조골재"}</definedName>
    <definedName name="ㅠㅍ" hidden="1">{#N/A,#N/A,FALSE,"조골재"}</definedName>
    <definedName name="ㅠㅍㅊ" localSheetId="3" hidden="1">{#N/A,#N/A,FALSE,"단가표지"}</definedName>
    <definedName name="ㅠㅍㅊ" hidden="1">{#N/A,#N/A,FALSE,"단가표지"}</definedName>
    <definedName name="ㅠㅍㅊ튳" localSheetId="3" hidden="1">{#N/A,#N/A,FALSE,"표지목차"}</definedName>
    <definedName name="ㅠㅍㅊ튳" hidden="1">{#N/A,#N/A,FALSE,"표지목차"}</definedName>
    <definedName name="ㅠㅍㅊ튳ㅌㅍ" localSheetId="3" hidden="1">{#N/A,#N/A,FALSE,"조골재"}</definedName>
    <definedName name="ㅠㅍㅊ튳ㅌㅍ" hidden="1">{#N/A,#N/A,FALSE,"조골재"}</definedName>
    <definedName name="ㅠㅍㅊ튵" localSheetId="3" hidden="1">{#N/A,#N/A,FALSE,"골재소요량";#N/A,#N/A,FALSE,"골재소요량"}</definedName>
    <definedName name="ㅠㅍㅊ튵" hidden="1">{#N/A,#N/A,FALSE,"골재소요량";#N/A,#N/A,FALSE,"골재소요량"}</definedName>
    <definedName name="ㅠㅍㅊ튵ㅊ" localSheetId="3" hidden="1">{#N/A,#N/A,FALSE,"단가표지"}</definedName>
    <definedName name="ㅠㅍㅊ튵ㅊ" hidden="1">{#N/A,#N/A,FALSE,"단가표지"}</definedName>
    <definedName name="ㅠㅍ츄ㅜ" localSheetId="3" hidden="1">{#N/A,#N/A,FALSE,"단가표지"}</definedName>
    <definedName name="ㅠㅍ츄ㅜ" hidden="1">{#N/A,#N/A,FALSE,"단가표지"}</definedName>
    <definedName name="ㅠㅍ츛ㅍ" localSheetId="3" hidden="1">{#N/A,#N/A,FALSE,"혼합골재"}</definedName>
    <definedName name="ㅠㅍ츛ㅍ" hidden="1">{#N/A,#N/A,FALSE,"혼합골재"}</definedName>
    <definedName name="ㅠㅍ츜ㅊ" localSheetId="3" hidden="1">{#N/A,#N/A,FALSE,"2~8번"}</definedName>
    <definedName name="ㅠㅍ츜ㅊ" hidden="1">{#N/A,#N/A,FALSE,"2~8번"}</definedName>
    <definedName name="ㅠㅍ츜ㅍ" localSheetId="3" hidden="1">{#N/A,#N/A,FALSE,"조골재"}</definedName>
    <definedName name="ㅠㅍ츜ㅍ" hidden="1">{#N/A,#N/A,FALSE,"조골재"}</definedName>
    <definedName name="ㅠㅍ츝" localSheetId="3" hidden="1">{#N/A,#N/A,FALSE,"운반시간"}</definedName>
    <definedName name="ㅠㅍ츝" hidden="1">{#N/A,#N/A,FALSE,"운반시간"}</definedName>
    <definedName name="ㅠㅍ츝ㅊ" localSheetId="3" hidden="1">{#N/A,#N/A,FALSE,"단가표지"}</definedName>
    <definedName name="ㅠㅍ츝ㅊ" hidden="1">{#N/A,#N/A,FALSE,"단가표지"}</definedName>
    <definedName name="ㅠㅍㅋㅊㅍㅍ" localSheetId="3" hidden="1">{#N/A,#N/A,FALSE,"단가표지"}</definedName>
    <definedName name="ㅠㅍㅋㅊㅍㅍ" hidden="1">{#N/A,#N/A,FALSE,"단가표지"}</definedName>
    <definedName name="ㅠ퓿큨ㅊ" localSheetId="3" hidden="1">{#N/A,#N/A,FALSE,"단가표지"}</definedName>
    <definedName name="ㅠ퓿큨ㅊ" hidden="1">{#N/A,#N/A,FALSE,"단가표지"}</definedName>
    <definedName name="ㅠ픀ㅊ" localSheetId="3" hidden="1">{#N/A,#N/A,FALSE,"단가표지"}</definedName>
    <definedName name="ㅠ픀ㅊ" hidden="1">{#N/A,#N/A,FALSE,"단가표지"}</definedName>
    <definedName name="ㅠ픀ㅊㅍ" localSheetId="3" hidden="1">{#N/A,#N/A,FALSE,"표지목차"}</definedName>
    <definedName name="ㅠ픀ㅊㅍ" hidden="1">{#N/A,#N/A,FALSE,"표지목차"}</definedName>
    <definedName name="ㅠ픀ㅋㅊㅍ" localSheetId="3" hidden="1">{#N/A,#N/A,FALSE,"운반시간"}</definedName>
    <definedName name="ㅠ픀ㅋㅊㅍ" hidden="1">{#N/A,#N/A,FALSE,"운반시간"}</definedName>
    <definedName name="ㅠㅗㄱㅈ" hidden="1">{#N/A,#N/A,FALSE,"이태원철근"}</definedName>
    <definedName name="ㅠㅗㄱㅈㅈㅈ" hidden="1">{#N/A,#N/A,FALSE,"이태원철근"}</definedName>
    <definedName name="ㅠㅗㅅㄱ" hidden="1">{#N/A,#N/A,FALSE,"이태원철근"}</definedName>
    <definedName name="ㅠㅜㅠㅜㅜㅜ">#N/A</definedName>
    <definedName name="ㅠㅠ" localSheetId="3" hidden="1">{#N/A,#N/A,FALSE,"TABLE"}</definedName>
    <definedName name="ㅠㅠ" hidden="1">{#N/A,#N/A,FALSE,"TABLE"}</definedName>
    <definedName name="ㅡ" localSheetId="3" hidden="1">{#N/A,#N/A,FALSE,"이태원철근"}</definedName>
    <definedName name="ㅡ" hidden="1">{#N/A,#N/A,FALSE,"이태원철근"}</definedName>
    <definedName name="ㅡㄴㅇ마ㅣㅡㄹㅇㄴㅀ호홓" localSheetId="3">#REF!</definedName>
    <definedName name="ㅡㄴㅇ마ㅣㅡㄹㅇㄴㅀ호홓">#REF!</definedName>
    <definedName name="ㅡㅡ" localSheetId="3">BlankMacro1</definedName>
    <definedName name="ㅡㅡ">BlankMacro1</definedName>
    <definedName name="ㅡㅡㅡ" localSheetId="3" hidden="1">#REF!</definedName>
    <definedName name="ㅡㅡㅡ" hidden="1">#REF!</definedName>
    <definedName name="ㅣ" hidden="1">{#N/A,#N/A,FALSE,"이태원철근"}</definedName>
    <definedName name="ㅣ1191" localSheetId="3">#REF!</definedName>
    <definedName name="ㅣ1191">#REF!</definedName>
    <definedName name="ㅣ너럊ㄷ로" localSheetId="3" hidden="1">{#N/A,#N/A,FALSE,"TABLE"}</definedName>
    <definedName name="ㅣ너럊ㄷ로" hidden="1">{#N/A,#N/A,FALSE,"TABLE"}</definedName>
    <definedName name="ㅣ허ㅏㅣ하" localSheetId="3" hidden="1">{#N/A,#N/A,FALSE,"혼합골재"}</definedName>
    <definedName name="ㅣ허ㅏㅣ하" hidden="1">{#N/A,#N/A,FALSE,"혼합골재"}</definedName>
    <definedName name="ㅣ허ㅣ호ㅓㅏ" localSheetId="3" hidden="1">{#N/A,#N/A,FALSE,"조골재"}</definedName>
    <definedName name="ㅣ허ㅣ호ㅓㅏ" hidden="1">{#N/A,#N/A,FALSE,"조골재"}</definedName>
    <definedName name="ㅣㅏ허ㅏ허ㅏ허ㅏ" localSheetId="3" hidden="1">{#N/A,#N/A,FALSE,"단가표지"}</definedName>
    <definedName name="ㅣㅏ허ㅏ허ㅏ허ㅏ" hidden="1">{#N/A,#N/A,FALSE,"단가표지"}</definedName>
    <definedName name="ㅣㅏㅓㅎ" localSheetId="3" hidden="1">{#N/A,#N/A,FALSE,"단가표지"}</definedName>
    <definedName name="ㅣㅏㅓㅎ" hidden="1">{#N/A,#N/A,FALSE,"단가표지"}</definedName>
    <definedName name="ㅣㅏㅓ허ㅏㅓㅎ" localSheetId="3" hidden="1">{#N/A,#N/A,FALSE,"표지목차"}</definedName>
    <definedName name="ㅣㅏㅓ허ㅏㅓㅎ" hidden="1">{#N/A,#N/A,FALSE,"표지목차"}</definedName>
    <definedName name="ㅣㅏㅓㅏㅣㅓ" localSheetId="3">#REF!</definedName>
    <definedName name="ㅣㅏㅓㅏㅣㅓ">#REF!</definedName>
    <definedName name="ㅣㅏㅓㅣ허ㅏㅎ" localSheetId="3" hidden="1">{#N/A,#N/A,FALSE,"골재소요량";#N/A,#N/A,FALSE,"골재소요량"}</definedName>
    <definedName name="ㅣㅏㅓㅣ허ㅏㅎ" hidden="1">{#N/A,#N/A,FALSE,"골재소요량";#N/A,#N/A,FALSE,"골재소요량"}</definedName>
    <definedName name="ㅣㅏㅓㅣ허ㅏㅏ허" localSheetId="3" hidden="1">{#N/A,#N/A,FALSE,"조골재"}</definedName>
    <definedName name="ㅣㅏㅓㅣ허ㅏㅏ허" hidden="1">{#N/A,#N/A,FALSE,"조골재"}</definedName>
    <definedName name="ㅣㅏㅣㅗㅓㅏㅣㅓㅏ" localSheetId="3">#REF!,#REF!</definedName>
    <definedName name="ㅣㅏㅣㅗㅓㅏㅣㅓㅏ">#REF!,#REF!</definedName>
    <definedName name="ㅣㅓㅏ허" localSheetId="3" hidden="1">{#N/A,#N/A,FALSE,"운반시간"}</definedName>
    <definedName name="ㅣㅓㅏ허" hidden="1">{#N/A,#N/A,FALSE,"운반시간"}</definedName>
    <definedName name="ㅣㅓㅏ허ㅏㅣ허ㅏㅓ" localSheetId="3" hidden="1">{#N/A,#N/A,FALSE,"운반시간"}</definedName>
    <definedName name="ㅣㅓㅏ허ㅏㅣ허ㅏㅓ" hidden="1">{#N/A,#N/A,FALSE,"운반시간"}</definedName>
    <definedName name="ㅣㅚㅓㅏ" localSheetId="3" hidden="1">{#N/A,#N/A,FALSE,"단가표지"}</definedName>
    <definedName name="ㅣㅚㅓㅏ" hidden="1">{#N/A,#N/A,FALSE,"단가표지"}</definedName>
    <definedName name="ㅣㅣ" localSheetId="3">#REF!</definedName>
    <definedName name="ㅣㅣ" hidden="1">{"LKD",#N/A,FALSE,"표지"}</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X32" i="156" l="1"/>
  <c r="X31" i="156"/>
  <c r="P21" i="180" l="1"/>
  <c r="P20" i="180"/>
  <c r="P19" i="180"/>
  <c r="P18" i="180"/>
  <c r="P17" i="180"/>
  <c r="P16" i="180"/>
  <c r="P15" i="180"/>
  <c r="P14" i="180"/>
  <c r="P13" i="180"/>
  <c r="M21" i="180"/>
  <c r="N21" i="180" s="1"/>
  <c r="M20" i="180"/>
  <c r="N20" i="180" s="1"/>
  <c r="M19" i="180"/>
  <c r="N19" i="180" s="1"/>
  <c r="M18" i="180"/>
  <c r="N18" i="180" s="1"/>
  <c r="M17" i="180"/>
  <c r="N17" i="180" s="1"/>
  <c r="M16" i="180"/>
  <c r="N16" i="180" s="1"/>
  <c r="M15" i="180"/>
  <c r="N15" i="180" s="1"/>
  <c r="M14" i="180"/>
  <c r="N14" i="180" s="1"/>
  <c r="M13" i="180"/>
  <c r="N13" i="180" s="1"/>
  <c r="K21" i="180"/>
  <c r="K20" i="180"/>
  <c r="K19" i="180"/>
  <c r="K18" i="180"/>
  <c r="K17" i="180"/>
  <c r="K16" i="180"/>
  <c r="K15" i="180"/>
  <c r="K14" i="180"/>
  <c r="K13" i="180"/>
  <c r="E2" i="181" l="1"/>
  <c r="BQ58" i="139"/>
  <c r="BQ79" i="139"/>
  <c r="BQ73" i="139"/>
  <c r="E3745" i="140"/>
  <c r="E3749" i="140"/>
  <c r="BQ110" i="139"/>
  <c r="E3753" i="140"/>
  <c r="E3738" i="140"/>
  <c r="BQ67" i="139"/>
  <c r="BQ112" i="139"/>
  <c r="E3737" i="140"/>
  <c r="BQ65" i="139"/>
  <c r="BQ107" i="139"/>
  <c r="BQ144" i="139"/>
  <c r="BQ26" i="139"/>
  <c r="BQ86" i="139"/>
  <c r="BQ88" i="139"/>
  <c r="BQ94" i="139"/>
  <c r="E3733" i="140"/>
  <c r="E3732" i="140"/>
  <c r="E3740" i="140"/>
  <c r="E3792" i="140" s="1"/>
  <c r="BQ76" i="139"/>
  <c r="D160" i="139"/>
  <c r="D159" i="139"/>
  <c r="E3712" i="140"/>
  <c r="E3687" i="140"/>
  <c r="BP73" i="139"/>
  <c r="BP144" i="139"/>
  <c r="BP86" i="139"/>
  <c r="E3665" i="140"/>
  <c r="BP67" i="139"/>
  <c r="BP58" i="139"/>
  <c r="BP79" i="139"/>
  <c r="E3666" i="140"/>
  <c r="E3677" i="140"/>
  <c r="BP91" i="139"/>
  <c r="E3667" i="140"/>
  <c r="BP77" i="139"/>
  <c r="BP130" i="139"/>
  <c r="E3626" i="140"/>
  <c r="BP27" i="139"/>
  <c r="E3672" i="140"/>
  <c r="E3661" i="140"/>
  <c r="BP65" i="139"/>
  <c r="BP19" i="139"/>
  <c r="E3648" i="140"/>
  <c r="E3664" i="140"/>
  <c r="BP30" i="139"/>
  <c r="E3627" i="140"/>
  <c r="BL155" i="139"/>
  <c r="BL154" i="139"/>
  <c r="BL153" i="139"/>
  <c r="BL152" i="139"/>
  <c r="BL151" i="139"/>
  <c r="BL150" i="139"/>
  <c r="BL149" i="139"/>
  <c r="BL147" i="139" s="1"/>
  <c r="BL148" i="139"/>
  <c r="BL146" i="139"/>
  <c r="BL145" i="139"/>
  <c r="BL144" i="139"/>
  <c r="BL143" i="139"/>
  <c r="BL142" i="139"/>
  <c r="BL138" i="139" s="1"/>
  <c r="BL141" i="139"/>
  <c r="BL140" i="139"/>
  <c r="BL139" i="139"/>
  <c r="BL137" i="139"/>
  <c r="BL136" i="139"/>
  <c r="BL135" i="139"/>
  <c r="BL134" i="139"/>
  <c r="BL133" i="139"/>
  <c r="BL132" i="139"/>
  <c r="BL131" i="139"/>
  <c r="BL130" i="139"/>
  <c r="BL129" i="139"/>
  <c r="BL128" i="139"/>
  <c r="BL127" i="139"/>
  <c r="BL126" i="139"/>
  <c r="BL125" i="139"/>
  <c r="BL124" i="139"/>
  <c r="BL123" i="139" s="1"/>
  <c r="BL122" i="139"/>
  <c r="BL121" i="139"/>
  <c r="BL120" i="139"/>
  <c r="BL119" i="139"/>
  <c r="BL118" i="139"/>
  <c r="BL117" i="139"/>
  <c r="BL116" i="139"/>
  <c r="BL115" i="139"/>
  <c r="BL114" i="139"/>
  <c r="BL113" i="139" s="1"/>
  <c r="BL112" i="139"/>
  <c r="BL111" i="139"/>
  <c r="BL110" i="139"/>
  <c r="BL109" i="139"/>
  <c r="BL108" i="139"/>
  <c r="BL107" i="139"/>
  <c r="BL106" i="139"/>
  <c r="BL105" i="139"/>
  <c r="BL104" i="139"/>
  <c r="BL103" i="139"/>
  <c r="BL102" i="139"/>
  <c r="BL101" i="139"/>
  <c r="BL100" i="139"/>
  <c r="BL97" i="139" s="1"/>
  <c r="BL99" i="139"/>
  <c r="BL98" i="139"/>
  <c r="BL96" i="139"/>
  <c r="BL95" i="139" s="1"/>
  <c r="BL94" i="139"/>
  <c r="BL93" i="139"/>
  <c r="BL92" i="139" s="1"/>
  <c r="BL91" i="139"/>
  <c r="BL90" i="139"/>
  <c r="BL89" i="139"/>
  <c r="BL88" i="139"/>
  <c r="BL87" i="139"/>
  <c r="BL86" i="139"/>
  <c r="BL80" i="139" s="1"/>
  <c r="BL85" i="139"/>
  <c r="BL84" i="139"/>
  <c r="BL83" i="139"/>
  <c r="BL82" i="139"/>
  <c r="BL81" i="139"/>
  <c r="BL79" i="139"/>
  <c r="BL78" i="139"/>
  <c r="BL77" i="139"/>
  <c r="BL76" i="139"/>
  <c r="BL75" i="139"/>
  <c r="BL74" i="139"/>
  <c r="BL73" i="139"/>
  <c r="BL72" i="139"/>
  <c r="BL71" i="139"/>
  <c r="BL70" i="139"/>
  <c r="BL69" i="139"/>
  <c r="BL68" i="139"/>
  <c r="BL67" i="139"/>
  <c r="BL66" i="139"/>
  <c r="BL65" i="139"/>
  <c r="BL63" i="139" s="1"/>
  <c r="BL64" i="139"/>
  <c r="BL62" i="139"/>
  <c r="BL61" i="139"/>
  <c r="BL60" i="139"/>
  <c r="BL59" i="139"/>
  <c r="BL58" i="139"/>
  <c r="BL57" i="139" s="1"/>
  <c r="BL56" i="139"/>
  <c r="BL55" i="139"/>
  <c r="BL54" i="139"/>
  <c r="BL53" i="139"/>
  <c r="BL52" i="139"/>
  <c r="BL51" i="139"/>
  <c r="BL50" i="139" s="1"/>
  <c r="BL49" i="139"/>
  <c r="BL48" i="139"/>
  <c r="BL47" i="139"/>
  <c r="BL46" i="139"/>
  <c r="BL45" i="139"/>
  <c r="BL44" i="139"/>
  <c r="BL41" i="139" s="1"/>
  <c r="BL43" i="139"/>
  <c r="BL42" i="139"/>
  <c r="BL40" i="139"/>
  <c r="BL39" i="139"/>
  <c r="BL38" i="139"/>
  <c r="BL37" i="139"/>
  <c r="BL36" i="139"/>
  <c r="BL35" i="139"/>
  <c r="BL34" i="139"/>
  <c r="BL33" i="139"/>
  <c r="BL32" i="139"/>
  <c r="BL31" i="139"/>
  <c r="BL30" i="139"/>
  <c r="BL29" i="139" s="1"/>
  <c r="BL28" i="139"/>
  <c r="BL27" i="139"/>
  <c r="BL26" i="139"/>
  <c r="BL25" i="139"/>
  <c r="BL24" i="139"/>
  <c r="BL23" i="139"/>
  <c r="BL22" i="139"/>
  <c r="BL21" i="139"/>
  <c r="BL20" i="139"/>
  <c r="BL19" i="139"/>
  <c r="BL18" i="139"/>
  <c r="BL17" i="139"/>
  <c r="BL16" i="139"/>
  <c r="BL4" i="139" s="1"/>
  <c r="BL15" i="139"/>
  <c r="BL14" i="139"/>
  <c r="BL13" i="139"/>
  <c r="BL12" i="139"/>
  <c r="BL11" i="139"/>
  <c r="BL10" i="139"/>
  <c r="BL9" i="139"/>
  <c r="BL8" i="139"/>
  <c r="BL7" i="139"/>
  <c r="BL6" i="139"/>
  <c r="BL5" i="139"/>
  <c r="AX155" i="139"/>
  <c r="AX154" i="139"/>
  <c r="AX153" i="139"/>
  <c r="AX152" i="139"/>
  <c r="AX151" i="139"/>
  <c r="AX150" i="139" s="1"/>
  <c r="AX149" i="139"/>
  <c r="AX148" i="139"/>
  <c r="AX147" i="139"/>
  <c r="AX146" i="139"/>
  <c r="AX145" i="139" s="1"/>
  <c r="AX144" i="139"/>
  <c r="AX143" i="139"/>
  <c r="AX142" i="139"/>
  <c r="AX141" i="139"/>
  <c r="AX140" i="139"/>
  <c r="AX138" i="139" s="1"/>
  <c r="AX139" i="139"/>
  <c r="AX137" i="139"/>
  <c r="AX136" i="139"/>
  <c r="AX135" i="139" s="1"/>
  <c r="AX134" i="139"/>
  <c r="AX133" i="139"/>
  <c r="AX132" i="139"/>
  <c r="AX131" i="139"/>
  <c r="AX130" i="139"/>
  <c r="AX129" i="139"/>
  <c r="AX128" i="139"/>
  <c r="AX127" i="139"/>
  <c r="AX126" i="139"/>
  <c r="AX125" i="139"/>
  <c r="AX124" i="139"/>
  <c r="AX123" i="139" s="1"/>
  <c r="AX122" i="139"/>
  <c r="AX121" i="139"/>
  <c r="AX120" i="139"/>
  <c r="AX119" i="139"/>
  <c r="AX118" i="139"/>
  <c r="AX115" i="139" s="1"/>
  <c r="AX117" i="139"/>
  <c r="AX116" i="139"/>
  <c r="AX114" i="139"/>
  <c r="AX113" i="139" s="1"/>
  <c r="AX112" i="139"/>
  <c r="AX111" i="139"/>
  <c r="AX110" i="139"/>
  <c r="AX109" i="139"/>
  <c r="AX108" i="139" s="1"/>
  <c r="AX107" i="139"/>
  <c r="AX106" i="139"/>
  <c r="AX105" i="139"/>
  <c r="AX104" i="139"/>
  <c r="AX103" i="139"/>
  <c r="AX102" i="139"/>
  <c r="AX101" i="139"/>
  <c r="AX100" i="139"/>
  <c r="AX99" i="139"/>
  <c r="AX98" i="139"/>
  <c r="AX97" i="139" s="1"/>
  <c r="AX96" i="139"/>
  <c r="AX95" i="139" s="1"/>
  <c r="AX94" i="139"/>
  <c r="AX93" i="139"/>
  <c r="AX92" i="139"/>
  <c r="AX91" i="139"/>
  <c r="AX90" i="139"/>
  <c r="AX89" i="139" s="1"/>
  <c r="AX88" i="139"/>
  <c r="AX87" i="139"/>
  <c r="AX86" i="139"/>
  <c r="AX85" i="139"/>
  <c r="AX84" i="139"/>
  <c r="AX83" i="139"/>
  <c r="AX82" i="139"/>
  <c r="AX81" i="139"/>
  <c r="AX80" i="139" s="1"/>
  <c r="AX79" i="139"/>
  <c r="AX78" i="139"/>
  <c r="AX77" i="139"/>
  <c r="AX76" i="139"/>
  <c r="AX75" i="139" s="1"/>
  <c r="AX74" i="139"/>
  <c r="AX73" i="139"/>
  <c r="AX72" i="139"/>
  <c r="AX63" i="139" s="1"/>
  <c r="AX71" i="139"/>
  <c r="AX70" i="139"/>
  <c r="AX69" i="139"/>
  <c r="AX68" i="139"/>
  <c r="AX67" i="139"/>
  <c r="AX66" i="139"/>
  <c r="AX65" i="139"/>
  <c r="AX64" i="139"/>
  <c r="AX62" i="139"/>
  <c r="AX61" i="139"/>
  <c r="AX60" i="139"/>
  <c r="AX59" i="139"/>
  <c r="AX58" i="139"/>
  <c r="AX57" i="139" s="1"/>
  <c r="AX56" i="139"/>
  <c r="AX55" i="139"/>
  <c r="AX54" i="139"/>
  <c r="AX53" i="139"/>
  <c r="AX52" i="139"/>
  <c r="AX51" i="139"/>
  <c r="AX50" i="139"/>
  <c r="AX49" i="139"/>
  <c r="AX48" i="139"/>
  <c r="AX47" i="139"/>
  <c r="AX46" i="139"/>
  <c r="AX45" i="139"/>
  <c r="AX44" i="139"/>
  <c r="AX43" i="139"/>
  <c r="AX42" i="139"/>
  <c r="AX41" i="139" s="1"/>
  <c r="AX40" i="139"/>
  <c r="AX39" i="139"/>
  <c r="AX38" i="139"/>
  <c r="AX37" i="139"/>
  <c r="AX36" i="139"/>
  <c r="AX35" i="139"/>
  <c r="AX34" i="139"/>
  <c r="AX33" i="139"/>
  <c r="AX32" i="139" s="1"/>
  <c r="AX31" i="139"/>
  <c r="AX30" i="139"/>
  <c r="AX29" i="139" s="1"/>
  <c r="AX28" i="139"/>
  <c r="AX27" i="139"/>
  <c r="AX26" i="139"/>
  <c r="AX25" i="139"/>
  <c r="AX24" i="139"/>
  <c r="AX23" i="139"/>
  <c r="AX22" i="139"/>
  <c r="AX21" i="139"/>
  <c r="AX20" i="139"/>
  <c r="AX19" i="139"/>
  <c r="AX18" i="139"/>
  <c r="AX17" i="139"/>
  <c r="AX16" i="139"/>
  <c r="AX15" i="139"/>
  <c r="AX14" i="139"/>
  <c r="AX13" i="139"/>
  <c r="AX12" i="139"/>
  <c r="AX11" i="139"/>
  <c r="AX10" i="139"/>
  <c r="AX9" i="139"/>
  <c r="AX8" i="139"/>
  <c r="AX7" i="139"/>
  <c r="AX6" i="139"/>
  <c r="AX5" i="139"/>
  <c r="AX4" i="139" s="1"/>
  <c r="AJ155" i="139"/>
  <c r="AJ154" i="139"/>
  <c r="AJ153" i="139"/>
  <c r="AJ152" i="139"/>
  <c r="AJ151" i="139"/>
  <c r="AJ150" i="139" s="1"/>
  <c r="AJ149" i="139"/>
  <c r="AJ148" i="139"/>
  <c r="AJ147" i="139"/>
  <c r="AJ146" i="139"/>
  <c r="AJ145" i="139" s="1"/>
  <c r="AJ144" i="139"/>
  <c r="AJ143" i="139"/>
  <c r="AJ142" i="139"/>
  <c r="AJ141" i="139"/>
  <c r="AJ140" i="139"/>
  <c r="AJ139" i="139"/>
  <c r="AJ138" i="139" s="1"/>
  <c r="AJ137" i="139"/>
  <c r="AJ136" i="139"/>
  <c r="AJ135" i="139"/>
  <c r="AJ134" i="139"/>
  <c r="AJ133" i="139"/>
  <c r="AJ132" i="139"/>
  <c r="AJ131" i="139"/>
  <c r="AJ129" i="139" s="1"/>
  <c r="AJ130" i="139"/>
  <c r="AJ128" i="139"/>
  <c r="AJ123" i="139" s="1"/>
  <c r="AJ127" i="139"/>
  <c r="AJ126" i="139"/>
  <c r="AJ125" i="139"/>
  <c r="AJ124" i="139"/>
  <c r="AJ122" i="139"/>
  <c r="AJ121" i="139"/>
  <c r="AJ120" i="139"/>
  <c r="AJ119" i="139"/>
  <c r="AJ118" i="139"/>
  <c r="AJ117" i="139"/>
  <c r="AJ115" i="139" s="1"/>
  <c r="AJ116" i="139"/>
  <c r="AJ114" i="139"/>
  <c r="AJ113" i="139" s="1"/>
  <c r="AJ112" i="139"/>
  <c r="AJ111" i="139"/>
  <c r="AJ110" i="139"/>
  <c r="AJ109" i="139"/>
  <c r="AJ108" i="139" s="1"/>
  <c r="AJ107" i="139"/>
  <c r="AJ106" i="139"/>
  <c r="AJ105" i="139"/>
  <c r="AJ104" i="139"/>
  <c r="AJ103" i="139"/>
  <c r="AJ102" i="139"/>
  <c r="AJ101" i="139"/>
  <c r="AJ100" i="139"/>
  <c r="AJ99" i="139"/>
  <c r="AJ97" i="139" s="1"/>
  <c r="AJ98" i="139"/>
  <c r="AJ96" i="139"/>
  <c r="AJ95" i="139"/>
  <c r="AJ94" i="139"/>
  <c r="AJ93" i="139"/>
  <c r="AJ92" i="139" s="1"/>
  <c r="AJ91" i="139"/>
  <c r="AJ90" i="139"/>
  <c r="AJ89" i="139" s="1"/>
  <c r="AJ88" i="139"/>
  <c r="AJ87" i="139"/>
  <c r="AJ86" i="139"/>
  <c r="AJ85" i="139"/>
  <c r="AJ84" i="139"/>
  <c r="AJ83" i="139"/>
  <c r="AJ82" i="139"/>
  <c r="AJ81" i="139"/>
  <c r="AJ80" i="139" s="1"/>
  <c r="AJ79" i="139"/>
  <c r="AJ78" i="139"/>
  <c r="AJ77" i="139"/>
  <c r="AJ76" i="139"/>
  <c r="AJ75" i="139" s="1"/>
  <c r="AJ74" i="139"/>
  <c r="AJ73" i="139"/>
  <c r="AJ72" i="139"/>
  <c r="AJ71" i="139"/>
  <c r="AJ70" i="139"/>
  <c r="AJ69" i="139"/>
  <c r="AJ68" i="139"/>
  <c r="AJ67" i="139"/>
  <c r="AJ66" i="139"/>
  <c r="AJ65" i="139"/>
  <c r="AJ64" i="139"/>
  <c r="AJ63" i="139"/>
  <c r="AJ62" i="139"/>
  <c r="AJ61" i="139"/>
  <c r="AJ60" i="139"/>
  <c r="AJ59" i="139"/>
  <c r="AJ58" i="139"/>
  <c r="AJ57" i="139" s="1"/>
  <c r="AJ56" i="139"/>
  <c r="AJ55" i="139"/>
  <c r="AJ54" i="139"/>
  <c r="AJ53" i="139"/>
  <c r="AJ52" i="139"/>
  <c r="AJ51" i="139"/>
  <c r="AJ50" i="139"/>
  <c r="AJ49" i="139"/>
  <c r="AJ48" i="139"/>
  <c r="AJ47" i="139"/>
  <c r="AJ46" i="139"/>
  <c r="AJ45" i="139"/>
  <c r="AJ44" i="139"/>
  <c r="AJ41" i="139" s="1"/>
  <c r="AJ43" i="139"/>
  <c r="AJ42" i="139"/>
  <c r="AJ40" i="139"/>
  <c r="AJ39" i="139"/>
  <c r="AJ38" i="139"/>
  <c r="AJ37" i="139"/>
  <c r="AJ36" i="139"/>
  <c r="AJ35" i="139"/>
  <c r="AJ34" i="139"/>
  <c r="AJ33" i="139"/>
  <c r="AJ32" i="139" s="1"/>
  <c r="AJ31" i="139"/>
  <c r="AJ30" i="139"/>
  <c r="AJ29" i="139" s="1"/>
  <c r="AJ28" i="139"/>
  <c r="AJ27" i="139"/>
  <c r="AJ26" i="139" s="1"/>
  <c r="AJ25" i="139"/>
  <c r="AJ24" i="139"/>
  <c r="AJ23" i="139"/>
  <c r="AJ22" i="139"/>
  <c r="AJ21" i="139"/>
  <c r="AJ20" i="139"/>
  <c r="AJ19" i="139"/>
  <c r="AJ18" i="139"/>
  <c r="AJ17" i="139"/>
  <c r="AJ16" i="139"/>
  <c r="AJ15" i="139"/>
  <c r="AJ14" i="139"/>
  <c r="AJ13" i="139"/>
  <c r="AJ12" i="139"/>
  <c r="AJ11" i="139"/>
  <c r="AJ10" i="139"/>
  <c r="AJ9" i="139"/>
  <c r="AJ8" i="139"/>
  <c r="AJ7" i="139"/>
  <c r="AJ6" i="139"/>
  <c r="AJ5" i="139"/>
  <c r="AJ4" i="139" s="1"/>
  <c r="V155" i="139"/>
  <c r="V154" i="139"/>
  <c r="V153" i="139"/>
  <c r="V152" i="139"/>
  <c r="V151" i="139"/>
  <c r="V150" i="139"/>
  <c r="V149" i="139"/>
  <c r="V148" i="139"/>
  <c r="V147" i="139"/>
  <c r="V146" i="139"/>
  <c r="V145" i="139" s="1"/>
  <c r="V144" i="139"/>
  <c r="V143" i="139"/>
  <c r="V142" i="139"/>
  <c r="V138" i="139" s="1"/>
  <c r="V141" i="139"/>
  <c r="V140" i="139"/>
  <c r="V139" i="139"/>
  <c r="V137" i="139"/>
  <c r="V136" i="139"/>
  <c r="V135" i="139"/>
  <c r="V134" i="139"/>
  <c r="V133" i="139"/>
  <c r="V132" i="139"/>
  <c r="V131" i="139"/>
  <c r="V130" i="139"/>
  <c r="V129" i="139"/>
  <c r="V128" i="139"/>
  <c r="V123" i="139" s="1"/>
  <c r="V127" i="139"/>
  <c r="V126" i="139"/>
  <c r="V125" i="139"/>
  <c r="V124" i="139"/>
  <c r="V122" i="139"/>
  <c r="V121" i="139"/>
  <c r="V120" i="139"/>
  <c r="V119" i="139"/>
  <c r="V118" i="139"/>
  <c r="V115" i="139" s="1"/>
  <c r="V117" i="139"/>
  <c r="V116" i="139"/>
  <c r="V114" i="139"/>
  <c r="V113" i="139" s="1"/>
  <c r="V112" i="139"/>
  <c r="V111" i="139"/>
  <c r="V110" i="139"/>
  <c r="V109" i="139"/>
  <c r="V108" i="139"/>
  <c r="V107" i="139"/>
  <c r="V106" i="139"/>
  <c r="V105" i="139"/>
  <c r="V104" i="139"/>
  <c r="V103" i="139"/>
  <c r="V102" i="139"/>
  <c r="V101" i="139"/>
  <c r="V100" i="139"/>
  <c r="V97" i="139" s="1"/>
  <c r="V99" i="139"/>
  <c r="V98" i="139"/>
  <c r="V96" i="139"/>
  <c r="V95" i="139"/>
  <c r="V94" i="139"/>
  <c r="V93" i="139"/>
  <c r="V92" i="139"/>
  <c r="V91" i="139"/>
  <c r="V90" i="139"/>
  <c r="V89" i="139" s="1"/>
  <c r="V88" i="139"/>
  <c r="V87" i="139"/>
  <c r="V86" i="139"/>
  <c r="V80" i="139" s="1"/>
  <c r="V85" i="139"/>
  <c r="V84" i="139"/>
  <c r="V83" i="139"/>
  <c r="V82" i="139"/>
  <c r="V81" i="139"/>
  <c r="V79" i="139"/>
  <c r="V78" i="139"/>
  <c r="V77" i="139"/>
  <c r="V76" i="139"/>
  <c r="V75" i="139" s="1"/>
  <c r="V74" i="139"/>
  <c r="V73" i="139"/>
  <c r="V72" i="139"/>
  <c r="V71" i="139"/>
  <c r="V70" i="139"/>
  <c r="V69" i="139"/>
  <c r="V68" i="139"/>
  <c r="V67" i="139"/>
  <c r="V66" i="139"/>
  <c r="V65" i="139"/>
  <c r="V64" i="139"/>
  <c r="V63" i="139"/>
  <c r="V62" i="139"/>
  <c r="V61" i="139"/>
  <c r="V60" i="139"/>
  <c r="V59" i="139"/>
  <c r="V58" i="139"/>
  <c r="V57" i="139" s="1"/>
  <c r="V56" i="139"/>
  <c r="V55" i="139"/>
  <c r="V54" i="139"/>
  <c r="V53" i="139"/>
  <c r="V52" i="139"/>
  <c r="V51" i="139"/>
  <c r="V50" i="139"/>
  <c r="V49" i="139"/>
  <c r="V48" i="139"/>
  <c r="V47" i="139"/>
  <c r="V46" i="139"/>
  <c r="V45" i="139"/>
  <c r="V44" i="139"/>
  <c r="V41" i="139" s="1"/>
  <c r="V43" i="139"/>
  <c r="V42" i="139"/>
  <c r="V40" i="139"/>
  <c r="V39" i="139"/>
  <c r="V38" i="139"/>
  <c r="V37" i="139"/>
  <c r="V36" i="139"/>
  <c r="V35" i="139"/>
  <c r="V34" i="139"/>
  <c r="V32" i="139" s="1"/>
  <c r="V33" i="139"/>
  <c r="V31" i="139"/>
  <c r="V30" i="139"/>
  <c r="V29" i="139" s="1"/>
  <c r="V28" i="139"/>
  <c r="V27" i="139"/>
  <c r="V26" i="139"/>
  <c r="V25" i="139"/>
  <c r="V24" i="139"/>
  <c r="V23" i="139"/>
  <c r="V22" i="139"/>
  <c r="V21" i="139"/>
  <c r="V20" i="139"/>
  <c r="V19" i="139"/>
  <c r="V18" i="139"/>
  <c r="V17" i="139"/>
  <c r="V16" i="139"/>
  <c r="V15" i="139"/>
  <c r="V14" i="139"/>
  <c r="V13" i="139"/>
  <c r="V12" i="139"/>
  <c r="V11" i="139"/>
  <c r="V10" i="139"/>
  <c r="V9" i="139"/>
  <c r="V8" i="139"/>
  <c r="V7" i="139"/>
  <c r="V6" i="139"/>
  <c r="V4" i="139" s="1"/>
  <c r="V5" i="139"/>
  <c r="H155" i="139"/>
  <c r="H154" i="139"/>
  <c r="H153" i="139"/>
  <c r="H152" i="139"/>
  <c r="H151" i="139"/>
  <c r="H149" i="139"/>
  <c r="H148" i="139"/>
  <c r="H146" i="139"/>
  <c r="H144" i="139"/>
  <c r="H143" i="139"/>
  <c r="H142" i="139"/>
  <c r="H141" i="139"/>
  <c r="H140" i="139"/>
  <c r="H139" i="139"/>
  <c r="H137" i="139"/>
  <c r="H136" i="139"/>
  <c r="H134" i="139"/>
  <c r="H133" i="139"/>
  <c r="H131" i="139"/>
  <c r="H130" i="139"/>
  <c r="H128" i="139"/>
  <c r="H127" i="139"/>
  <c r="H126" i="139"/>
  <c r="H125" i="139"/>
  <c r="H124" i="139"/>
  <c r="H122" i="139"/>
  <c r="H121" i="139"/>
  <c r="H120" i="139"/>
  <c r="H119" i="139"/>
  <c r="H118" i="139"/>
  <c r="H117" i="139"/>
  <c r="H116" i="139"/>
  <c r="H114" i="139"/>
  <c r="H112" i="139"/>
  <c r="H111" i="139"/>
  <c r="H110" i="139"/>
  <c r="H109" i="139"/>
  <c r="H107" i="139"/>
  <c r="H106" i="139"/>
  <c r="H105" i="139"/>
  <c r="H104" i="139"/>
  <c r="H103" i="139"/>
  <c r="H102" i="139"/>
  <c r="H101" i="139"/>
  <c r="H100" i="139"/>
  <c r="H99" i="139"/>
  <c r="H98" i="139"/>
  <c r="H96" i="139"/>
  <c r="H94" i="139"/>
  <c r="H93" i="139"/>
  <c r="H91" i="139"/>
  <c r="H90" i="139"/>
  <c r="H88" i="139"/>
  <c r="H86" i="139"/>
  <c r="H85" i="139"/>
  <c r="H84" i="139"/>
  <c r="H83" i="139"/>
  <c r="H82" i="139"/>
  <c r="H81" i="139"/>
  <c r="H79" i="139"/>
  <c r="H78" i="139"/>
  <c r="H77" i="139"/>
  <c r="H76" i="139"/>
  <c r="H74" i="139"/>
  <c r="H73" i="139"/>
  <c r="H72" i="139"/>
  <c r="H71" i="139"/>
  <c r="H70" i="139"/>
  <c r="H69" i="139"/>
  <c r="H68" i="139"/>
  <c r="H67" i="139"/>
  <c r="H66" i="139"/>
  <c r="H65" i="139"/>
  <c r="H64" i="139"/>
  <c r="H62" i="139"/>
  <c r="H61" i="139"/>
  <c r="H60" i="139"/>
  <c r="H59" i="139"/>
  <c r="H58" i="139"/>
  <c r="H56" i="139"/>
  <c r="H55" i="139"/>
  <c r="H54" i="139"/>
  <c r="H53" i="139"/>
  <c r="H52" i="139"/>
  <c r="H51" i="139"/>
  <c r="H49" i="139"/>
  <c r="H47" i="139"/>
  <c r="H46" i="139"/>
  <c r="H45" i="139"/>
  <c r="H44" i="139"/>
  <c r="H43" i="139"/>
  <c r="H42" i="139"/>
  <c r="H40" i="139"/>
  <c r="H39" i="139"/>
  <c r="H38" i="139"/>
  <c r="H37" i="139"/>
  <c r="H36" i="139"/>
  <c r="H35" i="139"/>
  <c r="H34" i="139"/>
  <c r="H33" i="139"/>
  <c r="H31" i="139"/>
  <c r="H30" i="139"/>
  <c r="H28" i="139"/>
  <c r="H25" i="139"/>
  <c r="H27" i="139"/>
  <c r="DZ6" i="139"/>
  <c r="DM6" i="139"/>
  <c r="CZ6" i="139"/>
  <c r="CM6" i="139"/>
  <c r="BY6" i="139"/>
  <c r="BK6" i="139"/>
  <c r="AW6" i="139"/>
  <c r="AI6" i="139"/>
  <c r="U6" i="139"/>
  <c r="G6" i="139"/>
  <c r="DY146" i="139"/>
  <c r="DX146" i="139"/>
  <c r="DW146" i="139"/>
  <c r="DV146" i="139"/>
  <c r="DU146" i="139"/>
  <c r="DT146" i="139"/>
  <c r="DS146" i="139"/>
  <c r="DR146" i="139"/>
  <c r="DQ146" i="139"/>
  <c r="DP146" i="139"/>
  <c r="DO146" i="139"/>
  <c r="DN146" i="139"/>
  <c r="DL146" i="139"/>
  <c r="DK146" i="139"/>
  <c r="DJ146" i="139"/>
  <c r="DI146" i="139"/>
  <c r="DH146" i="139"/>
  <c r="DG146" i="139"/>
  <c r="DF146" i="139"/>
  <c r="DE146" i="139"/>
  <c r="DD146" i="139"/>
  <c r="DM146" i="139" s="1"/>
  <c r="DC146" i="139"/>
  <c r="DB146" i="139"/>
  <c r="DA146" i="139"/>
  <c r="CY146" i="139"/>
  <c r="CX146" i="139"/>
  <c r="CW146" i="139"/>
  <c r="CV146" i="139"/>
  <c r="CU146" i="139"/>
  <c r="CT146" i="139"/>
  <c r="CS146" i="139"/>
  <c r="CR146" i="139"/>
  <c r="CQ146" i="139"/>
  <c r="CP146" i="139"/>
  <c r="CO146" i="139"/>
  <c r="CN146" i="139"/>
  <c r="CL146" i="139"/>
  <c r="CK146" i="139"/>
  <c r="CJ146" i="139"/>
  <c r="CI146" i="139"/>
  <c r="CH146" i="139"/>
  <c r="CG146" i="139"/>
  <c r="CF146" i="139"/>
  <c r="CE146" i="139"/>
  <c r="CD146" i="139"/>
  <c r="CC146" i="139"/>
  <c r="CB146" i="139"/>
  <c r="CA146" i="139"/>
  <c r="BX146" i="139"/>
  <c r="BW146" i="139"/>
  <c r="BV146" i="139"/>
  <c r="BU146" i="139"/>
  <c r="BT146" i="139"/>
  <c r="BS146" i="139"/>
  <c r="BR146" i="139"/>
  <c r="BQ146" i="139"/>
  <c r="BP146" i="139"/>
  <c r="BP44" i="139"/>
  <c r="BP35" i="139"/>
  <c r="BP94" i="139"/>
  <c r="E3670" i="140"/>
  <c r="E3669" i="140"/>
  <c r="BP87" i="139"/>
  <c r="E3639" i="140"/>
  <c r="E3586" i="140"/>
  <c r="E3590" i="140"/>
  <c r="E3592" i="140"/>
  <c r="BO79" i="139"/>
  <c r="BO76" i="139"/>
  <c r="BO67" i="139"/>
  <c r="BO58" i="139"/>
  <c r="E3602" i="140"/>
  <c r="BO91" i="139"/>
  <c r="E3591" i="140"/>
  <c r="BO114" i="139"/>
  <c r="E3613" i="140"/>
  <c r="BO71" i="139"/>
  <c r="BO86" i="139"/>
  <c r="W126" i="58"/>
  <c r="V126" i="58"/>
  <c r="AC124" i="58"/>
  <c r="BB126" i="58"/>
  <c r="D3792" i="140" l="1"/>
  <c r="D3692" i="140"/>
  <c r="E3692" i="140"/>
  <c r="CZ146" i="139"/>
  <c r="DZ146" i="139"/>
  <c r="BO128" i="139"/>
  <c r="E3596" i="140"/>
  <c r="E3573" i="140"/>
  <c r="BO133" i="139"/>
  <c r="BO74" i="139"/>
  <c r="E3589" i="140"/>
  <c r="BO65" i="139"/>
  <c r="L2" i="180"/>
  <c r="K2" i="180"/>
  <c r="E3564" i="140"/>
  <c r="E3568" i="140"/>
  <c r="BN91" i="139"/>
  <c r="BN67" i="139"/>
  <c r="E3518" i="140"/>
  <c r="E3517" i="140"/>
  <c r="BN90" i="139"/>
  <c r="BN79" i="139"/>
  <c r="BN31" i="139"/>
  <c r="E3536" i="140"/>
  <c r="BN73" i="139"/>
  <c r="E3519" i="140"/>
  <c r="BN77" i="139"/>
  <c r="BN76" i="139"/>
  <c r="E3521" i="140"/>
  <c r="E3523" i="140"/>
  <c r="BN59" i="139"/>
  <c r="BN71" i="139"/>
  <c r="BN22" i="139"/>
  <c r="D3535" i="140"/>
  <c r="E3513" i="140"/>
  <c r="BN58" i="139"/>
  <c r="E3500" i="140"/>
  <c r="BN65" i="139"/>
  <c r="BN94" i="139"/>
  <c r="E3512" i="140"/>
  <c r="E3511" i="140"/>
  <c r="BN88" i="139"/>
  <c r="BN86" i="139"/>
  <c r="E3509" i="140"/>
  <c r="BN110" i="139"/>
  <c r="E3522" i="140"/>
  <c r="BN39" i="139"/>
  <c r="E3491" i="140"/>
  <c r="E3486" i="140"/>
  <c r="A155" i="139"/>
  <c r="BM90" i="139"/>
  <c r="E3495" i="140"/>
  <c r="AG288" i="58"/>
  <c r="AG274" i="58"/>
  <c r="AG260" i="58"/>
  <c r="AG246" i="58"/>
  <c r="AG231" i="58"/>
  <c r="AG216" i="58"/>
  <c r="AG202" i="58"/>
  <c r="AG188" i="58"/>
  <c r="AG174" i="58"/>
  <c r="AG160" i="58"/>
  <c r="AG145" i="58"/>
  <c r="AG130" i="58"/>
  <c r="AG116" i="58"/>
  <c r="AG102" i="58"/>
  <c r="AG88" i="58"/>
  <c r="AG74" i="58"/>
  <c r="AG60" i="58"/>
  <c r="AG46" i="58"/>
  <c r="AG32" i="58"/>
  <c r="AG18" i="58"/>
  <c r="AG4" i="58"/>
  <c r="BM58" i="139"/>
  <c r="BM77" i="139"/>
  <c r="BM79" i="139"/>
  <c r="BM67" i="139"/>
  <c r="E3426" i="140"/>
  <c r="E3428" i="140"/>
  <c r="Z58" i="139"/>
  <c r="AF58" i="139"/>
  <c r="A152" i="139"/>
  <c r="M6" i="159"/>
  <c r="L6" i="159"/>
  <c r="K6" i="159"/>
  <c r="M5" i="159"/>
  <c r="L5" i="159"/>
  <c r="K5" i="159"/>
  <c r="BM76" i="139"/>
  <c r="BM110" i="139"/>
  <c r="E3430" i="140"/>
  <c r="E3431" i="140"/>
  <c r="E3422" i="140"/>
  <c r="BM73" i="139"/>
  <c r="BM130" i="139"/>
  <c r="E3452" i="140"/>
  <c r="BM114" i="139"/>
  <c r="BM94" i="139"/>
  <c r="T65" i="168"/>
  <c r="P75" i="168"/>
  <c r="B34" i="168"/>
  <c r="E3437" i="140"/>
  <c r="BM88" i="139"/>
  <c r="E3433" i="140"/>
  <c r="E3440" i="140"/>
  <c r="BM71" i="139"/>
  <c r="E3445" i="140"/>
  <c r="E3441" i="140"/>
  <c r="BM74" i="139"/>
  <c r="BM96" i="139"/>
  <c r="BM133" i="139"/>
  <c r="BM86" i="139"/>
  <c r="Y288" i="58"/>
  <c r="Y274" i="58"/>
  <c r="Y260" i="58"/>
  <c r="Y246" i="58"/>
  <c r="Y231" i="58"/>
  <c r="Y216" i="58"/>
  <c r="Y202" i="58"/>
  <c r="Y188" i="58"/>
  <c r="Y174" i="58"/>
  <c r="Y160" i="58"/>
  <c r="Y145" i="58"/>
  <c r="Y130" i="58"/>
  <c r="Y116" i="58"/>
  <c r="Y102" i="58"/>
  <c r="Y88" i="58"/>
  <c r="Y74" i="58"/>
  <c r="Y60" i="58"/>
  <c r="Y46" i="58"/>
  <c r="Y32" i="58"/>
  <c r="Y18" i="58"/>
  <c r="Y4" i="58"/>
  <c r="A3" i="182"/>
  <c r="F3" i="182"/>
  <c r="A4" i="182"/>
  <c r="F4" i="182"/>
  <c r="A5" i="182"/>
  <c r="F5" i="182"/>
  <c r="A6" i="182"/>
  <c r="F6" i="182"/>
  <c r="A7" i="182"/>
  <c r="F7" i="182"/>
  <c r="A8" i="182"/>
  <c r="F8" i="182"/>
  <c r="A9" i="182"/>
  <c r="F9" i="182"/>
  <c r="F10" i="182" s="1"/>
  <c r="F11" i="182" s="1"/>
  <c r="F12" i="182" s="1"/>
  <c r="F13" i="182" s="1"/>
  <c r="F14" i="182" s="1"/>
  <c r="F15" i="182" s="1"/>
  <c r="F16" i="182" s="1"/>
  <c r="F17" i="182" s="1"/>
  <c r="F18" i="182" s="1"/>
  <c r="F19" i="182" s="1"/>
  <c r="F20" i="182" s="1"/>
  <c r="F21" i="182" s="1"/>
  <c r="F22" i="182" s="1"/>
  <c r="F23" i="182" s="1"/>
  <c r="F24" i="182" s="1"/>
  <c r="F25" i="182" s="1"/>
  <c r="F26" i="182" s="1"/>
  <c r="F27" i="182" s="1"/>
  <c r="F28" i="182" s="1"/>
  <c r="F29" i="182" s="1"/>
  <c r="F30" i="182" s="1"/>
  <c r="F31" i="182" s="1"/>
  <c r="F32" i="182" s="1"/>
  <c r="F33" i="182" s="1"/>
  <c r="F34" i="182" s="1"/>
  <c r="F35" i="182" s="1"/>
  <c r="F36" i="182" s="1"/>
  <c r="F37" i="182" s="1"/>
  <c r="F38" i="182" s="1"/>
  <c r="F39" i="182" s="1"/>
  <c r="F40" i="182" s="1"/>
  <c r="F41" i="182" s="1"/>
  <c r="F42" i="182" s="1"/>
  <c r="F43" i="182" s="1"/>
  <c r="F44" i="182" s="1"/>
  <c r="F45" i="182" s="1"/>
  <c r="F46" i="182" s="1"/>
  <c r="F47" i="182" s="1"/>
  <c r="F48" i="182" s="1"/>
  <c r="F49" i="182" s="1"/>
  <c r="F50" i="182" s="1"/>
  <c r="F51" i="182" s="1"/>
  <c r="F52" i="182" s="1"/>
  <c r="F53" i="182" s="1"/>
  <c r="A10" i="182"/>
  <c r="A11" i="182"/>
  <c r="A12" i="182"/>
  <c r="A13" i="182"/>
  <c r="A14" i="182"/>
  <c r="A15" i="182"/>
  <c r="A16" i="182"/>
  <c r="A17" i="182"/>
  <c r="A18" i="182"/>
  <c r="A19" i="182"/>
  <c r="A20" i="182"/>
  <c r="A21" i="182"/>
  <c r="A22" i="182"/>
  <c r="A23" i="182"/>
  <c r="A24" i="182"/>
  <c r="A25" i="182"/>
  <c r="A26" i="182"/>
  <c r="A27" i="182"/>
  <c r="A28" i="182"/>
  <c r="A29" i="182"/>
  <c r="A30" i="182"/>
  <c r="A31" i="182"/>
  <c r="A32" i="182"/>
  <c r="A33" i="182"/>
  <c r="A34" i="182"/>
  <c r="A35" i="182"/>
  <c r="A36" i="182"/>
  <c r="A37" i="182"/>
  <c r="A38" i="182"/>
  <c r="A39" i="182"/>
  <c r="A40" i="182"/>
  <c r="A41" i="182"/>
  <c r="A42" i="182"/>
  <c r="A43" i="182"/>
  <c r="A44" i="182"/>
  <c r="A45" i="182"/>
  <c r="A46" i="182"/>
  <c r="A47" i="182"/>
  <c r="A48" i="182"/>
  <c r="A49" i="182"/>
  <c r="A50" i="182"/>
  <c r="A51" i="182"/>
  <c r="A52" i="182"/>
  <c r="A53" i="182"/>
  <c r="E3619" i="140" l="1"/>
  <c r="D3619" i="140"/>
  <c r="E3545" i="140"/>
  <c r="D3545" i="140"/>
  <c r="AG3" i="58"/>
  <c r="Y3" i="58"/>
  <c r="AD56" i="58"/>
  <c r="AC55" i="58"/>
  <c r="I20" i="156"/>
  <c r="H20" i="156"/>
  <c r="I1" i="156"/>
  <c r="J1" i="156" s="1"/>
  <c r="J2" i="156" s="1"/>
  <c r="D20" i="156"/>
  <c r="C20" i="156"/>
  <c r="BM27" i="139"/>
  <c r="BM30" i="139"/>
  <c r="BM35" i="139"/>
  <c r="BM31" i="139"/>
  <c r="W68" i="58"/>
  <c r="V68" i="58"/>
  <c r="W67" i="58"/>
  <c r="V67" i="58"/>
  <c r="W66" i="58"/>
  <c r="V66" i="58"/>
  <c r="W65" i="58"/>
  <c r="V65" i="58"/>
  <c r="W64" i="58"/>
  <c r="V64" i="58"/>
  <c r="W63" i="58"/>
  <c r="V63" i="58"/>
  <c r="W62" i="58"/>
  <c r="V62" i="58"/>
  <c r="W61" i="58"/>
  <c r="V61" i="58"/>
  <c r="W69" i="58"/>
  <c r="V69" i="58"/>
  <c r="I19" i="156"/>
  <c r="H19" i="156"/>
  <c r="W72" i="58"/>
  <c r="V72" i="58"/>
  <c r="W71" i="58"/>
  <c r="V71" i="58"/>
  <c r="W73" i="58"/>
  <c r="V73" i="58"/>
  <c r="D19" i="156"/>
  <c r="C19" i="156"/>
  <c r="W82" i="58"/>
  <c r="V82" i="58"/>
  <c r="W81" i="58"/>
  <c r="V81" i="58"/>
  <c r="W80" i="58"/>
  <c r="V80" i="58"/>
  <c r="W79" i="58"/>
  <c r="V79" i="58"/>
  <c r="W78" i="58"/>
  <c r="V78" i="58"/>
  <c r="W77" i="58"/>
  <c r="V77" i="58"/>
  <c r="W76" i="58"/>
  <c r="V76" i="58"/>
  <c r="W75" i="58"/>
  <c r="V75" i="58"/>
  <c r="W83" i="58"/>
  <c r="V83" i="58"/>
  <c r="H18" i="156"/>
  <c r="W86" i="58"/>
  <c r="V86" i="58"/>
  <c r="W85" i="58"/>
  <c r="V85" i="58"/>
  <c r="AD84" i="58" s="1"/>
  <c r="W87" i="58"/>
  <c r="V87" i="58"/>
  <c r="I18" i="156"/>
  <c r="I17" i="156"/>
  <c r="H17" i="156"/>
  <c r="BM146" i="139"/>
  <c r="E3404" i="140"/>
  <c r="E3472" i="140" s="1"/>
  <c r="BJ73" i="139"/>
  <c r="BJ79" i="139"/>
  <c r="E1" i="156"/>
  <c r="D2" i="156" s="1"/>
  <c r="E2" i="156" s="1"/>
  <c r="V96" i="58"/>
  <c r="V95" i="58"/>
  <c r="V94" i="58"/>
  <c r="V93" i="58"/>
  <c r="V92" i="58"/>
  <c r="V91" i="58"/>
  <c r="V90" i="58"/>
  <c r="V89" i="58"/>
  <c r="Z288" i="58"/>
  <c r="Z274" i="58"/>
  <c r="Z260" i="58"/>
  <c r="Z246" i="58"/>
  <c r="Z231" i="58"/>
  <c r="Z216" i="58"/>
  <c r="Z202" i="58"/>
  <c r="Z188" i="58"/>
  <c r="Z174" i="58"/>
  <c r="Z160" i="58"/>
  <c r="Z145" i="58"/>
  <c r="Z130" i="58"/>
  <c r="Z116" i="58"/>
  <c r="Z102" i="58"/>
  <c r="Z88" i="58"/>
  <c r="Z74" i="58"/>
  <c r="Z60" i="58"/>
  <c r="Z46" i="58"/>
  <c r="Z32" i="58"/>
  <c r="Z18" i="58"/>
  <c r="Z4" i="58"/>
  <c r="AA288" i="58"/>
  <c r="AA274" i="58"/>
  <c r="AA260" i="58"/>
  <c r="AA246" i="58"/>
  <c r="AA231" i="58"/>
  <c r="AA216" i="58"/>
  <c r="AA202" i="58"/>
  <c r="AA188" i="58"/>
  <c r="AA174" i="58"/>
  <c r="AA160" i="58"/>
  <c r="AA145" i="58"/>
  <c r="AA130" i="58"/>
  <c r="AA116" i="58"/>
  <c r="AA102" i="58"/>
  <c r="AA88" i="58"/>
  <c r="AA74" i="58"/>
  <c r="AA60" i="58"/>
  <c r="AA46" i="58"/>
  <c r="AA32" i="58"/>
  <c r="AA18" i="58"/>
  <c r="AA4" i="58"/>
  <c r="AB288" i="58"/>
  <c r="AB274" i="58"/>
  <c r="AB260" i="58"/>
  <c r="AB246" i="58"/>
  <c r="AB231" i="58"/>
  <c r="AB216" i="58"/>
  <c r="AB202" i="58"/>
  <c r="AB188" i="58"/>
  <c r="AB174" i="58"/>
  <c r="AB160" i="58"/>
  <c r="AB145" i="58"/>
  <c r="AB130" i="58"/>
  <c r="AB116" i="58"/>
  <c r="AB102" i="58"/>
  <c r="AB88" i="58"/>
  <c r="AB74" i="58"/>
  <c r="AB60" i="58"/>
  <c r="AB46" i="58"/>
  <c r="AB32" i="58"/>
  <c r="AB18" i="58"/>
  <c r="AB4" i="58"/>
  <c r="BJ71" i="139"/>
  <c r="E3307" i="140"/>
  <c r="BJ148" i="139"/>
  <c r="BJ67" i="139"/>
  <c r="E3327" i="140"/>
  <c r="E3310" i="140"/>
  <c r="BJ58" i="139"/>
  <c r="E3365" i="140"/>
  <c r="BJ88" i="139"/>
  <c r="BJ86" i="139"/>
  <c r="BJ130" i="139"/>
  <c r="E3329" i="140"/>
  <c r="BJ76" i="139"/>
  <c r="AD70" i="58" l="1"/>
  <c r="D3472" i="140"/>
  <c r="Z3" i="58"/>
  <c r="AA3" i="58"/>
  <c r="AB3" i="58"/>
  <c r="E11" i="156"/>
  <c r="E3334" i="140"/>
  <c r="T147" i="139" l="1"/>
  <c r="S147" i="139"/>
  <c r="R147" i="139"/>
  <c r="Q147" i="139"/>
  <c r="P147" i="139"/>
  <c r="O147" i="139"/>
  <c r="N147" i="139"/>
  <c r="M147" i="139"/>
  <c r="L147" i="139"/>
  <c r="K147" i="139"/>
  <c r="J147" i="139"/>
  <c r="BJ74" i="139"/>
  <c r="E3343" i="140"/>
  <c r="BJ91" i="139"/>
  <c r="BJ54" i="139"/>
  <c r="BJ51" i="139"/>
  <c r="BJ144" i="139"/>
  <c r="BJ31" i="139"/>
  <c r="BJ96" i="139"/>
  <c r="BJ77" i="139"/>
  <c r="BJ94" i="139"/>
  <c r="BJ40" i="139"/>
  <c r="BJ90" i="139"/>
  <c r="BJ107" i="139"/>
  <c r="BJ114" i="139"/>
  <c r="E3346" i="140"/>
  <c r="E3344" i="140"/>
  <c r="E3338" i="140"/>
  <c r="BJ112" i="139"/>
  <c r="E3337" i="140"/>
  <c r="E3305" i="140" l="1"/>
  <c r="E3381" i="140" s="1"/>
  <c r="E3243" i="140"/>
  <c r="BI67" i="139"/>
  <c r="BI30" i="139"/>
  <c r="E3205" i="140"/>
  <c r="E3245" i="140"/>
  <c r="BI79" i="139"/>
  <c r="BI76" i="139"/>
  <c r="E3252" i="140"/>
  <c r="BI110" i="139"/>
  <c r="BI118" i="139"/>
  <c r="BI12" i="139"/>
  <c r="BI88" i="139"/>
  <c r="BI144" i="139"/>
  <c r="E3275" i="140"/>
  <c r="BI58" i="139"/>
  <c r="E3239" i="140"/>
  <c r="BI133" i="139"/>
  <c r="BI114" i="139"/>
  <c r="E3226" i="140"/>
  <c r="BI31" i="139"/>
  <c r="BI90" i="139"/>
  <c r="E3244" i="140"/>
  <c r="BI91" i="139"/>
  <c r="E3264" i="140"/>
  <c r="BI112" i="139"/>
  <c r="BI111" i="139"/>
  <c r="E3253" i="140"/>
  <c r="AF4" i="177"/>
  <c r="AE4" i="177" s="1"/>
  <c r="AF5" i="177"/>
  <c r="AE5" i="177" s="1"/>
  <c r="BI86" i="139"/>
  <c r="BI130" i="139"/>
  <c r="BI65" i="139"/>
  <c r="E3242" i="140"/>
  <c r="V97" i="58"/>
  <c r="W101" i="58"/>
  <c r="V101" i="58"/>
  <c r="W100" i="58"/>
  <c r="V100" i="58"/>
  <c r="W99" i="58"/>
  <c r="V99" i="58"/>
  <c r="AD98" i="58" s="1"/>
  <c r="D3381" i="140" l="1"/>
  <c r="AD112" i="58"/>
  <c r="W128" i="58" l="1"/>
  <c r="V128" i="58"/>
  <c r="W127" i="58"/>
  <c r="V127" i="58"/>
  <c r="W129" i="58"/>
  <c r="V129" i="58"/>
  <c r="U126" i="58" s="1"/>
  <c r="T126" i="58" s="1"/>
  <c r="BI136" i="139" l="1"/>
  <c r="E3221" i="140"/>
  <c r="D3282" i="140" s="1"/>
  <c r="BH86" i="139"/>
  <c r="BH79" i="139"/>
  <c r="BH58" i="139"/>
  <c r="E3152" i="140"/>
  <c r="BH85" i="139"/>
  <c r="E3168" i="140"/>
  <c r="BH67" i="139"/>
  <c r="BH130" i="139"/>
  <c r="BH94" i="139"/>
  <c r="E3180" i="140"/>
  <c r="E3163" i="140"/>
  <c r="E3162" i="140"/>
  <c r="BH110" i="139"/>
  <c r="E3177" i="140"/>
  <c r="E3170" i="140"/>
  <c r="BH76" i="139"/>
  <c r="E3185" i="140"/>
  <c r="BG130" i="139"/>
  <c r="BH77" i="139"/>
  <c r="E3160" i="140"/>
  <c r="BH88" i="139"/>
  <c r="BH137" i="139"/>
  <c r="BH144" i="139"/>
  <c r="E3179" i="140"/>
  <c r="E3167" i="140"/>
  <c r="BH65" i="139"/>
  <c r="DY155" i="139"/>
  <c r="DX155" i="139"/>
  <c r="DW155" i="139"/>
  <c r="DV155" i="139"/>
  <c r="DU155" i="139"/>
  <c r="DT155" i="139"/>
  <c r="DS155" i="139"/>
  <c r="DR155" i="139"/>
  <c r="DQ155" i="139"/>
  <c r="DP155" i="139"/>
  <c r="DO155" i="139"/>
  <c r="DN155" i="139"/>
  <c r="DZ155" i="139" s="1"/>
  <c r="DL155" i="139"/>
  <c r="DK155" i="139"/>
  <c r="DJ155" i="139"/>
  <c r="DI155" i="139"/>
  <c r="DH155" i="139"/>
  <c r="DG155" i="139"/>
  <c r="DF155" i="139"/>
  <c r="DE155" i="139"/>
  <c r="DD155" i="139"/>
  <c r="DC155" i="139"/>
  <c r="DB155" i="139"/>
  <c r="DA155" i="139"/>
  <c r="CY155" i="139"/>
  <c r="CX155" i="139"/>
  <c r="CW155" i="139"/>
  <c r="CV155" i="139"/>
  <c r="CU155" i="139"/>
  <c r="CT155" i="139"/>
  <c r="CS155" i="139"/>
  <c r="CR155" i="139"/>
  <c r="CQ155" i="139"/>
  <c r="CP155" i="139"/>
  <c r="CO155" i="139"/>
  <c r="CN155" i="139"/>
  <c r="CL155" i="139"/>
  <c r="CK155" i="139"/>
  <c r="CJ155" i="139"/>
  <c r="CI155" i="139"/>
  <c r="CH155" i="139"/>
  <c r="CG155" i="139"/>
  <c r="CF155" i="139"/>
  <c r="CE155" i="139"/>
  <c r="CD155" i="139"/>
  <c r="CC155" i="139"/>
  <c r="CB155" i="139"/>
  <c r="CA155" i="139"/>
  <c r="BX155" i="139"/>
  <c r="BW155" i="139"/>
  <c r="BV155" i="139"/>
  <c r="BU155" i="139"/>
  <c r="BT155" i="139"/>
  <c r="BS155" i="139"/>
  <c r="BR155" i="139"/>
  <c r="BG155" i="139"/>
  <c r="BF155" i="139"/>
  <c r="BE155" i="139"/>
  <c r="BD155" i="139"/>
  <c r="BC155" i="139"/>
  <c r="BB155" i="139"/>
  <c r="BA155" i="139"/>
  <c r="AZ155" i="139"/>
  <c r="AY155" i="139"/>
  <c r="AV155" i="139"/>
  <c r="AU155" i="139"/>
  <c r="AT155" i="139"/>
  <c r="AS155" i="139"/>
  <c r="AR155" i="139"/>
  <c r="AQ155" i="139"/>
  <c r="AP155" i="139"/>
  <c r="AO155" i="139"/>
  <c r="AN155" i="139"/>
  <c r="AM155" i="139"/>
  <c r="AL155" i="139"/>
  <c r="AK155" i="139"/>
  <c r="AH155" i="139"/>
  <c r="AG155" i="139"/>
  <c r="AF155" i="139"/>
  <c r="AE155" i="139"/>
  <c r="AD155" i="139"/>
  <c r="AC155" i="139"/>
  <c r="AB155" i="139"/>
  <c r="AA155" i="139"/>
  <c r="Z155" i="139"/>
  <c r="Y155" i="139"/>
  <c r="X155" i="139"/>
  <c r="W155" i="139"/>
  <c r="T155" i="139"/>
  <c r="S155" i="139"/>
  <c r="R155" i="139"/>
  <c r="Q155" i="139"/>
  <c r="P155" i="139"/>
  <c r="O155" i="139"/>
  <c r="N155" i="139"/>
  <c r="M155" i="139"/>
  <c r="L155" i="139"/>
  <c r="K155" i="139"/>
  <c r="J155" i="139"/>
  <c r="I155" i="139"/>
  <c r="F155" i="139"/>
  <c r="G155" i="139" s="1"/>
  <c r="DZ16" i="139"/>
  <c r="DM16" i="139"/>
  <c r="CZ16" i="139"/>
  <c r="CM16" i="139"/>
  <c r="AW16" i="139"/>
  <c r="AI16" i="139"/>
  <c r="U16" i="139"/>
  <c r="G16" i="139"/>
  <c r="BH73" i="139"/>
  <c r="E3175" i="140"/>
  <c r="E3169" i="140"/>
  <c r="BH91" i="139"/>
  <c r="E3164" i="140"/>
  <c r="BH68" i="139"/>
  <c r="BH74" i="139"/>
  <c r="BH90" i="139"/>
  <c r="L6" i="180"/>
  <c r="K6" i="180"/>
  <c r="H6" i="180"/>
  <c r="H5" i="180"/>
  <c r="H7" i="180"/>
  <c r="E3130" i="140"/>
  <c r="BH27" i="139"/>
  <c r="BH146" i="139"/>
  <c r="E3147" i="140"/>
  <c r="H21" i="180"/>
  <c r="H4" i="180"/>
  <c r="H8" i="180"/>
  <c r="DM155" i="139" l="1"/>
  <c r="K7" i="180"/>
  <c r="CZ155" i="139"/>
  <c r="U155" i="139"/>
  <c r="AI155" i="139"/>
  <c r="CM155" i="139"/>
  <c r="AW155" i="139"/>
  <c r="E3282" i="140"/>
  <c r="D3198" i="140"/>
  <c r="BG42" i="139"/>
  <c r="E3058" i="140"/>
  <c r="E3113" i="140"/>
  <c r="BG288" i="58"/>
  <c r="BG274" i="58"/>
  <c r="BG260" i="58"/>
  <c r="BG246" i="58"/>
  <c r="BG231" i="58"/>
  <c r="BG216" i="58"/>
  <c r="BG202" i="58"/>
  <c r="BG188" i="58"/>
  <c r="BG174" i="58"/>
  <c r="BG160" i="58"/>
  <c r="BG145" i="58"/>
  <c r="BG130" i="58"/>
  <c r="BG116" i="58"/>
  <c r="BG102" i="58"/>
  <c r="BG88" i="58"/>
  <c r="BG74" i="58"/>
  <c r="BG60" i="58"/>
  <c r="BG46" i="58"/>
  <c r="BG32" i="58"/>
  <c r="BG18" i="58"/>
  <c r="BG4" i="58"/>
  <c r="BE288" i="58"/>
  <c r="BE274" i="58"/>
  <c r="BE260" i="58"/>
  <c r="BE246" i="58"/>
  <c r="BE231" i="58"/>
  <c r="BE216" i="58"/>
  <c r="BE202" i="58"/>
  <c r="BE188" i="58"/>
  <c r="BE174" i="58"/>
  <c r="BE160" i="58"/>
  <c r="BE145" i="58"/>
  <c r="BE130" i="58"/>
  <c r="BE116" i="58"/>
  <c r="BE102" i="58"/>
  <c r="BE88" i="58"/>
  <c r="BE74" i="58"/>
  <c r="BE60" i="58"/>
  <c r="BE46" i="58"/>
  <c r="BE32" i="58"/>
  <c r="BE18" i="58"/>
  <c r="BE4" i="58"/>
  <c r="BW288" i="58"/>
  <c r="BW274" i="58"/>
  <c r="BW260" i="58"/>
  <c r="BW246" i="58"/>
  <c r="BW231" i="58"/>
  <c r="BW216" i="58"/>
  <c r="BW202" i="58"/>
  <c r="BW188" i="58"/>
  <c r="BW174" i="58"/>
  <c r="BW160" i="58"/>
  <c r="BW145" i="58"/>
  <c r="BW130" i="58"/>
  <c r="BW116" i="58"/>
  <c r="BW102" i="58"/>
  <c r="BW88" i="58"/>
  <c r="BW74" i="58"/>
  <c r="BW60" i="58"/>
  <c r="BW46" i="58"/>
  <c r="BW32" i="58"/>
  <c r="BW18" i="58"/>
  <c r="BW4" i="58"/>
  <c r="AY288" i="58"/>
  <c r="AY274" i="58"/>
  <c r="AY260" i="58"/>
  <c r="AY246" i="58"/>
  <c r="AY231" i="58"/>
  <c r="AY216" i="58"/>
  <c r="AY202" i="58"/>
  <c r="AY188" i="58"/>
  <c r="AY174" i="58"/>
  <c r="AY160" i="58"/>
  <c r="AY145" i="58"/>
  <c r="AY130" i="58"/>
  <c r="AY116" i="58"/>
  <c r="AY102" i="58"/>
  <c r="AY88" i="58"/>
  <c r="AY74" i="58"/>
  <c r="AY60" i="58"/>
  <c r="AY46" i="58"/>
  <c r="AY32" i="58"/>
  <c r="AY18" i="58"/>
  <c r="AY4" i="58"/>
  <c r="X288" i="58"/>
  <c r="X274" i="58"/>
  <c r="X260" i="58"/>
  <c r="X246" i="58"/>
  <c r="X231" i="58"/>
  <c r="X216" i="58"/>
  <c r="X202" i="58"/>
  <c r="X188" i="58"/>
  <c r="X174" i="58"/>
  <c r="X160" i="58"/>
  <c r="X145" i="58"/>
  <c r="X130" i="58"/>
  <c r="X116" i="58"/>
  <c r="X102" i="58"/>
  <c r="X88" i="58"/>
  <c r="X74" i="58"/>
  <c r="X60" i="58"/>
  <c r="X46" i="58"/>
  <c r="X32" i="58"/>
  <c r="X18" i="58"/>
  <c r="X4" i="58"/>
  <c r="E3082" i="140"/>
  <c r="BG86" i="139"/>
  <c r="BG94" i="139"/>
  <c r="BG67" i="139"/>
  <c r="E3198" i="140" l="1"/>
  <c r="BG3" i="58"/>
  <c r="BE3" i="58"/>
  <c r="BW3" i="58"/>
  <c r="AY3" i="58"/>
  <c r="X3" i="58"/>
  <c r="D23" i="180"/>
  <c r="F23" i="180"/>
  <c r="H22" i="180"/>
  <c r="H20" i="180"/>
  <c r="H19" i="180"/>
  <c r="H18" i="180"/>
  <c r="H17" i="180"/>
  <c r="H16" i="180"/>
  <c r="H15" i="180"/>
  <c r="H14" i="180"/>
  <c r="H13" i="180"/>
  <c r="H12" i="180"/>
  <c r="H11" i="180"/>
  <c r="H10" i="180"/>
  <c r="H9" i="180"/>
  <c r="BG58" i="139"/>
  <c r="E3078" i="140"/>
  <c r="BG73" i="139"/>
  <c r="E3084" i="140"/>
  <c r="BG76" i="139"/>
  <c r="BG79" i="139"/>
  <c r="BG144" i="139"/>
  <c r="E3107" i="140"/>
  <c r="BG77" i="139"/>
  <c r="E3106" i="140"/>
  <c r="BG110" i="139"/>
  <c r="BF110" i="139"/>
  <c r="BG91" i="139"/>
  <c r="E3083" i="140"/>
  <c r="H3" i="180" l="1"/>
  <c r="H23" i="180"/>
  <c r="D156" i="139"/>
  <c r="DY147" i="139"/>
  <c r="DX147" i="139"/>
  <c r="DW147" i="139"/>
  <c r="DV147" i="139"/>
  <c r="DU147" i="139"/>
  <c r="DT147" i="139"/>
  <c r="DS147" i="139"/>
  <c r="DR147" i="139"/>
  <c r="DQ147" i="139"/>
  <c r="DP147" i="139"/>
  <c r="DO147" i="139"/>
  <c r="DN147" i="139"/>
  <c r="DL147" i="139"/>
  <c r="DK147" i="139"/>
  <c r="DJ147" i="139"/>
  <c r="DI147" i="139"/>
  <c r="DH147" i="139"/>
  <c r="DG147" i="139"/>
  <c r="DF147" i="139"/>
  <c r="DE147" i="139"/>
  <c r="DD147" i="139"/>
  <c r="DC147" i="139"/>
  <c r="DB147" i="139"/>
  <c r="DA147" i="139"/>
  <c r="DM147" i="139" s="1"/>
  <c r="CY147" i="139"/>
  <c r="CX147" i="139"/>
  <c r="CW147" i="139"/>
  <c r="CV147" i="139"/>
  <c r="CU147" i="139"/>
  <c r="CT147" i="139"/>
  <c r="CS147" i="139"/>
  <c r="CR147" i="139"/>
  <c r="CQ147" i="139"/>
  <c r="CP147" i="139"/>
  <c r="CO147" i="139"/>
  <c r="CN147" i="139"/>
  <c r="CL147" i="139"/>
  <c r="CK147" i="139"/>
  <c r="CJ147" i="139"/>
  <c r="CI147" i="139"/>
  <c r="CH147" i="139"/>
  <c r="CG147" i="139"/>
  <c r="CF147" i="139"/>
  <c r="CE147" i="139"/>
  <c r="CD147" i="139"/>
  <c r="CC147" i="139"/>
  <c r="CB147" i="139"/>
  <c r="CA147" i="139"/>
  <c r="BX147" i="139"/>
  <c r="BW147" i="139"/>
  <c r="BV147" i="139"/>
  <c r="BU147" i="139"/>
  <c r="BT147" i="139"/>
  <c r="BS147" i="139"/>
  <c r="BR147" i="139"/>
  <c r="BQ147" i="139"/>
  <c r="BP147" i="139"/>
  <c r="BO147" i="139"/>
  <c r="BN147" i="139"/>
  <c r="BM147" i="139"/>
  <c r="BJ147" i="139"/>
  <c r="BI147" i="139"/>
  <c r="BH147" i="139"/>
  <c r="BG147" i="139"/>
  <c r="BF147" i="139"/>
  <c r="BE147" i="139"/>
  <c r="BD147" i="139"/>
  <c r="BC147" i="139"/>
  <c r="BB147" i="139"/>
  <c r="BA147" i="139"/>
  <c r="AZ147" i="139"/>
  <c r="AY147" i="139"/>
  <c r="AV147" i="139"/>
  <c r="AU147" i="139"/>
  <c r="AT147" i="139"/>
  <c r="AS147" i="139"/>
  <c r="AR147" i="139"/>
  <c r="AQ147" i="139"/>
  <c r="AP147" i="139"/>
  <c r="AO147" i="139"/>
  <c r="AN147" i="139"/>
  <c r="AM147" i="139"/>
  <c r="AL147" i="139"/>
  <c r="AK147" i="139"/>
  <c r="AH147" i="139"/>
  <c r="AG147" i="139"/>
  <c r="AF147" i="139"/>
  <c r="AE147" i="139"/>
  <c r="AD147" i="139"/>
  <c r="AC147" i="139"/>
  <c r="AB147" i="139"/>
  <c r="AA147" i="139"/>
  <c r="Z147" i="139"/>
  <c r="Y147" i="139"/>
  <c r="X147" i="139"/>
  <c r="W147" i="139"/>
  <c r="F147" i="139"/>
  <c r="I147" i="139"/>
  <c r="DZ148" i="139"/>
  <c r="DM148" i="139"/>
  <c r="CZ148" i="139"/>
  <c r="CM148" i="139"/>
  <c r="BY148" i="139"/>
  <c r="BK148" i="139"/>
  <c r="AW148" i="139"/>
  <c r="AI148" i="139"/>
  <c r="U148" i="139"/>
  <c r="G148" i="139"/>
  <c r="CM147" i="139" l="1"/>
  <c r="CZ147" i="139"/>
  <c r="DZ147" i="139"/>
  <c r="N55" i="179"/>
  <c r="N54" i="179"/>
  <c r="N53" i="179"/>
  <c r="N52" i="179"/>
  <c r="N51" i="179"/>
  <c r="N50" i="179"/>
  <c r="N49" i="179"/>
  <c r="N48" i="179"/>
  <c r="N47" i="179"/>
  <c r="N46" i="179"/>
  <c r="N45" i="179"/>
  <c r="N44" i="179"/>
  <c r="N43" i="179"/>
  <c r="N42" i="179"/>
  <c r="N41" i="179"/>
  <c r="N40" i="179"/>
  <c r="N39" i="179"/>
  <c r="N38" i="179"/>
  <c r="N37" i="179"/>
  <c r="N36" i="179"/>
  <c r="N35" i="179"/>
  <c r="N34" i="179"/>
  <c r="N33" i="179"/>
  <c r="N32" i="179"/>
  <c r="N31" i="179"/>
  <c r="N30" i="179"/>
  <c r="N29" i="179"/>
  <c r="N28" i="179"/>
  <c r="N27" i="179"/>
  <c r="N26" i="179"/>
  <c r="N25" i="179"/>
  <c r="N24" i="179"/>
  <c r="N23" i="179"/>
  <c r="N22" i="179"/>
  <c r="N21" i="179"/>
  <c r="N20" i="179"/>
  <c r="N19" i="179"/>
  <c r="N18" i="179"/>
  <c r="N17" i="179"/>
  <c r="N16" i="179"/>
  <c r="N15" i="179"/>
  <c r="N14" i="179"/>
  <c r="N13" i="179"/>
  <c r="N12" i="179"/>
  <c r="N11" i="179"/>
  <c r="N10" i="179"/>
  <c r="N9" i="179"/>
  <c r="N8" i="179"/>
  <c r="N7" i="179"/>
  <c r="N6" i="179"/>
  <c r="N5" i="179"/>
  <c r="N4" i="179"/>
  <c r="N3" i="179"/>
  <c r="K55" i="179"/>
  <c r="L55" i="179" s="1"/>
  <c r="K54" i="179"/>
  <c r="L54" i="179" s="1"/>
  <c r="K53" i="179"/>
  <c r="L53" i="179" s="1"/>
  <c r="K52" i="179"/>
  <c r="L52" i="179" s="1"/>
  <c r="K51" i="179"/>
  <c r="L51" i="179" s="1"/>
  <c r="K50" i="179"/>
  <c r="L50" i="179" s="1"/>
  <c r="K49" i="179"/>
  <c r="L49" i="179" s="1"/>
  <c r="K48" i="179"/>
  <c r="L48" i="179" s="1"/>
  <c r="K47" i="179"/>
  <c r="L47" i="179" s="1"/>
  <c r="K46" i="179"/>
  <c r="L46" i="179" s="1"/>
  <c r="K45" i="179"/>
  <c r="L45" i="179" s="1"/>
  <c r="K44" i="179"/>
  <c r="L44" i="179" s="1"/>
  <c r="K43" i="179"/>
  <c r="L43" i="179" s="1"/>
  <c r="K42" i="179"/>
  <c r="L42" i="179" s="1"/>
  <c r="K41" i="179"/>
  <c r="L41" i="179" s="1"/>
  <c r="K40" i="179"/>
  <c r="L40" i="179" s="1"/>
  <c r="K39" i="179"/>
  <c r="L39" i="179" s="1"/>
  <c r="K38" i="179"/>
  <c r="L38" i="179" s="1"/>
  <c r="K37" i="179"/>
  <c r="L37" i="179" s="1"/>
  <c r="K36" i="179"/>
  <c r="L36" i="179" s="1"/>
  <c r="K35" i="179"/>
  <c r="L35" i="179" s="1"/>
  <c r="K34" i="179"/>
  <c r="L34" i="179" s="1"/>
  <c r="K33" i="179"/>
  <c r="L33" i="179" s="1"/>
  <c r="K32" i="179"/>
  <c r="L32" i="179" s="1"/>
  <c r="K31" i="179"/>
  <c r="L31" i="179" s="1"/>
  <c r="K30" i="179"/>
  <c r="L30" i="179" s="1"/>
  <c r="K29" i="179"/>
  <c r="L29" i="179" s="1"/>
  <c r="K28" i="179"/>
  <c r="L28" i="179" s="1"/>
  <c r="K27" i="179"/>
  <c r="L27" i="179" s="1"/>
  <c r="K26" i="179"/>
  <c r="L26" i="179" s="1"/>
  <c r="K25" i="179"/>
  <c r="L25" i="179" s="1"/>
  <c r="K24" i="179"/>
  <c r="L24" i="179" s="1"/>
  <c r="K23" i="179"/>
  <c r="L23" i="179" s="1"/>
  <c r="K22" i="179"/>
  <c r="L22" i="179" s="1"/>
  <c r="K21" i="179"/>
  <c r="L21" i="179" s="1"/>
  <c r="K20" i="179"/>
  <c r="L20" i="179" s="1"/>
  <c r="K19" i="179"/>
  <c r="L19" i="179" s="1"/>
  <c r="K18" i="179"/>
  <c r="L18" i="179" s="1"/>
  <c r="K17" i="179"/>
  <c r="L17" i="179" s="1"/>
  <c r="K16" i="179"/>
  <c r="L16" i="179" s="1"/>
  <c r="K15" i="179"/>
  <c r="L15" i="179" s="1"/>
  <c r="K14" i="179"/>
  <c r="L14" i="179" s="1"/>
  <c r="K13" i="179"/>
  <c r="L13" i="179" s="1"/>
  <c r="K12" i="179"/>
  <c r="L12" i="179" s="1"/>
  <c r="K11" i="179"/>
  <c r="L11" i="179" s="1"/>
  <c r="K10" i="179"/>
  <c r="L10" i="179" s="1"/>
  <c r="K9" i="179"/>
  <c r="L9" i="179" s="1"/>
  <c r="K8" i="179"/>
  <c r="L8" i="179" s="1"/>
  <c r="K7" i="179"/>
  <c r="L7" i="179" s="1"/>
  <c r="K6" i="179"/>
  <c r="L6" i="179" s="1"/>
  <c r="K5" i="179"/>
  <c r="L5" i="179" s="1"/>
  <c r="K4" i="179"/>
  <c r="L4" i="179" s="1"/>
  <c r="K3" i="179"/>
  <c r="L3" i="179" s="1"/>
  <c r="A22" i="179"/>
  <c r="A21" i="179"/>
  <c r="A20" i="179"/>
  <c r="A19" i="179"/>
  <c r="A18" i="179"/>
  <c r="A32" i="179"/>
  <c r="A31" i="179"/>
  <c r="A30" i="179"/>
  <c r="A29" i="179"/>
  <c r="A28" i="179"/>
  <c r="A27" i="179"/>
  <c r="A26" i="179"/>
  <c r="A25" i="179"/>
  <c r="A24" i="179"/>
  <c r="A23" i="179"/>
  <c r="A45" i="179"/>
  <c r="A44" i="179"/>
  <c r="A43" i="179"/>
  <c r="A42" i="179"/>
  <c r="A17" i="179"/>
  <c r="A16" i="179"/>
  <c r="A15" i="179"/>
  <c r="A14" i="179"/>
  <c r="A13" i="179"/>
  <c r="A55" i="179"/>
  <c r="A54" i="179"/>
  <c r="A53" i="179"/>
  <c r="A52" i="179"/>
  <c r="A51" i="179"/>
  <c r="A50" i="179"/>
  <c r="A49" i="179"/>
  <c r="A48" i="179"/>
  <c r="A47" i="179"/>
  <c r="A46" i="179"/>
  <c r="A41" i="179"/>
  <c r="A40" i="179"/>
  <c r="A39" i="179"/>
  <c r="A38" i="179"/>
  <c r="A37" i="179"/>
  <c r="A36" i="179"/>
  <c r="A35" i="179"/>
  <c r="A34" i="179"/>
  <c r="A33" i="179"/>
  <c r="A12" i="179"/>
  <c r="A11" i="179"/>
  <c r="A10" i="179"/>
  <c r="A9" i="179"/>
  <c r="A8" i="179"/>
  <c r="A7" i="179"/>
  <c r="A6" i="179"/>
  <c r="A5" i="179"/>
  <c r="A4" i="179"/>
  <c r="A3" i="179"/>
  <c r="E3090" i="140" l="1"/>
  <c r="BB134" i="58"/>
  <c r="U134" i="58"/>
  <c r="T134" i="58" l="1"/>
  <c r="E3087" i="140"/>
  <c r="BG71" i="139"/>
  <c r="BG88" i="139"/>
  <c r="BG74" i="139"/>
  <c r="BO146" i="139"/>
  <c r="BN146" i="139"/>
  <c r="BJ146" i="139"/>
  <c r="BI146" i="139"/>
  <c r="BG146" i="139"/>
  <c r="BF67" i="139"/>
  <c r="E3013" i="140"/>
  <c r="E2997" i="140"/>
  <c r="E3015" i="140"/>
  <c r="BF76" i="139"/>
  <c r="BF58" i="139"/>
  <c r="E3038" i="140"/>
  <c r="BF73" i="139"/>
  <c r="BF79" i="139"/>
  <c r="E3023" i="140"/>
  <c r="E3035" i="140"/>
  <c r="E3034" i="140"/>
  <c r="AF3" i="177"/>
  <c r="AE3" i="177" s="1"/>
  <c r="AF2" i="177"/>
  <c r="AE2" i="177" s="1"/>
  <c r="AC111" i="58"/>
  <c r="CM146" i="139" l="1"/>
  <c r="J11" i="156"/>
  <c r="J8" i="156"/>
  <c r="J10" i="156"/>
  <c r="J9" i="156"/>
  <c r="BF27" i="139"/>
  <c r="E2976" i="140"/>
  <c r="BF86" i="139"/>
  <c r="E3019" i="140"/>
  <c r="BF77" i="139"/>
  <c r="BF35" i="139"/>
  <c r="E2985" i="140"/>
  <c r="BF141" i="139"/>
  <c r="BF94" i="139"/>
  <c r="BF71" i="139"/>
  <c r="BF74" i="139"/>
  <c r="E3009" i="140"/>
  <c r="BC107" i="139"/>
  <c r="BF66" i="139"/>
  <c r="E3001" i="140"/>
  <c r="E3008" i="140"/>
  <c r="E3007" i="140"/>
  <c r="BF130" i="139"/>
  <c r="BF53" i="139"/>
  <c r="E3017" i="140"/>
  <c r="E2969" i="140"/>
  <c r="BE73" i="139"/>
  <c r="BE94" i="139"/>
  <c r="BE79" i="139"/>
  <c r="E2954" i="140"/>
  <c r="BE76" i="139"/>
  <c r="BE58" i="139"/>
  <c r="E2950" i="140"/>
  <c r="E2944" i="140"/>
  <c r="E2941" i="140"/>
  <c r="BE88" i="139"/>
  <c r="BE40" i="139"/>
  <c r="E2953" i="140"/>
  <c r="BE130" i="139"/>
  <c r="BE67" i="139"/>
  <c r="E2948" i="140"/>
  <c r="E2962" i="140"/>
  <c r="BE114" i="139"/>
  <c r="E2932" i="140"/>
  <c r="BE121" i="139"/>
  <c r="D2955" i="140"/>
  <c r="BE10" i="139"/>
  <c r="BE107" i="139"/>
  <c r="BE86" i="139"/>
  <c r="A157" i="139"/>
  <c r="A158" i="139"/>
  <c r="BD107" i="139"/>
  <c r="E2904" i="140"/>
  <c r="E2886" i="140"/>
  <c r="BD73" i="139"/>
  <c r="BD76" i="139"/>
  <c r="E2875" i="140"/>
  <c r="BD58" i="139"/>
  <c r="E2887" i="140"/>
  <c r="DZ9" i="139"/>
  <c r="DM9" i="139"/>
  <c r="CZ9" i="139"/>
  <c r="CM9" i="139"/>
  <c r="BY9" i="139"/>
  <c r="BK9" i="139"/>
  <c r="AW9" i="139"/>
  <c r="AI9" i="139"/>
  <c r="U9" i="139"/>
  <c r="G9" i="139"/>
  <c r="E2903" i="140"/>
  <c r="BD110" i="139"/>
  <c r="E2900" i="140"/>
  <c r="BD112" i="139"/>
  <c r="BD130" i="139"/>
  <c r="BD77" i="139"/>
  <c r="BD88" i="139"/>
  <c r="E2865" i="140"/>
  <c r="E2879" i="140"/>
  <c r="E2844" i="140"/>
  <c r="BD34" i="139"/>
  <c r="BK34" i="139" s="1"/>
  <c r="BD91" i="139"/>
  <c r="E2874" i="140"/>
  <c r="E2878" i="140"/>
  <c r="BD79" i="139"/>
  <c r="BD122" i="139"/>
  <c r="DZ121" i="139"/>
  <c r="DM121" i="139"/>
  <c r="CZ121" i="139"/>
  <c r="CM121" i="139"/>
  <c r="BY121" i="139"/>
  <c r="BC121" i="139"/>
  <c r="AW121" i="139"/>
  <c r="AI121" i="139"/>
  <c r="U121" i="139"/>
  <c r="G121" i="139"/>
  <c r="BC86" i="139"/>
  <c r="BD37" i="139"/>
  <c r="E2847" i="140"/>
  <c r="E2869" i="140"/>
  <c r="BD51" i="139"/>
  <c r="BC27" i="139"/>
  <c r="BC94" i="139"/>
  <c r="E2758" i="140"/>
  <c r="BD94" i="139"/>
  <c r="E2868" i="140"/>
  <c r="E2867" i="140"/>
  <c r="BD67" i="139"/>
  <c r="E2873" i="140"/>
  <c r="E2857" i="140"/>
  <c r="BD72" i="139"/>
  <c r="BD10" i="139"/>
  <c r="BD86" i="139"/>
  <c r="BD142" i="139"/>
  <c r="BD39" i="139"/>
  <c r="BD35" i="139"/>
  <c r="DZ35" i="139"/>
  <c r="DM35" i="139"/>
  <c r="CZ35" i="139"/>
  <c r="CM35" i="139"/>
  <c r="BY35" i="139"/>
  <c r="AW35" i="139"/>
  <c r="AI35" i="139"/>
  <c r="U35" i="139"/>
  <c r="G35" i="139"/>
  <c r="DZ34" i="139"/>
  <c r="DM34" i="139"/>
  <c r="CZ34" i="139"/>
  <c r="CM34" i="139"/>
  <c r="BY34" i="139"/>
  <c r="AW34" i="139"/>
  <c r="AI34" i="139"/>
  <c r="U34" i="139"/>
  <c r="G34" i="139"/>
  <c r="E2845" i="140"/>
  <c r="E2849" i="140"/>
  <c r="BK35" i="139" l="1"/>
  <c r="BK121" i="139"/>
  <c r="E3039" i="140"/>
  <c r="E3125" i="140"/>
  <c r="E2971" i="140"/>
  <c r="D3125" i="140"/>
  <c r="D3039" i="140"/>
  <c r="D2971" i="140"/>
  <c r="BC67" i="139"/>
  <c r="E2794" i="140"/>
  <c r="E2790" i="140"/>
  <c r="BC58" i="139"/>
  <c r="BC73" i="139"/>
  <c r="E2801" i="140"/>
  <c r="BC144" i="139"/>
  <c r="BC142" i="139"/>
  <c r="E2778" i="140"/>
  <c r="BC110" i="139"/>
  <c r="E2821" i="140"/>
  <c r="BC74" i="139"/>
  <c r="BC88" i="139"/>
  <c r="E2786" i="140"/>
  <c r="BC54" i="139"/>
  <c r="BC56" i="139"/>
  <c r="BC76" i="139"/>
  <c r="E2796" i="140"/>
  <c r="E2798" i="140"/>
  <c r="BC79" i="139"/>
  <c r="E2800" i="140"/>
  <c r="BC90" i="139"/>
  <c r="E2811" i="140"/>
  <c r="E2795" i="140"/>
  <c r="BC91" i="139"/>
  <c r="E2809" i="140"/>
  <c r="E2789" i="140"/>
  <c r="E2788" i="140"/>
  <c r="BC130" i="139"/>
  <c r="E2802" i="140"/>
  <c r="BC77" i="139"/>
  <c r="BC80" i="139" l="1"/>
  <c r="E2748" i="140"/>
  <c r="BB79" i="139"/>
  <c r="BB88" i="139"/>
  <c r="BB67" i="139"/>
  <c r="BB144" i="139"/>
  <c r="E2712" i="140"/>
  <c r="E2731" i="140"/>
  <c r="BB58" i="139"/>
  <c r="BB141" i="139"/>
  <c r="BB73" i="139"/>
  <c r="BB139" i="58"/>
  <c r="U139" i="58"/>
  <c r="BB130" i="139"/>
  <c r="BB91" i="139"/>
  <c r="E2713" i="140"/>
  <c r="BB86" i="139"/>
  <c r="E2696" i="140"/>
  <c r="BB96" i="139"/>
  <c r="DZ19" i="139"/>
  <c r="DM19" i="139"/>
  <c r="CZ19" i="139"/>
  <c r="CM19" i="139"/>
  <c r="BY19" i="139"/>
  <c r="BK19" i="139"/>
  <c r="AW19" i="139"/>
  <c r="AI19" i="139"/>
  <c r="U19" i="139"/>
  <c r="G19" i="139"/>
  <c r="BB106" i="139"/>
  <c r="DZ106" i="139"/>
  <c r="DM106" i="139"/>
  <c r="CZ106" i="139"/>
  <c r="CM106" i="139"/>
  <c r="BY106" i="139"/>
  <c r="BK106" i="139"/>
  <c r="AW106" i="139"/>
  <c r="AI106" i="139"/>
  <c r="U106" i="139"/>
  <c r="G106" i="139"/>
  <c r="E2727" i="140"/>
  <c r="BB69" i="139"/>
  <c r="BB74" i="139"/>
  <c r="BB77" i="139"/>
  <c r="E2714" i="140"/>
  <c r="L36" i="177"/>
  <c r="L35" i="177"/>
  <c r="L34" i="177"/>
  <c r="L33" i="177"/>
  <c r="L32" i="177"/>
  <c r="L26" i="177"/>
  <c r="L15" i="177"/>
  <c r="L14" i="177"/>
  <c r="L13" i="177"/>
  <c r="L10" i="177"/>
  <c r="L8" i="177"/>
  <c r="BB146" i="139"/>
  <c r="BB133" i="139"/>
  <c r="BB90" i="139"/>
  <c r="R3" i="174"/>
  <c r="R2" i="174"/>
  <c r="N72" i="174"/>
  <c r="M72" i="174"/>
  <c r="L72" i="174"/>
  <c r="K72" i="174"/>
  <c r="J72" i="174"/>
  <c r="I72" i="174"/>
  <c r="H72" i="174"/>
  <c r="G72" i="174"/>
  <c r="F72" i="174"/>
  <c r="E72" i="174"/>
  <c r="N69" i="174"/>
  <c r="M69" i="174"/>
  <c r="L69" i="174"/>
  <c r="K69" i="174"/>
  <c r="J69" i="174"/>
  <c r="I69" i="174"/>
  <c r="H69" i="174"/>
  <c r="G69" i="174"/>
  <c r="F69" i="174"/>
  <c r="E69" i="174"/>
  <c r="N66" i="174"/>
  <c r="M66" i="174"/>
  <c r="L66" i="174"/>
  <c r="K66" i="174"/>
  <c r="J66" i="174"/>
  <c r="I66" i="174"/>
  <c r="H66" i="174"/>
  <c r="G66" i="174"/>
  <c r="F66" i="174"/>
  <c r="E66" i="174"/>
  <c r="N63" i="174"/>
  <c r="M63" i="174"/>
  <c r="L63" i="174"/>
  <c r="K63" i="174"/>
  <c r="J63" i="174"/>
  <c r="I63" i="174"/>
  <c r="H63" i="174"/>
  <c r="G63" i="174"/>
  <c r="F63" i="174"/>
  <c r="E63" i="174"/>
  <c r="N60" i="174"/>
  <c r="M60" i="174"/>
  <c r="L60" i="174"/>
  <c r="K60" i="174"/>
  <c r="J60" i="174"/>
  <c r="I60" i="174"/>
  <c r="H60" i="174"/>
  <c r="G60" i="174"/>
  <c r="F60" i="174"/>
  <c r="E60" i="174"/>
  <c r="N57" i="174"/>
  <c r="M57" i="174"/>
  <c r="L57" i="174"/>
  <c r="K57" i="174"/>
  <c r="J57" i="174"/>
  <c r="I57" i="174"/>
  <c r="H57" i="174"/>
  <c r="G57" i="174"/>
  <c r="F57" i="174"/>
  <c r="E57" i="174"/>
  <c r="N54" i="174"/>
  <c r="M54" i="174"/>
  <c r="L54" i="174"/>
  <c r="K54" i="174"/>
  <c r="J54" i="174"/>
  <c r="I54" i="174"/>
  <c r="H54" i="174"/>
  <c r="G54" i="174"/>
  <c r="F54" i="174"/>
  <c r="E54" i="174"/>
  <c r="N51" i="174"/>
  <c r="M51" i="174"/>
  <c r="L51" i="174"/>
  <c r="K51" i="174"/>
  <c r="J51" i="174"/>
  <c r="I51" i="174"/>
  <c r="H51" i="174"/>
  <c r="G51" i="174"/>
  <c r="F51" i="174"/>
  <c r="E51" i="174"/>
  <c r="N48" i="174"/>
  <c r="M48" i="174"/>
  <c r="L48" i="174"/>
  <c r="K48" i="174"/>
  <c r="J48" i="174"/>
  <c r="I48" i="174"/>
  <c r="H48" i="174"/>
  <c r="G48" i="174"/>
  <c r="F48" i="174"/>
  <c r="E48" i="174"/>
  <c r="N33" i="174"/>
  <c r="M33" i="174"/>
  <c r="L33" i="174"/>
  <c r="K33" i="174"/>
  <c r="J33" i="174"/>
  <c r="I33" i="174"/>
  <c r="H33" i="174"/>
  <c r="G33" i="174"/>
  <c r="F33" i="174"/>
  <c r="E33" i="174"/>
  <c r="N21" i="174"/>
  <c r="F21" i="174"/>
  <c r="N20" i="174"/>
  <c r="M20" i="174"/>
  <c r="L20" i="174"/>
  <c r="K20" i="174"/>
  <c r="J20" i="174"/>
  <c r="I20" i="174"/>
  <c r="H20" i="174"/>
  <c r="G20" i="174"/>
  <c r="F20" i="174"/>
  <c r="E20" i="174"/>
  <c r="H7" i="174"/>
  <c r="H22" i="174" s="1"/>
  <c r="N6" i="174"/>
  <c r="N7" i="174" s="1"/>
  <c r="M6" i="174"/>
  <c r="M7" i="174" s="1"/>
  <c r="L6" i="174"/>
  <c r="L21" i="174" s="1"/>
  <c r="K6" i="174"/>
  <c r="K21" i="174" s="1"/>
  <c r="J6" i="174"/>
  <c r="J34" i="174" s="1"/>
  <c r="I6" i="174"/>
  <c r="I21" i="174" s="1"/>
  <c r="H6" i="174"/>
  <c r="H34" i="174" s="1"/>
  <c r="G6" i="174"/>
  <c r="G34" i="174" s="1"/>
  <c r="F6" i="174"/>
  <c r="F7" i="174" s="1"/>
  <c r="E6" i="174"/>
  <c r="E7" i="174" s="1"/>
  <c r="T139" i="58" l="1"/>
  <c r="E35" i="174"/>
  <c r="E22" i="174"/>
  <c r="E8" i="174"/>
  <c r="M35" i="174"/>
  <c r="M22" i="174"/>
  <c r="M8" i="174"/>
  <c r="F35" i="174"/>
  <c r="F22" i="174"/>
  <c r="F8" i="174"/>
  <c r="N35" i="174"/>
  <c r="N8" i="174"/>
  <c r="N22" i="174"/>
  <c r="G7" i="174"/>
  <c r="E21" i="174"/>
  <c r="M21" i="174"/>
  <c r="I34" i="174"/>
  <c r="I7" i="174"/>
  <c r="G21" i="174"/>
  <c r="K34" i="174"/>
  <c r="H35" i="174"/>
  <c r="J7" i="174"/>
  <c r="H8" i="174"/>
  <c r="H21" i="174"/>
  <c r="L34" i="174"/>
  <c r="K7" i="174"/>
  <c r="E34" i="174"/>
  <c r="M34" i="174"/>
  <c r="L7" i="174"/>
  <c r="J21" i="174"/>
  <c r="F34" i="174"/>
  <c r="N34" i="174"/>
  <c r="H23" i="174" l="1"/>
  <c r="H9" i="174"/>
  <c r="H36" i="174"/>
  <c r="M23" i="174"/>
  <c r="M9" i="174"/>
  <c r="M36" i="174"/>
  <c r="J22" i="174"/>
  <c r="J8" i="174"/>
  <c r="J35" i="174"/>
  <c r="G22" i="174"/>
  <c r="G8" i="174"/>
  <c r="G35" i="174"/>
  <c r="L8" i="174"/>
  <c r="L35" i="174"/>
  <c r="L22" i="174"/>
  <c r="N23" i="174"/>
  <c r="N36" i="174"/>
  <c r="N9" i="174"/>
  <c r="E23" i="174"/>
  <c r="E9" i="174"/>
  <c r="E36" i="174"/>
  <c r="K8" i="174"/>
  <c r="K35" i="174"/>
  <c r="K22" i="174"/>
  <c r="I22" i="174"/>
  <c r="I8" i="174"/>
  <c r="I35" i="174"/>
  <c r="F23" i="174"/>
  <c r="F9" i="174"/>
  <c r="F36" i="174"/>
  <c r="F24" i="174" l="1"/>
  <c r="F10" i="174"/>
  <c r="F37" i="174"/>
  <c r="L36" i="174"/>
  <c r="L23" i="174"/>
  <c r="L9" i="174"/>
  <c r="M24" i="174"/>
  <c r="M10" i="174"/>
  <c r="M37" i="174"/>
  <c r="E24" i="174"/>
  <c r="E10" i="174"/>
  <c r="E37" i="174"/>
  <c r="J9" i="174"/>
  <c r="J23" i="174"/>
  <c r="J36" i="174"/>
  <c r="K36" i="174"/>
  <c r="K23" i="174"/>
  <c r="K9" i="174"/>
  <c r="G23" i="174"/>
  <c r="G9" i="174"/>
  <c r="G36" i="174"/>
  <c r="I9" i="174"/>
  <c r="I36" i="174"/>
  <c r="I23" i="174"/>
  <c r="N24" i="174"/>
  <c r="N10" i="174"/>
  <c r="N37" i="174"/>
  <c r="H10" i="174"/>
  <c r="H37" i="174"/>
  <c r="H24" i="174"/>
  <c r="I37" i="174" l="1"/>
  <c r="I24" i="174"/>
  <c r="I10" i="174"/>
  <c r="H38" i="174"/>
  <c r="H11" i="174"/>
  <c r="H25" i="174"/>
  <c r="L24" i="174"/>
  <c r="L10" i="174"/>
  <c r="L37" i="174"/>
  <c r="M11" i="174"/>
  <c r="M38" i="174"/>
  <c r="M25" i="174"/>
  <c r="G10" i="174"/>
  <c r="G37" i="174"/>
  <c r="G24" i="174"/>
  <c r="N11" i="174"/>
  <c r="N38" i="174"/>
  <c r="N25" i="174"/>
  <c r="K24" i="174"/>
  <c r="K10" i="174"/>
  <c r="K37" i="174"/>
  <c r="F11" i="174"/>
  <c r="F25" i="174"/>
  <c r="F38" i="174"/>
  <c r="J37" i="174"/>
  <c r="J24" i="174"/>
  <c r="J10" i="174"/>
  <c r="E11" i="174"/>
  <c r="E38" i="174"/>
  <c r="E25" i="174"/>
  <c r="N39" i="174" l="1"/>
  <c r="N26" i="174"/>
  <c r="N12" i="174"/>
  <c r="L25" i="174"/>
  <c r="L11" i="174"/>
  <c r="L38" i="174"/>
  <c r="F39" i="174"/>
  <c r="F12" i="174"/>
  <c r="F26" i="174"/>
  <c r="G38" i="174"/>
  <c r="G25" i="174"/>
  <c r="G11" i="174"/>
  <c r="H39" i="174"/>
  <c r="H26" i="174"/>
  <c r="H12" i="174"/>
  <c r="E39" i="174"/>
  <c r="E26" i="174"/>
  <c r="E12" i="174"/>
  <c r="K25" i="174"/>
  <c r="K11" i="174"/>
  <c r="K38" i="174"/>
  <c r="J25" i="174"/>
  <c r="J38" i="174"/>
  <c r="J11" i="174"/>
  <c r="I25" i="174"/>
  <c r="I11" i="174"/>
  <c r="I38" i="174"/>
  <c r="M39" i="174"/>
  <c r="M26" i="174"/>
  <c r="M12" i="174"/>
  <c r="J26" i="174" l="1"/>
  <c r="J12" i="174"/>
  <c r="J39" i="174"/>
  <c r="F40" i="174"/>
  <c r="F27" i="174"/>
  <c r="F13" i="174"/>
  <c r="H27" i="174"/>
  <c r="H13" i="174"/>
  <c r="H40" i="174"/>
  <c r="M27" i="174"/>
  <c r="M13" i="174"/>
  <c r="M40" i="174"/>
  <c r="L12" i="174"/>
  <c r="L39" i="174"/>
  <c r="L26" i="174"/>
  <c r="K12" i="174"/>
  <c r="K39" i="174"/>
  <c r="K26" i="174"/>
  <c r="G26" i="174"/>
  <c r="G12" i="174"/>
  <c r="G39" i="174"/>
  <c r="N27" i="174"/>
  <c r="N40" i="174"/>
  <c r="N13" i="174"/>
  <c r="I26" i="174"/>
  <c r="I12" i="174"/>
  <c r="I39" i="174"/>
  <c r="E27" i="174"/>
  <c r="E13" i="174"/>
  <c r="E40" i="174"/>
  <c r="N28" i="174" l="1"/>
  <c r="N14" i="174"/>
  <c r="N41" i="174"/>
  <c r="K40" i="174"/>
  <c r="K27" i="174"/>
  <c r="K13" i="174"/>
  <c r="H14" i="174"/>
  <c r="H28" i="174"/>
  <c r="H41" i="174"/>
  <c r="F28" i="174"/>
  <c r="F14" i="174"/>
  <c r="F41" i="174"/>
  <c r="E28" i="174"/>
  <c r="E14" i="174"/>
  <c r="E41" i="174"/>
  <c r="L40" i="174"/>
  <c r="L27" i="174"/>
  <c r="L13" i="174"/>
  <c r="G27" i="174"/>
  <c r="G13" i="174"/>
  <c r="G40" i="174"/>
  <c r="M28" i="174"/>
  <c r="M14" i="174"/>
  <c r="M41" i="174"/>
  <c r="I13" i="174"/>
  <c r="I40" i="174"/>
  <c r="I27" i="174"/>
  <c r="J13" i="174"/>
  <c r="J40" i="174"/>
  <c r="J27" i="174"/>
  <c r="K28" i="174" l="1"/>
  <c r="K14" i="174"/>
  <c r="K41" i="174"/>
  <c r="H42" i="174"/>
  <c r="H29" i="174"/>
  <c r="E42" i="174"/>
  <c r="E29" i="174"/>
  <c r="J41" i="174"/>
  <c r="J14" i="174"/>
  <c r="J28" i="174"/>
  <c r="M42" i="174"/>
  <c r="M29" i="174"/>
  <c r="F42" i="174"/>
  <c r="F29" i="174"/>
  <c r="L41" i="174"/>
  <c r="L28" i="174"/>
  <c r="L14" i="174"/>
  <c r="N29" i="174"/>
  <c r="N42" i="174"/>
  <c r="G14" i="174"/>
  <c r="G41" i="174"/>
  <c r="G28" i="174"/>
  <c r="I41" i="174"/>
  <c r="I28" i="174"/>
  <c r="I14" i="174"/>
  <c r="G42" i="174" l="1"/>
  <c r="G29" i="174"/>
  <c r="K29" i="174"/>
  <c r="K42" i="174"/>
  <c r="I29" i="174"/>
  <c r="I42" i="174"/>
  <c r="L29" i="174"/>
  <c r="L42" i="174"/>
  <c r="J29" i="174"/>
  <c r="J42" i="174"/>
  <c r="BA67" i="139" l="1"/>
  <c r="E2646" i="140"/>
  <c r="E2906" i="140"/>
  <c r="E2773" i="140"/>
  <c r="E2831" i="140" s="1"/>
  <c r="E2692" i="140"/>
  <c r="D2754" i="140" s="1"/>
  <c r="BB141" i="58"/>
  <c r="BA79" i="139"/>
  <c r="BA58" i="139"/>
  <c r="BA88" i="139"/>
  <c r="BA110" i="139"/>
  <c r="BA73" i="139"/>
  <c r="E2648" i="140"/>
  <c r="BA76" i="139"/>
  <c r="BA90" i="139"/>
  <c r="D2666" i="140"/>
  <c r="BA86" i="139"/>
  <c r="BA107" i="139"/>
  <c r="BA91" i="139"/>
  <c r="E2649" i="140"/>
  <c r="BA71" i="139"/>
  <c r="E2661" i="140"/>
  <c r="E2645" i="140"/>
  <c r="BA65" i="139"/>
  <c r="E2653" i="140"/>
  <c r="BA72" i="139"/>
  <c r="BA146" i="139"/>
  <c r="E2651" i="140"/>
  <c r="D2831" i="140" l="1"/>
  <c r="D2906" i="140"/>
  <c r="E2754" i="140"/>
  <c r="U141" i="58"/>
  <c r="T141" i="58" s="1"/>
  <c r="BA70" i="139"/>
  <c r="E2640" i="140"/>
  <c r="E2641" i="140"/>
  <c r="BA94" i="139"/>
  <c r="E2629" i="140"/>
  <c r="E2609" i="140"/>
  <c r="AM288" i="58"/>
  <c r="AM274" i="58"/>
  <c r="AM260" i="58"/>
  <c r="AM246" i="58"/>
  <c r="AM231" i="58"/>
  <c r="AM216" i="58"/>
  <c r="AM202" i="58"/>
  <c r="AM188" i="58"/>
  <c r="AM174" i="58"/>
  <c r="AM160" i="58"/>
  <c r="AM145" i="58"/>
  <c r="AM130" i="58"/>
  <c r="AM116" i="58"/>
  <c r="AM102" i="58"/>
  <c r="AM88" i="58"/>
  <c r="AM74" i="58"/>
  <c r="AM60" i="58"/>
  <c r="AM46" i="58"/>
  <c r="AM32" i="58"/>
  <c r="AM18" i="58"/>
  <c r="AM4" i="58"/>
  <c r="E2601" i="140"/>
  <c r="AZ79" i="139"/>
  <c r="AZ88" i="139"/>
  <c r="E2553" i="140"/>
  <c r="AZ58" i="139"/>
  <c r="E2599" i="140"/>
  <c r="AZ86" i="139"/>
  <c r="AZ76" i="139"/>
  <c r="E2558" i="140"/>
  <c r="DZ11" i="139"/>
  <c r="DM11" i="139"/>
  <c r="CZ11" i="139"/>
  <c r="CM11" i="139"/>
  <c r="BY11" i="139"/>
  <c r="BK11" i="139"/>
  <c r="AW11" i="139"/>
  <c r="AI11" i="139"/>
  <c r="U11" i="139"/>
  <c r="G11" i="139"/>
  <c r="G18" i="139"/>
  <c r="U18" i="139"/>
  <c r="AI18" i="139"/>
  <c r="AW18" i="139"/>
  <c r="BK18" i="139"/>
  <c r="BY18" i="139"/>
  <c r="CM18" i="139"/>
  <c r="CZ18" i="139"/>
  <c r="DM18" i="139"/>
  <c r="DZ18" i="139"/>
  <c r="AZ130" i="139"/>
  <c r="AZ94" i="139"/>
  <c r="AZ77" i="139"/>
  <c r="AM3" i="58" l="1"/>
  <c r="AZ67" i="139"/>
  <c r="E2556" i="140"/>
  <c r="AZ107" i="139"/>
  <c r="AZ153" i="139" l="1"/>
  <c r="E2540" i="140"/>
  <c r="E2574" i="140"/>
  <c r="DZ14" i="139"/>
  <c r="DM14" i="139"/>
  <c r="CZ14" i="139"/>
  <c r="CM14" i="139"/>
  <c r="BY14" i="139"/>
  <c r="AW14" i="139"/>
  <c r="AI14" i="139"/>
  <c r="U14" i="139"/>
  <c r="G14" i="139"/>
  <c r="AZ59" i="139"/>
  <c r="E2581" i="140"/>
  <c r="E2572" i="140"/>
  <c r="AZ42" i="139"/>
  <c r="E2531" i="140"/>
  <c r="E2580" i="140"/>
  <c r="AZ73" i="139"/>
  <c r="E2577" i="140"/>
  <c r="E2559" i="140"/>
  <c r="BA3" i="58"/>
  <c r="AY15" i="139"/>
  <c r="AZ39" i="139"/>
  <c r="E2530" i="140"/>
  <c r="AY153" i="139"/>
  <c r="E2625" i="140"/>
  <c r="E2673" i="140" s="1"/>
  <c r="E2534" i="140"/>
  <c r="AY79" i="139"/>
  <c r="E2501" i="140"/>
  <c r="AY73" i="139"/>
  <c r="AY90" i="139"/>
  <c r="D2673" i="140" l="1"/>
  <c r="D2605" i="140"/>
  <c r="E2605" i="140"/>
  <c r="AY91" i="139"/>
  <c r="E2493" i="140"/>
  <c r="AY88" i="139"/>
  <c r="AY58" i="139"/>
  <c r="E2475" i="140"/>
  <c r="AY67" i="139"/>
  <c r="E2478" i="140"/>
  <c r="E2462" i="140"/>
  <c r="E2480" i="140"/>
  <c r="AY76" i="139"/>
  <c r="DZ151" i="139" l="1"/>
  <c r="DM151" i="139"/>
  <c r="CZ151" i="139"/>
  <c r="CM151" i="139"/>
  <c r="BY151" i="139"/>
  <c r="AY130" i="139"/>
  <c r="AY40" i="139"/>
  <c r="DZ149" i="139"/>
  <c r="DM149" i="139"/>
  <c r="CZ149" i="139"/>
  <c r="AY70" i="139"/>
  <c r="E2482" i="140"/>
  <c r="AY44" i="139"/>
  <c r="E2483" i="140"/>
  <c r="E2458" i="140"/>
  <c r="AV144" i="139"/>
  <c r="AV79" i="139"/>
  <c r="E2373" i="140"/>
  <c r="AV130" i="139"/>
  <c r="AV146" i="139"/>
  <c r="AV151" i="139"/>
  <c r="E2392" i="140"/>
  <c r="AV67" i="139"/>
  <c r="AV58" i="139"/>
  <c r="E2376" i="140"/>
  <c r="AV13" i="139"/>
  <c r="AV43" i="139"/>
  <c r="E2370" i="140"/>
  <c r="E2513" i="140" l="1"/>
  <c r="D2513" i="140"/>
  <c r="AV94" i="139" l="1"/>
  <c r="AV83" i="139" l="1"/>
  <c r="E2421" i="140"/>
  <c r="E2394" i="140"/>
  <c r="AV77" i="139"/>
  <c r="AV86" i="139"/>
  <c r="AV73" i="139"/>
  <c r="E2372" i="140"/>
  <c r="E2357" i="140"/>
  <c r="AV30" i="139"/>
  <c r="AV7" i="139"/>
  <c r="AW83" i="139" l="1"/>
  <c r="DZ83" i="139"/>
  <c r="DM83" i="139"/>
  <c r="CZ83" i="139"/>
  <c r="CM83" i="139"/>
  <c r="BY83" i="139"/>
  <c r="BK83" i="139"/>
  <c r="AI83" i="139"/>
  <c r="U83" i="139"/>
  <c r="G83" i="139"/>
  <c r="A160" i="139"/>
  <c r="A159" i="139"/>
  <c r="A156" i="139"/>
  <c r="A154" i="139"/>
  <c r="A153" i="139"/>
  <c r="AV107" i="139"/>
  <c r="AV74" i="139"/>
  <c r="AV88" i="139"/>
  <c r="AV56" i="139"/>
  <c r="AV54" i="139"/>
  <c r="AV76" i="139"/>
  <c r="AU58" i="139" l="1"/>
  <c r="E2296" i="140"/>
  <c r="AU79" i="139"/>
  <c r="AU141" i="139"/>
  <c r="AU86" i="139"/>
  <c r="AU136" i="139"/>
  <c r="E2325" i="140"/>
  <c r="AU144" i="139" l="1"/>
  <c r="AU130" i="139"/>
  <c r="AU110" i="139"/>
  <c r="E2344" i="140"/>
  <c r="AU67" i="139"/>
  <c r="E2312" i="140"/>
  <c r="E2341" i="140"/>
  <c r="AU76" i="139"/>
  <c r="E2320" i="140"/>
  <c r="E2338" i="140"/>
  <c r="E2336" i="140"/>
  <c r="AU88" i="139"/>
  <c r="AU85" i="139"/>
  <c r="E2334" i="140"/>
  <c r="AU90" i="139" l="1"/>
  <c r="AU74" i="139"/>
  <c r="AU13" i="139"/>
  <c r="AU151" i="139"/>
  <c r="AU22" i="139"/>
  <c r="AU94" i="139"/>
  <c r="AU114" i="139"/>
  <c r="AU71" i="139" l="1"/>
  <c r="E2438" i="140" l="1"/>
  <c r="D2438" i="140"/>
  <c r="E2352" i="140"/>
  <c r="E2196" i="140"/>
  <c r="AT27" i="139"/>
  <c r="AT79" i="139"/>
  <c r="AT105" i="139"/>
  <c r="AT58" i="139"/>
  <c r="AT67" i="139"/>
  <c r="E2232" i="140"/>
  <c r="AT94" i="139"/>
  <c r="AV153" i="139"/>
  <c r="AU153" i="139"/>
  <c r="AT153" i="139"/>
  <c r="AS153" i="139"/>
  <c r="AR153" i="139"/>
  <c r="AQ153" i="139"/>
  <c r="AP153" i="139"/>
  <c r="AO153" i="139"/>
  <c r="AN153" i="139"/>
  <c r="AM153" i="139"/>
  <c r="AL153" i="139"/>
  <c r="AK153" i="139"/>
  <c r="AH153" i="139"/>
  <c r="AG153" i="139"/>
  <c r="AF153" i="139"/>
  <c r="AE153" i="139"/>
  <c r="AD153" i="139"/>
  <c r="AC153" i="139"/>
  <c r="AB153" i="139"/>
  <c r="AA153" i="139"/>
  <c r="Z153" i="139"/>
  <c r="Y153" i="139"/>
  <c r="X153" i="139"/>
  <c r="W153" i="139"/>
  <c r="T153" i="139"/>
  <c r="S153" i="139"/>
  <c r="R153" i="139"/>
  <c r="Q153" i="139"/>
  <c r="P153" i="139"/>
  <c r="O153" i="139"/>
  <c r="N153" i="139"/>
  <c r="M153" i="139"/>
  <c r="L153" i="139"/>
  <c r="K153" i="139"/>
  <c r="J153" i="139"/>
  <c r="I153" i="139"/>
  <c r="F153" i="139"/>
  <c r="G153" i="139" s="1"/>
  <c r="DZ13" i="139"/>
  <c r="DM13" i="139"/>
  <c r="CZ13" i="139"/>
  <c r="CM13" i="139"/>
  <c r="BY13" i="139"/>
  <c r="BK13" i="139"/>
  <c r="AW13" i="139"/>
  <c r="AI13" i="139"/>
  <c r="U13" i="139"/>
  <c r="G13" i="139"/>
  <c r="DY150" i="139"/>
  <c r="DX153" i="139"/>
  <c r="DW153" i="139"/>
  <c r="DV153" i="139"/>
  <c r="DU153" i="139"/>
  <c r="DT153" i="139"/>
  <c r="DS150" i="139"/>
  <c r="DR150" i="139"/>
  <c r="DQ150" i="139"/>
  <c r="DP153" i="139"/>
  <c r="DO153" i="139"/>
  <c r="DN153" i="139"/>
  <c r="DL153" i="139"/>
  <c r="DK153" i="139"/>
  <c r="DJ150" i="139"/>
  <c r="DI150" i="139"/>
  <c r="DH150" i="139"/>
  <c r="DG153" i="139"/>
  <c r="DF153" i="139"/>
  <c r="DE153" i="139"/>
  <c r="DD153" i="139"/>
  <c r="DC153" i="139"/>
  <c r="DB150" i="139"/>
  <c r="DA153" i="139"/>
  <c r="CY153" i="139"/>
  <c r="CX153" i="139"/>
  <c r="CW153" i="139"/>
  <c r="CV153" i="139"/>
  <c r="CU150" i="139"/>
  <c r="CT150" i="139"/>
  <c r="CS150" i="139"/>
  <c r="CR153" i="139"/>
  <c r="CQ153" i="139"/>
  <c r="CP153" i="139"/>
  <c r="CO153" i="139"/>
  <c r="CN153" i="139"/>
  <c r="CL153" i="139"/>
  <c r="CK150" i="139"/>
  <c r="CJ153" i="139"/>
  <c r="CI153" i="139"/>
  <c r="CH153" i="139"/>
  <c r="CG153" i="139"/>
  <c r="CF153" i="139"/>
  <c r="CE153" i="139"/>
  <c r="CD150" i="139"/>
  <c r="CC150" i="139"/>
  <c r="CB153" i="139"/>
  <c r="BX153" i="139"/>
  <c r="BW153" i="139"/>
  <c r="BV153" i="139"/>
  <c r="BU153" i="139"/>
  <c r="BT150" i="139"/>
  <c r="BS150" i="139"/>
  <c r="BR153" i="139"/>
  <c r="BQ153" i="139"/>
  <c r="BP153" i="139"/>
  <c r="BO153" i="139"/>
  <c r="BN153" i="139"/>
  <c r="BM153" i="139"/>
  <c r="BJ153" i="139"/>
  <c r="BI150" i="139"/>
  <c r="BH153" i="139"/>
  <c r="BG150" i="139"/>
  <c r="BF150" i="139"/>
  <c r="BE153" i="139"/>
  <c r="BD153" i="139"/>
  <c r="BC153" i="139"/>
  <c r="BB153" i="139"/>
  <c r="BA150" i="139"/>
  <c r="AZ150" i="139"/>
  <c r="AW151" i="139"/>
  <c r="AI151" i="139"/>
  <c r="U151" i="139"/>
  <c r="G151" i="139"/>
  <c r="DL150" i="139"/>
  <c r="CB150" i="139"/>
  <c r="AV150" i="139"/>
  <c r="AU150" i="139"/>
  <c r="AT150" i="139"/>
  <c r="AS150" i="139"/>
  <c r="AR150" i="139"/>
  <c r="AQ150" i="139"/>
  <c r="AP150" i="139"/>
  <c r="AO150" i="139"/>
  <c r="AN150" i="139"/>
  <c r="AM150" i="139"/>
  <c r="AL150" i="139"/>
  <c r="AK150" i="139"/>
  <c r="AH150" i="139"/>
  <c r="AG150" i="139"/>
  <c r="AF150" i="139"/>
  <c r="AE150" i="139"/>
  <c r="AD150" i="139"/>
  <c r="AC150" i="139"/>
  <c r="AB150" i="139"/>
  <c r="AA150" i="139"/>
  <c r="Z150" i="139"/>
  <c r="Y150" i="139"/>
  <c r="X150" i="139"/>
  <c r="W150" i="139"/>
  <c r="T150" i="139"/>
  <c r="S150" i="139"/>
  <c r="R150" i="139"/>
  <c r="Q150" i="139"/>
  <c r="P150" i="139"/>
  <c r="O150" i="139"/>
  <c r="N150" i="139"/>
  <c r="M150" i="139"/>
  <c r="L150" i="139"/>
  <c r="K150" i="139"/>
  <c r="J150" i="139"/>
  <c r="I150" i="139"/>
  <c r="F150" i="139"/>
  <c r="G150" i="139" s="1"/>
  <c r="U153" i="139" l="1"/>
  <c r="AW153" i="139"/>
  <c r="AI153" i="139"/>
  <c r="DA150" i="139"/>
  <c r="CF150" i="139"/>
  <c r="CO150" i="139"/>
  <c r="BM150" i="139"/>
  <c r="DO150" i="139"/>
  <c r="BD150" i="139"/>
  <c r="CJ150" i="139"/>
  <c r="DW150" i="139"/>
  <c r="BH150" i="139"/>
  <c r="CL150" i="139"/>
  <c r="BN150" i="139"/>
  <c r="BR150" i="139"/>
  <c r="CW150" i="139"/>
  <c r="BV150" i="139"/>
  <c r="DF150" i="139"/>
  <c r="CQ150" i="139"/>
  <c r="BW150" i="139"/>
  <c r="D2352" i="140"/>
  <c r="DP150" i="139"/>
  <c r="CG150" i="139"/>
  <c r="CX150" i="139"/>
  <c r="DU150" i="139"/>
  <c r="DX150" i="139"/>
  <c r="DG150" i="139"/>
  <c r="BO150" i="139"/>
  <c r="BB150" i="139"/>
  <c r="CP150" i="139"/>
  <c r="DK150" i="139"/>
  <c r="BE150" i="139"/>
  <c r="CR150" i="139"/>
  <c r="CV150" i="139"/>
  <c r="DN150" i="139"/>
  <c r="CN150" i="139"/>
  <c r="DE150" i="139"/>
  <c r="DI153" i="139"/>
  <c r="CE150" i="139"/>
  <c r="CT153" i="139"/>
  <c r="BC150" i="139"/>
  <c r="BU150" i="139"/>
  <c r="BT153" i="139"/>
  <c r="CC153" i="139"/>
  <c r="DB153" i="139"/>
  <c r="DC150" i="139"/>
  <c r="DT150" i="139"/>
  <c r="DJ153" i="139"/>
  <c r="CK153" i="139"/>
  <c r="DV150" i="139"/>
  <c r="CS153" i="139"/>
  <c r="BQ150" i="139"/>
  <c r="AY150" i="139"/>
  <c r="BJ150" i="139"/>
  <c r="CY150" i="139"/>
  <c r="BS153" i="139"/>
  <c r="DH153" i="139"/>
  <c r="DQ153" i="139"/>
  <c r="CH150" i="139"/>
  <c r="DR153" i="139"/>
  <c r="BX150" i="139"/>
  <c r="CI150" i="139"/>
  <c r="DD150" i="139"/>
  <c r="CU153" i="139"/>
  <c r="DS153" i="139"/>
  <c r="DY153" i="139"/>
  <c r="CD153" i="139"/>
  <c r="BP150" i="139"/>
  <c r="CA150" i="139"/>
  <c r="BF153" i="139"/>
  <c r="BG153" i="139"/>
  <c r="BA153" i="139"/>
  <c r="BI153" i="139"/>
  <c r="CA153" i="139"/>
  <c r="U150" i="139"/>
  <c r="AW150" i="139"/>
  <c r="AI150" i="139"/>
  <c r="BK151" i="139"/>
  <c r="AT103" i="139"/>
  <c r="AT73" i="139"/>
  <c r="E2261" i="140"/>
  <c r="BY153" i="139" l="1"/>
  <c r="DM153" i="139"/>
  <c r="BK150" i="139"/>
  <c r="CZ153" i="139"/>
  <c r="DZ153" i="139"/>
  <c r="CM153" i="139"/>
  <c r="BK153" i="139"/>
  <c r="BY150" i="139"/>
  <c r="DZ150" i="139"/>
  <c r="CZ150" i="139"/>
  <c r="CM150" i="139"/>
  <c r="DM150" i="139"/>
  <c r="AT88" i="139"/>
  <c r="E2229" i="140"/>
  <c r="AT90" i="139"/>
  <c r="E2216" i="140"/>
  <c r="AT154" i="139"/>
  <c r="AS154" i="139"/>
  <c r="AR154" i="139"/>
  <c r="AQ154" i="139"/>
  <c r="AP154" i="139"/>
  <c r="AO154" i="139"/>
  <c r="AN154" i="139"/>
  <c r="AM154" i="139"/>
  <c r="AL154" i="139"/>
  <c r="AK154" i="139"/>
  <c r="AH154" i="139"/>
  <c r="AG154" i="139"/>
  <c r="AF154" i="139"/>
  <c r="AE154" i="139"/>
  <c r="AD154" i="139"/>
  <c r="AC154" i="139"/>
  <c r="AB154" i="139"/>
  <c r="AA154" i="139"/>
  <c r="Z154" i="139"/>
  <c r="Y154" i="139"/>
  <c r="X154" i="139"/>
  <c r="W154" i="139"/>
  <c r="T154" i="139"/>
  <c r="S154" i="139"/>
  <c r="R154" i="139"/>
  <c r="Q154" i="139"/>
  <c r="P154" i="139"/>
  <c r="O154" i="139"/>
  <c r="N154" i="139"/>
  <c r="M154" i="139"/>
  <c r="L154" i="139"/>
  <c r="K154" i="139"/>
  <c r="J154" i="139"/>
  <c r="I154" i="139"/>
  <c r="F154" i="139"/>
  <c r="G154" i="139" s="1"/>
  <c r="DZ15" i="139"/>
  <c r="DM15" i="139"/>
  <c r="CZ15" i="139"/>
  <c r="CM15" i="139"/>
  <c r="BY15" i="139"/>
  <c r="AI15" i="139"/>
  <c r="U15" i="139"/>
  <c r="G15" i="139"/>
  <c r="U154" i="139" l="1"/>
  <c r="AI154" i="139"/>
  <c r="DY154" i="139"/>
  <c r="DX154" i="139"/>
  <c r="DW154" i="139"/>
  <c r="DV154" i="139"/>
  <c r="DU154" i="139"/>
  <c r="DT154" i="139"/>
  <c r="DS154" i="139"/>
  <c r="DR154" i="139"/>
  <c r="DQ154" i="139"/>
  <c r="DP154" i="139"/>
  <c r="DO154" i="139"/>
  <c r="DN154" i="139"/>
  <c r="DL154" i="139"/>
  <c r="DK154" i="139"/>
  <c r="DJ154" i="139"/>
  <c r="DI154" i="139"/>
  <c r="DH154" i="139"/>
  <c r="DG154" i="139"/>
  <c r="DF154" i="139"/>
  <c r="DE154" i="139"/>
  <c r="DD154" i="139"/>
  <c r="DC154" i="139"/>
  <c r="DB154" i="139"/>
  <c r="DA154" i="139"/>
  <c r="CY154" i="139"/>
  <c r="CX154" i="139"/>
  <c r="CW154" i="139"/>
  <c r="CV154" i="139"/>
  <c r="CU154" i="139"/>
  <c r="CT154" i="139"/>
  <c r="CS154" i="139"/>
  <c r="CR154" i="139"/>
  <c r="CQ154" i="139"/>
  <c r="CP154" i="139"/>
  <c r="CO154" i="139"/>
  <c r="CN154" i="139"/>
  <c r="CL154" i="139"/>
  <c r="CK154" i="139"/>
  <c r="CJ154" i="139"/>
  <c r="CI154" i="139"/>
  <c r="CH154" i="139"/>
  <c r="CG154" i="139"/>
  <c r="CF154" i="139"/>
  <c r="CE154" i="139"/>
  <c r="CD154" i="139"/>
  <c r="CC154" i="139"/>
  <c r="CB154" i="139"/>
  <c r="CA154" i="139"/>
  <c r="BX154" i="139"/>
  <c r="BW154" i="139"/>
  <c r="BV154" i="139"/>
  <c r="BU154" i="139"/>
  <c r="BT154" i="139"/>
  <c r="BS154" i="139"/>
  <c r="BR154" i="139"/>
  <c r="BQ154" i="139"/>
  <c r="BP154" i="139"/>
  <c r="BO154" i="139"/>
  <c r="BN154" i="139"/>
  <c r="BM154" i="139"/>
  <c r="BJ154" i="139"/>
  <c r="U149" i="139"/>
  <c r="G149" i="139"/>
  <c r="BY154" i="139" l="1"/>
  <c r="CZ154" i="139"/>
  <c r="DZ154" i="139"/>
  <c r="CM154" i="139"/>
  <c r="DM154" i="139"/>
  <c r="G147" i="139"/>
  <c r="BY149" i="139"/>
  <c r="BK149" i="139"/>
  <c r="U147" i="139"/>
  <c r="AW147" i="139"/>
  <c r="AW149" i="139"/>
  <c r="CM149" i="139"/>
  <c r="BY147" i="139" l="1"/>
  <c r="BK147" i="139"/>
  <c r="AT86" i="139"/>
  <c r="AT91" i="139"/>
  <c r="AT76" i="139"/>
  <c r="AT22" i="139" l="1"/>
  <c r="AS67" i="139" l="1"/>
  <c r="E2146" i="140"/>
  <c r="AS73" i="139"/>
  <c r="AS79" i="139"/>
  <c r="AS86" i="139"/>
  <c r="AS43" i="139"/>
  <c r="E2127" i="140"/>
  <c r="AS58" i="139" l="1"/>
  <c r="E2143" i="140"/>
  <c r="DZ120" i="139" l="1"/>
  <c r="DM120" i="139"/>
  <c r="CZ120" i="139"/>
  <c r="CM120" i="139"/>
  <c r="BY120" i="139"/>
  <c r="BK120" i="139"/>
  <c r="AW120" i="139"/>
  <c r="AI120" i="139"/>
  <c r="U120" i="139"/>
  <c r="G120" i="139"/>
  <c r="AS88" i="139"/>
  <c r="E2155" i="140"/>
  <c r="E2154" i="140"/>
  <c r="E2169" i="140"/>
  <c r="E2167" i="140"/>
  <c r="AS94" i="139"/>
  <c r="AS74" i="139"/>
  <c r="AS144" i="139"/>
  <c r="AS91" i="139"/>
  <c r="E2152" i="140" l="1"/>
  <c r="BV288" i="58"/>
  <c r="BV274" i="58"/>
  <c r="BV260" i="58"/>
  <c r="BV246" i="58"/>
  <c r="BV231" i="58"/>
  <c r="BV216" i="58"/>
  <c r="BV202" i="58"/>
  <c r="BV188" i="58"/>
  <c r="BV174" i="58"/>
  <c r="BV160" i="58"/>
  <c r="BV145" i="58"/>
  <c r="BV130" i="58"/>
  <c r="BV116" i="58"/>
  <c r="BV102" i="58"/>
  <c r="BV88" i="58"/>
  <c r="BV74" i="58"/>
  <c r="BV60" i="58"/>
  <c r="BV46" i="58"/>
  <c r="BV32" i="58"/>
  <c r="BV18" i="58"/>
  <c r="BV4" i="58"/>
  <c r="E2050" i="140"/>
  <c r="AR67" i="139"/>
  <c r="AR86" i="139"/>
  <c r="AR73" i="139"/>
  <c r="AR58" i="139"/>
  <c r="AR79" i="139"/>
  <c r="E2093" i="140"/>
  <c r="AR105" i="139"/>
  <c r="E2106" i="140"/>
  <c r="AR130" i="139"/>
  <c r="AR110" i="139"/>
  <c r="E2059" i="140"/>
  <c r="E2073" i="140"/>
  <c r="AR76" i="139"/>
  <c r="E2087" i="140"/>
  <c r="AR42" i="139"/>
  <c r="E2030" i="140"/>
  <c r="E2080" i="140"/>
  <c r="AO77" i="139"/>
  <c r="AO79" i="139"/>
  <c r="AR133" i="139"/>
  <c r="BV3" i="58" l="1"/>
  <c r="E2081" i="140"/>
  <c r="AR74" i="139"/>
  <c r="E2035" i="140"/>
  <c r="E2062" i="140"/>
  <c r="E2063" i="140"/>
  <c r="AR107" i="139"/>
  <c r="E2070" i="140"/>
  <c r="E2272" i="140" l="1"/>
  <c r="D2272" i="140"/>
  <c r="E2192" i="140"/>
  <c r="D2192" i="140"/>
  <c r="I26" i="156" l="1"/>
  <c r="H26" i="156"/>
  <c r="BB150" i="58"/>
  <c r="U150" i="58"/>
  <c r="E2109" i="140"/>
  <c r="AQ79" i="139"/>
  <c r="AQ58" i="139"/>
  <c r="E1956" i="140"/>
  <c r="E1968" i="140"/>
  <c r="AQ74" i="139"/>
  <c r="AQ107" i="139"/>
  <c r="DZ105" i="139"/>
  <c r="DM105" i="139"/>
  <c r="CZ105" i="139"/>
  <c r="CM105" i="139"/>
  <c r="BY105" i="139"/>
  <c r="BK105" i="139"/>
  <c r="AW105" i="139"/>
  <c r="AI105" i="139"/>
  <c r="U105" i="139"/>
  <c r="G105" i="139"/>
  <c r="AQ67" i="139"/>
  <c r="E1971" i="140"/>
  <c r="AQ130" i="139"/>
  <c r="AQ73" i="139"/>
  <c r="AQ88" i="139"/>
  <c r="E1997" i="140"/>
  <c r="AQ144" i="139"/>
  <c r="F14" i="168"/>
  <c r="B27" i="168"/>
  <c r="T64" i="168"/>
  <c r="T67" i="168" s="1"/>
  <c r="P67" i="168"/>
  <c r="P70" i="168"/>
  <c r="P76" i="168"/>
  <c r="B33" i="168"/>
  <c r="B32" i="168"/>
  <c r="B31" i="168"/>
  <c r="AQ86" i="139"/>
  <c r="U67" i="168"/>
  <c r="B35" i="168"/>
  <c r="F30" i="168"/>
  <c r="B30" i="168"/>
  <c r="B29" i="168"/>
  <c r="B28" i="168"/>
  <c r="B26" i="168"/>
  <c r="B25" i="168"/>
  <c r="B24" i="168"/>
  <c r="B23" i="168"/>
  <c r="B22" i="168"/>
  <c r="B21" i="168"/>
  <c r="B20" i="168"/>
  <c r="B19" i="168"/>
  <c r="B18" i="168"/>
  <c r="B17" i="168"/>
  <c r="B16" i="168"/>
  <c r="B15" i="168"/>
  <c r="B14" i="168"/>
  <c r="B13" i="168"/>
  <c r="B12" i="168"/>
  <c r="B11" i="168"/>
  <c r="B10" i="168"/>
  <c r="B9" i="168"/>
  <c r="B8" i="168"/>
  <c r="B7" i="168"/>
  <c r="B6" i="168"/>
  <c r="B5" i="168"/>
  <c r="B4" i="168"/>
  <c r="AP79" i="139"/>
  <c r="D2109" i="140" l="1"/>
  <c r="E2013" i="140"/>
  <c r="P77" i="168"/>
  <c r="D2013" i="140"/>
  <c r="I146" i="165"/>
  <c r="I145" i="165"/>
  <c r="I144" i="165"/>
  <c r="I143" i="165"/>
  <c r="I141" i="165"/>
  <c r="I140" i="165"/>
  <c r="I139" i="165"/>
  <c r="I138" i="165"/>
  <c r="I136" i="165"/>
  <c r="I135" i="165"/>
  <c r="I134" i="165"/>
  <c r="I133" i="165"/>
  <c r="I131" i="165"/>
  <c r="I130" i="165"/>
  <c r="I129" i="165"/>
  <c r="I128" i="165"/>
  <c r="I126" i="165"/>
  <c r="I125" i="165"/>
  <c r="I124" i="165"/>
  <c r="I123" i="165"/>
  <c r="I121" i="165"/>
  <c r="I120" i="165"/>
  <c r="I119" i="165"/>
  <c r="I118" i="165"/>
  <c r="I116" i="165"/>
  <c r="I115" i="165"/>
  <c r="I114" i="165"/>
  <c r="I113" i="165"/>
  <c r="I111" i="165"/>
  <c r="I110" i="165"/>
  <c r="I109" i="165"/>
  <c r="I108" i="165"/>
  <c r="I106" i="165"/>
  <c r="I105" i="165"/>
  <c r="I104" i="165"/>
  <c r="I103" i="165"/>
  <c r="I101" i="165"/>
  <c r="I100" i="165"/>
  <c r="I99" i="165"/>
  <c r="I98" i="165"/>
  <c r="I96" i="165"/>
  <c r="I95" i="165"/>
  <c r="I94" i="165"/>
  <c r="I93" i="165"/>
  <c r="I91" i="165"/>
  <c r="I90" i="165"/>
  <c r="I89" i="165"/>
  <c r="I88" i="165"/>
  <c r="I86" i="165"/>
  <c r="I85" i="165"/>
  <c r="I84" i="165"/>
  <c r="I83" i="165"/>
  <c r="I81" i="165"/>
  <c r="I80" i="165"/>
  <c r="I79" i="165"/>
  <c r="I78" i="165"/>
  <c r="I76" i="165"/>
  <c r="I75" i="165"/>
  <c r="I74" i="165"/>
  <c r="I73" i="165"/>
  <c r="I71" i="165"/>
  <c r="I70" i="165"/>
  <c r="I69" i="165"/>
  <c r="I68" i="165"/>
  <c r="I66" i="165"/>
  <c r="I65" i="165"/>
  <c r="I64" i="165"/>
  <c r="I63" i="165"/>
  <c r="I61" i="165"/>
  <c r="I60" i="165"/>
  <c r="I59" i="165"/>
  <c r="I58" i="165"/>
  <c r="I56" i="165"/>
  <c r="I55" i="165"/>
  <c r="I54" i="165"/>
  <c r="I53" i="165"/>
  <c r="I51" i="165"/>
  <c r="I50" i="165"/>
  <c r="I49" i="165"/>
  <c r="I48" i="165"/>
  <c r="I46" i="165"/>
  <c r="I45" i="165"/>
  <c r="I44" i="165"/>
  <c r="I43" i="165"/>
  <c r="I41" i="165"/>
  <c r="I40" i="165"/>
  <c r="I39" i="165"/>
  <c r="I38" i="165"/>
  <c r="I36" i="165"/>
  <c r="I35" i="165"/>
  <c r="I34" i="165"/>
  <c r="I33" i="165"/>
  <c r="I31" i="165"/>
  <c r="I30" i="165"/>
  <c r="I29" i="165"/>
  <c r="I28" i="165"/>
  <c r="I26" i="165"/>
  <c r="I25" i="165"/>
  <c r="I24" i="165"/>
  <c r="I23" i="165"/>
  <c r="I21" i="165"/>
  <c r="I20" i="165"/>
  <c r="I19" i="165"/>
  <c r="I18" i="165"/>
  <c r="I16" i="165"/>
  <c r="I15" i="165"/>
  <c r="I14" i="165"/>
  <c r="I13" i="165"/>
  <c r="I11" i="165"/>
  <c r="I10" i="165"/>
  <c r="I9" i="165"/>
  <c r="I8" i="165"/>
  <c r="I6" i="165"/>
  <c r="I5" i="165"/>
  <c r="I4" i="165"/>
  <c r="I3" i="165"/>
  <c r="AP40" i="139" l="1"/>
  <c r="DZ73" i="139"/>
  <c r="DM73" i="139"/>
  <c r="CZ73" i="139"/>
  <c r="CM73" i="139"/>
  <c r="BY73" i="139"/>
  <c r="BK73" i="139"/>
  <c r="AO73" i="139"/>
  <c r="AM73" i="139"/>
  <c r="AK73" i="139"/>
  <c r="AE73" i="139"/>
  <c r="AC73" i="139"/>
  <c r="U73" i="139"/>
  <c r="G73" i="139"/>
  <c r="E1895" i="140"/>
  <c r="AP67" i="139"/>
  <c r="AP110" i="139"/>
  <c r="E1920" i="140"/>
  <c r="AP58" i="139"/>
  <c r="AP130" i="139"/>
  <c r="AP90" i="139"/>
  <c r="AI73" i="139" l="1"/>
  <c r="AW73" i="139"/>
  <c r="AP94" i="139"/>
  <c r="K1836" i="140"/>
  <c r="AP88" i="139"/>
  <c r="AP144" i="139"/>
  <c r="E1892" i="140"/>
  <c r="E1934" i="140"/>
  <c r="AO58" i="139"/>
  <c r="E1798" i="140"/>
  <c r="E1812" i="140"/>
  <c r="AO67" i="139"/>
  <c r="AO88" i="139"/>
  <c r="AO93" i="139"/>
  <c r="AO59" i="139"/>
  <c r="AO110" i="139"/>
  <c r="D1934" i="140" l="1"/>
  <c r="E1820" i="140"/>
  <c r="AO107" i="139"/>
  <c r="AO65" i="139"/>
  <c r="E1823" i="140"/>
  <c r="AO94" i="139"/>
  <c r="AO114" i="139" l="1"/>
  <c r="AO54" i="139"/>
  <c r="AO130" i="139"/>
  <c r="AO91" i="139"/>
  <c r="AO133" i="139"/>
  <c r="A27" i="159"/>
  <c r="H191" i="106"/>
  <c r="H192" i="106"/>
  <c r="H193" i="106"/>
  <c r="H194" i="106"/>
  <c r="H195" i="106"/>
  <c r="I196" i="106"/>
  <c r="J196" i="106"/>
  <c r="K196" i="106"/>
  <c r="L196" i="106"/>
  <c r="M196" i="106"/>
  <c r="N196" i="106"/>
  <c r="O196" i="106"/>
  <c r="P196" i="106"/>
  <c r="Q196" i="106"/>
  <c r="R196" i="106"/>
  <c r="S196" i="106"/>
  <c r="T196" i="106"/>
  <c r="U196" i="106"/>
  <c r="V196" i="106"/>
  <c r="W196" i="106"/>
  <c r="X196" i="106"/>
  <c r="Y196" i="106"/>
  <c r="Z196" i="106"/>
  <c r="H197" i="106"/>
  <c r="D1858" i="140"/>
  <c r="E1858" i="140"/>
  <c r="E1763" i="140"/>
  <c r="E1739" i="140"/>
  <c r="E1759" i="140"/>
  <c r="D1763" i="140"/>
  <c r="AN94" i="139"/>
  <c r="AN58" i="139"/>
  <c r="AN110" i="139"/>
  <c r="AN22" i="139"/>
  <c r="E1762" i="140"/>
  <c r="H196" i="106" l="1"/>
  <c r="AN67" i="139"/>
  <c r="E1742" i="140"/>
  <c r="DZ82" i="139"/>
  <c r="DM82" i="139"/>
  <c r="CZ82" i="139"/>
  <c r="CM82" i="139"/>
  <c r="BY82" i="139"/>
  <c r="BK82" i="139"/>
  <c r="AW82" i="139"/>
  <c r="AI82" i="139"/>
  <c r="U82" i="139"/>
  <c r="G82" i="139"/>
  <c r="AN79" i="139"/>
  <c r="K3" i="159" l="1"/>
  <c r="K2" i="159"/>
  <c r="K4" i="159"/>
  <c r="E1752" i="140" l="1"/>
  <c r="AN111" i="139"/>
  <c r="AN130" i="139"/>
  <c r="AN66" i="139"/>
  <c r="AN112" i="139"/>
  <c r="AN77" i="139"/>
  <c r="DZ127" i="139"/>
  <c r="DM127" i="139"/>
  <c r="CZ127" i="139"/>
  <c r="CM127" i="139"/>
  <c r="BY127" i="139"/>
  <c r="BK127" i="139"/>
  <c r="AW127" i="139"/>
  <c r="AI127" i="139"/>
  <c r="U127" i="139"/>
  <c r="G127" i="139"/>
  <c r="E1744" i="140"/>
  <c r="AN114" i="139" l="1"/>
  <c r="E1672" i="140" l="1"/>
  <c r="AM77" i="139"/>
  <c r="BB156" i="58"/>
  <c r="U156" i="58"/>
  <c r="E1776" i="140"/>
  <c r="E1670" i="140"/>
  <c r="AM58" i="139"/>
  <c r="AM130" i="139"/>
  <c r="AM91" i="139"/>
  <c r="AM67" i="139"/>
  <c r="T156" i="58" l="1"/>
  <c r="D1776" i="140"/>
  <c r="E1668" i="140"/>
  <c r="AM107" i="139" l="1"/>
  <c r="AM79" i="139"/>
  <c r="AM133" i="139"/>
  <c r="DZ119" i="139"/>
  <c r="DM119" i="139"/>
  <c r="CZ119" i="139"/>
  <c r="CM119" i="139"/>
  <c r="BY119" i="139"/>
  <c r="BK119" i="139"/>
  <c r="AW119" i="139"/>
  <c r="AI119" i="139"/>
  <c r="U119" i="139"/>
  <c r="G119" i="139"/>
  <c r="AM94" i="139"/>
  <c r="DZ122" i="139" l="1"/>
  <c r="DM122" i="139"/>
  <c r="CZ122" i="139"/>
  <c r="CM122" i="139"/>
  <c r="BY122" i="139"/>
  <c r="BK122" i="139"/>
  <c r="AW122" i="139"/>
  <c r="AI122" i="139"/>
  <c r="U122" i="139"/>
  <c r="G122" i="139"/>
  <c r="DZ118" i="139"/>
  <c r="DM118" i="139"/>
  <c r="CZ118" i="139"/>
  <c r="CM118" i="139"/>
  <c r="BY118" i="139"/>
  <c r="BK118" i="139"/>
  <c r="AW118" i="139"/>
  <c r="AI118" i="139"/>
  <c r="U118" i="139"/>
  <c r="G118" i="139"/>
  <c r="DZ117" i="139"/>
  <c r="DM117" i="139"/>
  <c r="CZ117" i="139"/>
  <c r="CM117" i="139"/>
  <c r="BY117" i="139"/>
  <c r="BK117" i="139"/>
  <c r="AW117" i="139"/>
  <c r="AG117" i="139"/>
  <c r="AG115" i="139" s="1"/>
  <c r="AE117" i="139"/>
  <c r="U117" i="139"/>
  <c r="G117" i="139"/>
  <c r="DZ116" i="139"/>
  <c r="DM116" i="139"/>
  <c r="CZ116" i="139"/>
  <c r="CM116" i="139"/>
  <c r="BY116" i="139"/>
  <c r="BK116" i="139"/>
  <c r="AW116" i="139"/>
  <c r="AI116" i="139"/>
  <c r="U116" i="139"/>
  <c r="G116" i="139"/>
  <c r="DY115" i="139"/>
  <c r="DX115" i="139"/>
  <c r="DW115" i="139"/>
  <c r="DV115" i="139"/>
  <c r="DU115" i="139"/>
  <c r="DT115" i="139"/>
  <c r="DS115" i="139"/>
  <c r="DR115" i="139"/>
  <c r="DQ115" i="139"/>
  <c r="DP115" i="139"/>
  <c r="DO115" i="139"/>
  <c r="DN115" i="139"/>
  <c r="DL115" i="139"/>
  <c r="DK115" i="139"/>
  <c r="DJ115" i="139"/>
  <c r="DI115" i="139"/>
  <c r="DH115" i="139"/>
  <c r="DG115" i="139"/>
  <c r="DF115" i="139"/>
  <c r="DE115" i="139"/>
  <c r="DD115" i="139"/>
  <c r="DC115" i="139"/>
  <c r="DB115" i="139"/>
  <c r="DA115" i="139"/>
  <c r="CY115" i="139"/>
  <c r="CX115" i="139"/>
  <c r="CW115" i="139"/>
  <c r="CV115" i="139"/>
  <c r="CU115" i="139"/>
  <c r="CT115" i="139"/>
  <c r="CS115" i="139"/>
  <c r="CR115" i="139"/>
  <c r="CQ115" i="139"/>
  <c r="CP115" i="139"/>
  <c r="CO115" i="139"/>
  <c r="CN115" i="139"/>
  <c r="CL115" i="139"/>
  <c r="CK115" i="139"/>
  <c r="CJ115" i="139"/>
  <c r="CI115" i="139"/>
  <c r="CH115" i="139"/>
  <c r="CG115" i="139"/>
  <c r="CF115" i="139"/>
  <c r="CE115" i="139"/>
  <c r="CD115" i="139"/>
  <c r="CC115" i="139"/>
  <c r="CB115" i="139"/>
  <c r="CA115" i="139"/>
  <c r="BX115" i="139"/>
  <c r="BW115" i="139"/>
  <c r="BV115" i="139"/>
  <c r="BU115" i="139"/>
  <c r="BT115" i="139"/>
  <c r="BS115" i="139"/>
  <c r="BR115" i="139"/>
  <c r="BQ115" i="139"/>
  <c r="BP115" i="139"/>
  <c r="BO115" i="139"/>
  <c r="BN115" i="139"/>
  <c r="BM115" i="139"/>
  <c r="BJ115" i="139"/>
  <c r="BI115" i="139"/>
  <c r="BH115" i="139"/>
  <c r="BG115" i="139"/>
  <c r="BF115" i="139"/>
  <c r="BE115" i="139"/>
  <c r="BD115" i="139"/>
  <c r="BC115" i="139"/>
  <c r="BB115" i="139"/>
  <c r="BA115" i="139"/>
  <c r="AZ115" i="139"/>
  <c r="AY115" i="139"/>
  <c r="AV115" i="139"/>
  <c r="AU115" i="139"/>
  <c r="AT115" i="139"/>
  <c r="AS115" i="139"/>
  <c r="AR115" i="139"/>
  <c r="AQ115" i="139"/>
  <c r="AP115" i="139"/>
  <c r="AO115" i="139"/>
  <c r="AN115" i="139"/>
  <c r="AM115" i="139"/>
  <c r="AL115" i="139"/>
  <c r="AK115" i="139"/>
  <c r="AH115" i="139"/>
  <c r="AF115" i="139"/>
  <c r="AE115" i="139"/>
  <c r="AD115" i="139"/>
  <c r="AC115" i="139"/>
  <c r="AB115" i="139"/>
  <c r="AA115" i="139"/>
  <c r="Z115" i="139"/>
  <c r="Y115" i="139"/>
  <c r="X115" i="139"/>
  <c r="W115" i="139"/>
  <c r="T115" i="139"/>
  <c r="S115" i="139"/>
  <c r="R115" i="139"/>
  <c r="Q115" i="139"/>
  <c r="P115" i="139"/>
  <c r="O115" i="139"/>
  <c r="N115" i="139"/>
  <c r="M115" i="139"/>
  <c r="L115" i="139"/>
  <c r="K115" i="139"/>
  <c r="J115" i="139"/>
  <c r="I115" i="139"/>
  <c r="F115" i="139"/>
  <c r="G115" i="139" s="1"/>
  <c r="AI117" i="139" l="1"/>
  <c r="U115" i="139"/>
  <c r="CM115" i="139"/>
  <c r="CZ115" i="139"/>
  <c r="DZ115" i="139"/>
  <c r="DM115" i="139"/>
  <c r="AI115" i="139"/>
  <c r="AW115" i="139"/>
  <c r="BK115" i="139"/>
  <c r="BY115" i="139"/>
  <c r="AM88" i="139"/>
  <c r="E1657" i="140"/>
  <c r="AM39" i="139"/>
  <c r="E1673" i="140"/>
  <c r="AM146" i="139"/>
  <c r="AL67" i="139"/>
  <c r="E1599" i="140"/>
  <c r="AL58" i="139"/>
  <c r="AL79" i="139"/>
  <c r="E1587" i="140"/>
  <c r="AL59" i="139"/>
  <c r="E1618" i="140"/>
  <c r="AL130" i="139"/>
  <c r="M4" i="159"/>
  <c r="L4" i="159"/>
  <c r="M3" i="159"/>
  <c r="L3" i="159"/>
  <c r="M2" i="159"/>
  <c r="L2" i="159"/>
  <c r="A89" i="159"/>
  <c r="A88" i="159"/>
  <c r="A87" i="159"/>
  <c r="A86" i="159"/>
  <c r="A85" i="159"/>
  <c r="A84" i="159"/>
  <c r="A83" i="159"/>
  <c r="A82" i="159"/>
  <c r="A81" i="159"/>
  <c r="A80" i="159"/>
  <c r="A79" i="159"/>
  <c r="A78" i="159"/>
  <c r="A77" i="159"/>
  <c r="A76" i="159"/>
  <c r="A75" i="159"/>
  <c r="A74" i="159"/>
  <c r="A73" i="159"/>
  <c r="A72" i="159"/>
  <c r="A71" i="159"/>
  <c r="A70" i="159"/>
  <c r="A69" i="159"/>
  <c r="A68" i="159"/>
  <c r="A67" i="159"/>
  <c r="A66" i="159"/>
  <c r="A65" i="159"/>
  <c r="A64" i="159"/>
  <c r="A63" i="159"/>
  <c r="A62" i="159"/>
  <c r="A61" i="159"/>
  <c r="A60" i="159"/>
  <c r="A59" i="159"/>
  <c r="A58" i="159"/>
  <c r="A57" i="159"/>
  <c r="A56" i="159"/>
  <c r="A55" i="159"/>
  <c r="A54" i="159"/>
  <c r="A53" i="159"/>
  <c r="A52" i="159"/>
  <c r="A51" i="159"/>
  <c r="A50" i="159"/>
  <c r="A49" i="159"/>
  <c r="A48" i="159"/>
  <c r="A47" i="159"/>
  <c r="A46" i="159"/>
  <c r="A45" i="159"/>
  <c r="A44" i="159"/>
  <c r="A43" i="159"/>
  <c r="A42" i="159"/>
  <c r="A41" i="159"/>
  <c r="A40" i="159"/>
  <c r="A39" i="159"/>
  <c r="A38" i="159"/>
  <c r="A37" i="159"/>
  <c r="A36" i="159"/>
  <c r="A35" i="159"/>
  <c r="A34" i="159"/>
  <c r="A33" i="159"/>
  <c r="A32" i="159"/>
  <c r="A31" i="159"/>
  <c r="A30" i="159"/>
  <c r="A29" i="159"/>
  <c r="A28" i="159"/>
  <c r="A26" i="159"/>
  <c r="A25" i="159"/>
  <c r="A24" i="159"/>
  <c r="A23" i="159"/>
  <c r="A22" i="159"/>
  <c r="A21" i="159"/>
  <c r="A20" i="159"/>
  <c r="A19" i="159"/>
  <c r="A18" i="159"/>
  <c r="A17" i="159"/>
  <c r="A16" i="159"/>
  <c r="A15" i="159"/>
  <c r="A14" i="159"/>
  <c r="A13" i="159"/>
  <c r="A12" i="159"/>
  <c r="A11" i="159"/>
  <c r="A10" i="159"/>
  <c r="A9" i="159"/>
  <c r="A8" i="159"/>
  <c r="A7" i="159"/>
  <c r="A6" i="159"/>
  <c r="A5" i="159"/>
  <c r="A4" i="159"/>
  <c r="A3" i="159"/>
  <c r="A2" i="159"/>
  <c r="E1597" i="140"/>
  <c r="AL86" i="139"/>
  <c r="AL94" i="139"/>
  <c r="E1705" i="140" l="1"/>
  <c r="D1705" i="140"/>
  <c r="AL39" i="139"/>
  <c r="E1615" i="140"/>
  <c r="AL65" i="139"/>
  <c r="AL88" i="139"/>
  <c r="AL77" i="139"/>
  <c r="E1601" i="140"/>
  <c r="DZ125" i="139" l="1"/>
  <c r="DM125" i="139"/>
  <c r="CZ125" i="139"/>
  <c r="CM125" i="139"/>
  <c r="BY125" i="139"/>
  <c r="BK125" i="139"/>
  <c r="AW125" i="139"/>
  <c r="AI125" i="139"/>
  <c r="U125" i="139"/>
  <c r="G125" i="139"/>
  <c r="AL146" i="139" l="1"/>
  <c r="E1634" i="140"/>
  <c r="E1530" i="140"/>
  <c r="AK58" i="139"/>
  <c r="AK85" i="139"/>
  <c r="E1559" i="140"/>
  <c r="E1519" i="140"/>
  <c r="AK136" i="139"/>
  <c r="AK79" i="139"/>
  <c r="AK130" i="139"/>
  <c r="AK94" i="139"/>
  <c r="AK86" i="139"/>
  <c r="AK146" i="139"/>
  <c r="E1532" i="140"/>
  <c r="AK67" i="139"/>
  <c r="AK91" i="139"/>
  <c r="AK144" i="139"/>
  <c r="E1547" i="140"/>
  <c r="E1546" i="140"/>
  <c r="AK39" i="139"/>
  <c r="E1545" i="140"/>
  <c r="D1634" i="140" l="1"/>
  <c r="J23" i="156"/>
  <c r="J22" i="156"/>
  <c r="J21" i="156"/>
  <c r="J20" i="156"/>
  <c r="J19" i="156"/>
  <c r="J18" i="156"/>
  <c r="J17" i="156"/>
  <c r="J16" i="156"/>
  <c r="J15" i="156"/>
  <c r="J14" i="156"/>
  <c r="L4" i="156" s="1"/>
  <c r="J13" i="156"/>
  <c r="J12" i="156"/>
  <c r="U17" i="58"/>
  <c r="U16" i="58"/>
  <c r="U15" i="58"/>
  <c r="U14" i="58"/>
  <c r="AC4" i="58"/>
  <c r="U12" i="58"/>
  <c r="U11" i="58"/>
  <c r="U10" i="58"/>
  <c r="U9" i="58"/>
  <c r="U8" i="58"/>
  <c r="U7" i="58"/>
  <c r="U6" i="58"/>
  <c r="U5" i="58"/>
  <c r="U29" i="58"/>
  <c r="U26" i="58"/>
  <c r="U25" i="58"/>
  <c r="U24" i="58"/>
  <c r="U23" i="58"/>
  <c r="U22" i="58"/>
  <c r="U21" i="58"/>
  <c r="U20" i="58"/>
  <c r="U19" i="58"/>
  <c r="U45" i="58"/>
  <c r="U44" i="58"/>
  <c r="U43" i="58"/>
  <c r="U42" i="58"/>
  <c r="AC32" i="58"/>
  <c r="U40" i="58"/>
  <c r="U39" i="58"/>
  <c r="U38" i="58"/>
  <c r="U37" i="58"/>
  <c r="U36" i="58"/>
  <c r="U35" i="58"/>
  <c r="U34" i="58"/>
  <c r="U33" i="58"/>
  <c r="E22" i="156"/>
  <c r="U59" i="58"/>
  <c r="U58" i="58"/>
  <c r="U57" i="58"/>
  <c r="U54" i="58"/>
  <c r="U53" i="58"/>
  <c r="U52" i="58"/>
  <c r="U51" i="58"/>
  <c r="U50" i="58"/>
  <c r="U49" i="58"/>
  <c r="U48" i="58"/>
  <c r="U47" i="58"/>
  <c r="AK88" i="139"/>
  <c r="E1537" i="140"/>
  <c r="U70" i="58"/>
  <c r="AC69" i="58"/>
  <c r="U69" i="58" s="1"/>
  <c r="U87" i="58"/>
  <c r="U86" i="58"/>
  <c r="U85" i="58"/>
  <c r="U82" i="58"/>
  <c r="U81" i="58"/>
  <c r="U80" i="58"/>
  <c r="U79" i="58"/>
  <c r="U78" i="58"/>
  <c r="U77" i="58"/>
  <c r="U76" i="58"/>
  <c r="U75" i="58"/>
  <c r="AC83" i="58"/>
  <c r="U83" i="58" s="1"/>
  <c r="E21" i="156"/>
  <c r="E19" i="156"/>
  <c r="E18" i="156"/>
  <c r="E17" i="156"/>
  <c r="E16" i="156"/>
  <c r="E15" i="156"/>
  <c r="E14" i="156"/>
  <c r="E13" i="156"/>
  <c r="E12" i="156"/>
  <c r="E10" i="156"/>
  <c r="E9" i="156"/>
  <c r="E8" i="156"/>
  <c r="D5" i="156"/>
  <c r="E4" i="156"/>
  <c r="BB31" i="58"/>
  <c r="BB30" i="58"/>
  <c r="BB29" i="58"/>
  <c r="BB28" i="58"/>
  <c r="BB27" i="58"/>
  <c r="BB26" i="58"/>
  <c r="BB25" i="58"/>
  <c r="BB24" i="58"/>
  <c r="L24" i="58"/>
  <c r="M24" i="58" s="1"/>
  <c r="O24" i="58" s="1"/>
  <c r="BB23" i="58"/>
  <c r="L23" i="58"/>
  <c r="M23" i="58" s="1"/>
  <c r="O23" i="58" s="1"/>
  <c r="BB22" i="58"/>
  <c r="L22" i="58"/>
  <c r="M22" i="58" s="1"/>
  <c r="O22" i="58" s="1"/>
  <c r="BB21" i="58"/>
  <c r="L21" i="58"/>
  <c r="M21" i="58" s="1"/>
  <c r="O21" i="58" s="1"/>
  <c r="BB20" i="58"/>
  <c r="L20" i="58"/>
  <c r="M20" i="58" s="1"/>
  <c r="O20" i="58" s="1"/>
  <c r="BB19" i="58"/>
  <c r="L19" i="58"/>
  <c r="M19" i="58" s="1"/>
  <c r="O19" i="58" s="1"/>
  <c r="BU18" i="58"/>
  <c r="BT18" i="58"/>
  <c r="BS18" i="58"/>
  <c r="BR18" i="58"/>
  <c r="BQ18" i="58"/>
  <c r="BP18" i="58"/>
  <c r="BO18" i="58"/>
  <c r="BN18" i="58"/>
  <c r="BM18" i="58"/>
  <c r="BL18" i="58"/>
  <c r="BK18" i="58"/>
  <c r="BJ18" i="58"/>
  <c r="BI18" i="58"/>
  <c r="BH18" i="58"/>
  <c r="BF18" i="58"/>
  <c r="BD18" i="58"/>
  <c r="BC18" i="58"/>
  <c r="AZ18" i="58"/>
  <c r="AX18" i="58"/>
  <c r="AW18" i="58"/>
  <c r="AV18" i="58"/>
  <c r="AU18" i="58"/>
  <c r="AT18" i="58"/>
  <c r="AS18" i="58"/>
  <c r="AR18" i="58"/>
  <c r="AQ18" i="58"/>
  <c r="AP18" i="58"/>
  <c r="AO18" i="58"/>
  <c r="AN18" i="58"/>
  <c r="AL18" i="58"/>
  <c r="AK18" i="58"/>
  <c r="AJ18" i="58"/>
  <c r="AI18" i="58"/>
  <c r="AH18" i="58"/>
  <c r="AF18" i="58"/>
  <c r="AE18" i="58"/>
  <c r="BB17" i="58"/>
  <c r="BB16" i="58"/>
  <c r="BB15" i="58"/>
  <c r="BB14" i="58"/>
  <c r="BB13" i="58"/>
  <c r="BB12" i="58"/>
  <c r="BB11" i="58"/>
  <c r="BB10" i="58"/>
  <c r="L10" i="58"/>
  <c r="M10" i="58" s="1"/>
  <c r="O10" i="58" s="1"/>
  <c r="BB9" i="58"/>
  <c r="L9" i="58"/>
  <c r="M9" i="58" s="1"/>
  <c r="O9" i="58" s="1"/>
  <c r="BB8" i="58"/>
  <c r="L8" i="58"/>
  <c r="M8" i="58" s="1"/>
  <c r="O8" i="58" s="1"/>
  <c r="BB7" i="58"/>
  <c r="L7" i="58"/>
  <c r="M7" i="58" s="1"/>
  <c r="O7" i="58" s="1"/>
  <c r="BB6" i="58"/>
  <c r="L6" i="58"/>
  <c r="M6" i="58" s="1"/>
  <c r="O6" i="58" s="1"/>
  <c r="BB5" i="58"/>
  <c r="L5" i="58"/>
  <c r="M5" i="58" s="1"/>
  <c r="O5" i="58" s="1"/>
  <c r="BU4" i="58"/>
  <c r="BT4" i="58"/>
  <c r="BS4" i="58"/>
  <c r="BR4" i="58"/>
  <c r="BQ4" i="58"/>
  <c r="BP4" i="58"/>
  <c r="BO4" i="58"/>
  <c r="BN4" i="58"/>
  <c r="BM4" i="58"/>
  <c r="BL4" i="58"/>
  <c r="BK4" i="58"/>
  <c r="BJ4" i="58"/>
  <c r="BI4" i="58"/>
  <c r="BH4" i="58"/>
  <c r="BF4" i="58"/>
  <c r="BD4" i="58"/>
  <c r="BC4" i="58"/>
  <c r="AZ4" i="58"/>
  <c r="AX4" i="58"/>
  <c r="AW4" i="58"/>
  <c r="AV4" i="58"/>
  <c r="AU4" i="58"/>
  <c r="AT4" i="58"/>
  <c r="AS4" i="58"/>
  <c r="AR4" i="58"/>
  <c r="AQ4" i="58"/>
  <c r="AP4" i="58"/>
  <c r="AO4" i="58"/>
  <c r="AN4" i="58"/>
  <c r="AL4" i="58"/>
  <c r="AK4" i="58"/>
  <c r="AJ4" i="58"/>
  <c r="AI4" i="58"/>
  <c r="AH4" i="58"/>
  <c r="AF4" i="58"/>
  <c r="AE4" i="58"/>
  <c r="W4" i="58"/>
  <c r="V4" i="58"/>
  <c r="BB59" i="58"/>
  <c r="BB58" i="58"/>
  <c r="BB57" i="58"/>
  <c r="BB56" i="58"/>
  <c r="BB55" i="58"/>
  <c r="BB54" i="58"/>
  <c r="BB53" i="58"/>
  <c r="BB52" i="58"/>
  <c r="L52" i="58"/>
  <c r="M52" i="58" s="1"/>
  <c r="O52" i="58" s="1"/>
  <c r="BB51" i="58"/>
  <c r="L51" i="58"/>
  <c r="M51" i="58" s="1"/>
  <c r="O51" i="58" s="1"/>
  <c r="BB50" i="58"/>
  <c r="L50" i="58"/>
  <c r="M50" i="58" s="1"/>
  <c r="O50" i="58" s="1"/>
  <c r="BB49" i="58"/>
  <c r="L49" i="58"/>
  <c r="M49" i="58" s="1"/>
  <c r="O49" i="58" s="1"/>
  <c r="BB48" i="58"/>
  <c r="L48" i="58"/>
  <c r="M48" i="58" s="1"/>
  <c r="O48" i="58" s="1"/>
  <c r="BB47" i="58"/>
  <c r="L47" i="58"/>
  <c r="M47" i="58" s="1"/>
  <c r="O47" i="58" s="1"/>
  <c r="BU46" i="58"/>
  <c r="BT46" i="58"/>
  <c r="BS46" i="58"/>
  <c r="BR46" i="58"/>
  <c r="BQ46" i="58"/>
  <c r="BP46" i="58"/>
  <c r="BO46" i="58"/>
  <c r="BN46" i="58"/>
  <c r="BM46" i="58"/>
  <c r="BL46" i="58"/>
  <c r="BK46" i="58"/>
  <c r="BJ46" i="58"/>
  <c r="BI46" i="58"/>
  <c r="BH46" i="58"/>
  <c r="BF46" i="58"/>
  <c r="BD46" i="58"/>
  <c r="BC46" i="58"/>
  <c r="AZ46" i="58"/>
  <c r="AX46" i="58"/>
  <c r="AW46" i="58"/>
  <c r="AV46" i="58"/>
  <c r="AU46" i="58"/>
  <c r="AT46" i="58"/>
  <c r="AS46" i="58"/>
  <c r="AR46" i="58"/>
  <c r="AQ46" i="58"/>
  <c r="AP46" i="58"/>
  <c r="AO46" i="58"/>
  <c r="AN46" i="58"/>
  <c r="AL46" i="58"/>
  <c r="AK46" i="58"/>
  <c r="AJ46" i="58"/>
  <c r="AI46" i="58"/>
  <c r="AH46" i="58"/>
  <c r="AF46" i="58"/>
  <c r="AE46" i="58"/>
  <c r="BB45" i="58"/>
  <c r="BB44" i="58"/>
  <c r="BB43" i="58"/>
  <c r="BB42" i="58"/>
  <c r="BB41" i="58"/>
  <c r="BB40" i="58"/>
  <c r="BB39" i="58"/>
  <c r="BB38" i="58"/>
  <c r="L38" i="58"/>
  <c r="M38" i="58" s="1"/>
  <c r="O38" i="58" s="1"/>
  <c r="BB37" i="58"/>
  <c r="L37" i="58"/>
  <c r="M37" i="58" s="1"/>
  <c r="O37" i="58" s="1"/>
  <c r="BB36" i="58"/>
  <c r="L36" i="58"/>
  <c r="M36" i="58" s="1"/>
  <c r="O36" i="58" s="1"/>
  <c r="BB35" i="58"/>
  <c r="L35" i="58"/>
  <c r="M35" i="58" s="1"/>
  <c r="O35" i="58" s="1"/>
  <c r="BB34" i="58"/>
  <c r="L34" i="58"/>
  <c r="M34" i="58" s="1"/>
  <c r="O34" i="58" s="1"/>
  <c r="BB33" i="58"/>
  <c r="L33" i="58"/>
  <c r="M33" i="58" s="1"/>
  <c r="O33" i="58" s="1"/>
  <c r="BU32" i="58"/>
  <c r="BT32" i="58"/>
  <c r="BS32" i="58"/>
  <c r="BR32" i="58"/>
  <c r="BQ32" i="58"/>
  <c r="BP32" i="58"/>
  <c r="BO32" i="58"/>
  <c r="BN32" i="58"/>
  <c r="BM32" i="58"/>
  <c r="BL32" i="58"/>
  <c r="BK32" i="58"/>
  <c r="BJ32" i="58"/>
  <c r="BI32" i="58"/>
  <c r="BH32" i="58"/>
  <c r="BF32" i="58"/>
  <c r="BD32" i="58"/>
  <c r="BC32" i="58"/>
  <c r="AZ32" i="58"/>
  <c r="AX32" i="58"/>
  <c r="AW32" i="58"/>
  <c r="AV32" i="58"/>
  <c r="AU32" i="58"/>
  <c r="AT32" i="58"/>
  <c r="AS32" i="58"/>
  <c r="AR32" i="58"/>
  <c r="AQ32" i="58"/>
  <c r="AP32" i="58"/>
  <c r="AO32" i="58"/>
  <c r="AN32" i="58"/>
  <c r="AL32" i="58"/>
  <c r="AK32" i="58"/>
  <c r="AJ32" i="58"/>
  <c r="AI32" i="58"/>
  <c r="AH32" i="58"/>
  <c r="AF32" i="58"/>
  <c r="AE32" i="58"/>
  <c r="W32" i="58"/>
  <c r="V32" i="58"/>
  <c r="BB73" i="58"/>
  <c r="U73" i="58"/>
  <c r="BB72" i="58"/>
  <c r="U72" i="58"/>
  <c r="BB71" i="58"/>
  <c r="U71" i="58"/>
  <c r="BB70" i="58"/>
  <c r="BB69" i="58"/>
  <c r="BB68" i="58"/>
  <c r="U68" i="58"/>
  <c r="BB67" i="58"/>
  <c r="U67" i="58"/>
  <c r="BB66" i="58"/>
  <c r="U66" i="58"/>
  <c r="L66" i="58"/>
  <c r="M66" i="58" s="1"/>
  <c r="O66" i="58" s="1"/>
  <c r="BB65" i="58"/>
  <c r="U65" i="58"/>
  <c r="L65" i="58"/>
  <c r="M65" i="58" s="1"/>
  <c r="O65" i="58" s="1"/>
  <c r="BB64" i="58"/>
  <c r="U64" i="58"/>
  <c r="L64" i="58"/>
  <c r="M64" i="58" s="1"/>
  <c r="O64" i="58" s="1"/>
  <c r="BB63" i="58"/>
  <c r="U63" i="58"/>
  <c r="L63" i="58"/>
  <c r="M63" i="58" s="1"/>
  <c r="O63" i="58" s="1"/>
  <c r="BB62" i="58"/>
  <c r="U62" i="58"/>
  <c r="L62" i="58"/>
  <c r="M62" i="58" s="1"/>
  <c r="O62" i="58" s="1"/>
  <c r="BB61" i="58"/>
  <c r="U61" i="58"/>
  <c r="L61" i="58"/>
  <c r="M61" i="58" s="1"/>
  <c r="O61" i="58" s="1"/>
  <c r="BU60" i="58"/>
  <c r="BT60" i="58"/>
  <c r="BS60" i="58"/>
  <c r="BR60" i="58"/>
  <c r="BQ60" i="58"/>
  <c r="BP60" i="58"/>
  <c r="BO60" i="58"/>
  <c r="BN60" i="58"/>
  <c r="BM60" i="58"/>
  <c r="BL60" i="58"/>
  <c r="BK60" i="58"/>
  <c r="BJ60" i="58"/>
  <c r="BI60" i="58"/>
  <c r="BH60" i="58"/>
  <c r="BF60" i="58"/>
  <c r="BD60" i="58"/>
  <c r="BC60" i="58"/>
  <c r="AZ60" i="58"/>
  <c r="AX60" i="58"/>
  <c r="AW60" i="58"/>
  <c r="AV60" i="58"/>
  <c r="AU60" i="58"/>
  <c r="AT60" i="58"/>
  <c r="AS60" i="58"/>
  <c r="AR60" i="58"/>
  <c r="AQ60" i="58"/>
  <c r="AP60" i="58"/>
  <c r="AO60" i="58"/>
  <c r="AN60" i="58"/>
  <c r="AL60" i="58"/>
  <c r="AK60" i="58"/>
  <c r="AJ60" i="58"/>
  <c r="AI60" i="58"/>
  <c r="AH60" i="58"/>
  <c r="AF60" i="58"/>
  <c r="AE60" i="58"/>
  <c r="W60" i="58"/>
  <c r="V60" i="58"/>
  <c r="BB87" i="58"/>
  <c r="BB86" i="58"/>
  <c r="BB85" i="58"/>
  <c r="BB84" i="58"/>
  <c r="BB83" i="58"/>
  <c r="BB82" i="58"/>
  <c r="BB81" i="58"/>
  <c r="BB80" i="58"/>
  <c r="L80" i="58"/>
  <c r="M80" i="58" s="1"/>
  <c r="O80" i="58" s="1"/>
  <c r="BB79" i="58"/>
  <c r="L79" i="58"/>
  <c r="M79" i="58" s="1"/>
  <c r="O79" i="58" s="1"/>
  <c r="BB78" i="58"/>
  <c r="L78" i="58"/>
  <c r="M78" i="58" s="1"/>
  <c r="O78" i="58" s="1"/>
  <c r="BB77" i="58"/>
  <c r="L77" i="58"/>
  <c r="M77" i="58" s="1"/>
  <c r="O77" i="58" s="1"/>
  <c r="BB76" i="58"/>
  <c r="L76" i="58"/>
  <c r="M76" i="58" s="1"/>
  <c r="O76" i="58" s="1"/>
  <c r="BB75" i="58"/>
  <c r="L75" i="58"/>
  <c r="M75" i="58" s="1"/>
  <c r="O75" i="58" s="1"/>
  <c r="BU74" i="58"/>
  <c r="BT74" i="58"/>
  <c r="BS74" i="58"/>
  <c r="BR74" i="58"/>
  <c r="BQ74" i="58"/>
  <c r="BP74" i="58"/>
  <c r="BO74" i="58"/>
  <c r="BN74" i="58"/>
  <c r="BM74" i="58"/>
  <c r="BL74" i="58"/>
  <c r="BK74" i="58"/>
  <c r="BJ74" i="58"/>
  <c r="BI74" i="58"/>
  <c r="BH74" i="58"/>
  <c r="BF74" i="58"/>
  <c r="BD74" i="58"/>
  <c r="BC74" i="58"/>
  <c r="AZ74" i="58"/>
  <c r="AX74" i="58"/>
  <c r="AW74" i="58"/>
  <c r="AV74" i="58"/>
  <c r="AU74" i="58"/>
  <c r="AT74" i="58"/>
  <c r="AS74" i="58"/>
  <c r="AR74" i="58"/>
  <c r="AQ74" i="58"/>
  <c r="AP74" i="58"/>
  <c r="AO74" i="58"/>
  <c r="AN74" i="58"/>
  <c r="AL74" i="58"/>
  <c r="AK74" i="58"/>
  <c r="AJ74" i="58"/>
  <c r="AI74" i="58"/>
  <c r="AH74" i="58"/>
  <c r="AF74" i="58"/>
  <c r="AE74" i="58"/>
  <c r="AC97" i="58"/>
  <c r="AD32" i="58" l="1"/>
  <c r="T20" i="58"/>
  <c r="AC74" i="58"/>
  <c r="T61" i="58"/>
  <c r="T66" i="58"/>
  <c r="T70" i="58"/>
  <c r="T63" i="58"/>
  <c r="T78" i="58"/>
  <c r="T47" i="58"/>
  <c r="T57" i="58"/>
  <c r="T10" i="58"/>
  <c r="T58" i="58"/>
  <c r="T19" i="58"/>
  <c r="T29" i="58"/>
  <c r="T51" i="58"/>
  <c r="T48" i="58"/>
  <c r="T49" i="58"/>
  <c r="T59" i="58"/>
  <c r="T50" i="58"/>
  <c r="T52" i="58"/>
  <c r="T53" i="58"/>
  <c r="T54" i="58"/>
  <c r="T37" i="58"/>
  <c r="T45" i="58"/>
  <c r="T38" i="58"/>
  <c r="T39" i="58"/>
  <c r="T40" i="58"/>
  <c r="T33" i="58"/>
  <c r="T34" i="58"/>
  <c r="T42" i="58"/>
  <c r="T35" i="58"/>
  <c r="T43" i="58"/>
  <c r="T36" i="58"/>
  <c r="T44" i="58"/>
  <c r="T25" i="58"/>
  <c r="T26" i="58"/>
  <c r="T21" i="58"/>
  <c r="T22" i="58"/>
  <c r="T23" i="58"/>
  <c r="T24" i="58"/>
  <c r="T11" i="58"/>
  <c r="T12" i="58"/>
  <c r="T5" i="58"/>
  <c r="T6" i="58"/>
  <c r="T14" i="58"/>
  <c r="T7" i="58"/>
  <c r="T15" i="58"/>
  <c r="T8" i="58"/>
  <c r="T16" i="58"/>
  <c r="T9" i="58"/>
  <c r="T17" i="58"/>
  <c r="T64" i="58"/>
  <c r="T67" i="58"/>
  <c r="T71" i="58"/>
  <c r="T62" i="58"/>
  <c r="T68" i="58"/>
  <c r="T72" i="58"/>
  <c r="T65" i="58"/>
  <c r="T69" i="58"/>
  <c r="T73" i="58"/>
  <c r="T79" i="58"/>
  <c r="T80" i="58"/>
  <c r="T81" i="58"/>
  <c r="T83" i="58"/>
  <c r="T82" i="58"/>
  <c r="T75" i="58"/>
  <c r="T85" i="58"/>
  <c r="T76" i="58"/>
  <c r="T86" i="58"/>
  <c r="T77" i="58"/>
  <c r="T87" i="58"/>
  <c r="AD4" i="58"/>
  <c r="U13" i="58"/>
  <c r="T13" i="58" s="1"/>
  <c r="E23" i="156"/>
  <c r="W18" i="58"/>
  <c r="U41" i="58"/>
  <c r="T41" i="58" s="1"/>
  <c r="W46" i="58"/>
  <c r="E20" i="156"/>
  <c r="V74" i="58"/>
  <c r="W74" i="58"/>
  <c r="U84" i="58"/>
  <c r="T84" i="58" s="1"/>
  <c r="BB4" i="58"/>
  <c r="BB32" i="58"/>
  <c r="BB18" i="58"/>
  <c r="BB46" i="58"/>
  <c r="AC60" i="58"/>
  <c r="AD60" i="58"/>
  <c r="U32" i="58" l="1"/>
  <c r="U4" i="58"/>
  <c r="AD46" i="58"/>
  <c r="U56" i="58"/>
  <c r="T56" i="58" s="1"/>
  <c r="AD74" i="58"/>
  <c r="AC46" i="58"/>
  <c r="U55" i="58"/>
  <c r="T55" i="58" s="1"/>
  <c r="U28" i="58"/>
  <c r="T28" i="58" s="1"/>
  <c r="AD18" i="58"/>
  <c r="U27" i="58"/>
  <c r="T27" i="58" s="1"/>
  <c r="AC18" i="58"/>
  <c r="U31" i="58"/>
  <c r="T31" i="58" s="1"/>
  <c r="V18" i="58"/>
  <c r="U30" i="58"/>
  <c r="T30" i="58" s="1"/>
  <c r="V46" i="58"/>
  <c r="T4" i="58"/>
  <c r="T32" i="58"/>
  <c r="U46" i="58" l="1"/>
  <c r="T46" i="58"/>
  <c r="U18" i="58"/>
  <c r="T18" i="58"/>
  <c r="D1564" i="140"/>
  <c r="E1564" i="140"/>
  <c r="BU288" i="58"/>
  <c r="BU274" i="58"/>
  <c r="BU260" i="58"/>
  <c r="BU246" i="58"/>
  <c r="BU231" i="58"/>
  <c r="BU216" i="58"/>
  <c r="BU202" i="58"/>
  <c r="BU188" i="58"/>
  <c r="BU174" i="58"/>
  <c r="BU160" i="58"/>
  <c r="BU145" i="58"/>
  <c r="BU130" i="58"/>
  <c r="BU116" i="58"/>
  <c r="BU102" i="58"/>
  <c r="BU88" i="58"/>
  <c r="AX288" i="58"/>
  <c r="AX274" i="58"/>
  <c r="AX260" i="58"/>
  <c r="AX246" i="58"/>
  <c r="AX231" i="58"/>
  <c r="AX216" i="58"/>
  <c r="AX202" i="58"/>
  <c r="AX188" i="58"/>
  <c r="AX174" i="58"/>
  <c r="AX160" i="58"/>
  <c r="AX145" i="58"/>
  <c r="AX130" i="58"/>
  <c r="AX116" i="58"/>
  <c r="AX102" i="58"/>
  <c r="AX88" i="58"/>
  <c r="AW288" i="58"/>
  <c r="AW274" i="58"/>
  <c r="AW260" i="58"/>
  <c r="AW246" i="58"/>
  <c r="AW231" i="58"/>
  <c r="AW216" i="58"/>
  <c r="AW202" i="58"/>
  <c r="AW188" i="58"/>
  <c r="AW174" i="58"/>
  <c r="AW160" i="58"/>
  <c r="AW145" i="58"/>
  <c r="AW130" i="58"/>
  <c r="AW116" i="58"/>
  <c r="AW102" i="58"/>
  <c r="AW88" i="58"/>
  <c r="AV288" i="58"/>
  <c r="AV274" i="58"/>
  <c r="AV260" i="58"/>
  <c r="AV246" i="58"/>
  <c r="AV231" i="58"/>
  <c r="AV216" i="58"/>
  <c r="AV202" i="58"/>
  <c r="AV188" i="58"/>
  <c r="AV174" i="58"/>
  <c r="AV160" i="58"/>
  <c r="AV145" i="58"/>
  <c r="AV130" i="58"/>
  <c r="AV116" i="58"/>
  <c r="AV102" i="58"/>
  <c r="AV88" i="58"/>
  <c r="AH144" i="139"/>
  <c r="AH130" i="139"/>
  <c r="AH79" i="139"/>
  <c r="Y30" i="156"/>
  <c r="X30" i="156" s="1"/>
  <c r="Y29" i="156"/>
  <c r="X29" i="156" s="1"/>
  <c r="Y28" i="156"/>
  <c r="X28" i="156" s="1"/>
  <c r="Y27" i="156"/>
  <c r="X27" i="156" s="1"/>
  <c r="Y26" i="156"/>
  <c r="X26" i="156" s="1"/>
  <c r="Y25" i="156"/>
  <c r="X25" i="156" s="1"/>
  <c r="Y24" i="156"/>
  <c r="X24" i="156" s="1"/>
  <c r="AH58" i="139"/>
  <c r="AH94" i="139"/>
  <c r="AH110" i="139"/>
  <c r="E1458" i="140"/>
  <c r="H239" i="106"/>
  <c r="Z238" i="106"/>
  <c r="Y238" i="106"/>
  <c r="X238" i="106"/>
  <c r="W238" i="106"/>
  <c r="V238" i="106"/>
  <c r="U238" i="106"/>
  <c r="T238" i="106"/>
  <c r="S238" i="106"/>
  <c r="R238" i="106"/>
  <c r="Q238" i="106"/>
  <c r="P238" i="106"/>
  <c r="O238" i="106"/>
  <c r="N238" i="106"/>
  <c r="M238" i="106"/>
  <c r="L238" i="106"/>
  <c r="K238" i="106"/>
  <c r="J238" i="106"/>
  <c r="I238" i="106"/>
  <c r="H237" i="106"/>
  <c r="H236" i="106"/>
  <c r="H235" i="106"/>
  <c r="H234" i="106"/>
  <c r="H233" i="106"/>
  <c r="H253" i="106"/>
  <c r="Z252" i="106"/>
  <c r="Y252" i="106"/>
  <c r="X252" i="106"/>
  <c r="W252" i="106"/>
  <c r="V252" i="106"/>
  <c r="U252" i="106"/>
  <c r="T252" i="106"/>
  <c r="S252" i="106"/>
  <c r="R252" i="106"/>
  <c r="Q252" i="106"/>
  <c r="P252" i="106"/>
  <c r="O252" i="106"/>
  <c r="N252" i="106"/>
  <c r="M252" i="106"/>
  <c r="L252" i="106"/>
  <c r="K252" i="106"/>
  <c r="J252" i="106"/>
  <c r="I252" i="106"/>
  <c r="H251" i="106"/>
  <c r="H250" i="106"/>
  <c r="H249" i="106"/>
  <c r="H248" i="106"/>
  <c r="H247" i="106"/>
  <c r="H246" i="106"/>
  <c r="Z245" i="106"/>
  <c r="Y245" i="106"/>
  <c r="X245" i="106"/>
  <c r="W245" i="106"/>
  <c r="V245" i="106"/>
  <c r="U245" i="106"/>
  <c r="T245" i="106"/>
  <c r="S245" i="106"/>
  <c r="R245" i="106"/>
  <c r="Q245" i="106"/>
  <c r="P245" i="106"/>
  <c r="O245" i="106"/>
  <c r="N245" i="106"/>
  <c r="M245" i="106"/>
  <c r="L245" i="106"/>
  <c r="K245" i="106"/>
  <c r="J245" i="106"/>
  <c r="I245" i="106"/>
  <c r="H244" i="106"/>
  <c r="H243" i="106"/>
  <c r="H242" i="106"/>
  <c r="H241" i="106"/>
  <c r="H240" i="106"/>
  <c r="H267" i="106"/>
  <c r="Z266" i="106"/>
  <c r="Y266" i="106"/>
  <c r="X266" i="106"/>
  <c r="W266" i="106"/>
  <c r="V266" i="106"/>
  <c r="U266" i="106"/>
  <c r="T266" i="106"/>
  <c r="S266" i="106"/>
  <c r="R266" i="106"/>
  <c r="Q266" i="106"/>
  <c r="P266" i="106"/>
  <c r="O266" i="106"/>
  <c r="N266" i="106"/>
  <c r="M266" i="106"/>
  <c r="L266" i="106"/>
  <c r="K266" i="106"/>
  <c r="J266" i="106"/>
  <c r="I266" i="106"/>
  <c r="H265" i="106"/>
  <c r="H264" i="106"/>
  <c r="H263" i="106"/>
  <c r="H262" i="106"/>
  <c r="H261" i="106"/>
  <c r="H260" i="106"/>
  <c r="Z259" i="106"/>
  <c r="Y259" i="106"/>
  <c r="X259" i="106"/>
  <c r="W259" i="106"/>
  <c r="V259" i="106"/>
  <c r="U259" i="106"/>
  <c r="T259" i="106"/>
  <c r="S259" i="106"/>
  <c r="R259" i="106"/>
  <c r="Q259" i="106"/>
  <c r="P259" i="106"/>
  <c r="O259" i="106"/>
  <c r="N259" i="106"/>
  <c r="M259" i="106"/>
  <c r="L259" i="106"/>
  <c r="K259" i="106"/>
  <c r="J259" i="106"/>
  <c r="I259" i="106"/>
  <c r="H258" i="106"/>
  <c r="H257" i="106"/>
  <c r="H256" i="106"/>
  <c r="H255" i="106"/>
  <c r="H254" i="106"/>
  <c r="H274" i="106"/>
  <c r="Z273" i="106"/>
  <c r="Y273" i="106"/>
  <c r="X273" i="106"/>
  <c r="W273" i="106"/>
  <c r="V273" i="106"/>
  <c r="U273" i="106"/>
  <c r="T273" i="106"/>
  <c r="S273" i="106"/>
  <c r="R273" i="106"/>
  <c r="Q273" i="106"/>
  <c r="P273" i="106"/>
  <c r="O273" i="106"/>
  <c r="N273" i="106"/>
  <c r="M273" i="106"/>
  <c r="L273" i="106"/>
  <c r="K273" i="106"/>
  <c r="J273" i="106"/>
  <c r="I273" i="106"/>
  <c r="H272" i="106"/>
  <c r="H271" i="106"/>
  <c r="H270" i="106"/>
  <c r="H269" i="106"/>
  <c r="H268" i="106"/>
  <c r="H190" i="106"/>
  <c r="Z189" i="106"/>
  <c r="Y189" i="106"/>
  <c r="X189" i="106"/>
  <c r="W189" i="106"/>
  <c r="V189" i="106"/>
  <c r="U189" i="106"/>
  <c r="T189" i="106"/>
  <c r="S189" i="106"/>
  <c r="R189" i="106"/>
  <c r="Q189" i="106"/>
  <c r="P189" i="106"/>
  <c r="O189" i="106"/>
  <c r="N189" i="106"/>
  <c r="M189" i="106"/>
  <c r="L189" i="106"/>
  <c r="K189" i="106"/>
  <c r="J189" i="106"/>
  <c r="I189" i="106"/>
  <c r="H188" i="106"/>
  <c r="H187" i="106"/>
  <c r="H186" i="106"/>
  <c r="H185" i="106"/>
  <c r="H184" i="106"/>
  <c r="H183" i="106"/>
  <c r="Z182" i="106"/>
  <c r="Y182" i="106"/>
  <c r="X182" i="106"/>
  <c r="W182" i="106"/>
  <c r="V182" i="106"/>
  <c r="U182" i="106"/>
  <c r="T182" i="106"/>
  <c r="S182" i="106"/>
  <c r="R182" i="106"/>
  <c r="Q182" i="106"/>
  <c r="P182" i="106"/>
  <c r="O182" i="106"/>
  <c r="N182" i="106"/>
  <c r="M182" i="106"/>
  <c r="L182" i="106"/>
  <c r="K182" i="106"/>
  <c r="J182" i="106"/>
  <c r="I182" i="106"/>
  <c r="H181" i="106"/>
  <c r="H180" i="106"/>
  <c r="H179" i="106"/>
  <c r="H178" i="106"/>
  <c r="H177" i="106"/>
  <c r="H204" i="106"/>
  <c r="Z203" i="106"/>
  <c r="Y203" i="106"/>
  <c r="X203" i="106"/>
  <c r="W203" i="106"/>
  <c r="V203" i="106"/>
  <c r="U203" i="106"/>
  <c r="T203" i="106"/>
  <c r="S203" i="106"/>
  <c r="R203" i="106"/>
  <c r="Q203" i="106"/>
  <c r="P203" i="106"/>
  <c r="O203" i="106"/>
  <c r="N203" i="106"/>
  <c r="M203" i="106"/>
  <c r="L203" i="106"/>
  <c r="K203" i="106"/>
  <c r="J203" i="106"/>
  <c r="I203" i="106"/>
  <c r="H202" i="106"/>
  <c r="H201" i="106"/>
  <c r="H200" i="106"/>
  <c r="H199" i="106"/>
  <c r="H198" i="106"/>
  <c r="BU3" i="58" l="1"/>
  <c r="AX3" i="58"/>
  <c r="AV3" i="58"/>
  <c r="AW3" i="58"/>
  <c r="H238" i="106"/>
  <c r="H245" i="106"/>
  <c r="H252" i="106"/>
  <c r="H266" i="106"/>
  <c r="H259" i="106"/>
  <c r="H273" i="106"/>
  <c r="H182" i="106"/>
  <c r="H189" i="106"/>
  <c r="H203" i="106"/>
  <c r="AF38" i="156" l="1"/>
  <c r="AF37" i="156"/>
  <c r="AF36" i="156"/>
  <c r="AF35" i="156"/>
  <c r="AF34" i="156"/>
  <c r="AF33" i="156"/>
  <c r="AF32" i="156"/>
  <c r="AF31" i="156"/>
  <c r="AF30" i="156"/>
  <c r="AF29" i="156"/>
  <c r="AF28" i="156"/>
  <c r="AF27" i="156"/>
  <c r="AF26" i="156"/>
  <c r="AF25" i="156"/>
  <c r="AF24" i="156"/>
  <c r="AF23" i="156"/>
  <c r="AF22" i="156"/>
  <c r="AF21" i="156"/>
  <c r="AF20" i="156"/>
  <c r="AF19" i="156"/>
  <c r="AF18" i="156"/>
  <c r="AF17" i="156"/>
  <c r="AF16" i="156"/>
  <c r="AF15" i="156"/>
  <c r="AF14" i="156"/>
  <c r="AF13" i="156"/>
  <c r="AF12" i="156"/>
  <c r="AF11" i="156"/>
  <c r="AF10" i="156"/>
  <c r="AF9" i="156"/>
  <c r="AF8" i="156"/>
  <c r="AF7" i="156"/>
  <c r="AF6" i="156"/>
  <c r="AF5" i="156"/>
  <c r="AF4" i="156"/>
  <c r="AF3" i="156"/>
  <c r="AC38" i="156"/>
  <c r="AC37" i="156"/>
  <c r="AC36" i="156"/>
  <c r="AC35" i="156"/>
  <c r="AC34" i="156"/>
  <c r="AC33" i="156"/>
  <c r="AC32" i="156"/>
  <c r="AC31" i="156"/>
  <c r="AC30" i="156"/>
  <c r="AC29" i="156"/>
  <c r="AC28" i="156"/>
  <c r="AC27" i="156"/>
  <c r="AC26" i="156"/>
  <c r="AC25" i="156"/>
  <c r="AC24" i="156"/>
  <c r="AC23" i="156"/>
  <c r="AC22" i="156"/>
  <c r="AC21" i="156"/>
  <c r="AC20" i="156"/>
  <c r="AC19" i="156"/>
  <c r="AC18" i="156"/>
  <c r="AC17" i="156"/>
  <c r="AC16" i="156"/>
  <c r="AC15" i="156"/>
  <c r="AC14" i="156"/>
  <c r="AC13" i="156"/>
  <c r="AC12" i="156"/>
  <c r="AC11" i="156"/>
  <c r="AC10" i="156"/>
  <c r="AC9" i="156"/>
  <c r="AC8" i="156"/>
  <c r="AC7" i="156"/>
  <c r="AC6" i="156"/>
  <c r="AC5" i="156"/>
  <c r="AC4" i="156"/>
  <c r="AC3" i="156"/>
  <c r="Y23" i="156"/>
  <c r="Y22" i="156"/>
  <c r="Y21" i="156"/>
  <c r="G143" i="139"/>
  <c r="AI143" i="139"/>
  <c r="E1450" i="140"/>
  <c r="E1497" i="140" s="1"/>
  <c r="F36" i="134"/>
  <c r="F35" i="134"/>
  <c r="F34" i="134"/>
  <c r="F33" i="134"/>
  <c r="F32" i="134"/>
  <c r="F31" i="134"/>
  <c r="F30" i="134"/>
  <c r="F29" i="134"/>
  <c r="F28" i="134"/>
  <c r="F27" i="134"/>
  <c r="F26" i="134"/>
  <c r="F25" i="134"/>
  <c r="F24" i="134"/>
  <c r="F23" i="134"/>
  <c r="F22" i="134"/>
  <c r="F21" i="134"/>
  <c r="F20" i="134"/>
  <c r="F19" i="134"/>
  <c r="F18" i="134"/>
  <c r="F17" i="134"/>
  <c r="F16" i="134"/>
  <c r="F15" i="134"/>
  <c r="F14" i="134"/>
  <c r="AH96" i="139"/>
  <c r="DZ143" i="139"/>
  <c r="DM143" i="139"/>
  <c r="CZ143" i="139"/>
  <c r="CM143" i="139"/>
  <c r="BY143" i="139"/>
  <c r="BK143" i="139"/>
  <c r="AW143" i="139"/>
  <c r="U143" i="139"/>
  <c r="AH107" i="139"/>
  <c r="AI52" i="139"/>
  <c r="AH91" i="139"/>
  <c r="DZ52" i="139"/>
  <c r="DM52" i="139"/>
  <c r="CZ52" i="139"/>
  <c r="CM52" i="139"/>
  <c r="BY52" i="139"/>
  <c r="BK52" i="139"/>
  <c r="AW52" i="139"/>
  <c r="U52" i="139"/>
  <c r="G52" i="139"/>
  <c r="E1392" i="140"/>
  <c r="AG58" i="139"/>
  <c r="AG86" i="139"/>
  <c r="AG67" i="139"/>
  <c r="E1394" i="140"/>
  <c r="AG79" i="139"/>
  <c r="E1382" i="140"/>
  <c r="D1497" i="140" l="1"/>
  <c r="W21" i="156"/>
  <c r="X21" i="156"/>
  <c r="W22" i="156"/>
  <c r="X22" i="156"/>
  <c r="W23" i="156"/>
  <c r="X23" i="156"/>
  <c r="AC288" i="58" l="1"/>
  <c r="AC274" i="58"/>
  <c r="AC260" i="58"/>
  <c r="AC246" i="58"/>
  <c r="AC231" i="58"/>
  <c r="AC216" i="58"/>
  <c r="AC202" i="58"/>
  <c r="AC188" i="58"/>
  <c r="AC174" i="58"/>
  <c r="AC160" i="58"/>
  <c r="AC130" i="58"/>
  <c r="AC116" i="58"/>
  <c r="AC102" i="58"/>
  <c r="AC88" i="58"/>
  <c r="AG130" i="139"/>
  <c r="AG114" i="139"/>
  <c r="E1397" i="140"/>
  <c r="E1416" i="140" l="1"/>
  <c r="AF86" i="139"/>
  <c r="D1416" i="140" l="1"/>
  <c r="AF79" i="139"/>
  <c r="AF88" i="139"/>
  <c r="AF67" i="139"/>
  <c r="E1338" i="140"/>
  <c r="E1336" i="140"/>
  <c r="AF59" i="139"/>
  <c r="AF77" i="139"/>
  <c r="E1340" i="140"/>
  <c r="AF42" i="139"/>
  <c r="AF65" i="139"/>
  <c r="AF146" i="139"/>
  <c r="E1361" i="140" l="1"/>
  <c r="D1361" i="140"/>
  <c r="E1298" i="140" l="1"/>
  <c r="AE59" i="139"/>
  <c r="AE79" i="139"/>
  <c r="AE58" i="139"/>
  <c r="E1265" i="140"/>
  <c r="E1255" i="140"/>
  <c r="AE110" i="139"/>
  <c r="AE37" i="139"/>
  <c r="AE77" i="139"/>
  <c r="AE86" i="139" l="1"/>
  <c r="E1287" i="140"/>
  <c r="AE94" i="139"/>
  <c r="AE130" i="139"/>
  <c r="DZ84" i="139"/>
  <c r="DM84" i="139"/>
  <c r="CZ84" i="139"/>
  <c r="CM84" i="139"/>
  <c r="BY84" i="139"/>
  <c r="BK84" i="139"/>
  <c r="AW84" i="139"/>
  <c r="AI84" i="139"/>
  <c r="U84" i="139"/>
  <c r="G84" i="139"/>
  <c r="E1251" i="140"/>
  <c r="AE42" i="139"/>
  <c r="U161" i="58"/>
  <c r="AD58" i="139"/>
  <c r="AD88" i="139"/>
  <c r="AD130" i="139"/>
  <c r="E1206" i="140"/>
  <c r="AD77" i="139"/>
  <c r="E1203" i="140"/>
  <c r="AD67" i="139"/>
  <c r="E1204" i="140"/>
  <c r="AD114" i="139"/>
  <c r="E1212" i="140"/>
  <c r="E1200" i="140"/>
  <c r="E1215" i="140"/>
  <c r="E1207" i="140"/>
  <c r="AD42" i="139"/>
  <c r="E1196" i="140"/>
  <c r="DZ126" i="139"/>
  <c r="DM126" i="139"/>
  <c r="CZ126" i="139"/>
  <c r="CM126" i="139"/>
  <c r="BY126" i="139"/>
  <c r="BK126" i="139"/>
  <c r="AW126" i="139"/>
  <c r="AI126" i="139"/>
  <c r="U126" i="139"/>
  <c r="G126" i="139"/>
  <c r="AC79" i="139"/>
  <c r="D1234" i="140" l="1"/>
  <c r="E1305" i="140"/>
  <c r="D1305" i="140"/>
  <c r="E1234" i="140"/>
  <c r="E1174" i="140"/>
  <c r="AC58" i="139"/>
  <c r="E1166" i="140"/>
  <c r="E1147" i="140"/>
  <c r="E1158" i="140"/>
  <c r="AC130" i="139"/>
  <c r="E1142" i="140"/>
  <c r="E1171" i="140"/>
  <c r="AC77" i="139"/>
  <c r="AC110" i="139"/>
  <c r="E1169" i="140"/>
  <c r="AC111" i="139"/>
  <c r="AI111" i="139" s="1"/>
  <c r="AC146" i="139"/>
  <c r="DZ104" i="139"/>
  <c r="DM104" i="139"/>
  <c r="CZ104" i="139"/>
  <c r="CM104" i="139"/>
  <c r="BY104" i="139"/>
  <c r="BK104" i="139"/>
  <c r="AW104" i="139"/>
  <c r="AI104" i="139"/>
  <c r="U104" i="139"/>
  <c r="G104" i="139"/>
  <c r="DY29" i="139"/>
  <c r="DX29" i="139"/>
  <c r="DW29" i="139"/>
  <c r="DV29" i="139"/>
  <c r="DU29" i="139"/>
  <c r="DT29" i="139"/>
  <c r="DS29" i="139"/>
  <c r="DR29" i="139"/>
  <c r="DQ29" i="139"/>
  <c r="DP29" i="139"/>
  <c r="DO29" i="139"/>
  <c r="DN29" i="139"/>
  <c r="DL29" i="139"/>
  <c r="DK29" i="139"/>
  <c r="DJ29" i="139"/>
  <c r="DI29" i="139"/>
  <c r="DH29" i="139"/>
  <c r="DG29" i="139"/>
  <c r="DF29" i="139"/>
  <c r="DE29" i="139"/>
  <c r="DD29" i="139"/>
  <c r="DC29" i="139"/>
  <c r="DB29" i="139"/>
  <c r="DA29" i="139"/>
  <c r="CY29" i="139"/>
  <c r="CX29" i="139"/>
  <c r="CW29" i="139"/>
  <c r="CV29" i="139"/>
  <c r="CU29" i="139"/>
  <c r="CT29" i="139"/>
  <c r="CS29" i="139"/>
  <c r="CR29" i="139"/>
  <c r="CQ29" i="139"/>
  <c r="CP29" i="139"/>
  <c r="CO29" i="139"/>
  <c r="CN29" i="139"/>
  <c r="CL29" i="139"/>
  <c r="CK29" i="139"/>
  <c r="CJ29" i="139"/>
  <c r="CI29" i="139"/>
  <c r="CH29" i="139"/>
  <c r="CG29" i="139"/>
  <c r="CF29" i="139"/>
  <c r="CE29" i="139"/>
  <c r="CD29" i="139"/>
  <c r="CC29" i="139"/>
  <c r="CB29" i="139"/>
  <c r="CA29" i="139"/>
  <c r="BX29" i="139"/>
  <c r="BW29" i="139"/>
  <c r="BV29" i="139"/>
  <c r="BU29" i="139"/>
  <c r="BT29" i="139"/>
  <c r="BS29" i="139"/>
  <c r="BR29" i="139"/>
  <c r="BQ29" i="139"/>
  <c r="BP29" i="139"/>
  <c r="BO29" i="139"/>
  <c r="BN29" i="139"/>
  <c r="BM29" i="139"/>
  <c r="BJ29" i="139"/>
  <c r="BI29" i="139"/>
  <c r="BH29" i="139"/>
  <c r="BG29" i="139"/>
  <c r="BF29" i="139"/>
  <c r="BE29" i="139"/>
  <c r="BD29" i="139"/>
  <c r="BC29" i="139"/>
  <c r="BB29" i="139"/>
  <c r="BA29" i="139"/>
  <c r="AZ29" i="139"/>
  <c r="AY29" i="139"/>
  <c r="AV29" i="139"/>
  <c r="AU29" i="139"/>
  <c r="AT29" i="139"/>
  <c r="AS29" i="139"/>
  <c r="AR29" i="139"/>
  <c r="AQ29" i="139"/>
  <c r="AP29" i="139"/>
  <c r="AO29" i="139"/>
  <c r="AN29" i="139"/>
  <c r="AM29" i="139"/>
  <c r="AL29" i="139"/>
  <c r="AK29" i="139"/>
  <c r="AH29" i="139"/>
  <c r="AG29" i="139"/>
  <c r="AF29" i="139"/>
  <c r="AE29" i="139"/>
  <c r="AD29" i="139"/>
  <c r="AC29" i="139"/>
  <c r="AB29" i="139"/>
  <c r="Z29" i="139"/>
  <c r="X29" i="139"/>
  <c r="W29" i="139"/>
  <c r="T29" i="139"/>
  <c r="S29" i="139"/>
  <c r="R29" i="139"/>
  <c r="Q29" i="139"/>
  <c r="P29" i="139"/>
  <c r="O29" i="139"/>
  <c r="N29" i="139"/>
  <c r="M29" i="139"/>
  <c r="L29" i="139"/>
  <c r="K29" i="139"/>
  <c r="J29" i="139"/>
  <c r="I29" i="139"/>
  <c r="F29" i="139"/>
  <c r="G29" i="139" s="1"/>
  <c r="DZ30" i="139"/>
  <c r="DM30" i="139"/>
  <c r="CZ30" i="139"/>
  <c r="CM30" i="139"/>
  <c r="BY30" i="139"/>
  <c r="BK30" i="139"/>
  <c r="AW30" i="139"/>
  <c r="AA30" i="139"/>
  <c r="AA29" i="139" s="1"/>
  <c r="Y30" i="139"/>
  <c r="U30" i="139"/>
  <c r="G30" i="139"/>
  <c r="DZ17" i="139"/>
  <c r="DM17" i="139"/>
  <c r="CZ17" i="139"/>
  <c r="CM17" i="139"/>
  <c r="BY17" i="139"/>
  <c r="BK17" i="139"/>
  <c r="AW17" i="139"/>
  <c r="AI17" i="139"/>
  <c r="U17" i="139"/>
  <c r="G17" i="139"/>
  <c r="E1120" i="140"/>
  <c r="E1146" i="140"/>
  <c r="E1104" i="140"/>
  <c r="AB110" i="139"/>
  <c r="F5" i="152"/>
  <c r="F4" i="152"/>
  <c r="F3" i="152"/>
  <c r="F2" i="152"/>
  <c r="A111" i="152"/>
  <c r="A110" i="152"/>
  <c r="A109" i="152"/>
  <c r="A108" i="152"/>
  <c r="A107" i="152"/>
  <c r="A106" i="152"/>
  <c r="A105" i="152"/>
  <c r="A104" i="152"/>
  <c r="A103" i="152"/>
  <c r="A102" i="152"/>
  <c r="A101" i="152"/>
  <c r="A100" i="152"/>
  <c r="A99" i="152"/>
  <c r="A98" i="152"/>
  <c r="A97" i="152"/>
  <c r="A96" i="152"/>
  <c r="A95" i="152"/>
  <c r="A94" i="152"/>
  <c r="A93" i="152"/>
  <c r="A92" i="152"/>
  <c r="A91" i="152"/>
  <c r="A90" i="152"/>
  <c r="A89" i="152"/>
  <c r="A88" i="152"/>
  <c r="A87" i="152"/>
  <c r="A86" i="152"/>
  <c r="A85" i="152"/>
  <c r="A84" i="152"/>
  <c r="A83" i="152"/>
  <c r="A82" i="152"/>
  <c r="A81" i="152"/>
  <c r="A80" i="152"/>
  <c r="A79" i="152"/>
  <c r="A78" i="152"/>
  <c r="A77" i="152"/>
  <c r="A76" i="152"/>
  <c r="A75" i="152"/>
  <c r="A74" i="152"/>
  <c r="A73" i="152"/>
  <c r="A72" i="152"/>
  <c r="A71" i="152"/>
  <c r="A70" i="152"/>
  <c r="A69" i="152"/>
  <c r="A68" i="152"/>
  <c r="A67" i="152"/>
  <c r="A66" i="152"/>
  <c r="A65" i="152"/>
  <c r="A64" i="152"/>
  <c r="A63" i="152"/>
  <c r="A62" i="152"/>
  <c r="A61" i="152"/>
  <c r="A60" i="152"/>
  <c r="A59" i="152"/>
  <c r="A58" i="152"/>
  <c r="A57" i="152"/>
  <c r="A56" i="152"/>
  <c r="A55" i="152"/>
  <c r="A54" i="152"/>
  <c r="A53" i="152"/>
  <c r="A52" i="152"/>
  <c r="A51" i="152"/>
  <c r="A50" i="152"/>
  <c r="A49" i="152"/>
  <c r="A48" i="152"/>
  <c r="A47" i="152"/>
  <c r="A46" i="152"/>
  <c r="A45" i="152"/>
  <c r="A44" i="152"/>
  <c r="A43" i="152"/>
  <c r="A42" i="152"/>
  <c r="A41" i="152"/>
  <c r="A40" i="152"/>
  <c r="A39" i="152"/>
  <c r="A38" i="152"/>
  <c r="A37" i="152"/>
  <c r="A36" i="152"/>
  <c r="A35" i="152"/>
  <c r="A34" i="152"/>
  <c r="A33" i="152"/>
  <c r="A32" i="152"/>
  <c r="A31" i="152"/>
  <c r="A30" i="152"/>
  <c r="A29" i="152"/>
  <c r="A28" i="152"/>
  <c r="A27" i="152"/>
  <c r="A26" i="152"/>
  <c r="A25" i="152"/>
  <c r="A24" i="152"/>
  <c r="A23" i="152"/>
  <c r="A22" i="152"/>
  <c r="A21" i="152"/>
  <c r="A20" i="152"/>
  <c r="A19" i="152"/>
  <c r="A18" i="152"/>
  <c r="A17" i="152"/>
  <c r="A16" i="152"/>
  <c r="A15" i="152"/>
  <c r="A14" i="152"/>
  <c r="A13" i="152"/>
  <c r="A12" i="152"/>
  <c r="A11" i="152"/>
  <c r="A10" i="152"/>
  <c r="A9" i="152"/>
  <c r="A8" i="152"/>
  <c r="A7" i="152"/>
  <c r="F7" i="152"/>
  <c r="F8" i="152" s="1"/>
  <c r="F9" i="152" s="1"/>
  <c r="F10" i="152" s="1"/>
  <c r="F11" i="152" s="1"/>
  <c r="F12" i="152" s="1"/>
  <c r="F13" i="152" s="1"/>
  <c r="F14" i="152" s="1"/>
  <c r="F15" i="152" s="1"/>
  <c r="F16" i="152" s="1"/>
  <c r="F17" i="152" s="1"/>
  <c r="F18" i="152" s="1"/>
  <c r="F19" i="152" s="1"/>
  <c r="F20" i="152" s="1"/>
  <c r="F21" i="152" s="1"/>
  <c r="F22" i="152" s="1"/>
  <c r="F23" i="152" s="1"/>
  <c r="F24" i="152" s="1"/>
  <c r="F25" i="152" s="1"/>
  <c r="F26" i="152" s="1"/>
  <c r="F27" i="152" s="1"/>
  <c r="F28" i="152" s="1"/>
  <c r="F29" i="152" s="1"/>
  <c r="F30" i="152" s="1"/>
  <c r="F31" i="152" s="1"/>
  <c r="F32" i="152" s="1"/>
  <c r="F33" i="152" s="1"/>
  <c r="F34" i="152" s="1"/>
  <c r="F35" i="152" s="1"/>
  <c r="F36" i="152" s="1"/>
  <c r="F37" i="152" s="1"/>
  <c r="F38" i="152" s="1"/>
  <c r="F39" i="152" s="1"/>
  <c r="F40" i="152" s="1"/>
  <c r="F41" i="152" s="1"/>
  <c r="F42" i="152" s="1"/>
  <c r="F43" i="152" s="1"/>
  <c r="F44" i="152" s="1"/>
  <c r="F45" i="152" s="1"/>
  <c r="F46" i="152" s="1"/>
  <c r="F47" i="152" s="1"/>
  <c r="F48" i="152" s="1"/>
  <c r="F49" i="152" s="1"/>
  <c r="F50" i="152" s="1"/>
  <c r="F51" i="152" s="1"/>
  <c r="F52" i="152" s="1"/>
  <c r="F53" i="152" s="1"/>
  <c r="F54" i="152" s="1"/>
  <c r="F55" i="152" s="1"/>
  <c r="F56" i="152" s="1"/>
  <c r="F57" i="152" s="1"/>
  <c r="F58" i="152" s="1"/>
  <c r="F59" i="152" s="1"/>
  <c r="F60" i="152" s="1"/>
  <c r="F61" i="152" s="1"/>
  <c r="F62" i="152" s="1"/>
  <c r="F63" i="152" s="1"/>
  <c r="F64" i="152" s="1"/>
  <c r="F65" i="152" s="1"/>
  <c r="F66" i="152" s="1"/>
  <c r="F67" i="152" s="1"/>
  <c r="F68" i="152" s="1"/>
  <c r="F69" i="152" s="1"/>
  <c r="F70" i="152" s="1"/>
  <c r="F71" i="152" s="1"/>
  <c r="F72" i="152" s="1"/>
  <c r="F73" i="152" s="1"/>
  <c r="F74" i="152" s="1"/>
  <c r="F75" i="152" s="1"/>
  <c r="F76" i="152" s="1"/>
  <c r="F77" i="152" s="1"/>
  <c r="F78" i="152" s="1"/>
  <c r="F79" i="152" s="1"/>
  <c r="F80" i="152" s="1"/>
  <c r="F81" i="152" s="1"/>
  <c r="F82" i="152" s="1"/>
  <c r="F83" i="152" s="1"/>
  <c r="F84" i="152" s="1"/>
  <c r="F85" i="152" s="1"/>
  <c r="F86" i="152" s="1"/>
  <c r="F87" i="152" s="1"/>
  <c r="F88" i="152" s="1"/>
  <c r="F89" i="152" s="1"/>
  <c r="F90" i="152" s="1"/>
  <c r="F91" i="152" s="1"/>
  <c r="F92" i="152" s="1"/>
  <c r="F93" i="152" s="1"/>
  <c r="F94" i="152" s="1"/>
  <c r="F95" i="152" s="1"/>
  <c r="F96" i="152" s="1"/>
  <c r="F97" i="152" s="1"/>
  <c r="F98" i="152" s="1"/>
  <c r="F99" i="152" s="1"/>
  <c r="F100" i="152" s="1"/>
  <c r="F101" i="152" s="1"/>
  <c r="F102" i="152" s="1"/>
  <c r="F103" i="152" s="1"/>
  <c r="F104" i="152" s="1"/>
  <c r="F105" i="152" s="1"/>
  <c r="F106" i="152" s="1"/>
  <c r="F107" i="152" s="1"/>
  <c r="F108" i="152" s="1"/>
  <c r="F109" i="152" s="1"/>
  <c r="F110" i="152" s="1"/>
  <c r="F111" i="152" s="1"/>
  <c r="DZ111" i="139"/>
  <c r="DM111" i="139"/>
  <c r="CZ111" i="139"/>
  <c r="CM111" i="139"/>
  <c r="BY111" i="139"/>
  <c r="BK111" i="139"/>
  <c r="AW111" i="139"/>
  <c r="U111" i="139"/>
  <c r="G111" i="139"/>
  <c r="DZ110" i="139"/>
  <c r="DM110" i="139"/>
  <c r="CZ110" i="139"/>
  <c r="CM110" i="139"/>
  <c r="BY110" i="139"/>
  <c r="BK110" i="139"/>
  <c r="AW110" i="139"/>
  <c r="S110" i="139"/>
  <c r="U110" i="139" s="1"/>
  <c r="G110" i="139"/>
  <c r="E1108" i="140"/>
  <c r="AB76" i="139"/>
  <c r="AB130" i="139"/>
  <c r="E1102" i="140"/>
  <c r="AB94" i="139"/>
  <c r="AB58" i="139"/>
  <c r="E1098" i="140"/>
  <c r="AB67" i="139"/>
  <c r="E1073" i="140"/>
  <c r="E1086" i="140"/>
  <c r="AB86" i="139"/>
  <c r="AB65" i="139"/>
  <c r="DZ23" i="139"/>
  <c r="DM23" i="139"/>
  <c r="CZ23" i="139"/>
  <c r="CM23" i="139"/>
  <c r="BY23" i="139"/>
  <c r="BK23" i="139"/>
  <c r="AW23" i="139"/>
  <c r="AI23" i="139"/>
  <c r="U23" i="139"/>
  <c r="G23" i="139"/>
  <c r="AB37" i="139"/>
  <c r="AB79" i="139"/>
  <c r="AB46" i="139"/>
  <c r="AB45" i="139"/>
  <c r="E1070" i="140"/>
  <c r="E1069" i="140"/>
  <c r="AW29" i="139" l="1"/>
  <c r="CZ29" i="139"/>
  <c r="DZ29" i="139"/>
  <c r="BY29" i="139"/>
  <c r="BK29" i="139"/>
  <c r="CM29" i="139"/>
  <c r="AI30" i="139"/>
  <c r="Y29" i="139"/>
  <c r="AI29" i="139" s="1"/>
  <c r="U29" i="139"/>
  <c r="DM29" i="139"/>
  <c r="AI110" i="139"/>
  <c r="E1180" i="140"/>
  <c r="D1180" i="140"/>
  <c r="CL145" i="139"/>
  <c r="CK145" i="139"/>
  <c r="CJ145" i="139"/>
  <c r="CI145" i="139"/>
  <c r="CH145" i="139"/>
  <c r="CG145" i="139"/>
  <c r="CF145" i="139"/>
  <c r="CE145" i="139"/>
  <c r="CD145" i="139"/>
  <c r="CC145" i="139"/>
  <c r="CA145" i="139"/>
  <c r="CM144" i="139"/>
  <c r="CM142" i="139"/>
  <c r="CM141" i="139"/>
  <c r="CM140" i="139"/>
  <c r="CM139" i="139"/>
  <c r="CL138" i="139"/>
  <c r="CK138" i="139"/>
  <c r="CJ138" i="139"/>
  <c r="CI138" i="139"/>
  <c r="CH138" i="139"/>
  <c r="CG138" i="139"/>
  <c r="CF138" i="139"/>
  <c r="CE138" i="139"/>
  <c r="CD138" i="139"/>
  <c r="CC138" i="139"/>
  <c r="CB138" i="139"/>
  <c r="CA138" i="139"/>
  <c r="CM137" i="139"/>
  <c r="CM136" i="139"/>
  <c r="CL135" i="139"/>
  <c r="CK135" i="139"/>
  <c r="CJ135" i="139"/>
  <c r="CI135" i="139"/>
  <c r="CH135" i="139"/>
  <c r="CG135" i="139"/>
  <c r="CF135" i="139"/>
  <c r="CE135" i="139"/>
  <c r="CD135" i="139"/>
  <c r="CC135" i="139"/>
  <c r="CB135" i="139"/>
  <c r="CA135" i="139"/>
  <c r="CM134" i="139"/>
  <c r="CM133" i="139"/>
  <c r="CL132" i="139"/>
  <c r="CK132" i="139"/>
  <c r="CJ132" i="139"/>
  <c r="CI132" i="139"/>
  <c r="CH132" i="139"/>
  <c r="CG132" i="139"/>
  <c r="CF132" i="139"/>
  <c r="CE132" i="139"/>
  <c r="CD132" i="139"/>
  <c r="CC132" i="139"/>
  <c r="CB132" i="139"/>
  <c r="CA132" i="139"/>
  <c r="CM131" i="139"/>
  <c r="CM130" i="139"/>
  <c r="CL129" i="139"/>
  <c r="CK129" i="139"/>
  <c r="CJ129" i="139"/>
  <c r="CI129" i="139"/>
  <c r="CH129" i="139"/>
  <c r="CG129" i="139"/>
  <c r="CF129" i="139"/>
  <c r="CE129" i="139"/>
  <c r="CD129" i="139"/>
  <c r="CC129" i="139"/>
  <c r="CB129" i="139"/>
  <c r="CA129" i="139"/>
  <c r="CM128" i="139"/>
  <c r="CM124" i="139"/>
  <c r="CL123" i="139"/>
  <c r="CK123" i="139"/>
  <c r="CJ123" i="139"/>
  <c r="CI123" i="139"/>
  <c r="CH123" i="139"/>
  <c r="CG123" i="139"/>
  <c r="CF123" i="139"/>
  <c r="CE123" i="139"/>
  <c r="CD123" i="139"/>
  <c r="CC123" i="139"/>
  <c r="CB123" i="139"/>
  <c r="CA123" i="139"/>
  <c r="CM114" i="139"/>
  <c r="CL113" i="139"/>
  <c r="CK113" i="139"/>
  <c r="CJ113" i="139"/>
  <c r="CI113" i="139"/>
  <c r="CH113" i="139"/>
  <c r="CG113" i="139"/>
  <c r="CF113" i="139"/>
  <c r="CE113" i="139"/>
  <c r="CD113" i="139"/>
  <c r="CC113" i="139"/>
  <c r="CB113" i="139"/>
  <c r="CA113" i="139"/>
  <c r="CM112" i="139"/>
  <c r="CM109" i="139"/>
  <c r="CL108" i="139"/>
  <c r="CK108" i="139"/>
  <c r="CJ108" i="139"/>
  <c r="CI108" i="139"/>
  <c r="CH108" i="139"/>
  <c r="CG108" i="139"/>
  <c r="CF108" i="139"/>
  <c r="CE108" i="139"/>
  <c r="CD108" i="139"/>
  <c r="CC108" i="139"/>
  <c r="CB108" i="139"/>
  <c r="CA108" i="139"/>
  <c r="CM107" i="139"/>
  <c r="CM103" i="139"/>
  <c r="CM102" i="139"/>
  <c r="CM101" i="139"/>
  <c r="CM100" i="139"/>
  <c r="CM99" i="139"/>
  <c r="CM98" i="139"/>
  <c r="CL97" i="139"/>
  <c r="CK97" i="139"/>
  <c r="CJ97" i="139"/>
  <c r="CI97" i="139"/>
  <c r="CH97" i="139"/>
  <c r="CG97" i="139"/>
  <c r="CF97" i="139"/>
  <c r="CE97" i="139"/>
  <c r="CD97" i="139"/>
  <c r="CC97" i="139"/>
  <c r="CB97" i="139"/>
  <c r="CA97" i="139"/>
  <c r="CM96" i="139"/>
  <c r="CL95" i="139"/>
  <c r="CK95" i="139"/>
  <c r="CJ95" i="139"/>
  <c r="CI95" i="139"/>
  <c r="CH95" i="139"/>
  <c r="CG95" i="139"/>
  <c r="CF95" i="139"/>
  <c r="CE95" i="139"/>
  <c r="CD95" i="139"/>
  <c r="CC95" i="139"/>
  <c r="CB95" i="139"/>
  <c r="CA95" i="139"/>
  <c r="CM94" i="139"/>
  <c r="CM93" i="139"/>
  <c r="CL92" i="139"/>
  <c r="CK92" i="139"/>
  <c r="CJ92" i="139"/>
  <c r="CI92" i="139"/>
  <c r="CH92" i="139"/>
  <c r="CG92" i="139"/>
  <c r="CF92" i="139"/>
  <c r="CE92" i="139"/>
  <c r="CD92" i="139"/>
  <c r="CC92" i="139"/>
  <c r="CB92" i="139"/>
  <c r="CA92" i="139"/>
  <c r="CM91" i="139"/>
  <c r="CM90" i="139"/>
  <c r="CL89" i="139"/>
  <c r="CK89" i="139"/>
  <c r="CJ89" i="139"/>
  <c r="CI89" i="139"/>
  <c r="CH89" i="139"/>
  <c r="CG89" i="139"/>
  <c r="CF89" i="139"/>
  <c r="CE89" i="139"/>
  <c r="CD89" i="139"/>
  <c r="CC89" i="139"/>
  <c r="CB89" i="139"/>
  <c r="CA89" i="139"/>
  <c r="CM88" i="139"/>
  <c r="CL87" i="139"/>
  <c r="CK87" i="139"/>
  <c r="CJ87" i="139"/>
  <c r="CI87" i="139"/>
  <c r="CH87" i="139"/>
  <c r="CG87" i="139"/>
  <c r="CF87" i="139"/>
  <c r="CE87" i="139"/>
  <c r="CD87" i="139"/>
  <c r="CC87" i="139"/>
  <c r="CB87" i="139"/>
  <c r="CA87" i="139"/>
  <c r="CM86" i="139"/>
  <c r="CM85" i="139"/>
  <c r="CM81" i="139"/>
  <c r="CL80" i="139"/>
  <c r="CK80" i="139"/>
  <c r="CJ80" i="139"/>
  <c r="CI80" i="139"/>
  <c r="CH80" i="139"/>
  <c r="CG80" i="139"/>
  <c r="CF80" i="139"/>
  <c r="CE80" i="139"/>
  <c r="CD80" i="139"/>
  <c r="CC80" i="139"/>
  <c r="CB80" i="139"/>
  <c r="CA80" i="139"/>
  <c r="CM79" i="139"/>
  <c r="CM78" i="139"/>
  <c r="CM77" i="139"/>
  <c r="CM76" i="139"/>
  <c r="CL75" i="139"/>
  <c r="CK75" i="139"/>
  <c r="CJ75" i="139"/>
  <c r="CI75" i="139"/>
  <c r="CH75" i="139"/>
  <c r="CG75" i="139"/>
  <c r="CF75" i="139"/>
  <c r="CE75" i="139"/>
  <c r="CD75" i="139"/>
  <c r="CC75" i="139"/>
  <c r="CB75" i="139"/>
  <c r="CA75" i="139"/>
  <c r="CM74" i="139"/>
  <c r="CM72" i="139"/>
  <c r="CM71" i="139"/>
  <c r="CM70" i="139"/>
  <c r="CM69" i="139"/>
  <c r="CM68" i="139"/>
  <c r="CM67" i="139"/>
  <c r="CM66" i="139"/>
  <c r="CM65" i="139"/>
  <c r="CM64" i="139"/>
  <c r="CL63" i="139"/>
  <c r="CK63" i="139"/>
  <c r="CJ63" i="139"/>
  <c r="CI63" i="139"/>
  <c r="CH63" i="139"/>
  <c r="CG63" i="139"/>
  <c r="CF63" i="139"/>
  <c r="CE63" i="139"/>
  <c r="CD63" i="139"/>
  <c r="CC63" i="139"/>
  <c r="CB63" i="139"/>
  <c r="CA63" i="139"/>
  <c r="CM62" i="139"/>
  <c r="CM61" i="139"/>
  <c r="CM60" i="139"/>
  <c r="CM59" i="139"/>
  <c r="CM58" i="139"/>
  <c r="CL57" i="139"/>
  <c r="CK57" i="139"/>
  <c r="CJ57" i="139"/>
  <c r="CI57" i="139"/>
  <c r="CH57" i="139"/>
  <c r="CG57" i="139"/>
  <c r="CF57" i="139"/>
  <c r="CE57" i="139"/>
  <c r="CD57" i="139"/>
  <c r="CC57" i="139"/>
  <c r="CB57" i="139"/>
  <c r="CA57" i="139"/>
  <c r="CM56" i="139"/>
  <c r="CM55" i="139"/>
  <c r="CM54" i="139"/>
  <c r="CM53" i="139"/>
  <c r="CM51" i="139"/>
  <c r="CL50" i="139"/>
  <c r="CK50" i="139"/>
  <c r="CJ50" i="139"/>
  <c r="CI50" i="139"/>
  <c r="CH50" i="139"/>
  <c r="CG50" i="139"/>
  <c r="CF50" i="139"/>
  <c r="CE50" i="139"/>
  <c r="CD50" i="139"/>
  <c r="CC50" i="139"/>
  <c r="CB50" i="139"/>
  <c r="CA50" i="139"/>
  <c r="CM49" i="139"/>
  <c r="CL48" i="139"/>
  <c r="CK48" i="139"/>
  <c r="CJ48" i="139"/>
  <c r="CI48" i="139"/>
  <c r="CH48" i="139"/>
  <c r="CG48" i="139"/>
  <c r="CF48" i="139"/>
  <c r="CE48" i="139"/>
  <c r="CD48" i="139"/>
  <c r="CC48" i="139"/>
  <c r="CB48" i="139"/>
  <c r="CA48" i="139"/>
  <c r="CM47" i="139"/>
  <c r="CM46" i="139"/>
  <c r="CM45" i="139"/>
  <c r="CM44" i="139"/>
  <c r="CM43" i="139"/>
  <c r="CM42" i="139"/>
  <c r="CL41" i="139"/>
  <c r="CK41" i="139"/>
  <c r="CJ41" i="139"/>
  <c r="CI41" i="139"/>
  <c r="CH41" i="139"/>
  <c r="CG41" i="139"/>
  <c r="CF41" i="139"/>
  <c r="CE41" i="139"/>
  <c r="CD41" i="139"/>
  <c r="CC41" i="139"/>
  <c r="CB41" i="139"/>
  <c r="CA41" i="139"/>
  <c r="CM40" i="139"/>
  <c r="CM39" i="139"/>
  <c r="CM38" i="139"/>
  <c r="CM37" i="139"/>
  <c r="CM36" i="139"/>
  <c r="CM33" i="139"/>
  <c r="CL32" i="139"/>
  <c r="CK32" i="139"/>
  <c r="CJ32" i="139"/>
  <c r="CI32" i="139"/>
  <c r="CH32" i="139"/>
  <c r="CG32" i="139"/>
  <c r="CF32" i="139"/>
  <c r="CE32" i="139"/>
  <c r="CD32" i="139"/>
  <c r="CC32" i="139"/>
  <c r="CB32" i="139"/>
  <c r="CA32" i="139"/>
  <c r="CM31" i="139"/>
  <c r="CM28" i="139"/>
  <c r="CM27" i="139"/>
  <c r="CL26" i="139"/>
  <c r="CK26" i="139"/>
  <c r="CJ26" i="139"/>
  <c r="CI26" i="139"/>
  <c r="CH26" i="139"/>
  <c r="CG26" i="139"/>
  <c r="CF26" i="139"/>
  <c r="CE26" i="139"/>
  <c r="CD26" i="139"/>
  <c r="CC26" i="139"/>
  <c r="CB26" i="139"/>
  <c r="CA26" i="139"/>
  <c r="CM24" i="139"/>
  <c r="CM22" i="139"/>
  <c r="CM21" i="139"/>
  <c r="CM20" i="139"/>
  <c r="CM12" i="139"/>
  <c r="CM10" i="139"/>
  <c r="CM8" i="139"/>
  <c r="CM7" i="139"/>
  <c r="CM5" i="139"/>
  <c r="CL4" i="139"/>
  <c r="CK4" i="139"/>
  <c r="CJ4" i="139"/>
  <c r="CI4" i="139"/>
  <c r="CH4" i="139"/>
  <c r="CG4" i="139"/>
  <c r="CF4" i="139"/>
  <c r="CE4" i="139"/>
  <c r="CD4" i="139"/>
  <c r="CC4" i="139"/>
  <c r="CB4" i="139"/>
  <c r="CA4" i="139"/>
  <c r="CY145" i="139"/>
  <c r="CX145" i="139"/>
  <c r="CW145" i="139"/>
  <c r="CV145" i="139"/>
  <c r="CU145" i="139"/>
  <c r="CT145" i="139"/>
  <c r="CS145" i="139"/>
  <c r="CR145" i="139"/>
  <c r="CQ145" i="139"/>
  <c r="CP145" i="139"/>
  <c r="CO145" i="139"/>
  <c r="CN145" i="139"/>
  <c r="CZ144" i="139"/>
  <c r="CZ142" i="139"/>
  <c r="CZ141" i="139"/>
  <c r="CZ140" i="139"/>
  <c r="CZ139" i="139"/>
  <c r="CY138" i="139"/>
  <c r="CX138" i="139"/>
  <c r="CW138" i="139"/>
  <c r="CV138" i="139"/>
  <c r="CU138" i="139"/>
  <c r="CT138" i="139"/>
  <c r="CS138" i="139"/>
  <c r="CR138" i="139"/>
  <c r="CQ138" i="139"/>
  <c r="CP138" i="139"/>
  <c r="CO138" i="139"/>
  <c r="CN138" i="139"/>
  <c r="CZ137" i="139"/>
  <c r="CZ136" i="139"/>
  <c r="CY135" i="139"/>
  <c r="CX135" i="139"/>
  <c r="CW135" i="139"/>
  <c r="CV135" i="139"/>
  <c r="CU135" i="139"/>
  <c r="CT135" i="139"/>
  <c r="CS135" i="139"/>
  <c r="CR135" i="139"/>
  <c r="CQ135" i="139"/>
  <c r="CP135" i="139"/>
  <c r="CO135" i="139"/>
  <c r="CN135" i="139"/>
  <c r="CZ134" i="139"/>
  <c r="CZ133" i="139"/>
  <c r="CY132" i="139"/>
  <c r="CX132" i="139"/>
  <c r="CW132" i="139"/>
  <c r="CV132" i="139"/>
  <c r="CU132" i="139"/>
  <c r="CT132" i="139"/>
  <c r="CS132" i="139"/>
  <c r="CR132" i="139"/>
  <c r="CQ132" i="139"/>
  <c r="CP132" i="139"/>
  <c r="CO132" i="139"/>
  <c r="CN132" i="139"/>
  <c r="CZ131" i="139"/>
  <c r="CZ130" i="139"/>
  <c r="CY129" i="139"/>
  <c r="CX129" i="139"/>
  <c r="CW129" i="139"/>
  <c r="CV129" i="139"/>
  <c r="CU129" i="139"/>
  <c r="CT129" i="139"/>
  <c r="CS129" i="139"/>
  <c r="CR129" i="139"/>
  <c r="CQ129" i="139"/>
  <c r="CP129" i="139"/>
  <c r="CO129" i="139"/>
  <c r="CN129" i="139"/>
  <c r="CZ128" i="139"/>
  <c r="CZ124" i="139"/>
  <c r="CY123" i="139"/>
  <c r="CX123" i="139"/>
  <c r="CW123" i="139"/>
  <c r="CV123" i="139"/>
  <c r="CU123" i="139"/>
  <c r="CT123" i="139"/>
  <c r="CS123" i="139"/>
  <c r="CR123" i="139"/>
  <c r="CQ123" i="139"/>
  <c r="CP123" i="139"/>
  <c r="CO123" i="139"/>
  <c r="CN123" i="139"/>
  <c r="CZ114" i="139"/>
  <c r="CY113" i="139"/>
  <c r="CX113" i="139"/>
  <c r="CW113" i="139"/>
  <c r="CV113" i="139"/>
  <c r="CU113" i="139"/>
  <c r="CT113" i="139"/>
  <c r="CS113" i="139"/>
  <c r="CR113" i="139"/>
  <c r="CQ113" i="139"/>
  <c r="CP113" i="139"/>
  <c r="CO113" i="139"/>
  <c r="CN113" i="139"/>
  <c r="CZ112" i="139"/>
  <c r="CZ109" i="139"/>
  <c r="CY108" i="139"/>
  <c r="CX108" i="139"/>
  <c r="CW108" i="139"/>
  <c r="CV108" i="139"/>
  <c r="CU108" i="139"/>
  <c r="CT108" i="139"/>
  <c r="CS108" i="139"/>
  <c r="CR108" i="139"/>
  <c r="CQ108" i="139"/>
  <c r="CP108" i="139"/>
  <c r="CO108" i="139"/>
  <c r="CN108" i="139"/>
  <c r="CZ107" i="139"/>
  <c r="CZ103" i="139"/>
  <c r="CZ102" i="139"/>
  <c r="CZ101" i="139"/>
  <c r="CZ100" i="139"/>
  <c r="CZ99" i="139"/>
  <c r="CZ98" i="139"/>
  <c r="CY97" i="139"/>
  <c r="CX97" i="139"/>
  <c r="CW97" i="139"/>
  <c r="CV97" i="139"/>
  <c r="CU97" i="139"/>
  <c r="CT97" i="139"/>
  <c r="CS97" i="139"/>
  <c r="CR97" i="139"/>
  <c r="CQ97" i="139"/>
  <c r="CP97" i="139"/>
  <c r="CO97" i="139"/>
  <c r="CN97" i="139"/>
  <c r="CZ96" i="139"/>
  <c r="CY95" i="139"/>
  <c r="CX95" i="139"/>
  <c r="CW95" i="139"/>
  <c r="CV95" i="139"/>
  <c r="CU95" i="139"/>
  <c r="CT95" i="139"/>
  <c r="CS95" i="139"/>
  <c r="CR95" i="139"/>
  <c r="CQ95" i="139"/>
  <c r="CP95" i="139"/>
  <c r="CO95" i="139"/>
  <c r="CN95" i="139"/>
  <c r="CZ94" i="139"/>
  <c r="CZ93" i="139"/>
  <c r="CY92" i="139"/>
  <c r="CX92" i="139"/>
  <c r="CW92" i="139"/>
  <c r="CV92" i="139"/>
  <c r="CU92" i="139"/>
  <c r="CT92" i="139"/>
  <c r="CS92" i="139"/>
  <c r="CR92" i="139"/>
  <c r="CQ92" i="139"/>
  <c r="CP92" i="139"/>
  <c r="CO92" i="139"/>
  <c r="CN92" i="139"/>
  <c r="CZ91" i="139"/>
  <c r="CZ90" i="139"/>
  <c r="CY89" i="139"/>
  <c r="CX89" i="139"/>
  <c r="CW89" i="139"/>
  <c r="CV89" i="139"/>
  <c r="CU89" i="139"/>
  <c r="CT89" i="139"/>
  <c r="CS89" i="139"/>
  <c r="CR89" i="139"/>
  <c r="CQ89" i="139"/>
  <c r="CP89" i="139"/>
  <c r="CO89" i="139"/>
  <c r="CN89" i="139"/>
  <c r="CZ88" i="139"/>
  <c r="CY87" i="139"/>
  <c r="CX87" i="139"/>
  <c r="CW87" i="139"/>
  <c r="CV87" i="139"/>
  <c r="CU87" i="139"/>
  <c r="CT87" i="139"/>
  <c r="CS87" i="139"/>
  <c r="CR87" i="139"/>
  <c r="CQ87" i="139"/>
  <c r="CP87" i="139"/>
  <c r="CO87" i="139"/>
  <c r="CN87" i="139"/>
  <c r="CZ86" i="139"/>
  <c r="CZ85" i="139"/>
  <c r="CZ81" i="139"/>
  <c r="CY80" i="139"/>
  <c r="CX80" i="139"/>
  <c r="CW80" i="139"/>
  <c r="CV80" i="139"/>
  <c r="CU80" i="139"/>
  <c r="CT80" i="139"/>
  <c r="CS80" i="139"/>
  <c r="CR80" i="139"/>
  <c r="CQ80" i="139"/>
  <c r="CP80" i="139"/>
  <c r="CO80" i="139"/>
  <c r="CN80" i="139"/>
  <c r="CZ79" i="139"/>
  <c r="CZ78" i="139"/>
  <c r="CZ77" i="139"/>
  <c r="CZ76" i="139"/>
  <c r="CY75" i="139"/>
  <c r="CX75" i="139"/>
  <c r="CW75" i="139"/>
  <c r="CV75" i="139"/>
  <c r="CU75" i="139"/>
  <c r="CT75" i="139"/>
  <c r="CS75" i="139"/>
  <c r="CR75" i="139"/>
  <c r="CQ75" i="139"/>
  <c r="CP75" i="139"/>
  <c r="CO75" i="139"/>
  <c r="CN75" i="139"/>
  <c r="CZ74" i="139"/>
  <c r="CZ72" i="139"/>
  <c r="CZ71" i="139"/>
  <c r="CZ70" i="139"/>
  <c r="CZ69" i="139"/>
  <c r="CZ68" i="139"/>
  <c r="CZ67" i="139"/>
  <c r="CZ66" i="139"/>
  <c r="CZ65" i="139"/>
  <c r="CZ64" i="139"/>
  <c r="CY63" i="139"/>
  <c r="CX63" i="139"/>
  <c r="CW63" i="139"/>
  <c r="CV63" i="139"/>
  <c r="CU63" i="139"/>
  <c r="CT63" i="139"/>
  <c r="CS63" i="139"/>
  <c r="CR63" i="139"/>
  <c r="CQ63" i="139"/>
  <c r="CP63" i="139"/>
  <c r="CO63" i="139"/>
  <c r="CN63" i="139"/>
  <c r="CZ62" i="139"/>
  <c r="CZ61" i="139"/>
  <c r="CZ60" i="139"/>
  <c r="CZ59" i="139"/>
  <c r="CZ58" i="139"/>
  <c r="CY57" i="139"/>
  <c r="CX57" i="139"/>
  <c r="CW57" i="139"/>
  <c r="CV57" i="139"/>
  <c r="CU57" i="139"/>
  <c r="CT57" i="139"/>
  <c r="CS57" i="139"/>
  <c r="CR57" i="139"/>
  <c r="CQ57" i="139"/>
  <c r="CP57" i="139"/>
  <c r="CO57" i="139"/>
  <c r="CN57" i="139"/>
  <c r="CZ56" i="139"/>
  <c r="CZ55" i="139"/>
  <c r="CZ54" i="139"/>
  <c r="CZ53" i="139"/>
  <c r="CZ51" i="139"/>
  <c r="CY50" i="139"/>
  <c r="CX50" i="139"/>
  <c r="CW50" i="139"/>
  <c r="CV50" i="139"/>
  <c r="CU50" i="139"/>
  <c r="CT50" i="139"/>
  <c r="CS50" i="139"/>
  <c r="CR50" i="139"/>
  <c r="CQ50" i="139"/>
  <c r="CP50" i="139"/>
  <c r="CO50" i="139"/>
  <c r="CN50" i="139"/>
  <c r="CZ49" i="139"/>
  <c r="CY48" i="139"/>
  <c r="CX48" i="139"/>
  <c r="CW48" i="139"/>
  <c r="CV48" i="139"/>
  <c r="CU48" i="139"/>
  <c r="CT48" i="139"/>
  <c r="CS48" i="139"/>
  <c r="CR48" i="139"/>
  <c r="CQ48" i="139"/>
  <c r="CP48" i="139"/>
  <c r="CO48" i="139"/>
  <c r="CN48" i="139"/>
  <c r="CZ47" i="139"/>
  <c r="CZ46" i="139"/>
  <c r="CZ45" i="139"/>
  <c r="CZ44" i="139"/>
  <c r="CZ43" i="139"/>
  <c r="CZ42" i="139"/>
  <c r="CY41" i="139"/>
  <c r="CX41" i="139"/>
  <c r="CW41" i="139"/>
  <c r="CV41" i="139"/>
  <c r="CU41" i="139"/>
  <c r="CT41" i="139"/>
  <c r="CS41" i="139"/>
  <c r="CR41" i="139"/>
  <c r="CQ41" i="139"/>
  <c r="CP41" i="139"/>
  <c r="CO41" i="139"/>
  <c r="CN41" i="139"/>
  <c r="CZ40" i="139"/>
  <c r="CZ39" i="139"/>
  <c r="CZ38" i="139"/>
  <c r="CZ37" i="139"/>
  <c r="CZ36" i="139"/>
  <c r="CZ33" i="139"/>
  <c r="CY32" i="139"/>
  <c r="CX32" i="139"/>
  <c r="CW32" i="139"/>
  <c r="CV32" i="139"/>
  <c r="CU32" i="139"/>
  <c r="CT32" i="139"/>
  <c r="CS32" i="139"/>
  <c r="CR32" i="139"/>
  <c r="CQ32" i="139"/>
  <c r="CP32" i="139"/>
  <c r="CO32" i="139"/>
  <c r="CN32" i="139"/>
  <c r="CZ31" i="139"/>
  <c r="CZ28" i="139"/>
  <c r="CZ27" i="139"/>
  <c r="CY26" i="139"/>
  <c r="CX26" i="139"/>
  <c r="CW26" i="139"/>
  <c r="CV26" i="139"/>
  <c r="CU26" i="139"/>
  <c r="CT26" i="139"/>
  <c r="CS26" i="139"/>
  <c r="CR26" i="139"/>
  <c r="CQ26" i="139"/>
  <c r="CP26" i="139"/>
  <c r="CO26" i="139"/>
  <c r="CN26" i="139"/>
  <c r="CZ24" i="139"/>
  <c r="CZ22" i="139"/>
  <c r="CZ21" i="139"/>
  <c r="CZ20" i="139"/>
  <c r="CZ12" i="139"/>
  <c r="CZ10" i="139"/>
  <c r="CZ8" i="139"/>
  <c r="CZ7" i="139"/>
  <c r="CZ5" i="139"/>
  <c r="CY4" i="139"/>
  <c r="CX4" i="139"/>
  <c r="CW4" i="139"/>
  <c r="CV4" i="139"/>
  <c r="CU4" i="139"/>
  <c r="CT4" i="139"/>
  <c r="CS4" i="139"/>
  <c r="CR4" i="139"/>
  <c r="CQ4" i="139"/>
  <c r="CP4" i="139"/>
  <c r="CO4" i="139"/>
  <c r="CN4" i="139"/>
  <c r="DL145" i="139"/>
  <c r="DK145" i="139"/>
  <c r="DJ145" i="139"/>
  <c r="DI145" i="139"/>
  <c r="DH145" i="139"/>
  <c r="DG145" i="139"/>
  <c r="DF145" i="139"/>
  <c r="DE145" i="139"/>
  <c r="DD145" i="139"/>
  <c r="DC145" i="139"/>
  <c r="DB145" i="139"/>
  <c r="DA145" i="139"/>
  <c r="DM144" i="139"/>
  <c r="DM142" i="139"/>
  <c r="DM141" i="139"/>
  <c r="DM140" i="139"/>
  <c r="DM139" i="139"/>
  <c r="DL138" i="139"/>
  <c r="DK138" i="139"/>
  <c r="DJ138" i="139"/>
  <c r="DI138" i="139"/>
  <c r="DH138" i="139"/>
  <c r="DG138" i="139"/>
  <c r="DF138" i="139"/>
  <c r="DE138" i="139"/>
  <c r="DD138" i="139"/>
  <c r="DC138" i="139"/>
  <c r="DB138" i="139"/>
  <c r="DA138" i="139"/>
  <c r="DM137" i="139"/>
  <c r="DM136" i="139"/>
  <c r="DL135" i="139"/>
  <c r="DK135" i="139"/>
  <c r="DJ135" i="139"/>
  <c r="DI135" i="139"/>
  <c r="DH135" i="139"/>
  <c r="DG135" i="139"/>
  <c r="DF135" i="139"/>
  <c r="DE135" i="139"/>
  <c r="DD135" i="139"/>
  <c r="DC135" i="139"/>
  <c r="DB135" i="139"/>
  <c r="DA135" i="139"/>
  <c r="DM134" i="139"/>
  <c r="DM133" i="139"/>
  <c r="DL132" i="139"/>
  <c r="DK132" i="139"/>
  <c r="DJ132" i="139"/>
  <c r="DI132" i="139"/>
  <c r="DH132" i="139"/>
  <c r="DG132" i="139"/>
  <c r="DF132" i="139"/>
  <c r="DE132" i="139"/>
  <c r="DD132" i="139"/>
  <c r="DC132" i="139"/>
  <c r="DB132" i="139"/>
  <c r="DA132" i="139"/>
  <c r="DM131" i="139"/>
  <c r="DM130" i="139"/>
  <c r="DL129" i="139"/>
  <c r="DK129" i="139"/>
  <c r="DJ129" i="139"/>
  <c r="DI129" i="139"/>
  <c r="DH129" i="139"/>
  <c r="DG129" i="139"/>
  <c r="DF129" i="139"/>
  <c r="DE129" i="139"/>
  <c r="DD129" i="139"/>
  <c r="DC129" i="139"/>
  <c r="DB129" i="139"/>
  <c r="DA129" i="139"/>
  <c r="DM128" i="139"/>
  <c r="DM124" i="139"/>
  <c r="DL123" i="139"/>
  <c r="DK123" i="139"/>
  <c r="DJ123" i="139"/>
  <c r="DI123" i="139"/>
  <c r="DH123" i="139"/>
  <c r="DG123" i="139"/>
  <c r="DF123" i="139"/>
  <c r="DE123" i="139"/>
  <c r="DD123" i="139"/>
  <c r="DC123" i="139"/>
  <c r="DB123" i="139"/>
  <c r="DA123" i="139"/>
  <c r="DM114" i="139"/>
  <c r="DL113" i="139"/>
  <c r="DK113" i="139"/>
  <c r="DJ113" i="139"/>
  <c r="DI113" i="139"/>
  <c r="DH113" i="139"/>
  <c r="DG113" i="139"/>
  <c r="DF113" i="139"/>
  <c r="DE113" i="139"/>
  <c r="DD113" i="139"/>
  <c r="DC113" i="139"/>
  <c r="DB113" i="139"/>
  <c r="DA113" i="139"/>
  <c r="DM112" i="139"/>
  <c r="DM109" i="139"/>
  <c r="DL108" i="139"/>
  <c r="DK108" i="139"/>
  <c r="DJ108" i="139"/>
  <c r="DI108" i="139"/>
  <c r="DH108" i="139"/>
  <c r="DG108" i="139"/>
  <c r="DF108" i="139"/>
  <c r="DE108" i="139"/>
  <c r="DD108" i="139"/>
  <c r="DC108" i="139"/>
  <c r="DB108" i="139"/>
  <c r="DA108" i="139"/>
  <c r="DM107" i="139"/>
  <c r="DM103" i="139"/>
  <c r="DM102" i="139"/>
  <c r="DM101" i="139"/>
  <c r="DM100" i="139"/>
  <c r="DM99" i="139"/>
  <c r="DM98" i="139"/>
  <c r="DL97" i="139"/>
  <c r="DK97" i="139"/>
  <c r="DJ97" i="139"/>
  <c r="DI97" i="139"/>
  <c r="DH97" i="139"/>
  <c r="DG97" i="139"/>
  <c r="DF97" i="139"/>
  <c r="DE97" i="139"/>
  <c r="DD97" i="139"/>
  <c r="DC97" i="139"/>
  <c r="DB97" i="139"/>
  <c r="DA97" i="139"/>
  <c r="DM96" i="139"/>
  <c r="DL95" i="139"/>
  <c r="DK95" i="139"/>
  <c r="DJ95" i="139"/>
  <c r="DI95" i="139"/>
  <c r="DH95" i="139"/>
  <c r="DG95" i="139"/>
  <c r="DF95" i="139"/>
  <c r="DE95" i="139"/>
  <c r="DD95" i="139"/>
  <c r="DC95" i="139"/>
  <c r="DB95" i="139"/>
  <c r="DA95" i="139"/>
  <c r="DM94" i="139"/>
  <c r="DM93" i="139"/>
  <c r="DL92" i="139"/>
  <c r="DK92" i="139"/>
  <c r="DJ92" i="139"/>
  <c r="DI92" i="139"/>
  <c r="DH92" i="139"/>
  <c r="DG92" i="139"/>
  <c r="DF92" i="139"/>
  <c r="DE92" i="139"/>
  <c r="DD92" i="139"/>
  <c r="DC92" i="139"/>
  <c r="DB92" i="139"/>
  <c r="DA92" i="139"/>
  <c r="DM91" i="139"/>
  <c r="DM90" i="139"/>
  <c r="DL89" i="139"/>
  <c r="DK89" i="139"/>
  <c r="DJ89" i="139"/>
  <c r="DI89" i="139"/>
  <c r="DH89" i="139"/>
  <c r="DG89" i="139"/>
  <c r="DF89" i="139"/>
  <c r="DE89" i="139"/>
  <c r="DD89" i="139"/>
  <c r="DC89" i="139"/>
  <c r="DB89" i="139"/>
  <c r="DA89" i="139"/>
  <c r="DM88" i="139"/>
  <c r="DL87" i="139"/>
  <c r="DK87" i="139"/>
  <c r="DJ87" i="139"/>
  <c r="DI87" i="139"/>
  <c r="DH87" i="139"/>
  <c r="DG87" i="139"/>
  <c r="DF87" i="139"/>
  <c r="DE87" i="139"/>
  <c r="DD87" i="139"/>
  <c r="DC87" i="139"/>
  <c r="DB87" i="139"/>
  <c r="DA87" i="139"/>
  <c r="DM86" i="139"/>
  <c r="DM85" i="139"/>
  <c r="DM81" i="139"/>
  <c r="DL80" i="139"/>
  <c r="DK80" i="139"/>
  <c r="DJ80" i="139"/>
  <c r="DI80" i="139"/>
  <c r="DH80" i="139"/>
  <c r="DG80" i="139"/>
  <c r="DF80" i="139"/>
  <c r="DE80" i="139"/>
  <c r="DD80" i="139"/>
  <c r="DC80" i="139"/>
  <c r="DB80" i="139"/>
  <c r="DA80" i="139"/>
  <c r="DM79" i="139"/>
  <c r="DM78" i="139"/>
  <c r="DM77" i="139"/>
  <c r="DM76" i="139"/>
  <c r="DL75" i="139"/>
  <c r="DK75" i="139"/>
  <c r="DJ75" i="139"/>
  <c r="DI75" i="139"/>
  <c r="DH75" i="139"/>
  <c r="DG75" i="139"/>
  <c r="DF75" i="139"/>
  <c r="DE75" i="139"/>
  <c r="DD75" i="139"/>
  <c r="DC75" i="139"/>
  <c r="DB75" i="139"/>
  <c r="DA75" i="139"/>
  <c r="DM74" i="139"/>
  <c r="DM72" i="139"/>
  <c r="DM71" i="139"/>
  <c r="DM70" i="139"/>
  <c r="DM69" i="139"/>
  <c r="DM68" i="139"/>
  <c r="DM67" i="139"/>
  <c r="DM66" i="139"/>
  <c r="DM65" i="139"/>
  <c r="DM64" i="139"/>
  <c r="DL63" i="139"/>
  <c r="DK63" i="139"/>
  <c r="DJ63" i="139"/>
  <c r="DI63" i="139"/>
  <c r="DH63" i="139"/>
  <c r="DG63" i="139"/>
  <c r="DF63" i="139"/>
  <c r="DE63" i="139"/>
  <c r="DD63" i="139"/>
  <c r="DC63" i="139"/>
  <c r="DB63" i="139"/>
  <c r="DA63" i="139"/>
  <c r="DM62" i="139"/>
  <c r="DM61" i="139"/>
  <c r="DM60" i="139"/>
  <c r="DM59" i="139"/>
  <c r="DM58" i="139"/>
  <c r="DL57" i="139"/>
  <c r="DK57" i="139"/>
  <c r="DJ57" i="139"/>
  <c r="DI57" i="139"/>
  <c r="DH57" i="139"/>
  <c r="DG57" i="139"/>
  <c r="DF57" i="139"/>
  <c r="DE57" i="139"/>
  <c r="DD57" i="139"/>
  <c r="DC57" i="139"/>
  <c r="DB57" i="139"/>
  <c r="DA57" i="139"/>
  <c r="DM56" i="139"/>
  <c r="DM55" i="139"/>
  <c r="DM54" i="139"/>
  <c r="DM53" i="139"/>
  <c r="DM51" i="139"/>
  <c r="DL50" i="139"/>
  <c r="DK50" i="139"/>
  <c r="DJ50" i="139"/>
  <c r="DI50" i="139"/>
  <c r="DH50" i="139"/>
  <c r="DG50" i="139"/>
  <c r="DF50" i="139"/>
  <c r="DE50" i="139"/>
  <c r="DD50" i="139"/>
  <c r="DC50" i="139"/>
  <c r="DB50" i="139"/>
  <c r="DA50" i="139"/>
  <c r="DM49" i="139"/>
  <c r="DL48" i="139"/>
  <c r="DK48" i="139"/>
  <c r="DJ48" i="139"/>
  <c r="DI48" i="139"/>
  <c r="DH48" i="139"/>
  <c r="DG48" i="139"/>
  <c r="DF48" i="139"/>
  <c r="DE48" i="139"/>
  <c r="DD48" i="139"/>
  <c r="DC48" i="139"/>
  <c r="DB48" i="139"/>
  <c r="DA48" i="139"/>
  <c r="DM47" i="139"/>
  <c r="DM46" i="139"/>
  <c r="DM45" i="139"/>
  <c r="DM44" i="139"/>
  <c r="DM43" i="139"/>
  <c r="DM42" i="139"/>
  <c r="DL41" i="139"/>
  <c r="DK41" i="139"/>
  <c r="DJ41" i="139"/>
  <c r="DI41" i="139"/>
  <c r="DH41" i="139"/>
  <c r="DG41" i="139"/>
  <c r="DF41" i="139"/>
  <c r="DE41" i="139"/>
  <c r="DD41" i="139"/>
  <c r="DC41" i="139"/>
  <c r="DB41" i="139"/>
  <c r="DA41" i="139"/>
  <c r="DM40" i="139"/>
  <c r="DM39" i="139"/>
  <c r="DM38" i="139"/>
  <c r="DM37" i="139"/>
  <c r="DM36" i="139"/>
  <c r="DM33" i="139"/>
  <c r="DL32" i="139"/>
  <c r="DK32" i="139"/>
  <c r="DJ32" i="139"/>
  <c r="DI32" i="139"/>
  <c r="DH32" i="139"/>
  <c r="DG32" i="139"/>
  <c r="DF32" i="139"/>
  <c r="DE32" i="139"/>
  <c r="DD32" i="139"/>
  <c r="DC32" i="139"/>
  <c r="DB32" i="139"/>
  <c r="DA32" i="139"/>
  <c r="DM31" i="139"/>
  <c r="DM28" i="139"/>
  <c r="DM27" i="139"/>
  <c r="DL26" i="139"/>
  <c r="DK26" i="139"/>
  <c r="DJ26" i="139"/>
  <c r="DI26" i="139"/>
  <c r="DH26" i="139"/>
  <c r="DG26" i="139"/>
  <c r="DF26" i="139"/>
  <c r="DE26" i="139"/>
  <c r="DD26" i="139"/>
  <c r="DC26" i="139"/>
  <c r="DB26" i="139"/>
  <c r="DA26" i="139"/>
  <c r="DM24" i="139"/>
  <c r="DM22" i="139"/>
  <c r="DM21" i="139"/>
  <c r="DM20" i="139"/>
  <c r="DM12" i="139"/>
  <c r="DM10" i="139"/>
  <c r="DM8" i="139"/>
  <c r="DM7" i="139"/>
  <c r="DM5" i="139"/>
  <c r="DL4" i="139"/>
  <c r="DK4" i="139"/>
  <c r="DJ4" i="139"/>
  <c r="DI4" i="139"/>
  <c r="DH4" i="139"/>
  <c r="DG4" i="139"/>
  <c r="DF4" i="139"/>
  <c r="DE4" i="139"/>
  <c r="DD4" i="139"/>
  <c r="DC4" i="139"/>
  <c r="DB4" i="139"/>
  <c r="DA4" i="139"/>
  <c r="BJ145" i="139"/>
  <c r="BI145" i="139"/>
  <c r="BH145" i="139"/>
  <c r="BG145" i="139"/>
  <c r="BF145" i="139"/>
  <c r="BE145" i="139"/>
  <c r="BD145" i="139"/>
  <c r="BC146" i="139"/>
  <c r="BC145" i="139" s="1"/>
  <c r="BB145" i="139"/>
  <c r="BA145" i="139"/>
  <c r="AZ146" i="139"/>
  <c r="AZ145" i="139" s="1"/>
  <c r="AY146" i="139"/>
  <c r="AY145" i="139" s="1"/>
  <c r="AV145" i="139"/>
  <c r="AU146" i="139"/>
  <c r="AU145" i="139" s="1"/>
  <c r="AT146" i="139"/>
  <c r="AT145" i="139" s="1"/>
  <c r="AS146" i="139"/>
  <c r="AS145" i="139" s="1"/>
  <c r="AR146" i="139"/>
  <c r="AR145" i="139" s="1"/>
  <c r="AQ146" i="139"/>
  <c r="AQ145" i="139" s="1"/>
  <c r="AP146" i="139"/>
  <c r="AP145" i="139" s="1"/>
  <c r="AO146" i="139"/>
  <c r="AO145" i="139" s="1"/>
  <c r="AN146" i="139"/>
  <c r="AN145" i="139" s="1"/>
  <c r="AM145" i="139"/>
  <c r="AL145" i="139"/>
  <c r="AK145" i="139"/>
  <c r="BK144" i="139"/>
  <c r="AW144" i="139"/>
  <c r="BK142" i="139"/>
  <c r="AW142" i="139"/>
  <c r="BK141" i="139"/>
  <c r="AW141" i="139"/>
  <c r="BK140" i="139"/>
  <c r="AW140" i="139"/>
  <c r="BK139" i="139"/>
  <c r="AW139" i="139"/>
  <c r="BJ138" i="139"/>
  <c r="BI138" i="139"/>
  <c r="BH138" i="139"/>
  <c r="BG138" i="139"/>
  <c r="BF138" i="139"/>
  <c r="BE138" i="139"/>
  <c r="BD138" i="139"/>
  <c r="BC138" i="139"/>
  <c r="BB138" i="139"/>
  <c r="BA138" i="139"/>
  <c r="AZ138" i="139"/>
  <c r="AY138" i="139"/>
  <c r="AV138" i="139"/>
  <c r="AU138" i="139"/>
  <c r="AT138" i="139"/>
  <c r="AS138" i="139"/>
  <c r="AR138" i="139"/>
  <c r="AQ138" i="139"/>
  <c r="AP138" i="139"/>
  <c r="AO138" i="139"/>
  <c r="AN138" i="139"/>
  <c r="AM138" i="139"/>
  <c r="AL138" i="139"/>
  <c r="AK138" i="139"/>
  <c r="BK137" i="139"/>
  <c r="AW137" i="139"/>
  <c r="BK136" i="139"/>
  <c r="AW136" i="139"/>
  <c r="BJ135" i="139"/>
  <c r="BI135" i="139"/>
  <c r="BH135" i="139"/>
  <c r="BG135" i="139"/>
  <c r="BF135" i="139"/>
  <c r="BE135" i="139"/>
  <c r="BD135" i="139"/>
  <c r="BC135" i="139"/>
  <c r="BB135" i="139"/>
  <c r="BA135" i="139"/>
  <c r="AZ135" i="139"/>
  <c r="AY135" i="139"/>
  <c r="AV135" i="139"/>
  <c r="AU135" i="139"/>
  <c r="AT135" i="139"/>
  <c r="AS135" i="139"/>
  <c r="AR135" i="139"/>
  <c r="AQ135" i="139"/>
  <c r="AP135" i="139"/>
  <c r="AO135" i="139"/>
  <c r="AN135" i="139"/>
  <c r="AM135" i="139"/>
  <c r="AL135" i="139"/>
  <c r="AK135" i="139"/>
  <c r="BK134" i="139"/>
  <c r="AW134" i="139"/>
  <c r="BK133" i="139"/>
  <c r="AW133" i="139"/>
  <c r="BJ132" i="139"/>
  <c r="BI132" i="139"/>
  <c r="BH132" i="139"/>
  <c r="BG132" i="139"/>
  <c r="BF132" i="139"/>
  <c r="BE132" i="139"/>
  <c r="BD132" i="139"/>
  <c r="BC132" i="139"/>
  <c r="BB132" i="139"/>
  <c r="BA132" i="139"/>
  <c r="AZ132" i="139"/>
  <c r="AY132" i="139"/>
  <c r="AV132" i="139"/>
  <c r="AU132" i="139"/>
  <c r="AT132" i="139"/>
  <c r="AS132" i="139"/>
  <c r="AR132" i="139"/>
  <c r="AQ132" i="139"/>
  <c r="AP132" i="139"/>
  <c r="AO132" i="139"/>
  <c r="AN132" i="139"/>
  <c r="AM132" i="139"/>
  <c r="AL132" i="139"/>
  <c r="AK132" i="139"/>
  <c r="BK131" i="139"/>
  <c r="AW131" i="139"/>
  <c r="BK130" i="139"/>
  <c r="AW130" i="139"/>
  <c r="BJ129" i="139"/>
  <c r="BI129" i="139"/>
  <c r="BH129" i="139"/>
  <c r="BG129" i="139"/>
  <c r="BF129" i="139"/>
  <c r="BE129" i="139"/>
  <c r="BD129" i="139"/>
  <c r="BC129" i="139"/>
  <c r="BB129" i="139"/>
  <c r="BA129" i="139"/>
  <c r="AZ129" i="139"/>
  <c r="AY129" i="139"/>
  <c r="AV129" i="139"/>
  <c r="AU129" i="139"/>
  <c r="AT129" i="139"/>
  <c r="AS129" i="139"/>
  <c r="AR129" i="139"/>
  <c r="AQ129" i="139"/>
  <c r="AP129" i="139"/>
  <c r="AO129" i="139"/>
  <c r="AN129" i="139"/>
  <c r="AM129" i="139"/>
  <c r="AL129" i="139"/>
  <c r="AK129" i="139"/>
  <c r="BK128" i="139"/>
  <c r="AW128" i="139"/>
  <c r="BK124" i="139"/>
  <c r="AW124" i="139"/>
  <c r="BJ123" i="139"/>
  <c r="BI123" i="139"/>
  <c r="BH123" i="139"/>
  <c r="BG123" i="139"/>
  <c r="BF123" i="139"/>
  <c r="BE123" i="139"/>
  <c r="BD123" i="139"/>
  <c r="BC123" i="139"/>
  <c r="BB123" i="139"/>
  <c r="BA123" i="139"/>
  <c r="AZ123" i="139"/>
  <c r="AY123" i="139"/>
  <c r="AV123" i="139"/>
  <c r="AU123" i="139"/>
  <c r="AT123" i="139"/>
  <c r="AS123" i="139"/>
  <c r="AR123" i="139"/>
  <c r="AQ123" i="139"/>
  <c r="AP123" i="139"/>
  <c r="AO123" i="139"/>
  <c r="AN123" i="139"/>
  <c r="AM123" i="139"/>
  <c r="AL123" i="139"/>
  <c r="AK123" i="139"/>
  <c r="BK114" i="139"/>
  <c r="AW114" i="139"/>
  <c r="BJ113" i="139"/>
  <c r="BI113" i="139"/>
  <c r="BH113" i="139"/>
  <c r="BG113" i="139"/>
  <c r="BF113" i="139"/>
  <c r="BE113" i="139"/>
  <c r="BD113" i="139"/>
  <c r="BC113" i="139"/>
  <c r="BB113" i="139"/>
  <c r="BA113" i="139"/>
  <c r="AZ113" i="139"/>
  <c r="AY113" i="139"/>
  <c r="AV113" i="139"/>
  <c r="AU113" i="139"/>
  <c r="AT113" i="139"/>
  <c r="AS113" i="139"/>
  <c r="AR113" i="139"/>
  <c r="AQ113" i="139"/>
  <c r="AP113" i="139"/>
  <c r="AO113" i="139"/>
  <c r="AN113" i="139"/>
  <c r="AM113" i="139"/>
  <c r="AL113" i="139"/>
  <c r="AK113" i="139"/>
  <c r="BK112" i="139"/>
  <c r="AW112" i="139"/>
  <c r="BK109" i="139"/>
  <c r="AW109" i="139"/>
  <c r="BJ108" i="139"/>
  <c r="BI108" i="139"/>
  <c r="BH108" i="139"/>
  <c r="BG108" i="139"/>
  <c r="BF108" i="139"/>
  <c r="BE108" i="139"/>
  <c r="BD108" i="139"/>
  <c r="BC108" i="139"/>
  <c r="BB108" i="139"/>
  <c r="BA108" i="139"/>
  <c r="AZ108" i="139"/>
  <c r="AY108" i="139"/>
  <c r="AV108" i="139"/>
  <c r="AU108" i="139"/>
  <c r="AT108" i="139"/>
  <c r="AS108" i="139"/>
  <c r="AR108" i="139"/>
  <c r="AQ108" i="139"/>
  <c r="AP108" i="139"/>
  <c r="AO108" i="139"/>
  <c r="AN108" i="139"/>
  <c r="AM108" i="139"/>
  <c r="AL108" i="139"/>
  <c r="AK108" i="139"/>
  <c r="BK107" i="139"/>
  <c r="AW107" i="139"/>
  <c r="BK103" i="139"/>
  <c r="AW103" i="139"/>
  <c r="BK102" i="139"/>
  <c r="AW102" i="139"/>
  <c r="BK101" i="139"/>
  <c r="AW101" i="139"/>
  <c r="BK100" i="139"/>
  <c r="AW100" i="139"/>
  <c r="BK99" i="139"/>
  <c r="AW99" i="139"/>
  <c r="BK98" i="139"/>
  <c r="AW98" i="139"/>
  <c r="BJ97" i="139"/>
  <c r="BI97" i="139"/>
  <c r="BH97" i="139"/>
  <c r="BH96" i="139" s="1"/>
  <c r="BK96" i="139" s="1"/>
  <c r="BG97" i="139"/>
  <c r="BF97" i="139"/>
  <c r="BE97" i="139"/>
  <c r="BD97" i="139"/>
  <c r="BC97" i="139"/>
  <c r="BB97" i="139"/>
  <c r="BA97" i="139"/>
  <c r="AZ97" i="139"/>
  <c r="AY97" i="139"/>
  <c r="AV97" i="139"/>
  <c r="AU97" i="139"/>
  <c r="AT97" i="139"/>
  <c r="AS97" i="139"/>
  <c r="AR97" i="139"/>
  <c r="AQ97" i="139"/>
  <c r="AP97" i="139"/>
  <c r="AO97" i="139"/>
  <c r="AN97" i="139"/>
  <c r="AM97" i="139"/>
  <c r="AL97" i="139"/>
  <c r="AK97" i="139"/>
  <c r="AW96" i="139"/>
  <c r="BJ95" i="139"/>
  <c r="BI95" i="139"/>
  <c r="BG95" i="139"/>
  <c r="BF95" i="139"/>
  <c r="BE95" i="139"/>
  <c r="BD95" i="139"/>
  <c r="BC95" i="139"/>
  <c r="BB95" i="139"/>
  <c r="BA95" i="139"/>
  <c r="AZ95" i="139"/>
  <c r="AY95" i="139"/>
  <c r="AV95" i="139"/>
  <c r="AU95" i="139"/>
  <c r="AT95" i="139"/>
  <c r="AS95" i="139"/>
  <c r="AR95" i="139"/>
  <c r="AQ95" i="139"/>
  <c r="AP95" i="139"/>
  <c r="AO95" i="139"/>
  <c r="AN95" i="139"/>
  <c r="AM95" i="139"/>
  <c r="AL95" i="139"/>
  <c r="AK95" i="139"/>
  <c r="BK94" i="139"/>
  <c r="AW94" i="139"/>
  <c r="BK93" i="139"/>
  <c r="AW93" i="139"/>
  <c r="BJ92" i="139"/>
  <c r="BI92" i="139"/>
  <c r="BH92" i="139"/>
  <c r="BG92" i="139"/>
  <c r="BF92" i="139"/>
  <c r="BE92" i="139"/>
  <c r="BD92" i="139"/>
  <c r="BC92" i="139"/>
  <c r="BB92" i="139"/>
  <c r="BA92" i="139"/>
  <c r="AZ92" i="139"/>
  <c r="AY92" i="139"/>
  <c r="AV92" i="139"/>
  <c r="AU92" i="139"/>
  <c r="AT92" i="139"/>
  <c r="AS92" i="139"/>
  <c r="AR92" i="139"/>
  <c r="AQ92" i="139"/>
  <c r="AP92" i="139"/>
  <c r="AO92" i="139"/>
  <c r="AN92" i="139"/>
  <c r="AM92" i="139"/>
  <c r="AL92" i="139"/>
  <c r="AK92" i="139"/>
  <c r="BK91" i="139"/>
  <c r="AW91" i="139"/>
  <c r="BK90" i="139"/>
  <c r="AW90" i="139"/>
  <c r="BJ89" i="139"/>
  <c r="BI89" i="139"/>
  <c r="BH89" i="139"/>
  <c r="BG89" i="139"/>
  <c r="BF89" i="139"/>
  <c r="BE89" i="139"/>
  <c r="BD89" i="139"/>
  <c r="BC89" i="139"/>
  <c r="BB89" i="139"/>
  <c r="BA89" i="139"/>
  <c r="AZ89" i="139"/>
  <c r="AY89" i="139"/>
  <c r="AV89" i="139"/>
  <c r="AU89" i="139"/>
  <c r="AT89" i="139"/>
  <c r="AS89" i="139"/>
  <c r="AR89" i="139"/>
  <c r="AQ89" i="139"/>
  <c r="AP89" i="139"/>
  <c r="AO89" i="139"/>
  <c r="AN89" i="139"/>
  <c r="AM89" i="139"/>
  <c r="AL89" i="139"/>
  <c r="AK89" i="139"/>
  <c r="BK88" i="139"/>
  <c r="AW88" i="139"/>
  <c r="BJ87" i="139"/>
  <c r="BI87" i="139"/>
  <c r="BH87" i="139"/>
  <c r="BG87" i="139"/>
  <c r="BF87" i="139"/>
  <c r="BE87" i="139"/>
  <c r="BD87" i="139"/>
  <c r="BC87" i="139"/>
  <c r="BB87" i="139"/>
  <c r="BA87" i="139"/>
  <c r="AZ87" i="139"/>
  <c r="AY87" i="139"/>
  <c r="AV87" i="139"/>
  <c r="AU87" i="139"/>
  <c r="AT87" i="139"/>
  <c r="AS87" i="139"/>
  <c r="AR87" i="139"/>
  <c r="AQ87" i="139"/>
  <c r="AP87" i="139"/>
  <c r="AO87" i="139"/>
  <c r="AN87" i="139"/>
  <c r="AM87" i="139"/>
  <c r="AL87" i="139"/>
  <c r="AK87" i="139"/>
  <c r="BK86" i="139"/>
  <c r="AW86" i="139"/>
  <c r="BK85" i="139"/>
  <c r="AW85" i="139"/>
  <c r="BK81" i="139"/>
  <c r="AW81" i="139"/>
  <c r="BJ80" i="139"/>
  <c r="BI80" i="139"/>
  <c r="BH80" i="139"/>
  <c r="BG80" i="139"/>
  <c r="BF80" i="139"/>
  <c r="BE80" i="139"/>
  <c r="BD80" i="139"/>
  <c r="BB80" i="139"/>
  <c r="BA80" i="139"/>
  <c r="AZ80" i="139"/>
  <c r="AY80" i="139"/>
  <c r="AV80" i="139"/>
  <c r="AU80" i="139"/>
  <c r="AT80" i="139"/>
  <c r="AS80" i="139"/>
  <c r="AR80" i="139"/>
  <c r="AQ80" i="139"/>
  <c r="AP80" i="139"/>
  <c r="AO80" i="139"/>
  <c r="AN80" i="139"/>
  <c r="AM80" i="139"/>
  <c r="AL80" i="139"/>
  <c r="AK80" i="139"/>
  <c r="BK79" i="139"/>
  <c r="AW79" i="139"/>
  <c r="BK78" i="139"/>
  <c r="AW78" i="139"/>
  <c r="BK77" i="139"/>
  <c r="AW77" i="139"/>
  <c r="BK76" i="139"/>
  <c r="AW76" i="139"/>
  <c r="BJ75" i="139"/>
  <c r="BI75" i="139"/>
  <c r="BH75" i="139"/>
  <c r="BG75" i="139"/>
  <c r="BF75" i="139"/>
  <c r="BE75" i="139"/>
  <c r="BD75" i="139"/>
  <c r="BC75" i="139"/>
  <c r="BB75" i="139"/>
  <c r="BA75" i="139"/>
  <c r="AZ75" i="139"/>
  <c r="AY75" i="139"/>
  <c r="AV75" i="139"/>
  <c r="AU75" i="139"/>
  <c r="AT75" i="139"/>
  <c r="AS75" i="139"/>
  <c r="AR75" i="139"/>
  <c r="AQ75" i="139"/>
  <c r="AP75" i="139"/>
  <c r="AO75" i="139"/>
  <c r="AN75" i="139"/>
  <c r="AM75" i="139"/>
  <c r="AL75" i="139"/>
  <c r="AK75" i="139"/>
  <c r="BK74" i="139"/>
  <c r="AW74" i="139"/>
  <c r="BK72" i="139"/>
  <c r="AW72" i="139"/>
  <c r="BK71" i="139"/>
  <c r="AW71" i="139"/>
  <c r="BK70" i="139"/>
  <c r="AW70" i="139"/>
  <c r="BK69" i="139"/>
  <c r="AW69" i="139"/>
  <c r="BK68" i="139"/>
  <c r="AW68" i="139"/>
  <c r="BK67" i="139"/>
  <c r="AW67" i="139"/>
  <c r="BK66" i="139"/>
  <c r="AW66" i="139"/>
  <c r="BK65" i="139"/>
  <c r="AW65" i="139"/>
  <c r="BK64" i="139"/>
  <c r="AW64" i="139"/>
  <c r="BJ63" i="139"/>
  <c r="BI63" i="139"/>
  <c r="BH63" i="139"/>
  <c r="BG63" i="139"/>
  <c r="BF63" i="139"/>
  <c r="BE63" i="139"/>
  <c r="BD63" i="139"/>
  <c r="BC63" i="139"/>
  <c r="BB63" i="139"/>
  <c r="BA63" i="139"/>
  <c r="AZ63" i="139"/>
  <c r="AY63" i="139"/>
  <c r="AV63" i="139"/>
  <c r="AU63" i="139"/>
  <c r="AT63" i="139"/>
  <c r="AS63" i="139"/>
  <c r="AR63" i="139"/>
  <c r="AQ63" i="139"/>
  <c r="AP63" i="139"/>
  <c r="AO63" i="139"/>
  <c r="AN63" i="139"/>
  <c r="AM63" i="139"/>
  <c r="AL63" i="139"/>
  <c r="AK63" i="139"/>
  <c r="BK62" i="139"/>
  <c r="AW62" i="139"/>
  <c r="BK61" i="139"/>
  <c r="AW61" i="139"/>
  <c r="BK60" i="139"/>
  <c r="AW60" i="139"/>
  <c r="BK59" i="139"/>
  <c r="AW59" i="139"/>
  <c r="BK58" i="139"/>
  <c r="AW58" i="139"/>
  <c r="BJ57" i="139"/>
  <c r="BI57" i="139"/>
  <c r="BH57" i="139"/>
  <c r="BG57" i="139"/>
  <c r="BF57" i="139"/>
  <c r="BE57" i="139"/>
  <c r="BD57" i="139"/>
  <c r="BC57" i="139"/>
  <c r="BB57" i="139"/>
  <c r="BA57" i="139"/>
  <c r="AZ57" i="139"/>
  <c r="AY57" i="139"/>
  <c r="AV57" i="139"/>
  <c r="AU57" i="139"/>
  <c r="AT57" i="139"/>
  <c r="AS57" i="139"/>
  <c r="AR57" i="139"/>
  <c r="AQ57" i="139"/>
  <c r="AP57" i="139"/>
  <c r="AO57" i="139"/>
  <c r="AN57" i="139"/>
  <c r="AM57" i="139"/>
  <c r="AL57" i="139"/>
  <c r="AK57" i="139"/>
  <c r="BK56" i="139"/>
  <c r="AW56" i="139"/>
  <c r="BK55" i="139"/>
  <c r="AW55" i="139"/>
  <c r="BK54" i="139"/>
  <c r="AW54" i="139"/>
  <c r="BK53" i="139"/>
  <c r="AW53" i="139"/>
  <c r="BK51" i="139"/>
  <c r="AW51" i="139"/>
  <c r="BJ50" i="139"/>
  <c r="BI50" i="139"/>
  <c r="BH50" i="139"/>
  <c r="BG50" i="139"/>
  <c r="BF50" i="139"/>
  <c r="BE50" i="139"/>
  <c r="BD50" i="139"/>
  <c r="BC50" i="139"/>
  <c r="BB50" i="139"/>
  <c r="BA50" i="139"/>
  <c r="AZ50" i="139"/>
  <c r="AY50" i="139"/>
  <c r="AV50" i="139"/>
  <c r="AU50" i="139"/>
  <c r="AT50" i="139"/>
  <c r="AS50" i="139"/>
  <c r="AR50" i="139"/>
  <c r="AQ50" i="139"/>
  <c r="AP50" i="139"/>
  <c r="AO50" i="139"/>
  <c r="AN50" i="139"/>
  <c r="AM50" i="139"/>
  <c r="AL50" i="139"/>
  <c r="AK50" i="139"/>
  <c r="BK49" i="139"/>
  <c r="AW49" i="139"/>
  <c r="BJ48" i="139"/>
  <c r="BI48" i="139"/>
  <c r="BH48" i="139"/>
  <c r="BG48" i="139"/>
  <c r="BF48" i="139"/>
  <c r="BE48" i="139"/>
  <c r="BD48" i="139"/>
  <c r="BC48" i="139"/>
  <c r="BB48" i="139"/>
  <c r="BA48" i="139"/>
  <c r="AZ48" i="139"/>
  <c r="AY48" i="139"/>
  <c r="AV48" i="139"/>
  <c r="AU48" i="139"/>
  <c r="AT48" i="139"/>
  <c r="AS48" i="139"/>
  <c r="AR48" i="139"/>
  <c r="AQ48" i="139"/>
  <c r="AP48" i="139"/>
  <c r="AO48" i="139"/>
  <c r="AN48" i="139"/>
  <c r="AM48" i="139"/>
  <c r="AL48" i="139"/>
  <c r="AK48" i="139"/>
  <c r="BK47" i="139"/>
  <c r="AW47" i="139"/>
  <c r="BK46" i="139"/>
  <c r="AW46" i="139"/>
  <c r="BK45" i="139"/>
  <c r="AW45" i="139"/>
  <c r="BK44" i="139"/>
  <c r="AW44" i="139"/>
  <c r="BK43" i="139"/>
  <c r="AW43" i="139"/>
  <c r="BK42" i="139"/>
  <c r="AW42" i="139"/>
  <c r="BJ41" i="139"/>
  <c r="BI41" i="139"/>
  <c r="BH41" i="139"/>
  <c r="BG41" i="139"/>
  <c r="BF41" i="139"/>
  <c r="BE41" i="139"/>
  <c r="BD41" i="139"/>
  <c r="BC41" i="139"/>
  <c r="BB41" i="139"/>
  <c r="BA41" i="139"/>
  <c r="AZ41" i="139"/>
  <c r="AY41" i="139"/>
  <c r="AV41" i="139"/>
  <c r="AU41" i="139"/>
  <c r="AT41" i="139"/>
  <c r="AS41" i="139"/>
  <c r="AR41" i="139"/>
  <c r="AQ41" i="139"/>
  <c r="AP41" i="139"/>
  <c r="AO41" i="139"/>
  <c r="AN41" i="139"/>
  <c r="AM41" i="139"/>
  <c r="AL41" i="139"/>
  <c r="AK41" i="139"/>
  <c r="BK40" i="139"/>
  <c r="AW40" i="139"/>
  <c r="BK39" i="139"/>
  <c r="AW39" i="139"/>
  <c r="BK38" i="139"/>
  <c r="AW38" i="139"/>
  <c r="BK37" i="139"/>
  <c r="AW37" i="139"/>
  <c r="BK36" i="139"/>
  <c r="AW36" i="139"/>
  <c r="BK33" i="139"/>
  <c r="AW33" i="139"/>
  <c r="BJ32" i="139"/>
  <c r="BI32" i="139"/>
  <c r="BH32" i="139"/>
  <c r="BG32" i="139"/>
  <c r="BF32" i="139"/>
  <c r="BE32" i="139"/>
  <c r="BD32" i="139"/>
  <c r="BC32" i="139"/>
  <c r="BB32" i="139"/>
  <c r="BA32" i="139"/>
  <c r="AZ32" i="139"/>
  <c r="AY32" i="139"/>
  <c r="AV32" i="139"/>
  <c r="AU32" i="139"/>
  <c r="AT32" i="139"/>
  <c r="AS32" i="139"/>
  <c r="AR32" i="139"/>
  <c r="AQ32" i="139"/>
  <c r="AP32" i="139"/>
  <c r="AO32" i="139"/>
  <c r="AN32" i="139"/>
  <c r="AM32" i="139"/>
  <c r="AL32" i="139"/>
  <c r="AK32" i="139"/>
  <c r="BK31" i="139"/>
  <c r="AW31" i="139"/>
  <c r="BK28" i="139"/>
  <c r="AW28" i="139"/>
  <c r="BK27" i="139"/>
  <c r="AW27" i="139"/>
  <c r="BJ26" i="139"/>
  <c r="BI26" i="139"/>
  <c r="BH26" i="139"/>
  <c r="BG26" i="139"/>
  <c r="BF26" i="139"/>
  <c r="BE26" i="139"/>
  <c r="BD26" i="139"/>
  <c r="BC26" i="139"/>
  <c r="BB26" i="139"/>
  <c r="BA26" i="139"/>
  <c r="AZ26" i="139"/>
  <c r="AY26" i="139"/>
  <c r="AV26" i="139"/>
  <c r="AU26" i="139"/>
  <c r="AT26" i="139"/>
  <c r="AS26" i="139"/>
  <c r="AR26" i="139"/>
  <c r="AQ26" i="139"/>
  <c r="AP26" i="139"/>
  <c r="AO26" i="139"/>
  <c r="AN26" i="139"/>
  <c r="AM26" i="139"/>
  <c r="AL26" i="139"/>
  <c r="AK26" i="139"/>
  <c r="BK24" i="139"/>
  <c r="AW24" i="139"/>
  <c r="BK22" i="139"/>
  <c r="AW22" i="139"/>
  <c r="BK21" i="139"/>
  <c r="AW21" i="139"/>
  <c r="BK20" i="139"/>
  <c r="AW20" i="139"/>
  <c r="BK12" i="139"/>
  <c r="AW12" i="139"/>
  <c r="BK10" i="139"/>
  <c r="AW10" i="139"/>
  <c r="BK8" i="139"/>
  <c r="AW8" i="139"/>
  <c r="BK7" i="139"/>
  <c r="AW7" i="139"/>
  <c r="BK5" i="139"/>
  <c r="AW5" i="139"/>
  <c r="AT4" i="139"/>
  <c r="AS4" i="139"/>
  <c r="AR4" i="139"/>
  <c r="AQ4" i="139"/>
  <c r="AP4" i="139"/>
  <c r="AO4" i="139"/>
  <c r="AN4" i="139"/>
  <c r="AM4" i="139"/>
  <c r="AL4" i="139"/>
  <c r="AK4" i="139"/>
  <c r="BX145" i="139"/>
  <c r="BW145" i="139"/>
  <c r="BV145" i="139"/>
  <c r="BU145" i="139"/>
  <c r="BT145" i="139"/>
  <c r="BS145" i="139"/>
  <c r="BR145" i="139"/>
  <c r="BQ145" i="139"/>
  <c r="BP145" i="139"/>
  <c r="BO145" i="139"/>
  <c r="BN145" i="139"/>
  <c r="BM145" i="139"/>
  <c r="BY144" i="139"/>
  <c r="BY142" i="139"/>
  <c r="BY141" i="139"/>
  <c r="BY140" i="139"/>
  <c r="BY139" i="139"/>
  <c r="BX138" i="139"/>
  <c r="BW138" i="139"/>
  <c r="BV138" i="139"/>
  <c r="BU138" i="139"/>
  <c r="BT138" i="139"/>
  <c r="BS138" i="139"/>
  <c r="BR138" i="139"/>
  <c r="BQ138" i="139"/>
  <c r="BP138" i="139"/>
  <c r="BO138" i="139"/>
  <c r="BN138" i="139"/>
  <c r="BM138" i="139"/>
  <c r="BY137" i="139"/>
  <c r="BY136" i="139"/>
  <c r="BX135" i="139"/>
  <c r="BW135" i="139"/>
  <c r="BV135" i="139"/>
  <c r="BU135" i="139"/>
  <c r="BT135" i="139"/>
  <c r="BS135" i="139"/>
  <c r="BR135" i="139"/>
  <c r="BQ135" i="139"/>
  <c r="BP135" i="139"/>
  <c r="BO135" i="139"/>
  <c r="BN135" i="139"/>
  <c r="BM135" i="139"/>
  <c r="BY134" i="139"/>
  <c r="BY133" i="139"/>
  <c r="BX132" i="139"/>
  <c r="BW132" i="139"/>
  <c r="BV132" i="139"/>
  <c r="BU132" i="139"/>
  <c r="BT132" i="139"/>
  <c r="BS132" i="139"/>
  <c r="BR132" i="139"/>
  <c r="BQ132" i="139"/>
  <c r="BP132" i="139"/>
  <c r="BO132" i="139"/>
  <c r="BN132" i="139"/>
  <c r="BM132" i="139"/>
  <c r="BY131" i="139"/>
  <c r="BY130" i="139"/>
  <c r="BX129" i="139"/>
  <c r="BW129" i="139"/>
  <c r="BV129" i="139"/>
  <c r="BU129" i="139"/>
  <c r="BT129" i="139"/>
  <c r="BS129" i="139"/>
  <c r="BR129" i="139"/>
  <c r="BQ129" i="139"/>
  <c r="BP129" i="139"/>
  <c r="BO129" i="139"/>
  <c r="BN129" i="139"/>
  <c r="BM129" i="139"/>
  <c r="BY128" i="139"/>
  <c r="BY124" i="139"/>
  <c r="BX123" i="139"/>
  <c r="BW123" i="139"/>
  <c r="BV123" i="139"/>
  <c r="BU123" i="139"/>
  <c r="BT123" i="139"/>
  <c r="BS123" i="139"/>
  <c r="BR123" i="139"/>
  <c r="BQ123" i="139"/>
  <c r="BP123" i="139"/>
  <c r="BO123" i="139"/>
  <c r="BN123" i="139"/>
  <c r="BM123" i="139"/>
  <c r="BY114" i="139"/>
  <c r="BX113" i="139"/>
  <c r="BW113" i="139"/>
  <c r="BV113" i="139"/>
  <c r="BU113" i="139"/>
  <c r="BT113" i="139"/>
  <c r="BS113" i="139"/>
  <c r="BR113" i="139"/>
  <c r="BQ113" i="139"/>
  <c r="BP113" i="139"/>
  <c r="BO113" i="139"/>
  <c r="BN113" i="139"/>
  <c r="BM113" i="139"/>
  <c r="BY112" i="139"/>
  <c r="BY109" i="139"/>
  <c r="BX108" i="139"/>
  <c r="BW108" i="139"/>
  <c r="BV108" i="139"/>
  <c r="BU108" i="139"/>
  <c r="BT108" i="139"/>
  <c r="BS108" i="139"/>
  <c r="BR108" i="139"/>
  <c r="BQ108" i="139"/>
  <c r="BP108" i="139"/>
  <c r="BO108" i="139"/>
  <c r="BN108" i="139"/>
  <c r="BM108" i="139"/>
  <c r="BY107" i="139"/>
  <c r="BY103" i="139"/>
  <c r="BY102" i="139"/>
  <c r="BY101" i="139"/>
  <c r="BY100" i="139"/>
  <c r="BY99" i="139"/>
  <c r="BY98" i="139"/>
  <c r="BX97" i="139"/>
  <c r="BW97" i="139"/>
  <c r="BV97" i="139"/>
  <c r="BU97" i="139"/>
  <c r="BT97" i="139"/>
  <c r="BS97" i="139"/>
  <c r="BR97" i="139"/>
  <c r="BQ97" i="139"/>
  <c r="BP97" i="139"/>
  <c r="BO97" i="139"/>
  <c r="BN97" i="139"/>
  <c r="BM97" i="139"/>
  <c r="BY96" i="139"/>
  <c r="BX95" i="139"/>
  <c r="BW95" i="139"/>
  <c r="BV95" i="139"/>
  <c r="BU95" i="139"/>
  <c r="BT95" i="139"/>
  <c r="BS95" i="139"/>
  <c r="BR95" i="139"/>
  <c r="BQ95" i="139"/>
  <c r="BP95" i="139"/>
  <c r="BO95" i="139"/>
  <c r="BN95" i="139"/>
  <c r="BM95" i="139"/>
  <c r="BY94" i="139"/>
  <c r="BY93" i="139"/>
  <c r="BX92" i="139"/>
  <c r="BW92" i="139"/>
  <c r="BV92" i="139"/>
  <c r="BU92" i="139"/>
  <c r="BT92" i="139"/>
  <c r="BS92" i="139"/>
  <c r="BR92" i="139"/>
  <c r="BQ92" i="139"/>
  <c r="BP92" i="139"/>
  <c r="BO92" i="139"/>
  <c r="BN92" i="139"/>
  <c r="BM92" i="139"/>
  <c r="BY91" i="139"/>
  <c r="BY90" i="139"/>
  <c r="BX89" i="139"/>
  <c r="BW89" i="139"/>
  <c r="BV89" i="139"/>
  <c r="BU89" i="139"/>
  <c r="BT89" i="139"/>
  <c r="BS89" i="139"/>
  <c r="BR89" i="139"/>
  <c r="BQ89" i="139"/>
  <c r="BP89" i="139"/>
  <c r="BO89" i="139"/>
  <c r="BN89" i="139"/>
  <c r="BM89" i="139"/>
  <c r="BY88" i="139"/>
  <c r="BX87" i="139"/>
  <c r="BW87" i="139"/>
  <c r="BV87" i="139"/>
  <c r="BU87" i="139"/>
  <c r="BT87" i="139"/>
  <c r="BS87" i="139"/>
  <c r="BR87" i="139"/>
  <c r="BQ87" i="139"/>
  <c r="BO87" i="139"/>
  <c r="BN87" i="139"/>
  <c r="BM87" i="139"/>
  <c r="BY86" i="139"/>
  <c r="BY85" i="139"/>
  <c r="BY81" i="139"/>
  <c r="BX80" i="139"/>
  <c r="BW80" i="139"/>
  <c r="BV80" i="139"/>
  <c r="BU80" i="139"/>
  <c r="BT80" i="139"/>
  <c r="BS80" i="139"/>
  <c r="BR80" i="139"/>
  <c r="BQ80" i="139"/>
  <c r="BP80" i="139"/>
  <c r="BO80" i="139"/>
  <c r="BN80" i="139"/>
  <c r="BM80" i="139"/>
  <c r="BY79" i="139"/>
  <c r="BY78" i="139"/>
  <c r="BY77" i="139"/>
  <c r="BY76" i="139"/>
  <c r="BX75" i="139"/>
  <c r="BW75" i="139"/>
  <c r="BV75" i="139"/>
  <c r="BU75" i="139"/>
  <c r="BT75" i="139"/>
  <c r="BS75" i="139"/>
  <c r="BR75" i="139"/>
  <c r="BQ75" i="139"/>
  <c r="BP75" i="139"/>
  <c r="BO75" i="139"/>
  <c r="BN75" i="139"/>
  <c r="BM75" i="139"/>
  <c r="BY74" i="139"/>
  <c r="BY72" i="139"/>
  <c r="BY71" i="139"/>
  <c r="BY70" i="139"/>
  <c r="BY69" i="139"/>
  <c r="BY68" i="139"/>
  <c r="BY67" i="139"/>
  <c r="BY66" i="139"/>
  <c r="BY65" i="139"/>
  <c r="BY64" i="139"/>
  <c r="BX63" i="139"/>
  <c r="BW63" i="139"/>
  <c r="BV63" i="139"/>
  <c r="BU63" i="139"/>
  <c r="BT63" i="139"/>
  <c r="BS63" i="139"/>
  <c r="BR63" i="139"/>
  <c r="BQ63" i="139"/>
  <c r="BP63" i="139"/>
  <c r="BO63" i="139"/>
  <c r="BN63" i="139"/>
  <c r="BM63" i="139"/>
  <c r="BY62" i="139"/>
  <c r="BY61" i="139"/>
  <c r="BY60" i="139"/>
  <c r="BY59" i="139"/>
  <c r="BY58" i="139"/>
  <c r="BX57" i="139"/>
  <c r="BW57" i="139"/>
  <c r="BV57" i="139"/>
  <c r="BU57" i="139"/>
  <c r="BT57" i="139"/>
  <c r="BS57" i="139"/>
  <c r="BR57" i="139"/>
  <c r="BQ57" i="139"/>
  <c r="BP57" i="139"/>
  <c r="BO57" i="139"/>
  <c r="BN57" i="139"/>
  <c r="BM57" i="139"/>
  <c r="BY56" i="139"/>
  <c r="BY55" i="139"/>
  <c r="BY54" i="139"/>
  <c r="BY53" i="139"/>
  <c r="BY51" i="139"/>
  <c r="BX50" i="139"/>
  <c r="BW50" i="139"/>
  <c r="BV50" i="139"/>
  <c r="BU50" i="139"/>
  <c r="BT50" i="139"/>
  <c r="BS50" i="139"/>
  <c r="BR50" i="139"/>
  <c r="BQ50" i="139"/>
  <c r="BP50" i="139"/>
  <c r="BO50" i="139"/>
  <c r="BN50" i="139"/>
  <c r="BM50" i="139"/>
  <c r="BY49" i="139"/>
  <c r="BX48" i="139"/>
  <c r="BW48" i="139"/>
  <c r="BV48" i="139"/>
  <c r="BU48" i="139"/>
  <c r="BT48" i="139"/>
  <c r="BS48" i="139"/>
  <c r="BR48" i="139"/>
  <c r="BQ48" i="139"/>
  <c r="BP48" i="139"/>
  <c r="BO48" i="139"/>
  <c r="BN48" i="139"/>
  <c r="BM48" i="139"/>
  <c r="BY47" i="139"/>
  <c r="BY46" i="139"/>
  <c r="BY45" i="139"/>
  <c r="BY44" i="139"/>
  <c r="BY43" i="139"/>
  <c r="BY42" i="139"/>
  <c r="BX41" i="139"/>
  <c r="BW41" i="139"/>
  <c r="BV41" i="139"/>
  <c r="BU41" i="139"/>
  <c r="BT41" i="139"/>
  <c r="BS41" i="139"/>
  <c r="BR41" i="139"/>
  <c r="BQ41" i="139"/>
  <c r="BP41" i="139"/>
  <c r="BO41" i="139"/>
  <c r="BN41" i="139"/>
  <c r="BM41" i="139"/>
  <c r="BY40" i="139"/>
  <c r="BY39" i="139"/>
  <c r="BY38" i="139"/>
  <c r="BY37" i="139"/>
  <c r="BY36" i="139"/>
  <c r="BY33" i="139"/>
  <c r="BX32" i="139"/>
  <c r="BW32" i="139"/>
  <c r="BV32" i="139"/>
  <c r="BU32" i="139"/>
  <c r="BT32" i="139"/>
  <c r="BS32" i="139"/>
  <c r="BR32" i="139"/>
  <c r="BQ32" i="139"/>
  <c r="BP32" i="139"/>
  <c r="BO32" i="139"/>
  <c r="BN32" i="139"/>
  <c r="BM32" i="139"/>
  <c r="BY31" i="139"/>
  <c r="BY28" i="139"/>
  <c r="BY27" i="139"/>
  <c r="BX26" i="139"/>
  <c r="BW26" i="139"/>
  <c r="BV26" i="139"/>
  <c r="BU26" i="139"/>
  <c r="BT26" i="139"/>
  <c r="BS26" i="139"/>
  <c r="BR26" i="139"/>
  <c r="BP26" i="139"/>
  <c r="BO26" i="139"/>
  <c r="BN26" i="139"/>
  <c r="BM26" i="139"/>
  <c r="BY24" i="139"/>
  <c r="BY22" i="139"/>
  <c r="BY21" i="139"/>
  <c r="BY20" i="139"/>
  <c r="BY12" i="139"/>
  <c r="BY10" i="139"/>
  <c r="BY8" i="139"/>
  <c r="BY7" i="139"/>
  <c r="BY5" i="139"/>
  <c r="BX4" i="139"/>
  <c r="BW4" i="139"/>
  <c r="BV4" i="139"/>
  <c r="BU4" i="139"/>
  <c r="BT4" i="139"/>
  <c r="BS4" i="139"/>
  <c r="BR4" i="139"/>
  <c r="DZ144" i="139"/>
  <c r="DZ142" i="139"/>
  <c r="DZ141" i="139"/>
  <c r="DZ140" i="139"/>
  <c r="DZ139" i="139"/>
  <c r="DZ137" i="139"/>
  <c r="DZ136" i="139"/>
  <c r="DZ134" i="139"/>
  <c r="DZ133" i="139"/>
  <c r="DZ131" i="139"/>
  <c r="DZ130" i="139"/>
  <c r="DZ128" i="139"/>
  <c r="DZ124" i="139"/>
  <c r="DZ114" i="139"/>
  <c r="DZ112" i="139"/>
  <c r="DZ109" i="139"/>
  <c r="DZ107" i="139"/>
  <c r="DZ103" i="139"/>
  <c r="DZ102" i="139"/>
  <c r="DZ101" i="139"/>
  <c r="DZ100" i="139"/>
  <c r="DZ99" i="139"/>
  <c r="DZ98" i="139"/>
  <c r="DZ96" i="139"/>
  <c r="DZ94" i="139"/>
  <c r="DZ93" i="139"/>
  <c r="DZ91" i="139"/>
  <c r="DZ90" i="139"/>
  <c r="DZ88" i="139"/>
  <c r="DZ86" i="139"/>
  <c r="DZ85" i="139"/>
  <c r="DZ81" i="139"/>
  <c r="DZ79" i="139"/>
  <c r="DZ78" i="139"/>
  <c r="DZ77" i="139"/>
  <c r="DZ76" i="139"/>
  <c r="DZ74" i="139"/>
  <c r="DZ72" i="139"/>
  <c r="DZ71" i="139"/>
  <c r="DZ70" i="139"/>
  <c r="DZ69" i="139"/>
  <c r="DZ68" i="139"/>
  <c r="DZ67" i="139"/>
  <c r="DZ66" i="139"/>
  <c r="DZ65" i="139"/>
  <c r="DZ64" i="139"/>
  <c r="DZ62" i="139"/>
  <c r="DZ61" i="139"/>
  <c r="DZ60" i="139"/>
  <c r="DZ59" i="139"/>
  <c r="DZ58" i="139"/>
  <c r="DZ56" i="139"/>
  <c r="DZ55" i="139"/>
  <c r="DZ54" i="139"/>
  <c r="DZ53" i="139"/>
  <c r="DZ51" i="139"/>
  <c r="DZ49" i="139"/>
  <c r="DZ47" i="139"/>
  <c r="DZ46" i="139"/>
  <c r="DZ45" i="139"/>
  <c r="DZ44" i="139"/>
  <c r="DZ43" i="139"/>
  <c r="DZ42" i="139"/>
  <c r="DZ40" i="139"/>
  <c r="DZ39" i="139"/>
  <c r="DZ38" i="139"/>
  <c r="DZ37" i="139"/>
  <c r="DZ36" i="139"/>
  <c r="DZ33" i="139"/>
  <c r="DZ31" i="139"/>
  <c r="DZ28" i="139"/>
  <c r="DZ27" i="139"/>
  <c r="DZ24" i="139"/>
  <c r="DZ22" i="139"/>
  <c r="DZ21" i="139"/>
  <c r="DZ20" i="139"/>
  <c r="DZ12" i="139"/>
  <c r="DZ10" i="139"/>
  <c r="DZ8" i="139"/>
  <c r="DZ7" i="139"/>
  <c r="DZ5" i="139"/>
  <c r="DY145" i="139"/>
  <c r="DY138" i="139"/>
  <c r="DY135" i="139"/>
  <c r="DY132" i="139"/>
  <c r="DY129" i="139"/>
  <c r="DY123" i="139"/>
  <c r="DY113" i="139"/>
  <c r="DY108" i="139"/>
  <c r="DY97" i="139"/>
  <c r="DY95" i="139"/>
  <c r="DY92" i="139"/>
  <c r="DY89" i="139"/>
  <c r="DY87" i="139"/>
  <c r="DY80" i="139"/>
  <c r="DY75" i="139"/>
  <c r="DY63" i="139"/>
  <c r="DY57" i="139"/>
  <c r="DY50" i="139"/>
  <c r="DY48" i="139"/>
  <c r="DY41" i="139"/>
  <c r="DY32" i="139"/>
  <c r="DY26" i="139"/>
  <c r="DY4" i="139"/>
  <c r="DQ145" i="139"/>
  <c r="DP145" i="139"/>
  <c r="DO145" i="139"/>
  <c r="DN145" i="139"/>
  <c r="DQ138" i="139"/>
  <c r="DP138" i="139"/>
  <c r="DO138" i="139"/>
  <c r="DN138" i="139"/>
  <c r="DQ135" i="139"/>
  <c r="DP135" i="139"/>
  <c r="DO135" i="139"/>
  <c r="DN135" i="139"/>
  <c r="DQ132" i="139"/>
  <c r="DP132" i="139"/>
  <c r="DO132" i="139"/>
  <c r="DN132" i="139"/>
  <c r="DQ129" i="139"/>
  <c r="DP129" i="139"/>
  <c r="DO129" i="139"/>
  <c r="DN129" i="139"/>
  <c r="DQ123" i="139"/>
  <c r="DP123" i="139"/>
  <c r="DO123" i="139"/>
  <c r="DN123" i="139"/>
  <c r="DQ113" i="139"/>
  <c r="DP113" i="139"/>
  <c r="DO113" i="139"/>
  <c r="DN113" i="139"/>
  <c r="DQ108" i="139"/>
  <c r="DP108" i="139"/>
  <c r="DO108" i="139"/>
  <c r="DN108" i="139"/>
  <c r="DQ97" i="139"/>
  <c r="DP97" i="139"/>
  <c r="DO97" i="139"/>
  <c r="DN97" i="139"/>
  <c r="DQ95" i="139"/>
  <c r="DP95" i="139"/>
  <c r="DO95" i="139"/>
  <c r="DN95" i="139"/>
  <c r="DQ92" i="139"/>
  <c r="DP92" i="139"/>
  <c r="DO92" i="139"/>
  <c r="DN92" i="139"/>
  <c r="DQ89" i="139"/>
  <c r="DP89" i="139"/>
  <c r="DO89" i="139"/>
  <c r="DN89" i="139"/>
  <c r="DQ87" i="139"/>
  <c r="DP87" i="139"/>
  <c r="DO87" i="139"/>
  <c r="DN87" i="139"/>
  <c r="DQ80" i="139"/>
  <c r="DP80" i="139"/>
  <c r="DO80" i="139"/>
  <c r="DN80" i="139"/>
  <c r="DQ75" i="139"/>
  <c r="DP75" i="139"/>
  <c r="DO75" i="139"/>
  <c r="DN75" i="139"/>
  <c r="DQ63" i="139"/>
  <c r="DP63" i="139"/>
  <c r="DO63" i="139"/>
  <c r="DN63" i="139"/>
  <c r="DQ57" i="139"/>
  <c r="DP57" i="139"/>
  <c r="DO57" i="139"/>
  <c r="DN57" i="139"/>
  <c r="DQ50" i="139"/>
  <c r="DP50" i="139"/>
  <c r="DO50" i="139"/>
  <c r="DN50" i="139"/>
  <c r="DQ48" i="139"/>
  <c r="DP48" i="139"/>
  <c r="DO48" i="139"/>
  <c r="DN48" i="139"/>
  <c r="DQ41" i="139"/>
  <c r="DP41" i="139"/>
  <c r="DO41" i="139"/>
  <c r="DN41" i="139"/>
  <c r="DQ32" i="139"/>
  <c r="DP32" i="139"/>
  <c r="DO32" i="139"/>
  <c r="DN32" i="139"/>
  <c r="DQ26" i="139"/>
  <c r="DP26" i="139"/>
  <c r="DO26" i="139"/>
  <c r="DN26" i="139"/>
  <c r="DQ4" i="139"/>
  <c r="DP4" i="139"/>
  <c r="DO4" i="139"/>
  <c r="DN4" i="139"/>
  <c r="DU145" i="139"/>
  <c r="DT145" i="139"/>
  <c r="DS145" i="139"/>
  <c r="DR145" i="139"/>
  <c r="DU138" i="139"/>
  <c r="DT138" i="139"/>
  <c r="DS138" i="139"/>
  <c r="DR138" i="139"/>
  <c r="DU135" i="139"/>
  <c r="DT135" i="139"/>
  <c r="DS135" i="139"/>
  <c r="DR135" i="139"/>
  <c r="DU132" i="139"/>
  <c r="DT132" i="139"/>
  <c r="DS132" i="139"/>
  <c r="DR132" i="139"/>
  <c r="DU129" i="139"/>
  <c r="DT129" i="139"/>
  <c r="DS129" i="139"/>
  <c r="DR129" i="139"/>
  <c r="DU123" i="139"/>
  <c r="DT123" i="139"/>
  <c r="DS123" i="139"/>
  <c r="DR123" i="139"/>
  <c r="DU113" i="139"/>
  <c r="DT113" i="139"/>
  <c r="DS113" i="139"/>
  <c r="DR113" i="139"/>
  <c r="DU108" i="139"/>
  <c r="DT108" i="139"/>
  <c r="DS108" i="139"/>
  <c r="DR108" i="139"/>
  <c r="DU97" i="139"/>
  <c r="DT97" i="139"/>
  <c r="DS97" i="139"/>
  <c r="DR97" i="139"/>
  <c r="DU95" i="139"/>
  <c r="DT95" i="139"/>
  <c r="DS95" i="139"/>
  <c r="DR95" i="139"/>
  <c r="DU92" i="139"/>
  <c r="DT92" i="139"/>
  <c r="DS92" i="139"/>
  <c r="DR92" i="139"/>
  <c r="DU89" i="139"/>
  <c r="DT89" i="139"/>
  <c r="DS89" i="139"/>
  <c r="DR89" i="139"/>
  <c r="DU87" i="139"/>
  <c r="DT87" i="139"/>
  <c r="DS87" i="139"/>
  <c r="DR87" i="139"/>
  <c r="DU80" i="139"/>
  <c r="DT80" i="139"/>
  <c r="DS80" i="139"/>
  <c r="DR80" i="139"/>
  <c r="DU75" i="139"/>
  <c r="DT75" i="139"/>
  <c r="DS75" i="139"/>
  <c r="DR75" i="139"/>
  <c r="DU63" i="139"/>
  <c r="DT63" i="139"/>
  <c r="DS63" i="139"/>
  <c r="DR63" i="139"/>
  <c r="DU57" i="139"/>
  <c r="DT57" i="139"/>
  <c r="DS57" i="139"/>
  <c r="DR57" i="139"/>
  <c r="DU50" i="139"/>
  <c r="DT50" i="139"/>
  <c r="DS50" i="139"/>
  <c r="DR50" i="139"/>
  <c r="DU48" i="139"/>
  <c r="DT48" i="139"/>
  <c r="DS48" i="139"/>
  <c r="DR48" i="139"/>
  <c r="DU41" i="139"/>
  <c r="DT41" i="139"/>
  <c r="DS41" i="139"/>
  <c r="DR41" i="139"/>
  <c r="DU32" i="139"/>
  <c r="DT32" i="139"/>
  <c r="DS32" i="139"/>
  <c r="DR32" i="139"/>
  <c r="DU26" i="139"/>
  <c r="DT26" i="139"/>
  <c r="DS26" i="139"/>
  <c r="DR26" i="139"/>
  <c r="DU4" i="139"/>
  <c r="DT4" i="139"/>
  <c r="DS4" i="139"/>
  <c r="DR4" i="139"/>
  <c r="DW145" i="139"/>
  <c r="DV145" i="139"/>
  <c r="DW138" i="139"/>
  <c r="DV138" i="139"/>
  <c r="DW135" i="139"/>
  <c r="DV135" i="139"/>
  <c r="DW132" i="139"/>
  <c r="DV132" i="139"/>
  <c r="DW129" i="139"/>
  <c r="DV129" i="139"/>
  <c r="DW123" i="139"/>
  <c r="DV123" i="139"/>
  <c r="DW113" i="139"/>
  <c r="DV113" i="139"/>
  <c r="DW108" i="139"/>
  <c r="DV108" i="139"/>
  <c r="DW97" i="139"/>
  <c r="DV97" i="139"/>
  <c r="DW95" i="139"/>
  <c r="DV95" i="139"/>
  <c r="DW92" i="139"/>
  <c r="DV92" i="139"/>
  <c r="DW89" i="139"/>
  <c r="DV89" i="139"/>
  <c r="DW87" i="139"/>
  <c r="DV87" i="139"/>
  <c r="DW80" i="139"/>
  <c r="DV80" i="139"/>
  <c r="DW75" i="139"/>
  <c r="DV75" i="139"/>
  <c r="DW63" i="139"/>
  <c r="DV63" i="139"/>
  <c r="DW57" i="139"/>
  <c r="DV57" i="139"/>
  <c r="DW50" i="139"/>
  <c r="DV50" i="139"/>
  <c r="DW48" i="139"/>
  <c r="DV48" i="139"/>
  <c r="DW41" i="139"/>
  <c r="DV41" i="139"/>
  <c r="DW32" i="139"/>
  <c r="DV32" i="139"/>
  <c r="DW26" i="139"/>
  <c r="DV26" i="139"/>
  <c r="DW4" i="139"/>
  <c r="DV4" i="139"/>
  <c r="AI144" i="139"/>
  <c r="AI142" i="139"/>
  <c r="AI141" i="139"/>
  <c r="AI140" i="139"/>
  <c r="AI139" i="139"/>
  <c r="AI137" i="139"/>
  <c r="AI134" i="139"/>
  <c r="AI133" i="139"/>
  <c r="AI131" i="139"/>
  <c r="AI128" i="139"/>
  <c r="AI124" i="139"/>
  <c r="AI112" i="139"/>
  <c r="AI109" i="139"/>
  <c r="AI103" i="139"/>
  <c r="AI102" i="139"/>
  <c r="AI101" i="139"/>
  <c r="AI100" i="139"/>
  <c r="AI99" i="139"/>
  <c r="AI98" i="139"/>
  <c r="AI96" i="139"/>
  <c r="AI94" i="139"/>
  <c r="AI93" i="139"/>
  <c r="AI91" i="139"/>
  <c r="AI90" i="139"/>
  <c r="AI85" i="139"/>
  <c r="AI81" i="139"/>
  <c r="AI78" i="139"/>
  <c r="AI77" i="139"/>
  <c r="AI74" i="139"/>
  <c r="AI72" i="139"/>
  <c r="AI71" i="139"/>
  <c r="AI70" i="139"/>
  <c r="AI69" i="139"/>
  <c r="AI68" i="139"/>
  <c r="AI66" i="139"/>
  <c r="AI65" i="139"/>
  <c r="AI64" i="139"/>
  <c r="AI62" i="139"/>
  <c r="AI61" i="139"/>
  <c r="AI60" i="139"/>
  <c r="AI59" i="139"/>
  <c r="AI56" i="139"/>
  <c r="AI55" i="139"/>
  <c r="AI54" i="139"/>
  <c r="AI53" i="139"/>
  <c r="AI51" i="139"/>
  <c r="AI49" i="139"/>
  <c r="AI46" i="139"/>
  <c r="AI45" i="139"/>
  <c r="AI43" i="139"/>
  <c r="AI42" i="139"/>
  <c r="AI40" i="139"/>
  <c r="AI39" i="139"/>
  <c r="AI38" i="139"/>
  <c r="AI37" i="139"/>
  <c r="AI36" i="139"/>
  <c r="AI33" i="139"/>
  <c r="AI28" i="139"/>
  <c r="AI24" i="139"/>
  <c r="AI22" i="139"/>
  <c r="AI21" i="139"/>
  <c r="AI20" i="139"/>
  <c r="AI12" i="139"/>
  <c r="AI10" i="139"/>
  <c r="AI7" i="139"/>
  <c r="U146" i="139"/>
  <c r="U144" i="139"/>
  <c r="U142" i="139"/>
  <c r="U141" i="139"/>
  <c r="U140" i="139"/>
  <c r="U139" i="139"/>
  <c r="U137" i="139"/>
  <c r="U136" i="139"/>
  <c r="U134" i="139"/>
  <c r="U131" i="139"/>
  <c r="U128" i="139"/>
  <c r="U124" i="139"/>
  <c r="U114" i="139"/>
  <c r="U109" i="139"/>
  <c r="U107" i="139"/>
  <c r="U103" i="139"/>
  <c r="U102" i="139"/>
  <c r="U101" i="139"/>
  <c r="U100" i="139"/>
  <c r="U99" i="139"/>
  <c r="U98" i="139"/>
  <c r="U94" i="139"/>
  <c r="U93" i="139"/>
  <c r="U91" i="139"/>
  <c r="U90" i="139"/>
  <c r="U88" i="139"/>
  <c r="U81" i="139"/>
  <c r="U78" i="139"/>
  <c r="U77" i="139"/>
  <c r="U74" i="139"/>
  <c r="U72" i="139"/>
  <c r="U71" i="139"/>
  <c r="U70" i="139"/>
  <c r="U69" i="139"/>
  <c r="U68" i="139"/>
  <c r="U67" i="139"/>
  <c r="U66" i="139"/>
  <c r="U64" i="139"/>
  <c r="U62" i="139"/>
  <c r="U61" i="139"/>
  <c r="U60" i="139"/>
  <c r="U59" i="139"/>
  <c r="U58" i="139"/>
  <c r="U56" i="139"/>
  <c r="U55" i="139"/>
  <c r="U54" i="139"/>
  <c r="U53" i="139"/>
  <c r="U51" i="139"/>
  <c r="U49" i="139"/>
  <c r="U47" i="139"/>
  <c r="U46" i="139"/>
  <c r="U45" i="139"/>
  <c r="U44" i="139"/>
  <c r="U43" i="139"/>
  <c r="U42" i="139"/>
  <c r="U39" i="139"/>
  <c r="U38" i="139"/>
  <c r="U37" i="139"/>
  <c r="U36" i="139"/>
  <c r="U33" i="139"/>
  <c r="U31" i="139"/>
  <c r="U28" i="139"/>
  <c r="U27" i="139"/>
  <c r="U24" i="139"/>
  <c r="U22" i="139"/>
  <c r="U21" i="139"/>
  <c r="U20" i="139"/>
  <c r="U12" i="139"/>
  <c r="U10" i="139"/>
  <c r="U8" i="139"/>
  <c r="U7" i="139"/>
  <c r="U5" i="139"/>
  <c r="G146" i="139"/>
  <c r="G144" i="139"/>
  <c r="G142" i="139"/>
  <c r="G141" i="139"/>
  <c r="G140" i="139"/>
  <c r="G139" i="139"/>
  <c r="G137" i="139"/>
  <c r="G136" i="139"/>
  <c r="G134" i="139"/>
  <c r="G133" i="139"/>
  <c r="G131" i="139"/>
  <c r="G130" i="139"/>
  <c r="G128" i="139"/>
  <c r="G124" i="139"/>
  <c r="G114" i="139"/>
  <c r="G112" i="139"/>
  <c r="G109" i="139"/>
  <c r="G107" i="139"/>
  <c r="G103" i="139"/>
  <c r="G102" i="139"/>
  <c r="G101" i="139"/>
  <c r="G100" i="139"/>
  <c r="G99" i="139"/>
  <c r="G98" i="139"/>
  <c r="G96" i="139"/>
  <c r="G94" i="139"/>
  <c r="G93" i="139"/>
  <c r="G91" i="139"/>
  <c r="G90" i="139"/>
  <c r="G88" i="139"/>
  <c r="G86" i="139"/>
  <c r="G85" i="139"/>
  <c r="G81" i="139"/>
  <c r="G78" i="139"/>
  <c r="G77" i="139"/>
  <c r="G76" i="139"/>
  <c r="G74" i="139"/>
  <c r="G72" i="139"/>
  <c r="G71" i="139"/>
  <c r="G70" i="139"/>
  <c r="G69" i="139"/>
  <c r="G68" i="139"/>
  <c r="G67" i="139"/>
  <c r="G66" i="139"/>
  <c r="G65" i="139"/>
  <c r="G64" i="139"/>
  <c r="G62" i="139"/>
  <c r="G61" i="139"/>
  <c r="G60" i="139"/>
  <c r="G59" i="139"/>
  <c r="G58" i="139"/>
  <c r="G56" i="139"/>
  <c r="G55" i="139"/>
  <c r="G54" i="139"/>
  <c r="G53" i="139"/>
  <c r="G51" i="139"/>
  <c r="G49" i="139"/>
  <c r="G47" i="139"/>
  <c r="G46" i="139"/>
  <c r="G45" i="139"/>
  <c r="G44" i="139"/>
  <c r="G43" i="139"/>
  <c r="G42" i="139"/>
  <c r="G40" i="139"/>
  <c r="G39" i="139"/>
  <c r="G38" i="139"/>
  <c r="G37" i="139"/>
  <c r="G36" i="139"/>
  <c r="G33" i="139"/>
  <c r="G31" i="139"/>
  <c r="G28" i="139"/>
  <c r="G27" i="139"/>
  <c r="G24" i="139"/>
  <c r="G22" i="139"/>
  <c r="G21" i="139"/>
  <c r="G20" i="139"/>
  <c r="G12" i="139"/>
  <c r="G10" i="139"/>
  <c r="G8" i="139"/>
  <c r="G7" i="139"/>
  <c r="AF145" i="139"/>
  <c r="AE146" i="139"/>
  <c r="AE145" i="139" s="1"/>
  <c r="AD146" i="139"/>
  <c r="AD145" i="139" s="1"/>
  <c r="AC145" i="139"/>
  <c r="AF138" i="139"/>
  <c r="AE138" i="139"/>
  <c r="AD138" i="139"/>
  <c r="AC138" i="139"/>
  <c r="AF135" i="139"/>
  <c r="AE135" i="139"/>
  <c r="AD135" i="139"/>
  <c r="AC135" i="139"/>
  <c r="AF132" i="139"/>
  <c r="AE132" i="139"/>
  <c r="AD132" i="139"/>
  <c r="AC132" i="139"/>
  <c r="AF129" i="139"/>
  <c r="AE129" i="139"/>
  <c r="AD129" i="139"/>
  <c r="AC129" i="139"/>
  <c r="AF123" i="139"/>
  <c r="AE123" i="139"/>
  <c r="AD123" i="139"/>
  <c r="AC123" i="139"/>
  <c r="AF113" i="139"/>
  <c r="AE113" i="139"/>
  <c r="AD113" i="139"/>
  <c r="AC113" i="139"/>
  <c r="AF108" i="139"/>
  <c r="AE108" i="139"/>
  <c r="AD108" i="139"/>
  <c r="AC108" i="139"/>
  <c r="AF97" i="139"/>
  <c r="AE97" i="139"/>
  <c r="AD97" i="139"/>
  <c r="AC97" i="139"/>
  <c r="AF95" i="139"/>
  <c r="AE95" i="139"/>
  <c r="AD95" i="139"/>
  <c r="AC95" i="139"/>
  <c r="AF92" i="139"/>
  <c r="AE92" i="139"/>
  <c r="AD92" i="139"/>
  <c r="AC92" i="139"/>
  <c r="AF89" i="139"/>
  <c r="AE89" i="139"/>
  <c r="AD89" i="139"/>
  <c r="AC89" i="139"/>
  <c r="AF87" i="139"/>
  <c r="AE87" i="139"/>
  <c r="AD87" i="139"/>
  <c r="AC87" i="139"/>
  <c r="AF80" i="139"/>
  <c r="AE80" i="139"/>
  <c r="AD80" i="139"/>
  <c r="AC80" i="139"/>
  <c r="AF75" i="139"/>
  <c r="AE75" i="139"/>
  <c r="AD75" i="139"/>
  <c r="AC75" i="139"/>
  <c r="AF63" i="139"/>
  <c r="AE63" i="139"/>
  <c r="AD63" i="139"/>
  <c r="AC63" i="139"/>
  <c r="AF57" i="139"/>
  <c r="AE57" i="139"/>
  <c r="AD57" i="139"/>
  <c r="AC57" i="139"/>
  <c r="AF50" i="139"/>
  <c r="AE50" i="139"/>
  <c r="AD50" i="139"/>
  <c r="AC50" i="139"/>
  <c r="AF48" i="139"/>
  <c r="AE48" i="139"/>
  <c r="AD48" i="139"/>
  <c r="AC48" i="139"/>
  <c r="AF41" i="139"/>
  <c r="AE41" i="139"/>
  <c r="AD41" i="139"/>
  <c r="AC41" i="139"/>
  <c r="AF32" i="139"/>
  <c r="AE32" i="139"/>
  <c r="AD32" i="139"/>
  <c r="AC32" i="139"/>
  <c r="AF26" i="139"/>
  <c r="AE26" i="139"/>
  <c r="AD26" i="139"/>
  <c r="AC26" i="139"/>
  <c r="AF4" i="139"/>
  <c r="AE4" i="139"/>
  <c r="AD4" i="139"/>
  <c r="AC4" i="139"/>
  <c r="E1083" i="140"/>
  <c r="AI58" i="139"/>
  <c r="AB27" i="139"/>
  <c r="AB26" i="139" s="1"/>
  <c r="DX26" i="139"/>
  <c r="AH26" i="139"/>
  <c r="AG26" i="139"/>
  <c r="AA26" i="139"/>
  <c r="Z26" i="139"/>
  <c r="X26" i="139"/>
  <c r="W26" i="139"/>
  <c r="T26" i="139"/>
  <c r="S26" i="139"/>
  <c r="R26" i="139"/>
  <c r="Q26" i="139"/>
  <c r="P26" i="139"/>
  <c r="O26" i="139"/>
  <c r="N26" i="139"/>
  <c r="M26" i="139"/>
  <c r="L26" i="139"/>
  <c r="K26" i="139"/>
  <c r="J26" i="139"/>
  <c r="I26" i="139"/>
  <c r="F26" i="139"/>
  <c r="G26" i="139" s="1"/>
  <c r="Y27" i="139"/>
  <c r="Y26" i="139" s="1"/>
  <c r="BZ154" i="139" l="1"/>
  <c r="BZ71" i="139"/>
  <c r="BZ141" i="139"/>
  <c r="BZ36" i="139"/>
  <c r="BZ98" i="139"/>
  <c r="BZ54" i="139"/>
  <c r="BZ124" i="139"/>
  <c r="BZ43" i="139"/>
  <c r="BZ126" i="139"/>
  <c r="BZ51" i="139"/>
  <c r="BZ50" i="139" s="1"/>
  <c r="BZ131" i="139"/>
  <c r="BZ69" i="139"/>
  <c r="BZ60" i="139"/>
  <c r="BZ149" i="139"/>
  <c r="BZ121" i="139"/>
  <c r="BZ33" i="139"/>
  <c r="BZ137" i="139"/>
  <c r="BZ55" i="139"/>
  <c r="BZ52" i="139"/>
  <c r="BZ96" i="139"/>
  <c r="BZ95" i="139" s="1"/>
  <c r="BZ112" i="139"/>
  <c r="BZ68" i="139"/>
  <c r="BZ56" i="139"/>
  <c r="BZ151" i="139"/>
  <c r="BZ150" i="139" s="1"/>
  <c r="BZ42" i="139"/>
  <c r="BZ136" i="139"/>
  <c r="BZ135" i="139" s="1"/>
  <c r="BZ107" i="139"/>
  <c r="BZ90" i="139"/>
  <c r="BZ46" i="139"/>
  <c r="BZ66" i="139"/>
  <c r="BZ81" i="139"/>
  <c r="BZ85" i="139"/>
  <c r="BZ74" i="139"/>
  <c r="BZ110" i="139"/>
  <c r="BZ100" i="139"/>
  <c r="BZ104" i="139"/>
  <c r="BZ117" i="139"/>
  <c r="BZ72" i="139"/>
  <c r="BZ38" i="139"/>
  <c r="BZ28" i="139"/>
  <c r="BZ47" i="139"/>
  <c r="BZ84" i="139"/>
  <c r="BZ94" i="139"/>
  <c r="BZ35" i="139"/>
  <c r="BZ109" i="139"/>
  <c r="BZ142" i="139"/>
  <c r="BZ76" i="139"/>
  <c r="BZ82" i="139"/>
  <c r="BZ116" i="139"/>
  <c r="BZ103" i="139"/>
  <c r="BZ45" i="139"/>
  <c r="BZ120" i="139"/>
  <c r="BZ61" i="139"/>
  <c r="BZ133" i="139"/>
  <c r="BZ132" i="139" s="1"/>
  <c r="BZ93" i="139"/>
  <c r="BZ92" i="139" s="1"/>
  <c r="BZ53" i="139"/>
  <c r="BZ31" i="139"/>
  <c r="BZ34" i="139"/>
  <c r="BZ114" i="139"/>
  <c r="BZ113" i="139" s="1"/>
  <c r="BZ111" i="139"/>
  <c r="BZ105" i="139"/>
  <c r="BZ125" i="139"/>
  <c r="BZ127" i="139"/>
  <c r="BZ106" i="139"/>
  <c r="BZ40" i="139"/>
  <c r="BZ62" i="139"/>
  <c r="BZ64" i="139"/>
  <c r="BZ134" i="139"/>
  <c r="BZ102" i="139"/>
  <c r="BZ59" i="139"/>
  <c r="BZ122" i="139"/>
  <c r="BZ88" i="139"/>
  <c r="BZ87" i="139" s="1"/>
  <c r="BZ128" i="139"/>
  <c r="BZ99" i="139"/>
  <c r="BZ49" i="139"/>
  <c r="BZ48" i="139" s="1"/>
  <c r="BZ39" i="139"/>
  <c r="BZ78" i="139"/>
  <c r="BZ83" i="139"/>
  <c r="BZ44" i="139"/>
  <c r="BZ101" i="139"/>
  <c r="BZ139" i="139"/>
  <c r="BZ118" i="139"/>
  <c r="BZ140" i="139"/>
  <c r="BZ119" i="139"/>
  <c r="BZ70" i="139"/>
  <c r="BZ153" i="139"/>
  <c r="BZ148" i="139"/>
  <c r="BZ73" i="139"/>
  <c r="BZ143" i="139"/>
  <c r="BZ77" i="139"/>
  <c r="BZ91" i="139"/>
  <c r="BZ58" i="139"/>
  <c r="BZ79" i="139"/>
  <c r="BZ86" i="139"/>
  <c r="BZ80" i="139" s="1"/>
  <c r="BZ130" i="139"/>
  <c r="BZ129" i="139" s="1"/>
  <c r="BZ27" i="139"/>
  <c r="BZ26" i="139" s="1"/>
  <c r="BZ65" i="139"/>
  <c r="BZ144" i="139"/>
  <c r="BZ37" i="139"/>
  <c r="BZ67" i="139"/>
  <c r="BZ30" i="139"/>
  <c r="BZ29" i="139" s="1"/>
  <c r="BH95" i="139"/>
  <c r="BK95" i="139" s="1"/>
  <c r="CF25" i="139"/>
  <c r="CF152" i="139" s="1"/>
  <c r="CS25" i="139"/>
  <c r="CS152" i="139" s="1"/>
  <c r="CI25" i="139"/>
  <c r="CI152" i="139" s="1"/>
  <c r="CM123" i="139"/>
  <c r="CM129" i="139"/>
  <c r="CC25" i="139"/>
  <c r="CC152" i="139" s="1"/>
  <c r="CK25" i="139"/>
  <c r="CK152" i="139" s="1"/>
  <c r="CM75" i="139"/>
  <c r="CU25" i="139"/>
  <c r="CU152" i="139" s="1"/>
  <c r="CO25" i="139"/>
  <c r="CO152" i="139" s="1"/>
  <c r="CW25" i="139"/>
  <c r="CW152" i="139" s="1"/>
  <c r="CZ123" i="139"/>
  <c r="CZ129" i="139"/>
  <c r="CG25" i="139"/>
  <c r="CG152" i="139" s="1"/>
  <c r="CM95" i="139"/>
  <c r="CD25" i="139"/>
  <c r="CD152" i="139" s="1"/>
  <c r="CL25" i="139"/>
  <c r="CL152" i="139" s="1"/>
  <c r="CM80" i="139"/>
  <c r="CM132" i="139"/>
  <c r="CH25" i="139"/>
  <c r="CH152" i="139" s="1"/>
  <c r="CM41" i="139"/>
  <c r="CM57" i="139"/>
  <c r="CM87" i="139"/>
  <c r="CM108" i="139"/>
  <c r="CE25" i="139"/>
  <c r="CE152" i="139" s="1"/>
  <c r="CM48" i="139"/>
  <c r="CM63" i="139"/>
  <c r="CM113" i="139"/>
  <c r="CB25" i="139"/>
  <c r="CJ25" i="139"/>
  <c r="CJ152" i="139" s="1"/>
  <c r="CM89" i="139"/>
  <c r="CM26" i="139"/>
  <c r="CM138" i="139"/>
  <c r="CM97" i="139"/>
  <c r="CM92" i="139"/>
  <c r="CM32" i="139"/>
  <c r="CM50" i="139"/>
  <c r="CM135" i="139"/>
  <c r="CB145" i="139"/>
  <c r="CM145" i="139" s="1"/>
  <c r="AS25" i="139"/>
  <c r="AS152" i="139" s="1"/>
  <c r="AM25" i="139"/>
  <c r="AM152" i="139" s="1"/>
  <c r="AU25" i="139"/>
  <c r="CQ25" i="139"/>
  <c r="CQ152" i="139" s="1"/>
  <c r="CY25" i="139"/>
  <c r="CY152" i="139" s="1"/>
  <c r="CZ80" i="139"/>
  <c r="CZ92" i="139"/>
  <c r="DF25" i="139"/>
  <c r="DF152" i="139" s="1"/>
  <c r="CZ26" i="139"/>
  <c r="CV25" i="139"/>
  <c r="CV152" i="139" s="1"/>
  <c r="CZ63" i="139"/>
  <c r="CZ75" i="139"/>
  <c r="CZ108" i="139"/>
  <c r="CM4" i="139"/>
  <c r="DM97" i="139"/>
  <c r="DM138" i="139"/>
  <c r="CZ57" i="139"/>
  <c r="CZ97" i="139"/>
  <c r="CT25" i="139"/>
  <c r="CT152" i="139" s="1"/>
  <c r="CZ113" i="139"/>
  <c r="CZ138" i="139"/>
  <c r="CA25" i="139"/>
  <c r="CA152" i="139" s="1"/>
  <c r="CZ48" i="139"/>
  <c r="CZ135" i="139"/>
  <c r="CZ50" i="139"/>
  <c r="CZ89" i="139"/>
  <c r="CZ95" i="139"/>
  <c r="CP25" i="139"/>
  <c r="CP152" i="139" s="1"/>
  <c r="CX25" i="139"/>
  <c r="CX152" i="139" s="1"/>
  <c r="CZ41" i="139"/>
  <c r="CZ87" i="139"/>
  <c r="CZ132" i="139"/>
  <c r="CZ145" i="139"/>
  <c r="DM26" i="139"/>
  <c r="DI25" i="139"/>
  <c r="DI152" i="139" s="1"/>
  <c r="DM75" i="139"/>
  <c r="DM89" i="139"/>
  <c r="DM108" i="139"/>
  <c r="CR25" i="139"/>
  <c r="CR152" i="139" s="1"/>
  <c r="DM113" i="139"/>
  <c r="DM145" i="139"/>
  <c r="CZ4" i="139"/>
  <c r="CZ32" i="139"/>
  <c r="AQ25" i="139"/>
  <c r="AQ152" i="139" s="1"/>
  <c r="AW87" i="139"/>
  <c r="BE25" i="139"/>
  <c r="AW129" i="139"/>
  <c r="BK132" i="139"/>
  <c r="AW135" i="139"/>
  <c r="BK135" i="139"/>
  <c r="BK138" i="139"/>
  <c r="DM32" i="139"/>
  <c r="DH25" i="139"/>
  <c r="DH152" i="139" s="1"/>
  <c r="DM87" i="139"/>
  <c r="DM135" i="139"/>
  <c r="DC25" i="139"/>
  <c r="DC152" i="139" s="1"/>
  <c r="DK25" i="139"/>
  <c r="DK152" i="139" s="1"/>
  <c r="AR25" i="139"/>
  <c r="AR152" i="139" s="1"/>
  <c r="BB25" i="139"/>
  <c r="BJ25" i="139"/>
  <c r="AL25" i="139"/>
  <c r="AL152" i="139" s="1"/>
  <c r="AT25" i="139"/>
  <c r="AT152" i="139" s="1"/>
  <c r="BD25" i="139"/>
  <c r="AZ25" i="139"/>
  <c r="DM50" i="139"/>
  <c r="DM80" i="139"/>
  <c r="DG25" i="139"/>
  <c r="DG152" i="139" s="1"/>
  <c r="DM95" i="139"/>
  <c r="CN25" i="139"/>
  <c r="CN152" i="139" s="1"/>
  <c r="DM41" i="139"/>
  <c r="DM57" i="139"/>
  <c r="DM132" i="139"/>
  <c r="DD25" i="139"/>
  <c r="DD152" i="139" s="1"/>
  <c r="DL25" i="139"/>
  <c r="DL152" i="139" s="1"/>
  <c r="DM63" i="139"/>
  <c r="DM92" i="139"/>
  <c r="BK48" i="139"/>
  <c r="DB25" i="139"/>
  <c r="DB152" i="139" s="1"/>
  <c r="DJ25" i="139"/>
  <c r="DJ152" i="139" s="1"/>
  <c r="DM48" i="139"/>
  <c r="DM123" i="139"/>
  <c r="DM129" i="139"/>
  <c r="AW145" i="139"/>
  <c r="BA25" i="139"/>
  <c r="BI25" i="139"/>
  <c r="AW32" i="139"/>
  <c r="BK41" i="139"/>
  <c r="AW48" i="139"/>
  <c r="DE25" i="139"/>
  <c r="DE152" i="139" s="1"/>
  <c r="AW26" i="139"/>
  <c r="AN25" i="139"/>
  <c r="AN152" i="139" s="1"/>
  <c r="AV25" i="139"/>
  <c r="DM4" i="139"/>
  <c r="AW50" i="139"/>
  <c r="BK63" i="139"/>
  <c r="AW75" i="139"/>
  <c r="AW80" i="139"/>
  <c r="AW89" i="139"/>
  <c r="BK89" i="139"/>
  <c r="BK92" i="139"/>
  <c r="AW95" i="139"/>
  <c r="AW108" i="139"/>
  <c r="BK108" i="139"/>
  <c r="BK113" i="139"/>
  <c r="BR25" i="139"/>
  <c r="BR152" i="139" s="1"/>
  <c r="BY92" i="139"/>
  <c r="BK32" i="139"/>
  <c r="BG25" i="139"/>
  <c r="AW41" i="139"/>
  <c r="DA25" i="139"/>
  <c r="DA152" i="139" s="1"/>
  <c r="BF25" i="139"/>
  <c r="AP25" i="139"/>
  <c r="AP152" i="139" s="1"/>
  <c r="AW57" i="139"/>
  <c r="BK57" i="139"/>
  <c r="BK87" i="139"/>
  <c r="AW97" i="139"/>
  <c r="BK97" i="139"/>
  <c r="AW123" i="139"/>
  <c r="BK123" i="139"/>
  <c r="BK129" i="139"/>
  <c r="AW132" i="139"/>
  <c r="AW138" i="139"/>
  <c r="AO25" i="139"/>
  <c r="AO152" i="139" s="1"/>
  <c r="BK26" i="139"/>
  <c r="AK25" i="139"/>
  <c r="AK152" i="139" s="1"/>
  <c r="BC25" i="139"/>
  <c r="BK50" i="139"/>
  <c r="AW63" i="139"/>
  <c r="BK75" i="139"/>
  <c r="BK80" i="139"/>
  <c r="AW92" i="139"/>
  <c r="AW113" i="139"/>
  <c r="BK145" i="139"/>
  <c r="BY97" i="139"/>
  <c r="BY138" i="139"/>
  <c r="BY146" i="139"/>
  <c r="BZ146" i="139" s="1"/>
  <c r="BZ145" i="139" s="1"/>
  <c r="AW146" i="139"/>
  <c r="DZ26" i="139"/>
  <c r="BY32" i="139"/>
  <c r="BY87" i="139"/>
  <c r="BY89" i="139"/>
  <c r="BY135" i="139"/>
  <c r="BW25" i="139"/>
  <c r="BW152" i="139" s="1"/>
  <c r="BT25" i="139"/>
  <c r="BT152" i="139" s="1"/>
  <c r="BY50" i="139"/>
  <c r="BY80" i="139"/>
  <c r="BS25" i="139"/>
  <c r="BS152" i="139" s="1"/>
  <c r="BY95" i="139"/>
  <c r="BO25" i="139"/>
  <c r="BY41" i="139"/>
  <c r="BY57" i="139"/>
  <c r="BY132" i="139"/>
  <c r="DQ25" i="139"/>
  <c r="DQ152" i="139" s="1"/>
  <c r="BP25" i="139"/>
  <c r="BX25" i="139"/>
  <c r="BX152" i="139" s="1"/>
  <c r="BY63" i="139"/>
  <c r="BY113" i="139"/>
  <c r="AY25" i="139"/>
  <c r="BK146" i="139"/>
  <c r="BV25" i="139"/>
  <c r="BV152" i="139" s="1"/>
  <c r="BY123" i="139"/>
  <c r="BY129" i="139"/>
  <c r="BN25" i="139"/>
  <c r="BY48" i="139"/>
  <c r="BY108" i="139"/>
  <c r="AC25" i="139"/>
  <c r="AC152" i="139" s="1"/>
  <c r="BY26" i="139"/>
  <c r="BU25" i="139"/>
  <c r="BU152" i="139" s="1"/>
  <c r="BY75" i="139"/>
  <c r="BY145" i="139"/>
  <c r="BQ25" i="139"/>
  <c r="BM25" i="139"/>
  <c r="DO25" i="139"/>
  <c r="DO152" i="139" s="1"/>
  <c r="DY25" i="139"/>
  <c r="DY152" i="139" s="1"/>
  <c r="DR25" i="139"/>
  <c r="DR152" i="139" s="1"/>
  <c r="DP25" i="139"/>
  <c r="DP152" i="139" s="1"/>
  <c r="DN25" i="139"/>
  <c r="DN152" i="139" s="1"/>
  <c r="DS25" i="139"/>
  <c r="DS152" i="139" s="1"/>
  <c r="DU25" i="139"/>
  <c r="DU152" i="139" s="1"/>
  <c r="AE25" i="139"/>
  <c r="AE152" i="139" s="1"/>
  <c r="DT25" i="139"/>
  <c r="DT152" i="139" s="1"/>
  <c r="AD25" i="139"/>
  <c r="AD152" i="139" s="1"/>
  <c r="DV25" i="139"/>
  <c r="DV152" i="139" s="1"/>
  <c r="DW25" i="139"/>
  <c r="DW152" i="139" s="1"/>
  <c r="AF25" i="139"/>
  <c r="AF152" i="139" s="1"/>
  <c r="U26" i="139"/>
  <c r="AI26" i="139"/>
  <c r="AI27" i="139"/>
  <c r="BZ63" i="139" l="1"/>
  <c r="BZ75" i="139"/>
  <c r="BZ138" i="139"/>
  <c r="BZ41" i="139"/>
  <c r="BZ57" i="139"/>
  <c r="BZ123" i="139"/>
  <c r="BZ97" i="139"/>
  <c r="BZ115" i="139"/>
  <c r="BZ147" i="139"/>
  <c r="BZ108" i="139"/>
  <c r="BZ89" i="139"/>
  <c r="BZ32" i="139"/>
  <c r="BN155" i="139"/>
  <c r="BN4" i="139"/>
  <c r="BN152" i="139" s="1"/>
  <c r="BM155" i="139"/>
  <c r="BM4" i="139"/>
  <c r="BH25" i="139"/>
  <c r="BK25" i="139" s="1"/>
  <c r="CB152" i="139"/>
  <c r="CM152" i="139" s="1"/>
  <c r="CZ152" i="139"/>
  <c r="DM152" i="139"/>
  <c r="CM25" i="139"/>
  <c r="DM25" i="139"/>
  <c r="CZ25" i="139"/>
  <c r="AW25" i="139"/>
  <c r="BY25" i="139"/>
  <c r="BZ25" i="139" s="1"/>
  <c r="AB47" i="139"/>
  <c r="AI47" i="139" s="1"/>
  <c r="Y44" i="139"/>
  <c r="AI44" i="139" s="1"/>
  <c r="E1082" i="140"/>
  <c r="E1084" i="140"/>
  <c r="AA136" i="139"/>
  <c r="AA86" i="139"/>
  <c r="H232" i="106"/>
  <c r="Z231" i="106"/>
  <c r="Y231" i="106"/>
  <c r="X231" i="106"/>
  <c r="W231" i="106"/>
  <c r="V231" i="106"/>
  <c r="U231" i="106"/>
  <c r="T231" i="106"/>
  <c r="S231" i="106"/>
  <c r="R231" i="106"/>
  <c r="Q231" i="106"/>
  <c r="P231" i="106"/>
  <c r="O231" i="106"/>
  <c r="N231" i="106"/>
  <c r="M231" i="106"/>
  <c r="L231" i="106"/>
  <c r="K231" i="106"/>
  <c r="J231" i="106"/>
  <c r="I231" i="106"/>
  <c r="H230" i="106"/>
  <c r="H229" i="106"/>
  <c r="H228" i="106"/>
  <c r="H227" i="106"/>
  <c r="H226" i="106"/>
  <c r="H155" i="106"/>
  <c r="Z154" i="106"/>
  <c r="Y154" i="106"/>
  <c r="X154" i="106"/>
  <c r="W154" i="106"/>
  <c r="V154" i="106"/>
  <c r="U154" i="106"/>
  <c r="T154" i="106"/>
  <c r="S154" i="106"/>
  <c r="R154" i="106"/>
  <c r="Q154" i="106"/>
  <c r="P154" i="106"/>
  <c r="O154" i="106"/>
  <c r="N154" i="106"/>
  <c r="M154" i="106"/>
  <c r="L154" i="106"/>
  <c r="K154" i="106"/>
  <c r="J154" i="106"/>
  <c r="I154" i="106"/>
  <c r="H153" i="106"/>
  <c r="H152" i="106"/>
  <c r="H151" i="106"/>
  <c r="H150" i="106"/>
  <c r="H149" i="106"/>
  <c r="H148" i="106"/>
  <c r="Z147" i="106"/>
  <c r="Y147" i="106"/>
  <c r="X147" i="106"/>
  <c r="W147" i="106"/>
  <c r="V147" i="106"/>
  <c r="U147" i="106"/>
  <c r="T147" i="106"/>
  <c r="S147" i="106"/>
  <c r="R147" i="106"/>
  <c r="Q147" i="106"/>
  <c r="P147" i="106"/>
  <c r="O147" i="106"/>
  <c r="N147" i="106"/>
  <c r="M147" i="106"/>
  <c r="L147" i="106"/>
  <c r="K147" i="106"/>
  <c r="J147" i="106"/>
  <c r="I147" i="106"/>
  <c r="H146" i="106"/>
  <c r="H145" i="106"/>
  <c r="H144" i="106"/>
  <c r="H143" i="106"/>
  <c r="H142" i="106"/>
  <c r="H141" i="106"/>
  <c r="Z140" i="106"/>
  <c r="Y140" i="106"/>
  <c r="X140" i="106"/>
  <c r="W140" i="106"/>
  <c r="V140" i="106"/>
  <c r="U140" i="106"/>
  <c r="T140" i="106"/>
  <c r="S140" i="106"/>
  <c r="R140" i="106"/>
  <c r="Q140" i="106"/>
  <c r="P140" i="106"/>
  <c r="O140" i="106"/>
  <c r="N140" i="106"/>
  <c r="M140" i="106"/>
  <c r="L140" i="106"/>
  <c r="K140" i="106"/>
  <c r="J140" i="106"/>
  <c r="I140" i="106"/>
  <c r="H139" i="106"/>
  <c r="H138" i="106"/>
  <c r="H137" i="106"/>
  <c r="H136" i="106"/>
  <c r="H135" i="106"/>
  <c r="H176" i="106"/>
  <c r="Z175" i="106"/>
  <c r="Y175" i="106"/>
  <c r="X175" i="106"/>
  <c r="W175" i="106"/>
  <c r="V175" i="106"/>
  <c r="U175" i="106"/>
  <c r="T175" i="106"/>
  <c r="S175" i="106"/>
  <c r="R175" i="106"/>
  <c r="Q175" i="106"/>
  <c r="P175" i="106"/>
  <c r="O175" i="106"/>
  <c r="N175" i="106"/>
  <c r="M175" i="106"/>
  <c r="L175" i="106"/>
  <c r="K175" i="106"/>
  <c r="J175" i="106"/>
  <c r="I175" i="106"/>
  <c r="H174" i="106"/>
  <c r="H173" i="106"/>
  <c r="H172" i="106"/>
  <c r="H171" i="106"/>
  <c r="H170" i="106"/>
  <c r="H169" i="106"/>
  <c r="Z168" i="106"/>
  <c r="Y168" i="106"/>
  <c r="X168" i="106"/>
  <c r="W168" i="106"/>
  <c r="V168" i="106"/>
  <c r="U168" i="106"/>
  <c r="T168" i="106"/>
  <c r="S168" i="106"/>
  <c r="R168" i="106"/>
  <c r="Q168" i="106"/>
  <c r="P168" i="106"/>
  <c r="O168" i="106"/>
  <c r="N168" i="106"/>
  <c r="M168" i="106"/>
  <c r="L168" i="106"/>
  <c r="K168" i="106"/>
  <c r="J168" i="106"/>
  <c r="I168" i="106"/>
  <c r="H167" i="106"/>
  <c r="H166" i="106"/>
  <c r="H165" i="106"/>
  <c r="H164" i="106"/>
  <c r="H163" i="106"/>
  <c r="H162" i="106"/>
  <c r="Z161" i="106"/>
  <c r="Y161" i="106"/>
  <c r="X161" i="106"/>
  <c r="W161" i="106"/>
  <c r="V161" i="106"/>
  <c r="U161" i="106"/>
  <c r="T161" i="106"/>
  <c r="S161" i="106"/>
  <c r="R161" i="106"/>
  <c r="Q161" i="106"/>
  <c r="P161" i="106"/>
  <c r="O161" i="106"/>
  <c r="N161" i="106"/>
  <c r="M161" i="106"/>
  <c r="L161" i="106"/>
  <c r="K161" i="106"/>
  <c r="J161" i="106"/>
  <c r="I161" i="106"/>
  <c r="H160" i="106"/>
  <c r="H159" i="106"/>
  <c r="H158" i="106"/>
  <c r="H157" i="106"/>
  <c r="H156" i="106"/>
  <c r="H211" i="106"/>
  <c r="Z210" i="106"/>
  <c r="Y210" i="106"/>
  <c r="X210" i="106"/>
  <c r="W210" i="106"/>
  <c r="V210" i="106"/>
  <c r="U210" i="106"/>
  <c r="T210" i="106"/>
  <c r="S210" i="106"/>
  <c r="R210" i="106"/>
  <c r="Q210" i="106"/>
  <c r="P210" i="106"/>
  <c r="O210" i="106"/>
  <c r="N210" i="106"/>
  <c r="M210" i="106"/>
  <c r="L210" i="106"/>
  <c r="K210" i="106"/>
  <c r="J210" i="106"/>
  <c r="I210" i="106"/>
  <c r="H209" i="106"/>
  <c r="H208" i="106"/>
  <c r="H207" i="106"/>
  <c r="H206" i="106"/>
  <c r="H205" i="106"/>
  <c r="H134" i="106"/>
  <c r="Z133" i="106"/>
  <c r="Y133" i="106"/>
  <c r="X133" i="106"/>
  <c r="W133" i="106"/>
  <c r="V133" i="106"/>
  <c r="U133" i="106"/>
  <c r="T133" i="106"/>
  <c r="S133" i="106"/>
  <c r="R133" i="106"/>
  <c r="Q133" i="106"/>
  <c r="P133" i="106"/>
  <c r="O133" i="106"/>
  <c r="N133" i="106"/>
  <c r="M133" i="106"/>
  <c r="L133" i="106"/>
  <c r="K133" i="106"/>
  <c r="J133" i="106"/>
  <c r="I133" i="106"/>
  <c r="H132" i="106"/>
  <c r="H131" i="106"/>
  <c r="H130" i="106"/>
  <c r="H129" i="106"/>
  <c r="H128" i="106"/>
  <c r="E1026" i="140"/>
  <c r="AA107" i="139"/>
  <c r="AI107" i="139" s="1"/>
  <c r="AA79" i="139"/>
  <c r="E1057" i="140"/>
  <c r="D1062" i="140"/>
  <c r="DX135" i="139"/>
  <c r="DZ135" i="139" s="1"/>
  <c r="AH135" i="139"/>
  <c r="AG135" i="139"/>
  <c r="AB135" i="139"/>
  <c r="Z135" i="139"/>
  <c r="Y135" i="139"/>
  <c r="X135" i="139"/>
  <c r="W135" i="139"/>
  <c r="T135" i="139"/>
  <c r="S135" i="139"/>
  <c r="R135" i="139"/>
  <c r="Q135" i="139"/>
  <c r="P135" i="139"/>
  <c r="O135" i="139"/>
  <c r="N135" i="139"/>
  <c r="M135" i="139"/>
  <c r="L135" i="139"/>
  <c r="K135" i="139"/>
  <c r="J135" i="139"/>
  <c r="I135" i="139"/>
  <c r="F135" i="139"/>
  <c r="G135" i="139" s="1"/>
  <c r="AA8" i="139"/>
  <c r="AA114" i="139"/>
  <c r="AI114" i="139" s="1"/>
  <c r="E1049" i="140"/>
  <c r="E1030" i="140"/>
  <c r="E1037" i="140"/>
  <c r="E1027" i="140"/>
  <c r="AA130" i="139"/>
  <c r="E1025" i="140"/>
  <c r="AA146" i="139"/>
  <c r="BT288" i="58"/>
  <c r="BT274" i="58"/>
  <c r="BT260" i="58"/>
  <c r="BT246" i="58"/>
  <c r="BT231" i="58"/>
  <c r="BT216" i="58"/>
  <c r="BT202" i="58"/>
  <c r="BT188" i="58"/>
  <c r="BT174" i="58"/>
  <c r="BT160" i="58"/>
  <c r="BT145" i="58"/>
  <c r="BT130" i="58"/>
  <c r="BT116" i="58"/>
  <c r="BT102" i="58"/>
  <c r="BT88" i="58"/>
  <c r="Z79" i="139"/>
  <c r="Z67" i="139"/>
  <c r="AI67" i="139" s="1"/>
  <c r="E990" i="140"/>
  <c r="BB101" i="58"/>
  <c r="U101" i="58"/>
  <c r="BB100" i="58"/>
  <c r="U100" i="58"/>
  <c r="BB99" i="58"/>
  <c r="U99" i="58"/>
  <c r="BB98" i="58"/>
  <c r="U98" i="58"/>
  <c r="BB97" i="58"/>
  <c r="U97" i="58"/>
  <c r="BB96" i="58"/>
  <c r="U96" i="58"/>
  <c r="BB95" i="58"/>
  <c r="U95" i="58"/>
  <c r="BB94" i="58"/>
  <c r="U94" i="58"/>
  <c r="L94" i="58"/>
  <c r="M94" i="58" s="1"/>
  <c r="O94" i="58" s="1"/>
  <c r="BB93" i="58"/>
  <c r="U93" i="58"/>
  <c r="L93" i="58"/>
  <c r="M93" i="58" s="1"/>
  <c r="O93" i="58" s="1"/>
  <c r="BB92" i="58"/>
  <c r="U92" i="58"/>
  <c r="L92" i="58"/>
  <c r="M92" i="58" s="1"/>
  <c r="O92" i="58" s="1"/>
  <c r="BB91" i="58"/>
  <c r="U91" i="58"/>
  <c r="L91" i="58"/>
  <c r="M91" i="58" s="1"/>
  <c r="O91" i="58" s="1"/>
  <c r="BB90" i="58"/>
  <c r="U90" i="58"/>
  <c r="L90" i="58"/>
  <c r="M90" i="58" s="1"/>
  <c r="O90" i="58" s="1"/>
  <c r="BB89" i="58"/>
  <c r="U89" i="58"/>
  <c r="L89" i="58"/>
  <c r="M89" i="58" s="1"/>
  <c r="O89" i="58" s="1"/>
  <c r="BS88" i="58"/>
  <c r="BR88" i="58"/>
  <c r="BQ88" i="58"/>
  <c r="BP88" i="58"/>
  <c r="BO88" i="58"/>
  <c r="BN88" i="58"/>
  <c r="BM88" i="58"/>
  <c r="BL88" i="58"/>
  <c r="BK88" i="58"/>
  <c r="BJ88" i="58"/>
  <c r="BI88" i="58"/>
  <c r="BH88" i="58"/>
  <c r="BF88" i="58"/>
  <c r="BD88" i="58"/>
  <c r="BC88" i="58"/>
  <c r="AZ88" i="58"/>
  <c r="AU88" i="58"/>
  <c r="AT88" i="58"/>
  <c r="AS88" i="58"/>
  <c r="AR88" i="58"/>
  <c r="AQ88" i="58"/>
  <c r="AP88" i="58"/>
  <c r="AO88" i="58"/>
  <c r="AN88" i="58"/>
  <c r="AL88" i="58"/>
  <c r="AK88" i="58"/>
  <c r="AJ88" i="58"/>
  <c r="AI88" i="58"/>
  <c r="AH88" i="58"/>
  <c r="AF88" i="58"/>
  <c r="AE88" i="58"/>
  <c r="AD88" i="58"/>
  <c r="W88" i="58"/>
  <c r="V88" i="58"/>
  <c r="BB115" i="58"/>
  <c r="U115" i="58"/>
  <c r="BB114" i="58"/>
  <c r="U114" i="58"/>
  <c r="BB113" i="58"/>
  <c r="U113" i="58"/>
  <c r="BB112" i="58"/>
  <c r="U112" i="58"/>
  <c r="BB111" i="58"/>
  <c r="U111" i="58"/>
  <c r="BB110" i="58"/>
  <c r="U110" i="58"/>
  <c r="BB109" i="58"/>
  <c r="U109" i="58"/>
  <c r="BB108" i="58"/>
  <c r="U108" i="58"/>
  <c r="L108" i="58"/>
  <c r="M108" i="58" s="1"/>
  <c r="O108" i="58" s="1"/>
  <c r="BB107" i="58"/>
  <c r="U107" i="58"/>
  <c r="L107" i="58"/>
  <c r="M107" i="58" s="1"/>
  <c r="O107" i="58" s="1"/>
  <c r="BB106" i="58"/>
  <c r="U106" i="58"/>
  <c r="L106" i="58"/>
  <c r="M106" i="58" s="1"/>
  <c r="O106" i="58" s="1"/>
  <c r="BB105" i="58"/>
  <c r="U105" i="58"/>
  <c r="L105" i="58"/>
  <c r="M105" i="58" s="1"/>
  <c r="O105" i="58" s="1"/>
  <c r="BB104" i="58"/>
  <c r="U104" i="58"/>
  <c r="L104" i="58"/>
  <c r="M104" i="58" s="1"/>
  <c r="O104" i="58" s="1"/>
  <c r="BB103" i="58"/>
  <c r="U103" i="58"/>
  <c r="L103" i="58"/>
  <c r="M103" i="58" s="1"/>
  <c r="O103" i="58" s="1"/>
  <c r="BS102" i="58"/>
  <c r="BR102" i="58"/>
  <c r="BQ102" i="58"/>
  <c r="BP102" i="58"/>
  <c r="BO102" i="58"/>
  <c r="BN102" i="58"/>
  <c r="BM102" i="58"/>
  <c r="BL102" i="58"/>
  <c r="BK102" i="58"/>
  <c r="BJ102" i="58"/>
  <c r="BI102" i="58"/>
  <c r="BH102" i="58"/>
  <c r="BF102" i="58"/>
  <c r="BD102" i="58"/>
  <c r="BC102" i="58"/>
  <c r="AZ102" i="58"/>
  <c r="AU102" i="58"/>
  <c r="AT102" i="58"/>
  <c r="AS102" i="58"/>
  <c r="AR102" i="58"/>
  <c r="AQ102" i="58"/>
  <c r="AP102" i="58"/>
  <c r="AO102" i="58"/>
  <c r="AN102" i="58"/>
  <c r="AL102" i="58"/>
  <c r="AK102" i="58"/>
  <c r="AJ102" i="58"/>
  <c r="AI102" i="58"/>
  <c r="AH102" i="58"/>
  <c r="AF102" i="58"/>
  <c r="AE102" i="58"/>
  <c r="AD102" i="58"/>
  <c r="W102" i="58"/>
  <c r="V102" i="58"/>
  <c r="BB129" i="58"/>
  <c r="U129" i="58"/>
  <c r="BB128" i="58"/>
  <c r="U128" i="58"/>
  <c r="BB127" i="58"/>
  <c r="U127" i="58"/>
  <c r="BB125" i="58"/>
  <c r="U125" i="58"/>
  <c r="BB124" i="58"/>
  <c r="U124" i="58"/>
  <c r="BB123" i="58"/>
  <c r="U123" i="58"/>
  <c r="BB122" i="58"/>
  <c r="U122" i="58"/>
  <c r="L122" i="58"/>
  <c r="M122" i="58" s="1"/>
  <c r="O122" i="58" s="1"/>
  <c r="BB121" i="58"/>
  <c r="U121" i="58"/>
  <c r="L121" i="58"/>
  <c r="M121" i="58" s="1"/>
  <c r="O121" i="58" s="1"/>
  <c r="BB120" i="58"/>
  <c r="U120" i="58"/>
  <c r="L120" i="58"/>
  <c r="M120" i="58" s="1"/>
  <c r="O120" i="58" s="1"/>
  <c r="BB119" i="58"/>
  <c r="U119" i="58"/>
  <c r="L119" i="58"/>
  <c r="M119" i="58" s="1"/>
  <c r="O119" i="58" s="1"/>
  <c r="BB118" i="58"/>
  <c r="U118" i="58"/>
  <c r="L118" i="58"/>
  <c r="M118" i="58" s="1"/>
  <c r="O118" i="58" s="1"/>
  <c r="BB117" i="58"/>
  <c r="U117" i="58"/>
  <c r="L117" i="58"/>
  <c r="M117" i="58" s="1"/>
  <c r="O117" i="58" s="1"/>
  <c r="BS116" i="58"/>
  <c r="BR116" i="58"/>
  <c r="BQ116" i="58"/>
  <c r="BP116" i="58"/>
  <c r="BO116" i="58"/>
  <c r="BN116" i="58"/>
  <c r="BM116" i="58"/>
  <c r="BL116" i="58"/>
  <c r="BK116" i="58"/>
  <c r="BJ116" i="58"/>
  <c r="BI116" i="58"/>
  <c r="BH116" i="58"/>
  <c r="BF116" i="58"/>
  <c r="BD116" i="58"/>
  <c r="BC116" i="58"/>
  <c r="AZ116" i="58"/>
  <c r="AU116" i="58"/>
  <c r="AT116" i="58"/>
  <c r="AS116" i="58"/>
  <c r="AR116" i="58"/>
  <c r="AQ116" i="58"/>
  <c r="AP116" i="58"/>
  <c r="AO116" i="58"/>
  <c r="AN116" i="58"/>
  <c r="AL116" i="58"/>
  <c r="AK116" i="58"/>
  <c r="AJ116" i="58"/>
  <c r="AI116" i="58"/>
  <c r="AH116" i="58"/>
  <c r="AF116" i="58"/>
  <c r="AE116" i="58"/>
  <c r="AD116" i="58"/>
  <c r="W116" i="58"/>
  <c r="V116" i="58"/>
  <c r="E997" i="140"/>
  <c r="E999" i="140"/>
  <c r="Z76" i="139"/>
  <c r="AI76" i="139" s="1"/>
  <c r="E986" i="140"/>
  <c r="Z146" i="139"/>
  <c r="BO155" i="139" l="1"/>
  <c r="BO4" i="139"/>
  <c r="BO152" i="139" s="1"/>
  <c r="BM152" i="139"/>
  <c r="BF154" i="139"/>
  <c r="BF4" i="139"/>
  <c r="BF152" i="139" s="1"/>
  <c r="BE154" i="139"/>
  <c r="BE4" i="139"/>
  <c r="BE152" i="139" s="1"/>
  <c r="BT3" i="58"/>
  <c r="AI8" i="139"/>
  <c r="T90" i="58"/>
  <c r="T96" i="58"/>
  <c r="T97" i="58"/>
  <c r="T106" i="58"/>
  <c r="T109" i="58"/>
  <c r="T113" i="58"/>
  <c r="T120" i="58"/>
  <c r="T123" i="58"/>
  <c r="T127" i="58"/>
  <c r="T101" i="58"/>
  <c r="T94" i="58"/>
  <c r="T107" i="58"/>
  <c r="T92" i="58"/>
  <c r="T95" i="58"/>
  <c r="T99" i="58"/>
  <c r="T105" i="58"/>
  <c r="T108" i="58"/>
  <c r="T112" i="58"/>
  <c r="T93" i="58"/>
  <c r="T129" i="58"/>
  <c r="T98" i="58"/>
  <c r="T89" i="58"/>
  <c r="T100" i="58"/>
  <c r="T91" i="58"/>
  <c r="T104" i="58"/>
  <c r="T110" i="58"/>
  <c r="T114" i="58"/>
  <c r="T111" i="58"/>
  <c r="T115" i="58"/>
  <c r="T103" i="58"/>
  <c r="T119" i="58"/>
  <c r="T122" i="58"/>
  <c r="T125" i="58"/>
  <c r="T117" i="58"/>
  <c r="T118" i="58"/>
  <c r="T124" i="58"/>
  <c r="T128" i="58"/>
  <c r="T121" i="58"/>
  <c r="U60" i="58"/>
  <c r="BB60" i="58"/>
  <c r="U74" i="58"/>
  <c r="BB74" i="58"/>
  <c r="H231" i="106"/>
  <c r="H147" i="106"/>
  <c r="AI136" i="139"/>
  <c r="U135" i="139"/>
  <c r="E1113" i="140"/>
  <c r="D1113" i="140"/>
  <c r="AA135" i="139"/>
  <c r="AI135" i="139" s="1"/>
  <c r="H140" i="106"/>
  <c r="H154" i="106"/>
  <c r="H175" i="106"/>
  <c r="H168" i="106"/>
  <c r="H161" i="106"/>
  <c r="H210" i="106"/>
  <c r="H133" i="106"/>
  <c r="E1063" i="140"/>
  <c r="D1063" i="140"/>
  <c r="AH146" i="139"/>
  <c r="AG146" i="139"/>
  <c r="AB146" i="139"/>
  <c r="E972" i="140"/>
  <c r="D1008" i="140" s="1"/>
  <c r="E929" i="140"/>
  <c r="Y79" i="139"/>
  <c r="E947" i="140"/>
  <c r="Y88" i="139"/>
  <c r="AI88" i="139" s="1"/>
  <c r="E955" i="140"/>
  <c r="AI149" i="139" l="1"/>
  <c r="T74" i="58"/>
  <c r="T60" i="58"/>
  <c r="E1008" i="140"/>
  <c r="AC145" i="58"/>
  <c r="AC3" i="58" s="1"/>
  <c r="AI147" i="139" l="1"/>
  <c r="E943" i="140"/>
  <c r="H101" i="106"/>
  <c r="H281" i="106"/>
  <c r="H279" i="106"/>
  <c r="H278" i="106"/>
  <c r="H277" i="106"/>
  <c r="H276" i="106"/>
  <c r="H275" i="106"/>
  <c r="H225" i="106"/>
  <c r="H223" i="106"/>
  <c r="H222" i="106"/>
  <c r="H221" i="106"/>
  <c r="H220" i="106"/>
  <c r="H219" i="106"/>
  <c r="H218" i="106"/>
  <c r="H216" i="106"/>
  <c r="H215" i="106"/>
  <c r="H214" i="106"/>
  <c r="H213" i="106"/>
  <c r="H212" i="106"/>
  <c r="H127" i="106"/>
  <c r="H125" i="106"/>
  <c r="H124" i="106"/>
  <c r="H123" i="106"/>
  <c r="H122" i="106"/>
  <c r="H121" i="106"/>
  <c r="H120" i="106"/>
  <c r="H118" i="106"/>
  <c r="H117" i="106"/>
  <c r="H116" i="106"/>
  <c r="H115" i="106"/>
  <c r="H114" i="106"/>
  <c r="H113" i="106"/>
  <c r="H111" i="106"/>
  <c r="H110" i="106"/>
  <c r="H109" i="106"/>
  <c r="H108" i="106"/>
  <c r="H107" i="106"/>
  <c r="H106" i="106"/>
  <c r="H104" i="106"/>
  <c r="H103" i="106"/>
  <c r="H102" i="106"/>
  <c r="H100" i="106"/>
  <c r="H92" i="106"/>
  <c r="H90" i="106"/>
  <c r="H89" i="106"/>
  <c r="H88" i="106"/>
  <c r="H87" i="106"/>
  <c r="H86" i="106"/>
  <c r="H85" i="106"/>
  <c r="H83" i="106"/>
  <c r="H82" i="106"/>
  <c r="H81" i="106"/>
  <c r="H80" i="106"/>
  <c r="H79" i="106"/>
  <c r="H78" i="106"/>
  <c r="H76" i="106"/>
  <c r="H75" i="106"/>
  <c r="H74" i="106"/>
  <c r="H73" i="106"/>
  <c r="H72" i="106"/>
  <c r="H71" i="106"/>
  <c r="H69" i="106"/>
  <c r="H68" i="106"/>
  <c r="H67" i="106"/>
  <c r="H66" i="106"/>
  <c r="H65" i="106"/>
  <c r="H64" i="106"/>
  <c r="H62" i="106"/>
  <c r="H61" i="106"/>
  <c r="H60" i="106"/>
  <c r="H59" i="106"/>
  <c r="H58" i="106"/>
  <c r="H57" i="106"/>
  <c r="H55" i="106"/>
  <c r="H54" i="106"/>
  <c r="H53" i="106"/>
  <c r="H52" i="106"/>
  <c r="H51" i="106"/>
  <c r="H50" i="106"/>
  <c r="H48" i="106"/>
  <c r="H47" i="106"/>
  <c r="H46" i="106"/>
  <c r="H45" i="106"/>
  <c r="H44" i="106"/>
  <c r="H43" i="106"/>
  <c r="H41" i="106"/>
  <c r="H40" i="106"/>
  <c r="H39" i="106"/>
  <c r="H38" i="106"/>
  <c r="H37" i="106"/>
  <c r="H36" i="106"/>
  <c r="H34" i="106"/>
  <c r="H33" i="106"/>
  <c r="H32" i="106"/>
  <c r="H31" i="106"/>
  <c r="H30" i="106"/>
  <c r="H29" i="106"/>
  <c r="H27" i="106"/>
  <c r="H26" i="106"/>
  <c r="H25" i="106"/>
  <c r="H24" i="106"/>
  <c r="H23" i="106"/>
  <c r="H22" i="106"/>
  <c r="H20" i="106"/>
  <c r="H19" i="106"/>
  <c r="H18" i="106"/>
  <c r="H17" i="106"/>
  <c r="H16" i="106"/>
  <c r="H15" i="106"/>
  <c r="H13" i="106"/>
  <c r="H12" i="106"/>
  <c r="H11" i="106"/>
  <c r="H10" i="106"/>
  <c r="H9" i="106"/>
  <c r="H8" i="106"/>
  <c r="H6" i="106"/>
  <c r="H5" i="106"/>
  <c r="H4" i="106"/>
  <c r="H3" i="106"/>
  <c r="H2" i="106"/>
  <c r="H96" i="106"/>
  <c r="H99" i="106"/>
  <c r="H97" i="106"/>
  <c r="H95" i="106"/>
  <c r="H94" i="106"/>
  <c r="H93" i="106"/>
  <c r="Z280" i="106"/>
  <c r="Y280" i="106"/>
  <c r="X280" i="106"/>
  <c r="W280" i="106"/>
  <c r="V280" i="106"/>
  <c r="U280" i="106"/>
  <c r="T280" i="106"/>
  <c r="S280" i="106"/>
  <c r="R280" i="106"/>
  <c r="Q280" i="106"/>
  <c r="P280" i="106"/>
  <c r="O280" i="106"/>
  <c r="N280" i="106"/>
  <c r="M280" i="106"/>
  <c r="L280" i="106"/>
  <c r="K280" i="106"/>
  <c r="J280" i="106"/>
  <c r="I280" i="106"/>
  <c r="Z224" i="106"/>
  <c r="Y224" i="106"/>
  <c r="X224" i="106"/>
  <c r="W224" i="106"/>
  <c r="V224" i="106"/>
  <c r="U224" i="106"/>
  <c r="T224" i="106"/>
  <c r="S224" i="106"/>
  <c r="R224" i="106"/>
  <c r="Q224" i="106"/>
  <c r="P224" i="106"/>
  <c r="O224" i="106"/>
  <c r="N224" i="106"/>
  <c r="M224" i="106"/>
  <c r="L224" i="106"/>
  <c r="K224" i="106"/>
  <c r="J224" i="106"/>
  <c r="I224" i="106"/>
  <c r="Z217" i="106"/>
  <c r="Y217" i="106"/>
  <c r="X217" i="106"/>
  <c r="W217" i="106"/>
  <c r="V217" i="106"/>
  <c r="U217" i="106"/>
  <c r="T217" i="106"/>
  <c r="S217" i="106"/>
  <c r="R217" i="106"/>
  <c r="Q217" i="106"/>
  <c r="P217" i="106"/>
  <c r="O217" i="106"/>
  <c r="N217" i="106"/>
  <c r="M217" i="106"/>
  <c r="L217" i="106"/>
  <c r="K217" i="106"/>
  <c r="J217" i="106"/>
  <c r="I217" i="106"/>
  <c r="Z126" i="106"/>
  <c r="Y126" i="106"/>
  <c r="X126" i="106"/>
  <c r="W126" i="106"/>
  <c r="V126" i="106"/>
  <c r="U126" i="106"/>
  <c r="T126" i="106"/>
  <c r="S126" i="106"/>
  <c r="R126" i="106"/>
  <c r="Q126" i="106"/>
  <c r="P126" i="106"/>
  <c r="O126" i="106"/>
  <c r="N126" i="106"/>
  <c r="M126" i="106"/>
  <c r="L126" i="106"/>
  <c r="K126" i="106"/>
  <c r="J126" i="106"/>
  <c r="I126" i="106"/>
  <c r="Z119" i="106"/>
  <c r="Y119" i="106"/>
  <c r="X119" i="106"/>
  <c r="W119" i="106"/>
  <c r="V119" i="106"/>
  <c r="U119" i="106"/>
  <c r="T119" i="106"/>
  <c r="S119" i="106"/>
  <c r="R119" i="106"/>
  <c r="Q119" i="106"/>
  <c r="P119" i="106"/>
  <c r="O119" i="106"/>
  <c r="N119" i="106"/>
  <c r="M119" i="106"/>
  <c r="L119" i="106"/>
  <c r="K119" i="106"/>
  <c r="J119" i="106"/>
  <c r="I119" i="106"/>
  <c r="Z112" i="106"/>
  <c r="Y112" i="106"/>
  <c r="X112" i="106"/>
  <c r="W112" i="106"/>
  <c r="V112" i="106"/>
  <c r="U112" i="106"/>
  <c r="T112" i="106"/>
  <c r="S112" i="106"/>
  <c r="R112" i="106"/>
  <c r="Q112" i="106"/>
  <c r="P112" i="106"/>
  <c r="O112" i="106"/>
  <c r="N112" i="106"/>
  <c r="M112" i="106"/>
  <c r="L112" i="106"/>
  <c r="K112" i="106"/>
  <c r="J112" i="106"/>
  <c r="I112" i="106"/>
  <c r="Z98" i="106"/>
  <c r="Y98" i="106"/>
  <c r="X98" i="106"/>
  <c r="W98" i="106"/>
  <c r="V98" i="106"/>
  <c r="U98" i="106"/>
  <c r="T98" i="106"/>
  <c r="S98" i="106"/>
  <c r="R98" i="106"/>
  <c r="Q98" i="106"/>
  <c r="P98" i="106"/>
  <c r="O98" i="106"/>
  <c r="N98" i="106"/>
  <c r="M98" i="106"/>
  <c r="L98" i="106"/>
  <c r="K98" i="106"/>
  <c r="J98" i="106"/>
  <c r="I98" i="106"/>
  <c r="Z91" i="106"/>
  <c r="Y91" i="106"/>
  <c r="X91" i="106"/>
  <c r="W91" i="106"/>
  <c r="V91" i="106"/>
  <c r="U91" i="106"/>
  <c r="T91" i="106"/>
  <c r="S91" i="106"/>
  <c r="R91" i="106"/>
  <c r="Q91" i="106"/>
  <c r="P91" i="106"/>
  <c r="O91" i="106"/>
  <c r="N91" i="106"/>
  <c r="M91" i="106"/>
  <c r="L91" i="106"/>
  <c r="K91" i="106"/>
  <c r="J91" i="106"/>
  <c r="I91" i="106"/>
  <c r="Z84" i="106"/>
  <c r="Y84" i="106"/>
  <c r="X84" i="106"/>
  <c r="W84" i="106"/>
  <c r="V84" i="106"/>
  <c r="U84" i="106"/>
  <c r="T84" i="106"/>
  <c r="S84" i="106"/>
  <c r="R84" i="106"/>
  <c r="Q84" i="106"/>
  <c r="P84" i="106"/>
  <c r="O84" i="106"/>
  <c r="N84" i="106"/>
  <c r="M84" i="106"/>
  <c r="L84" i="106"/>
  <c r="K84" i="106"/>
  <c r="J84" i="106"/>
  <c r="I84" i="106"/>
  <c r="Z77" i="106"/>
  <c r="Y77" i="106"/>
  <c r="X77" i="106"/>
  <c r="W77" i="106"/>
  <c r="V77" i="106"/>
  <c r="U77" i="106"/>
  <c r="T77" i="106"/>
  <c r="S77" i="106"/>
  <c r="R77" i="106"/>
  <c r="Q77" i="106"/>
  <c r="P77" i="106"/>
  <c r="O77" i="106"/>
  <c r="N77" i="106"/>
  <c r="M77" i="106"/>
  <c r="L77" i="106"/>
  <c r="K77" i="106"/>
  <c r="J77" i="106"/>
  <c r="I77" i="106"/>
  <c r="Z70" i="106"/>
  <c r="Y70" i="106"/>
  <c r="X70" i="106"/>
  <c r="W70" i="106"/>
  <c r="V70" i="106"/>
  <c r="U70" i="106"/>
  <c r="T70" i="106"/>
  <c r="S70" i="106"/>
  <c r="R70" i="106"/>
  <c r="Q70" i="106"/>
  <c r="P70" i="106"/>
  <c r="O70" i="106"/>
  <c r="N70" i="106"/>
  <c r="M70" i="106"/>
  <c r="L70" i="106"/>
  <c r="K70" i="106"/>
  <c r="J70" i="106"/>
  <c r="I70" i="106"/>
  <c r="Z63" i="106"/>
  <c r="Y63" i="106"/>
  <c r="X63" i="106"/>
  <c r="W63" i="106"/>
  <c r="V63" i="106"/>
  <c r="U63" i="106"/>
  <c r="T63" i="106"/>
  <c r="S63" i="106"/>
  <c r="R63" i="106"/>
  <c r="Q63" i="106"/>
  <c r="P63" i="106"/>
  <c r="O63" i="106"/>
  <c r="N63" i="106"/>
  <c r="M63" i="106"/>
  <c r="L63" i="106"/>
  <c r="K63" i="106"/>
  <c r="J63" i="106"/>
  <c r="I63" i="106"/>
  <c r="Z56" i="106"/>
  <c r="Y56" i="106"/>
  <c r="X56" i="106"/>
  <c r="W56" i="106"/>
  <c r="V56" i="106"/>
  <c r="U56" i="106"/>
  <c r="T56" i="106"/>
  <c r="S56" i="106"/>
  <c r="R56" i="106"/>
  <c r="Q56" i="106"/>
  <c r="P56" i="106"/>
  <c r="O56" i="106"/>
  <c r="N56" i="106"/>
  <c r="M56" i="106"/>
  <c r="L56" i="106"/>
  <c r="K56" i="106"/>
  <c r="J56" i="106"/>
  <c r="I56" i="106"/>
  <c r="Z49" i="106"/>
  <c r="Y49" i="106"/>
  <c r="X49" i="106"/>
  <c r="W49" i="106"/>
  <c r="V49" i="106"/>
  <c r="U49" i="106"/>
  <c r="T49" i="106"/>
  <c r="S49" i="106"/>
  <c r="R49" i="106"/>
  <c r="Q49" i="106"/>
  <c r="P49" i="106"/>
  <c r="O49" i="106"/>
  <c r="N49" i="106"/>
  <c r="M49" i="106"/>
  <c r="L49" i="106"/>
  <c r="K49" i="106"/>
  <c r="J49" i="106"/>
  <c r="I49" i="106"/>
  <c r="Z42" i="106"/>
  <c r="Y42" i="106"/>
  <c r="X42" i="106"/>
  <c r="W42" i="106"/>
  <c r="V42" i="106"/>
  <c r="U42" i="106"/>
  <c r="T42" i="106"/>
  <c r="S42" i="106"/>
  <c r="R42" i="106"/>
  <c r="Q42" i="106"/>
  <c r="P42" i="106"/>
  <c r="O42" i="106"/>
  <c r="N42" i="106"/>
  <c r="M42" i="106"/>
  <c r="L42" i="106"/>
  <c r="K42" i="106"/>
  <c r="J42" i="106"/>
  <c r="I42" i="106"/>
  <c r="Z35" i="106"/>
  <c r="Y35" i="106"/>
  <c r="X35" i="106"/>
  <c r="W35" i="106"/>
  <c r="V35" i="106"/>
  <c r="U35" i="106"/>
  <c r="T35" i="106"/>
  <c r="S35" i="106"/>
  <c r="R35" i="106"/>
  <c r="Q35" i="106"/>
  <c r="P35" i="106"/>
  <c r="O35" i="106"/>
  <c r="N35" i="106"/>
  <c r="M35" i="106"/>
  <c r="L35" i="106"/>
  <c r="K35" i="106"/>
  <c r="J35" i="106"/>
  <c r="I35" i="106"/>
  <c r="Z28" i="106"/>
  <c r="Y28" i="106"/>
  <c r="X28" i="106"/>
  <c r="W28" i="106"/>
  <c r="V28" i="106"/>
  <c r="U28" i="106"/>
  <c r="T28" i="106"/>
  <c r="S28" i="106"/>
  <c r="R28" i="106"/>
  <c r="Q28" i="106"/>
  <c r="P28" i="106"/>
  <c r="O28" i="106"/>
  <c r="N28" i="106"/>
  <c r="M28" i="106"/>
  <c r="L28" i="106"/>
  <c r="K28" i="106"/>
  <c r="J28" i="106"/>
  <c r="I28" i="106"/>
  <c r="Z21" i="106"/>
  <c r="Y21" i="106"/>
  <c r="X21" i="106"/>
  <c r="W21" i="106"/>
  <c r="V21" i="106"/>
  <c r="U21" i="106"/>
  <c r="T21" i="106"/>
  <c r="S21" i="106"/>
  <c r="R21" i="106"/>
  <c r="Q21" i="106"/>
  <c r="P21" i="106"/>
  <c r="O21" i="106"/>
  <c r="N21" i="106"/>
  <c r="M21" i="106"/>
  <c r="L21" i="106"/>
  <c r="K21" i="106"/>
  <c r="J21" i="106"/>
  <c r="I21" i="106"/>
  <c r="Z14" i="106"/>
  <c r="Y14" i="106"/>
  <c r="X14" i="106"/>
  <c r="W14" i="106"/>
  <c r="V14" i="106"/>
  <c r="U14" i="106"/>
  <c r="T14" i="106"/>
  <c r="S14" i="106"/>
  <c r="R14" i="106"/>
  <c r="Q14" i="106"/>
  <c r="P14" i="106"/>
  <c r="O14" i="106"/>
  <c r="N14" i="106"/>
  <c r="M14" i="106"/>
  <c r="L14" i="106"/>
  <c r="K14" i="106"/>
  <c r="J14" i="106"/>
  <c r="I14" i="106"/>
  <c r="Z7" i="106"/>
  <c r="Y7" i="106"/>
  <c r="X7" i="106"/>
  <c r="W7" i="106"/>
  <c r="V7" i="106"/>
  <c r="U7" i="106"/>
  <c r="T7" i="106"/>
  <c r="S7" i="106"/>
  <c r="R7" i="106"/>
  <c r="Q7" i="106"/>
  <c r="P7" i="106"/>
  <c r="O7" i="106"/>
  <c r="N7" i="106"/>
  <c r="M7" i="106"/>
  <c r="L7" i="106"/>
  <c r="K7" i="106"/>
  <c r="J7" i="106"/>
  <c r="I7" i="106"/>
  <c r="Z105" i="106"/>
  <c r="Y105" i="106"/>
  <c r="X105" i="106"/>
  <c r="W105" i="106"/>
  <c r="V105" i="106"/>
  <c r="U105" i="106"/>
  <c r="T105" i="106"/>
  <c r="S105" i="106"/>
  <c r="R105" i="106"/>
  <c r="Q105" i="106"/>
  <c r="P105" i="106"/>
  <c r="O105" i="106"/>
  <c r="N105" i="106"/>
  <c r="M105" i="106"/>
  <c r="L105" i="106"/>
  <c r="K105" i="106"/>
  <c r="J105" i="106"/>
  <c r="I105" i="106"/>
  <c r="U170" i="58"/>
  <c r="H7" i="106" l="1"/>
  <c r="H35" i="106"/>
  <c r="H63" i="106"/>
  <c r="H91" i="106"/>
  <c r="H224" i="106"/>
  <c r="H70" i="106"/>
  <c r="H98" i="106"/>
  <c r="H21" i="106"/>
  <c r="H49" i="106"/>
  <c r="H77" i="106"/>
  <c r="H42" i="106"/>
  <c r="H280" i="106"/>
  <c r="H14" i="106"/>
  <c r="H28" i="106"/>
  <c r="H56" i="106"/>
  <c r="H84" i="106"/>
  <c r="H217" i="106"/>
  <c r="H126" i="106"/>
  <c r="H112" i="106"/>
  <c r="H119" i="106"/>
  <c r="H105" i="106"/>
  <c r="Y130" i="139"/>
  <c r="Y146" i="139"/>
  <c r="AI146" i="139" s="1"/>
  <c r="AI31" i="139"/>
  <c r="A36" i="134" l="1"/>
  <c r="A10" i="151" l="1"/>
  <c r="A9" i="151"/>
  <c r="A8" i="151"/>
  <c r="A7" i="151"/>
  <c r="A6" i="151"/>
  <c r="A5" i="151"/>
  <c r="A4" i="151"/>
  <c r="E3" i="151"/>
  <c r="E4" i="151" s="1"/>
  <c r="E5" i="151" s="1"/>
  <c r="E6" i="151" s="1"/>
  <c r="E7" i="151" s="1"/>
  <c r="E8" i="151" s="1"/>
  <c r="E9" i="151" s="1"/>
  <c r="E10" i="151" s="1"/>
  <c r="A3" i="151"/>
  <c r="K23" i="150"/>
  <c r="I23" i="150"/>
  <c r="E23" i="150"/>
  <c r="D23" i="150"/>
  <c r="J20" i="150"/>
  <c r="J23" i="150" s="1"/>
  <c r="A19" i="150"/>
  <c r="A17" i="150"/>
  <c r="A15" i="150"/>
  <c r="A12" i="150"/>
  <c r="J9" i="150"/>
  <c r="J3" i="150"/>
  <c r="J2" i="150"/>
  <c r="A54" i="149"/>
  <c r="A53" i="149"/>
  <c r="A52" i="149"/>
  <c r="A51" i="149"/>
  <c r="A50" i="149"/>
  <c r="A49" i="149"/>
  <c r="A48" i="149"/>
  <c r="A47" i="149"/>
  <c r="A46" i="149"/>
  <c r="A45" i="149"/>
  <c r="A44" i="149"/>
  <c r="A43" i="149"/>
  <c r="A42" i="149"/>
  <c r="A41" i="149"/>
  <c r="A40" i="149"/>
  <c r="A39" i="149"/>
  <c r="A38" i="149"/>
  <c r="A37" i="149"/>
  <c r="A36" i="149"/>
  <c r="A35" i="149"/>
  <c r="A34" i="149"/>
  <c r="A33" i="149"/>
  <c r="A32" i="149"/>
  <c r="A31" i="149"/>
  <c r="A30" i="149"/>
  <c r="A29" i="149"/>
  <c r="A28" i="149"/>
  <c r="A27" i="149"/>
  <c r="A26" i="149"/>
  <c r="A25" i="149"/>
  <c r="A24" i="149"/>
  <c r="A23" i="149"/>
  <c r="A22" i="149"/>
  <c r="A21" i="149"/>
  <c r="A20" i="149"/>
  <c r="A19" i="149"/>
  <c r="A18" i="149"/>
  <c r="A17" i="149"/>
  <c r="A16" i="149"/>
  <c r="A15" i="149"/>
  <c r="A14" i="149"/>
  <c r="A13" i="149"/>
  <c r="A12" i="149"/>
  <c r="A11" i="149"/>
  <c r="A10" i="149"/>
  <c r="A9" i="149"/>
  <c r="A8" i="149"/>
  <c r="A7" i="149"/>
  <c r="A6" i="149"/>
  <c r="A5" i="149"/>
  <c r="A4" i="149"/>
  <c r="A3" i="149"/>
  <c r="A108" i="148"/>
  <c r="A107" i="148"/>
  <c r="A106" i="148"/>
  <c r="A105" i="148"/>
  <c r="A104" i="148"/>
  <c r="A103" i="148"/>
  <c r="A102" i="148"/>
  <c r="A101" i="148"/>
  <c r="A100" i="148"/>
  <c r="A99" i="148"/>
  <c r="A98" i="148"/>
  <c r="A97" i="148"/>
  <c r="A96" i="148"/>
  <c r="A95" i="148"/>
  <c r="A94" i="148"/>
  <c r="A93" i="148"/>
  <c r="A92" i="148"/>
  <c r="A91" i="148"/>
  <c r="A90" i="148"/>
  <c r="A89" i="148"/>
  <c r="A88" i="148"/>
  <c r="A87" i="148"/>
  <c r="A86" i="148"/>
  <c r="A85" i="148"/>
  <c r="A84" i="148"/>
  <c r="A83" i="148"/>
  <c r="A82" i="148"/>
  <c r="A81" i="148"/>
  <c r="A80" i="148"/>
  <c r="A79" i="148"/>
  <c r="A78" i="148"/>
  <c r="A77" i="148"/>
  <c r="A76" i="148"/>
  <c r="A75" i="148"/>
  <c r="A74" i="148"/>
  <c r="A73" i="148"/>
  <c r="A72" i="148"/>
  <c r="A71" i="148"/>
  <c r="A70" i="148"/>
  <c r="A69" i="148"/>
  <c r="A68" i="148"/>
  <c r="A67" i="148"/>
  <c r="A66" i="148"/>
  <c r="A65" i="148"/>
  <c r="A64" i="148"/>
  <c r="A63" i="148"/>
  <c r="A62" i="148"/>
  <c r="A61" i="148"/>
  <c r="A60" i="148"/>
  <c r="A59" i="148"/>
  <c r="A58" i="148"/>
  <c r="A57" i="148"/>
  <c r="A56" i="148"/>
  <c r="A55" i="148"/>
  <c r="A54" i="148"/>
  <c r="A53" i="148"/>
  <c r="A52" i="148"/>
  <c r="A51" i="148"/>
  <c r="A50" i="148"/>
  <c r="A49" i="148"/>
  <c r="A48" i="148"/>
  <c r="A47" i="148"/>
  <c r="A46" i="148"/>
  <c r="A45" i="148"/>
  <c r="A44" i="148"/>
  <c r="A43" i="148"/>
  <c r="A42" i="148"/>
  <c r="A41" i="148"/>
  <c r="A40" i="148"/>
  <c r="A39" i="148"/>
  <c r="A38" i="148"/>
  <c r="A37" i="148"/>
  <c r="A36" i="148"/>
  <c r="A35" i="148"/>
  <c r="A34" i="148"/>
  <c r="A33" i="148"/>
  <c r="A32" i="148"/>
  <c r="A31" i="148"/>
  <c r="A30" i="148"/>
  <c r="A29" i="148"/>
  <c r="A28" i="148"/>
  <c r="A27" i="148"/>
  <c r="A26" i="148"/>
  <c r="A25" i="148"/>
  <c r="A24" i="148"/>
  <c r="A23" i="148"/>
  <c r="A22" i="148"/>
  <c r="A21" i="148"/>
  <c r="A20" i="148"/>
  <c r="A19" i="148"/>
  <c r="A18" i="148"/>
  <c r="A17" i="148"/>
  <c r="A16" i="148"/>
  <c r="A15" i="148"/>
  <c r="A14" i="148"/>
  <c r="A13" i="148"/>
  <c r="A12" i="148"/>
  <c r="A11" i="148"/>
  <c r="A10" i="148"/>
  <c r="A9" i="148"/>
  <c r="A8" i="148"/>
  <c r="A7" i="148"/>
  <c r="A6" i="148"/>
  <c r="A5" i="148"/>
  <c r="A4" i="148"/>
  <c r="A3" i="148"/>
  <c r="Q44" i="147"/>
  <c r="N44" i="147"/>
  <c r="M44" i="147"/>
  <c r="K44" i="147"/>
  <c r="J44" i="147"/>
  <c r="G44" i="147"/>
  <c r="E44" i="147"/>
  <c r="O43" i="147"/>
  <c r="L43" i="147"/>
  <c r="I43" i="147"/>
  <c r="D43" i="147"/>
  <c r="A43" i="147"/>
  <c r="O42" i="147"/>
  <c r="L42" i="147"/>
  <c r="I42" i="147"/>
  <c r="D42" i="147"/>
  <c r="A42" i="147"/>
  <c r="O41" i="147"/>
  <c r="L41" i="147"/>
  <c r="I41" i="147"/>
  <c r="D41" i="147"/>
  <c r="A41" i="147"/>
  <c r="O40" i="147"/>
  <c r="L40" i="147"/>
  <c r="I40" i="147"/>
  <c r="D40" i="147"/>
  <c r="A40" i="147"/>
  <c r="O39" i="147"/>
  <c r="L39" i="147"/>
  <c r="I39" i="147"/>
  <c r="D39" i="147"/>
  <c r="A39" i="147"/>
  <c r="P38" i="147"/>
  <c r="O38" i="147" s="1"/>
  <c r="L38" i="147"/>
  <c r="I38" i="147"/>
  <c r="D38" i="147"/>
  <c r="A38" i="147"/>
  <c r="O37" i="147"/>
  <c r="L37" i="147"/>
  <c r="I37" i="147"/>
  <c r="D37" i="147"/>
  <c r="A37" i="147"/>
  <c r="O36" i="147"/>
  <c r="L36" i="147"/>
  <c r="I36" i="147"/>
  <c r="D36" i="147"/>
  <c r="A36" i="147"/>
  <c r="L35" i="147"/>
  <c r="D35" i="147"/>
  <c r="A35" i="147"/>
  <c r="O34" i="147"/>
  <c r="L34" i="147"/>
  <c r="I34" i="147"/>
  <c r="D34" i="147"/>
  <c r="A34" i="147"/>
  <c r="L33" i="147"/>
  <c r="D33" i="147"/>
  <c r="A33" i="147"/>
  <c r="O32" i="147"/>
  <c r="L32" i="147"/>
  <c r="I32" i="147"/>
  <c r="D32" i="147"/>
  <c r="A32" i="147"/>
  <c r="O31" i="147"/>
  <c r="L31" i="147"/>
  <c r="I31" i="147"/>
  <c r="D31" i="147"/>
  <c r="A31" i="147"/>
  <c r="O30" i="147"/>
  <c r="L30" i="147"/>
  <c r="I30" i="147"/>
  <c r="D30" i="147"/>
  <c r="A30" i="147"/>
  <c r="L29" i="147"/>
  <c r="D29" i="147"/>
  <c r="A29" i="147"/>
  <c r="O28" i="147"/>
  <c r="L28" i="147"/>
  <c r="I28" i="147"/>
  <c r="D28" i="147"/>
  <c r="A28" i="147"/>
  <c r="L27" i="147"/>
  <c r="D27" i="147"/>
  <c r="A27" i="147"/>
  <c r="O26" i="147"/>
  <c r="L26" i="147"/>
  <c r="I26" i="147"/>
  <c r="A26" i="147"/>
  <c r="O25" i="147"/>
  <c r="L25" i="147"/>
  <c r="I25" i="147"/>
  <c r="A25" i="147"/>
  <c r="O24" i="147"/>
  <c r="L24" i="147"/>
  <c r="I24" i="147"/>
  <c r="D24" i="147"/>
  <c r="A24" i="147"/>
  <c r="O23" i="147"/>
  <c r="L23" i="147"/>
  <c r="I23" i="147"/>
  <c r="D23" i="147"/>
  <c r="A23" i="147"/>
  <c r="O22" i="147"/>
  <c r="L22" i="147"/>
  <c r="I22" i="147"/>
  <c r="D22" i="147"/>
  <c r="A22" i="147"/>
  <c r="O21" i="147"/>
  <c r="L21" i="147"/>
  <c r="I21" i="147"/>
  <c r="D21" i="147"/>
  <c r="A21" i="147"/>
  <c r="L20" i="147"/>
  <c r="A20" i="147"/>
  <c r="O19" i="147"/>
  <c r="L19" i="147"/>
  <c r="I19" i="147"/>
  <c r="D19" i="147"/>
  <c r="A19" i="147"/>
  <c r="O18" i="147"/>
  <c r="L18" i="147"/>
  <c r="I18" i="147"/>
  <c r="D18" i="147"/>
  <c r="A18" i="147"/>
  <c r="O17" i="147"/>
  <c r="L17" i="147"/>
  <c r="I17" i="147"/>
  <c r="A17" i="147"/>
  <c r="O16" i="147"/>
  <c r="L16" i="147"/>
  <c r="I16" i="147"/>
  <c r="D16" i="147"/>
  <c r="A16" i="147"/>
  <c r="O15" i="147"/>
  <c r="L15" i="147"/>
  <c r="I15" i="147"/>
  <c r="D15" i="147"/>
  <c r="A15" i="147"/>
  <c r="O14" i="147"/>
  <c r="L14" i="147"/>
  <c r="I14" i="147"/>
  <c r="D14" i="147"/>
  <c r="A14" i="147"/>
  <c r="O13" i="147"/>
  <c r="L13" i="147"/>
  <c r="I13" i="147"/>
  <c r="D13" i="147"/>
  <c r="A13" i="147"/>
  <c r="O12" i="147"/>
  <c r="L12" i="147"/>
  <c r="I12" i="147"/>
  <c r="D12" i="147"/>
  <c r="A12" i="147"/>
  <c r="O11" i="147"/>
  <c r="L11" i="147"/>
  <c r="I11" i="147"/>
  <c r="D11" i="147"/>
  <c r="A11" i="147"/>
  <c r="O10" i="147"/>
  <c r="L10" i="147"/>
  <c r="I10" i="147"/>
  <c r="A10" i="147"/>
  <c r="O9" i="147"/>
  <c r="L9" i="147"/>
  <c r="I9" i="147"/>
  <c r="D9" i="147"/>
  <c r="A9" i="147"/>
  <c r="O8" i="147"/>
  <c r="L8" i="147"/>
  <c r="I8" i="147"/>
  <c r="D8" i="147"/>
  <c r="A8" i="147"/>
  <c r="O7" i="147"/>
  <c r="L7" i="147"/>
  <c r="I7" i="147"/>
  <c r="D7" i="147"/>
  <c r="A7" i="147"/>
  <c r="O6" i="147"/>
  <c r="L6" i="147"/>
  <c r="I6" i="147"/>
  <c r="D6" i="147"/>
  <c r="A6" i="147"/>
  <c r="O5" i="147"/>
  <c r="L5" i="147"/>
  <c r="I5" i="147"/>
  <c r="D5" i="147"/>
  <c r="A5" i="147"/>
  <c r="O4" i="147"/>
  <c r="L4" i="147"/>
  <c r="L44" i="147" s="1"/>
  <c r="I4" i="147"/>
  <c r="D4" i="147"/>
  <c r="A4" i="147"/>
  <c r="Q37" i="146"/>
  <c r="P37" i="146"/>
  <c r="N37" i="146"/>
  <c r="M37" i="146"/>
  <c r="K37" i="146"/>
  <c r="G37" i="146"/>
  <c r="E37" i="146"/>
  <c r="O36" i="146"/>
  <c r="L36" i="146"/>
  <c r="I36" i="146"/>
  <c r="D36" i="146"/>
  <c r="A36" i="146"/>
  <c r="O35" i="146"/>
  <c r="L35" i="146"/>
  <c r="I35" i="146"/>
  <c r="D35" i="146"/>
  <c r="A35" i="146"/>
  <c r="L34" i="146"/>
  <c r="D34" i="146"/>
  <c r="A34" i="146"/>
  <c r="O33" i="146"/>
  <c r="L33" i="146"/>
  <c r="I33" i="146"/>
  <c r="D33" i="146"/>
  <c r="A33" i="146"/>
  <c r="L32" i="146"/>
  <c r="D32" i="146"/>
  <c r="A32" i="146"/>
  <c r="O31" i="146"/>
  <c r="L31" i="146"/>
  <c r="I31" i="146"/>
  <c r="D31" i="146"/>
  <c r="A31" i="146"/>
  <c r="O30" i="146"/>
  <c r="L30" i="146"/>
  <c r="I30" i="146"/>
  <c r="D30" i="146"/>
  <c r="A30" i="146"/>
  <c r="O29" i="146"/>
  <c r="L29" i="146"/>
  <c r="I29" i="146"/>
  <c r="D29" i="146"/>
  <c r="A29" i="146"/>
  <c r="L28" i="146"/>
  <c r="D28" i="146"/>
  <c r="A28" i="146"/>
  <c r="O27" i="146"/>
  <c r="L27" i="146"/>
  <c r="I27" i="146"/>
  <c r="D27" i="146"/>
  <c r="A27" i="146"/>
  <c r="L26" i="146"/>
  <c r="D26" i="146"/>
  <c r="A26" i="146"/>
  <c r="O25" i="146"/>
  <c r="L25" i="146"/>
  <c r="I25" i="146"/>
  <c r="A25" i="146"/>
  <c r="O24" i="146"/>
  <c r="L24" i="146"/>
  <c r="I24" i="146"/>
  <c r="A24" i="146"/>
  <c r="O23" i="146"/>
  <c r="L23" i="146"/>
  <c r="I23" i="146"/>
  <c r="D23" i="146"/>
  <c r="A23" i="146"/>
  <c r="O22" i="146"/>
  <c r="L22" i="146"/>
  <c r="I22" i="146"/>
  <c r="D22" i="146"/>
  <c r="A22" i="146"/>
  <c r="O21" i="146"/>
  <c r="L21" i="146"/>
  <c r="I21" i="146"/>
  <c r="D21" i="146"/>
  <c r="A21" i="146"/>
  <c r="O20" i="146"/>
  <c r="L20" i="146"/>
  <c r="I20" i="146"/>
  <c r="D20" i="146"/>
  <c r="A20" i="146"/>
  <c r="O19" i="146"/>
  <c r="L19" i="146"/>
  <c r="I19" i="146"/>
  <c r="D19" i="146"/>
  <c r="A19" i="146"/>
  <c r="O18" i="146"/>
  <c r="L18" i="146"/>
  <c r="I18" i="146"/>
  <c r="D18" i="146"/>
  <c r="A18" i="146"/>
  <c r="O17" i="146"/>
  <c r="L17" i="146"/>
  <c r="I17" i="146"/>
  <c r="A17" i="146"/>
  <c r="O16" i="146"/>
  <c r="L16" i="146"/>
  <c r="I16" i="146"/>
  <c r="D16" i="146"/>
  <c r="A16" i="146"/>
  <c r="O15" i="146"/>
  <c r="L15" i="146"/>
  <c r="I15" i="146"/>
  <c r="D15" i="146"/>
  <c r="A15" i="146"/>
  <c r="O14" i="146"/>
  <c r="L14" i="146"/>
  <c r="I14" i="146"/>
  <c r="D14" i="146"/>
  <c r="A14" i="146"/>
  <c r="O13" i="146"/>
  <c r="L13" i="146"/>
  <c r="I13" i="146"/>
  <c r="D13" i="146"/>
  <c r="A13" i="146"/>
  <c r="O12" i="146"/>
  <c r="L12" i="146"/>
  <c r="I12" i="146"/>
  <c r="D12" i="146"/>
  <c r="A12" i="146"/>
  <c r="O11" i="146"/>
  <c r="L11" i="146"/>
  <c r="I11" i="146"/>
  <c r="D11" i="146"/>
  <c r="A11" i="146"/>
  <c r="O10" i="146"/>
  <c r="L10" i="146"/>
  <c r="I10" i="146"/>
  <c r="A10" i="146"/>
  <c r="O9" i="146"/>
  <c r="L9" i="146"/>
  <c r="I9" i="146"/>
  <c r="D9" i="146"/>
  <c r="A9" i="146"/>
  <c r="O8" i="146"/>
  <c r="L8" i="146"/>
  <c r="I8" i="146"/>
  <c r="D8" i="146"/>
  <c r="A8" i="146"/>
  <c r="O7" i="146"/>
  <c r="L7" i="146"/>
  <c r="I7" i="146"/>
  <c r="D7" i="146"/>
  <c r="A7" i="146"/>
  <c r="O6" i="146"/>
  <c r="L6" i="146"/>
  <c r="I6" i="146"/>
  <c r="D6" i="146"/>
  <c r="A6" i="146"/>
  <c r="O5" i="146"/>
  <c r="L5" i="146"/>
  <c r="I5" i="146"/>
  <c r="D5" i="146"/>
  <c r="A5" i="146"/>
  <c r="O4" i="146"/>
  <c r="L4" i="146"/>
  <c r="J4" i="146"/>
  <c r="I4" i="146" s="1"/>
  <c r="D4" i="146"/>
  <c r="A4" i="146"/>
  <c r="O37" i="146" l="1"/>
  <c r="O44" i="147"/>
  <c r="D37" i="146"/>
  <c r="D44" i="147"/>
  <c r="L37" i="146"/>
  <c r="I37" i="146"/>
  <c r="I44" i="147"/>
  <c r="P44" i="147"/>
  <c r="J37" i="146"/>
  <c r="BA95" i="142" l="1"/>
  <c r="BA94" i="142"/>
  <c r="BA93" i="142"/>
  <c r="BA92" i="142"/>
  <c r="BA91" i="142"/>
  <c r="BA90" i="142"/>
  <c r="BA89" i="142"/>
  <c r="BA88" i="142"/>
  <c r="BA87" i="142"/>
  <c r="BA86" i="142"/>
  <c r="BA85" i="142"/>
  <c r="BA84" i="142"/>
  <c r="BA83" i="142"/>
  <c r="BA82" i="142"/>
  <c r="BA81" i="142"/>
  <c r="BA80" i="142"/>
  <c r="BA79" i="142"/>
  <c r="BA78" i="142"/>
  <c r="BA77" i="142"/>
  <c r="BA70" i="142"/>
  <c r="BA69" i="142"/>
  <c r="BA68" i="142"/>
  <c r="BA67" i="142"/>
  <c r="BA66" i="142"/>
  <c r="BA65" i="142"/>
  <c r="BA64" i="142"/>
  <c r="BA63" i="142"/>
  <c r="BA56" i="142"/>
  <c r="BJ55" i="142"/>
  <c r="BA55" i="142"/>
  <c r="BJ54" i="142"/>
  <c r="BA54" i="142"/>
  <c r="BJ53" i="142"/>
  <c r="BA53" i="142"/>
  <c r="BJ52" i="142"/>
  <c r="BA52" i="142"/>
  <c r="BJ51" i="142"/>
  <c r="BA51" i="142"/>
  <c r="BJ50" i="142"/>
  <c r="BA50" i="142"/>
  <c r="BJ49" i="142"/>
  <c r="BA49" i="142"/>
  <c r="BJ47" i="142"/>
  <c r="BA47" i="142"/>
  <c r="BJ46" i="142"/>
  <c r="BA46" i="142"/>
  <c r="BJ45" i="142"/>
  <c r="BA45" i="142"/>
  <c r="BJ44" i="142"/>
  <c r="BA44" i="142"/>
  <c r="BJ43" i="142"/>
  <c r="BA43" i="142"/>
  <c r="N19" i="134"/>
  <c r="N8" i="134"/>
  <c r="N11" i="134" s="1"/>
  <c r="N18" i="134" s="1"/>
  <c r="F13" i="134"/>
  <c r="F12" i="134"/>
  <c r="F11" i="134"/>
  <c r="F10" i="134"/>
  <c r="F9" i="134"/>
  <c r="F8" i="134"/>
  <c r="F7" i="134"/>
  <c r="F6" i="134"/>
  <c r="BA57" i="142" l="1"/>
  <c r="BJ56" i="142"/>
  <c r="BA71" i="142"/>
  <c r="BA96" i="142"/>
  <c r="A303" i="143" l="1"/>
  <c r="A302" i="143"/>
  <c r="A301" i="143"/>
  <c r="A300" i="143"/>
  <c r="A299" i="143"/>
  <c r="A298" i="143"/>
  <c r="A297" i="143"/>
  <c r="A296" i="143"/>
  <c r="A295" i="143"/>
  <c r="A294" i="143"/>
  <c r="A293" i="143"/>
  <c r="A292" i="143"/>
  <c r="A291" i="143"/>
  <c r="A290" i="143"/>
  <c r="A289" i="143"/>
  <c r="A288" i="143"/>
  <c r="A287" i="143"/>
  <c r="A286" i="143"/>
  <c r="A285" i="143"/>
  <c r="A284" i="143"/>
  <c r="A283" i="143"/>
  <c r="A282" i="143"/>
  <c r="A281" i="143"/>
  <c r="A280" i="143"/>
  <c r="B279" i="143"/>
  <c r="A279" i="143"/>
  <c r="B278" i="143"/>
  <c r="A278" i="143"/>
  <c r="B277" i="143"/>
  <c r="A277" i="143"/>
  <c r="B276" i="143"/>
  <c r="A276" i="143"/>
  <c r="B275" i="143"/>
  <c r="A275" i="143"/>
  <c r="B274" i="143"/>
  <c r="A274" i="143"/>
  <c r="B273" i="143"/>
  <c r="A273" i="143"/>
  <c r="B272" i="143"/>
  <c r="A272" i="143"/>
  <c r="B271" i="143"/>
  <c r="A271" i="143"/>
  <c r="B270" i="143"/>
  <c r="A270" i="143"/>
  <c r="B269" i="143"/>
  <c r="A269" i="143"/>
  <c r="B268" i="143"/>
  <c r="A268" i="143"/>
  <c r="A267" i="143"/>
  <c r="B266" i="143"/>
  <c r="A266" i="143"/>
  <c r="B265" i="143"/>
  <c r="A265" i="143"/>
  <c r="B264" i="143"/>
  <c r="A264" i="143"/>
  <c r="B263" i="143"/>
  <c r="A263" i="143"/>
  <c r="B262" i="143"/>
  <c r="A262" i="143"/>
  <c r="B261" i="143"/>
  <c r="A261" i="143"/>
  <c r="B260" i="143"/>
  <c r="A260" i="143"/>
  <c r="B259" i="143"/>
  <c r="A259" i="143"/>
  <c r="B258" i="143"/>
  <c r="A258" i="143"/>
  <c r="B257" i="143"/>
  <c r="A257" i="143"/>
  <c r="B256" i="143"/>
  <c r="A256" i="143"/>
  <c r="B255" i="143"/>
  <c r="A255" i="143"/>
  <c r="B254" i="143"/>
  <c r="A254" i="143"/>
  <c r="B253" i="143"/>
  <c r="A253" i="143"/>
  <c r="B252" i="143"/>
  <c r="A252" i="143"/>
  <c r="B251" i="143"/>
  <c r="A251" i="143"/>
  <c r="B250" i="143"/>
  <c r="A250" i="143"/>
  <c r="B249" i="143"/>
  <c r="A249" i="143"/>
  <c r="B248" i="143"/>
  <c r="A248" i="143"/>
  <c r="B247" i="143"/>
  <c r="A247" i="143"/>
  <c r="B246" i="143"/>
  <c r="A246" i="143"/>
  <c r="B245" i="143"/>
  <c r="A245" i="143"/>
  <c r="B244" i="143"/>
  <c r="A244" i="143"/>
  <c r="B243" i="143"/>
  <c r="A243" i="143"/>
  <c r="B242" i="143"/>
  <c r="A242" i="143"/>
  <c r="B241" i="143"/>
  <c r="A241" i="143"/>
  <c r="B240" i="143"/>
  <c r="A240" i="143"/>
  <c r="B239" i="143"/>
  <c r="A239" i="143"/>
  <c r="B238" i="143"/>
  <c r="A238" i="143"/>
  <c r="B237" i="143"/>
  <c r="A237" i="143"/>
  <c r="B236" i="143"/>
  <c r="A236" i="143"/>
  <c r="B235" i="143"/>
  <c r="A235" i="143"/>
  <c r="B234" i="143"/>
  <c r="A234" i="143"/>
  <c r="B233" i="143"/>
  <c r="A233" i="143"/>
  <c r="B232" i="143"/>
  <c r="A232" i="143"/>
  <c r="B231" i="143"/>
  <c r="A231" i="143"/>
  <c r="B230" i="143"/>
  <c r="A230" i="143"/>
  <c r="B229" i="143"/>
  <c r="A229" i="143"/>
  <c r="B228" i="143"/>
  <c r="A228" i="143"/>
  <c r="B227" i="143"/>
  <c r="A227" i="143"/>
  <c r="B226" i="143"/>
  <c r="A226" i="143"/>
  <c r="B225" i="143"/>
  <c r="A225" i="143"/>
  <c r="B224" i="143"/>
  <c r="A224" i="143"/>
  <c r="B223" i="143"/>
  <c r="A223" i="143"/>
  <c r="B222" i="143"/>
  <c r="A222" i="143"/>
  <c r="B221" i="143"/>
  <c r="A221" i="143"/>
  <c r="B220" i="143"/>
  <c r="A220" i="143"/>
  <c r="B219" i="143"/>
  <c r="A219" i="143"/>
  <c r="B218" i="143"/>
  <c r="A218" i="143"/>
  <c r="B217" i="143"/>
  <c r="A217" i="143"/>
  <c r="B216" i="143"/>
  <c r="A216" i="143"/>
  <c r="B215" i="143"/>
  <c r="A215" i="143"/>
  <c r="B214" i="143"/>
  <c r="A214" i="143"/>
  <c r="B213" i="143"/>
  <c r="A213" i="143"/>
  <c r="B212" i="143"/>
  <c r="A212" i="143"/>
  <c r="B211" i="143"/>
  <c r="A211" i="143"/>
  <c r="B210" i="143"/>
  <c r="A210" i="143"/>
  <c r="B209" i="143"/>
  <c r="A209" i="143"/>
  <c r="B208" i="143"/>
  <c r="A208" i="143"/>
  <c r="B207" i="143"/>
  <c r="A207" i="143"/>
  <c r="B206" i="143"/>
  <c r="A206" i="143"/>
  <c r="B205" i="143"/>
  <c r="A205" i="143"/>
  <c r="B204" i="143"/>
  <c r="A204" i="143"/>
  <c r="B203" i="143"/>
  <c r="A203" i="143"/>
  <c r="B202" i="143"/>
  <c r="A202" i="143"/>
  <c r="B201" i="143"/>
  <c r="A201" i="143"/>
  <c r="B200" i="143"/>
  <c r="A200" i="143"/>
  <c r="B199" i="143"/>
  <c r="A199" i="143"/>
  <c r="B198" i="143"/>
  <c r="A198" i="143"/>
  <c r="B197" i="143"/>
  <c r="A197" i="143"/>
  <c r="B196" i="143"/>
  <c r="A196" i="143"/>
  <c r="B195" i="143"/>
  <c r="A195" i="143"/>
  <c r="B194" i="143"/>
  <c r="A194" i="143"/>
  <c r="B193" i="143"/>
  <c r="A193" i="143"/>
  <c r="B192" i="143"/>
  <c r="A192" i="143"/>
  <c r="B191" i="143"/>
  <c r="A191" i="143"/>
  <c r="B190" i="143"/>
  <c r="A190" i="143"/>
  <c r="B189" i="143"/>
  <c r="A189" i="143"/>
  <c r="B188" i="143"/>
  <c r="A188" i="143"/>
  <c r="B187" i="143"/>
  <c r="A187" i="143"/>
  <c r="B186" i="143"/>
  <c r="A186" i="143"/>
  <c r="B185" i="143"/>
  <c r="A185" i="143"/>
  <c r="B184" i="143"/>
  <c r="A184" i="143"/>
  <c r="B183" i="143"/>
  <c r="A183" i="143"/>
  <c r="B182" i="143"/>
  <c r="A182" i="143"/>
  <c r="B181" i="143"/>
  <c r="A181" i="143"/>
  <c r="B180" i="143"/>
  <c r="A180" i="143"/>
  <c r="B179" i="143"/>
  <c r="A179" i="143"/>
  <c r="B178" i="143"/>
  <c r="A178" i="143"/>
  <c r="B177" i="143"/>
  <c r="A177" i="143"/>
  <c r="B176" i="143"/>
  <c r="A176" i="143"/>
  <c r="B175" i="143"/>
  <c r="A175" i="143"/>
  <c r="B174" i="143"/>
  <c r="A174" i="143"/>
  <c r="B173" i="143"/>
  <c r="A173" i="143"/>
  <c r="B172" i="143"/>
  <c r="A172" i="143"/>
  <c r="B171" i="143"/>
  <c r="A171" i="143"/>
  <c r="B170" i="143"/>
  <c r="A170" i="143"/>
  <c r="B169" i="143"/>
  <c r="A169" i="143"/>
  <c r="B168" i="143"/>
  <c r="A168" i="143"/>
  <c r="B167" i="143"/>
  <c r="A167" i="143"/>
  <c r="B166" i="143"/>
  <c r="A166" i="143"/>
  <c r="B165" i="143"/>
  <c r="A165" i="143"/>
  <c r="B164" i="143"/>
  <c r="A164" i="143"/>
  <c r="B163" i="143"/>
  <c r="A163" i="143"/>
  <c r="B162" i="143"/>
  <c r="A162" i="143"/>
  <c r="B161" i="143"/>
  <c r="A161" i="143"/>
  <c r="B160" i="143"/>
  <c r="A160" i="143"/>
  <c r="B159" i="143"/>
  <c r="A159" i="143"/>
  <c r="B158" i="143"/>
  <c r="A158" i="143"/>
  <c r="B157" i="143"/>
  <c r="A157" i="143"/>
  <c r="B156" i="143"/>
  <c r="A156" i="143"/>
  <c r="B155" i="143"/>
  <c r="A155" i="143"/>
  <c r="B154" i="143"/>
  <c r="A154" i="143"/>
  <c r="B153" i="143"/>
  <c r="A153" i="143"/>
  <c r="B152" i="143"/>
  <c r="A152" i="143"/>
  <c r="B151" i="143"/>
  <c r="A151" i="143"/>
  <c r="B150" i="143"/>
  <c r="A150" i="143"/>
  <c r="B149" i="143"/>
  <c r="A149" i="143"/>
  <c r="B148" i="143"/>
  <c r="A148" i="143"/>
  <c r="B147" i="143"/>
  <c r="A147" i="143"/>
  <c r="B146" i="143"/>
  <c r="A146" i="143"/>
  <c r="B145" i="143"/>
  <c r="A145" i="143"/>
  <c r="B144" i="143"/>
  <c r="A144" i="143"/>
  <c r="B143" i="143"/>
  <c r="A143" i="143"/>
  <c r="B142" i="143"/>
  <c r="A142" i="143"/>
  <c r="B141" i="143"/>
  <c r="A141" i="143"/>
  <c r="B140" i="143"/>
  <c r="A140" i="143"/>
  <c r="B139" i="143"/>
  <c r="A139" i="143"/>
  <c r="B138" i="143"/>
  <c r="A138" i="143"/>
  <c r="B137" i="143"/>
  <c r="A137" i="143"/>
  <c r="B136" i="143"/>
  <c r="A136" i="143"/>
  <c r="B135" i="143"/>
  <c r="A135" i="143"/>
  <c r="B134" i="143"/>
  <c r="A134" i="143"/>
  <c r="B133" i="143"/>
  <c r="A133" i="143"/>
  <c r="B132" i="143"/>
  <c r="A132" i="143"/>
  <c r="B131" i="143"/>
  <c r="A131" i="143"/>
  <c r="B130" i="143"/>
  <c r="A130" i="143"/>
  <c r="B129" i="143"/>
  <c r="A129" i="143"/>
  <c r="B128" i="143"/>
  <c r="A128" i="143"/>
  <c r="B127" i="143"/>
  <c r="A127" i="143"/>
  <c r="B126" i="143"/>
  <c r="A126" i="143"/>
  <c r="B125" i="143"/>
  <c r="A125" i="143"/>
  <c r="B124" i="143"/>
  <c r="A124" i="143"/>
  <c r="B123" i="143"/>
  <c r="A123" i="143"/>
  <c r="B122" i="143"/>
  <c r="A122" i="143"/>
  <c r="B121" i="143"/>
  <c r="A121" i="143"/>
  <c r="B120" i="143"/>
  <c r="A120" i="143"/>
  <c r="B119" i="143"/>
  <c r="A119" i="143"/>
  <c r="B118" i="143"/>
  <c r="A118" i="143"/>
  <c r="B117" i="143"/>
  <c r="A117" i="143"/>
  <c r="B116" i="143"/>
  <c r="A116" i="143"/>
  <c r="B115" i="143"/>
  <c r="A115" i="143"/>
  <c r="B114" i="143"/>
  <c r="A114" i="143"/>
  <c r="B113" i="143"/>
  <c r="A113" i="143"/>
  <c r="B112" i="143"/>
  <c r="A112" i="143"/>
  <c r="B111" i="143"/>
  <c r="A111" i="143"/>
  <c r="B110" i="143"/>
  <c r="A110" i="143"/>
  <c r="B109" i="143"/>
  <c r="A109" i="143"/>
  <c r="B108" i="143"/>
  <c r="A108" i="143"/>
  <c r="B107" i="143"/>
  <c r="A107" i="143"/>
  <c r="B106" i="143"/>
  <c r="A106" i="143"/>
  <c r="B105" i="143"/>
  <c r="A105" i="143"/>
  <c r="B104" i="143"/>
  <c r="A104" i="143"/>
  <c r="B103" i="143"/>
  <c r="A103" i="143"/>
  <c r="B102" i="143"/>
  <c r="A102" i="143"/>
  <c r="B101" i="143"/>
  <c r="A101" i="143"/>
  <c r="B100" i="143"/>
  <c r="A100" i="143"/>
  <c r="B99" i="143"/>
  <c r="A99" i="143"/>
  <c r="B98" i="143"/>
  <c r="A98" i="143"/>
  <c r="B97" i="143"/>
  <c r="A97" i="143"/>
  <c r="B96" i="143"/>
  <c r="A96" i="143"/>
  <c r="B95" i="143"/>
  <c r="A95" i="143"/>
  <c r="B94" i="143"/>
  <c r="A94" i="143"/>
  <c r="B93" i="143"/>
  <c r="A93" i="143"/>
  <c r="B92" i="143"/>
  <c r="A92" i="143"/>
  <c r="B91" i="143"/>
  <c r="A91" i="143"/>
  <c r="B90" i="143"/>
  <c r="A90" i="143"/>
  <c r="B89" i="143"/>
  <c r="A89" i="143"/>
  <c r="B88" i="143"/>
  <c r="A88" i="143"/>
  <c r="B87" i="143"/>
  <c r="A87" i="143"/>
  <c r="B86" i="143"/>
  <c r="A86" i="143"/>
  <c r="B85" i="143"/>
  <c r="A85" i="143"/>
  <c r="B84" i="143"/>
  <c r="A84" i="143"/>
  <c r="B83" i="143"/>
  <c r="A83" i="143"/>
  <c r="B82" i="143"/>
  <c r="A82" i="143"/>
  <c r="B81" i="143"/>
  <c r="A81" i="143"/>
  <c r="B80" i="143"/>
  <c r="A80" i="143"/>
  <c r="B79" i="143"/>
  <c r="A79" i="143"/>
  <c r="B78" i="143"/>
  <c r="A78" i="143"/>
  <c r="B77" i="143"/>
  <c r="A77" i="143"/>
  <c r="B76" i="143"/>
  <c r="A76" i="143"/>
  <c r="B75" i="143"/>
  <c r="A75" i="143"/>
  <c r="B74" i="143"/>
  <c r="A74" i="143"/>
  <c r="B73" i="143"/>
  <c r="A73" i="143"/>
  <c r="B72" i="143"/>
  <c r="A72" i="143"/>
  <c r="B71" i="143"/>
  <c r="A71" i="143"/>
  <c r="B70" i="143"/>
  <c r="A70" i="143"/>
  <c r="B69" i="143"/>
  <c r="A69" i="143"/>
  <c r="B68" i="143"/>
  <c r="A68" i="143"/>
  <c r="B67" i="143"/>
  <c r="A67" i="143"/>
  <c r="B66" i="143"/>
  <c r="A66" i="143"/>
  <c r="B65" i="143"/>
  <c r="A65" i="143"/>
  <c r="B64" i="143"/>
  <c r="A64" i="143"/>
  <c r="B63" i="143"/>
  <c r="A63" i="143"/>
  <c r="B62" i="143"/>
  <c r="A62" i="143"/>
  <c r="B61" i="143"/>
  <c r="A61" i="143"/>
  <c r="B60" i="143"/>
  <c r="A60" i="143"/>
  <c r="B59" i="143"/>
  <c r="A59" i="143"/>
  <c r="B58" i="143"/>
  <c r="A58" i="143"/>
  <c r="B57" i="143"/>
  <c r="A57" i="143"/>
  <c r="B56" i="143"/>
  <c r="A56" i="143"/>
  <c r="B55" i="143"/>
  <c r="A55" i="143"/>
  <c r="B54" i="143"/>
  <c r="A54" i="143"/>
  <c r="B53" i="143"/>
  <c r="A53" i="143"/>
  <c r="B52" i="143"/>
  <c r="A52" i="143"/>
  <c r="B51" i="143"/>
  <c r="A51" i="143"/>
  <c r="B50" i="143"/>
  <c r="A50" i="143"/>
  <c r="B49" i="143"/>
  <c r="A49" i="143"/>
  <c r="B48" i="143"/>
  <c r="A48" i="143"/>
  <c r="B47" i="143"/>
  <c r="A47" i="143"/>
  <c r="B46" i="143"/>
  <c r="A46" i="143"/>
  <c r="B45" i="143"/>
  <c r="A45" i="143"/>
  <c r="B44" i="143"/>
  <c r="A44" i="143"/>
  <c r="B43" i="143"/>
  <c r="A43" i="143"/>
  <c r="B42" i="143"/>
  <c r="A42" i="143"/>
  <c r="B41" i="143"/>
  <c r="A41" i="143"/>
  <c r="B40" i="143"/>
  <c r="A40" i="143"/>
  <c r="B39" i="143"/>
  <c r="A39" i="143"/>
  <c r="B38" i="143"/>
  <c r="A38" i="143"/>
  <c r="B37" i="143"/>
  <c r="A37" i="143"/>
  <c r="B36" i="143"/>
  <c r="A36" i="143"/>
  <c r="B35" i="143"/>
  <c r="A35" i="143"/>
  <c r="B34" i="143"/>
  <c r="A34" i="143"/>
  <c r="B33" i="143"/>
  <c r="A33" i="143"/>
  <c r="B32" i="143"/>
  <c r="A32" i="143"/>
  <c r="B31" i="143"/>
  <c r="A31" i="143"/>
  <c r="B30" i="143"/>
  <c r="A30" i="143"/>
  <c r="B29" i="143"/>
  <c r="A29" i="143"/>
  <c r="B28" i="143"/>
  <c r="A28" i="143"/>
  <c r="B27" i="143"/>
  <c r="A27" i="143"/>
  <c r="B26" i="143"/>
  <c r="A26" i="143"/>
  <c r="B25" i="143"/>
  <c r="A25" i="143"/>
  <c r="B24" i="143"/>
  <c r="A24" i="143"/>
  <c r="A23" i="143"/>
  <c r="A22" i="143"/>
  <c r="A21" i="143"/>
  <c r="A20" i="143"/>
  <c r="A19" i="143"/>
  <c r="A18" i="143"/>
  <c r="A17" i="143"/>
  <c r="A16" i="143"/>
  <c r="A15" i="143"/>
  <c r="A14" i="143"/>
  <c r="A13" i="143"/>
  <c r="A12" i="143"/>
  <c r="A11" i="143"/>
  <c r="A10" i="143"/>
  <c r="A9" i="143"/>
  <c r="A8" i="143"/>
  <c r="A7" i="143"/>
  <c r="A6" i="143"/>
  <c r="A5" i="143"/>
  <c r="A4" i="143"/>
  <c r="G3" i="143"/>
  <c r="G4" i="143" s="1"/>
  <c r="G5" i="143" s="1"/>
  <c r="G6" i="143" s="1"/>
  <c r="G7" i="143" s="1"/>
  <c r="G8" i="143" s="1"/>
  <c r="G9" i="143" s="1"/>
  <c r="G10" i="143" s="1"/>
  <c r="G11" i="143" s="1"/>
  <c r="G12" i="143" s="1"/>
  <c r="G13" i="143" s="1"/>
  <c r="G14" i="143" s="1"/>
  <c r="G15" i="143" s="1"/>
  <c r="G16" i="143" s="1"/>
  <c r="G17" i="143" s="1"/>
  <c r="G18" i="143" s="1"/>
  <c r="G19" i="143" s="1"/>
  <c r="G20" i="143" s="1"/>
  <c r="G21" i="143" s="1"/>
  <c r="G22" i="143" s="1"/>
  <c r="G23" i="143" s="1"/>
  <c r="G24" i="143" s="1"/>
  <c r="G25" i="143" s="1"/>
  <c r="G26" i="143" s="1"/>
  <c r="G27" i="143" s="1"/>
  <c r="G28" i="143" s="1"/>
  <c r="G29" i="143" s="1"/>
  <c r="G30" i="143" s="1"/>
  <c r="G31" i="143" s="1"/>
  <c r="G32" i="143" s="1"/>
  <c r="G33" i="143" s="1"/>
  <c r="G34" i="143" s="1"/>
  <c r="G35" i="143" s="1"/>
  <c r="G36" i="143" s="1"/>
  <c r="G37" i="143" s="1"/>
  <c r="G38" i="143" s="1"/>
  <c r="G39" i="143" s="1"/>
  <c r="G40" i="143" s="1"/>
  <c r="G41" i="143" s="1"/>
  <c r="G42" i="143" s="1"/>
  <c r="G43" i="143" s="1"/>
  <c r="G44" i="143" s="1"/>
  <c r="G45" i="143" s="1"/>
  <c r="G46" i="143" s="1"/>
  <c r="G47" i="143" s="1"/>
  <c r="G48" i="143" s="1"/>
  <c r="G49" i="143" s="1"/>
  <c r="G50" i="143" s="1"/>
  <c r="G51" i="143" s="1"/>
  <c r="G52" i="143" s="1"/>
  <c r="G53" i="143" s="1"/>
  <c r="G54" i="143" s="1"/>
  <c r="G55" i="143" s="1"/>
  <c r="G56" i="143" s="1"/>
  <c r="G57" i="143" s="1"/>
  <c r="G58" i="143" s="1"/>
  <c r="G59" i="143" s="1"/>
  <c r="G60" i="143" s="1"/>
  <c r="G61" i="143" s="1"/>
  <c r="G62" i="143" s="1"/>
  <c r="G63" i="143" s="1"/>
  <c r="G64" i="143" s="1"/>
  <c r="G65" i="143" s="1"/>
  <c r="G66" i="143" s="1"/>
  <c r="G67" i="143" s="1"/>
  <c r="G68" i="143" s="1"/>
  <c r="G69" i="143" s="1"/>
  <c r="G70" i="143" s="1"/>
  <c r="G71" i="143" s="1"/>
  <c r="G72" i="143" s="1"/>
  <c r="G73" i="143" s="1"/>
  <c r="G74" i="143" s="1"/>
  <c r="G75" i="143" s="1"/>
  <c r="G76" i="143" s="1"/>
  <c r="G77" i="143" s="1"/>
  <c r="G78" i="143" s="1"/>
  <c r="G79" i="143" s="1"/>
  <c r="G80" i="143" s="1"/>
  <c r="G81" i="143" s="1"/>
  <c r="G82" i="143" s="1"/>
  <c r="G83" i="143" s="1"/>
  <c r="G84" i="143" s="1"/>
  <c r="G85" i="143" s="1"/>
  <c r="G86" i="143" s="1"/>
  <c r="G87" i="143" s="1"/>
  <c r="G88" i="143" s="1"/>
  <c r="G89" i="143" s="1"/>
  <c r="G90" i="143" s="1"/>
  <c r="G91" i="143" s="1"/>
  <c r="G92" i="143" s="1"/>
  <c r="G93" i="143" s="1"/>
  <c r="G94" i="143" s="1"/>
  <c r="G95" i="143" s="1"/>
  <c r="G96" i="143" s="1"/>
  <c r="G97" i="143" s="1"/>
  <c r="G98" i="143" s="1"/>
  <c r="G99" i="143" s="1"/>
  <c r="G100" i="143" s="1"/>
  <c r="G101" i="143" s="1"/>
  <c r="G102" i="143" s="1"/>
  <c r="G103" i="143" s="1"/>
  <c r="G104" i="143" s="1"/>
  <c r="G105" i="143" s="1"/>
  <c r="G106" i="143" s="1"/>
  <c r="G107" i="143" s="1"/>
  <c r="G108" i="143" s="1"/>
  <c r="G109" i="143" s="1"/>
  <c r="G110" i="143" s="1"/>
  <c r="G111" i="143" s="1"/>
  <c r="G112" i="143" s="1"/>
  <c r="G113" i="143" s="1"/>
  <c r="G114" i="143" s="1"/>
  <c r="G115" i="143" s="1"/>
  <c r="G116" i="143" s="1"/>
  <c r="G117" i="143" s="1"/>
  <c r="G118" i="143" s="1"/>
  <c r="G119" i="143" s="1"/>
  <c r="G120" i="143" s="1"/>
  <c r="G121" i="143" s="1"/>
  <c r="G122" i="143" s="1"/>
  <c r="G123" i="143" s="1"/>
  <c r="G124" i="143" s="1"/>
  <c r="G125" i="143" s="1"/>
  <c r="G126" i="143" s="1"/>
  <c r="G127" i="143" s="1"/>
  <c r="G128" i="143" s="1"/>
  <c r="G129" i="143" s="1"/>
  <c r="G130" i="143" s="1"/>
  <c r="G131" i="143" s="1"/>
  <c r="G132" i="143" s="1"/>
  <c r="G133" i="143" s="1"/>
  <c r="G134" i="143" s="1"/>
  <c r="G135" i="143" s="1"/>
  <c r="G136" i="143" s="1"/>
  <c r="G137" i="143" s="1"/>
  <c r="G138" i="143" s="1"/>
  <c r="G139" i="143" s="1"/>
  <c r="G140" i="143" s="1"/>
  <c r="G141" i="143" s="1"/>
  <c r="G142" i="143" s="1"/>
  <c r="G143" i="143" s="1"/>
  <c r="G144" i="143" s="1"/>
  <c r="G145" i="143" s="1"/>
  <c r="G146" i="143" s="1"/>
  <c r="G147" i="143" s="1"/>
  <c r="G148" i="143" s="1"/>
  <c r="G149" i="143" s="1"/>
  <c r="G150" i="143" s="1"/>
  <c r="G151" i="143" s="1"/>
  <c r="G152" i="143" s="1"/>
  <c r="G153" i="143" s="1"/>
  <c r="G154" i="143" s="1"/>
  <c r="G155" i="143" s="1"/>
  <c r="G156" i="143" s="1"/>
  <c r="G157" i="143" s="1"/>
  <c r="G158" i="143" s="1"/>
  <c r="G159" i="143" s="1"/>
  <c r="G160" i="143" s="1"/>
  <c r="G161" i="143" s="1"/>
  <c r="G162" i="143" s="1"/>
  <c r="G163" i="143" s="1"/>
  <c r="G164" i="143" s="1"/>
  <c r="G165" i="143" s="1"/>
  <c r="G166" i="143" s="1"/>
  <c r="G167" i="143" s="1"/>
  <c r="G168" i="143" s="1"/>
  <c r="G169" i="143" s="1"/>
  <c r="G170" i="143" s="1"/>
  <c r="G171" i="143" s="1"/>
  <c r="G172" i="143" s="1"/>
  <c r="G173" i="143" s="1"/>
  <c r="G174" i="143" s="1"/>
  <c r="G175" i="143" s="1"/>
  <c r="G176" i="143" s="1"/>
  <c r="G177" i="143" s="1"/>
  <c r="G178" i="143" s="1"/>
  <c r="G179" i="143" s="1"/>
  <c r="G180" i="143" s="1"/>
  <c r="G181" i="143" s="1"/>
  <c r="G182" i="143" s="1"/>
  <c r="G183" i="143" s="1"/>
  <c r="G184" i="143" s="1"/>
  <c r="G185" i="143" s="1"/>
  <c r="G186" i="143" s="1"/>
  <c r="G187" i="143" s="1"/>
  <c r="G188" i="143" s="1"/>
  <c r="G189" i="143" s="1"/>
  <c r="G190" i="143" s="1"/>
  <c r="G191" i="143" s="1"/>
  <c r="G192" i="143" s="1"/>
  <c r="G193" i="143" s="1"/>
  <c r="G194" i="143" s="1"/>
  <c r="G195" i="143" s="1"/>
  <c r="G196" i="143" s="1"/>
  <c r="G197" i="143" s="1"/>
  <c r="G198" i="143" s="1"/>
  <c r="G199" i="143" s="1"/>
  <c r="G200" i="143" s="1"/>
  <c r="G201" i="143" s="1"/>
  <c r="G202" i="143" s="1"/>
  <c r="G203" i="143" s="1"/>
  <c r="G204" i="143" s="1"/>
  <c r="G205" i="143" s="1"/>
  <c r="G206" i="143" s="1"/>
  <c r="G207" i="143" s="1"/>
  <c r="G208" i="143" s="1"/>
  <c r="G209" i="143" s="1"/>
  <c r="G210" i="143" s="1"/>
  <c r="G211" i="143" s="1"/>
  <c r="G212" i="143" s="1"/>
  <c r="G213" i="143" s="1"/>
  <c r="G214" i="143" s="1"/>
  <c r="G215" i="143" s="1"/>
  <c r="G216" i="143" s="1"/>
  <c r="G217" i="143" s="1"/>
  <c r="G218" i="143" s="1"/>
  <c r="G219" i="143" s="1"/>
  <c r="G220" i="143" s="1"/>
  <c r="G221" i="143" s="1"/>
  <c r="G222" i="143" s="1"/>
  <c r="G223" i="143" s="1"/>
  <c r="G224" i="143" s="1"/>
  <c r="G225" i="143" s="1"/>
  <c r="G226" i="143" s="1"/>
  <c r="G227" i="143" s="1"/>
  <c r="G228" i="143" s="1"/>
  <c r="G229" i="143" s="1"/>
  <c r="G230" i="143" s="1"/>
  <c r="G231" i="143" s="1"/>
  <c r="G232" i="143" s="1"/>
  <c r="G233" i="143" s="1"/>
  <c r="G234" i="143" s="1"/>
  <c r="G235" i="143" s="1"/>
  <c r="G236" i="143" s="1"/>
  <c r="G237" i="143" s="1"/>
  <c r="G238" i="143" s="1"/>
  <c r="G239" i="143" s="1"/>
  <c r="G240" i="143" s="1"/>
  <c r="G241" i="143" s="1"/>
  <c r="G242" i="143" s="1"/>
  <c r="G243" i="143" s="1"/>
  <c r="G244" i="143" s="1"/>
  <c r="G245" i="143" s="1"/>
  <c r="G246" i="143" s="1"/>
  <c r="G247" i="143" s="1"/>
  <c r="G248" i="143" s="1"/>
  <c r="G249" i="143" s="1"/>
  <c r="G250" i="143" s="1"/>
  <c r="G251" i="143" s="1"/>
  <c r="G252" i="143" s="1"/>
  <c r="G253" i="143" s="1"/>
  <c r="G254" i="143" s="1"/>
  <c r="G255" i="143" s="1"/>
  <c r="G256" i="143" s="1"/>
  <c r="G257" i="143" s="1"/>
  <c r="G258" i="143" s="1"/>
  <c r="G259" i="143" s="1"/>
  <c r="G260" i="143" s="1"/>
  <c r="G261" i="143" s="1"/>
  <c r="G262" i="143" s="1"/>
  <c r="G263" i="143" s="1"/>
  <c r="G264" i="143" s="1"/>
  <c r="G265" i="143" s="1"/>
  <c r="G266" i="143" s="1"/>
  <c r="G267" i="143" s="1"/>
  <c r="G268" i="143" s="1"/>
  <c r="G269" i="143" s="1"/>
  <c r="G270" i="143" s="1"/>
  <c r="G271" i="143" s="1"/>
  <c r="G272" i="143" s="1"/>
  <c r="G273" i="143" s="1"/>
  <c r="G274" i="143" s="1"/>
  <c r="G275" i="143" s="1"/>
  <c r="G276" i="143" s="1"/>
  <c r="G277" i="143" s="1"/>
  <c r="G278" i="143" s="1"/>
  <c r="G279" i="143" s="1"/>
  <c r="G280" i="143" s="1"/>
  <c r="G281" i="143" s="1"/>
  <c r="G282" i="143" s="1"/>
  <c r="G283" i="143" s="1"/>
  <c r="G284" i="143" s="1"/>
  <c r="G285" i="143" s="1"/>
  <c r="G286" i="143" s="1"/>
  <c r="G287" i="143" s="1"/>
  <c r="G288" i="143" s="1"/>
  <c r="G289" i="143" s="1"/>
  <c r="G290" i="143" s="1"/>
  <c r="G291" i="143" s="1"/>
  <c r="G292" i="143" s="1"/>
  <c r="G293" i="143" s="1"/>
  <c r="G294" i="143" s="1"/>
  <c r="G295" i="143" s="1"/>
  <c r="G296" i="143" s="1"/>
  <c r="G297" i="143" s="1"/>
  <c r="G298" i="143" s="1"/>
  <c r="G299" i="143" s="1"/>
  <c r="G300" i="143" s="1"/>
  <c r="G301" i="143" s="1"/>
  <c r="G302" i="143" s="1"/>
  <c r="G303" i="143" s="1"/>
  <c r="A3" i="143"/>
  <c r="E944" i="140" l="1"/>
  <c r="E966" i="140" s="1"/>
  <c r="E896" i="140"/>
  <c r="E925" i="140" s="1"/>
  <c r="E885" i="140"/>
  <c r="E864" i="140"/>
  <c r="E861" i="140"/>
  <c r="E859" i="140"/>
  <c r="E857" i="140"/>
  <c r="E839" i="140"/>
  <c r="E816" i="140"/>
  <c r="E811" i="140"/>
  <c r="E803" i="140"/>
  <c r="E801" i="140"/>
  <c r="E800" i="140"/>
  <c r="E788" i="140"/>
  <c r="E754" i="140"/>
  <c r="E733" i="140"/>
  <c r="E731" i="140"/>
  <c r="E730" i="140"/>
  <c r="E716" i="140"/>
  <c r="E704" i="140"/>
  <c r="E691" i="140"/>
  <c r="E689" i="140"/>
  <c r="E688" i="140"/>
  <c r="E674" i="140"/>
  <c r="E632" i="140"/>
  <c r="E630" i="140"/>
  <c r="E629" i="140"/>
  <c r="E581" i="140"/>
  <c r="E580" i="140"/>
  <c r="E579" i="140"/>
  <c r="E553" i="140"/>
  <c r="E552" i="140"/>
  <c r="E551" i="140"/>
  <c r="E538" i="140"/>
  <c r="E537" i="140"/>
  <c r="E536" i="140"/>
  <c r="E532" i="140"/>
  <c r="E531" i="140"/>
  <c r="E491" i="140"/>
  <c r="E488" i="140"/>
  <c r="E487" i="140"/>
  <c r="E486" i="140"/>
  <c r="E474" i="140"/>
  <c r="E455" i="140"/>
  <c r="E444" i="140"/>
  <c r="E443" i="140"/>
  <c r="E439" i="140"/>
  <c r="E427" i="140"/>
  <c r="E390" i="140"/>
  <c r="E388" i="140"/>
  <c r="E360" i="140"/>
  <c r="E351" i="140"/>
  <c r="E343" i="140"/>
  <c r="E317" i="140"/>
  <c r="E314" i="140"/>
  <c r="E312" i="140"/>
  <c r="E310" i="140"/>
  <c r="D297" i="140"/>
  <c r="E280" i="140"/>
  <c r="E274" i="140"/>
  <c r="E267" i="140"/>
  <c r="E236" i="140"/>
  <c r="E230" i="140"/>
  <c r="E228" i="140"/>
  <c r="E227" i="140"/>
  <c r="E225" i="140"/>
  <c r="E223" i="140"/>
  <c r="E222" i="140"/>
  <c r="E219" i="140"/>
  <c r="E193" i="140"/>
  <c r="E192" i="140"/>
  <c r="E190" i="140"/>
  <c r="E186" i="140"/>
  <c r="E179" i="140"/>
  <c r="E178" i="140"/>
  <c r="E146" i="140"/>
  <c r="E144" i="140"/>
  <c r="E142" i="140"/>
  <c r="E141" i="140"/>
  <c r="E140" i="140"/>
  <c r="E138" i="140"/>
  <c r="E108" i="140"/>
  <c r="E106" i="140"/>
  <c r="E105" i="140"/>
  <c r="E104" i="140"/>
  <c r="E102" i="140"/>
  <c r="E97" i="140"/>
  <c r="E66" i="140"/>
  <c r="E55" i="140"/>
  <c r="E53" i="140"/>
  <c r="E52" i="140"/>
  <c r="E19" i="140"/>
  <c r="E18" i="140"/>
  <c r="E14" i="140"/>
  <c r="E11" i="140"/>
  <c r="DX145" i="139"/>
  <c r="AH145" i="139"/>
  <c r="AG145" i="139"/>
  <c r="AB145" i="139"/>
  <c r="AA145" i="139"/>
  <c r="Z145" i="139"/>
  <c r="Y145" i="139"/>
  <c r="X145" i="139"/>
  <c r="W145" i="139"/>
  <c r="T145" i="139"/>
  <c r="S145" i="139"/>
  <c r="R145" i="139"/>
  <c r="Q145" i="139"/>
  <c r="P145" i="139"/>
  <c r="O145" i="139"/>
  <c r="N145" i="139"/>
  <c r="M145" i="139"/>
  <c r="L145" i="139"/>
  <c r="K145" i="139"/>
  <c r="J145" i="139"/>
  <c r="I145" i="139"/>
  <c r="F145" i="139"/>
  <c r="G145" i="139" s="1"/>
  <c r="DX138" i="139"/>
  <c r="DZ138" i="139" s="1"/>
  <c r="AH138" i="139"/>
  <c r="AG138" i="139"/>
  <c r="AB138" i="139"/>
  <c r="AA138" i="139"/>
  <c r="Z138" i="139"/>
  <c r="Y138" i="139"/>
  <c r="X138" i="139"/>
  <c r="W138" i="139"/>
  <c r="T138" i="139"/>
  <c r="S138" i="139"/>
  <c r="R138" i="139"/>
  <c r="Q138" i="139"/>
  <c r="P138" i="139"/>
  <c r="O138" i="139"/>
  <c r="N138" i="139"/>
  <c r="M138" i="139"/>
  <c r="L138" i="139"/>
  <c r="K138" i="139"/>
  <c r="J138" i="139"/>
  <c r="I138" i="139"/>
  <c r="F138" i="139"/>
  <c r="G138" i="139" s="1"/>
  <c r="T133" i="139"/>
  <c r="U133" i="139" s="1"/>
  <c r="DX132" i="139"/>
  <c r="DZ132" i="139" s="1"/>
  <c r="AH132" i="139"/>
  <c r="AG132" i="139"/>
  <c r="AB132" i="139"/>
  <c r="AA132" i="139"/>
  <c r="Z132" i="139"/>
  <c r="Y132" i="139"/>
  <c r="X132" i="139"/>
  <c r="W132" i="139"/>
  <c r="S132" i="139"/>
  <c r="R132" i="139"/>
  <c r="Q132" i="139"/>
  <c r="P132" i="139"/>
  <c r="O132" i="139"/>
  <c r="N132" i="139"/>
  <c r="M132" i="139"/>
  <c r="L132" i="139"/>
  <c r="K132" i="139"/>
  <c r="J132" i="139"/>
  <c r="I132" i="139"/>
  <c r="F132" i="139"/>
  <c r="G132" i="139" s="1"/>
  <c r="W130" i="139"/>
  <c r="T130" i="139"/>
  <c r="U130" i="139" s="1"/>
  <c r="DX129" i="139"/>
  <c r="DZ129" i="139" s="1"/>
  <c r="AH129" i="139"/>
  <c r="AG129" i="139"/>
  <c r="AB129" i="139"/>
  <c r="AA129" i="139"/>
  <c r="Z129" i="139"/>
  <c r="Y129" i="139"/>
  <c r="X129" i="139"/>
  <c r="S129" i="139"/>
  <c r="R129" i="139"/>
  <c r="Q129" i="139"/>
  <c r="P129" i="139"/>
  <c r="O129" i="139"/>
  <c r="N129" i="139"/>
  <c r="M129" i="139"/>
  <c r="L129" i="139"/>
  <c r="K129" i="139"/>
  <c r="J129" i="139"/>
  <c r="I129" i="139"/>
  <c r="F129" i="139"/>
  <c r="G129" i="139" s="1"/>
  <c r="DX123" i="139"/>
  <c r="DZ123" i="139" s="1"/>
  <c r="AH123" i="139"/>
  <c r="AG123" i="139"/>
  <c r="AB123" i="139"/>
  <c r="AA123" i="139"/>
  <c r="Z123" i="139"/>
  <c r="Y123" i="139"/>
  <c r="X123" i="139"/>
  <c r="W123" i="139"/>
  <c r="T123" i="139"/>
  <c r="S123" i="139"/>
  <c r="R123" i="139"/>
  <c r="Q123" i="139"/>
  <c r="P123" i="139"/>
  <c r="O123" i="139"/>
  <c r="N123" i="139"/>
  <c r="M123" i="139"/>
  <c r="L123" i="139"/>
  <c r="K123" i="139"/>
  <c r="J123" i="139"/>
  <c r="I123" i="139"/>
  <c r="F123" i="139"/>
  <c r="G123" i="139" s="1"/>
  <c r="DX113" i="139"/>
  <c r="DZ113" i="139" s="1"/>
  <c r="AH113" i="139"/>
  <c r="AG113" i="139"/>
  <c r="AB113" i="139"/>
  <c r="AA113" i="139"/>
  <c r="Z113" i="139"/>
  <c r="Y113" i="139"/>
  <c r="X113" i="139"/>
  <c r="W113" i="139"/>
  <c r="T113" i="139"/>
  <c r="S113" i="139"/>
  <c r="R113" i="139"/>
  <c r="Q113" i="139"/>
  <c r="P113" i="139"/>
  <c r="O113" i="139"/>
  <c r="N113" i="139"/>
  <c r="M113" i="139"/>
  <c r="L113" i="139"/>
  <c r="K113" i="139"/>
  <c r="J113" i="139"/>
  <c r="I113" i="139"/>
  <c r="F113" i="139"/>
  <c r="G113" i="139" s="1"/>
  <c r="DX108" i="139"/>
  <c r="DZ108" i="139" s="1"/>
  <c r="AH108" i="139"/>
  <c r="AG108" i="139"/>
  <c r="AB108" i="139"/>
  <c r="AA108" i="139"/>
  <c r="Z108" i="139"/>
  <c r="Y108" i="139"/>
  <c r="X108" i="139"/>
  <c r="W108" i="139"/>
  <c r="T108" i="139"/>
  <c r="R108" i="139"/>
  <c r="Q108" i="139"/>
  <c r="P108" i="139"/>
  <c r="O108" i="139"/>
  <c r="N108" i="139"/>
  <c r="M108" i="139"/>
  <c r="L108" i="139"/>
  <c r="K108" i="139"/>
  <c r="J108" i="139"/>
  <c r="I108" i="139"/>
  <c r="F108" i="139"/>
  <c r="G108" i="139" s="1"/>
  <c r="DX97" i="139"/>
  <c r="DZ97" i="139" s="1"/>
  <c r="AH97" i="139"/>
  <c r="AG97" i="139"/>
  <c r="AB97" i="139"/>
  <c r="AA97" i="139"/>
  <c r="Z97" i="139"/>
  <c r="Y97" i="139"/>
  <c r="X97" i="139"/>
  <c r="W97" i="139"/>
  <c r="T97" i="139"/>
  <c r="S97" i="139"/>
  <c r="R97" i="139"/>
  <c r="Q97" i="139"/>
  <c r="P97" i="139"/>
  <c r="O97" i="139"/>
  <c r="N97" i="139"/>
  <c r="M97" i="139"/>
  <c r="L97" i="139"/>
  <c r="K97" i="139"/>
  <c r="J97" i="139"/>
  <c r="I97" i="139"/>
  <c r="F97" i="139"/>
  <c r="G97" i="139" s="1"/>
  <c r="L96" i="139"/>
  <c r="DX95" i="139"/>
  <c r="DZ95" i="139" s="1"/>
  <c r="AH95" i="139"/>
  <c r="AG95" i="139"/>
  <c r="AB95" i="139"/>
  <c r="AA95" i="139"/>
  <c r="Z95" i="139"/>
  <c r="Y95" i="139"/>
  <c r="X95" i="139"/>
  <c r="W95" i="139"/>
  <c r="T95" i="139"/>
  <c r="S95" i="139"/>
  <c r="R95" i="139"/>
  <c r="Q95" i="139"/>
  <c r="P95" i="139"/>
  <c r="O95" i="139"/>
  <c r="N95" i="139"/>
  <c r="M95" i="139"/>
  <c r="K95" i="139"/>
  <c r="J95" i="139"/>
  <c r="I95" i="139"/>
  <c r="F95" i="139"/>
  <c r="G95" i="139" s="1"/>
  <c r="DX92" i="139"/>
  <c r="DZ92" i="139" s="1"/>
  <c r="AH92" i="139"/>
  <c r="AG92" i="139"/>
  <c r="AB92" i="139"/>
  <c r="AA92" i="139"/>
  <c r="Z92" i="139"/>
  <c r="Y92" i="139"/>
  <c r="X92" i="139"/>
  <c r="W92" i="139"/>
  <c r="T92" i="139"/>
  <c r="S92" i="139"/>
  <c r="R92" i="139"/>
  <c r="Q92" i="139"/>
  <c r="P92" i="139"/>
  <c r="O92" i="139"/>
  <c r="N92" i="139"/>
  <c r="M92" i="139"/>
  <c r="L92" i="139"/>
  <c r="K92" i="139"/>
  <c r="J92" i="139"/>
  <c r="I92" i="139"/>
  <c r="F92" i="139"/>
  <c r="G92" i="139" s="1"/>
  <c r="DX89" i="139"/>
  <c r="DZ89" i="139" s="1"/>
  <c r="AH89" i="139"/>
  <c r="AG89" i="139"/>
  <c r="AB89" i="139"/>
  <c r="AA89" i="139"/>
  <c r="Z89" i="139"/>
  <c r="Y89" i="139"/>
  <c r="X89" i="139"/>
  <c r="W89" i="139"/>
  <c r="T89" i="139"/>
  <c r="S89" i="139"/>
  <c r="R89" i="139"/>
  <c r="Q89" i="139"/>
  <c r="P89" i="139"/>
  <c r="O89" i="139"/>
  <c r="N89" i="139"/>
  <c r="M89" i="139"/>
  <c r="L89" i="139"/>
  <c r="K89" i="139"/>
  <c r="J89" i="139"/>
  <c r="I89" i="139"/>
  <c r="F89" i="139"/>
  <c r="G89" i="139" s="1"/>
  <c r="DX87" i="139"/>
  <c r="DZ87" i="139" s="1"/>
  <c r="AH87" i="139"/>
  <c r="AG87" i="139"/>
  <c r="AB87" i="139"/>
  <c r="AA87" i="139"/>
  <c r="Z87" i="139"/>
  <c r="Y87" i="139"/>
  <c r="X87" i="139"/>
  <c r="W87" i="139"/>
  <c r="T87" i="139"/>
  <c r="S87" i="139"/>
  <c r="R87" i="139"/>
  <c r="Q87" i="139"/>
  <c r="P87" i="139"/>
  <c r="O87" i="139"/>
  <c r="N87" i="139"/>
  <c r="M87" i="139"/>
  <c r="L87" i="139"/>
  <c r="K87" i="139"/>
  <c r="J87" i="139"/>
  <c r="I87" i="139"/>
  <c r="F87" i="139"/>
  <c r="G87" i="139" s="1"/>
  <c r="W86" i="139"/>
  <c r="T86" i="139"/>
  <c r="U86" i="139" s="1"/>
  <c r="O85" i="139"/>
  <c r="DX80" i="139"/>
  <c r="DZ80" i="139" s="1"/>
  <c r="AH80" i="139"/>
  <c r="AG80" i="139"/>
  <c r="AB80" i="139"/>
  <c r="AA80" i="139"/>
  <c r="Z80" i="139"/>
  <c r="Y80" i="139"/>
  <c r="X80" i="139"/>
  <c r="S80" i="139"/>
  <c r="R80" i="139"/>
  <c r="Q80" i="139"/>
  <c r="P80" i="139"/>
  <c r="N80" i="139"/>
  <c r="M80" i="139"/>
  <c r="L80" i="139"/>
  <c r="K80" i="139"/>
  <c r="J80" i="139"/>
  <c r="I80" i="139"/>
  <c r="F80" i="139"/>
  <c r="G80" i="139" s="1"/>
  <c r="W79" i="139"/>
  <c r="T79" i="139"/>
  <c r="S79" i="139"/>
  <c r="S75" i="139" s="1"/>
  <c r="Q79" i="139"/>
  <c r="Q75" i="139" s="1"/>
  <c r="P79" i="139"/>
  <c r="P75" i="139" s="1"/>
  <c r="O79" i="139"/>
  <c r="O75" i="139" s="1"/>
  <c r="M79" i="139"/>
  <c r="M75" i="139" s="1"/>
  <c r="L79" i="139"/>
  <c r="K79" i="139"/>
  <c r="K75" i="139" s="1"/>
  <c r="I79" i="139"/>
  <c r="F79" i="139"/>
  <c r="L76" i="139"/>
  <c r="DX75" i="139"/>
  <c r="DZ75" i="139" s="1"/>
  <c r="AH75" i="139"/>
  <c r="AG75" i="139"/>
  <c r="AB75" i="139"/>
  <c r="AA75" i="139"/>
  <c r="Z75" i="139"/>
  <c r="Y75" i="139"/>
  <c r="X75" i="139"/>
  <c r="R75" i="139"/>
  <c r="N75" i="139"/>
  <c r="J75" i="139"/>
  <c r="S65" i="139"/>
  <c r="DX63" i="139"/>
  <c r="DZ63" i="139" s="1"/>
  <c r="AH63" i="139"/>
  <c r="AG63" i="139"/>
  <c r="AB63" i="139"/>
  <c r="AA63" i="139"/>
  <c r="Z63" i="139"/>
  <c r="Y63" i="139"/>
  <c r="X63" i="139"/>
  <c r="W63" i="139"/>
  <c r="T63" i="139"/>
  <c r="R63" i="139"/>
  <c r="Q63" i="139"/>
  <c r="P63" i="139"/>
  <c r="O63" i="139"/>
  <c r="N63" i="139"/>
  <c r="M63" i="139"/>
  <c r="L63" i="139"/>
  <c r="K63" i="139"/>
  <c r="J63" i="139"/>
  <c r="I63" i="139"/>
  <c r="F63" i="139"/>
  <c r="G63" i="139" s="1"/>
  <c r="W57" i="139"/>
  <c r="T57" i="139"/>
  <c r="O57" i="139"/>
  <c r="DX57" i="139"/>
  <c r="DZ57" i="139" s="1"/>
  <c r="AH57" i="139"/>
  <c r="AG57" i="139"/>
  <c r="AB57" i="139"/>
  <c r="AA57" i="139"/>
  <c r="Z57" i="139"/>
  <c r="Y57" i="139"/>
  <c r="X57" i="139"/>
  <c r="S57" i="139"/>
  <c r="R57" i="139"/>
  <c r="Q57" i="139"/>
  <c r="P57" i="139"/>
  <c r="N57" i="139"/>
  <c r="M57" i="139"/>
  <c r="K57" i="139"/>
  <c r="J57" i="139"/>
  <c r="I57" i="139"/>
  <c r="F57" i="139"/>
  <c r="G57" i="139" s="1"/>
  <c r="DX50" i="139"/>
  <c r="DZ50" i="139" s="1"/>
  <c r="AH50" i="139"/>
  <c r="AG50" i="139"/>
  <c r="AB50" i="139"/>
  <c r="AA50" i="139"/>
  <c r="Z50" i="139"/>
  <c r="Y50" i="139"/>
  <c r="X50" i="139"/>
  <c r="W50" i="139"/>
  <c r="T50" i="139"/>
  <c r="S50" i="139"/>
  <c r="R50" i="139"/>
  <c r="Q50" i="139"/>
  <c r="P50" i="139"/>
  <c r="O50" i="139"/>
  <c r="N50" i="139"/>
  <c r="M50" i="139"/>
  <c r="L50" i="139"/>
  <c r="K50" i="139"/>
  <c r="J50" i="139"/>
  <c r="I50" i="139"/>
  <c r="F50" i="139"/>
  <c r="G50" i="139" s="1"/>
  <c r="DX48" i="139"/>
  <c r="DZ48" i="139" s="1"/>
  <c r="AH48" i="139"/>
  <c r="AG48" i="139"/>
  <c r="DX41" i="139"/>
  <c r="DZ41" i="139" s="1"/>
  <c r="AH41" i="139"/>
  <c r="AG41" i="139"/>
  <c r="AB41" i="139"/>
  <c r="AA41" i="139"/>
  <c r="Z41" i="139"/>
  <c r="Y41" i="139"/>
  <c r="X41" i="139"/>
  <c r="W41" i="139"/>
  <c r="T41" i="139"/>
  <c r="S41" i="139"/>
  <c r="R41" i="139"/>
  <c r="Q41" i="139"/>
  <c r="P41" i="139"/>
  <c r="O41" i="139"/>
  <c r="N41" i="139"/>
  <c r="M41" i="139"/>
  <c r="L41" i="139"/>
  <c r="K41" i="139"/>
  <c r="J41" i="139"/>
  <c r="I41" i="139"/>
  <c r="F41" i="139"/>
  <c r="G41" i="139" s="1"/>
  <c r="T40" i="139"/>
  <c r="U40" i="139" s="1"/>
  <c r="DX32" i="139"/>
  <c r="DZ32" i="139" s="1"/>
  <c r="AH32" i="139"/>
  <c r="AG32" i="139"/>
  <c r="AB32" i="139"/>
  <c r="AA32" i="139"/>
  <c r="Z32" i="139"/>
  <c r="Y32" i="139"/>
  <c r="X32" i="139"/>
  <c r="W32" i="139"/>
  <c r="S32" i="139"/>
  <c r="R32" i="139"/>
  <c r="Q32" i="139"/>
  <c r="P32" i="139"/>
  <c r="O32" i="139"/>
  <c r="N32" i="139"/>
  <c r="M32" i="139"/>
  <c r="L32" i="139"/>
  <c r="K32" i="139"/>
  <c r="J32" i="139"/>
  <c r="I32" i="139"/>
  <c r="F32" i="139"/>
  <c r="G32" i="139" s="1"/>
  <c r="X5" i="139"/>
  <c r="AI5" i="139" s="1"/>
  <c r="F5" i="139"/>
  <c r="DX4" i="139"/>
  <c r="AH4" i="139"/>
  <c r="AG4" i="139"/>
  <c r="AB4" i="139"/>
  <c r="AA4" i="139"/>
  <c r="Z4" i="139"/>
  <c r="Y4" i="139"/>
  <c r="W4" i="139"/>
  <c r="T4" i="139"/>
  <c r="S4" i="139"/>
  <c r="R4" i="139"/>
  <c r="Q4" i="139"/>
  <c r="P4" i="139"/>
  <c r="O4" i="139"/>
  <c r="N4" i="139"/>
  <c r="M4" i="139"/>
  <c r="L4" i="139"/>
  <c r="K4" i="139"/>
  <c r="J4" i="139"/>
  <c r="I4" i="139"/>
  <c r="DZ145" i="139" l="1"/>
  <c r="DZ4" i="139"/>
  <c r="D294" i="140"/>
  <c r="E372" i="140"/>
  <c r="T32" i="139"/>
  <c r="U32" i="139" s="1"/>
  <c r="U41" i="139"/>
  <c r="AI113" i="139"/>
  <c r="AI123" i="139"/>
  <c r="AI50" i="139"/>
  <c r="S63" i="139"/>
  <c r="U63" i="139" s="1"/>
  <c r="U65" i="139"/>
  <c r="U85" i="139"/>
  <c r="AI87" i="139"/>
  <c r="AI89" i="139"/>
  <c r="U112" i="139"/>
  <c r="AI132" i="139"/>
  <c r="U76" i="139"/>
  <c r="I75" i="139"/>
  <c r="U79" i="139"/>
  <c r="AI92" i="139"/>
  <c r="AI95" i="139"/>
  <c r="AI97" i="139"/>
  <c r="AI138" i="139"/>
  <c r="U145" i="139"/>
  <c r="AI41" i="139"/>
  <c r="W75" i="139"/>
  <c r="AI75" i="139" s="1"/>
  <c r="AI79" i="139"/>
  <c r="W80" i="139"/>
  <c r="AI80" i="139" s="1"/>
  <c r="AI86" i="139"/>
  <c r="U113" i="139"/>
  <c r="U123" i="139"/>
  <c r="W129" i="139"/>
  <c r="AI129" i="139" s="1"/>
  <c r="AI130" i="139"/>
  <c r="U4" i="139"/>
  <c r="U96" i="139"/>
  <c r="U50" i="139"/>
  <c r="AI57" i="139"/>
  <c r="U87" i="139"/>
  <c r="U89" i="139"/>
  <c r="AI32" i="139"/>
  <c r="AI63" i="139"/>
  <c r="U92" i="139"/>
  <c r="U97" i="139"/>
  <c r="AI108" i="139"/>
  <c r="U138" i="139"/>
  <c r="AI145" i="139"/>
  <c r="T129" i="139"/>
  <c r="U129" i="139" s="1"/>
  <c r="F75" i="139"/>
  <c r="G75" i="139" s="1"/>
  <c r="G79" i="139"/>
  <c r="T75" i="139"/>
  <c r="F4" i="139"/>
  <c r="G5" i="139"/>
  <c r="T80" i="139"/>
  <c r="S108" i="139"/>
  <c r="U108" i="139" s="1"/>
  <c r="D925" i="140"/>
  <c r="O80" i="139"/>
  <c r="E250" i="140"/>
  <c r="E470" i="140"/>
  <c r="AG25" i="139"/>
  <c r="AG152" i="139" s="1"/>
  <c r="DX25" i="139"/>
  <c r="DX152" i="139" s="1"/>
  <c r="DZ152" i="139" s="1"/>
  <c r="T132" i="139"/>
  <c r="U132" i="139" s="1"/>
  <c r="L75" i="139"/>
  <c r="D563" i="140"/>
  <c r="D612" i="140"/>
  <c r="AH25" i="139"/>
  <c r="AH152" i="139" s="1"/>
  <c r="D520" i="140"/>
  <c r="D204" i="140"/>
  <c r="E711" i="140"/>
  <c r="E783" i="140"/>
  <c r="E163" i="140"/>
  <c r="E612" i="140"/>
  <c r="E669" i="140"/>
  <c r="D35" i="140"/>
  <c r="E123" i="140"/>
  <c r="E327" i="140"/>
  <c r="D842" i="140"/>
  <c r="D163" i="140"/>
  <c r="D783" i="140"/>
  <c r="D123" i="140"/>
  <c r="E294" i="140"/>
  <c r="E563" i="140"/>
  <c r="E78" i="140"/>
  <c r="E204" i="140"/>
  <c r="E520" i="140"/>
  <c r="D711" i="140"/>
  <c r="E842" i="140"/>
  <c r="D78" i="140"/>
  <c r="E423" i="140"/>
  <c r="E892" i="140"/>
  <c r="D327" i="140"/>
  <c r="D470" i="140"/>
  <c r="L95" i="139"/>
  <c r="U95" i="139" s="1"/>
  <c r="D423" i="140"/>
  <c r="D892" i="140"/>
  <c r="L57" i="139"/>
  <c r="U57" i="139" s="1"/>
  <c r="X4" i="139"/>
  <c r="D669" i="140"/>
  <c r="D250" i="140"/>
  <c r="D372" i="140"/>
  <c r="D966" i="140"/>
  <c r="D96" i="139" l="1"/>
  <c r="D79" i="139"/>
  <c r="D148" i="139"/>
  <c r="BQ16" i="139" s="1"/>
  <c r="D35" i="139"/>
  <c r="D34" i="139"/>
  <c r="D121" i="139"/>
  <c r="D106" i="139"/>
  <c r="D83" i="139"/>
  <c r="D153" i="139"/>
  <c r="D151" i="139"/>
  <c r="D149" i="139"/>
  <c r="D120" i="139"/>
  <c r="D105" i="139"/>
  <c r="D73" i="139"/>
  <c r="D82" i="139"/>
  <c r="D127" i="139"/>
  <c r="D119" i="139"/>
  <c r="D122" i="139"/>
  <c r="D116" i="139"/>
  <c r="D118" i="139"/>
  <c r="D117" i="139"/>
  <c r="D125" i="139"/>
  <c r="D143" i="139"/>
  <c r="D52" i="139"/>
  <c r="D126" i="139"/>
  <c r="D84" i="139"/>
  <c r="D30" i="139"/>
  <c r="D110" i="139"/>
  <c r="D104" i="139"/>
  <c r="D111" i="139"/>
  <c r="D112" i="139"/>
  <c r="D42" i="139"/>
  <c r="D59" i="139"/>
  <c r="D107" i="139"/>
  <c r="D142" i="139"/>
  <c r="D90" i="139"/>
  <c r="D139" i="139"/>
  <c r="D133" i="139"/>
  <c r="D39" i="139"/>
  <c r="D77" i="139"/>
  <c r="D51" i="139"/>
  <c r="D101" i="139"/>
  <c r="D76" i="139"/>
  <c r="D141" i="139"/>
  <c r="D114" i="139"/>
  <c r="D124" i="139"/>
  <c r="D93" i="139"/>
  <c r="D94" i="139"/>
  <c r="D68" i="139"/>
  <c r="D100" i="139"/>
  <c r="D146" i="139"/>
  <c r="D103" i="139"/>
  <c r="D61" i="139"/>
  <c r="D71" i="139"/>
  <c r="D70" i="139"/>
  <c r="D136" i="139"/>
  <c r="D66" i="139"/>
  <c r="D88" i="139"/>
  <c r="D43" i="139"/>
  <c r="D78" i="139"/>
  <c r="D62" i="139"/>
  <c r="D31" i="139"/>
  <c r="D44" i="139"/>
  <c r="D38" i="139"/>
  <c r="D46" i="139"/>
  <c r="D128" i="139"/>
  <c r="D102" i="139"/>
  <c r="D55" i="139"/>
  <c r="D33" i="139"/>
  <c r="D56" i="139"/>
  <c r="D37" i="139"/>
  <c r="D45" i="139"/>
  <c r="D53" i="139"/>
  <c r="D72" i="139"/>
  <c r="D131" i="139"/>
  <c r="D85" i="139"/>
  <c r="D69" i="139"/>
  <c r="D47" i="139"/>
  <c r="D98" i="139"/>
  <c r="D74" i="139"/>
  <c r="D140" i="139"/>
  <c r="D65" i="139"/>
  <c r="D28" i="139"/>
  <c r="D54" i="139"/>
  <c r="D91" i="139"/>
  <c r="D99" i="139"/>
  <c r="D58" i="139"/>
  <c r="D86" i="139"/>
  <c r="D49" i="139"/>
  <c r="D60" i="139"/>
  <c r="D36" i="139"/>
  <c r="D27" i="139"/>
  <c r="D134" i="139"/>
  <c r="D40" i="139"/>
  <c r="D64" i="139"/>
  <c r="D109" i="139"/>
  <c r="D67" i="139"/>
  <c r="D137" i="139"/>
  <c r="D130" i="139"/>
  <c r="D81" i="139"/>
  <c r="D144" i="139"/>
  <c r="G4" i="139"/>
  <c r="AI4" i="139"/>
  <c r="H7" i="139"/>
  <c r="DZ25" i="139"/>
  <c r="U80" i="139"/>
  <c r="U75" i="139"/>
  <c r="BQ155" i="139" l="1"/>
  <c r="BQ4" i="139"/>
  <c r="BQ152" i="139" s="1"/>
  <c r="BP155" i="139"/>
  <c r="BY155" i="139" s="1"/>
  <c r="BZ155" i="139" s="1"/>
  <c r="H16" i="139"/>
  <c r="H6" i="139"/>
  <c r="BJ155" i="139"/>
  <c r="BH155" i="139"/>
  <c r="BI155" i="139"/>
  <c r="H147" i="139"/>
  <c r="D147" i="139" s="1"/>
  <c r="BI154" i="139"/>
  <c r="BI4" i="139"/>
  <c r="BI152" i="139" s="1"/>
  <c r="BH154" i="139"/>
  <c r="BH4" i="139"/>
  <c r="BH152" i="139" s="1"/>
  <c r="BG154" i="139"/>
  <c r="BG4" i="139"/>
  <c r="BG152" i="139" s="1"/>
  <c r="H19" i="139"/>
  <c r="H9" i="139"/>
  <c r="H23" i="139"/>
  <c r="BD154" i="139"/>
  <c r="BD4" i="139"/>
  <c r="BD152" i="139" s="1"/>
  <c r="BC154" i="139"/>
  <c r="BC4" i="139"/>
  <c r="BC152" i="139" s="1"/>
  <c r="BB154" i="139"/>
  <c r="BB4" i="139"/>
  <c r="BB152" i="139" s="1"/>
  <c r="BA154" i="139"/>
  <c r="BA4" i="139"/>
  <c r="BA152" i="139" s="1"/>
  <c r="H18" i="139"/>
  <c r="H11" i="139"/>
  <c r="H150" i="139"/>
  <c r="D150" i="139" s="1"/>
  <c r="H17" i="139"/>
  <c r="H14" i="139"/>
  <c r="AZ154" i="139"/>
  <c r="H95" i="139"/>
  <c r="D95" i="139" s="1"/>
  <c r="H21" i="139"/>
  <c r="H22" i="139"/>
  <c r="H5" i="139"/>
  <c r="H8" i="139"/>
  <c r="H20" i="139"/>
  <c r="H10" i="139"/>
  <c r="H24" i="139"/>
  <c r="H12" i="139"/>
  <c r="AV4" i="139"/>
  <c r="AV152" i="139" s="1"/>
  <c r="AV154" i="139"/>
  <c r="AW15" i="139"/>
  <c r="AU154" i="139"/>
  <c r="AU4" i="139"/>
  <c r="AU152" i="139" s="1"/>
  <c r="H129" i="139"/>
  <c r="D129" i="139" s="1"/>
  <c r="H15" i="139"/>
  <c r="H13" i="139"/>
  <c r="H29" i="139"/>
  <c r="D29" i="139" s="1"/>
  <c r="H115" i="139"/>
  <c r="D115" i="139" s="1"/>
  <c r="H87" i="139"/>
  <c r="D87" i="139" s="1"/>
  <c r="H113" i="139"/>
  <c r="D113" i="139" s="1"/>
  <c r="H80" i="139"/>
  <c r="D80" i="139" s="1"/>
  <c r="H92" i="139"/>
  <c r="D92" i="139" s="1"/>
  <c r="H132" i="139"/>
  <c r="D132" i="139" s="1"/>
  <c r="H26" i="139"/>
  <c r="D26" i="139" s="1"/>
  <c r="H48" i="139"/>
  <c r="H145" i="139"/>
  <c r="D145" i="139" s="1"/>
  <c r="H57" i="139"/>
  <c r="D57" i="139" s="1"/>
  <c r="H50" i="139"/>
  <c r="D50" i="139" s="1"/>
  <c r="H108" i="139"/>
  <c r="D108" i="139" s="1"/>
  <c r="H41" i="139"/>
  <c r="D41" i="139" s="1"/>
  <c r="H63" i="139"/>
  <c r="D63" i="139" s="1"/>
  <c r="H138" i="139"/>
  <c r="D138" i="139" s="1"/>
  <c r="H32" i="139"/>
  <c r="D32" i="139" s="1"/>
  <c r="H135" i="139"/>
  <c r="D135" i="139" s="1"/>
  <c r="H89" i="139"/>
  <c r="D89" i="139" s="1"/>
  <c r="H123" i="139"/>
  <c r="D123" i="139" s="1"/>
  <c r="H97" i="139"/>
  <c r="D97" i="139" s="1"/>
  <c r="H75" i="139"/>
  <c r="D75" i="139" s="1"/>
  <c r="BY16" i="139" l="1"/>
  <c r="BP4" i="139"/>
  <c r="BP152" i="139" s="1"/>
  <c r="BY152" i="139" s="1"/>
  <c r="BZ152" i="139" s="1"/>
  <c r="BK155" i="139"/>
  <c r="D155" i="139" s="1"/>
  <c r="BK16" i="139"/>
  <c r="BJ4" i="139"/>
  <c r="BJ152" i="139" s="1"/>
  <c r="AW4" i="139"/>
  <c r="AW154" i="139"/>
  <c r="BK14" i="139"/>
  <c r="AZ4" i="139"/>
  <c r="AZ152" i="139" s="1"/>
  <c r="BK15" i="139"/>
  <c r="AY154" i="139"/>
  <c r="BK154" i="139" s="1"/>
  <c r="AY4" i="139"/>
  <c r="AY152" i="139" s="1"/>
  <c r="H4" i="139"/>
  <c r="AW152" i="139"/>
  <c r="AU288" i="58"/>
  <c r="AU274" i="58"/>
  <c r="AU260" i="58"/>
  <c r="AU246" i="58"/>
  <c r="AU231" i="58"/>
  <c r="AU216" i="58"/>
  <c r="AU202" i="58"/>
  <c r="AU188" i="58"/>
  <c r="AU174" i="58"/>
  <c r="AU160" i="58"/>
  <c r="AU145" i="58"/>
  <c r="AU130" i="58"/>
  <c r="BY4" i="139" l="1"/>
  <c r="D154" i="139"/>
  <c r="AU3" i="58"/>
  <c r="BK4" i="139"/>
  <c r="BK152" i="139"/>
  <c r="BZ15" i="139" l="1"/>
  <c r="BZ13" i="139"/>
  <c r="D13" i="139" s="1"/>
  <c r="BZ12" i="139"/>
  <c r="BZ11" i="139"/>
  <c r="D11" i="139" s="1"/>
  <c r="BZ10" i="139"/>
  <c r="D10" i="139" s="1"/>
  <c r="BZ24" i="139"/>
  <c r="D24" i="139" s="1"/>
  <c r="BZ23" i="139"/>
  <c r="BZ9" i="139"/>
  <c r="D9" i="139" s="1"/>
  <c r="BZ21" i="139"/>
  <c r="D21" i="139" s="1"/>
  <c r="BZ19" i="139"/>
  <c r="D19" i="139" s="1"/>
  <c r="BZ5" i="139"/>
  <c r="BZ18" i="139"/>
  <c r="D18" i="139" s="1"/>
  <c r="BZ20" i="139"/>
  <c r="D20" i="139" s="1"/>
  <c r="BZ14" i="139"/>
  <c r="D14" i="139" s="1"/>
  <c r="BZ22" i="139"/>
  <c r="BZ17" i="139"/>
  <c r="D17" i="139" s="1"/>
  <c r="BZ8" i="139"/>
  <c r="D8" i="139" s="1"/>
  <c r="BZ7" i="139"/>
  <c r="D7" i="139" s="1"/>
  <c r="BZ6" i="139"/>
  <c r="BZ16" i="139"/>
  <c r="D16" i="139"/>
  <c r="D6" i="139"/>
  <c r="D12" i="139"/>
  <c r="D23" i="139"/>
  <c r="D22" i="139"/>
  <c r="D15" i="139"/>
  <c r="Y23" i="99"/>
  <c r="Y22" i="99"/>
  <c r="Y21" i="99"/>
  <c r="Y20" i="99"/>
  <c r="Y19" i="99"/>
  <c r="Y18" i="99"/>
  <c r="Y17" i="99"/>
  <c r="Y16" i="99"/>
  <c r="Y15" i="99"/>
  <c r="Y14" i="99"/>
  <c r="Y13" i="99"/>
  <c r="Y11" i="99"/>
  <c r="Y10" i="99"/>
  <c r="Y9" i="99"/>
  <c r="Y8" i="99"/>
  <c r="Y7" i="99"/>
  <c r="Y6" i="99"/>
  <c r="Y5" i="99"/>
  <c r="Y4" i="99"/>
  <c r="Y3" i="99"/>
  <c r="Y12" i="99"/>
  <c r="BZ4" i="139" l="1"/>
  <c r="D5" i="139"/>
  <c r="E134" i="139" s="1"/>
  <c r="E44" i="139"/>
  <c r="E130" i="139"/>
  <c r="E46" i="139"/>
  <c r="E99" i="139"/>
  <c r="E72" i="139"/>
  <c r="E78" i="139"/>
  <c r="E28" i="139"/>
  <c r="E66" i="139"/>
  <c r="E47" i="139"/>
  <c r="E155" i="139"/>
  <c r="D4" i="139"/>
  <c r="E6" i="139" s="1"/>
  <c r="E107" i="139" l="1"/>
  <c r="E42" i="139"/>
  <c r="E149" i="139"/>
  <c r="E53" i="139"/>
  <c r="E133" i="139"/>
  <c r="E60" i="139"/>
  <c r="E142" i="139"/>
  <c r="E148" i="139"/>
  <c r="E126" i="139"/>
  <c r="E105" i="139"/>
  <c r="E68" i="139"/>
  <c r="E102" i="139"/>
  <c r="E45" i="139"/>
  <c r="E120" i="139"/>
  <c r="E137" i="139"/>
  <c r="E34" i="139"/>
  <c r="E73" i="139"/>
  <c r="E71" i="139"/>
  <c r="E31" i="139"/>
  <c r="E58" i="139"/>
  <c r="E117" i="139"/>
  <c r="E93" i="139"/>
  <c r="E70" i="139"/>
  <c r="E39" i="139"/>
  <c r="E64" i="139"/>
  <c r="E103" i="139"/>
  <c r="E56" i="139"/>
  <c r="E91" i="139"/>
  <c r="E37" i="139"/>
  <c r="E122" i="139"/>
  <c r="E27" i="139"/>
  <c r="E88" i="139"/>
  <c r="E139" i="139"/>
  <c r="E49" i="139"/>
  <c r="E85" i="139"/>
  <c r="E74" i="139"/>
  <c r="E67" i="139"/>
  <c r="E119" i="139"/>
  <c r="E81" i="139"/>
  <c r="E98" i="139"/>
  <c r="E40" i="139"/>
  <c r="E112" i="139"/>
  <c r="E76" i="139"/>
  <c r="E33" i="139"/>
  <c r="E94" i="139"/>
  <c r="E136" i="139"/>
  <c r="E38" i="139"/>
  <c r="E61" i="139"/>
  <c r="E30" i="139"/>
  <c r="E36" i="139"/>
  <c r="E125" i="139"/>
  <c r="E124" i="139"/>
  <c r="E127" i="139"/>
  <c r="E62" i="139"/>
  <c r="E65" i="139"/>
  <c r="E59" i="139"/>
  <c r="E84" i="139"/>
  <c r="E144" i="139"/>
  <c r="E143" i="139"/>
  <c r="E86" i="139"/>
  <c r="E106" i="139"/>
  <c r="E111" i="139"/>
  <c r="E52" i="139"/>
  <c r="E96" i="139"/>
  <c r="E116" i="139"/>
  <c r="E54" i="139"/>
  <c r="E118" i="139"/>
  <c r="E146" i="139"/>
  <c r="E43" i="139"/>
  <c r="E154" i="139"/>
  <c r="E151" i="139"/>
  <c r="E150" i="139" s="1"/>
  <c r="E153" i="139"/>
  <c r="E101" i="139"/>
  <c r="E110" i="139"/>
  <c r="E114" i="139"/>
  <c r="E82" i="139"/>
  <c r="E79" i="139"/>
  <c r="E128" i="139"/>
  <c r="E77" i="139"/>
  <c r="E131" i="139"/>
  <c r="E69" i="139"/>
  <c r="E104" i="139"/>
  <c r="E109" i="139"/>
  <c r="E35" i="139"/>
  <c r="E121" i="139"/>
  <c r="E51" i="139"/>
  <c r="E83" i="139"/>
  <c r="E90" i="139"/>
  <c r="E141" i="139"/>
  <c r="E100" i="139"/>
  <c r="E140" i="139"/>
  <c r="E55" i="139"/>
  <c r="E147" i="139" l="1"/>
  <c r="E115" i="139"/>
  <c r="B1" i="134" l="1"/>
  <c r="A35" i="134"/>
  <c r="A34" i="134"/>
  <c r="A33" i="134"/>
  <c r="A32" i="134"/>
  <c r="A31" i="134"/>
  <c r="A30" i="134"/>
  <c r="A29" i="134"/>
  <c r="A28" i="134"/>
  <c r="A27" i="134"/>
  <c r="A26" i="134"/>
  <c r="A25" i="134"/>
  <c r="A24" i="134"/>
  <c r="A23" i="134"/>
  <c r="A22" i="134"/>
  <c r="A21" i="134"/>
  <c r="A20" i="134"/>
  <c r="A19" i="134"/>
  <c r="A18" i="134"/>
  <c r="A17" i="134"/>
  <c r="A16" i="134"/>
  <c r="A15" i="134"/>
  <c r="A14" i="134"/>
  <c r="A13" i="134"/>
  <c r="A12" i="134"/>
  <c r="A11" i="134"/>
  <c r="A10" i="134"/>
  <c r="A9" i="134"/>
  <c r="A8" i="134"/>
  <c r="A7" i="134"/>
  <c r="A6" i="134"/>
  <c r="A75" i="134" l="1"/>
  <c r="A74" i="134"/>
  <c r="A73" i="134"/>
  <c r="A72" i="134"/>
  <c r="A71" i="134"/>
  <c r="A70" i="134"/>
  <c r="A69" i="134"/>
  <c r="A68" i="134"/>
  <c r="A67" i="134"/>
  <c r="A66" i="134"/>
  <c r="A65" i="134"/>
  <c r="A64" i="134"/>
  <c r="A63" i="134"/>
  <c r="A62" i="134"/>
  <c r="A61" i="134"/>
  <c r="A60" i="134"/>
  <c r="A59" i="134"/>
  <c r="A58" i="134"/>
  <c r="A57" i="134"/>
  <c r="A56" i="134"/>
  <c r="A55" i="134"/>
  <c r="A54" i="134"/>
  <c r="A53" i="134"/>
  <c r="A52" i="134"/>
  <c r="A51" i="134"/>
  <c r="A50" i="134"/>
  <c r="A49" i="134"/>
  <c r="A48" i="134"/>
  <c r="A47" i="134"/>
  <c r="A46" i="134"/>
  <c r="A45" i="134"/>
  <c r="A44" i="134"/>
  <c r="A43" i="134"/>
  <c r="A42" i="134"/>
  <c r="A41" i="134"/>
  <c r="A40" i="134"/>
  <c r="A39" i="134"/>
  <c r="A38" i="134"/>
  <c r="A37" i="134"/>
  <c r="C3" i="134"/>
  <c r="C4" i="134" s="1"/>
  <c r="C2" i="134"/>
  <c r="AT288" i="58" l="1"/>
  <c r="AT274" i="58"/>
  <c r="AT260" i="58"/>
  <c r="AT246" i="58"/>
  <c r="AT231" i="58"/>
  <c r="AT216" i="58"/>
  <c r="AT202" i="58"/>
  <c r="AT188" i="58"/>
  <c r="AT174" i="58"/>
  <c r="AT160" i="58"/>
  <c r="AT145" i="58"/>
  <c r="AT130" i="58"/>
  <c r="AT3" i="58" l="1"/>
  <c r="BB144" i="58"/>
  <c r="U144" i="58"/>
  <c r="BB143" i="58"/>
  <c r="U143" i="58"/>
  <c r="BB142" i="58"/>
  <c r="U142" i="58"/>
  <c r="BB140" i="58"/>
  <c r="U140" i="58"/>
  <c r="BB138" i="58"/>
  <c r="U138" i="58"/>
  <c r="BB137" i="58"/>
  <c r="U137" i="58"/>
  <c r="L137" i="58"/>
  <c r="M137" i="58" s="1"/>
  <c r="O137" i="58" s="1"/>
  <c r="BB136" i="58"/>
  <c r="U136" i="58"/>
  <c r="L136" i="58"/>
  <c r="M136" i="58" s="1"/>
  <c r="O136" i="58" s="1"/>
  <c r="BB135" i="58"/>
  <c r="U135" i="58"/>
  <c r="L135" i="58"/>
  <c r="M135" i="58" s="1"/>
  <c r="O135" i="58" s="1"/>
  <c r="BB133" i="58"/>
  <c r="U133" i="58"/>
  <c r="L133" i="58"/>
  <c r="M133" i="58" s="1"/>
  <c r="O133" i="58" s="1"/>
  <c r="BB132" i="58"/>
  <c r="U132" i="58"/>
  <c r="L132" i="58"/>
  <c r="M132" i="58" s="1"/>
  <c r="O132" i="58" s="1"/>
  <c r="BB131" i="58"/>
  <c r="U131" i="58"/>
  <c r="L131" i="58"/>
  <c r="M131" i="58" s="1"/>
  <c r="O131" i="58" s="1"/>
  <c r="BS130" i="58"/>
  <c r="BR130" i="58"/>
  <c r="BQ130" i="58"/>
  <c r="BP130" i="58"/>
  <c r="BO130" i="58"/>
  <c r="BN130" i="58"/>
  <c r="BM130" i="58"/>
  <c r="BL130" i="58"/>
  <c r="BK130" i="58"/>
  <c r="BJ130" i="58"/>
  <c r="BI130" i="58"/>
  <c r="BH130" i="58"/>
  <c r="BF130" i="58"/>
  <c r="BD130" i="58"/>
  <c r="BC130" i="58"/>
  <c r="AZ130" i="58"/>
  <c r="AS130" i="58"/>
  <c r="AR130" i="58"/>
  <c r="AQ130" i="58"/>
  <c r="AP130" i="58"/>
  <c r="AO130" i="58"/>
  <c r="AN130" i="58"/>
  <c r="AL130" i="58"/>
  <c r="AK130" i="58"/>
  <c r="AJ130" i="58"/>
  <c r="AI130" i="58"/>
  <c r="AH130" i="58"/>
  <c r="AF130" i="58"/>
  <c r="AE130" i="58"/>
  <c r="AD130" i="58"/>
  <c r="W130" i="58"/>
  <c r="V130" i="58"/>
  <c r="BB159" i="58"/>
  <c r="BB158" i="58"/>
  <c r="BB157" i="58"/>
  <c r="BB155" i="58"/>
  <c r="BB154" i="58"/>
  <c r="BB153" i="58"/>
  <c r="BB152" i="58"/>
  <c r="BB151" i="58"/>
  <c r="BB149" i="58"/>
  <c r="BB148" i="58"/>
  <c r="BB147" i="58"/>
  <c r="BB146" i="58"/>
  <c r="T132" i="58" l="1"/>
  <c r="T140" i="58"/>
  <c r="T135" i="58"/>
  <c r="T138" i="58"/>
  <c r="T142" i="58"/>
  <c r="T143" i="58"/>
  <c r="T144" i="58"/>
  <c r="T131" i="58"/>
  <c r="T137" i="58"/>
  <c r="T136" i="58"/>
  <c r="T133" i="58"/>
  <c r="U102" i="58"/>
  <c r="U88" i="58"/>
  <c r="BB102" i="58"/>
  <c r="BB88" i="58"/>
  <c r="BB116" i="58"/>
  <c r="U116" i="58"/>
  <c r="U130" i="58"/>
  <c r="BB130" i="58"/>
  <c r="T88" i="58" l="1"/>
  <c r="T116" i="58"/>
  <c r="T102" i="58"/>
  <c r="T130" i="58"/>
  <c r="U172" i="58" l="1"/>
  <c r="U171" i="58"/>
  <c r="U169" i="58"/>
  <c r="U168" i="58"/>
  <c r="U167" i="58"/>
  <c r="U166" i="58"/>
  <c r="U165" i="58"/>
  <c r="U164" i="58"/>
  <c r="U163" i="58"/>
  <c r="U162" i="58"/>
  <c r="BB173" i="58" l="1"/>
  <c r="U173" i="58"/>
  <c r="BB172" i="58"/>
  <c r="T172" i="58" s="1"/>
  <c r="BB171" i="58"/>
  <c r="T171" i="58" s="1"/>
  <c r="BB170" i="58"/>
  <c r="T170" i="58" s="1"/>
  <c r="BB169" i="58"/>
  <c r="T169" i="58" s="1"/>
  <c r="BB168" i="58"/>
  <c r="T168" i="58" s="1"/>
  <c r="BB167" i="58"/>
  <c r="T167" i="58" s="1"/>
  <c r="BB166" i="58"/>
  <c r="T166" i="58" s="1"/>
  <c r="L166" i="58"/>
  <c r="M166" i="58" s="1"/>
  <c r="O166" i="58" s="1"/>
  <c r="BB165" i="58"/>
  <c r="T165" i="58" s="1"/>
  <c r="L165" i="58"/>
  <c r="M165" i="58" s="1"/>
  <c r="O165" i="58" s="1"/>
  <c r="BB164" i="58"/>
  <c r="T164" i="58" s="1"/>
  <c r="L164" i="58"/>
  <c r="M164" i="58" s="1"/>
  <c r="O164" i="58" s="1"/>
  <c r="BB163" i="58"/>
  <c r="T163" i="58" s="1"/>
  <c r="L163" i="58"/>
  <c r="M163" i="58" s="1"/>
  <c r="O163" i="58" s="1"/>
  <c r="BB162" i="58"/>
  <c r="T162" i="58" s="1"/>
  <c r="L162" i="58"/>
  <c r="M162" i="58" s="1"/>
  <c r="O162" i="58" s="1"/>
  <c r="BB161" i="58"/>
  <c r="T161" i="58" s="1"/>
  <c r="L161" i="58"/>
  <c r="M161" i="58" s="1"/>
  <c r="O161" i="58" s="1"/>
  <c r="BS160" i="58"/>
  <c r="BR160" i="58"/>
  <c r="BQ160" i="58"/>
  <c r="BP160" i="58"/>
  <c r="BO160" i="58"/>
  <c r="BN160" i="58"/>
  <c r="BM160" i="58"/>
  <c r="BL160" i="58"/>
  <c r="BK160" i="58"/>
  <c r="BJ160" i="58"/>
  <c r="BI160" i="58"/>
  <c r="BH160" i="58"/>
  <c r="BF160" i="58"/>
  <c r="BD160" i="58"/>
  <c r="BC160" i="58"/>
  <c r="AZ160" i="58"/>
  <c r="AS160" i="58"/>
  <c r="AR160" i="58"/>
  <c r="AQ160" i="58"/>
  <c r="AP160" i="58"/>
  <c r="AO160" i="58"/>
  <c r="AN160" i="58"/>
  <c r="AL160" i="58"/>
  <c r="AK160" i="58"/>
  <c r="AJ160" i="58"/>
  <c r="AI160" i="58"/>
  <c r="AH160" i="58"/>
  <c r="AF160" i="58"/>
  <c r="AE160" i="58"/>
  <c r="AD160" i="58"/>
  <c r="W160" i="58"/>
  <c r="V160" i="58"/>
  <c r="BB187" i="58"/>
  <c r="U187" i="58"/>
  <c r="BB186" i="58"/>
  <c r="U186" i="58"/>
  <c r="BB185" i="58"/>
  <c r="U185" i="58"/>
  <c r="BB184" i="58"/>
  <c r="U184" i="58"/>
  <c r="BB183" i="58"/>
  <c r="U183" i="58"/>
  <c r="BB182" i="58"/>
  <c r="U182" i="58"/>
  <c r="BB181" i="58"/>
  <c r="U181" i="58"/>
  <c r="BB180" i="58"/>
  <c r="U180" i="58"/>
  <c r="L180" i="58"/>
  <c r="M180" i="58" s="1"/>
  <c r="O180" i="58" s="1"/>
  <c r="BB179" i="58"/>
  <c r="U179" i="58"/>
  <c r="L179" i="58"/>
  <c r="M179" i="58" s="1"/>
  <c r="O179" i="58" s="1"/>
  <c r="BB178" i="58"/>
  <c r="U178" i="58"/>
  <c r="L178" i="58"/>
  <c r="M178" i="58" s="1"/>
  <c r="O178" i="58" s="1"/>
  <c r="BB177" i="58"/>
  <c r="U177" i="58"/>
  <c r="L177" i="58"/>
  <c r="M177" i="58" s="1"/>
  <c r="O177" i="58" s="1"/>
  <c r="BB176" i="58"/>
  <c r="U176" i="58"/>
  <c r="L176" i="58"/>
  <c r="M176" i="58" s="1"/>
  <c r="O176" i="58" s="1"/>
  <c r="BB175" i="58"/>
  <c r="U175" i="58"/>
  <c r="L175" i="58"/>
  <c r="M175" i="58" s="1"/>
  <c r="O175" i="58" s="1"/>
  <c r="BS174" i="58"/>
  <c r="BR174" i="58"/>
  <c r="BQ174" i="58"/>
  <c r="BP174" i="58"/>
  <c r="BO174" i="58"/>
  <c r="BN174" i="58"/>
  <c r="BM174" i="58"/>
  <c r="BL174" i="58"/>
  <c r="BK174" i="58"/>
  <c r="BJ174" i="58"/>
  <c r="BI174" i="58"/>
  <c r="BH174" i="58"/>
  <c r="BF174" i="58"/>
  <c r="BD174" i="58"/>
  <c r="BC174" i="58"/>
  <c r="AZ174" i="58"/>
  <c r="AS174" i="58"/>
  <c r="AR174" i="58"/>
  <c r="AQ174" i="58"/>
  <c r="AP174" i="58"/>
  <c r="AO174" i="58"/>
  <c r="AN174" i="58"/>
  <c r="AL174" i="58"/>
  <c r="AK174" i="58"/>
  <c r="AJ174" i="58"/>
  <c r="AI174" i="58"/>
  <c r="AH174" i="58"/>
  <c r="AF174" i="58"/>
  <c r="AE174" i="58"/>
  <c r="AD174" i="58"/>
  <c r="W174" i="58"/>
  <c r="V174" i="58"/>
  <c r="T180" i="58" l="1"/>
  <c r="T184" i="58"/>
  <c r="T178" i="58"/>
  <c r="T181" i="58"/>
  <c r="T185" i="58"/>
  <c r="T176" i="58"/>
  <c r="T182" i="58"/>
  <c r="T186" i="58"/>
  <c r="T179" i="58"/>
  <c r="T173" i="58"/>
  <c r="T183" i="58"/>
  <c r="T187" i="58"/>
  <c r="T177" i="58"/>
  <c r="T175" i="58"/>
  <c r="U147" i="58"/>
  <c r="T147" i="58" s="1"/>
  <c r="U146" i="58"/>
  <c r="T146" i="58" s="1"/>
  <c r="U148" i="58" l="1"/>
  <c r="T148" i="58" s="1"/>
  <c r="U155" i="58" l="1"/>
  <c r="T155" i="58" s="1"/>
  <c r="BS288" i="58" l="1"/>
  <c r="BR288" i="58"/>
  <c r="BQ288" i="58"/>
  <c r="BP288" i="58"/>
  <c r="BO288" i="58"/>
  <c r="BN288" i="58"/>
  <c r="BM288" i="58"/>
  <c r="BL288" i="58"/>
  <c r="BK288" i="58"/>
  <c r="BJ288" i="58"/>
  <c r="BI288" i="58"/>
  <c r="BH288" i="58"/>
  <c r="BF288" i="58"/>
  <c r="BD288" i="58"/>
  <c r="BC288" i="58"/>
  <c r="AZ288" i="58"/>
  <c r="AS288" i="58"/>
  <c r="AR288" i="58"/>
  <c r="AQ288" i="58"/>
  <c r="AP288" i="58"/>
  <c r="AO288" i="58"/>
  <c r="AN288" i="58"/>
  <c r="AL288" i="58"/>
  <c r="AK288" i="58"/>
  <c r="AJ288" i="58"/>
  <c r="AI288" i="58"/>
  <c r="AH288" i="58"/>
  <c r="AF288" i="58"/>
  <c r="AE288" i="58"/>
  <c r="AD288" i="58"/>
  <c r="W288" i="58"/>
  <c r="V288" i="58"/>
  <c r="V188" i="58"/>
  <c r="W188" i="58"/>
  <c r="AD188" i="58"/>
  <c r="AE188" i="58"/>
  <c r="AF188" i="58"/>
  <c r="AH188" i="58"/>
  <c r="AI188" i="58"/>
  <c r="AJ188" i="58"/>
  <c r="AK188" i="58"/>
  <c r="AL188" i="58"/>
  <c r="AN188" i="58"/>
  <c r="AO188" i="58"/>
  <c r="AP188" i="58"/>
  <c r="AQ188" i="58"/>
  <c r="AR188" i="58"/>
  <c r="AS188" i="58"/>
  <c r="AZ188" i="58"/>
  <c r="BC188" i="58"/>
  <c r="BD188" i="58"/>
  <c r="BF188" i="58"/>
  <c r="BH188" i="58"/>
  <c r="BI188" i="58"/>
  <c r="BJ188" i="58"/>
  <c r="BK188" i="58"/>
  <c r="BL188" i="58"/>
  <c r="BM188" i="58"/>
  <c r="BN188" i="58"/>
  <c r="BO188" i="58"/>
  <c r="BP188" i="58"/>
  <c r="BQ188" i="58"/>
  <c r="BR188" i="58"/>
  <c r="BS188" i="58"/>
  <c r="L189" i="58"/>
  <c r="M189" i="58" s="1"/>
  <c r="O189" i="58" s="1"/>
  <c r="U189" i="58"/>
  <c r="BB189" i="58"/>
  <c r="L190" i="58"/>
  <c r="M190" i="58" s="1"/>
  <c r="O190" i="58" s="1"/>
  <c r="U190" i="58"/>
  <c r="BB190" i="58"/>
  <c r="L191" i="58"/>
  <c r="M191" i="58" s="1"/>
  <c r="O191" i="58" s="1"/>
  <c r="U191" i="58"/>
  <c r="BB191" i="58"/>
  <c r="L192" i="58"/>
  <c r="M192" i="58" s="1"/>
  <c r="O192" i="58" s="1"/>
  <c r="U192" i="58"/>
  <c r="BB192" i="58"/>
  <c r="L193" i="58"/>
  <c r="M193" i="58" s="1"/>
  <c r="O193" i="58" s="1"/>
  <c r="U193" i="58"/>
  <c r="BB193" i="58"/>
  <c r="L194" i="58"/>
  <c r="M194" i="58" s="1"/>
  <c r="O194" i="58" s="1"/>
  <c r="U194" i="58"/>
  <c r="BB194" i="58"/>
  <c r="U195" i="58"/>
  <c r="BB195" i="58"/>
  <c r="U196" i="58"/>
  <c r="BB196" i="58"/>
  <c r="U197" i="58"/>
  <c r="BB197" i="58"/>
  <c r="U198" i="58"/>
  <c r="BB198" i="58"/>
  <c r="U199" i="58"/>
  <c r="BB199" i="58"/>
  <c r="U200" i="58"/>
  <c r="BB200" i="58"/>
  <c r="U201" i="58"/>
  <c r="BB201" i="58"/>
  <c r="V202" i="58"/>
  <c r="W202" i="58"/>
  <c r="AD202" i="58"/>
  <c r="AE202" i="58"/>
  <c r="AF202" i="58"/>
  <c r="AH202" i="58"/>
  <c r="AI202" i="58"/>
  <c r="AJ202" i="58"/>
  <c r="AK202" i="58"/>
  <c r="AL202" i="58"/>
  <c r="AN202" i="58"/>
  <c r="AO202" i="58"/>
  <c r="AP202" i="58"/>
  <c r="AQ202" i="58"/>
  <c r="AR202" i="58"/>
  <c r="AS202" i="58"/>
  <c r="AZ202" i="58"/>
  <c r="BC202" i="58"/>
  <c r="BD202" i="58"/>
  <c r="BF202" i="58"/>
  <c r="BH202" i="58"/>
  <c r="BI202" i="58"/>
  <c r="BJ202" i="58"/>
  <c r="BK202" i="58"/>
  <c r="BL202" i="58"/>
  <c r="BM202" i="58"/>
  <c r="BN202" i="58"/>
  <c r="BO202" i="58"/>
  <c r="BP202" i="58"/>
  <c r="BQ202" i="58"/>
  <c r="BR202" i="58"/>
  <c r="BS202" i="58"/>
  <c r="L203" i="58"/>
  <c r="M203" i="58" s="1"/>
  <c r="O203" i="58" s="1"/>
  <c r="U203" i="58"/>
  <c r="BB203" i="58"/>
  <c r="L204" i="58"/>
  <c r="M204" i="58" s="1"/>
  <c r="O204" i="58" s="1"/>
  <c r="U204" i="58"/>
  <c r="BB204" i="58"/>
  <c r="L205" i="58"/>
  <c r="M205" i="58" s="1"/>
  <c r="O205" i="58" s="1"/>
  <c r="U205" i="58"/>
  <c r="BB205" i="58"/>
  <c r="L206" i="58"/>
  <c r="M206" i="58" s="1"/>
  <c r="O206" i="58" s="1"/>
  <c r="U206" i="58"/>
  <c r="BB206" i="58"/>
  <c r="L207" i="58"/>
  <c r="M207" i="58" s="1"/>
  <c r="O207" i="58" s="1"/>
  <c r="U207" i="58"/>
  <c r="BB207" i="58"/>
  <c r="L208" i="58"/>
  <c r="M208" i="58" s="1"/>
  <c r="O208" i="58" s="1"/>
  <c r="U208" i="58"/>
  <c r="BB208" i="58"/>
  <c r="U209" i="58"/>
  <c r="BB209" i="58"/>
  <c r="U210" i="58"/>
  <c r="BB210" i="58"/>
  <c r="U211" i="58"/>
  <c r="BB211" i="58"/>
  <c r="U212" i="58"/>
  <c r="BB212" i="58"/>
  <c r="U213" i="58"/>
  <c r="BB213" i="58"/>
  <c r="U214" i="58"/>
  <c r="BB214" i="58"/>
  <c r="U215" i="58"/>
  <c r="BB215" i="58"/>
  <c r="V216" i="58"/>
  <c r="W216" i="58"/>
  <c r="AD216" i="58"/>
  <c r="AE216" i="58"/>
  <c r="AF216" i="58"/>
  <c r="AH216" i="58"/>
  <c r="AI216" i="58"/>
  <c r="AJ216" i="58"/>
  <c r="AK216" i="58"/>
  <c r="AL216" i="58"/>
  <c r="AN216" i="58"/>
  <c r="AO216" i="58"/>
  <c r="AP216" i="58"/>
  <c r="AQ216" i="58"/>
  <c r="AR216" i="58"/>
  <c r="AS216" i="58"/>
  <c r="AZ216" i="58"/>
  <c r="BC216" i="58"/>
  <c r="BD216" i="58"/>
  <c r="BF216" i="58"/>
  <c r="BH216" i="58"/>
  <c r="BI216" i="58"/>
  <c r="BJ216" i="58"/>
  <c r="BK216" i="58"/>
  <c r="BL216" i="58"/>
  <c r="BM216" i="58"/>
  <c r="BN216" i="58"/>
  <c r="BO216" i="58"/>
  <c r="BP216" i="58"/>
  <c r="BQ216" i="58"/>
  <c r="BR216" i="58"/>
  <c r="BS216" i="58"/>
  <c r="U217" i="58"/>
  <c r="BB217" i="58"/>
  <c r="U218" i="58"/>
  <c r="BB218" i="58"/>
  <c r="U219" i="58"/>
  <c r="BB219" i="58"/>
  <c r="U220" i="58"/>
  <c r="BB220" i="58"/>
  <c r="U221" i="58"/>
  <c r="BB221" i="58"/>
  <c r="U222" i="58"/>
  <c r="BB222" i="58"/>
  <c r="U223" i="58"/>
  <c r="BB223" i="58"/>
  <c r="U224" i="58"/>
  <c r="BB224" i="58"/>
  <c r="U225" i="58"/>
  <c r="BB225" i="58"/>
  <c r="U226" i="58"/>
  <c r="BB226" i="58"/>
  <c r="U227" i="58"/>
  <c r="BB227" i="58"/>
  <c r="U228" i="58"/>
  <c r="BB228" i="58"/>
  <c r="U229" i="58"/>
  <c r="BB229" i="58"/>
  <c r="U230" i="58"/>
  <c r="BB230" i="58"/>
  <c r="V231" i="58"/>
  <c r="W231" i="58"/>
  <c r="AD231" i="58"/>
  <c r="AE231" i="58"/>
  <c r="AF231" i="58"/>
  <c r="AH231" i="58"/>
  <c r="AI231" i="58"/>
  <c r="AJ231" i="58"/>
  <c r="AK231" i="58"/>
  <c r="AL231" i="58"/>
  <c r="AN231" i="58"/>
  <c r="AO231" i="58"/>
  <c r="AP231" i="58"/>
  <c r="AQ231" i="58"/>
  <c r="AR231" i="58"/>
  <c r="AS231" i="58"/>
  <c r="AZ231" i="58"/>
  <c r="BC231" i="58"/>
  <c r="BD231" i="58"/>
  <c r="BF231" i="58"/>
  <c r="BH231" i="58"/>
  <c r="BI231" i="58"/>
  <c r="BJ231" i="58"/>
  <c r="BK231" i="58"/>
  <c r="BL231" i="58"/>
  <c r="BM231" i="58"/>
  <c r="BN231" i="58"/>
  <c r="BO231" i="58"/>
  <c r="BP231" i="58"/>
  <c r="BQ231" i="58"/>
  <c r="BR231" i="58"/>
  <c r="BS231" i="58"/>
  <c r="U232" i="58"/>
  <c r="BB232" i="58"/>
  <c r="U233" i="58"/>
  <c r="BB233" i="58"/>
  <c r="U234" i="58"/>
  <c r="BB234" i="58"/>
  <c r="U235" i="58"/>
  <c r="BB235" i="58"/>
  <c r="U236" i="58"/>
  <c r="BB236" i="58"/>
  <c r="U237" i="58"/>
  <c r="BB237" i="58"/>
  <c r="U238" i="58"/>
  <c r="BB238" i="58"/>
  <c r="U239" i="58"/>
  <c r="BB239" i="58"/>
  <c r="U240" i="58"/>
  <c r="BB240" i="58"/>
  <c r="U241" i="58"/>
  <c r="BB241" i="58"/>
  <c r="U242" i="58"/>
  <c r="BB242" i="58"/>
  <c r="U243" i="58"/>
  <c r="BB243" i="58"/>
  <c r="U244" i="58"/>
  <c r="BB244" i="58"/>
  <c r="U245" i="58"/>
  <c r="BB245" i="58"/>
  <c r="V246" i="58"/>
  <c r="W246" i="58"/>
  <c r="AD246" i="58"/>
  <c r="AE246" i="58"/>
  <c r="AF246" i="58"/>
  <c r="AH246" i="58"/>
  <c r="AI246" i="58"/>
  <c r="AJ246" i="58"/>
  <c r="AK246" i="58"/>
  <c r="AL246" i="58"/>
  <c r="AN246" i="58"/>
  <c r="AO246" i="58"/>
  <c r="AP246" i="58"/>
  <c r="AQ246" i="58"/>
  <c r="AR246" i="58"/>
  <c r="AS246" i="58"/>
  <c r="AZ246" i="58"/>
  <c r="BC246" i="58"/>
  <c r="BD246" i="58"/>
  <c r="BF246" i="58"/>
  <c r="BH246" i="58"/>
  <c r="BI246" i="58"/>
  <c r="BJ246" i="58"/>
  <c r="BK246" i="58"/>
  <c r="BL246" i="58"/>
  <c r="BM246" i="58"/>
  <c r="BN246" i="58"/>
  <c r="BO246" i="58"/>
  <c r="BP246" i="58"/>
  <c r="BQ246" i="58"/>
  <c r="BR246" i="58"/>
  <c r="BS246" i="58"/>
  <c r="U247" i="58"/>
  <c r="BB247" i="58"/>
  <c r="U248" i="58"/>
  <c r="BB248" i="58"/>
  <c r="U249" i="58"/>
  <c r="BB249" i="58"/>
  <c r="U250" i="58"/>
  <c r="BB250" i="58"/>
  <c r="U251" i="58"/>
  <c r="BB251" i="58"/>
  <c r="U252" i="58"/>
  <c r="BB252" i="58"/>
  <c r="U253" i="58"/>
  <c r="BB253" i="58"/>
  <c r="U254" i="58"/>
  <c r="BB254" i="58"/>
  <c r="U255" i="58"/>
  <c r="BB255" i="58"/>
  <c r="U256" i="58"/>
  <c r="BB256" i="58"/>
  <c r="U257" i="58"/>
  <c r="BB257" i="58"/>
  <c r="U258" i="58"/>
  <c r="BB258" i="58"/>
  <c r="U259" i="58"/>
  <c r="BB259" i="58"/>
  <c r="V260" i="58"/>
  <c r="W260" i="58"/>
  <c r="AD260" i="58"/>
  <c r="AE260" i="58"/>
  <c r="AF260" i="58"/>
  <c r="AH260" i="58"/>
  <c r="AI260" i="58"/>
  <c r="AJ260" i="58"/>
  <c r="AK260" i="58"/>
  <c r="AL260" i="58"/>
  <c r="AN260" i="58"/>
  <c r="AO260" i="58"/>
  <c r="AP260" i="58"/>
  <c r="AQ260" i="58"/>
  <c r="AR260" i="58"/>
  <c r="AS260" i="58"/>
  <c r="AZ260" i="58"/>
  <c r="BC260" i="58"/>
  <c r="BD260" i="58"/>
  <c r="BF260" i="58"/>
  <c r="BH260" i="58"/>
  <c r="BI260" i="58"/>
  <c r="BJ260" i="58"/>
  <c r="BK260" i="58"/>
  <c r="BL260" i="58"/>
  <c r="BM260" i="58"/>
  <c r="BN260" i="58"/>
  <c r="BO260" i="58"/>
  <c r="BP260" i="58"/>
  <c r="BQ260" i="58"/>
  <c r="BR260" i="58"/>
  <c r="BS260" i="58"/>
  <c r="U261" i="58"/>
  <c r="BB261" i="58"/>
  <c r="U262" i="58"/>
  <c r="BB262" i="58"/>
  <c r="U263" i="58"/>
  <c r="BB263" i="58"/>
  <c r="U264" i="58"/>
  <c r="BB264" i="58"/>
  <c r="U265" i="58"/>
  <c r="BB265" i="58"/>
  <c r="U266" i="58"/>
  <c r="BB266" i="58"/>
  <c r="U267" i="58"/>
  <c r="BB267" i="58"/>
  <c r="U268" i="58"/>
  <c r="BB268" i="58"/>
  <c r="U269" i="58"/>
  <c r="BB269" i="58"/>
  <c r="U270" i="58"/>
  <c r="BB270" i="58"/>
  <c r="U271" i="58"/>
  <c r="BB271" i="58"/>
  <c r="U272" i="58"/>
  <c r="BB272" i="58"/>
  <c r="U273" i="58"/>
  <c r="BB273" i="58"/>
  <c r="V274" i="58"/>
  <c r="W274" i="58"/>
  <c r="AD274" i="58"/>
  <c r="AE274" i="58"/>
  <c r="AF274" i="58"/>
  <c r="AH274" i="58"/>
  <c r="AI274" i="58"/>
  <c r="AJ274" i="58"/>
  <c r="AK274" i="58"/>
  <c r="AL274" i="58"/>
  <c r="AN274" i="58"/>
  <c r="AO274" i="58"/>
  <c r="AP274" i="58"/>
  <c r="AQ274" i="58"/>
  <c r="AR274" i="58"/>
  <c r="AS274" i="58"/>
  <c r="AZ274" i="58"/>
  <c r="BC274" i="58"/>
  <c r="BD274" i="58"/>
  <c r="BF274" i="58"/>
  <c r="BH274" i="58"/>
  <c r="BI274" i="58"/>
  <c r="BJ274" i="58"/>
  <c r="BK274" i="58"/>
  <c r="BL274" i="58"/>
  <c r="BM274" i="58"/>
  <c r="BN274" i="58"/>
  <c r="BO274" i="58"/>
  <c r="BP274" i="58"/>
  <c r="BQ274" i="58"/>
  <c r="BR274" i="58"/>
  <c r="BS274" i="58"/>
  <c r="U275" i="58"/>
  <c r="BB275" i="58"/>
  <c r="U276" i="58"/>
  <c r="BB276" i="58"/>
  <c r="U277" i="58"/>
  <c r="BB277" i="58"/>
  <c r="U278" i="58"/>
  <c r="BB278" i="58"/>
  <c r="U279" i="58"/>
  <c r="BB279" i="58"/>
  <c r="U280" i="58"/>
  <c r="BB280" i="58"/>
  <c r="U281" i="58"/>
  <c r="BB281" i="58"/>
  <c r="U282" i="58"/>
  <c r="BB282" i="58"/>
  <c r="U283" i="58"/>
  <c r="BB283" i="58"/>
  <c r="U284" i="58"/>
  <c r="BB284" i="58"/>
  <c r="U285" i="58"/>
  <c r="BB285" i="58"/>
  <c r="U286" i="58"/>
  <c r="BB286" i="58"/>
  <c r="U287" i="58"/>
  <c r="BB287" i="58"/>
  <c r="BB300" i="58"/>
  <c r="U300" i="58"/>
  <c r="BB299" i="58"/>
  <c r="U299" i="58"/>
  <c r="BB298" i="58"/>
  <c r="U298" i="58"/>
  <c r="BB297" i="58"/>
  <c r="U297" i="58"/>
  <c r="BB296" i="58"/>
  <c r="U296" i="58"/>
  <c r="BB295" i="58"/>
  <c r="U295" i="58"/>
  <c r="BB294" i="58"/>
  <c r="U294" i="58"/>
  <c r="BB293" i="58"/>
  <c r="U293" i="58"/>
  <c r="BB292" i="58"/>
  <c r="U292" i="58"/>
  <c r="BB291" i="58"/>
  <c r="U291" i="58"/>
  <c r="BB290" i="58"/>
  <c r="U290" i="58"/>
  <c r="BB289" i="58"/>
  <c r="U289" i="58"/>
  <c r="T289" i="58" l="1"/>
  <c r="T293" i="58"/>
  <c r="T297" i="58"/>
  <c r="T191" i="58"/>
  <c r="T273" i="58"/>
  <c r="T269" i="58"/>
  <c r="T265" i="58"/>
  <c r="T261" i="58"/>
  <c r="T257" i="58"/>
  <c r="T253" i="58"/>
  <c r="T249" i="58"/>
  <c r="T213" i="58"/>
  <c r="T209" i="58"/>
  <c r="T206" i="58"/>
  <c r="T200" i="58"/>
  <c r="T196" i="58"/>
  <c r="T190" i="58"/>
  <c r="T284" i="58"/>
  <c r="T280" i="58"/>
  <c r="T276" i="58"/>
  <c r="T272" i="58"/>
  <c r="T268" i="58"/>
  <c r="T264" i="58"/>
  <c r="T256" i="58"/>
  <c r="T252" i="58"/>
  <c r="T248" i="58"/>
  <c r="T212" i="58"/>
  <c r="T208" i="58"/>
  <c r="T199" i="58"/>
  <c r="T195" i="58"/>
  <c r="T192" i="58"/>
  <c r="T290" i="58"/>
  <c r="T294" i="58"/>
  <c r="T298" i="58"/>
  <c r="T207" i="58"/>
  <c r="T291" i="58"/>
  <c r="T295" i="58"/>
  <c r="T299" i="58"/>
  <c r="T193" i="58"/>
  <c r="T244" i="58"/>
  <c r="T236" i="58"/>
  <c r="T232" i="58"/>
  <c r="T240" i="58"/>
  <c r="T245" i="58"/>
  <c r="T241" i="58"/>
  <c r="T237" i="58"/>
  <c r="T233" i="58"/>
  <c r="T228" i="58"/>
  <c r="T224" i="58"/>
  <c r="T220" i="58"/>
  <c r="T229" i="58"/>
  <c r="T225" i="58"/>
  <c r="T221" i="58"/>
  <c r="T217" i="58"/>
  <c r="T292" i="58"/>
  <c r="T296" i="58"/>
  <c r="T300" i="58"/>
  <c r="T203" i="58"/>
  <c r="T205" i="58"/>
  <c r="T189" i="58"/>
  <c r="T271" i="58"/>
  <c r="T267" i="58"/>
  <c r="T263" i="58"/>
  <c r="T259" i="58"/>
  <c r="T255" i="58"/>
  <c r="T251" i="58"/>
  <c r="T247" i="58"/>
  <c r="T243" i="58"/>
  <c r="T239" i="58"/>
  <c r="T235" i="58"/>
  <c r="T227" i="58"/>
  <c r="T223" i="58"/>
  <c r="T219" i="58"/>
  <c r="T215" i="58"/>
  <c r="T211" i="58"/>
  <c r="T198" i="58"/>
  <c r="T194" i="58"/>
  <c r="T287" i="58"/>
  <c r="T279" i="58"/>
  <c r="T286" i="58"/>
  <c r="T282" i="58"/>
  <c r="T278" i="58"/>
  <c r="T270" i="58"/>
  <c r="T266" i="58"/>
  <c r="T262" i="58"/>
  <c r="T258" i="58"/>
  <c r="T254" i="58"/>
  <c r="T250" i="58"/>
  <c r="T242" i="58"/>
  <c r="T238" i="58"/>
  <c r="T234" i="58"/>
  <c r="T230" i="58"/>
  <c r="T226" i="58"/>
  <c r="T222" i="58"/>
  <c r="T218" i="58"/>
  <c r="T214" i="58"/>
  <c r="T210" i="58"/>
  <c r="T204" i="58"/>
  <c r="T201" i="58"/>
  <c r="T197" i="58"/>
  <c r="T283" i="58"/>
  <c r="T275" i="58"/>
  <c r="T285" i="58"/>
  <c r="T281" i="58"/>
  <c r="T277" i="58"/>
  <c r="BB288" i="58"/>
  <c r="U288" i="58"/>
  <c r="BB274" i="58"/>
  <c r="U260" i="58"/>
  <c r="BB202" i="58"/>
  <c r="BB231" i="58"/>
  <c r="U231" i="58"/>
  <c r="BB246" i="58"/>
  <c r="U274" i="58"/>
  <c r="BB260" i="58"/>
  <c r="U246" i="58"/>
  <c r="BB216" i="58"/>
  <c r="U202" i="58"/>
  <c r="U216" i="58"/>
  <c r="T288" i="58" l="1"/>
  <c r="T231" i="58"/>
  <c r="T216" i="58"/>
  <c r="T274" i="58"/>
  <c r="T260" i="58"/>
  <c r="T202" i="58"/>
  <c r="T246" i="58"/>
  <c r="U159" i="58" l="1"/>
  <c r="T159" i="58" s="1"/>
  <c r="U158" i="58"/>
  <c r="T158" i="58" s="1"/>
  <c r="U157" i="58"/>
  <c r="T157" i="58" s="1"/>
  <c r="U154" i="58"/>
  <c r="U153" i="58"/>
  <c r="T153" i="58" s="1"/>
  <c r="U152" i="58"/>
  <c r="T152" i="58" s="1"/>
  <c r="L152" i="58"/>
  <c r="M152" i="58" s="1"/>
  <c r="O152" i="58" s="1"/>
  <c r="U151" i="58"/>
  <c r="T151" i="58" s="1"/>
  <c r="L151" i="58"/>
  <c r="M151" i="58" s="1"/>
  <c r="O151" i="58" s="1"/>
  <c r="U149" i="58"/>
  <c r="T149" i="58" s="1"/>
  <c r="L149" i="58"/>
  <c r="M149" i="58" s="1"/>
  <c r="O149" i="58" s="1"/>
  <c r="L148" i="58"/>
  <c r="M148" i="58" s="1"/>
  <c r="O148" i="58" s="1"/>
  <c r="L147" i="58"/>
  <c r="M147" i="58" s="1"/>
  <c r="O147" i="58" s="1"/>
  <c r="L146" i="58"/>
  <c r="M146" i="58" s="1"/>
  <c r="O146" i="58" s="1"/>
  <c r="BS145" i="58"/>
  <c r="BS3" i="58" s="1"/>
  <c r="BR145" i="58"/>
  <c r="BR3" i="58" s="1"/>
  <c r="BQ145" i="58"/>
  <c r="BQ3" i="58" s="1"/>
  <c r="BP145" i="58"/>
  <c r="BP3" i="58" s="1"/>
  <c r="BO145" i="58"/>
  <c r="BO3" i="58" s="1"/>
  <c r="BN145" i="58"/>
  <c r="BN3" i="58" s="1"/>
  <c r="BM145" i="58"/>
  <c r="BM3" i="58" s="1"/>
  <c r="BL145" i="58"/>
  <c r="BL3" i="58" s="1"/>
  <c r="BK145" i="58"/>
  <c r="BK3" i="58" s="1"/>
  <c r="BJ145" i="58"/>
  <c r="BJ3" i="58" s="1"/>
  <c r="BI145" i="58"/>
  <c r="BI3" i="58" s="1"/>
  <c r="BH145" i="58"/>
  <c r="BH3" i="58" s="1"/>
  <c r="BF145" i="58"/>
  <c r="BF3" i="58" s="1"/>
  <c r="BD145" i="58"/>
  <c r="BD3" i="58" s="1"/>
  <c r="BC145" i="58"/>
  <c r="BC3" i="58" s="1"/>
  <c r="AZ145" i="58"/>
  <c r="AZ3" i="58" s="1"/>
  <c r="AS145" i="58"/>
  <c r="AS3" i="58" s="1"/>
  <c r="AR145" i="58"/>
  <c r="AR3" i="58" s="1"/>
  <c r="AQ145" i="58"/>
  <c r="AQ3" i="58" s="1"/>
  <c r="AP145" i="58"/>
  <c r="AP3" i="58" s="1"/>
  <c r="AO145" i="58"/>
  <c r="AO3" i="58" s="1"/>
  <c r="AN145" i="58"/>
  <c r="AN3" i="58" s="1"/>
  <c r="AL145" i="58"/>
  <c r="AL3" i="58" s="1"/>
  <c r="AK145" i="58"/>
  <c r="AK3" i="58" s="1"/>
  <c r="AJ145" i="58"/>
  <c r="AJ3" i="58" s="1"/>
  <c r="AI145" i="58"/>
  <c r="AI3" i="58" s="1"/>
  <c r="AH145" i="58"/>
  <c r="AH3" i="58" s="1"/>
  <c r="AF145" i="58"/>
  <c r="AF3" i="58" s="1"/>
  <c r="AE145" i="58"/>
  <c r="AE3" i="58" s="1"/>
  <c r="AD145" i="58"/>
  <c r="AD3" i="58" s="1"/>
  <c r="W145" i="58"/>
  <c r="W3" i="58" s="1"/>
  <c r="V145" i="58"/>
  <c r="V3" i="58" s="1"/>
  <c r="L2" i="58"/>
  <c r="M2" i="58" s="1"/>
  <c r="O2" i="58" s="1"/>
  <c r="L1" i="58"/>
  <c r="M1" i="58" s="1"/>
  <c r="O1" i="58" s="1"/>
  <c r="T154" i="58" l="1"/>
  <c r="U145" i="58"/>
  <c r="BB174" i="58"/>
  <c r="BB160" i="58"/>
  <c r="U174" i="58"/>
  <c r="U160" i="58"/>
  <c r="BB145" i="58"/>
  <c r="BB188" i="58"/>
  <c r="U188" i="58"/>
  <c r="T188" i="58"/>
  <c r="BB3" i="58" l="1"/>
  <c r="U3" i="58"/>
  <c r="T160" i="58"/>
  <c r="T174" i="58"/>
  <c r="T145" i="58"/>
  <c r="T3" i="58" l="1"/>
  <c r="F48" i="139"/>
  <c r="G48" i="139" s="1"/>
  <c r="F25" i="139"/>
  <c r="F152" i="139" s="1"/>
  <c r="X48" i="139"/>
  <c r="X25" i="139" s="1"/>
  <c r="X152" i="139" s="1"/>
  <c r="S48" i="139"/>
  <c r="S25" i="139" s="1"/>
  <c r="S152" i="139" s="1"/>
  <c r="Y48" i="139"/>
  <c r="Y25" i="139" s="1"/>
  <c r="Y152" i="139" s="1"/>
  <c r="K48" i="139"/>
  <c r="K25" i="139" s="1"/>
  <c r="K152" i="139" s="1"/>
  <c r="T48" i="139"/>
  <c r="N48" i="139"/>
  <c r="N25" i="139" s="1"/>
  <c r="N152" i="139" s="1"/>
  <c r="P48" i="139"/>
  <c r="P25" i="139" s="1"/>
  <c r="P152" i="139" s="1"/>
  <c r="Z48" i="139"/>
  <c r="Z25" i="139" s="1"/>
  <c r="Z152" i="139" s="1"/>
  <c r="M48" i="139"/>
  <c r="M25" i="139" s="1"/>
  <c r="M152" i="139" s="1"/>
  <c r="O48" i="139"/>
  <c r="O25" i="139" s="1"/>
  <c r="O152" i="139" s="1"/>
  <c r="I48" i="139"/>
  <c r="Q48" i="139"/>
  <c r="Q25" i="139" s="1"/>
  <c r="Q152" i="139" s="1"/>
  <c r="AA48" i="139"/>
  <c r="AA25" i="139" s="1"/>
  <c r="AA152" i="139" s="1"/>
  <c r="L48" i="139"/>
  <c r="L25" i="139" s="1"/>
  <c r="L152" i="139" s="1"/>
  <c r="W48" i="139"/>
  <c r="J48" i="139"/>
  <c r="J25" i="139" s="1"/>
  <c r="J152" i="139" s="1"/>
  <c r="R48" i="139"/>
  <c r="R25" i="139" s="1"/>
  <c r="R152" i="139" s="1"/>
  <c r="AB48" i="139"/>
  <c r="AB25" i="139" s="1"/>
  <c r="AB152" i="139" s="1"/>
  <c r="W25" i="139" l="1"/>
  <c r="W152" i="139" s="1"/>
  <c r="AI48" i="139"/>
  <c r="I25" i="139"/>
  <c r="I152" i="139" s="1"/>
  <c r="U48" i="139"/>
  <c r="D48" i="139" s="1"/>
  <c r="G25" i="139"/>
  <c r="T25" i="139"/>
  <c r="T152" i="139" s="1"/>
  <c r="G152" i="139" l="1"/>
  <c r="AI152" i="139"/>
  <c r="U152" i="139"/>
  <c r="U25" i="139"/>
  <c r="AI25" i="139"/>
  <c r="D25" i="139" l="1"/>
  <c r="E25" i="139" s="1"/>
  <c r="D152" i="139"/>
  <c r="E152" i="139" s="1"/>
  <c r="E87" i="139"/>
  <c r="E29" i="139"/>
  <c r="E95" i="139"/>
  <c r="E48" i="139"/>
  <c r="E145" i="139"/>
  <c r="E113" i="139"/>
  <c r="E16" i="139"/>
  <c r="E19" i="139" l="1"/>
  <c r="E9" i="139"/>
  <c r="E18" i="139"/>
  <c r="E11" i="139"/>
  <c r="E14" i="139"/>
  <c r="E135" i="139"/>
  <c r="E15" i="139"/>
  <c r="E13" i="139"/>
  <c r="E23" i="139"/>
  <c r="E17" i="139"/>
  <c r="E108" i="139"/>
  <c r="E92" i="139"/>
  <c r="E63" i="139"/>
  <c r="E132" i="139"/>
  <c r="E123" i="139"/>
  <c r="E26" i="139"/>
  <c r="E75" i="139"/>
  <c r="E97" i="139"/>
  <c r="E32" i="139"/>
  <c r="E129" i="139"/>
  <c r="E50" i="139"/>
  <c r="E5" i="139"/>
  <c r="E24" i="139"/>
  <c r="E22" i="139"/>
  <c r="E10" i="139"/>
  <c r="E12" i="139"/>
  <c r="E21" i="139"/>
  <c r="E8" i="139"/>
  <c r="E20" i="139"/>
  <c r="E80" i="139"/>
  <c r="E41" i="139"/>
  <c r="E57" i="139"/>
  <c r="E89" i="139"/>
  <c r="E138" i="139"/>
  <c r="E7" i="139"/>
  <c r="E4" i="139" l="1"/>
</calcChain>
</file>

<file path=xl/sharedStrings.xml><?xml version="1.0" encoding="utf-8"?>
<sst xmlns="http://schemas.openxmlformats.org/spreadsheetml/2006/main" count="16650" uniqueCount="3645">
  <si>
    <t>Date</t>
    <phoneticPr fontId="5" type="noConversion"/>
  </si>
  <si>
    <t>S/N</t>
    <phoneticPr fontId="5" type="noConversion"/>
  </si>
  <si>
    <t>-</t>
    <phoneticPr fontId="5" type="noConversion"/>
  </si>
  <si>
    <t>N/A</t>
    <phoneticPr fontId="5" type="noConversion"/>
  </si>
  <si>
    <t>A1</t>
    <phoneticPr fontId="5" type="noConversion"/>
  </si>
  <si>
    <t>N/A</t>
    <phoneticPr fontId="5" type="noConversion"/>
  </si>
  <si>
    <t>P</t>
    <phoneticPr fontId="5" type="noConversion"/>
  </si>
  <si>
    <t>-</t>
    <phoneticPr fontId="5" type="noConversion"/>
  </si>
  <si>
    <t/>
  </si>
  <si>
    <t>TBA</t>
    <phoneticPr fontId="5" type="noConversion"/>
  </si>
  <si>
    <t>R</t>
    <phoneticPr fontId="5" type="noConversion"/>
  </si>
  <si>
    <t>G1</t>
    <phoneticPr fontId="5" type="noConversion"/>
  </si>
  <si>
    <t>G2</t>
    <phoneticPr fontId="5" type="noConversion"/>
  </si>
  <si>
    <t>G3</t>
    <phoneticPr fontId="5" type="noConversion"/>
  </si>
  <si>
    <t>From</t>
    <phoneticPr fontId="5" type="noConversion"/>
  </si>
  <si>
    <t>To</t>
    <phoneticPr fontId="5" type="noConversion"/>
  </si>
  <si>
    <t>-</t>
    <phoneticPr fontId="5" type="noConversion"/>
  </si>
  <si>
    <t>1 (SS, SA, AS)</t>
    <phoneticPr fontId="5" type="noConversion"/>
  </si>
  <si>
    <t>3 (SC, AB, BA, CS)</t>
    <phoneticPr fontId="5" type="noConversion"/>
  </si>
  <si>
    <t>G2</t>
    <phoneticPr fontId="5" type="noConversion"/>
  </si>
  <si>
    <t>G2</t>
    <phoneticPr fontId="5" type="noConversion"/>
  </si>
  <si>
    <t>G4</t>
    <phoneticPr fontId="5" type="noConversion"/>
  </si>
  <si>
    <t>G</t>
    <phoneticPr fontId="5" type="noConversion"/>
  </si>
  <si>
    <r>
      <rPr>
        <sz val="10"/>
        <color theme="1"/>
        <rFont val="맑은 고딕"/>
        <family val="3"/>
        <charset val="129"/>
      </rPr>
      <t>구분</t>
    </r>
    <phoneticPr fontId="5" type="noConversion"/>
  </si>
  <si>
    <r>
      <rPr>
        <sz val="10"/>
        <color theme="1"/>
        <rFont val="맑은 고딕"/>
        <family val="3"/>
        <charset val="129"/>
      </rPr>
      <t>실수령액</t>
    </r>
    <phoneticPr fontId="5" type="noConversion"/>
  </si>
  <si>
    <r>
      <rPr>
        <sz val="10"/>
        <color theme="1"/>
        <rFont val="맑은 고딕"/>
        <family val="3"/>
        <charset val="129"/>
      </rPr>
      <t>지급총액</t>
    </r>
    <phoneticPr fontId="5" type="noConversion"/>
  </si>
  <si>
    <r>
      <rPr>
        <sz val="10"/>
        <color theme="1"/>
        <rFont val="맑은 고딕"/>
        <family val="3"/>
        <charset val="129"/>
      </rPr>
      <t>기본급</t>
    </r>
    <phoneticPr fontId="5" type="noConversion"/>
  </si>
  <si>
    <r>
      <rPr>
        <sz val="10"/>
        <color theme="1"/>
        <rFont val="맑은 고딕"/>
        <family val="3"/>
        <charset val="129"/>
      </rPr>
      <t>시간외수당</t>
    </r>
    <phoneticPr fontId="5" type="noConversion"/>
  </si>
  <si>
    <r>
      <rPr>
        <sz val="10"/>
        <color theme="1"/>
        <rFont val="맑은 고딕"/>
        <family val="3"/>
        <charset val="129"/>
      </rPr>
      <t>성과급</t>
    </r>
    <phoneticPr fontId="5" type="noConversion"/>
  </si>
  <si>
    <r>
      <rPr>
        <sz val="10"/>
        <color theme="1"/>
        <rFont val="맑은 고딕"/>
        <family val="3"/>
        <charset val="129"/>
      </rPr>
      <t>격려금</t>
    </r>
    <phoneticPr fontId="5" type="noConversion"/>
  </si>
  <si>
    <r>
      <rPr>
        <sz val="10"/>
        <color theme="1"/>
        <rFont val="맑은 고딕"/>
        <family val="3"/>
        <charset val="129"/>
      </rPr>
      <t>기본</t>
    </r>
    <r>
      <rPr>
        <sz val="10"/>
        <color theme="1"/>
        <rFont val="Arial"/>
        <family val="2"/>
      </rPr>
      <t>-</t>
    </r>
    <r>
      <rPr>
        <sz val="10"/>
        <color theme="1"/>
        <rFont val="맑은 고딕"/>
        <family val="3"/>
        <charset val="129"/>
      </rPr>
      <t>자격면허</t>
    </r>
    <phoneticPr fontId="5" type="noConversion"/>
  </si>
  <si>
    <r>
      <rPr>
        <sz val="10"/>
        <color theme="1"/>
        <rFont val="맑은 고딕"/>
        <family val="3"/>
        <charset val="129"/>
      </rPr>
      <t>영유아보육수당</t>
    </r>
    <phoneticPr fontId="5" type="noConversion"/>
  </si>
  <si>
    <r>
      <rPr>
        <sz val="10"/>
        <color theme="1"/>
        <rFont val="맑은 고딕"/>
        <family val="3"/>
        <charset val="129"/>
      </rPr>
      <t>본사중식대</t>
    </r>
    <phoneticPr fontId="5" type="noConversion"/>
  </si>
  <si>
    <r>
      <rPr>
        <sz val="10"/>
        <color theme="1"/>
        <rFont val="맑은 고딕"/>
        <family val="3"/>
        <charset val="129"/>
      </rPr>
      <t>선물지급금</t>
    </r>
    <phoneticPr fontId="5" type="noConversion"/>
  </si>
  <si>
    <r>
      <rPr>
        <sz val="10"/>
        <color theme="1"/>
        <rFont val="맑은 고딕"/>
        <family val="3"/>
        <charset val="129"/>
      </rPr>
      <t>하계휴가비</t>
    </r>
    <phoneticPr fontId="5" type="noConversion"/>
  </si>
  <si>
    <r>
      <rPr>
        <sz val="10"/>
        <color theme="1"/>
        <rFont val="맑은 고딕"/>
        <family val="3"/>
        <charset val="129"/>
      </rPr>
      <t>교통비</t>
    </r>
    <phoneticPr fontId="5" type="noConversion"/>
  </si>
  <si>
    <r>
      <rPr>
        <sz val="10"/>
        <color theme="1"/>
        <rFont val="맑은 고딕"/>
        <family val="3"/>
        <charset val="129"/>
      </rPr>
      <t>공조금</t>
    </r>
    <r>
      <rPr>
        <sz val="10"/>
        <color theme="1"/>
        <rFont val="Arial"/>
        <family val="2"/>
      </rPr>
      <t>(</t>
    </r>
    <r>
      <rPr>
        <sz val="10"/>
        <color theme="1"/>
        <rFont val="맑은 고딕"/>
        <family val="3"/>
        <charset val="129"/>
      </rPr>
      <t>회사</t>
    </r>
    <r>
      <rPr>
        <sz val="10"/>
        <color theme="1"/>
        <rFont val="Arial"/>
        <family val="2"/>
      </rPr>
      <t>)</t>
    </r>
    <phoneticPr fontId="5" type="noConversion"/>
  </si>
  <si>
    <r>
      <rPr>
        <sz val="10"/>
        <color theme="1"/>
        <rFont val="맑은 고딕"/>
        <family val="3"/>
        <charset val="129"/>
      </rPr>
      <t>공조금</t>
    </r>
    <r>
      <rPr>
        <sz val="10"/>
        <color theme="1"/>
        <rFont val="Arial"/>
        <family val="2"/>
      </rPr>
      <t>(</t>
    </r>
    <r>
      <rPr>
        <sz val="10"/>
        <color theme="1"/>
        <rFont val="맑은 고딕"/>
        <family val="3"/>
        <charset val="129"/>
      </rPr>
      <t>공조회</t>
    </r>
    <r>
      <rPr>
        <sz val="10"/>
        <color theme="1"/>
        <rFont val="Arial"/>
        <family val="2"/>
      </rPr>
      <t>)</t>
    </r>
    <phoneticPr fontId="5" type="noConversion"/>
  </si>
  <si>
    <r>
      <rPr>
        <sz val="10"/>
        <color theme="1"/>
        <rFont val="맑은 고딕"/>
        <family val="3"/>
        <charset val="129"/>
      </rPr>
      <t>교육비</t>
    </r>
    <phoneticPr fontId="5" type="noConversion"/>
  </si>
  <si>
    <r>
      <rPr>
        <sz val="10"/>
        <color theme="1"/>
        <rFont val="맑은 고딕"/>
        <family val="3"/>
        <charset val="129"/>
      </rPr>
      <t>포상금</t>
    </r>
    <phoneticPr fontId="5" type="noConversion"/>
  </si>
  <si>
    <r>
      <rPr>
        <sz val="10"/>
        <color theme="1"/>
        <rFont val="맑은 고딕"/>
        <family val="3"/>
        <charset val="129"/>
      </rPr>
      <t>급여소급</t>
    </r>
    <phoneticPr fontId="5" type="noConversion"/>
  </si>
  <si>
    <r>
      <rPr>
        <sz val="10"/>
        <color theme="1"/>
        <rFont val="맑은 고딕"/>
        <family val="3"/>
        <charset val="129"/>
      </rPr>
      <t>공제총액</t>
    </r>
    <phoneticPr fontId="5" type="noConversion"/>
  </si>
  <si>
    <r>
      <rPr>
        <sz val="10"/>
        <color theme="1"/>
        <rFont val="맑은 고딕"/>
        <family val="3"/>
        <charset val="129"/>
      </rPr>
      <t>연말정산세액</t>
    </r>
    <phoneticPr fontId="5" type="noConversion"/>
  </si>
  <si>
    <r>
      <rPr>
        <sz val="10"/>
        <color theme="1"/>
        <rFont val="맑은 고딕"/>
        <family val="3"/>
        <charset val="129"/>
      </rPr>
      <t>갑근세</t>
    </r>
    <phoneticPr fontId="5" type="noConversion"/>
  </si>
  <si>
    <r>
      <rPr>
        <sz val="10"/>
        <color theme="1"/>
        <rFont val="맑은 고딕"/>
        <family val="3"/>
        <charset val="129"/>
      </rPr>
      <t>주민세</t>
    </r>
    <phoneticPr fontId="5" type="noConversion"/>
  </si>
  <si>
    <r>
      <rPr>
        <sz val="10"/>
        <color theme="1"/>
        <rFont val="맑은 고딕"/>
        <family val="3"/>
        <charset val="129"/>
      </rPr>
      <t>건강보험료</t>
    </r>
    <phoneticPr fontId="5" type="noConversion"/>
  </si>
  <si>
    <r>
      <rPr>
        <sz val="10"/>
        <color theme="1"/>
        <rFont val="맑은 고딕"/>
        <family val="3"/>
        <charset val="129"/>
      </rPr>
      <t>국민연금</t>
    </r>
    <phoneticPr fontId="5" type="noConversion"/>
  </si>
  <si>
    <r>
      <rPr>
        <sz val="10"/>
        <color theme="1"/>
        <rFont val="맑은 고딕"/>
        <family val="3"/>
        <charset val="129"/>
      </rPr>
      <t>고용보험료</t>
    </r>
    <phoneticPr fontId="5" type="noConversion"/>
  </si>
  <si>
    <r>
      <rPr>
        <sz val="10"/>
        <color theme="1"/>
        <rFont val="맑은 고딕"/>
        <family val="3"/>
        <charset val="129"/>
      </rPr>
      <t>공조회비</t>
    </r>
    <phoneticPr fontId="5" type="noConversion"/>
  </si>
  <si>
    <r>
      <rPr>
        <sz val="10"/>
        <color theme="1"/>
        <rFont val="맑은 고딕"/>
        <family val="3"/>
        <charset val="129"/>
      </rPr>
      <t>선물지급금공제</t>
    </r>
    <phoneticPr fontId="5" type="noConversion"/>
  </si>
  <si>
    <r>
      <rPr>
        <sz val="10"/>
        <color theme="1"/>
        <rFont val="맑은 고딕"/>
        <family val="3"/>
        <charset val="129"/>
      </rPr>
      <t>식당중식대공제</t>
    </r>
    <phoneticPr fontId="5" type="noConversion"/>
  </si>
  <si>
    <r>
      <rPr>
        <sz val="10"/>
        <color theme="1"/>
        <rFont val="맑은 고딕"/>
        <family val="3"/>
        <charset val="129"/>
      </rPr>
      <t>건강보험정산</t>
    </r>
    <r>
      <rPr>
        <sz val="10"/>
        <color theme="1"/>
        <rFont val="Arial"/>
        <family val="2"/>
      </rPr>
      <t>(</t>
    </r>
    <r>
      <rPr>
        <sz val="10"/>
        <color theme="1"/>
        <rFont val="맑은 고딕"/>
        <family val="3"/>
        <charset val="129"/>
      </rPr>
      <t>연말</t>
    </r>
    <r>
      <rPr>
        <sz val="10"/>
        <color theme="1"/>
        <rFont val="Arial"/>
        <family val="2"/>
      </rPr>
      <t>)</t>
    </r>
    <phoneticPr fontId="5" type="noConversion"/>
  </si>
  <si>
    <r>
      <rPr>
        <sz val="10"/>
        <color theme="1"/>
        <rFont val="맑은 고딕"/>
        <family val="3"/>
        <charset val="129"/>
      </rPr>
      <t>신원보증보험료</t>
    </r>
    <phoneticPr fontId="5" type="noConversion"/>
  </si>
  <si>
    <r>
      <rPr>
        <sz val="10"/>
        <color theme="1"/>
        <rFont val="맑은 고딕"/>
        <family val="3"/>
        <charset val="129"/>
      </rPr>
      <t>성금</t>
    </r>
    <phoneticPr fontId="5" type="noConversion"/>
  </si>
  <si>
    <r>
      <rPr>
        <sz val="10"/>
        <color theme="1"/>
        <rFont val="맑은 고딕"/>
        <family val="3"/>
        <charset val="129"/>
      </rPr>
      <t>급여</t>
    </r>
    <phoneticPr fontId="5" type="noConversion"/>
  </si>
  <si>
    <r>
      <rPr>
        <sz val="10"/>
        <color theme="1"/>
        <rFont val="맑은 고딕"/>
        <family val="3"/>
        <charset val="129"/>
      </rPr>
      <t>급여</t>
    </r>
    <phoneticPr fontId="5" type="noConversion"/>
  </si>
  <si>
    <r>
      <rPr>
        <sz val="10"/>
        <color theme="1"/>
        <rFont val="맑은 고딕"/>
        <family val="3"/>
        <charset val="129"/>
      </rPr>
      <t>급여</t>
    </r>
  </si>
  <si>
    <t>기타공제</t>
    <phoneticPr fontId="5" type="noConversion"/>
  </si>
  <si>
    <t>연차수당</t>
    <phoneticPr fontId="5" type="noConversion"/>
  </si>
  <si>
    <t>고용보험추가공제</t>
    <phoneticPr fontId="5" type="noConversion"/>
  </si>
  <si>
    <t>GRAND TOTAL</t>
    <phoneticPr fontId="5" type="noConversion"/>
  </si>
  <si>
    <t>2020 TOTAL</t>
    <phoneticPr fontId="5" type="noConversion"/>
  </si>
  <si>
    <t>2016 TOTAL</t>
    <phoneticPr fontId="5" type="noConversion"/>
  </si>
  <si>
    <t>2015 TOTAL</t>
    <phoneticPr fontId="5" type="noConversion"/>
  </si>
  <si>
    <t>교육비공제</t>
    <phoneticPr fontId="5" type="noConversion"/>
  </si>
  <si>
    <t>기타가감</t>
    <phoneticPr fontId="5" type="noConversion"/>
  </si>
  <si>
    <t>2021 TOTAL</t>
    <phoneticPr fontId="5" type="noConversion"/>
  </si>
  <si>
    <t>Total</t>
    <phoneticPr fontId="5" type="noConversion"/>
  </si>
  <si>
    <t>개인연금수당</t>
    <phoneticPr fontId="5" type="noConversion"/>
  </si>
  <si>
    <t>저축계</t>
    <phoneticPr fontId="5" type="noConversion"/>
  </si>
  <si>
    <t>X</t>
    <phoneticPr fontId="5" type="noConversion"/>
  </si>
  <si>
    <t>Wedge</t>
    <phoneticPr fontId="5" type="noConversion"/>
  </si>
  <si>
    <t>Club</t>
    <phoneticPr fontId="5" type="noConversion"/>
  </si>
  <si>
    <t>No.</t>
    <phoneticPr fontId="5" type="noConversion"/>
  </si>
  <si>
    <t>Release Year</t>
    <phoneticPr fontId="5" type="noConversion"/>
  </si>
  <si>
    <t>Head</t>
    <phoneticPr fontId="5" type="noConversion"/>
  </si>
  <si>
    <t>Loft</t>
    <phoneticPr fontId="5" type="noConversion"/>
  </si>
  <si>
    <t>Lie</t>
    <phoneticPr fontId="5" type="noConversion"/>
  </si>
  <si>
    <t>Bounce</t>
    <phoneticPr fontId="5" type="noConversion"/>
  </si>
  <si>
    <t>Groove</t>
    <phoneticPr fontId="5" type="noConversion"/>
  </si>
  <si>
    <t>Shaft</t>
    <phoneticPr fontId="5" type="noConversion"/>
  </si>
  <si>
    <t>Model</t>
    <phoneticPr fontId="5" type="noConversion"/>
  </si>
  <si>
    <t>Stiffness</t>
    <phoneticPr fontId="5" type="noConversion"/>
  </si>
  <si>
    <t>Weight</t>
    <phoneticPr fontId="5" type="noConversion"/>
  </si>
  <si>
    <t>Balance</t>
    <phoneticPr fontId="5" type="noConversion"/>
  </si>
  <si>
    <t>Torque</t>
    <phoneticPr fontId="5" type="noConversion"/>
  </si>
  <si>
    <t>Maker</t>
    <phoneticPr fontId="5" type="noConversion"/>
  </si>
  <si>
    <t>Model</t>
    <phoneticPr fontId="5" type="noConversion"/>
  </si>
  <si>
    <t>Club Length</t>
    <phoneticPr fontId="5" type="noConversion"/>
  </si>
  <si>
    <t>Driver</t>
    <phoneticPr fontId="5" type="noConversion"/>
  </si>
  <si>
    <t>Fairway Wood</t>
    <phoneticPr fontId="5" type="noConversion"/>
  </si>
  <si>
    <t>Hybrid</t>
    <phoneticPr fontId="5" type="noConversion"/>
  </si>
  <si>
    <t>Driving Iron</t>
    <phoneticPr fontId="5" type="noConversion"/>
  </si>
  <si>
    <t>Iron</t>
    <phoneticPr fontId="5" type="noConversion"/>
  </si>
  <si>
    <t>#4</t>
    <phoneticPr fontId="5" type="noConversion"/>
  </si>
  <si>
    <t>#5</t>
  </si>
  <si>
    <t>#6</t>
  </si>
  <si>
    <t>#7</t>
  </si>
  <si>
    <t>#8</t>
  </si>
  <si>
    <t>#9</t>
  </si>
  <si>
    <t>S</t>
    <phoneticPr fontId="5" type="noConversion"/>
  </si>
  <si>
    <t>Putter</t>
    <phoneticPr fontId="5" type="noConversion"/>
  </si>
  <si>
    <t>#3</t>
    <phoneticPr fontId="5" type="noConversion"/>
  </si>
  <si>
    <t>#5</t>
    <phoneticPr fontId="5" type="noConversion"/>
  </si>
  <si>
    <t>Callaway</t>
    <phoneticPr fontId="5" type="noConversion"/>
  </si>
  <si>
    <t>Jaws Forged</t>
    <phoneticPr fontId="5" type="noConversion"/>
  </si>
  <si>
    <t>P790</t>
    <phoneticPr fontId="5" type="noConversion"/>
  </si>
  <si>
    <t>Bettinardi</t>
    <phoneticPr fontId="5" type="noConversion"/>
  </si>
  <si>
    <t>BB1</t>
    <phoneticPr fontId="5" type="noConversion"/>
  </si>
  <si>
    <t>Mid</t>
    <phoneticPr fontId="5" type="noConversion"/>
  </si>
  <si>
    <t>20V</t>
    <phoneticPr fontId="5" type="noConversion"/>
  </si>
  <si>
    <t>37V</t>
    <phoneticPr fontId="5" type="noConversion"/>
  </si>
  <si>
    <t>DYNAMIC GOLD</t>
    <phoneticPr fontId="5" type="noConversion"/>
  </si>
  <si>
    <t>S200</t>
    <phoneticPr fontId="5" type="noConversion"/>
  </si>
  <si>
    <t>D2</t>
    <phoneticPr fontId="5" type="noConversion"/>
  </si>
  <si>
    <t>D3</t>
    <phoneticPr fontId="5" type="noConversion"/>
  </si>
  <si>
    <t>D4</t>
    <phoneticPr fontId="5" type="noConversion"/>
  </si>
  <si>
    <t>Toe Hang</t>
    <phoneticPr fontId="5" type="noConversion"/>
  </si>
  <si>
    <t>1/2</t>
    <phoneticPr fontId="5" type="noConversion"/>
  </si>
  <si>
    <t>Titleist</t>
    <phoneticPr fontId="5" type="noConversion"/>
  </si>
  <si>
    <t>TOUR AD HYB BLACK 75</t>
    <phoneticPr fontId="5" type="noConversion"/>
  </si>
  <si>
    <t>NS PRO MODUS 3 105</t>
    <phoneticPr fontId="5" type="noConversion"/>
  </si>
  <si>
    <t>Launch</t>
    <phoneticPr fontId="5" type="noConversion"/>
  </si>
  <si>
    <t>Low</t>
    <phoneticPr fontId="5" type="noConversion"/>
  </si>
  <si>
    <t>TENSEI AV RAW BLUE 65</t>
    <phoneticPr fontId="5" type="noConversion"/>
  </si>
  <si>
    <t>2022 TOTAL</t>
    <phoneticPr fontId="5" type="noConversion"/>
  </si>
  <si>
    <t>2019 TOTAL</t>
    <phoneticPr fontId="5" type="noConversion"/>
  </si>
  <si>
    <t>2018 TOTAL</t>
    <phoneticPr fontId="5" type="noConversion"/>
  </si>
  <si>
    <t>2017 TOTAL</t>
    <phoneticPr fontId="5" type="noConversion"/>
  </si>
  <si>
    <t>2014 TOTAL</t>
    <phoneticPr fontId="5" type="noConversion"/>
  </si>
  <si>
    <t>TSi2 Fairway</t>
    <phoneticPr fontId="5" type="noConversion"/>
  </si>
  <si>
    <t>TSi2 Hybrid</t>
    <phoneticPr fontId="5" type="noConversion"/>
  </si>
  <si>
    <t>Date</t>
    <phoneticPr fontId="5" type="noConversion"/>
  </si>
  <si>
    <t>S/N</t>
    <phoneticPr fontId="5" type="noConversion"/>
  </si>
  <si>
    <t>Club</t>
    <phoneticPr fontId="5" type="noConversion"/>
  </si>
  <si>
    <t>Member</t>
    <phoneticPr fontId="5" type="noConversion"/>
  </si>
  <si>
    <t>Course</t>
    <phoneticPr fontId="5" type="noConversion"/>
  </si>
  <si>
    <t>Par</t>
    <phoneticPr fontId="5" type="noConversion"/>
  </si>
  <si>
    <t>Fairway</t>
    <phoneticPr fontId="5" type="noConversion"/>
  </si>
  <si>
    <t>Putt</t>
    <phoneticPr fontId="5" type="noConversion"/>
  </si>
  <si>
    <t>Hole</t>
    <phoneticPr fontId="5" type="noConversion"/>
  </si>
  <si>
    <t>Tee Time</t>
    <phoneticPr fontId="5" type="noConversion"/>
  </si>
  <si>
    <t>N/A</t>
    <phoneticPr fontId="5" type="noConversion"/>
  </si>
  <si>
    <t>Score</t>
    <phoneticPr fontId="5" type="noConversion"/>
  </si>
  <si>
    <t>-</t>
    <phoneticPr fontId="5" type="noConversion"/>
  </si>
  <si>
    <t>GIR</t>
    <phoneticPr fontId="5" type="noConversion"/>
  </si>
  <si>
    <t>VENTUS BLUE 5S</t>
    <phoneticPr fontId="5" type="noConversion"/>
  </si>
  <si>
    <t>VENTUS BLUE 6S</t>
    <phoneticPr fontId="5" type="noConversion"/>
  </si>
  <si>
    <t>사우스스프링스</t>
    <phoneticPr fontId="5" type="noConversion"/>
  </si>
  <si>
    <t>Studio Stock 17</t>
    <phoneticPr fontId="5" type="noConversion"/>
  </si>
  <si>
    <t>남여주</t>
    <phoneticPr fontId="5" type="noConversion"/>
  </si>
  <si>
    <t>베어즈베스트청라</t>
    <phoneticPr fontId="5" type="noConversion"/>
  </si>
  <si>
    <t>아리지</t>
    <phoneticPr fontId="5" type="noConversion"/>
  </si>
  <si>
    <t>비고</t>
    <phoneticPr fontId="5" type="noConversion"/>
  </si>
  <si>
    <t>구분</t>
    <phoneticPr fontId="5" type="noConversion"/>
  </si>
  <si>
    <t>안성</t>
    <phoneticPr fontId="5" type="noConversion"/>
  </si>
  <si>
    <t>소피아그린</t>
    <phoneticPr fontId="5" type="noConversion"/>
  </si>
  <si>
    <t>푸른솔포천</t>
    <phoneticPr fontId="5" type="noConversion"/>
  </si>
  <si>
    <t>금강</t>
    <phoneticPr fontId="5" type="noConversion"/>
  </si>
  <si>
    <t>실크밸리</t>
    <phoneticPr fontId="5" type="noConversion"/>
  </si>
  <si>
    <t>Distance</t>
    <phoneticPr fontId="5" type="noConversion"/>
  </si>
  <si>
    <t>USA - AUS</t>
    <phoneticPr fontId="5" type="noConversion"/>
  </si>
  <si>
    <t>Srixon</t>
    <phoneticPr fontId="5" type="noConversion"/>
  </si>
  <si>
    <t>ZX7</t>
    <phoneticPr fontId="5" type="noConversion"/>
  </si>
  <si>
    <t>TaylorMade</t>
    <phoneticPr fontId="5" type="noConversion"/>
  </si>
  <si>
    <t>Size</t>
    <phoneticPr fontId="5" type="noConversion"/>
  </si>
  <si>
    <t>윤희수</t>
    <phoneticPr fontId="5" type="noConversion"/>
  </si>
  <si>
    <t>Grip</t>
    <phoneticPr fontId="5" type="noConversion"/>
  </si>
  <si>
    <t>Golf Pride</t>
    <phoneticPr fontId="5" type="noConversion"/>
  </si>
  <si>
    <t>Iomic</t>
    <phoneticPr fontId="5" type="noConversion"/>
  </si>
  <si>
    <t>STICKY OPUS BLACK</t>
    <phoneticPr fontId="5" type="noConversion"/>
  </si>
  <si>
    <t>TOUR VELVET</t>
    <phoneticPr fontId="5" type="noConversion"/>
  </si>
  <si>
    <t>TOUR VELVET 360</t>
    <phoneticPr fontId="5" type="noConversion"/>
  </si>
  <si>
    <t>도정호</t>
    <phoneticPr fontId="5" type="noConversion"/>
  </si>
  <si>
    <t>Challenge - Victory</t>
    <phoneticPr fontId="5" type="noConversion"/>
  </si>
  <si>
    <t>남춘천</t>
    <phoneticPr fontId="5" type="noConversion"/>
  </si>
  <si>
    <t>2023 TOTAL</t>
    <phoneticPr fontId="5" type="noConversion"/>
  </si>
  <si>
    <t>2024 TOTAL</t>
    <phoneticPr fontId="5" type="noConversion"/>
  </si>
  <si>
    <t>포천힐마루</t>
    <phoneticPr fontId="5" type="noConversion"/>
  </si>
  <si>
    <r>
      <rPr>
        <sz val="10"/>
        <color theme="1"/>
        <rFont val="맑은 고딕"/>
        <family val="3"/>
        <charset val="129"/>
      </rPr>
      <t>탁송료</t>
    </r>
    <phoneticPr fontId="5" type="noConversion"/>
  </si>
  <si>
    <r>
      <rPr>
        <sz val="10"/>
        <color theme="1"/>
        <rFont val="맑은 고딕"/>
        <family val="3"/>
        <charset val="129"/>
      </rPr>
      <t>회사지원금액</t>
    </r>
    <r>
      <rPr>
        <sz val="10"/>
        <color theme="1"/>
        <rFont val="Arial"/>
        <family val="2"/>
      </rPr>
      <t>(-10%)</t>
    </r>
    <phoneticPr fontId="5" type="noConversion"/>
  </si>
  <si>
    <r>
      <rPr>
        <sz val="10"/>
        <color theme="1"/>
        <rFont val="맑은 고딕"/>
        <family val="3"/>
        <charset val="129"/>
      </rPr>
      <t>계열사할인</t>
    </r>
    <r>
      <rPr>
        <sz val="10"/>
        <color theme="1"/>
        <rFont val="Arial"/>
        <family val="2"/>
      </rPr>
      <t>(-5%)</t>
    </r>
    <phoneticPr fontId="5" type="noConversion"/>
  </si>
  <si>
    <r>
      <rPr>
        <sz val="10"/>
        <color theme="1"/>
        <rFont val="맑은 고딕"/>
        <family val="3"/>
        <charset val="129"/>
      </rPr>
      <t>차량가격</t>
    </r>
    <phoneticPr fontId="5" type="noConversion"/>
  </si>
  <si>
    <r>
      <rPr>
        <sz val="10"/>
        <color theme="1"/>
        <rFont val="맑은 고딕"/>
        <family val="3"/>
        <charset val="129"/>
      </rPr>
      <t>포인트</t>
    </r>
    <phoneticPr fontId="5" type="noConversion"/>
  </si>
  <si>
    <r>
      <rPr>
        <sz val="10"/>
        <color theme="1"/>
        <rFont val="맑은 고딕"/>
        <family val="3"/>
        <charset val="129"/>
      </rPr>
      <t>세금증감</t>
    </r>
    <phoneticPr fontId="5" type="noConversion"/>
  </si>
  <si>
    <r>
      <rPr>
        <sz val="10"/>
        <color theme="1"/>
        <rFont val="맑은 고딕"/>
        <family val="3"/>
        <charset val="129"/>
      </rPr>
      <t>의무보험료</t>
    </r>
    <phoneticPr fontId="5" type="noConversion"/>
  </si>
  <si>
    <r>
      <rPr>
        <sz val="10"/>
        <color theme="1"/>
        <rFont val="맑은 고딕"/>
        <family val="3"/>
        <charset val="129"/>
      </rPr>
      <t>취득세</t>
    </r>
    <phoneticPr fontId="5" type="noConversion"/>
  </si>
  <si>
    <r>
      <rPr>
        <sz val="10"/>
        <color theme="1"/>
        <rFont val="맑은 고딕"/>
        <family val="3"/>
        <charset val="129"/>
      </rPr>
      <t>차량번호판</t>
    </r>
    <phoneticPr fontId="5" type="noConversion"/>
  </si>
  <si>
    <r>
      <rPr>
        <sz val="10"/>
        <color theme="1"/>
        <rFont val="맑은 고딕"/>
        <family val="3"/>
        <charset val="129"/>
      </rPr>
      <t>등록대행수수료</t>
    </r>
    <phoneticPr fontId="5" type="noConversion"/>
  </si>
  <si>
    <r>
      <rPr>
        <sz val="10"/>
        <color theme="1"/>
        <rFont val="맑은 고딕"/>
        <family val="3"/>
        <charset val="129"/>
      </rPr>
      <t>분류</t>
    </r>
    <phoneticPr fontId="5" type="noConversion"/>
  </si>
  <si>
    <r>
      <t xml:space="preserve">(1) </t>
    </r>
    <r>
      <rPr>
        <sz val="10"/>
        <color theme="1"/>
        <rFont val="맑은 고딕"/>
        <family val="3"/>
        <charset val="129"/>
      </rPr>
      <t>가격</t>
    </r>
    <phoneticPr fontId="5" type="noConversion"/>
  </si>
  <si>
    <r>
      <t xml:space="preserve">(2) </t>
    </r>
    <r>
      <rPr>
        <sz val="10"/>
        <color theme="1"/>
        <rFont val="맑은 고딕"/>
        <family val="3"/>
        <charset val="129"/>
      </rPr>
      <t>출고</t>
    </r>
    <phoneticPr fontId="5" type="noConversion"/>
  </si>
  <si>
    <r>
      <t xml:space="preserve">(3) </t>
    </r>
    <r>
      <rPr>
        <sz val="10"/>
        <color theme="1"/>
        <rFont val="맑은 고딕"/>
        <family val="3"/>
        <charset val="129"/>
      </rPr>
      <t>등록</t>
    </r>
    <phoneticPr fontId="5" type="noConversion"/>
  </si>
  <si>
    <r>
      <rPr>
        <sz val="10"/>
        <color theme="1"/>
        <rFont val="맑은 고딕"/>
        <family val="3"/>
        <charset val="129"/>
      </rPr>
      <t>최종구입가격</t>
    </r>
    <phoneticPr fontId="5" type="noConversion"/>
  </si>
  <si>
    <r>
      <rPr>
        <sz val="10"/>
        <color theme="1"/>
        <rFont val="맑은 고딕"/>
        <family val="3"/>
        <charset val="129"/>
      </rPr>
      <t>캘리그래피</t>
    </r>
    <r>
      <rPr>
        <sz val="10"/>
        <color theme="1"/>
        <rFont val="Arial"/>
        <family val="2"/>
      </rPr>
      <t xml:space="preserve"> (</t>
    </r>
    <r>
      <rPr>
        <sz val="10"/>
        <color theme="1"/>
        <rFont val="맑은 고딕"/>
        <family val="3"/>
        <charset val="129"/>
      </rPr>
      <t>옵션</t>
    </r>
    <r>
      <rPr>
        <sz val="10"/>
        <color theme="1"/>
        <rFont val="Arial"/>
        <family val="2"/>
      </rPr>
      <t xml:space="preserve">: </t>
    </r>
    <r>
      <rPr>
        <sz val="10"/>
        <color theme="1"/>
        <rFont val="맑은 고딕"/>
        <family val="3"/>
        <charset val="129"/>
      </rPr>
      <t>하이테크</t>
    </r>
    <r>
      <rPr>
        <sz val="10"/>
        <color theme="1"/>
        <rFont val="Arial"/>
        <family val="2"/>
      </rPr>
      <t>)</t>
    </r>
    <phoneticPr fontId="5" type="noConversion"/>
  </si>
  <si>
    <r>
      <rPr>
        <sz val="10"/>
        <color theme="1"/>
        <rFont val="맑은 고딕"/>
        <family val="3"/>
        <charset val="129"/>
      </rPr>
      <t>기본</t>
    </r>
    <r>
      <rPr>
        <sz val="10"/>
        <color theme="1"/>
        <rFont val="Arial"/>
        <family val="2"/>
      </rPr>
      <t xml:space="preserve"> (</t>
    </r>
    <r>
      <rPr>
        <sz val="10"/>
        <color theme="1"/>
        <rFont val="맑은 고딕"/>
        <family val="3"/>
        <charset val="129"/>
      </rPr>
      <t>개소세</t>
    </r>
    <r>
      <rPr>
        <sz val="10"/>
        <color theme="1"/>
        <rFont val="Arial"/>
        <family val="2"/>
      </rPr>
      <t xml:space="preserve"> 5.0%)</t>
    </r>
    <phoneticPr fontId="5" type="noConversion"/>
  </si>
  <si>
    <r>
      <rPr>
        <sz val="10"/>
        <color theme="1"/>
        <rFont val="맑은 고딕"/>
        <family val="3"/>
        <charset val="129"/>
      </rPr>
      <t>기본</t>
    </r>
    <r>
      <rPr>
        <sz val="10"/>
        <color theme="1"/>
        <rFont val="Arial"/>
        <family val="2"/>
      </rPr>
      <t xml:space="preserve"> (</t>
    </r>
    <r>
      <rPr>
        <sz val="10"/>
        <color theme="1"/>
        <rFont val="맑은 고딕"/>
        <family val="3"/>
        <charset val="129"/>
      </rPr>
      <t>개소세</t>
    </r>
    <r>
      <rPr>
        <sz val="10"/>
        <color theme="1"/>
        <rFont val="Arial"/>
        <family val="2"/>
      </rPr>
      <t xml:space="preserve"> 3.5%)</t>
    </r>
    <phoneticPr fontId="5" type="noConversion"/>
  </si>
  <si>
    <r>
      <rPr>
        <sz val="10"/>
        <color theme="1"/>
        <rFont val="맑은 고딕"/>
        <family val="3"/>
        <charset val="129"/>
      </rPr>
      <t>총</t>
    </r>
    <r>
      <rPr>
        <sz val="10"/>
        <color theme="1"/>
        <rFont val="Arial"/>
        <family val="2"/>
      </rPr>
      <t xml:space="preserve"> </t>
    </r>
    <r>
      <rPr>
        <sz val="10"/>
        <color theme="1"/>
        <rFont val="맑은 고딕"/>
        <family val="3"/>
        <charset val="129"/>
      </rPr>
      <t>판매금액</t>
    </r>
    <phoneticPr fontId="5" type="noConversion"/>
  </si>
  <si>
    <r>
      <rPr>
        <sz val="10"/>
        <color theme="1"/>
        <rFont val="맑은 고딕"/>
        <family val="3"/>
        <charset val="129"/>
      </rPr>
      <t>공채</t>
    </r>
    <r>
      <rPr>
        <sz val="10"/>
        <color theme="1"/>
        <rFont val="Arial"/>
        <family val="2"/>
      </rPr>
      <t>(</t>
    </r>
    <r>
      <rPr>
        <sz val="10"/>
        <color theme="1"/>
        <rFont val="맑은 고딕"/>
        <family val="3"/>
        <charset val="129"/>
      </rPr>
      <t>할인</t>
    </r>
    <r>
      <rPr>
        <sz val="10"/>
        <color theme="1"/>
        <rFont val="Arial"/>
        <family val="2"/>
      </rPr>
      <t>)</t>
    </r>
    <phoneticPr fontId="5" type="noConversion"/>
  </si>
  <si>
    <r>
      <rPr>
        <sz val="10"/>
        <color theme="1"/>
        <rFont val="맑은 고딕"/>
        <family val="3"/>
        <charset val="129"/>
      </rPr>
      <t>증지대</t>
    </r>
    <r>
      <rPr>
        <sz val="10"/>
        <color theme="1"/>
        <rFont val="Arial"/>
        <family val="2"/>
      </rPr>
      <t>(</t>
    </r>
    <r>
      <rPr>
        <sz val="10"/>
        <color theme="1"/>
        <rFont val="맑은 고딕"/>
        <family val="3"/>
        <charset val="129"/>
      </rPr>
      <t>수입인지</t>
    </r>
    <r>
      <rPr>
        <sz val="10"/>
        <color theme="1"/>
        <rFont val="Arial"/>
        <family val="2"/>
      </rPr>
      <t>)</t>
    </r>
    <phoneticPr fontId="5" type="noConversion"/>
  </si>
  <si>
    <t>친환경차감면</t>
    <phoneticPr fontId="5" type="noConversion"/>
  </si>
  <si>
    <t>2025 TOTAL</t>
    <phoneticPr fontId="5" type="noConversion"/>
  </si>
  <si>
    <t>안재현</t>
    <phoneticPr fontId="5" type="noConversion"/>
  </si>
  <si>
    <t>건강검진비</t>
    <phoneticPr fontId="5" type="noConversion"/>
  </si>
  <si>
    <r>
      <rPr>
        <sz val="10"/>
        <color theme="1"/>
        <rFont val="맑은 고딕"/>
        <family val="3"/>
        <charset val="129"/>
      </rPr>
      <t>잔금</t>
    </r>
    <r>
      <rPr>
        <sz val="10"/>
        <color theme="1"/>
        <rFont val="Arial"/>
        <family val="2"/>
      </rPr>
      <t xml:space="preserve"> </t>
    </r>
    <r>
      <rPr>
        <sz val="10"/>
        <color theme="1"/>
        <rFont val="맑은 고딕"/>
        <family val="3"/>
        <charset val="129"/>
      </rPr>
      <t>합계</t>
    </r>
    <phoneticPr fontId="5" type="noConversion"/>
  </si>
  <si>
    <t>계약금</t>
    <phoneticPr fontId="5" type="noConversion"/>
  </si>
  <si>
    <t>인도금</t>
    <phoneticPr fontId="5" type="noConversion"/>
  </si>
  <si>
    <t>신한(통장)-마이너스</t>
    <phoneticPr fontId="5" type="noConversion"/>
  </si>
  <si>
    <t>신한(통장)-마이너스 (현대카드)</t>
    <phoneticPr fontId="5" type="noConversion"/>
  </si>
  <si>
    <t>의무보험료</t>
    <phoneticPr fontId="5" type="noConversion"/>
  </si>
  <si>
    <t>등록비용</t>
    <phoneticPr fontId="5" type="noConversion"/>
  </si>
  <si>
    <t>신한(통장)-급여</t>
    <phoneticPr fontId="5" type="noConversion"/>
  </si>
  <si>
    <t>신한(통장)-마이너스 (현대캐피탈)</t>
    <phoneticPr fontId="5" type="noConversion"/>
  </si>
  <si>
    <t>신차할부</t>
    <phoneticPr fontId="5" type="noConversion"/>
  </si>
  <si>
    <t>대금 합계</t>
    <phoneticPr fontId="5" type="noConversion"/>
  </si>
  <si>
    <r>
      <t>납입</t>
    </r>
    <r>
      <rPr>
        <sz val="10"/>
        <color theme="1"/>
        <rFont val="Arial"/>
        <family val="2"/>
      </rPr>
      <t xml:space="preserve"> </t>
    </r>
    <r>
      <rPr>
        <sz val="10"/>
        <color theme="1"/>
        <rFont val="맑은 고딕"/>
        <family val="3"/>
        <charset val="129"/>
      </rPr>
      <t>합계</t>
    </r>
    <phoneticPr fontId="5" type="noConversion"/>
  </si>
  <si>
    <t>납입일</t>
    <phoneticPr fontId="5" type="noConversion"/>
  </si>
  <si>
    <t>납입금액</t>
    <phoneticPr fontId="5" type="noConversion"/>
  </si>
  <si>
    <t>납입항목</t>
    <phoneticPr fontId="5" type="noConversion"/>
  </si>
  <si>
    <t>납입수단</t>
    <phoneticPr fontId="5" type="noConversion"/>
  </si>
  <si>
    <t>납입여부</t>
    <phoneticPr fontId="5" type="noConversion"/>
  </si>
  <si>
    <t>신차패키지(카보드)</t>
    <phoneticPr fontId="5" type="noConversion"/>
  </si>
  <si>
    <t>신한(통장)-마이너스 (회사 할인 10%)</t>
    <phoneticPr fontId="5" type="noConversion"/>
  </si>
  <si>
    <r>
      <rPr>
        <sz val="10"/>
        <color theme="1"/>
        <rFont val="맑은 고딕"/>
        <family val="3"/>
        <charset val="129"/>
      </rPr>
      <t>기준일</t>
    </r>
    <r>
      <rPr>
        <sz val="10"/>
        <color theme="1"/>
        <rFont val="Arial"/>
        <family val="2"/>
      </rPr>
      <t xml:space="preserve"> :</t>
    </r>
    <phoneticPr fontId="5" type="noConversion"/>
  </si>
  <si>
    <t>#1</t>
    <phoneticPr fontId="5" type="noConversion"/>
  </si>
  <si>
    <t>TSR3</t>
    <phoneticPr fontId="5" type="noConversion"/>
  </si>
  <si>
    <t>D2</t>
    <phoneticPr fontId="5" type="noConversion"/>
  </si>
  <si>
    <t>D2.5</t>
    <phoneticPr fontId="5" type="noConversion"/>
  </si>
  <si>
    <t>TOUR VELVET</t>
    <phoneticPr fontId="5" type="noConversion"/>
  </si>
  <si>
    <t>SPEEDER NX GREEN 6S</t>
    <phoneticPr fontId="5" type="noConversion"/>
  </si>
  <si>
    <t>S</t>
    <phoneticPr fontId="5" type="noConversion"/>
  </si>
  <si>
    <t>MCC</t>
    <phoneticPr fontId="5" type="noConversion"/>
  </si>
  <si>
    <t>D5.5</t>
    <phoneticPr fontId="5" type="noConversion"/>
  </si>
  <si>
    <t>Hosel</t>
    <phoneticPr fontId="5" type="noConversion"/>
  </si>
  <si>
    <t>강태준</t>
    <phoneticPr fontId="5" type="noConversion"/>
  </si>
  <si>
    <t>Weight
(Shaft+Grip)</t>
    <phoneticPr fontId="5" type="noConversion"/>
  </si>
  <si>
    <t>T100S</t>
    <phoneticPr fontId="5" type="noConversion"/>
  </si>
  <si>
    <t>T100</t>
    <phoneticPr fontId="5" type="noConversion"/>
  </si>
  <si>
    <t>Option 1</t>
    <phoneticPr fontId="5" type="noConversion"/>
  </si>
  <si>
    <t>Option 2</t>
    <phoneticPr fontId="5" type="noConversion"/>
  </si>
  <si>
    <t>SM9</t>
    <phoneticPr fontId="5" type="noConversion"/>
  </si>
  <si>
    <t>46/48</t>
    <phoneticPr fontId="5" type="noConversion"/>
  </si>
  <si>
    <t>50/52</t>
    <phoneticPr fontId="5" type="noConversion"/>
  </si>
  <si>
    <t>L</t>
    <phoneticPr fontId="5" type="noConversion"/>
  </si>
  <si>
    <t>54/56</t>
    <phoneticPr fontId="5" type="noConversion"/>
  </si>
  <si>
    <t>58/60/62</t>
    <phoneticPr fontId="5" type="noConversion"/>
  </si>
  <si>
    <t>8/12</t>
    <phoneticPr fontId="5" type="noConversion"/>
  </si>
  <si>
    <t>10/10</t>
    <phoneticPr fontId="5" type="noConversion"/>
  </si>
  <si>
    <t>8/10/12/14</t>
    <phoneticPr fontId="5" type="noConversion"/>
  </si>
  <si>
    <t>4/8/10/12/14</t>
    <phoneticPr fontId="5" type="noConversion"/>
  </si>
  <si>
    <t>Period of Use</t>
    <phoneticPr fontId="5" type="noConversion"/>
  </si>
  <si>
    <t>Day</t>
    <phoneticPr fontId="5" type="noConversion"/>
  </si>
  <si>
    <t>Start</t>
    <phoneticPr fontId="5" type="noConversion"/>
  </si>
  <si>
    <t>End</t>
    <phoneticPr fontId="5" type="noConversion"/>
  </si>
  <si>
    <t>T200</t>
    <phoneticPr fontId="5" type="noConversion"/>
  </si>
  <si>
    <t>D#4</t>
    <phoneticPr fontId="5" type="noConversion"/>
  </si>
  <si>
    <t>D#3</t>
    <phoneticPr fontId="5" type="noConversion"/>
  </si>
  <si>
    <t>U505</t>
    <phoneticPr fontId="5" type="noConversion"/>
  </si>
  <si>
    <t>HZRDUS SMOKE BLACK RDX HYB 80</t>
    <phoneticPr fontId="5" type="noConversion"/>
  </si>
  <si>
    <t>PROJECT X LZ</t>
    <phoneticPr fontId="5" type="noConversion"/>
  </si>
  <si>
    <t>1.7-2.0</t>
    <phoneticPr fontId="5" type="noConversion"/>
  </si>
  <si>
    <t>PROJECT X HZRDUS SMOKE BLACK RDX HYB 80</t>
    <phoneticPr fontId="5" type="noConversion"/>
  </si>
  <si>
    <t>DYNAMIC GOLD 120</t>
    <phoneticPr fontId="5" type="noConversion"/>
  </si>
  <si>
    <t>TOUR VELVET 360 GREY FLAT CAP</t>
    <phoneticPr fontId="5" type="noConversion"/>
  </si>
  <si>
    <t>50.08F</t>
    <phoneticPr fontId="5" type="noConversion"/>
  </si>
  <si>
    <t>54.12D</t>
    <phoneticPr fontId="5" type="noConversion"/>
  </si>
  <si>
    <t>46.10F</t>
    <phoneticPr fontId="5" type="noConversion"/>
  </si>
  <si>
    <t>60.10S</t>
    <phoneticPr fontId="5" type="noConversion"/>
  </si>
  <si>
    <t>58.10S</t>
    <phoneticPr fontId="5" type="noConversion"/>
  </si>
  <si>
    <t>50-52</t>
    <phoneticPr fontId="5" type="noConversion"/>
  </si>
  <si>
    <t>50/52</t>
    <phoneticPr fontId="5" type="noConversion"/>
  </si>
  <si>
    <t>52.12F</t>
    <phoneticPr fontId="5" type="noConversion"/>
  </si>
  <si>
    <t>60.08M</t>
    <phoneticPr fontId="5" type="noConversion"/>
  </si>
  <si>
    <t>차량구입지원금</t>
    <phoneticPr fontId="5" type="noConversion"/>
  </si>
  <si>
    <t>46.10F / T100</t>
    <phoneticPr fontId="5" type="noConversion"/>
  </si>
  <si>
    <t>50.12F</t>
    <phoneticPr fontId="5" type="noConversion"/>
  </si>
  <si>
    <t>Dirab</t>
    <phoneticPr fontId="5" type="noConversion"/>
  </si>
  <si>
    <t>In - Out</t>
    <phoneticPr fontId="5" type="noConversion"/>
  </si>
  <si>
    <t>Riyadh Golf Club</t>
    <phoneticPr fontId="5" type="noConversion"/>
  </si>
  <si>
    <r>
      <rPr>
        <sz val="10"/>
        <color theme="1"/>
        <rFont val="맑은 고딕"/>
        <family val="3"/>
        <charset val="129"/>
      </rPr>
      <t>대분류</t>
    </r>
    <phoneticPr fontId="5" type="noConversion"/>
  </si>
  <si>
    <r>
      <rPr>
        <sz val="10"/>
        <color theme="1"/>
        <rFont val="맑은 고딕"/>
        <family val="3"/>
        <charset val="129"/>
      </rPr>
      <t>중분류</t>
    </r>
    <phoneticPr fontId="5" type="noConversion"/>
  </si>
  <si>
    <r>
      <rPr>
        <sz val="10"/>
        <color theme="1"/>
        <rFont val="맑은 고딕"/>
        <family val="3"/>
        <charset val="129"/>
      </rPr>
      <t>소분류</t>
    </r>
    <phoneticPr fontId="5" type="noConversion"/>
  </si>
  <si>
    <r>
      <rPr>
        <sz val="10"/>
        <color theme="1"/>
        <rFont val="맑은 고딕"/>
        <family val="3"/>
        <charset val="129"/>
      </rPr>
      <t>합계</t>
    </r>
    <phoneticPr fontId="5" type="noConversion"/>
  </si>
  <si>
    <t>%</t>
    <phoneticPr fontId="5" type="noConversion"/>
  </si>
  <si>
    <r>
      <t>'21</t>
    </r>
    <r>
      <rPr>
        <sz val="10"/>
        <color theme="1"/>
        <rFont val="맑은 고딕"/>
        <family val="3"/>
        <charset val="129"/>
      </rPr>
      <t>년</t>
    </r>
    <r>
      <rPr>
        <sz val="10"/>
        <color theme="1"/>
        <rFont val="Arial"/>
        <family val="2"/>
      </rPr>
      <t xml:space="preserve"> 12</t>
    </r>
    <r>
      <rPr>
        <sz val="10"/>
        <color theme="1"/>
        <rFont val="맑은 고딕"/>
        <family val="3"/>
        <charset val="129"/>
      </rPr>
      <t>월</t>
    </r>
    <phoneticPr fontId="5" type="noConversion"/>
  </si>
  <si>
    <r>
      <t>'22</t>
    </r>
    <r>
      <rPr>
        <sz val="10"/>
        <color theme="1"/>
        <rFont val="맑은 고딕"/>
        <family val="3"/>
        <charset val="129"/>
      </rPr>
      <t>년</t>
    </r>
    <r>
      <rPr>
        <sz val="10"/>
        <color theme="1"/>
        <rFont val="Arial"/>
        <family val="2"/>
      </rPr>
      <t xml:space="preserve"> 1</t>
    </r>
    <r>
      <rPr>
        <sz val="10"/>
        <color theme="1"/>
        <rFont val="맑은 고딕"/>
        <family val="3"/>
        <charset val="129"/>
      </rPr>
      <t>월</t>
    </r>
    <phoneticPr fontId="5" type="noConversion"/>
  </si>
  <si>
    <r>
      <t>'22</t>
    </r>
    <r>
      <rPr>
        <sz val="10"/>
        <color theme="1"/>
        <rFont val="맑은 고딕"/>
        <family val="3"/>
        <charset val="129"/>
      </rPr>
      <t>년</t>
    </r>
    <r>
      <rPr>
        <sz val="10"/>
        <color theme="1"/>
        <rFont val="Arial"/>
        <family val="2"/>
      </rPr>
      <t xml:space="preserve"> 2</t>
    </r>
    <r>
      <rPr>
        <sz val="10"/>
        <color theme="1"/>
        <rFont val="맑은 고딕"/>
        <family val="3"/>
        <charset val="129"/>
      </rPr>
      <t>월</t>
    </r>
  </si>
  <si>
    <r>
      <t>'22</t>
    </r>
    <r>
      <rPr>
        <sz val="10"/>
        <color theme="1"/>
        <rFont val="맑은 고딕"/>
        <family val="3"/>
        <charset val="129"/>
      </rPr>
      <t>년</t>
    </r>
    <r>
      <rPr>
        <sz val="10"/>
        <color theme="1"/>
        <rFont val="Arial"/>
        <family val="2"/>
      </rPr>
      <t xml:space="preserve"> 3</t>
    </r>
    <r>
      <rPr>
        <sz val="10"/>
        <color theme="1"/>
        <rFont val="맑은 고딕"/>
        <family val="3"/>
        <charset val="129"/>
      </rPr>
      <t>월</t>
    </r>
  </si>
  <si>
    <r>
      <t>'22</t>
    </r>
    <r>
      <rPr>
        <sz val="10"/>
        <color theme="1"/>
        <rFont val="맑은 고딕"/>
        <family val="3"/>
        <charset val="129"/>
      </rPr>
      <t>년</t>
    </r>
    <r>
      <rPr>
        <sz val="10"/>
        <color theme="1"/>
        <rFont val="Arial"/>
        <family val="2"/>
      </rPr>
      <t xml:space="preserve"> 4</t>
    </r>
    <r>
      <rPr>
        <sz val="10"/>
        <color theme="1"/>
        <rFont val="맑은 고딕"/>
        <family val="3"/>
        <charset val="129"/>
      </rPr>
      <t>월</t>
    </r>
  </si>
  <si>
    <r>
      <t>'22</t>
    </r>
    <r>
      <rPr>
        <sz val="10"/>
        <color theme="1"/>
        <rFont val="맑은 고딕"/>
        <family val="3"/>
        <charset val="129"/>
      </rPr>
      <t>년</t>
    </r>
    <r>
      <rPr>
        <sz val="10"/>
        <color theme="1"/>
        <rFont val="Arial"/>
        <family val="2"/>
      </rPr>
      <t xml:space="preserve"> 5</t>
    </r>
    <r>
      <rPr>
        <sz val="10"/>
        <color theme="1"/>
        <rFont val="맑은 고딕"/>
        <family val="3"/>
        <charset val="129"/>
      </rPr>
      <t>월</t>
    </r>
  </si>
  <si>
    <r>
      <t>'22</t>
    </r>
    <r>
      <rPr>
        <sz val="10"/>
        <color theme="1"/>
        <rFont val="맑은 고딕"/>
        <family val="3"/>
        <charset val="129"/>
      </rPr>
      <t>년</t>
    </r>
    <r>
      <rPr>
        <sz val="10"/>
        <color theme="1"/>
        <rFont val="Arial"/>
        <family val="2"/>
      </rPr>
      <t xml:space="preserve"> 6</t>
    </r>
    <r>
      <rPr>
        <sz val="10"/>
        <color theme="1"/>
        <rFont val="맑은 고딕"/>
        <family val="3"/>
        <charset val="129"/>
      </rPr>
      <t>월</t>
    </r>
  </si>
  <si>
    <r>
      <t>'22</t>
    </r>
    <r>
      <rPr>
        <sz val="10"/>
        <color theme="1"/>
        <rFont val="맑은 고딕"/>
        <family val="3"/>
        <charset val="129"/>
      </rPr>
      <t>년</t>
    </r>
    <r>
      <rPr>
        <sz val="10"/>
        <color theme="1"/>
        <rFont val="Arial"/>
        <family val="2"/>
      </rPr>
      <t xml:space="preserve"> 7</t>
    </r>
    <r>
      <rPr>
        <sz val="10"/>
        <color theme="1"/>
        <rFont val="맑은 고딕"/>
        <family val="3"/>
        <charset val="129"/>
      </rPr>
      <t>월</t>
    </r>
  </si>
  <si>
    <r>
      <t>'22</t>
    </r>
    <r>
      <rPr>
        <sz val="10"/>
        <color theme="1"/>
        <rFont val="맑은 고딕"/>
        <family val="3"/>
        <charset val="129"/>
      </rPr>
      <t>년</t>
    </r>
    <r>
      <rPr>
        <sz val="10"/>
        <color theme="1"/>
        <rFont val="Arial"/>
        <family val="2"/>
      </rPr>
      <t xml:space="preserve"> 8</t>
    </r>
    <r>
      <rPr>
        <sz val="10"/>
        <color theme="1"/>
        <rFont val="맑은 고딕"/>
        <family val="3"/>
        <charset val="129"/>
      </rPr>
      <t>월</t>
    </r>
  </si>
  <si>
    <r>
      <t>'22</t>
    </r>
    <r>
      <rPr>
        <sz val="10"/>
        <color theme="1"/>
        <rFont val="맑은 고딕"/>
        <family val="3"/>
        <charset val="129"/>
      </rPr>
      <t>년</t>
    </r>
    <r>
      <rPr>
        <sz val="10"/>
        <color theme="1"/>
        <rFont val="Arial"/>
        <family val="2"/>
      </rPr>
      <t xml:space="preserve"> 9</t>
    </r>
    <r>
      <rPr>
        <sz val="10"/>
        <color theme="1"/>
        <rFont val="맑은 고딕"/>
        <family val="3"/>
        <charset val="129"/>
      </rPr>
      <t>월</t>
    </r>
  </si>
  <si>
    <r>
      <t>'22</t>
    </r>
    <r>
      <rPr>
        <sz val="10"/>
        <color theme="1"/>
        <rFont val="맑은 고딕"/>
        <family val="3"/>
        <charset val="129"/>
      </rPr>
      <t>년</t>
    </r>
    <r>
      <rPr>
        <sz val="10"/>
        <color theme="1"/>
        <rFont val="Arial"/>
        <family val="2"/>
      </rPr>
      <t xml:space="preserve"> 10</t>
    </r>
    <r>
      <rPr>
        <sz val="10"/>
        <color theme="1"/>
        <rFont val="맑은 고딕"/>
        <family val="3"/>
        <charset val="129"/>
      </rPr>
      <t>월</t>
    </r>
  </si>
  <si>
    <r>
      <t>'22</t>
    </r>
    <r>
      <rPr>
        <sz val="10"/>
        <color theme="1"/>
        <rFont val="맑은 고딕"/>
        <family val="3"/>
        <charset val="129"/>
      </rPr>
      <t>년</t>
    </r>
    <r>
      <rPr>
        <sz val="10"/>
        <color theme="1"/>
        <rFont val="Arial"/>
        <family val="2"/>
      </rPr>
      <t xml:space="preserve"> 11</t>
    </r>
    <r>
      <rPr>
        <sz val="10"/>
        <color theme="1"/>
        <rFont val="맑은 고딕"/>
        <family val="3"/>
        <charset val="129"/>
      </rPr>
      <t>월</t>
    </r>
  </si>
  <si>
    <r>
      <t>'22</t>
    </r>
    <r>
      <rPr>
        <sz val="10"/>
        <color theme="1"/>
        <rFont val="맑은 고딕"/>
        <family val="3"/>
        <charset val="129"/>
      </rPr>
      <t>년</t>
    </r>
    <r>
      <rPr>
        <sz val="10"/>
        <color theme="1"/>
        <rFont val="Arial"/>
        <family val="2"/>
      </rPr>
      <t xml:space="preserve"> 12</t>
    </r>
    <r>
      <rPr>
        <sz val="10"/>
        <color theme="1"/>
        <rFont val="맑은 고딕"/>
        <family val="3"/>
        <charset val="129"/>
      </rPr>
      <t>월</t>
    </r>
    <phoneticPr fontId="5" type="noConversion"/>
  </si>
  <si>
    <r>
      <t>'23</t>
    </r>
    <r>
      <rPr>
        <sz val="10"/>
        <color theme="1"/>
        <rFont val="맑은 고딕"/>
        <family val="3"/>
        <charset val="129"/>
      </rPr>
      <t>년</t>
    </r>
    <r>
      <rPr>
        <sz val="10"/>
        <color theme="1"/>
        <rFont val="Arial"/>
        <family val="2"/>
      </rPr>
      <t xml:space="preserve"> 01</t>
    </r>
    <r>
      <rPr>
        <sz val="10"/>
        <color theme="1"/>
        <rFont val="맑은 고딕"/>
        <family val="3"/>
        <charset val="129"/>
      </rPr>
      <t>월</t>
    </r>
    <phoneticPr fontId="5" type="noConversion"/>
  </si>
  <si>
    <r>
      <t>'23</t>
    </r>
    <r>
      <rPr>
        <sz val="10"/>
        <color theme="1"/>
        <rFont val="맑은 고딕"/>
        <family val="3"/>
        <charset val="129"/>
      </rPr>
      <t>년</t>
    </r>
    <r>
      <rPr>
        <sz val="10"/>
        <color theme="1"/>
        <rFont val="Arial"/>
        <family val="2"/>
      </rPr>
      <t xml:space="preserve"> 02</t>
    </r>
    <r>
      <rPr>
        <sz val="10"/>
        <color theme="1"/>
        <rFont val="맑은 고딕"/>
        <family val="3"/>
        <charset val="129"/>
      </rPr>
      <t>월</t>
    </r>
    <phoneticPr fontId="5" type="noConversion"/>
  </si>
  <si>
    <r>
      <t>'23</t>
    </r>
    <r>
      <rPr>
        <sz val="10"/>
        <color theme="1"/>
        <rFont val="맑은 고딕"/>
        <family val="3"/>
        <charset val="129"/>
      </rPr>
      <t>년</t>
    </r>
    <r>
      <rPr>
        <sz val="10"/>
        <color theme="1"/>
        <rFont val="Arial"/>
        <family val="2"/>
      </rPr>
      <t xml:space="preserve"> 03</t>
    </r>
    <r>
      <rPr>
        <sz val="10"/>
        <color theme="1"/>
        <rFont val="맑은 고딕"/>
        <family val="3"/>
        <charset val="129"/>
      </rPr>
      <t>월</t>
    </r>
    <phoneticPr fontId="5" type="noConversion"/>
  </si>
  <si>
    <r>
      <t>'23</t>
    </r>
    <r>
      <rPr>
        <sz val="10"/>
        <color theme="1"/>
        <rFont val="맑은 고딕"/>
        <family val="3"/>
        <charset val="129"/>
      </rPr>
      <t>년</t>
    </r>
    <r>
      <rPr>
        <sz val="10"/>
        <color theme="1"/>
        <rFont val="Arial"/>
        <family val="2"/>
      </rPr>
      <t xml:space="preserve"> 04</t>
    </r>
    <r>
      <rPr>
        <sz val="10"/>
        <color theme="1"/>
        <rFont val="맑은 고딕"/>
        <family val="3"/>
        <charset val="129"/>
      </rPr>
      <t>월</t>
    </r>
    <phoneticPr fontId="5" type="noConversion"/>
  </si>
  <si>
    <r>
      <rPr>
        <b/>
        <sz val="10"/>
        <color theme="1"/>
        <rFont val="맑은 고딕"/>
        <family val="3"/>
        <charset val="129"/>
      </rPr>
      <t>수입</t>
    </r>
    <phoneticPr fontId="5" type="noConversion"/>
  </si>
  <si>
    <r>
      <rPr>
        <sz val="10"/>
        <color theme="1"/>
        <rFont val="맑은 고딕"/>
        <family val="3"/>
        <charset val="129"/>
      </rPr>
      <t>접촉사고</t>
    </r>
    <phoneticPr fontId="5" type="noConversion"/>
  </si>
  <si>
    <r>
      <rPr>
        <sz val="10"/>
        <color theme="1"/>
        <rFont val="맑은 고딕"/>
        <family val="3"/>
        <charset val="129"/>
      </rPr>
      <t>자동차취등록세</t>
    </r>
    <phoneticPr fontId="5" type="noConversion"/>
  </si>
  <si>
    <r>
      <rPr>
        <b/>
        <sz val="10"/>
        <color theme="1"/>
        <rFont val="맑은 고딕"/>
        <family val="3"/>
        <charset val="129"/>
      </rPr>
      <t>지출</t>
    </r>
    <phoneticPr fontId="5" type="noConversion"/>
  </si>
  <si>
    <r>
      <rPr>
        <b/>
        <sz val="10"/>
        <color theme="1"/>
        <rFont val="맑은 고딕"/>
        <family val="3"/>
        <charset val="129"/>
      </rPr>
      <t>지출총계</t>
    </r>
    <phoneticPr fontId="5" type="noConversion"/>
  </si>
  <si>
    <r>
      <rPr>
        <b/>
        <sz val="10"/>
        <color theme="1"/>
        <rFont val="맑은 고딕"/>
        <family val="3"/>
        <charset val="129"/>
      </rPr>
      <t>개인생활비</t>
    </r>
    <phoneticPr fontId="5" type="noConversion"/>
  </si>
  <si>
    <r>
      <rPr>
        <b/>
        <sz val="10"/>
        <color theme="1"/>
        <rFont val="맑은 고딕"/>
        <family val="3"/>
        <charset val="129"/>
      </rPr>
      <t>소계</t>
    </r>
    <phoneticPr fontId="5" type="noConversion"/>
  </si>
  <si>
    <r>
      <rPr>
        <sz val="10"/>
        <color theme="1"/>
        <rFont val="맑은 고딕"/>
        <family val="3"/>
        <charset val="129"/>
      </rPr>
      <t>개인생활비</t>
    </r>
    <phoneticPr fontId="5" type="noConversion"/>
  </si>
  <si>
    <r>
      <rPr>
        <b/>
        <sz val="10"/>
        <color theme="1"/>
        <rFont val="맑은 고딕"/>
        <family val="3"/>
        <charset val="129"/>
      </rPr>
      <t>헌금</t>
    </r>
    <phoneticPr fontId="5" type="noConversion"/>
  </si>
  <si>
    <r>
      <rPr>
        <sz val="10"/>
        <color theme="1"/>
        <rFont val="맑은 고딕"/>
        <family val="3"/>
        <charset val="129"/>
      </rPr>
      <t>십일조</t>
    </r>
    <phoneticPr fontId="5" type="noConversion"/>
  </si>
  <si>
    <r>
      <rPr>
        <b/>
        <sz val="10"/>
        <color theme="1"/>
        <rFont val="맑은 고딕"/>
        <family val="3"/>
        <charset val="129"/>
      </rPr>
      <t>보험</t>
    </r>
    <phoneticPr fontId="5" type="noConversion"/>
  </si>
  <si>
    <r>
      <rPr>
        <sz val="10"/>
        <color theme="1"/>
        <rFont val="맑은 고딕"/>
        <family val="3"/>
        <charset val="129"/>
      </rPr>
      <t>지완실비</t>
    </r>
    <phoneticPr fontId="5" type="noConversion"/>
  </si>
  <si>
    <r>
      <rPr>
        <sz val="10"/>
        <color theme="1"/>
        <rFont val="맑은 고딕"/>
        <family val="3"/>
        <charset val="129"/>
      </rPr>
      <t>태준실비</t>
    </r>
    <phoneticPr fontId="5" type="noConversion"/>
  </si>
  <si>
    <r>
      <rPr>
        <sz val="10"/>
        <color theme="1"/>
        <rFont val="맑은 고딕"/>
        <family val="3"/>
        <charset val="129"/>
      </rPr>
      <t>태준운전자</t>
    </r>
    <phoneticPr fontId="5" type="noConversion"/>
  </si>
  <si>
    <r>
      <rPr>
        <sz val="10"/>
        <color theme="1"/>
        <rFont val="맑은 고딕"/>
        <family val="3"/>
        <charset val="129"/>
      </rPr>
      <t>태준치아</t>
    </r>
    <phoneticPr fontId="5" type="noConversion"/>
  </si>
  <si>
    <r>
      <rPr>
        <sz val="10"/>
        <color theme="1"/>
        <rFont val="맑은 고딕"/>
        <family val="3"/>
        <charset val="129"/>
      </rPr>
      <t>태준암</t>
    </r>
    <phoneticPr fontId="5" type="noConversion"/>
  </si>
  <si>
    <r>
      <rPr>
        <sz val="10"/>
        <color theme="1"/>
        <rFont val="맑은 고딕"/>
        <family val="3"/>
        <charset val="129"/>
      </rPr>
      <t>자동차보험</t>
    </r>
    <phoneticPr fontId="5" type="noConversion"/>
  </si>
  <si>
    <r>
      <rPr>
        <sz val="10"/>
        <color theme="1"/>
        <rFont val="맑은 고딕"/>
        <family val="3"/>
        <charset val="129"/>
      </rPr>
      <t>관리비</t>
    </r>
    <phoneticPr fontId="5" type="noConversion"/>
  </si>
  <si>
    <r>
      <rPr>
        <sz val="10"/>
        <color theme="1"/>
        <rFont val="맑은 고딕"/>
        <family val="3"/>
        <charset val="129"/>
      </rPr>
      <t>가스비</t>
    </r>
    <phoneticPr fontId="5" type="noConversion"/>
  </si>
  <si>
    <r>
      <t>TV/</t>
    </r>
    <r>
      <rPr>
        <sz val="10"/>
        <color theme="1"/>
        <rFont val="맑은 고딕"/>
        <family val="3"/>
        <charset val="129"/>
      </rPr>
      <t>인터넷</t>
    </r>
    <phoneticPr fontId="5" type="noConversion"/>
  </si>
  <si>
    <r>
      <rPr>
        <sz val="10"/>
        <color theme="1"/>
        <rFont val="맑은 고딕"/>
        <family val="3"/>
        <charset val="129"/>
      </rPr>
      <t>신한카드</t>
    </r>
    <r>
      <rPr>
        <sz val="10"/>
        <color theme="1"/>
        <rFont val="Arial"/>
        <family val="2"/>
      </rPr>
      <t>(</t>
    </r>
    <r>
      <rPr>
        <sz val="10"/>
        <color theme="1"/>
        <rFont val="맑은 고딕"/>
        <family val="3"/>
        <charset val="129"/>
      </rPr>
      <t>신용</t>
    </r>
    <r>
      <rPr>
        <sz val="10"/>
        <color theme="1"/>
        <rFont val="Arial"/>
        <family val="2"/>
      </rPr>
      <t>)</t>
    </r>
    <phoneticPr fontId="5" type="noConversion"/>
  </si>
  <si>
    <r>
      <rPr>
        <b/>
        <sz val="10"/>
        <color theme="1"/>
        <rFont val="맑은 고딕"/>
        <family val="3"/>
        <charset val="129"/>
      </rPr>
      <t>세금</t>
    </r>
    <r>
      <rPr>
        <b/>
        <sz val="10"/>
        <color theme="1"/>
        <rFont val="Arial"/>
        <family val="2"/>
      </rPr>
      <t>/</t>
    </r>
    <r>
      <rPr>
        <b/>
        <sz val="10"/>
        <color theme="1"/>
        <rFont val="맑은 고딕"/>
        <family val="3"/>
        <charset val="129"/>
      </rPr>
      <t>과태료</t>
    </r>
    <phoneticPr fontId="5" type="noConversion"/>
  </si>
  <si>
    <r>
      <rPr>
        <sz val="10"/>
        <color theme="1"/>
        <rFont val="맑은 고딕"/>
        <family val="3"/>
        <charset val="129"/>
      </rPr>
      <t>부동산세금</t>
    </r>
    <phoneticPr fontId="5" type="noConversion"/>
  </si>
  <si>
    <r>
      <rPr>
        <sz val="10"/>
        <color theme="1"/>
        <rFont val="맑은 고딕"/>
        <family val="3"/>
        <charset val="129"/>
      </rPr>
      <t>주민세금</t>
    </r>
    <phoneticPr fontId="5" type="noConversion"/>
  </si>
  <si>
    <r>
      <rPr>
        <sz val="10"/>
        <color theme="1"/>
        <rFont val="맑은 고딕"/>
        <family val="3"/>
        <charset val="129"/>
      </rPr>
      <t>자동차세금</t>
    </r>
    <phoneticPr fontId="5" type="noConversion"/>
  </si>
  <si>
    <r>
      <rPr>
        <sz val="10"/>
        <color theme="1"/>
        <rFont val="맑은 고딕"/>
        <family val="3"/>
        <charset val="129"/>
      </rPr>
      <t>자동차과태료</t>
    </r>
    <phoneticPr fontId="5" type="noConversion"/>
  </si>
  <si>
    <r>
      <rPr>
        <b/>
        <sz val="10"/>
        <color theme="1"/>
        <rFont val="맑은 고딕"/>
        <family val="3"/>
        <charset val="129"/>
      </rPr>
      <t>자동차</t>
    </r>
    <phoneticPr fontId="5" type="noConversion"/>
  </si>
  <si>
    <r>
      <rPr>
        <sz val="10"/>
        <color theme="1"/>
        <rFont val="맑은 고딕"/>
        <family val="3"/>
        <charset val="129"/>
      </rPr>
      <t>주유</t>
    </r>
    <r>
      <rPr>
        <sz val="10"/>
        <color theme="1"/>
        <rFont val="Arial"/>
        <family val="2"/>
      </rPr>
      <t>/</t>
    </r>
    <r>
      <rPr>
        <sz val="10"/>
        <color theme="1"/>
        <rFont val="맑은 고딕"/>
        <family val="3"/>
        <charset val="129"/>
      </rPr>
      <t>세차</t>
    </r>
    <r>
      <rPr>
        <sz val="10"/>
        <color theme="1"/>
        <rFont val="Arial"/>
        <family val="2"/>
      </rPr>
      <t>/</t>
    </r>
    <r>
      <rPr>
        <sz val="10"/>
        <color theme="1"/>
        <rFont val="맑은 고딕"/>
        <family val="3"/>
        <charset val="129"/>
      </rPr>
      <t>주차</t>
    </r>
    <r>
      <rPr>
        <sz val="10"/>
        <color theme="1"/>
        <rFont val="Arial"/>
        <family val="2"/>
      </rPr>
      <t>/</t>
    </r>
    <r>
      <rPr>
        <sz val="10"/>
        <color theme="1"/>
        <rFont val="맑은 고딕"/>
        <family val="3"/>
        <charset val="129"/>
      </rPr>
      <t>통행료</t>
    </r>
    <phoneticPr fontId="5" type="noConversion"/>
  </si>
  <si>
    <r>
      <rPr>
        <sz val="10"/>
        <color theme="1"/>
        <rFont val="맑은 고딕"/>
        <family val="3"/>
        <charset val="129"/>
      </rPr>
      <t>자동차정비</t>
    </r>
    <phoneticPr fontId="5" type="noConversion"/>
  </si>
  <si>
    <r>
      <rPr>
        <sz val="10"/>
        <color theme="1"/>
        <rFont val="맑은 고딕"/>
        <family val="3"/>
        <charset val="129"/>
      </rPr>
      <t>카보드</t>
    </r>
    <r>
      <rPr>
        <sz val="10"/>
        <color theme="1"/>
        <rFont val="Arial"/>
        <family val="2"/>
      </rPr>
      <t>(</t>
    </r>
    <r>
      <rPr>
        <sz val="10"/>
        <color theme="1"/>
        <rFont val="맑은 고딕"/>
        <family val="3"/>
        <charset val="129"/>
      </rPr>
      <t>그랜저신차패키지</t>
    </r>
    <r>
      <rPr>
        <sz val="10"/>
        <color theme="1"/>
        <rFont val="Arial"/>
        <family val="2"/>
      </rPr>
      <t>)</t>
    </r>
  </si>
  <si>
    <r>
      <rPr>
        <sz val="10"/>
        <color theme="1"/>
        <rFont val="맑은 고딕"/>
        <family val="3"/>
        <charset val="129"/>
      </rPr>
      <t>자동차검사</t>
    </r>
    <phoneticPr fontId="5" type="noConversion"/>
  </si>
  <si>
    <r>
      <rPr>
        <sz val="10"/>
        <color theme="1"/>
        <rFont val="맑은 고딕"/>
        <family val="3"/>
        <charset val="129"/>
      </rPr>
      <t>쏘카</t>
    </r>
    <phoneticPr fontId="5" type="noConversion"/>
  </si>
  <si>
    <r>
      <rPr>
        <b/>
        <sz val="10"/>
        <color theme="1"/>
        <rFont val="맑은 고딕"/>
        <family val="3"/>
        <charset val="129"/>
      </rPr>
      <t>마트</t>
    </r>
    <r>
      <rPr>
        <b/>
        <sz val="10"/>
        <color theme="1"/>
        <rFont val="Arial"/>
        <family val="2"/>
      </rPr>
      <t>/</t>
    </r>
    <r>
      <rPr>
        <b/>
        <sz val="10"/>
        <color theme="1"/>
        <rFont val="맑은 고딕"/>
        <family val="3"/>
        <charset val="129"/>
      </rPr>
      <t>시장</t>
    </r>
    <r>
      <rPr>
        <b/>
        <sz val="10"/>
        <color theme="1"/>
        <rFont val="Arial"/>
        <family val="2"/>
      </rPr>
      <t>/</t>
    </r>
    <r>
      <rPr>
        <b/>
        <sz val="10"/>
        <color theme="1"/>
        <rFont val="맑은 고딕"/>
        <family val="3"/>
        <charset val="129"/>
      </rPr>
      <t>편의점</t>
    </r>
    <phoneticPr fontId="5" type="noConversion"/>
  </si>
  <si>
    <r>
      <rPr>
        <sz val="10"/>
        <color theme="1"/>
        <rFont val="맑은 고딕"/>
        <family val="3"/>
        <charset val="129"/>
      </rPr>
      <t>코스트코</t>
    </r>
    <phoneticPr fontId="5" type="noConversion"/>
  </si>
  <si>
    <r>
      <rPr>
        <sz val="10"/>
        <color theme="1"/>
        <rFont val="맑은 고딕"/>
        <family val="3"/>
        <charset val="129"/>
      </rPr>
      <t>이마트에브리데이</t>
    </r>
    <phoneticPr fontId="5" type="noConversion"/>
  </si>
  <si>
    <r>
      <rPr>
        <sz val="10"/>
        <color theme="1"/>
        <rFont val="맑은 고딕"/>
        <family val="3"/>
        <charset val="129"/>
      </rPr>
      <t>총각네정육점</t>
    </r>
    <phoneticPr fontId="5" type="noConversion"/>
  </si>
  <si>
    <r>
      <rPr>
        <sz val="10"/>
        <color theme="1"/>
        <rFont val="맑은 고딕"/>
        <family val="3"/>
        <charset val="129"/>
      </rPr>
      <t>쿠팡로켓프레시</t>
    </r>
    <phoneticPr fontId="5" type="noConversion"/>
  </si>
  <si>
    <r>
      <rPr>
        <sz val="10"/>
        <color theme="1"/>
        <rFont val="맑은 고딕"/>
        <family val="3"/>
        <charset val="129"/>
      </rPr>
      <t>농협하나로마트</t>
    </r>
    <phoneticPr fontId="5" type="noConversion"/>
  </si>
  <si>
    <r>
      <rPr>
        <sz val="10"/>
        <color theme="1"/>
        <rFont val="맑은 고딕"/>
        <family val="3"/>
        <charset val="129"/>
      </rPr>
      <t>쿠팡</t>
    </r>
    <phoneticPr fontId="5" type="noConversion"/>
  </si>
  <si>
    <r>
      <rPr>
        <sz val="10"/>
        <color theme="1"/>
        <rFont val="맑은 고딕"/>
        <family val="3"/>
        <charset val="129"/>
      </rPr>
      <t>네이버</t>
    </r>
    <phoneticPr fontId="5" type="noConversion"/>
  </si>
  <si>
    <r>
      <rPr>
        <sz val="10"/>
        <color theme="1"/>
        <rFont val="맑은 고딕"/>
        <family val="3"/>
        <charset val="129"/>
      </rPr>
      <t>편의점</t>
    </r>
    <phoneticPr fontId="5" type="noConversion"/>
  </si>
  <si>
    <r>
      <rPr>
        <b/>
        <sz val="10"/>
        <color theme="1"/>
        <rFont val="맑은 고딕"/>
        <family val="3"/>
        <charset val="129"/>
      </rPr>
      <t>외식</t>
    </r>
    <phoneticPr fontId="5" type="noConversion"/>
  </si>
  <si>
    <r>
      <rPr>
        <sz val="10"/>
        <color theme="1"/>
        <rFont val="맑은 고딕"/>
        <family val="3"/>
        <charset val="129"/>
      </rPr>
      <t>쿠팡이츠</t>
    </r>
    <phoneticPr fontId="5" type="noConversion"/>
  </si>
  <si>
    <r>
      <rPr>
        <sz val="10"/>
        <color theme="1"/>
        <rFont val="맑은 고딕"/>
        <family val="3"/>
        <charset val="129"/>
      </rPr>
      <t>배달의민족</t>
    </r>
    <phoneticPr fontId="5" type="noConversion"/>
  </si>
  <si>
    <r>
      <rPr>
        <sz val="10"/>
        <color theme="1"/>
        <rFont val="맑은 고딕"/>
        <family val="3"/>
        <charset val="129"/>
      </rPr>
      <t>외식</t>
    </r>
    <r>
      <rPr>
        <sz val="10"/>
        <color theme="1"/>
        <rFont val="Arial"/>
        <family val="2"/>
      </rPr>
      <t>(</t>
    </r>
    <r>
      <rPr>
        <sz val="10"/>
        <color theme="1"/>
        <rFont val="맑은 고딕"/>
        <family val="3"/>
        <charset val="129"/>
      </rPr>
      <t>기타</t>
    </r>
    <r>
      <rPr>
        <sz val="10"/>
        <color theme="1"/>
        <rFont val="Arial"/>
        <family val="2"/>
      </rPr>
      <t>)</t>
    </r>
    <phoneticPr fontId="5" type="noConversion"/>
  </si>
  <si>
    <r>
      <rPr>
        <b/>
        <sz val="10"/>
        <color theme="1"/>
        <rFont val="맑은 고딕"/>
        <family val="3"/>
        <charset val="129"/>
      </rPr>
      <t>생활용품</t>
    </r>
    <phoneticPr fontId="5" type="noConversion"/>
  </si>
  <si>
    <r>
      <rPr>
        <sz val="10"/>
        <color theme="1"/>
        <rFont val="맑은 고딕"/>
        <family val="3"/>
        <charset val="129"/>
      </rPr>
      <t>쿠쿠서비스센터</t>
    </r>
    <phoneticPr fontId="5" type="noConversion"/>
  </si>
  <si>
    <r>
      <rPr>
        <sz val="10"/>
        <color theme="1"/>
        <rFont val="맑은 고딕"/>
        <family val="3"/>
        <charset val="129"/>
      </rPr>
      <t>면세점</t>
    </r>
    <phoneticPr fontId="5" type="noConversion"/>
  </si>
  <si>
    <r>
      <rPr>
        <b/>
        <sz val="10"/>
        <color theme="1"/>
        <rFont val="맑은 고딕"/>
        <family val="3"/>
        <charset val="129"/>
      </rPr>
      <t>미용실</t>
    </r>
    <phoneticPr fontId="5" type="noConversion"/>
  </si>
  <si>
    <r>
      <rPr>
        <sz val="10"/>
        <color theme="1"/>
        <rFont val="맑은 고딕"/>
        <family val="3"/>
        <charset val="129"/>
      </rPr>
      <t>미용실</t>
    </r>
    <r>
      <rPr>
        <sz val="10"/>
        <color theme="1"/>
        <rFont val="Arial"/>
        <family val="2"/>
      </rPr>
      <t>(</t>
    </r>
    <r>
      <rPr>
        <sz val="10"/>
        <color theme="1"/>
        <rFont val="맑은 고딕"/>
        <family val="3"/>
        <charset val="129"/>
      </rPr>
      <t>태준</t>
    </r>
    <r>
      <rPr>
        <sz val="10"/>
        <color theme="1"/>
        <rFont val="Arial"/>
        <family val="2"/>
      </rPr>
      <t>/</t>
    </r>
    <r>
      <rPr>
        <sz val="10"/>
        <color theme="1"/>
        <rFont val="맑은 고딕"/>
        <family val="3"/>
        <charset val="129"/>
      </rPr>
      <t>지완</t>
    </r>
    <r>
      <rPr>
        <sz val="10"/>
        <color theme="1"/>
        <rFont val="Arial"/>
        <family val="2"/>
      </rPr>
      <t>)</t>
    </r>
    <phoneticPr fontId="5" type="noConversion"/>
  </si>
  <si>
    <r>
      <rPr>
        <b/>
        <sz val="10"/>
        <color theme="1"/>
        <rFont val="맑은 고딕"/>
        <family val="3"/>
        <charset val="129"/>
      </rPr>
      <t>의류</t>
    </r>
    <phoneticPr fontId="5" type="noConversion"/>
  </si>
  <si>
    <r>
      <rPr>
        <sz val="10"/>
        <color theme="1"/>
        <rFont val="맑은 고딕"/>
        <family val="3"/>
        <charset val="129"/>
      </rPr>
      <t>의류비</t>
    </r>
    <phoneticPr fontId="5" type="noConversion"/>
  </si>
  <si>
    <r>
      <rPr>
        <b/>
        <sz val="10"/>
        <color theme="1"/>
        <rFont val="맑은 고딕"/>
        <family val="3"/>
        <charset val="129"/>
      </rPr>
      <t>의료</t>
    </r>
    <phoneticPr fontId="5" type="noConversion"/>
  </si>
  <si>
    <r>
      <rPr>
        <sz val="10"/>
        <color theme="1"/>
        <rFont val="맑은 고딕"/>
        <family val="3"/>
        <charset val="129"/>
      </rPr>
      <t>한신메디피아</t>
    </r>
    <phoneticPr fontId="5" type="noConversion"/>
  </si>
  <si>
    <r>
      <rPr>
        <b/>
        <sz val="10"/>
        <color theme="1"/>
        <rFont val="맑은 고딕"/>
        <family val="3"/>
        <charset val="129"/>
      </rPr>
      <t>백화점</t>
    </r>
    <r>
      <rPr>
        <b/>
        <sz val="10"/>
        <color theme="1"/>
        <rFont val="Arial"/>
        <family val="2"/>
      </rPr>
      <t>/</t>
    </r>
    <r>
      <rPr>
        <b/>
        <sz val="10"/>
        <color theme="1"/>
        <rFont val="맑은 고딕"/>
        <family val="3"/>
        <charset val="129"/>
      </rPr>
      <t>아울렛</t>
    </r>
    <r>
      <rPr>
        <b/>
        <sz val="10"/>
        <color theme="1"/>
        <rFont val="Arial"/>
        <family val="2"/>
      </rPr>
      <t>/</t>
    </r>
    <r>
      <rPr>
        <b/>
        <sz val="10"/>
        <color theme="1"/>
        <rFont val="맑은 고딕"/>
        <family val="3"/>
        <charset val="129"/>
      </rPr>
      <t>복합쇼핑몰</t>
    </r>
    <phoneticPr fontId="5" type="noConversion"/>
  </si>
  <si>
    <r>
      <rPr>
        <sz val="10"/>
        <color theme="1"/>
        <rFont val="맑은 고딕"/>
        <family val="3"/>
        <charset val="129"/>
      </rPr>
      <t>백화점</t>
    </r>
    <r>
      <rPr>
        <sz val="10"/>
        <color theme="1"/>
        <rFont val="Arial"/>
        <family val="2"/>
      </rPr>
      <t>/</t>
    </r>
    <r>
      <rPr>
        <sz val="10"/>
        <color theme="1"/>
        <rFont val="맑은 고딕"/>
        <family val="3"/>
        <charset val="129"/>
      </rPr>
      <t>아울렛</t>
    </r>
    <r>
      <rPr>
        <sz val="10"/>
        <color theme="1"/>
        <rFont val="Arial"/>
        <family val="2"/>
      </rPr>
      <t>/</t>
    </r>
    <r>
      <rPr>
        <sz val="10"/>
        <color theme="1"/>
        <rFont val="맑은 고딕"/>
        <family val="3"/>
        <charset val="129"/>
      </rPr>
      <t>복합쇼핑몰</t>
    </r>
    <phoneticPr fontId="5" type="noConversion"/>
  </si>
  <si>
    <r>
      <rPr>
        <sz val="10"/>
        <color theme="1"/>
        <rFont val="맑은 고딕"/>
        <family val="3"/>
        <charset val="129"/>
      </rPr>
      <t>현대모터스튜디오</t>
    </r>
    <phoneticPr fontId="5" type="noConversion"/>
  </si>
  <si>
    <r>
      <rPr>
        <sz val="10"/>
        <color theme="1"/>
        <rFont val="맑은 고딕"/>
        <family val="3"/>
        <charset val="129"/>
      </rPr>
      <t>나눔농장</t>
    </r>
    <phoneticPr fontId="5" type="noConversion"/>
  </si>
  <si>
    <r>
      <rPr>
        <sz val="10"/>
        <color theme="1"/>
        <rFont val="맑은 고딕"/>
        <family val="3"/>
        <charset val="129"/>
      </rPr>
      <t>아쿠아플라넷</t>
    </r>
    <phoneticPr fontId="5" type="noConversion"/>
  </si>
  <si>
    <r>
      <rPr>
        <sz val="10"/>
        <color theme="1"/>
        <rFont val="맑은 고딕"/>
        <family val="3"/>
        <charset val="129"/>
      </rPr>
      <t>에버랜드</t>
    </r>
    <phoneticPr fontId="5" type="noConversion"/>
  </si>
  <si>
    <r>
      <rPr>
        <sz val="10"/>
        <color theme="1"/>
        <rFont val="맑은 고딕"/>
        <family val="3"/>
        <charset val="129"/>
      </rPr>
      <t>서울대공원</t>
    </r>
    <phoneticPr fontId="5" type="noConversion"/>
  </si>
  <si>
    <r>
      <rPr>
        <b/>
        <sz val="10"/>
        <color theme="1"/>
        <rFont val="맑은 고딕"/>
        <family val="3"/>
        <charset val="129"/>
      </rPr>
      <t>대중교통</t>
    </r>
    <phoneticPr fontId="5" type="noConversion"/>
  </si>
  <si>
    <r>
      <rPr>
        <sz val="10"/>
        <color theme="1"/>
        <rFont val="맑은 고딕"/>
        <family val="3"/>
        <charset val="129"/>
      </rPr>
      <t>비행기</t>
    </r>
    <phoneticPr fontId="5" type="noConversion"/>
  </si>
  <si>
    <t>KTX/ITX</t>
    <phoneticPr fontId="5" type="noConversion"/>
  </si>
  <si>
    <r>
      <rPr>
        <b/>
        <sz val="10"/>
        <color theme="1"/>
        <rFont val="맑은 고딕"/>
        <family val="3"/>
        <charset val="129"/>
      </rPr>
      <t>여행</t>
    </r>
    <phoneticPr fontId="5" type="noConversion"/>
  </si>
  <si>
    <r>
      <rPr>
        <sz val="10"/>
        <color theme="1"/>
        <rFont val="맑은 고딕"/>
        <family val="3"/>
        <charset val="129"/>
      </rPr>
      <t>트니트니</t>
    </r>
    <phoneticPr fontId="5" type="noConversion"/>
  </si>
  <si>
    <r>
      <rPr>
        <sz val="10"/>
        <color theme="1"/>
        <rFont val="맑은 고딕"/>
        <family val="3"/>
        <charset val="129"/>
      </rPr>
      <t>구몬</t>
    </r>
    <phoneticPr fontId="5" type="noConversion"/>
  </si>
  <si>
    <r>
      <t xml:space="preserve">IRCA </t>
    </r>
    <r>
      <rPr>
        <sz val="10"/>
        <color theme="1"/>
        <rFont val="맑은 고딕"/>
        <family val="3"/>
        <charset val="129"/>
      </rPr>
      <t>입회비</t>
    </r>
    <r>
      <rPr>
        <sz val="10"/>
        <color theme="1"/>
        <rFont val="Arial"/>
        <family val="2"/>
      </rPr>
      <t>/</t>
    </r>
    <r>
      <rPr>
        <sz val="10"/>
        <color theme="1"/>
        <rFont val="맑은 고딕"/>
        <family val="3"/>
        <charset val="129"/>
      </rPr>
      <t>자격등록비</t>
    </r>
  </si>
  <si>
    <r>
      <rPr>
        <sz val="10"/>
        <color theme="1"/>
        <rFont val="맑은 고딕"/>
        <family val="3"/>
        <charset val="129"/>
      </rPr>
      <t>건설기술인협회</t>
    </r>
    <r>
      <rPr>
        <sz val="10"/>
        <color theme="1"/>
        <rFont val="Arial"/>
        <family val="2"/>
      </rPr>
      <t xml:space="preserve"> </t>
    </r>
    <r>
      <rPr>
        <sz val="10"/>
        <color theme="1"/>
        <rFont val="맑은 고딕"/>
        <family val="3"/>
        <charset val="129"/>
      </rPr>
      <t>연회비</t>
    </r>
  </si>
  <si>
    <r>
      <rPr>
        <b/>
        <sz val="10"/>
        <color theme="1"/>
        <rFont val="맑은 고딕"/>
        <family val="3"/>
        <charset val="129"/>
      </rPr>
      <t>본가</t>
    </r>
    <phoneticPr fontId="5" type="noConversion"/>
  </si>
  <si>
    <r>
      <rPr>
        <sz val="10"/>
        <color theme="1"/>
        <rFont val="맑은 고딕"/>
        <family val="3"/>
        <charset val="129"/>
      </rPr>
      <t>본가용돈</t>
    </r>
    <r>
      <rPr>
        <sz val="10"/>
        <color theme="1"/>
        <rFont val="Arial"/>
        <family val="2"/>
      </rPr>
      <t>/</t>
    </r>
    <r>
      <rPr>
        <sz val="10"/>
        <color theme="1"/>
        <rFont val="맑은 고딕"/>
        <family val="3"/>
        <charset val="129"/>
      </rPr>
      <t>식사</t>
    </r>
    <r>
      <rPr>
        <sz val="10"/>
        <color theme="1"/>
        <rFont val="Arial"/>
        <family val="2"/>
      </rPr>
      <t>/</t>
    </r>
    <r>
      <rPr>
        <sz val="10"/>
        <color theme="1"/>
        <rFont val="맑은 고딕"/>
        <family val="3"/>
        <charset val="129"/>
      </rPr>
      <t>선물</t>
    </r>
    <phoneticPr fontId="5" type="noConversion"/>
  </si>
  <si>
    <r>
      <rPr>
        <sz val="10"/>
        <color theme="1"/>
        <rFont val="맑은 고딕"/>
        <family val="3"/>
        <charset val="129"/>
      </rPr>
      <t>명절음식비</t>
    </r>
    <phoneticPr fontId="5" type="noConversion"/>
  </si>
  <si>
    <r>
      <rPr>
        <b/>
        <sz val="10"/>
        <color theme="1"/>
        <rFont val="맑은 고딕"/>
        <family val="3"/>
        <charset val="129"/>
      </rPr>
      <t>경조사</t>
    </r>
    <phoneticPr fontId="5" type="noConversion"/>
  </si>
  <si>
    <r>
      <rPr>
        <sz val="10"/>
        <color theme="1"/>
        <rFont val="맑은 고딕"/>
        <family val="3"/>
        <charset val="129"/>
      </rPr>
      <t>축의금</t>
    </r>
    <r>
      <rPr>
        <sz val="10"/>
        <color theme="1"/>
        <rFont val="Arial"/>
        <family val="2"/>
      </rPr>
      <t>/</t>
    </r>
    <r>
      <rPr>
        <sz val="10"/>
        <color theme="1"/>
        <rFont val="맑은 고딕"/>
        <family val="3"/>
        <charset val="129"/>
      </rPr>
      <t>조의금</t>
    </r>
    <phoneticPr fontId="5" type="noConversion"/>
  </si>
  <si>
    <r>
      <rPr>
        <sz val="10"/>
        <color theme="1"/>
        <rFont val="맑은 고딕"/>
        <family val="3"/>
        <charset val="129"/>
      </rPr>
      <t>진급자회식</t>
    </r>
    <phoneticPr fontId="5" type="noConversion"/>
  </si>
  <si>
    <r>
      <rPr>
        <b/>
        <sz val="10"/>
        <color theme="1"/>
        <rFont val="맑은 고딕"/>
        <family val="3"/>
        <charset val="129"/>
      </rPr>
      <t>기타</t>
    </r>
    <phoneticPr fontId="5" type="noConversion"/>
  </si>
  <si>
    <r>
      <rPr>
        <sz val="10"/>
        <color theme="1"/>
        <rFont val="맑은 고딕"/>
        <family val="3"/>
        <charset val="129"/>
      </rPr>
      <t>퍼즐사랑</t>
    </r>
    <phoneticPr fontId="5" type="noConversion"/>
  </si>
  <si>
    <r>
      <rPr>
        <sz val="10"/>
        <color theme="1"/>
        <rFont val="맑은 고딕"/>
        <family val="3"/>
        <charset val="129"/>
      </rPr>
      <t>여권</t>
    </r>
    <phoneticPr fontId="5" type="noConversion"/>
  </si>
  <si>
    <r>
      <rPr>
        <sz val="10"/>
        <color theme="1"/>
        <rFont val="맑은 고딕"/>
        <family val="3"/>
        <charset val="129"/>
      </rPr>
      <t>당근마켓</t>
    </r>
    <r>
      <rPr>
        <sz val="10"/>
        <color theme="1"/>
        <rFont val="Arial"/>
        <family val="2"/>
      </rPr>
      <t>(</t>
    </r>
    <r>
      <rPr>
        <sz val="10"/>
        <color theme="1"/>
        <rFont val="맑은 고딕"/>
        <family val="3"/>
        <charset val="129"/>
      </rPr>
      <t>지완</t>
    </r>
    <r>
      <rPr>
        <sz val="10"/>
        <color theme="1"/>
        <rFont val="Arial"/>
        <family val="2"/>
      </rPr>
      <t>)</t>
    </r>
    <phoneticPr fontId="5" type="noConversion"/>
  </si>
  <si>
    <r>
      <rPr>
        <sz val="10"/>
        <color theme="1"/>
        <rFont val="맑은 고딕"/>
        <family val="3"/>
        <charset val="129"/>
      </rPr>
      <t>기타</t>
    </r>
    <phoneticPr fontId="5" type="noConversion"/>
  </si>
  <si>
    <r>
      <rPr>
        <b/>
        <sz val="10"/>
        <color theme="1"/>
        <rFont val="맑은 고딕"/>
        <family val="3"/>
        <charset val="129"/>
      </rPr>
      <t>저축</t>
    </r>
    <phoneticPr fontId="5" type="noConversion"/>
  </si>
  <si>
    <t>EX-OIL</t>
  </si>
  <si>
    <t>S-OIL</t>
  </si>
  <si>
    <t>GS25</t>
  </si>
  <si>
    <t>KFC</t>
  </si>
  <si>
    <t>KTX</t>
  </si>
  <si>
    <t>BBQ</t>
  </si>
  <si>
    <t>IRCA</t>
  </si>
  <si>
    <t>S-Oil</t>
  </si>
  <si>
    <t>1/25, 2/21</t>
  </si>
  <si>
    <t>EX-OIL</t>
    <phoneticPr fontId="5" type="noConversion"/>
  </si>
  <si>
    <t>1. 헌금</t>
    <phoneticPr fontId="23" type="noConversion"/>
  </si>
  <si>
    <t>[ 맞벌이 ]</t>
    <phoneticPr fontId="23" type="noConversion"/>
  </si>
  <si>
    <t>[ 외벌이 ]</t>
    <phoneticPr fontId="23" type="noConversion"/>
  </si>
  <si>
    <t>순번</t>
    <phoneticPr fontId="23" type="noConversion"/>
  </si>
  <si>
    <t>대분류</t>
    <phoneticPr fontId="23" type="noConversion"/>
  </si>
  <si>
    <t>소분류</t>
    <phoneticPr fontId="23" type="noConversion"/>
  </si>
  <si>
    <t>횟수</t>
    <phoneticPr fontId="23" type="noConversion"/>
  </si>
  <si>
    <t>금액</t>
    <phoneticPr fontId="23" type="noConversion"/>
  </si>
  <si>
    <t>소계</t>
    <phoneticPr fontId="23" type="noConversion"/>
  </si>
  <si>
    <t>비고</t>
    <phoneticPr fontId="23" type="noConversion"/>
  </si>
  <si>
    <t>주일헌금</t>
    <phoneticPr fontId="23" type="noConversion"/>
  </si>
  <si>
    <t>-</t>
    <phoneticPr fontId="23" type="noConversion"/>
  </si>
  <si>
    <t>십일조</t>
    <phoneticPr fontId="23" type="noConversion"/>
  </si>
  <si>
    <t>태준</t>
    <phoneticPr fontId="23" type="noConversion"/>
  </si>
  <si>
    <t>월급</t>
    <phoneticPr fontId="23" type="noConversion"/>
  </si>
  <si>
    <t>성과급</t>
    <phoneticPr fontId="23" type="noConversion"/>
  </si>
  <si>
    <t>격려금</t>
    <phoneticPr fontId="23" type="noConversion"/>
  </si>
  <si>
    <t>하계휴가비</t>
    <phoneticPr fontId="23" type="noConversion"/>
  </si>
  <si>
    <t>기타 (출장 등)</t>
    <phoneticPr fontId="23" type="noConversion"/>
  </si>
  <si>
    <t>TBA</t>
    <phoneticPr fontId="23" type="noConversion"/>
  </si>
  <si>
    <t>지현</t>
    <phoneticPr fontId="23" type="noConversion"/>
  </si>
  <si>
    <t>부활절</t>
    <phoneticPr fontId="23" type="noConversion"/>
  </si>
  <si>
    <t>2019년 4월 21일 / 2020년 4월 12일</t>
    <phoneticPr fontId="23" type="noConversion"/>
  </si>
  <si>
    <t>추수감사절</t>
    <phoneticPr fontId="23" type="noConversion"/>
  </si>
  <si>
    <t>11월 셋째 주일</t>
    <phoneticPr fontId="23" type="noConversion"/>
  </si>
  <si>
    <t>성탄절</t>
    <phoneticPr fontId="23" type="noConversion"/>
  </si>
  <si>
    <t>12월 25일</t>
    <phoneticPr fontId="23" type="noConversion"/>
  </si>
  <si>
    <t>송구영신예배</t>
    <phoneticPr fontId="23" type="noConversion"/>
  </si>
  <si>
    <t>12월 31일</t>
    <phoneticPr fontId="23" type="noConversion"/>
  </si>
  <si>
    <t>결혼기념일</t>
    <phoneticPr fontId="23" type="noConversion"/>
  </si>
  <si>
    <t>6월 2일</t>
    <phoneticPr fontId="23" type="noConversion"/>
  </si>
  <si>
    <t>태준/지현생일</t>
    <phoneticPr fontId="23" type="noConversion"/>
  </si>
  <si>
    <t>개인생활비</t>
    <phoneticPr fontId="23" type="noConversion"/>
  </si>
  <si>
    <t>선교헌금</t>
    <phoneticPr fontId="23" type="noConversion"/>
  </si>
  <si>
    <t>합계</t>
    <phoneticPr fontId="23" type="noConversion"/>
  </si>
  <si>
    <t>2. 부모님 (부대비용 제외)</t>
    <phoneticPr fontId="23" type="noConversion"/>
  </si>
  <si>
    <t>매월 용돈</t>
    <phoneticPr fontId="23" type="noConversion"/>
  </si>
  <si>
    <t>생신</t>
    <phoneticPr fontId="23" type="noConversion"/>
  </si>
  <si>
    <t>용돈</t>
    <phoneticPr fontId="23" type="noConversion"/>
  </si>
  <si>
    <t>외식비</t>
    <phoneticPr fontId="23" type="noConversion"/>
  </si>
  <si>
    <t>명절</t>
    <phoneticPr fontId="23" type="noConversion"/>
  </si>
  <si>
    <t>음식값</t>
    <phoneticPr fontId="23" type="noConversion"/>
  </si>
  <si>
    <t>어버이날</t>
    <phoneticPr fontId="23" type="noConversion"/>
  </si>
  <si>
    <t>3. 가족 생애 주요 이벤트 (부대비용 제외)</t>
    <phoneticPr fontId="23" type="noConversion"/>
  </si>
  <si>
    <t>부모님</t>
    <phoneticPr fontId="23" type="noConversion"/>
  </si>
  <si>
    <t>아버지 칠순</t>
    <phoneticPr fontId="23" type="noConversion"/>
  </si>
  <si>
    <t>어머니 환갑</t>
    <phoneticPr fontId="23" type="noConversion"/>
  </si>
  <si>
    <t>아버지 환갑 (삼형제 갹출 400/300/300)</t>
    <phoneticPr fontId="23" type="noConversion"/>
  </si>
  <si>
    <t>어머니 칠순</t>
    <phoneticPr fontId="23" type="noConversion"/>
  </si>
  <si>
    <t>아버지 환갑</t>
    <phoneticPr fontId="23" type="noConversion"/>
  </si>
  <si>
    <t>형제/자매</t>
    <phoneticPr fontId="23" type="noConversion"/>
  </si>
  <si>
    <t>둘째 조카 출산</t>
    <phoneticPr fontId="23" type="noConversion"/>
  </si>
  <si>
    <t>둘째 조카 돌</t>
    <phoneticPr fontId="23" type="noConversion"/>
  </si>
  <si>
    <t>처형 결혼</t>
    <phoneticPr fontId="23" type="noConversion"/>
  </si>
  <si>
    <t>첫째 조카 출산</t>
    <phoneticPr fontId="23" type="noConversion"/>
  </si>
  <si>
    <t>첫째 조카 돌</t>
    <phoneticPr fontId="23" type="noConversion"/>
  </si>
  <si>
    <t>처남 결혼</t>
    <phoneticPr fontId="23" type="noConversion"/>
  </si>
  <si>
    <t>분류</t>
    <phoneticPr fontId="5" type="noConversion"/>
  </si>
  <si>
    <t>날짜</t>
    <phoneticPr fontId="5" type="noConversion"/>
  </si>
  <si>
    <t>양/음</t>
    <phoneticPr fontId="5" type="noConversion"/>
  </si>
  <si>
    <t>태준이네</t>
    <phoneticPr fontId="5" type="noConversion"/>
  </si>
  <si>
    <t>할아버님</t>
    <phoneticPr fontId="5" type="noConversion"/>
  </si>
  <si>
    <t>강근성</t>
    <phoneticPr fontId="5" type="noConversion"/>
  </si>
  <si>
    <t>기일</t>
    <phoneticPr fontId="5" type="noConversion"/>
  </si>
  <si>
    <t>양력</t>
    <phoneticPr fontId="5" type="noConversion"/>
  </si>
  <si>
    <t>큰형</t>
    <phoneticPr fontId="5" type="noConversion"/>
  </si>
  <si>
    <t>강진원</t>
    <phoneticPr fontId="5" type="noConversion"/>
  </si>
  <si>
    <t>생일</t>
    <phoneticPr fontId="5" type="noConversion"/>
  </si>
  <si>
    <t>할머님</t>
    <phoneticPr fontId="5" type="noConversion"/>
  </si>
  <si>
    <t>문영임</t>
    <phoneticPr fontId="5" type="noConversion"/>
  </si>
  <si>
    <t>생신</t>
    <phoneticPr fontId="5" type="noConversion"/>
  </si>
  <si>
    <t>음력</t>
    <phoneticPr fontId="5" type="noConversion"/>
  </si>
  <si>
    <t>아버님</t>
    <phoneticPr fontId="5" type="noConversion"/>
  </si>
  <si>
    <t>강신규</t>
    <phoneticPr fontId="5" type="noConversion"/>
  </si>
  <si>
    <t>지현이네</t>
    <phoneticPr fontId="5" type="noConversion"/>
  </si>
  <si>
    <t>어머님</t>
    <phoneticPr fontId="5" type="noConversion"/>
  </si>
  <si>
    <t>김미경</t>
    <phoneticPr fontId="5" type="noConversion"/>
  </si>
  <si>
    <t>언니</t>
    <phoneticPr fontId="5" type="noConversion"/>
  </si>
  <si>
    <t>양지민</t>
    <phoneticPr fontId="5" type="noConversion"/>
  </si>
  <si>
    <t>이경순</t>
    <phoneticPr fontId="5" type="noConversion"/>
  </si>
  <si>
    <t>큰형수</t>
    <phoneticPr fontId="5" type="noConversion"/>
  </si>
  <si>
    <t>손영언</t>
    <phoneticPr fontId="5" type="noConversion"/>
  </si>
  <si>
    <t>외할아버님</t>
    <phoneticPr fontId="5" type="noConversion"/>
  </si>
  <si>
    <t>이용언</t>
    <phoneticPr fontId="5" type="noConversion"/>
  </si>
  <si>
    <t>작은형</t>
    <phoneticPr fontId="5" type="noConversion"/>
  </si>
  <si>
    <t>강태경</t>
    <phoneticPr fontId="5" type="noConversion"/>
  </si>
  <si>
    <t>작은형수</t>
    <phoneticPr fontId="5" type="noConversion"/>
  </si>
  <si>
    <t>서보경</t>
    <phoneticPr fontId="5" type="noConversion"/>
  </si>
  <si>
    <t>양망규</t>
    <phoneticPr fontId="5" type="noConversion"/>
  </si>
  <si>
    <t>조카</t>
    <phoneticPr fontId="5" type="noConversion"/>
  </si>
  <si>
    <t>강지성</t>
    <phoneticPr fontId="5" type="noConversion"/>
  </si>
  <si>
    <t>외할머님</t>
    <phoneticPr fontId="5" type="noConversion"/>
  </si>
  <si>
    <t>백봉예</t>
    <phoneticPr fontId="5" type="noConversion"/>
  </si>
  <si>
    <t>양종필</t>
    <phoneticPr fontId="5" type="noConversion"/>
  </si>
  <si>
    <t>하양금</t>
    <phoneticPr fontId="5" type="noConversion"/>
  </si>
  <si>
    <t>동생</t>
    <phoneticPr fontId="5" type="noConversion"/>
  </si>
  <si>
    <t>양지훈</t>
    <phoneticPr fontId="5" type="noConversion"/>
  </si>
  <si>
    <t>축의금 목록</t>
    <phoneticPr fontId="5" type="noConversion"/>
  </si>
  <si>
    <r>
      <rPr>
        <sz val="10"/>
        <color theme="1"/>
        <rFont val="맑은 고딕"/>
        <family val="3"/>
        <charset val="129"/>
      </rPr>
      <t>순번</t>
    </r>
    <phoneticPr fontId="5" type="noConversion"/>
  </si>
  <si>
    <t>당일 축의금 순번</t>
    <phoneticPr fontId="5" type="noConversion"/>
  </si>
  <si>
    <t>일자</t>
    <phoneticPr fontId="5" type="noConversion"/>
  </si>
  <si>
    <t>이름</t>
    <phoneticPr fontId="5" type="noConversion"/>
  </si>
  <si>
    <t>입금액</t>
    <phoneticPr fontId="5" type="noConversion"/>
  </si>
  <si>
    <t>누적 입금액</t>
    <phoneticPr fontId="5" type="noConversion"/>
  </si>
  <si>
    <t>입금계좌</t>
    <phoneticPr fontId="5" type="noConversion"/>
  </si>
  <si>
    <t>현대건설</t>
    <phoneticPr fontId="5" type="noConversion"/>
  </si>
  <si>
    <t>조준영</t>
    <phoneticPr fontId="5" type="noConversion"/>
  </si>
  <si>
    <t>현대</t>
    <phoneticPr fontId="5" type="noConversion"/>
  </si>
  <si>
    <t>창원</t>
    <phoneticPr fontId="5" type="noConversion"/>
  </si>
  <si>
    <t>박창희/이유나</t>
    <phoneticPr fontId="5" type="noConversion"/>
  </si>
  <si>
    <t>현금</t>
    <phoneticPr fontId="5" type="noConversion"/>
  </si>
  <si>
    <t>김상혁</t>
    <phoneticPr fontId="5" type="noConversion"/>
  </si>
  <si>
    <t>현대엔지니어링</t>
    <phoneticPr fontId="5" type="noConversion"/>
  </si>
  <si>
    <t>박상진</t>
    <phoneticPr fontId="5" type="noConversion"/>
  </si>
  <si>
    <t>신한</t>
    <phoneticPr fontId="5" type="noConversion"/>
  </si>
  <si>
    <t>기타</t>
    <phoneticPr fontId="5" type="noConversion"/>
  </si>
  <si>
    <t>김재한</t>
    <phoneticPr fontId="5" type="noConversion"/>
  </si>
  <si>
    <t>장인혁</t>
    <phoneticPr fontId="5" type="noConversion"/>
  </si>
  <si>
    <t>오수희</t>
    <phoneticPr fontId="5" type="noConversion"/>
  </si>
  <si>
    <t>노대진</t>
    <phoneticPr fontId="5" type="noConversion"/>
  </si>
  <si>
    <t>힐라리오</t>
    <phoneticPr fontId="5" type="noConversion"/>
  </si>
  <si>
    <t>고정훈</t>
    <phoneticPr fontId="5" type="noConversion"/>
  </si>
  <si>
    <t>김재원</t>
    <phoneticPr fontId="5" type="noConversion"/>
  </si>
  <si>
    <t>최정수</t>
    <phoneticPr fontId="5" type="noConversion"/>
  </si>
  <si>
    <t>GS건설</t>
    <phoneticPr fontId="5" type="noConversion"/>
  </si>
  <si>
    <t>이윤영</t>
    <phoneticPr fontId="5" type="noConversion"/>
  </si>
  <si>
    <t>숭실대</t>
    <phoneticPr fontId="5" type="noConversion"/>
  </si>
  <si>
    <t>이무형</t>
    <phoneticPr fontId="5" type="noConversion"/>
  </si>
  <si>
    <t>고현정</t>
    <phoneticPr fontId="5" type="noConversion"/>
  </si>
  <si>
    <t>강은주</t>
    <phoneticPr fontId="5" type="noConversion"/>
  </si>
  <si>
    <t>김용석</t>
    <phoneticPr fontId="5" type="noConversion"/>
  </si>
  <si>
    <t>박정훈</t>
    <phoneticPr fontId="5" type="noConversion"/>
  </si>
  <si>
    <t>김범윤</t>
    <phoneticPr fontId="5" type="noConversion"/>
  </si>
  <si>
    <t>김승훈</t>
    <phoneticPr fontId="5" type="noConversion"/>
  </si>
  <si>
    <t>강원경</t>
    <phoneticPr fontId="5" type="noConversion"/>
  </si>
  <si>
    <t>이채기</t>
    <phoneticPr fontId="5" type="noConversion"/>
  </si>
  <si>
    <t>정승희</t>
    <phoneticPr fontId="5" type="noConversion"/>
  </si>
  <si>
    <t>신민식</t>
    <phoneticPr fontId="5" type="noConversion"/>
  </si>
  <si>
    <t>추연백</t>
    <phoneticPr fontId="5" type="noConversion"/>
  </si>
  <si>
    <t>김기락</t>
    <phoneticPr fontId="5" type="noConversion"/>
  </si>
  <si>
    <t>하희태</t>
    <phoneticPr fontId="5" type="noConversion"/>
  </si>
  <si>
    <t>한정민</t>
    <phoneticPr fontId="5" type="noConversion"/>
  </si>
  <si>
    <t>상도중앙교회</t>
    <phoneticPr fontId="5" type="noConversion"/>
  </si>
  <si>
    <t>박헌진</t>
    <phoneticPr fontId="5" type="noConversion"/>
  </si>
  <si>
    <t>이진연</t>
    <phoneticPr fontId="5" type="noConversion"/>
  </si>
  <si>
    <t>김홍미</t>
    <phoneticPr fontId="5" type="noConversion"/>
  </si>
  <si>
    <t>김보영</t>
    <phoneticPr fontId="5" type="noConversion"/>
  </si>
  <si>
    <t>김지훈</t>
    <phoneticPr fontId="5" type="noConversion"/>
  </si>
  <si>
    <t>이경훈</t>
    <phoneticPr fontId="5" type="noConversion"/>
  </si>
  <si>
    <t>김성윤/박가은</t>
    <phoneticPr fontId="5" type="noConversion"/>
  </si>
  <si>
    <t>박경숙</t>
    <phoneticPr fontId="5" type="noConversion"/>
  </si>
  <si>
    <t>임정아</t>
    <phoneticPr fontId="5" type="noConversion"/>
  </si>
  <si>
    <t>서귀점</t>
    <phoneticPr fontId="5" type="noConversion"/>
  </si>
  <si>
    <t>최경희</t>
    <phoneticPr fontId="5" type="noConversion"/>
  </si>
  <si>
    <t>최흥주</t>
    <phoneticPr fontId="5" type="noConversion"/>
  </si>
  <si>
    <t>홍지수</t>
    <phoneticPr fontId="5" type="noConversion"/>
  </si>
  <si>
    <t>김준호</t>
    <phoneticPr fontId="5" type="noConversion"/>
  </si>
  <si>
    <t>강은비</t>
    <phoneticPr fontId="5" type="noConversion"/>
  </si>
  <si>
    <t>곽태영</t>
    <phoneticPr fontId="5" type="noConversion"/>
  </si>
  <si>
    <t>김형철</t>
    <phoneticPr fontId="5" type="noConversion"/>
  </si>
  <si>
    <t>김영창</t>
    <phoneticPr fontId="5" type="noConversion"/>
  </si>
  <si>
    <t>문지환</t>
    <phoneticPr fontId="5" type="noConversion"/>
  </si>
  <si>
    <t>정윤수</t>
    <phoneticPr fontId="5" type="noConversion"/>
  </si>
  <si>
    <t>장지훈</t>
    <phoneticPr fontId="5" type="noConversion"/>
  </si>
  <si>
    <t>정기욱</t>
    <phoneticPr fontId="5" type="noConversion"/>
  </si>
  <si>
    <t>이수형</t>
    <phoneticPr fontId="5" type="noConversion"/>
  </si>
  <si>
    <t>김형태</t>
    <phoneticPr fontId="5" type="noConversion"/>
  </si>
  <si>
    <t>김민철</t>
    <phoneticPr fontId="5" type="noConversion"/>
  </si>
  <si>
    <t>황의탁</t>
    <phoneticPr fontId="5" type="noConversion"/>
  </si>
  <si>
    <t>김경룡</t>
    <phoneticPr fontId="5" type="noConversion"/>
  </si>
  <si>
    <t>박현준</t>
    <phoneticPr fontId="5" type="noConversion"/>
  </si>
  <si>
    <t>허민아</t>
    <phoneticPr fontId="5" type="noConversion"/>
  </si>
  <si>
    <t>최혜정</t>
    <phoneticPr fontId="5" type="noConversion"/>
  </si>
  <si>
    <t>김용기</t>
    <phoneticPr fontId="5" type="noConversion"/>
  </si>
  <si>
    <t>박혜란</t>
    <phoneticPr fontId="5" type="noConversion"/>
  </si>
  <si>
    <t>김다미</t>
    <phoneticPr fontId="5" type="noConversion"/>
  </si>
  <si>
    <t>조기복</t>
    <phoneticPr fontId="5" type="noConversion"/>
  </si>
  <si>
    <t>가족/친척</t>
  </si>
  <si>
    <t>강성구</t>
    <phoneticPr fontId="5" type="noConversion"/>
  </si>
  <si>
    <t>오경택/강지혜</t>
    <phoneticPr fontId="5" type="noConversion"/>
  </si>
  <si>
    <t>이주홍</t>
    <phoneticPr fontId="5" type="noConversion"/>
  </si>
  <si>
    <t>전영구</t>
    <phoneticPr fontId="5" type="noConversion"/>
  </si>
  <si>
    <t>김준영</t>
    <phoneticPr fontId="5" type="noConversion"/>
  </si>
  <si>
    <t>이희원</t>
    <phoneticPr fontId="5" type="noConversion"/>
  </si>
  <si>
    <t>정형섭</t>
    <phoneticPr fontId="5" type="noConversion"/>
  </si>
  <si>
    <t>오정훈</t>
    <phoneticPr fontId="5" type="noConversion"/>
  </si>
  <si>
    <t>변정호</t>
    <phoneticPr fontId="5" type="noConversion"/>
  </si>
  <si>
    <t>엄마친구</t>
    <phoneticPr fontId="5" type="noConversion"/>
  </si>
  <si>
    <t>박선이</t>
    <phoneticPr fontId="5" type="noConversion"/>
  </si>
  <si>
    <t>장선미</t>
    <phoneticPr fontId="5" type="noConversion"/>
  </si>
  <si>
    <t>남유나</t>
    <phoneticPr fontId="5" type="noConversion"/>
  </si>
  <si>
    <t>장동철</t>
    <phoneticPr fontId="5" type="noConversion"/>
  </si>
  <si>
    <t>김범석</t>
    <phoneticPr fontId="5" type="noConversion"/>
  </si>
  <si>
    <t>서수빈</t>
    <phoneticPr fontId="5" type="noConversion"/>
  </si>
  <si>
    <t>아빠친구</t>
    <phoneticPr fontId="5" type="noConversion"/>
  </si>
  <si>
    <t>백순옥</t>
    <phoneticPr fontId="5" type="noConversion"/>
  </si>
  <si>
    <t>하계자</t>
    <phoneticPr fontId="5" type="noConversion"/>
  </si>
  <si>
    <t>석종한</t>
    <phoneticPr fontId="5" type="noConversion"/>
  </si>
  <si>
    <t>표숙자</t>
    <phoneticPr fontId="5" type="noConversion"/>
  </si>
  <si>
    <t>옥경순</t>
    <phoneticPr fontId="5" type="noConversion"/>
  </si>
  <si>
    <t>강진성</t>
    <phoneticPr fontId="5" type="noConversion"/>
  </si>
  <si>
    <t>강인구</t>
    <phoneticPr fontId="5" type="noConversion"/>
  </si>
  <si>
    <t>문정혜</t>
    <phoneticPr fontId="5" type="noConversion"/>
  </si>
  <si>
    <t>문영수</t>
    <phoneticPr fontId="5" type="noConversion"/>
  </si>
  <si>
    <t>장지옥</t>
    <phoneticPr fontId="5" type="noConversion"/>
  </si>
  <si>
    <t>김보현</t>
    <phoneticPr fontId="5" type="noConversion"/>
  </si>
  <si>
    <t>황진성</t>
    <phoneticPr fontId="5" type="noConversion"/>
  </si>
  <si>
    <t>송갑숙</t>
    <phoneticPr fontId="5" type="noConversion"/>
  </si>
  <si>
    <t>김봉곤</t>
    <phoneticPr fontId="5" type="noConversion"/>
  </si>
  <si>
    <t>김영자</t>
    <phoneticPr fontId="5" type="noConversion"/>
  </si>
  <si>
    <t>공영자</t>
    <phoneticPr fontId="5" type="noConversion"/>
  </si>
  <si>
    <t>정남철</t>
    <phoneticPr fontId="5" type="noConversion"/>
  </si>
  <si>
    <t>윤지훈</t>
    <phoneticPr fontId="5" type="noConversion"/>
  </si>
  <si>
    <t>김효선</t>
    <phoneticPr fontId="5" type="noConversion"/>
  </si>
  <si>
    <t>윤도영</t>
    <phoneticPr fontId="5" type="noConversion"/>
  </si>
  <si>
    <t>박지성</t>
    <phoneticPr fontId="5" type="noConversion"/>
  </si>
  <si>
    <t>팽춘화</t>
    <phoneticPr fontId="5" type="noConversion"/>
  </si>
  <si>
    <t>팽무임</t>
    <phoneticPr fontId="5" type="noConversion"/>
  </si>
  <si>
    <t>팽진호</t>
    <phoneticPr fontId="5" type="noConversion"/>
  </si>
  <si>
    <t>팽철호</t>
    <phoneticPr fontId="5" type="noConversion"/>
  </si>
  <si>
    <t>김진영</t>
    <phoneticPr fontId="5" type="noConversion"/>
  </si>
  <si>
    <t>이기호</t>
    <phoneticPr fontId="5" type="noConversion"/>
  </si>
  <si>
    <t>이덕환</t>
    <phoneticPr fontId="5" type="noConversion"/>
  </si>
  <si>
    <t>송일무</t>
    <phoneticPr fontId="5" type="noConversion"/>
  </si>
  <si>
    <t>김진수</t>
    <phoneticPr fontId="5" type="noConversion"/>
  </si>
  <si>
    <t>안홍역</t>
    <phoneticPr fontId="5" type="noConversion"/>
  </si>
  <si>
    <t>강원중</t>
    <phoneticPr fontId="5" type="noConversion"/>
  </si>
  <si>
    <t>변기봉</t>
    <phoneticPr fontId="5" type="noConversion"/>
  </si>
  <si>
    <t>김현중</t>
    <phoneticPr fontId="5" type="noConversion"/>
  </si>
  <si>
    <t>이용제</t>
    <phoneticPr fontId="5" type="noConversion"/>
  </si>
  <si>
    <t>이수남</t>
    <phoneticPr fontId="5" type="noConversion"/>
  </si>
  <si>
    <t>김생수</t>
    <phoneticPr fontId="5" type="noConversion"/>
  </si>
  <si>
    <t>최원균</t>
    <phoneticPr fontId="5" type="noConversion"/>
  </si>
  <si>
    <t>임정빈</t>
    <phoneticPr fontId="5" type="noConversion"/>
  </si>
  <si>
    <t>박찬기</t>
    <phoneticPr fontId="5" type="noConversion"/>
  </si>
  <si>
    <t>최권일</t>
    <phoneticPr fontId="5" type="noConversion"/>
  </si>
  <si>
    <t>오광택</t>
    <phoneticPr fontId="5" type="noConversion"/>
  </si>
  <si>
    <t>민재홍</t>
    <phoneticPr fontId="5" type="noConversion"/>
  </si>
  <si>
    <t>오세채</t>
    <phoneticPr fontId="5" type="noConversion"/>
  </si>
  <si>
    <t>김종규</t>
    <phoneticPr fontId="5" type="noConversion"/>
  </si>
  <si>
    <t>정단아</t>
    <phoneticPr fontId="5" type="noConversion"/>
  </si>
  <si>
    <t>지현친구</t>
    <phoneticPr fontId="5" type="noConversion"/>
  </si>
  <si>
    <t>박예슬</t>
    <phoneticPr fontId="5" type="noConversion"/>
  </si>
  <si>
    <t>인터텍코리아</t>
    <phoneticPr fontId="5" type="noConversion"/>
  </si>
  <si>
    <t>SK건설</t>
    <phoneticPr fontId="5" type="noConversion"/>
  </si>
  <si>
    <t>조남준</t>
    <phoneticPr fontId="5" type="noConversion"/>
  </si>
  <si>
    <t>범군요</t>
    <phoneticPr fontId="5" type="noConversion"/>
  </si>
  <si>
    <t>조이현</t>
    <phoneticPr fontId="5" type="noConversion"/>
  </si>
  <si>
    <t>박승진</t>
    <phoneticPr fontId="5" type="noConversion"/>
  </si>
  <si>
    <t>최우석</t>
    <phoneticPr fontId="5" type="noConversion"/>
  </si>
  <si>
    <t>김영곤</t>
    <phoneticPr fontId="5" type="noConversion"/>
  </si>
  <si>
    <t>김병호</t>
    <phoneticPr fontId="5" type="noConversion"/>
  </si>
  <si>
    <t>강택기</t>
    <phoneticPr fontId="5" type="noConversion"/>
  </si>
  <si>
    <t>이동훈</t>
    <phoneticPr fontId="5" type="noConversion"/>
  </si>
  <si>
    <t>정병율</t>
    <phoneticPr fontId="5" type="noConversion"/>
  </si>
  <si>
    <t>이대훈</t>
    <phoneticPr fontId="5" type="noConversion"/>
  </si>
  <si>
    <t>이종민</t>
    <phoneticPr fontId="5" type="noConversion"/>
  </si>
  <si>
    <t>이오영</t>
    <phoneticPr fontId="5" type="noConversion"/>
  </si>
  <si>
    <t>배대영</t>
    <phoneticPr fontId="5" type="noConversion"/>
  </si>
  <si>
    <t>이강준</t>
    <phoneticPr fontId="5" type="noConversion"/>
  </si>
  <si>
    <t>황숙자</t>
    <phoneticPr fontId="5" type="noConversion"/>
  </si>
  <si>
    <t>김해령</t>
    <phoneticPr fontId="5" type="noConversion"/>
  </si>
  <si>
    <t>원미희</t>
    <phoneticPr fontId="5" type="noConversion"/>
  </si>
  <si>
    <t>신은경</t>
    <phoneticPr fontId="5" type="noConversion"/>
  </si>
  <si>
    <t>주형우</t>
    <phoneticPr fontId="5" type="noConversion"/>
  </si>
  <si>
    <t>윤진실</t>
    <phoneticPr fontId="5" type="noConversion"/>
  </si>
  <si>
    <t>김민서</t>
    <phoneticPr fontId="5" type="noConversion"/>
  </si>
  <si>
    <t>유요석</t>
    <phoneticPr fontId="5" type="noConversion"/>
  </si>
  <si>
    <t>김창봉</t>
    <phoneticPr fontId="5" type="noConversion"/>
  </si>
  <si>
    <t>안태용</t>
    <phoneticPr fontId="5" type="noConversion"/>
  </si>
  <si>
    <t>박홍석/연응경</t>
    <phoneticPr fontId="5" type="noConversion"/>
  </si>
  <si>
    <t>표상록</t>
    <phoneticPr fontId="5" type="noConversion"/>
  </si>
  <si>
    <t>전재열</t>
    <phoneticPr fontId="5" type="noConversion"/>
  </si>
  <si>
    <t>나혜영</t>
    <phoneticPr fontId="5" type="noConversion"/>
  </si>
  <si>
    <t>채봉덕</t>
    <phoneticPr fontId="5" type="noConversion"/>
  </si>
  <si>
    <t>구혜진</t>
    <phoneticPr fontId="5" type="noConversion"/>
  </si>
  <si>
    <t>최민석</t>
    <phoneticPr fontId="5" type="noConversion"/>
  </si>
  <si>
    <t>엄영실</t>
    <phoneticPr fontId="5" type="noConversion"/>
  </si>
  <si>
    <t>이범희</t>
    <phoneticPr fontId="5" type="noConversion"/>
  </si>
  <si>
    <t>최낙준</t>
    <phoneticPr fontId="5" type="noConversion"/>
  </si>
  <si>
    <t>표수진</t>
    <phoneticPr fontId="5" type="noConversion"/>
  </si>
  <si>
    <t>한지영</t>
    <phoneticPr fontId="5" type="noConversion"/>
  </si>
  <si>
    <t>김현주</t>
    <phoneticPr fontId="5" type="noConversion"/>
  </si>
  <si>
    <t>국일준</t>
    <phoneticPr fontId="5" type="noConversion"/>
  </si>
  <si>
    <t>구자준</t>
    <phoneticPr fontId="5" type="noConversion"/>
  </si>
  <si>
    <t>노금보</t>
    <phoneticPr fontId="5" type="noConversion"/>
  </si>
  <si>
    <t>김문길</t>
    <phoneticPr fontId="5" type="noConversion"/>
  </si>
  <si>
    <t>강승현</t>
    <phoneticPr fontId="5" type="noConversion"/>
  </si>
  <si>
    <t>양선옥</t>
    <phoneticPr fontId="5" type="noConversion"/>
  </si>
  <si>
    <t>이민호</t>
    <phoneticPr fontId="5" type="noConversion"/>
  </si>
  <si>
    <t>신수하</t>
    <phoneticPr fontId="5" type="noConversion"/>
  </si>
  <si>
    <t>버스운전기사</t>
    <phoneticPr fontId="5" type="noConversion"/>
  </si>
  <si>
    <t>백기훈</t>
    <phoneticPr fontId="5" type="noConversion"/>
  </si>
  <si>
    <t>박장근</t>
    <phoneticPr fontId="5" type="noConversion"/>
  </si>
  <si>
    <t>최동석</t>
    <phoneticPr fontId="5" type="noConversion"/>
  </si>
  <si>
    <t>채장기</t>
    <phoneticPr fontId="5" type="noConversion"/>
  </si>
  <si>
    <t>김수광</t>
    <phoneticPr fontId="5" type="noConversion"/>
  </si>
  <si>
    <t>이한성</t>
    <phoneticPr fontId="5" type="noConversion"/>
  </si>
  <si>
    <t>정권창</t>
    <phoneticPr fontId="5" type="noConversion"/>
  </si>
  <si>
    <t>이윤재</t>
    <phoneticPr fontId="5" type="noConversion"/>
  </si>
  <si>
    <t>이은선</t>
    <phoneticPr fontId="5" type="noConversion"/>
  </si>
  <si>
    <t>김정순</t>
    <phoneticPr fontId="5" type="noConversion"/>
  </si>
  <si>
    <t>전의문</t>
    <phoneticPr fontId="5" type="noConversion"/>
  </si>
  <si>
    <t>이정숙</t>
    <phoneticPr fontId="5" type="noConversion"/>
  </si>
  <si>
    <t>천정숙</t>
    <phoneticPr fontId="5" type="noConversion"/>
  </si>
  <si>
    <t>김정자</t>
    <phoneticPr fontId="5" type="noConversion"/>
  </si>
  <si>
    <t>송행도</t>
    <phoneticPr fontId="5" type="noConversion"/>
  </si>
  <si>
    <t>팽무길</t>
    <phoneticPr fontId="5" type="noConversion"/>
  </si>
  <si>
    <t>백광흠</t>
    <phoneticPr fontId="5" type="noConversion"/>
  </si>
  <si>
    <t>김차순</t>
    <phoneticPr fontId="5" type="noConversion"/>
  </si>
  <si>
    <t>김종복</t>
    <phoneticPr fontId="5" type="noConversion"/>
  </si>
  <si>
    <t>백무흠</t>
    <phoneticPr fontId="5" type="noConversion"/>
  </si>
  <si>
    <t>김수임</t>
    <phoneticPr fontId="5" type="noConversion"/>
  </si>
  <si>
    <t>김선자</t>
    <phoneticPr fontId="5" type="noConversion"/>
  </si>
  <si>
    <t>전예지</t>
    <phoneticPr fontId="5" type="noConversion"/>
  </si>
  <si>
    <t>문양도</t>
    <phoneticPr fontId="5" type="noConversion"/>
  </si>
  <si>
    <t>임권택</t>
    <phoneticPr fontId="5" type="noConversion"/>
  </si>
  <si>
    <t>백정흠</t>
    <phoneticPr fontId="5" type="noConversion"/>
  </si>
  <si>
    <t>성주초 23회 일동</t>
    <phoneticPr fontId="5" type="noConversion"/>
  </si>
  <si>
    <t>김석순</t>
    <phoneticPr fontId="5" type="noConversion"/>
  </si>
  <si>
    <t>김성일</t>
    <phoneticPr fontId="5" type="noConversion"/>
  </si>
  <si>
    <t>곽재곤</t>
    <phoneticPr fontId="5" type="noConversion"/>
  </si>
  <si>
    <t>팽현출</t>
    <phoneticPr fontId="5" type="noConversion"/>
  </si>
  <si>
    <t>이경찬</t>
    <phoneticPr fontId="5" type="noConversion"/>
  </si>
  <si>
    <t>정수재</t>
    <phoneticPr fontId="5" type="noConversion"/>
  </si>
  <si>
    <t>전윤수</t>
    <phoneticPr fontId="5" type="noConversion"/>
  </si>
  <si>
    <t>윤병호</t>
    <phoneticPr fontId="5" type="noConversion"/>
  </si>
  <si>
    <t>박용호</t>
    <phoneticPr fontId="5" type="noConversion"/>
  </si>
  <si>
    <t>최남경</t>
    <phoneticPr fontId="5" type="noConversion"/>
  </si>
  <si>
    <t>최근식</t>
    <phoneticPr fontId="5" type="noConversion"/>
  </si>
  <si>
    <t>정택영</t>
    <phoneticPr fontId="5" type="noConversion"/>
  </si>
  <si>
    <t>백재학</t>
    <phoneticPr fontId="5" type="noConversion"/>
  </si>
  <si>
    <t>박준원</t>
    <phoneticPr fontId="5" type="noConversion"/>
  </si>
  <si>
    <t>김교동</t>
    <phoneticPr fontId="5" type="noConversion"/>
  </si>
  <si>
    <t>김해겸</t>
    <phoneticPr fontId="5" type="noConversion"/>
  </si>
  <si>
    <t>팽경식</t>
    <phoneticPr fontId="5" type="noConversion"/>
  </si>
  <si>
    <t>황인태</t>
    <phoneticPr fontId="5" type="noConversion"/>
  </si>
  <si>
    <t>최재성</t>
    <phoneticPr fontId="5" type="noConversion"/>
  </si>
  <si>
    <t>이성표</t>
    <phoneticPr fontId="5" type="noConversion"/>
  </si>
  <si>
    <t>정회준</t>
    <phoneticPr fontId="5" type="noConversion"/>
  </si>
  <si>
    <t>양준호</t>
    <phoneticPr fontId="5" type="noConversion"/>
  </si>
  <si>
    <t>이상기</t>
    <phoneticPr fontId="5" type="noConversion"/>
  </si>
  <si>
    <t>박금주</t>
    <phoneticPr fontId="5" type="noConversion"/>
  </si>
  <si>
    <t>279 남부 동기 일동</t>
    <phoneticPr fontId="5" type="noConversion"/>
  </si>
  <si>
    <t>권광석</t>
    <phoneticPr fontId="5" type="noConversion"/>
  </si>
  <si>
    <t>김기환</t>
    <phoneticPr fontId="5" type="noConversion"/>
  </si>
  <si>
    <t>김민건</t>
    <phoneticPr fontId="5" type="noConversion"/>
  </si>
  <si>
    <t>김호두</t>
    <phoneticPr fontId="5" type="noConversion"/>
  </si>
  <si>
    <t>임석순</t>
    <phoneticPr fontId="5" type="noConversion"/>
  </si>
  <si>
    <t>박용택</t>
    <phoneticPr fontId="5" type="noConversion"/>
  </si>
  <si>
    <t>이태수</t>
    <phoneticPr fontId="5" type="noConversion"/>
  </si>
  <si>
    <t>조인규</t>
    <phoneticPr fontId="5" type="noConversion"/>
  </si>
  <si>
    <t>이승원</t>
    <phoneticPr fontId="5" type="noConversion"/>
  </si>
  <si>
    <t>최윤배 부인</t>
    <phoneticPr fontId="5" type="noConversion"/>
  </si>
  <si>
    <t>이예진</t>
    <phoneticPr fontId="5" type="noConversion"/>
  </si>
  <si>
    <t>현기흥</t>
    <phoneticPr fontId="5" type="noConversion"/>
  </si>
  <si>
    <t>이승록</t>
    <phoneticPr fontId="5" type="noConversion"/>
  </si>
  <si>
    <t>해심회 회원 일동</t>
    <phoneticPr fontId="5" type="noConversion"/>
  </si>
  <si>
    <t>강승기</t>
    <phoneticPr fontId="5" type="noConversion"/>
  </si>
  <si>
    <t>박종근</t>
    <phoneticPr fontId="5" type="noConversion"/>
  </si>
  <si>
    <t>하광룡</t>
    <phoneticPr fontId="5" type="noConversion"/>
  </si>
  <si>
    <t>김희진</t>
    <phoneticPr fontId="5" type="noConversion"/>
  </si>
  <si>
    <t>김상민</t>
    <phoneticPr fontId="5" type="noConversion"/>
  </si>
  <si>
    <t>최세영</t>
    <phoneticPr fontId="5" type="noConversion"/>
  </si>
  <si>
    <t>김동진</t>
    <phoneticPr fontId="5" type="noConversion"/>
  </si>
  <si>
    <t>한상욱</t>
    <phoneticPr fontId="5" type="noConversion"/>
  </si>
  <si>
    <t>손연철</t>
    <phoneticPr fontId="5" type="noConversion"/>
  </si>
  <si>
    <t>현철오</t>
    <phoneticPr fontId="5" type="noConversion"/>
  </si>
  <si>
    <t>조봉기</t>
    <phoneticPr fontId="5" type="noConversion"/>
  </si>
  <si>
    <t>백만조</t>
    <phoneticPr fontId="5" type="noConversion"/>
  </si>
  <si>
    <t>김성권</t>
    <phoneticPr fontId="5" type="noConversion"/>
  </si>
  <si>
    <t>송춘섭</t>
    <phoneticPr fontId="5" type="noConversion"/>
  </si>
  <si>
    <t>박중기</t>
    <phoneticPr fontId="5" type="noConversion"/>
  </si>
  <si>
    <t>오인경</t>
    <phoneticPr fontId="5" type="noConversion"/>
  </si>
  <si>
    <t>팽성훈</t>
    <phoneticPr fontId="5" type="noConversion"/>
  </si>
  <si>
    <t>추경태</t>
    <phoneticPr fontId="5" type="noConversion"/>
  </si>
  <si>
    <t>강석임</t>
    <phoneticPr fontId="5" type="noConversion"/>
  </si>
  <si>
    <t>가족/친척</t>
    <phoneticPr fontId="5" type="noConversion"/>
  </si>
  <si>
    <t>손양희</t>
    <phoneticPr fontId="5" type="noConversion"/>
  </si>
  <si>
    <t>강진원/손영언</t>
    <phoneticPr fontId="5" type="noConversion"/>
  </si>
  <si>
    <t>지성이 외할아버지 (서기동)</t>
    <phoneticPr fontId="5" type="noConversion"/>
  </si>
  <si>
    <t>지성이 외할머니 (김민정)</t>
    <phoneticPr fontId="5" type="noConversion"/>
  </si>
  <si>
    <t>지성이 외삼촌</t>
    <phoneticPr fontId="5" type="noConversion"/>
  </si>
  <si>
    <t>정영욱</t>
    <phoneticPr fontId="5" type="noConversion"/>
  </si>
  <si>
    <t>배지환</t>
    <phoneticPr fontId="5" type="noConversion"/>
  </si>
  <si>
    <t>문삼지</t>
    <phoneticPr fontId="5" type="noConversion"/>
  </si>
  <si>
    <t>문순자</t>
    <phoneticPr fontId="5" type="noConversion"/>
  </si>
  <si>
    <t>이회용</t>
    <phoneticPr fontId="5" type="noConversion"/>
  </si>
  <si>
    <t>정규열</t>
    <phoneticPr fontId="5" type="noConversion"/>
  </si>
  <si>
    <t>해가회</t>
    <phoneticPr fontId="5" type="noConversion"/>
  </si>
  <si>
    <t>정형태</t>
    <phoneticPr fontId="5" type="noConversion"/>
  </si>
  <si>
    <t>이화득</t>
    <phoneticPr fontId="5" type="noConversion"/>
  </si>
  <si>
    <t>강성문</t>
    <phoneticPr fontId="5" type="noConversion"/>
  </si>
  <si>
    <t>이태헌</t>
    <phoneticPr fontId="5" type="noConversion"/>
  </si>
  <si>
    <t>김찬수</t>
    <phoneticPr fontId="5" type="noConversion"/>
  </si>
  <si>
    <t>이원우</t>
    <phoneticPr fontId="5" type="noConversion"/>
  </si>
  <si>
    <t>강태경/서보경</t>
    <phoneticPr fontId="5" type="noConversion"/>
  </si>
  <si>
    <t>김병준</t>
    <phoneticPr fontId="5" type="noConversion"/>
  </si>
  <si>
    <t>이병하</t>
    <phoneticPr fontId="5" type="noConversion"/>
  </si>
  <si>
    <t>강한별</t>
    <phoneticPr fontId="5" type="noConversion"/>
  </si>
  <si>
    <t>손세영</t>
    <phoneticPr fontId="5" type="noConversion"/>
  </si>
  <si>
    <t>유녕희</t>
    <phoneticPr fontId="5" type="noConversion"/>
  </si>
  <si>
    <t>심영균</t>
    <phoneticPr fontId="5" type="noConversion"/>
  </si>
  <si>
    <t>김영균</t>
    <phoneticPr fontId="5" type="noConversion"/>
  </si>
  <si>
    <t>서동엽</t>
    <phoneticPr fontId="5" type="noConversion"/>
  </si>
  <si>
    <t>박재상</t>
    <phoneticPr fontId="5" type="noConversion"/>
  </si>
  <si>
    <t>양희봉/장지영</t>
    <phoneticPr fontId="5" type="noConversion"/>
  </si>
  <si>
    <t>이상호/송미연</t>
    <phoneticPr fontId="5" type="noConversion"/>
  </si>
  <si>
    <t>이승일</t>
    <phoneticPr fontId="5" type="noConversion"/>
  </si>
  <si>
    <t>심민섭</t>
    <phoneticPr fontId="5" type="noConversion"/>
  </si>
  <si>
    <t>정대욱</t>
    <phoneticPr fontId="5" type="noConversion"/>
  </si>
  <si>
    <t>윤해든</t>
    <phoneticPr fontId="5" type="noConversion"/>
  </si>
  <si>
    <t>이중재</t>
    <phoneticPr fontId="5" type="noConversion"/>
  </si>
  <si>
    <t>이장원</t>
    <phoneticPr fontId="5" type="noConversion"/>
  </si>
  <si>
    <t>유경재</t>
    <phoneticPr fontId="5" type="noConversion"/>
  </si>
  <si>
    <t>신한 (급여)</t>
    <phoneticPr fontId="5" type="noConversion"/>
  </si>
  <si>
    <t>정주완</t>
    <phoneticPr fontId="5" type="noConversion"/>
  </si>
  <si>
    <t>신한 (개인)</t>
    <phoneticPr fontId="5" type="noConversion"/>
  </si>
  <si>
    <t>S/N</t>
    <phoneticPr fontId="23" type="noConversion"/>
  </si>
  <si>
    <r>
      <rPr>
        <sz val="10"/>
        <color theme="1"/>
        <rFont val="맑은 고딕"/>
        <family val="3"/>
        <charset val="129"/>
      </rPr>
      <t>일자</t>
    </r>
    <phoneticPr fontId="23" type="noConversion"/>
  </si>
  <si>
    <r>
      <rPr>
        <sz val="10"/>
        <color theme="1"/>
        <rFont val="맑은 고딕"/>
        <family val="3"/>
        <charset val="129"/>
      </rPr>
      <t>항목</t>
    </r>
    <phoneticPr fontId="23" type="noConversion"/>
  </si>
  <si>
    <r>
      <rPr>
        <sz val="10"/>
        <color theme="1"/>
        <rFont val="맑은 고딕"/>
        <family val="3"/>
        <charset val="129"/>
      </rPr>
      <t>세부항목</t>
    </r>
    <phoneticPr fontId="23" type="noConversion"/>
  </si>
  <si>
    <r>
      <rPr>
        <sz val="10"/>
        <color theme="1"/>
        <rFont val="맑은 고딕"/>
        <family val="3"/>
        <charset val="129"/>
      </rPr>
      <t>금액</t>
    </r>
    <phoneticPr fontId="23" type="noConversion"/>
  </si>
  <si>
    <r>
      <rPr>
        <sz val="10"/>
        <color theme="1"/>
        <rFont val="맑은 고딕"/>
        <family val="3"/>
        <charset val="129"/>
      </rPr>
      <t>비고</t>
    </r>
    <phoneticPr fontId="23" type="noConversion"/>
  </si>
  <si>
    <r>
      <rPr>
        <sz val="10"/>
        <color theme="1"/>
        <rFont val="맑은 고딕"/>
        <family val="3"/>
        <charset val="129"/>
      </rPr>
      <t>흑석동</t>
    </r>
    <r>
      <rPr>
        <sz val="10"/>
        <color theme="1"/>
        <rFont val="Arial"/>
        <family val="2"/>
      </rPr>
      <t xml:space="preserve"> 141-12</t>
    </r>
    <phoneticPr fontId="23" type="noConversion"/>
  </si>
  <si>
    <t>2015-10-XX</t>
    <phoneticPr fontId="23" type="noConversion"/>
  </si>
  <si>
    <r>
      <rPr>
        <sz val="10"/>
        <color theme="1"/>
        <rFont val="맑은 고딕"/>
        <family val="3"/>
        <charset val="129"/>
      </rPr>
      <t>등기수수료</t>
    </r>
    <r>
      <rPr>
        <sz val="10"/>
        <color theme="1"/>
        <rFont val="Arial"/>
        <family val="2"/>
      </rPr>
      <t xml:space="preserve"> (Incl. </t>
    </r>
    <r>
      <rPr>
        <sz val="10"/>
        <color theme="1"/>
        <rFont val="맑은 고딕"/>
        <family val="3"/>
        <charset val="129"/>
      </rPr>
      <t>취득세</t>
    </r>
    <r>
      <rPr>
        <sz val="10"/>
        <color theme="1"/>
        <rFont val="Arial"/>
        <family val="2"/>
      </rPr>
      <t>)</t>
    </r>
    <phoneticPr fontId="23" type="noConversion"/>
  </si>
  <si>
    <r>
      <rPr>
        <sz val="10"/>
        <color theme="1"/>
        <rFont val="맑은 고딕"/>
        <family val="3"/>
        <charset val="129"/>
      </rPr>
      <t>매매수수료</t>
    </r>
    <phoneticPr fontId="23" type="noConversion"/>
  </si>
  <si>
    <r>
      <rPr>
        <sz val="10"/>
        <color theme="1"/>
        <rFont val="맑은 고딕"/>
        <family val="3"/>
        <charset val="129"/>
      </rPr>
      <t>아크로리버하임</t>
    </r>
    <r>
      <rPr>
        <sz val="10"/>
        <color theme="1"/>
        <rFont val="Arial"/>
        <family val="2"/>
      </rPr>
      <t xml:space="preserve"> 103</t>
    </r>
    <r>
      <rPr>
        <sz val="10"/>
        <color theme="1"/>
        <rFont val="맑은 고딕"/>
        <family val="3"/>
        <charset val="129"/>
      </rPr>
      <t>동</t>
    </r>
    <r>
      <rPr>
        <sz val="10"/>
        <color theme="1"/>
        <rFont val="Arial"/>
        <family val="2"/>
      </rPr>
      <t xml:space="preserve"> 1704</t>
    </r>
    <r>
      <rPr>
        <sz val="10"/>
        <color theme="1"/>
        <rFont val="맑은 고딕"/>
        <family val="3"/>
        <charset val="129"/>
      </rPr>
      <t>호</t>
    </r>
    <phoneticPr fontId="23" type="noConversion"/>
  </si>
  <si>
    <r>
      <rPr>
        <sz val="10"/>
        <color theme="1"/>
        <rFont val="맑은 고딕"/>
        <family val="3"/>
        <charset val="129"/>
      </rPr>
      <t>아파트</t>
    </r>
    <r>
      <rPr>
        <sz val="10"/>
        <color theme="1"/>
        <rFont val="Arial"/>
        <family val="2"/>
      </rPr>
      <t xml:space="preserve"> </t>
    </r>
    <r>
      <rPr>
        <sz val="10"/>
        <color theme="1"/>
        <rFont val="맑은 고딕"/>
        <family val="3"/>
        <charset val="129"/>
      </rPr>
      <t>계약금</t>
    </r>
    <phoneticPr fontId="23" type="noConversion"/>
  </si>
  <si>
    <r>
      <rPr>
        <sz val="10"/>
        <color theme="1"/>
        <rFont val="맑은 고딕"/>
        <family val="3"/>
        <charset val="129"/>
      </rPr>
      <t>별매품</t>
    </r>
    <r>
      <rPr>
        <sz val="10"/>
        <color theme="1"/>
        <rFont val="Arial"/>
        <family val="2"/>
      </rPr>
      <t>2 (</t>
    </r>
    <r>
      <rPr>
        <sz val="10"/>
        <color theme="1"/>
        <rFont val="맑은 고딕"/>
        <family val="3"/>
        <charset val="129"/>
      </rPr>
      <t>에어컨</t>
    </r>
    <r>
      <rPr>
        <sz val="10"/>
        <color theme="1"/>
        <rFont val="Arial"/>
        <family val="2"/>
      </rPr>
      <t xml:space="preserve">) </t>
    </r>
    <r>
      <rPr>
        <sz val="10"/>
        <color theme="1"/>
        <rFont val="맑은 고딕"/>
        <family val="3"/>
        <charset val="129"/>
      </rPr>
      <t>계약금</t>
    </r>
    <phoneticPr fontId="23" type="noConversion"/>
  </si>
  <si>
    <r>
      <rPr>
        <sz val="10"/>
        <color theme="1"/>
        <rFont val="맑은 고딕"/>
        <family val="3"/>
        <charset val="129"/>
      </rPr>
      <t>아파트</t>
    </r>
    <r>
      <rPr>
        <sz val="10"/>
        <color theme="1"/>
        <rFont val="Arial"/>
        <family val="2"/>
      </rPr>
      <t xml:space="preserve"> </t>
    </r>
    <r>
      <rPr>
        <sz val="10"/>
        <color theme="1"/>
        <rFont val="맑은 고딕"/>
        <family val="3"/>
        <charset val="129"/>
      </rPr>
      <t>중도금</t>
    </r>
    <r>
      <rPr>
        <sz val="10"/>
        <color theme="1"/>
        <rFont val="Arial"/>
        <family val="2"/>
      </rPr>
      <t xml:space="preserve"> 1</t>
    </r>
    <r>
      <rPr>
        <sz val="10"/>
        <color theme="1"/>
        <rFont val="맑은 고딕"/>
        <family val="3"/>
        <charset val="129"/>
      </rPr>
      <t>차</t>
    </r>
    <phoneticPr fontId="23" type="noConversion"/>
  </si>
  <si>
    <r>
      <rPr>
        <sz val="10"/>
        <color theme="1"/>
        <rFont val="맑은 고딕"/>
        <family val="3"/>
        <charset val="129"/>
      </rPr>
      <t>별매품</t>
    </r>
    <r>
      <rPr>
        <sz val="10"/>
        <color theme="1"/>
        <rFont val="Arial"/>
        <family val="2"/>
      </rPr>
      <t>2 (</t>
    </r>
    <r>
      <rPr>
        <sz val="10"/>
        <color theme="1"/>
        <rFont val="맑은 고딕"/>
        <family val="3"/>
        <charset val="129"/>
      </rPr>
      <t>에어컨</t>
    </r>
    <r>
      <rPr>
        <sz val="10"/>
        <color theme="1"/>
        <rFont val="Arial"/>
        <family val="2"/>
      </rPr>
      <t xml:space="preserve">) </t>
    </r>
    <r>
      <rPr>
        <sz val="10"/>
        <color theme="1"/>
        <rFont val="맑은 고딕"/>
        <family val="3"/>
        <charset val="129"/>
      </rPr>
      <t>중도금</t>
    </r>
    <r>
      <rPr>
        <sz val="10"/>
        <color theme="1"/>
        <rFont val="Arial"/>
        <family val="2"/>
      </rPr>
      <t xml:space="preserve"> 1</t>
    </r>
    <r>
      <rPr>
        <sz val="10"/>
        <color theme="1"/>
        <rFont val="맑은 고딕"/>
        <family val="3"/>
        <charset val="129"/>
      </rPr>
      <t>차</t>
    </r>
    <phoneticPr fontId="23" type="noConversion"/>
  </si>
  <si>
    <r>
      <rPr>
        <sz val="10"/>
        <color theme="1"/>
        <rFont val="맑은 고딕"/>
        <family val="3"/>
        <charset val="129"/>
      </rPr>
      <t>아파트</t>
    </r>
    <r>
      <rPr>
        <sz val="10"/>
        <color theme="1"/>
        <rFont val="Arial"/>
        <family val="2"/>
      </rPr>
      <t xml:space="preserve"> </t>
    </r>
    <r>
      <rPr>
        <sz val="10"/>
        <color theme="1"/>
        <rFont val="맑은 고딕"/>
        <family val="3"/>
        <charset val="129"/>
      </rPr>
      <t>중도금</t>
    </r>
    <r>
      <rPr>
        <sz val="10"/>
        <color theme="1"/>
        <rFont val="Arial"/>
        <family val="2"/>
      </rPr>
      <t xml:space="preserve"> 2</t>
    </r>
    <r>
      <rPr>
        <sz val="10"/>
        <color theme="1"/>
        <rFont val="맑은 고딕"/>
        <family val="3"/>
        <charset val="129"/>
      </rPr>
      <t>차</t>
    </r>
    <phoneticPr fontId="23" type="noConversion"/>
  </si>
  <si>
    <r>
      <rPr>
        <sz val="10"/>
        <color theme="1"/>
        <rFont val="맑은 고딕"/>
        <family val="3"/>
        <charset val="129"/>
      </rPr>
      <t>아파트</t>
    </r>
    <r>
      <rPr>
        <sz val="10"/>
        <color theme="1"/>
        <rFont val="Arial"/>
        <family val="2"/>
      </rPr>
      <t xml:space="preserve"> </t>
    </r>
    <r>
      <rPr>
        <sz val="10"/>
        <color theme="1"/>
        <rFont val="맑은 고딕"/>
        <family val="3"/>
        <charset val="129"/>
      </rPr>
      <t>중도금</t>
    </r>
    <r>
      <rPr>
        <sz val="10"/>
        <color theme="1"/>
        <rFont val="Arial"/>
        <family val="2"/>
      </rPr>
      <t xml:space="preserve"> 3</t>
    </r>
    <r>
      <rPr>
        <sz val="10"/>
        <color theme="1"/>
        <rFont val="맑은 고딕"/>
        <family val="3"/>
        <charset val="129"/>
      </rPr>
      <t>차</t>
    </r>
    <phoneticPr fontId="23" type="noConversion"/>
  </si>
  <si>
    <r>
      <rPr>
        <sz val="10"/>
        <color theme="1"/>
        <rFont val="맑은 고딕"/>
        <family val="3"/>
        <charset val="129"/>
      </rPr>
      <t>아파트</t>
    </r>
    <r>
      <rPr>
        <sz val="10"/>
        <color theme="1"/>
        <rFont val="Arial"/>
        <family val="2"/>
      </rPr>
      <t xml:space="preserve"> </t>
    </r>
    <r>
      <rPr>
        <sz val="10"/>
        <color theme="1"/>
        <rFont val="맑은 고딕"/>
        <family val="3"/>
        <charset val="129"/>
      </rPr>
      <t>중도금</t>
    </r>
    <r>
      <rPr>
        <sz val="10"/>
        <color theme="1"/>
        <rFont val="Arial"/>
        <family val="2"/>
      </rPr>
      <t xml:space="preserve"> 4</t>
    </r>
    <r>
      <rPr>
        <sz val="10"/>
        <color theme="1"/>
        <rFont val="맑은 고딕"/>
        <family val="3"/>
        <charset val="129"/>
      </rPr>
      <t>차</t>
    </r>
    <phoneticPr fontId="23" type="noConversion"/>
  </si>
  <si>
    <r>
      <rPr>
        <sz val="10"/>
        <color theme="1"/>
        <rFont val="맑은 고딕"/>
        <family val="3"/>
        <charset val="129"/>
      </rPr>
      <t>별매품</t>
    </r>
    <r>
      <rPr>
        <sz val="10"/>
        <color theme="1"/>
        <rFont val="Arial"/>
        <family val="2"/>
      </rPr>
      <t>3 (</t>
    </r>
    <r>
      <rPr>
        <sz val="10"/>
        <color theme="1"/>
        <rFont val="맑은 고딕"/>
        <family val="3"/>
        <charset val="129"/>
      </rPr>
      <t>쿡탑</t>
    </r>
    <r>
      <rPr>
        <sz val="10"/>
        <color theme="1"/>
        <rFont val="Arial"/>
        <family val="2"/>
      </rPr>
      <t xml:space="preserve">) </t>
    </r>
    <r>
      <rPr>
        <sz val="10"/>
        <color theme="1"/>
        <rFont val="맑은 고딕"/>
        <family val="3"/>
        <charset val="129"/>
      </rPr>
      <t>계약금</t>
    </r>
    <phoneticPr fontId="23" type="noConversion"/>
  </si>
  <si>
    <r>
      <rPr>
        <sz val="10"/>
        <color theme="1"/>
        <rFont val="맑은 고딕"/>
        <family val="3"/>
        <charset val="129"/>
      </rPr>
      <t>아파트</t>
    </r>
    <r>
      <rPr>
        <sz val="10"/>
        <color theme="1"/>
        <rFont val="Arial"/>
        <family val="2"/>
      </rPr>
      <t xml:space="preserve"> </t>
    </r>
    <r>
      <rPr>
        <sz val="10"/>
        <color theme="1"/>
        <rFont val="맑은 고딕"/>
        <family val="3"/>
        <charset val="129"/>
      </rPr>
      <t>중도금</t>
    </r>
    <r>
      <rPr>
        <sz val="10"/>
        <color theme="1"/>
        <rFont val="Arial"/>
        <family val="2"/>
      </rPr>
      <t xml:space="preserve"> 5</t>
    </r>
    <r>
      <rPr>
        <sz val="10"/>
        <color theme="1"/>
        <rFont val="맑은 고딕"/>
        <family val="3"/>
        <charset val="129"/>
      </rPr>
      <t>차</t>
    </r>
    <phoneticPr fontId="23" type="noConversion"/>
  </si>
  <si>
    <r>
      <rPr>
        <sz val="10"/>
        <color theme="1"/>
        <rFont val="맑은 고딕"/>
        <family val="3"/>
        <charset val="129"/>
      </rPr>
      <t>별매품</t>
    </r>
    <r>
      <rPr>
        <sz val="10"/>
        <color theme="1"/>
        <rFont val="Arial"/>
        <family val="2"/>
      </rPr>
      <t>3 (</t>
    </r>
    <r>
      <rPr>
        <sz val="10"/>
        <color theme="1"/>
        <rFont val="맑은 고딕"/>
        <family val="3"/>
        <charset val="129"/>
      </rPr>
      <t>쿡탑</t>
    </r>
    <r>
      <rPr>
        <sz val="10"/>
        <color theme="1"/>
        <rFont val="Arial"/>
        <family val="2"/>
      </rPr>
      <t xml:space="preserve">) </t>
    </r>
    <r>
      <rPr>
        <sz val="10"/>
        <color theme="1"/>
        <rFont val="맑은 고딕"/>
        <family val="3"/>
        <charset val="129"/>
      </rPr>
      <t>중도금</t>
    </r>
    <r>
      <rPr>
        <sz val="10"/>
        <color theme="1"/>
        <rFont val="Arial"/>
        <family val="2"/>
      </rPr>
      <t xml:space="preserve"> 1</t>
    </r>
    <r>
      <rPr>
        <sz val="10"/>
        <color theme="1"/>
        <rFont val="맑은 고딕"/>
        <family val="3"/>
        <charset val="129"/>
      </rPr>
      <t>차</t>
    </r>
    <phoneticPr fontId="23" type="noConversion"/>
  </si>
  <si>
    <r>
      <rPr>
        <sz val="10"/>
        <color theme="1"/>
        <rFont val="맑은 고딕"/>
        <family val="3"/>
        <charset val="129"/>
      </rPr>
      <t>아파트</t>
    </r>
    <r>
      <rPr>
        <sz val="10"/>
        <color theme="1"/>
        <rFont val="Arial"/>
        <family val="2"/>
      </rPr>
      <t xml:space="preserve"> </t>
    </r>
    <r>
      <rPr>
        <sz val="10"/>
        <color theme="1"/>
        <rFont val="맑은 고딕"/>
        <family val="3"/>
        <charset val="129"/>
      </rPr>
      <t>중도금</t>
    </r>
    <r>
      <rPr>
        <sz val="10"/>
        <color theme="1"/>
        <rFont val="Arial"/>
        <family val="2"/>
      </rPr>
      <t xml:space="preserve"> 6</t>
    </r>
    <r>
      <rPr>
        <sz val="10"/>
        <color theme="1"/>
        <rFont val="맑은 고딕"/>
        <family val="3"/>
        <charset val="129"/>
      </rPr>
      <t>차</t>
    </r>
    <phoneticPr fontId="23" type="noConversion"/>
  </si>
  <si>
    <r>
      <rPr>
        <sz val="10"/>
        <color theme="1"/>
        <rFont val="맑은 고딕"/>
        <family val="3"/>
        <charset val="129"/>
      </rPr>
      <t>아파트</t>
    </r>
    <r>
      <rPr>
        <sz val="10"/>
        <color theme="1"/>
        <rFont val="Arial"/>
        <family val="2"/>
      </rPr>
      <t xml:space="preserve"> </t>
    </r>
    <r>
      <rPr>
        <sz val="10"/>
        <color theme="1"/>
        <rFont val="맑은 고딕"/>
        <family val="3"/>
        <charset val="129"/>
      </rPr>
      <t>잔금</t>
    </r>
    <phoneticPr fontId="23" type="noConversion"/>
  </si>
  <si>
    <r>
      <rPr>
        <sz val="10"/>
        <color theme="1"/>
        <rFont val="맑은 고딕"/>
        <family val="3"/>
        <charset val="129"/>
      </rPr>
      <t>별매품</t>
    </r>
    <r>
      <rPr>
        <sz val="10"/>
        <color theme="1"/>
        <rFont val="Arial"/>
        <family val="2"/>
      </rPr>
      <t>3 (</t>
    </r>
    <r>
      <rPr>
        <sz val="10"/>
        <color theme="1"/>
        <rFont val="맑은 고딕"/>
        <family val="3"/>
        <charset val="129"/>
      </rPr>
      <t>쿡탑</t>
    </r>
    <r>
      <rPr>
        <sz val="10"/>
        <color theme="1"/>
        <rFont val="Arial"/>
        <family val="2"/>
      </rPr>
      <t xml:space="preserve">) </t>
    </r>
    <r>
      <rPr>
        <sz val="10"/>
        <color theme="1"/>
        <rFont val="맑은 고딕"/>
        <family val="3"/>
        <charset val="129"/>
      </rPr>
      <t>잔금</t>
    </r>
    <phoneticPr fontId="23" type="noConversion"/>
  </si>
  <si>
    <r>
      <rPr>
        <sz val="10"/>
        <color theme="1"/>
        <rFont val="맑은 고딕"/>
        <family val="3"/>
        <charset val="129"/>
      </rPr>
      <t>별매품</t>
    </r>
    <r>
      <rPr>
        <sz val="10"/>
        <color theme="1"/>
        <rFont val="Arial"/>
        <family val="2"/>
      </rPr>
      <t>2 (</t>
    </r>
    <r>
      <rPr>
        <sz val="10"/>
        <color theme="1"/>
        <rFont val="맑은 고딕"/>
        <family val="3"/>
        <charset val="129"/>
      </rPr>
      <t>에어컨</t>
    </r>
    <r>
      <rPr>
        <sz val="10"/>
        <color theme="1"/>
        <rFont val="Arial"/>
        <family val="2"/>
      </rPr>
      <t xml:space="preserve">) </t>
    </r>
    <r>
      <rPr>
        <sz val="10"/>
        <color theme="1"/>
        <rFont val="맑은 고딕"/>
        <family val="3"/>
        <charset val="129"/>
      </rPr>
      <t>잔금</t>
    </r>
    <phoneticPr fontId="23" type="noConversion"/>
  </si>
  <si>
    <r>
      <rPr>
        <sz val="10"/>
        <color theme="1"/>
        <rFont val="맑은 고딕"/>
        <family val="3"/>
        <charset val="129"/>
      </rPr>
      <t>취득세</t>
    </r>
    <phoneticPr fontId="23" type="noConversion"/>
  </si>
  <si>
    <r>
      <rPr>
        <sz val="10"/>
        <color theme="1"/>
        <rFont val="맑은 고딕"/>
        <family val="3"/>
        <charset val="129"/>
      </rPr>
      <t>증여세</t>
    </r>
    <r>
      <rPr>
        <sz val="10"/>
        <color theme="1"/>
        <rFont val="Arial"/>
        <family val="2"/>
      </rPr>
      <t xml:space="preserve"> </t>
    </r>
    <r>
      <rPr>
        <sz val="10"/>
        <color theme="1"/>
        <rFont val="맑은 고딕"/>
        <family val="3"/>
        <charset val="129"/>
      </rPr>
      <t>및</t>
    </r>
    <r>
      <rPr>
        <sz val="10"/>
        <color theme="1"/>
        <rFont val="Arial"/>
        <family val="2"/>
      </rPr>
      <t xml:space="preserve"> </t>
    </r>
    <r>
      <rPr>
        <sz val="10"/>
        <color theme="1"/>
        <rFont val="맑은 고딕"/>
        <family val="3"/>
        <charset val="129"/>
      </rPr>
      <t>대출이자</t>
    </r>
    <phoneticPr fontId="23" type="noConversion"/>
  </si>
  <si>
    <r>
      <rPr>
        <sz val="10"/>
        <color theme="1"/>
        <rFont val="맑은 고딕"/>
        <family val="3"/>
        <charset val="129"/>
      </rPr>
      <t>기</t>
    </r>
    <r>
      <rPr>
        <sz val="10"/>
        <color theme="1"/>
        <rFont val="Arial"/>
        <family val="2"/>
      </rPr>
      <t xml:space="preserve"> </t>
    </r>
    <r>
      <rPr>
        <sz val="10"/>
        <color theme="1"/>
        <rFont val="맑은 고딕"/>
        <family val="3"/>
        <charset val="129"/>
      </rPr>
      <t>투입금액</t>
    </r>
    <phoneticPr fontId="23" type="noConversion"/>
  </si>
  <si>
    <r>
      <rPr>
        <sz val="10"/>
        <color theme="1"/>
        <rFont val="맑은 고딕"/>
        <family val="3"/>
        <charset val="129"/>
      </rPr>
      <t>잔금</t>
    </r>
    <phoneticPr fontId="23" type="noConversion"/>
  </si>
  <si>
    <r>
      <rPr>
        <sz val="10"/>
        <color theme="1"/>
        <rFont val="맑은 고딕"/>
        <family val="3"/>
        <charset val="129"/>
      </rPr>
      <t>매입금액</t>
    </r>
    <phoneticPr fontId="23" type="noConversion"/>
  </si>
  <si>
    <r>
      <rPr>
        <sz val="10"/>
        <color theme="1"/>
        <rFont val="맑은 고딕"/>
        <family val="3"/>
        <charset val="129"/>
      </rPr>
      <t>지불</t>
    </r>
    <r>
      <rPr>
        <sz val="10"/>
        <color theme="1"/>
        <rFont val="Arial"/>
        <family val="2"/>
      </rPr>
      <t xml:space="preserve"> </t>
    </r>
    <r>
      <rPr>
        <sz val="10"/>
        <color theme="1"/>
        <rFont val="맑은 고딕"/>
        <family val="3"/>
        <charset val="129"/>
      </rPr>
      <t>완료</t>
    </r>
    <phoneticPr fontId="23" type="noConversion"/>
  </si>
  <si>
    <r>
      <rPr>
        <sz val="10"/>
        <color theme="1"/>
        <rFont val="맑은 고딕"/>
        <family val="3"/>
        <charset val="129"/>
      </rPr>
      <t>태준</t>
    </r>
    <r>
      <rPr>
        <sz val="10"/>
        <color theme="1"/>
        <rFont val="Arial"/>
        <family val="2"/>
      </rPr>
      <t xml:space="preserve"> </t>
    </r>
    <r>
      <rPr>
        <sz val="10"/>
        <color theme="1"/>
        <rFont val="맑은 고딕"/>
        <family val="3"/>
        <charset val="129"/>
      </rPr>
      <t>부모님</t>
    </r>
    <phoneticPr fontId="23" type="noConversion"/>
  </si>
  <si>
    <r>
      <rPr>
        <sz val="10"/>
        <color theme="1"/>
        <rFont val="맑은 고딕"/>
        <family val="3"/>
        <charset val="129"/>
      </rPr>
      <t>흑석동</t>
    </r>
    <r>
      <rPr>
        <sz val="10"/>
        <color theme="1"/>
        <rFont val="Arial"/>
        <family val="2"/>
      </rPr>
      <t xml:space="preserve"> 141-12, </t>
    </r>
    <r>
      <rPr>
        <sz val="10"/>
        <color theme="1"/>
        <rFont val="맑은 고딕"/>
        <family val="3"/>
        <charset val="129"/>
      </rPr>
      <t>아크로리버하임</t>
    </r>
    <r>
      <rPr>
        <sz val="10"/>
        <color theme="1"/>
        <rFont val="Arial"/>
        <family val="2"/>
      </rPr>
      <t xml:space="preserve"> (</t>
    </r>
    <r>
      <rPr>
        <sz val="10"/>
        <color theme="1"/>
        <rFont val="맑은 고딕"/>
        <family val="3"/>
        <charset val="129"/>
      </rPr>
      <t>아파트</t>
    </r>
    <r>
      <rPr>
        <sz val="10"/>
        <color theme="1"/>
        <rFont val="Arial"/>
        <family val="2"/>
      </rPr>
      <t xml:space="preserve">), </t>
    </r>
    <r>
      <rPr>
        <sz val="10"/>
        <color theme="1"/>
        <rFont val="맑은 고딕"/>
        <family val="3"/>
        <charset val="129"/>
      </rPr>
      <t>태준</t>
    </r>
    <r>
      <rPr>
        <sz val="10"/>
        <color theme="1"/>
        <rFont val="Arial"/>
        <family val="2"/>
      </rPr>
      <t xml:space="preserve"> </t>
    </r>
    <r>
      <rPr>
        <sz val="10"/>
        <color theme="1"/>
        <rFont val="맑은 고딕"/>
        <family val="3"/>
        <charset val="129"/>
      </rPr>
      <t>혼전</t>
    </r>
    <r>
      <rPr>
        <sz val="10"/>
        <color theme="1"/>
        <rFont val="Arial"/>
        <family val="2"/>
      </rPr>
      <t xml:space="preserve"> 3,100</t>
    </r>
    <r>
      <rPr>
        <sz val="10"/>
        <color theme="1"/>
        <rFont val="맑은 고딕"/>
        <family val="3"/>
        <charset val="129"/>
      </rPr>
      <t>만원을</t>
    </r>
    <r>
      <rPr>
        <sz val="10"/>
        <color theme="1"/>
        <rFont val="Arial"/>
        <family val="2"/>
      </rPr>
      <t xml:space="preserve"> </t>
    </r>
    <r>
      <rPr>
        <sz val="10"/>
        <color theme="1"/>
        <rFont val="맑은 고딕"/>
        <family val="3"/>
        <charset val="129"/>
      </rPr>
      <t>기</t>
    </r>
    <r>
      <rPr>
        <sz val="10"/>
        <color theme="1"/>
        <rFont val="Arial"/>
        <family val="2"/>
      </rPr>
      <t xml:space="preserve"> </t>
    </r>
    <r>
      <rPr>
        <sz val="10"/>
        <color theme="1"/>
        <rFont val="맑은 고딕"/>
        <family val="3"/>
        <charset val="129"/>
      </rPr>
      <t>투입으로</t>
    </r>
    <r>
      <rPr>
        <sz val="10"/>
        <color theme="1"/>
        <rFont val="Arial"/>
        <family val="2"/>
      </rPr>
      <t xml:space="preserve"> </t>
    </r>
    <r>
      <rPr>
        <sz val="10"/>
        <color theme="1"/>
        <rFont val="맑은 고딕"/>
        <family val="3"/>
        <charset val="129"/>
      </rPr>
      <t>산정</t>
    </r>
    <phoneticPr fontId="23" type="noConversion"/>
  </si>
  <si>
    <r>
      <rPr>
        <sz val="10"/>
        <color theme="1"/>
        <rFont val="맑은 고딕"/>
        <family val="3"/>
        <charset val="129"/>
      </rPr>
      <t>아크로리버하임</t>
    </r>
    <r>
      <rPr>
        <sz val="10"/>
        <color theme="1"/>
        <rFont val="Arial"/>
        <family val="2"/>
      </rPr>
      <t xml:space="preserve"> (</t>
    </r>
    <r>
      <rPr>
        <sz val="10"/>
        <color theme="1"/>
        <rFont val="맑은 고딕"/>
        <family val="3"/>
        <charset val="129"/>
      </rPr>
      <t>아파트</t>
    </r>
    <r>
      <rPr>
        <sz val="10"/>
        <color theme="1"/>
        <rFont val="Arial"/>
        <family val="2"/>
      </rPr>
      <t>/</t>
    </r>
    <r>
      <rPr>
        <sz val="10"/>
        <color theme="1"/>
        <rFont val="맑은 고딕"/>
        <family val="3"/>
        <charset val="129"/>
      </rPr>
      <t>등기수수료</t>
    </r>
    <r>
      <rPr>
        <sz val="10"/>
        <color theme="1"/>
        <rFont val="Arial"/>
        <family val="2"/>
      </rPr>
      <t>/</t>
    </r>
    <r>
      <rPr>
        <sz val="10"/>
        <color theme="1"/>
        <rFont val="맑은 고딕"/>
        <family val="3"/>
        <charset val="129"/>
      </rPr>
      <t>취득세</t>
    </r>
    <r>
      <rPr>
        <sz val="10"/>
        <color theme="1"/>
        <rFont val="Arial"/>
        <family val="2"/>
      </rPr>
      <t>/</t>
    </r>
    <r>
      <rPr>
        <sz val="10"/>
        <color theme="1"/>
        <rFont val="맑은 고딕"/>
        <family val="3"/>
        <charset val="129"/>
      </rPr>
      <t>이주촉진비</t>
    </r>
    <r>
      <rPr>
        <sz val="10"/>
        <color theme="1"/>
        <rFont val="Arial"/>
        <family val="2"/>
      </rPr>
      <t>/</t>
    </r>
    <r>
      <rPr>
        <sz val="10"/>
        <color theme="1"/>
        <rFont val="맑은 고딕"/>
        <family val="3"/>
        <charset val="129"/>
      </rPr>
      <t>관리비</t>
    </r>
    <r>
      <rPr>
        <sz val="10"/>
        <color theme="1"/>
        <rFont val="Arial"/>
        <family val="2"/>
      </rPr>
      <t xml:space="preserve"> </t>
    </r>
    <r>
      <rPr>
        <sz val="10"/>
        <color theme="1"/>
        <rFont val="맑은 고딕"/>
        <family val="3"/>
        <charset val="129"/>
      </rPr>
      <t>예치금</t>
    </r>
    <r>
      <rPr>
        <sz val="10"/>
        <color theme="1"/>
        <rFont val="Arial"/>
        <family val="2"/>
      </rPr>
      <t xml:space="preserve">), </t>
    </r>
    <r>
      <rPr>
        <sz val="10"/>
        <color theme="1"/>
        <rFont val="맑은 고딕"/>
        <family val="3"/>
        <charset val="129"/>
      </rPr>
      <t>증여세</t>
    </r>
    <r>
      <rPr>
        <sz val="10"/>
        <color theme="1"/>
        <rFont val="Arial"/>
        <family val="2"/>
      </rPr>
      <t xml:space="preserve"> </t>
    </r>
    <r>
      <rPr>
        <sz val="10"/>
        <color theme="1"/>
        <rFont val="맑은 고딕"/>
        <family val="3"/>
        <charset val="129"/>
      </rPr>
      <t>및</t>
    </r>
    <r>
      <rPr>
        <sz val="10"/>
        <color theme="1"/>
        <rFont val="Arial"/>
        <family val="2"/>
      </rPr>
      <t xml:space="preserve"> </t>
    </r>
    <r>
      <rPr>
        <sz val="10"/>
        <color theme="1"/>
        <rFont val="맑은 고딕"/>
        <family val="3"/>
        <charset val="129"/>
      </rPr>
      <t>대출이자</t>
    </r>
    <phoneticPr fontId="23" type="noConversion"/>
  </si>
  <si>
    <r>
      <rPr>
        <sz val="10"/>
        <color theme="1"/>
        <rFont val="맑은 고딕"/>
        <family val="3"/>
        <charset val="129"/>
      </rPr>
      <t>지현</t>
    </r>
    <phoneticPr fontId="23" type="noConversion"/>
  </si>
  <si>
    <r>
      <rPr>
        <sz val="10"/>
        <color theme="1"/>
        <rFont val="맑은 고딕"/>
        <family val="3"/>
        <charset val="129"/>
      </rPr>
      <t>아크로리버하임</t>
    </r>
    <r>
      <rPr>
        <sz val="10"/>
        <color theme="1"/>
        <rFont val="Arial"/>
        <family val="2"/>
      </rPr>
      <t xml:space="preserve"> (</t>
    </r>
    <r>
      <rPr>
        <sz val="10"/>
        <color theme="1"/>
        <rFont val="맑은 고딕"/>
        <family val="3"/>
        <charset val="129"/>
      </rPr>
      <t>별매품</t>
    </r>
    <r>
      <rPr>
        <sz val="10"/>
        <color theme="1"/>
        <rFont val="Arial"/>
        <family val="2"/>
      </rPr>
      <t>2/</t>
    </r>
    <r>
      <rPr>
        <sz val="10"/>
        <color theme="1"/>
        <rFont val="맑은 고딕"/>
        <family val="3"/>
        <charset val="129"/>
      </rPr>
      <t>별매품</t>
    </r>
    <r>
      <rPr>
        <sz val="10"/>
        <color theme="1"/>
        <rFont val="Arial"/>
        <family val="2"/>
      </rPr>
      <t>3)</t>
    </r>
    <phoneticPr fontId="23" type="noConversion"/>
  </si>
  <si>
    <r>
      <rPr>
        <sz val="10"/>
        <color theme="1"/>
        <rFont val="맑은 고딕"/>
        <family val="3"/>
        <charset val="129"/>
      </rPr>
      <t>아파트</t>
    </r>
    <phoneticPr fontId="23" type="noConversion"/>
  </si>
  <si>
    <r>
      <rPr>
        <sz val="10"/>
        <color theme="1"/>
        <rFont val="맑은 고딕"/>
        <family val="3"/>
        <charset val="129"/>
      </rPr>
      <t>합계</t>
    </r>
    <phoneticPr fontId="23" type="noConversion"/>
  </si>
  <si>
    <r>
      <rPr>
        <sz val="10"/>
        <color theme="1"/>
        <rFont val="맑은 고딕"/>
        <family val="3"/>
        <charset val="129"/>
      </rPr>
      <t>별매품</t>
    </r>
    <r>
      <rPr>
        <sz val="10"/>
        <color theme="1"/>
        <rFont val="Arial"/>
        <family val="2"/>
      </rPr>
      <t>2 (</t>
    </r>
    <r>
      <rPr>
        <sz val="10"/>
        <color theme="1"/>
        <rFont val="맑은 고딕"/>
        <family val="3"/>
        <charset val="129"/>
      </rPr>
      <t>에어컨</t>
    </r>
    <r>
      <rPr>
        <sz val="10"/>
        <color theme="1"/>
        <rFont val="Arial"/>
        <family val="2"/>
      </rPr>
      <t>)</t>
    </r>
    <phoneticPr fontId="23" type="noConversion"/>
  </si>
  <si>
    <r>
      <rPr>
        <sz val="10"/>
        <color theme="1"/>
        <rFont val="맑은 고딕"/>
        <family val="3"/>
        <charset val="129"/>
      </rPr>
      <t>별매품</t>
    </r>
    <r>
      <rPr>
        <sz val="10"/>
        <color theme="1"/>
        <rFont val="Arial"/>
        <family val="2"/>
      </rPr>
      <t>3 (</t>
    </r>
    <r>
      <rPr>
        <sz val="10"/>
        <color theme="1"/>
        <rFont val="맑은 고딕"/>
        <family val="3"/>
        <charset val="129"/>
      </rPr>
      <t>쿡탑</t>
    </r>
    <r>
      <rPr>
        <sz val="10"/>
        <color theme="1"/>
        <rFont val="Arial"/>
        <family val="2"/>
      </rPr>
      <t>)</t>
    </r>
    <phoneticPr fontId="23" type="noConversion"/>
  </si>
  <si>
    <t>2019-12-26</t>
  </si>
  <si>
    <t>09:17:56</t>
  </si>
  <si>
    <t>2019-11-26</t>
  </si>
  <si>
    <t>08:32:28</t>
  </si>
  <si>
    <t>2019-10-28</t>
  </si>
  <si>
    <t>08:52:59</t>
  </si>
  <si>
    <t>2019-09-26</t>
  </si>
  <si>
    <t>08:29:17</t>
  </si>
  <si>
    <t>2019-08-26</t>
  </si>
  <si>
    <t>09:31:48</t>
  </si>
  <si>
    <t>2019-07-26</t>
  </si>
  <si>
    <t>08:35:35</t>
  </si>
  <si>
    <t>2019-06-26</t>
  </si>
  <si>
    <t>08:38:28</t>
  </si>
  <si>
    <t>2019-05-27</t>
  </si>
  <si>
    <t>09:23:13</t>
  </si>
  <si>
    <t>2019-04-26</t>
  </si>
  <si>
    <t>08:38:44</t>
  </si>
  <si>
    <t>2019-03-26</t>
  </si>
  <si>
    <t>08:30:00</t>
  </si>
  <si>
    <t>2019-02-26</t>
  </si>
  <si>
    <t>08:32:25</t>
  </si>
  <si>
    <t>2019-01-28</t>
  </si>
  <si>
    <t>08:42:21</t>
  </si>
  <si>
    <t>2018-12-26</t>
  </si>
  <si>
    <t>07:43:40</t>
  </si>
  <si>
    <t>2018-11-30</t>
  </si>
  <si>
    <t>18:20:29</t>
  </si>
  <si>
    <t>2018-11-26</t>
  </si>
  <si>
    <t>07:44:14</t>
  </si>
  <si>
    <t>2018-11-12</t>
  </si>
  <si>
    <t>09:02:10</t>
  </si>
  <si>
    <t>2018-10-26</t>
  </si>
  <si>
    <t>07:37:46</t>
  </si>
  <si>
    <t>2018-10-10</t>
  </si>
  <si>
    <t>09:02:18</t>
  </si>
  <si>
    <t>2018-09-27</t>
  </si>
  <si>
    <t>07:52:44</t>
  </si>
  <si>
    <t>2018-09-10</t>
  </si>
  <si>
    <t>09:00:03</t>
  </si>
  <si>
    <t>2018-08-27</t>
  </si>
  <si>
    <t>07:45:27</t>
  </si>
  <si>
    <t>2018-08-10</t>
  </si>
  <si>
    <t>09:05:10</t>
  </si>
  <si>
    <t>2018-07-26</t>
  </si>
  <si>
    <t>07:36:36</t>
  </si>
  <si>
    <t>2018-07-10</t>
  </si>
  <si>
    <t>08:57:22</t>
  </si>
  <si>
    <t>2018-06-26</t>
  </si>
  <si>
    <t>07:36:45</t>
  </si>
  <si>
    <t>2018-06-11</t>
  </si>
  <si>
    <t>09:05:56</t>
  </si>
  <si>
    <t>2018-05-28</t>
  </si>
  <si>
    <t>07:38:29</t>
  </si>
  <si>
    <t>2018-05-10</t>
  </si>
  <si>
    <t>09:00:50</t>
  </si>
  <si>
    <t>2018-04-26</t>
  </si>
  <si>
    <t>07:36:41</t>
  </si>
  <si>
    <t>2018-04-10</t>
  </si>
  <si>
    <t>08:51:47</t>
  </si>
  <si>
    <t>2018-03-26</t>
  </si>
  <si>
    <t>07:45:44</t>
  </si>
  <si>
    <t>2018-03-12</t>
  </si>
  <si>
    <t>09:03:00</t>
  </si>
  <si>
    <t>2018-02-26</t>
  </si>
  <si>
    <t>07:43:56</t>
  </si>
  <si>
    <t>2018-02-12</t>
  </si>
  <si>
    <t>09:02:47</t>
  </si>
  <si>
    <t>2018-01-26</t>
  </si>
  <si>
    <t>07:36:19</t>
  </si>
  <si>
    <t>2018-01-10</t>
  </si>
  <si>
    <t>08:53:05</t>
  </si>
  <si>
    <t>2017-12-26</t>
  </si>
  <si>
    <t>07:44:04</t>
  </si>
  <si>
    <t>2017-12-11</t>
  </si>
  <si>
    <t>09:01:30</t>
  </si>
  <si>
    <t>2017-11-27</t>
  </si>
  <si>
    <t>07:43:38</t>
  </si>
  <si>
    <t>2017-11-10</t>
  </si>
  <si>
    <t>08:53:59</t>
  </si>
  <si>
    <t>2017-10-26</t>
  </si>
  <si>
    <t>07:35:29</t>
  </si>
  <si>
    <t>2017-10-10</t>
  </si>
  <si>
    <t>08:54:37</t>
  </si>
  <si>
    <t>2017-09-26</t>
  </si>
  <si>
    <t>07:35:27</t>
  </si>
  <si>
    <t>2017-09-11</t>
  </si>
  <si>
    <t>08:55:07</t>
  </si>
  <si>
    <t>2017-08-28</t>
  </si>
  <si>
    <t>07:46:15</t>
  </si>
  <si>
    <t>2017-08-10</t>
  </si>
  <si>
    <t>09:00:09</t>
  </si>
  <si>
    <t>2017-07-26</t>
  </si>
  <si>
    <t>07:46:34</t>
  </si>
  <si>
    <t>2017-07-10</t>
  </si>
  <si>
    <t>08:57:33</t>
  </si>
  <si>
    <t>2017-06-26</t>
  </si>
  <si>
    <t>08:13:05</t>
  </si>
  <si>
    <t>2017-06-12</t>
  </si>
  <si>
    <t>08:33:28</t>
  </si>
  <si>
    <t>2017-05-26</t>
  </si>
  <si>
    <t>07:51:55</t>
  </si>
  <si>
    <t>2017-05-10</t>
  </si>
  <si>
    <t>08:38:19</t>
  </si>
  <si>
    <t>2017-04-26</t>
  </si>
  <si>
    <t>07:45:41</t>
  </si>
  <si>
    <t>2017-04-10</t>
  </si>
  <si>
    <t>08:38:15</t>
  </si>
  <si>
    <t>2017-03-27</t>
  </si>
  <si>
    <t>08:20:11</t>
  </si>
  <si>
    <t>2017-03-10</t>
  </si>
  <si>
    <t>08:35:57</t>
  </si>
  <si>
    <t>2017-02-27</t>
  </si>
  <si>
    <t>08:21:06</t>
  </si>
  <si>
    <t>2017-02-10</t>
  </si>
  <si>
    <t>08:38:45</t>
  </si>
  <si>
    <t>2017-01-26</t>
  </si>
  <si>
    <t>07:54:00</t>
  </si>
  <si>
    <t>2017-01-10</t>
  </si>
  <si>
    <t>09:06:49</t>
  </si>
  <si>
    <t>2016-12-26</t>
  </si>
  <si>
    <t>08:12:14</t>
  </si>
  <si>
    <t>2016-12-12</t>
  </si>
  <si>
    <t>09:20:08</t>
  </si>
  <si>
    <t>2016-11-28</t>
  </si>
  <si>
    <t>07:54:44</t>
  </si>
  <si>
    <t>2016-11-10</t>
  </si>
  <si>
    <t>09:03:06</t>
  </si>
  <si>
    <t>2016-10-26</t>
  </si>
  <si>
    <t>07:44:47</t>
  </si>
  <si>
    <t>2016-10-10</t>
  </si>
  <si>
    <t>09:05:01</t>
  </si>
  <si>
    <t>2016-09-26</t>
  </si>
  <si>
    <t>08:32:59</t>
  </si>
  <si>
    <t>2016-09-12</t>
  </si>
  <si>
    <t>09:39:41</t>
  </si>
  <si>
    <t>2016-08-26</t>
  </si>
  <si>
    <t>07:52:27</t>
  </si>
  <si>
    <t>2016-08-10</t>
  </si>
  <si>
    <t>09:08:02</t>
  </si>
  <si>
    <t>2016-07-26</t>
  </si>
  <si>
    <t>07:48:58</t>
  </si>
  <si>
    <t>2016-07-11</t>
  </si>
  <si>
    <t>09:16:01</t>
  </si>
  <si>
    <t>2016-06-27</t>
  </si>
  <si>
    <t>08:44:06</t>
  </si>
  <si>
    <t>2016-06-10</t>
  </si>
  <si>
    <t>09:16:53</t>
  </si>
  <si>
    <t>2016-05-26</t>
  </si>
  <si>
    <t>07:55:17</t>
  </si>
  <si>
    <t>2016-05-10</t>
  </si>
  <si>
    <t>09:16:12</t>
  </si>
  <si>
    <t>2016-04-26</t>
  </si>
  <si>
    <t>07:54:13</t>
  </si>
  <si>
    <t>2016-04-11</t>
  </si>
  <si>
    <t>09:19:05</t>
  </si>
  <si>
    <t>2016-03-28</t>
  </si>
  <si>
    <t>08:47:14</t>
  </si>
  <si>
    <t>2016-03-10</t>
  </si>
  <si>
    <t>09:05:36</t>
  </si>
  <si>
    <t>2016-02-26</t>
  </si>
  <si>
    <t>07:56:43</t>
  </si>
  <si>
    <t>2016-02-11</t>
  </si>
  <si>
    <t>09:24:25</t>
  </si>
  <si>
    <t>2016-01-26</t>
  </si>
  <si>
    <t>07:48:46</t>
  </si>
  <si>
    <t>2016-01-11</t>
  </si>
  <si>
    <t>2015-12-28</t>
  </si>
  <si>
    <t>11:00:55</t>
  </si>
  <si>
    <t>2015-11-26</t>
  </si>
  <si>
    <t>07:50:27</t>
  </si>
  <si>
    <t>2015-11-19</t>
  </si>
  <si>
    <t>11:19:32</t>
  </si>
  <si>
    <t>09:03:27</t>
  </si>
  <si>
    <r>
      <rPr>
        <sz val="10"/>
        <rFont val="맑은 고딕"/>
        <family val="3"/>
        <charset val="129"/>
      </rPr>
      <t>거래일자</t>
    </r>
  </si>
  <si>
    <r>
      <rPr>
        <sz val="10"/>
        <rFont val="맑은 고딕"/>
        <family val="3"/>
        <charset val="129"/>
      </rPr>
      <t>거래시간</t>
    </r>
  </si>
  <si>
    <r>
      <rPr>
        <sz val="10"/>
        <rFont val="맑은 고딕"/>
        <family val="3"/>
        <charset val="129"/>
      </rPr>
      <t>적요</t>
    </r>
  </si>
  <si>
    <r>
      <rPr>
        <sz val="10"/>
        <rFont val="맑은 고딕"/>
        <family val="3"/>
        <charset val="129"/>
      </rPr>
      <t>출금</t>
    </r>
    <r>
      <rPr>
        <sz val="10"/>
        <rFont val="Arial"/>
        <family val="2"/>
      </rPr>
      <t>(</t>
    </r>
    <r>
      <rPr>
        <sz val="10"/>
        <rFont val="맑은 고딕"/>
        <family val="3"/>
        <charset val="129"/>
      </rPr>
      <t>원</t>
    </r>
    <r>
      <rPr>
        <sz val="10"/>
        <rFont val="Arial"/>
        <family val="2"/>
      </rPr>
      <t>)</t>
    </r>
  </si>
  <si>
    <r>
      <rPr>
        <sz val="10"/>
        <rFont val="맑은 고딕"/>
        <family val="3"/>
        <charset val="129"/>
      </rPr>
      <t>입금</t>
    </r>
    <r>
      <rPr>
        <sz val="10"/>
        <rFont val="Arial"/>
        <family val="2"/>
      </rPr>
      <t>(</t>
    </r>
    <r>
      <rPr>
        <sz val="10"/>
        <rFont val="맑은 고딕"/>
        <family val="3"/>
        <charset val="129"/>
      </rPr>
      <t>원</t>
    </r>
    <r>
      <rPr>
        <sz val="10"/>
        <rFont val="Arial"/>
        <family val="2"/>
      </rPr>
      <t>)</t>
    </r>
  </si>
  <si>
    <r>
      <rPr>
        <sz val="10"/>
        <rFont val="맑은 고딕"/>
        <family val="3"/>
        <charset val="129"/>
      </rPr>
      <t>내용</t>
    </r>
  </si>
  <si>
    <r>
      <rPr>
        <sz val="10"/>
        <rFont val="맑은 고딕"/>
        <family val="3"/>
        <charset val="129"/>
      </rPr>
      <t>잔액</t>
    </r>
    <r>
      <rPr>
        <sz val="10"/>
        <rFont val="Arial"/>
        <family val="2"/>
      </rPr>
      <t>(</t>
    </r>
    <r>
      <rPr>
        <sz val="10"/>
        <rFont val="맑은 고딕"/>
        <family val="3"/>
        <charset val="129"/>
      </rPr>
      <t>원</t>
    </r>
    <r>
      <rPr>
        <sz val="10"/>
        <rFont val="Arial"/>
        <family val="2"/>
      </rPr>
      <t>)</t>
    </r>
  </si>
  <si>
    <r>
      <rPr>
        <sz val="10"/>
        <rFont val="맑은 고딕"/>
        <family val="3"/>
        <charset val="129"/>
      </rPr>
      <t>거래점</t>
    </r>
  </si>
  <si>
    <r>
      <rPr>
        <sz val="10"/>
        <rFont val="맑은 고딕"/>
        <family val="3"/>
        <charset val="129"/>
      </rPr>
      <t>타행</t>
    </r>
    <r>
      <rPr>
        <sz val="10"/>
        <rFont val="Arial"/>
        <family val="2"/>
      </rPr>
      <t>CC</t>
    </r>
  </si>
  <si>
    <r>
      <t>011.</t>
    </r>
    <r>
      <rPr>
        <sz val="10"/>
        <rFont val="맑은 고딕"/>
        <family val="3"/>
        <charset val="129"/>
      </rPr>
      <t>원금및이자</t>
    </r>
  </si>
  <si>
    <r>
      <rPr>
        <sz val="10"/>
        <rFont val="맑은 고딕"/>
        <family val="3"/>
        <charset val="129"/>
      </rPr>
      <t>자금부</t>
    </r>
  </si>
  <si>
    <r>
      <t>011.</t>
    </r>
    <r>
      <rPr>
        <sz val="10"/>
        <rFont val="맑은 고딕"/>
        <family val="3"/>
        <charset val="129"/>
      </rPr>
      <t>차용금이자</t>
    </r>
  </si>
  <si>
    <r>
      <rPr>
        <sz val="10"/>
        <rFont val="맑은 고딕"/>
        <family val="3"/>
        <charset val="129"/>
      </rPr>
      <t>유동</t>
    </r>
    <r>
      <rPr>
        <sz val="10"/>
        <rFont val="Arial"/>
        <family val="2"/>
      </rPr>
      <t>CC</t>
    </r>
  </si>
  <si>
    <r>
      <rPr>
        <sz val="10"/>
        <rFont val="맑은 고딕"/>
        <family val="3"/>
        <charset val="129"/>
      </rPr>
      <t>부동산대금</t>
    </r>
  </si>
  <si>
    <r>
      <rPr>
        <sz val="10"/>
        <rFont val="맑은 고딕"/>
        <family val="3"/>
        <charset val="129"/>
      </rPr>
      <t>안국역</t>
    </r>
  </si>
  <si>
    <r>
      <rPr>
        <sz val="10"/>
        <rFont val="맑은 고딕"/>
        <family val="3"/>
        <charset val="129"/>
      </rPr>
      <t>타행폰</t>
    </r>
  </si>
  <si>
    <r>
      <rPr>
        <sz val="10"/>
        <rFont val="맑은 고딕"/>
        <family val="3"/>
        <charset val="129"/>
      </rPr>
      <t>김미경</t>
    </r>
  </si>
  <si>
    <r>
      <t>(</t>
    </r>
    <r>
      <rPr>
        <sz val="10"/>
        <rFont val="맑은 고딕"/>
        <family val="3"/>
        <charset val="129"/>
      </rPr>
      <t>농협</t>
    </r>
    <r>
      <rPr>
        <sz val="10"/>
        <rFont val="Arial"/>
        <family val="2"/>
      </rPr>
      <t>)</t>
    </r>
  </si>
  <si>
    <r>
      <rPr>
        <sz val="10"/>
        <rFont val="맑은 고딕"/>
        <family val="3"/>
        <charset val="129"/>
      </rPr>
      <t>타행</t>
    </r>
    <r>
      <rPr>
        <sz val="10"/>
        <rFont val="Arial"/>
        <family val="2"/>
      </rPr>
      <t>FB</t>
    </r>
  </si>
  <si>
    <r>
      <rPr>
        <sz val="10"/>
        <rFont val="맑은 고딕"/>
        <family val="3"/>
        <charset val="129"/>
      </rPr>
      <t>창원</t>
    </r>
  </si>
  <si>
    <r>
      <t>CD</t>
    </r>
    <r>
      <rPr>
        <sz val="10"/>
        <rFont val="맑은 고딕"/>
        <family val="3"/>
        <charset val="129"/>
      </rPr>
      <t>입금</t>
    </r>
  </si>
  <si>
    <t>2016-01 ~ 2019-12</t>
    <phoneticPr fontId="23" type="noConversion"/>
  </si>
  <si>
    <t>부모님</t>
    <phoneticPr fontId="5" type="noConversion"/>
  </si>
  <si>
    <t>태준</t>
    <phoneticPr fontId="5" type="noConversion"/>
  </si>
  <si>
    <t>양지현</t>
    <phoneticPr fontId="5" type="noConversion"/>
  </si>
  <si>
    <t>순번</t>
    <phoneticPr fontId="5" type="noConversion"/>
  </si>
  <si>
    <t>거래처</t>
    <phoneticPr fontId="5" type="noConversion"/>
  </si>
  <si>
    <t>예산</t>
    <phoneticPr fontId="5" type="noConversion"/>
  </si>
  <si>
    <t>태준 예산</t>
    <phoneticPr fontId="5" type="noConversion"/>
  </si>
  <si>
    <t>태준 예산 마련 주체</t>
    <phoneticPr fontId="5" type="noConversion"/>
  </si>
  <si>
    <t>지현 예산</t>
    <phoneticPr fontId="5" type="noConversion"/>
  </si>
  <si>
    <t>지현 예산 마련 주체</t>
    <phoneticPr fontId="5" type="noConversion"/>
  </si>
  <si>
    <t>실제 지출 비용</t>
    <phoneticPr fontId="5" type="noConversion"/>
  </si>
  <si>
    <t>태준 실제 지출 비용</t>
    <phoneticPr fontId="5" type="noConversion"/>
  </si>
  <si>
    <t>지현 실제 지출 비용</t>
    <phoneticPr fontId="5" type="noConversion"/>
  </si>
  <si>
    <t>기 지출 비용</t>
    <phoneticPr fontId="5" type="noConversion"/>
  </si>
  <si>
    <t>잔금</t>
    <phoneticPr fontId="5" type="noConversion"/>
  </si>
  <si>
    <t>합계</t>
    <phoneticPr fontId="5" type="noConversion"/>
  </si>
  <si>
    <t>지현</t>
    <phoneticPr fontId="5" type="noConversion"/>
  </si>
  <si>
    <t>주택</t>
    <phoneticPr fontId="5" type="noConversion"/>
  </si>
  <si>
    <t>아크로리버하임</t>
    <phoneticPr fontId="5" type="noConversion"/>
  </si>
  <si>
    <t>태준 부모님 / 태준</t>
    <phoneticPr fontId="5" type="noConversion"/>
  </si>
  <si>
    <t>혼수</t>
    <phoneticPr fontId="5" type="noConversion"/>
  </si>
  <si>
    <t>LG전자, 한샘 외 다수</t>
    <phoneticPr fontId="5" type="noConversion"/>
  </si>
  <si>
    <t>지현 부모님 / 지현</t>
    <phoneticPr fontId="5" type="noConversion"/>
  </si>
  <si>
    <t>지불 완료</t>
    <phoneticPr fontId="5" type="noConversion"/>
  </si>
  <si>
    <t>상견례</t>
    <phoneticPr fontId="5" type="noConversion"/>
  </si>
  <si>
    <t>바우고개 외 다수</t>
    <phoneticPr fontId="5" type="noConversion"/>
  </si>
  <si>
    <t>예식장 대관비</t>
    <phoneticPr fontId="5" type="noConversion"/>
  </si>
  <si>
    <t>파티오나인</t>
    <phoneticPr fontId="5" type="noConversion"/>
  </si>
  <si>
    <t>태준 부모님</t>
    <phoneticPr fontId="5" type="noConversion"/>
  </si>
  <si>
    <t>지현 부모님</t>
    <phoneticPr fontId="5" type="noConversion"/>
  </si>
  <si>
    <t>예식장 식비</t>
    <phoneticPr fontId="5" type="noConversion"/>
  </si>
  <si>
    <t>최소예산</t>
    <phoneticPr fontId="5" type="noConversion"/>
  </si>
  <si>
    <t>최종금액 기억안남…</t>
    <phoneticPr fontId="5" type="noConversion"/>
  </si>
  <si>
    <t>청첩장</t>
    <phoneticPr fontId="5" type="noConversion"/>
  </si>
  <si>
    <t>바른컴퍼니</t>
    <phoneticPr fontId="5" type="noConversion"/>
  </si>
  <si>
    <r>
      <rPr>
        <sz val="10"/>
        <color theme="1"/>
        <rFont val="돋움"/>
        <family val="3"/>
        <charset val="129"/>
      </rPr>
      <t>지불</t>
    </r>
    <r>
      <rPr>
        <sz val="10"/>
        <color theme="1"/>
        <rFont val="Arial"/>
        <family val="2"/>
      </rPr>
      <t xml:space="preserve"> </t>
    </r>
    <r>
      <rPr>
        <sz val="10"/>
        <color theme="1"/>
        <rFont val="돋움"/>
        <family val="3"/>
        <charset val="129"/>
      </rPr>
      <t>완료</t>
    </r>
    <phoneticPr fontId="5" type="noConversion"/>
  </si>
  <si>
    <t>답례장</t>
    <phoneticPr fontId="5" type="noConversion"/>
  </si>
  <si>
    <t>카드마켓</t>
    <phoneticPr fontId="5" type="noConversion"/>
  </si>
  <si>
    <t>모바일청첩장</t>
    <phoneticPr fontId="5" type="noConversion"/>
  </si>
  <si>
    <t>보자기카드</t>
    <phoneticPr fontId="5" type="noConversion"/>
  </si>
  <si>
    <t>결혼식순서지</t>
    <phoneticPr fontId="5" type="noConversion"/>
  </si>
  <si>
    <t>베델리엄</t>
    <phoneticPr fontId="5" type="noConversion"/>
  </si>
  <si>
    <t>결혼식 DVD</t>
    <phoneticPr fontId="5" type="noConversion"/>
  </si>
  <si>
    <t>연남공방</t>
    <phoneticPr fontId="5" type="noConversion"/>
  </si>
  <si>
    <t>허니문</t>
    <phoneticPr fontId="5" type="noConversion"/>
  </si>
  <si>
    <t>허니문코리아</t>
    <phoneticPr fontId="5" type="noConversion"/>
  </si>
  <si>
    <t>경비</t>
    <phoneticPr fontId="5" type="noConversion"/>
  </si>
  <si>
    <t>웨딩패키지(스드메) - 수모비 포함</t>
    <phoneticPr fontId="5" type="noConversion"/>
  </si>
  <si>
    <t>디자인웨딩</t>
    <phoneticPr fontId="5" type="noConversion"/>
  </si>
  <si>
    <t>드레스피팅</t>
    <phoneticPr fontId="5" type="noConversion"/>
  </si>
  <si>
    <t>정소연웨딩루이즈 외 다수</t>
    <phoneticPr fontId="5" type="noConversion"/>
  </si>
  <si>
    <t>신랑혼주메이크업</t>
    <phoneticPr fontId="5" type="noConversion"/>
  </si>
  <si>
    <t>김선진끌로에</t>
    <phoneticPr fontId="5" type="noConversion"/>
  </si>
  <si>
    <t>프로포즈</t>
    <phoneticPr fontId="5" type="noConversion"/>
  </si>
  <si>
    <t>새미쥬얼리 (진주목걸이)</t>
    <phoneticPr fontId="5" type="noConversion"/>
  </si>
  <si>
    <t>웨딩커플링</t>
    <phoneticPr fontId="5" type="noConversion"/>
  </si>
  <si>
    <t>백작바이피렌체</t>
    <phoneticPr fontId="5" type="noConversion"/>
  </si>
  <si>
    <t>신부예물</t>
    <phoneticPr fontId="5" type="noConversion"/>
  </si>
  <si>
    <t>백작바이피렌체 (다이아반지)</t>
    <phoneticPr fontId="5" type="noConversion"/>
  </si>
  <si>
    <t>백작바이피렌체 (목걸이 / 팔찌)</t>
    <phoneticPr fontId="5" type="noConversion"/>
  </si>
  <si>
    <t>신랑예물</t>
    <phoneticPr fontId="5" type="noConversion"/>
  </si>
  <si>
    <t>예거르쿨트르 (시계)</t>
    <phoneticPr fontId="5" type="noConversion"/>
  </si>
  <si>
    <t>신랑예복</t>
    <phoneticPr fontId="5" type="noConversion"/>
  </si>
  <si>
    <t>스플렌디노</t>
    <phoneticPr fontId="5" type="noConversion"/>
  </si>
  <si>
    <t>신부한복</t>
    <phoneticPr fontId="5" type="noConversion"/>
  </si>
  <si>
    <t>전통한복연</t>
    <phoneticPr fontId="5" type="noConversion"/>
  </si>
  <si>
    <t>신랑혼주한복</t>
    <phoneticPr fontId="5" type="noConversion"/>
  </si>
  <si>
    <t>TBD</t>
    <phoneticPr fontId="5" type="noConversion"/>
  </si>
  <si>
    <t>신랑한복</t>
    <phoneticPr fontId="5" type="noConversion"/>
  </si>
  <si>
    <t>신부혼주한복</t>
    <phoneticPr fontId="5" type="noConversion"/>
  </si>
  <si>
    <t>현금예단</t>
    <phoneticPr fontId="5" type="noConversion"/>
  </si>
  <si>
    <t>현물예단</t>
    <phoneticPr fontId="5" type="noConversion"/>
  </si>
  <si>
    <t>바디프랜드 (시아버지)</t>
    <phoneticPr fontId="5" type="noConversion"/>
  </si>
  <si>
    <t>프라다 (시어머니)</t>
    <phoneticPr fontId="5" type="noConversion"/>
  </si>
  <si>
    <t>Various Shop (침구)</t>
    <phoneticPr fontId="5" type="noConversion"/>
  </si>
  <si>
    <t>모름</t>
    <phoneticPr fontId="5" type="noConversion"/>
  </si>
  <si>
    <t>신부꾸밈비</t>
    <phoneticPr fontId="5" type="noConversion"/>
  </si>
  <si>
    <t>이바지</t>
    <phoneticPr fontId="5" type="noConversion"/>
  </si>
  <si>
    <t>함들이</t>
    <phoneticPr fontId="5" type="noConversion"/>
  </si>
  <si>
    <t>다듬나리공방 외 다수</t>
    <phoneticPr fontId="5" type="noConversion"/>
  </si>
  <si>
    <t>결혼예비학교</t>
    <phoneticPr fontId="5" type="noConversion"/>
  </si>
  <si>
    <t>두란노</t>
    <phoneticPr fontId="5" type="noConversion"/>
  </si>
  <si>
    <t>TOTAL</t>
    <phoneticPr fontId="5" type="noConversion"/>
  </si>
  <si>
    <t>웨딩패키지 (스드메)</t>
    <phoneticPr fontId="5" type="noConversion"/>
  </si>
  <si>
    <r>
      <rPr>
        <sz val="10"/>
        <color theme="1"/>
        <rFont val="돋움"/>
        <family val="3"/>
        <charset val="129"/>
      </rPr>
      <t>수모비</t>
    </r>
    <r>
      <rPr>
        <sz val="10"/>
        <color theme="1"/>
        <rFont val="Arial"/>
        <family val="2"/>
      </rPr>
      <t xml:space="preserve"> </t>
    </r>
    <r>
      <rPr>
        <sz val="10"/>
        <color theme="1"/>
        <rFont val="돋움"/>
        <family val="3"/>
        <charset val="129"/>
      </rPr>
      <t>포함</t>
    </r>
    <phoneticPr fontId="5" type="noConversion"/>
  </si>
  <si>
    <t>TBD (식당 / 블루미시티 등)</t>
    <phoneticPr fontId="5" type="noConversion"/>
  </si>
  <si>
    <t>태준 하객 섭외</t>
    <phoneticPr fontId="5" type="noConversion"/>
  </si>
  <si>
    <t>사회자 섭외</t>
    <phoneticPr fontId="5" type="noConversion"/>
  </si>
  <si>
    <t>기도자 섭외</t>
    <phoneticPr fontId="5" type="noConversion"/>
  </si>
  <si>
    <t>주례자 섭외</t>
    <phoneticPr fontId="5" type="noConversion"/>
  </si>
  <si>
    <t>웨딩카 섭외</t>
    <phoneticPr fontId="5" type="noConversion"/>
  </si>
  <si>
    <t>축가 섭외</t>
    <phoneticPr fontId="5" type="noConversion"/>
  </si>
  <si>
    <t>결혼 준비 비용 지출 대장</t>
    <phoneticPr fontId="5" type="noConversion"/>
  </si>
  <si>
    <r>
      <rPr>
        <sz val="10"/>
        <color theme="1"/>
        <rFont val="맑은 고딕"/>
        <family val="3"/>
        <charset val="129"/>
      </rPr>
      <t>일자</t>
    </r>
    <phoneticPr fontId="5" type="noConversion"/>
  </si>
  <si>
    <r>
      <rPr>
        <sz val="10"/>
        <color theme="1"/>
        <rFont val="맑은 고딕"/>
        <family val="3"/>
        <charset val="129"/>
      </rPr>
      <t>금액</t>
    </r>
    <phoneticPr fontId="5" type="noConversion"/>
  </si>
  <si>
    <r>
      <rPr>
        <sz val="10"/>
        <color theme="1"/>
        <rFont val="맑은 고딕"/>
        <family val="3"/>
        <charset val="129"/>
      </rPr>
      <t>잔금</t>
    </r>
    <phoneticPr fontId="5" type="noConversion"/>
  </si>
  <si>
    <t>결제자</t>
    <phoneticPr fontId="5" type="noConversion"/>
  </si>
  <si>
    <t>결제수단</t>
    <phoneticPr fontId="5" type="noConversion"/>
  </si>
  <si>
    <t>결혼 준비 비용 포함 여부</t>
    <phoneticPr fontId="5" type="noConversion"/>
  </si>
  <si>
    <t>영수증</t>
    <phoneticPr fontId="5" type="noConversion"/>
  </si>
  <si>
    <t>예비처가</t>
    <phoneticPr fontId="5" type="noConversion"/>
  </si>
  <si>
    <t>예비처가 인사선물 (Waterman)</t>
    <phoneticPr fontId="5" type="noConversion"/>
  </si>
  <si>
    <t>직불카드 (신한)</t>
    <phoneticPr fontId="5" type="noConversion"/>
  </si>
  <si>
    <t>O</t>
    <phoneticPr fontId="5" type="noConversion"/>
  </si>
  <si>
    <t>예비처가 인사선물 (Chanel)</t>
    <phoneticPr fontId="5" type="noConversion"/>
  </si>
  <si>
    <t>신용카드 (현대백화점)</t>
    <phoneticPr fontId="5" type="noConversion"/>
  </si>
  <si>
    <t>예비시가</t>
    <phoneticPr fontId="5" type="noConversion"/>
  </si>
  <si>
    <t>유류비 (선산휴게소)</t>
    <phoneticPr fontId="5" type="noConversion"/>
  </si>
  <si>
    <t>유류비 (문경휴게소)</t>
    <phoneticPr fontId="5" type="noConversion"/>
  </si>
  <si>
    <r>
      <t xml:space="preserve">고속도로 통행료 (서울 </t>
    </r>
    <r>
      <rPr>
        <sz val="10"/>
        <color theme="1"/>
        <rFont val="HY견명조"/>
        <family val="1"/>
        <charset val="129"/>
      </rPr>
      <t>↔</t>
    </r>
    <r>
      <rPr>
        <sz val="10"/>
        <color theme="1"/>
        <rFont val="맑은 고딕"/>
        <family val="3"/>
        <charset val="129"/>
        <scheme val="minor"/>
      </rPr>
      <t xml:space="preserve"> 창원)</t>
    </r>
    <phoneticPr fontId="5" type="noConversion"/>
  </si>
  <si>
    <t>신용카드 (신한)</t>
    <phoneticPr fontId="5" type="noConversion"/>
  </si>
  <si>
    <t>기타 경비 (가음정시장 분식집)</t>
    <phoneticPr fontId="5" type="noConversion"/>
  </si>
  <si>
    <t>간식 (문경휴게소)</t>
    <phoneticPr fontId="5" type="noConversion"/>
  </si>
  <si>
    <t>직불카드 (우리)</t>
    <phoneticPr fontId="5" type="noConversion"/>
  </si>
  <si>
    <t>호텔선샤인 (현대카드 PRIVIA)</t>
    <phoneticPr fontId="5" type="noConversion"/>
  </si>
  <si>
    <t>신용카드 (현대)</t>
    <phoneticPr fontId="5" type="noConversion"/>
  </si>
  <si>
    <t>바우고개</t>
    <phoneticPr fontId="5" type="noConversion"/>
  </si>
  <si>
    <t>던킨도너츠</t>
    <phoneticPr fontId="5" type="noConversion"/>
  </si>
  <si>
    <t>청청</t>
    <phoneticPr fontId="5" type="noConversion"/>
  </si>
  <si>
    <t>진옥화닭한마리</t>
    <phoneticPr fontId="5" type="noConversion"/>
  </si>
  <si>
    <t>지현 20만원</t>
    <phoneticPr fontId="5" type="noConversion"/>
  </si>
  <si>
    <t>예비처가 추석선물 (현대백화점)</t>
    <phoneticPr fontId="5" type="noConversion"/>
  </si>
  <si>
    <t>파티오나인 (계약금)</t>
    <phoneticPr fontId="5" type="noConversion"/>
  </si>
  <si>
    <t>지현 100만원</t>
    <phoneticPr fontId="5" type="noConversion"/>
  </si>
  <si>
    <t>디자인웨딩 (계약금)</t>
    <phoneticPr fontId="5" type="noConversion"/>
  </si>
  <si>
    <t>지현 30만 3250원</t>
    <phoneticPr fontId="5" type="noConversion"/>
  </si>
  <si>
    <t>예비처가 선물 (진영단감축제)</t>
    <phoneticPr fontId="5" type="noConversion"/>
  </si>
  <si>
    <t>드레스 피팅</t>
    <phoneticPr fontId="5" type="noConversion"/>
  </si>
  <si>
    <t>제이미브라이드 (피팅비)</t>
    <phoneticPr fontId="5" type="noConversion"/>
  </si>
  <si>
    <t>제이미브라이드 (발렛주차)</t>
    <phoneticPr fontId="5" type="noConversion"/>
  </si>
  <si>
    <t>제이브라이드 (피팅비)</t>
    <phoneticPr fontId="5" type="noConversion"/>
  </si>
  <si>
    <t>제이브라이드 (발렛주차)</t>
    <phoneticPr fontId="5" type="noConversion"/>
  </si>
  <si>
    <t>정소연웨딩루이즈 (피팅비)</t>
    <phoneticPr fontId="5" type="noConversion"/>
  </si>
  <si>
    <t>정소연웨딩루이즈 (발렛주차)</t>
    <phoneticPr fontId="5" type="noConversion"/>
  </si>
  <si>
    <t>리틀사이공</t>
    <phoneticPr fontId="5" type="noConversion"/>
  </si>
  <si>
    <t>백작바이피렌체 (발렛주차)</t>
    <phoneticPr fontId="5" type="noConversion"/>
  </si>
  <si>
    <t>스플렌디노 (알프레드브라운 / 레다)</t>
    <phoneticPr fontId="5" type="noConversion"/>
  </si>
  <si>
    <t>스플렌디노 (발렛주차)</t>
    <phoneticPr fontId="5" type="noConversion"/>
  </si>
  <si>
    <t>식사</t>
    <phoneticPr fontId="5" type="noConversion"/>
  </si>
  <si>
    <t>엘타워</t>
    <phoneticPr fontId="5" type="noConversion"/>
  </si>
  <si>
    <t>엘타워 (주차비)</t>
    <phoneticPr fontId="5" type="noConversion"/>
  </si>
  <si>
    <t>효성 쥬얼리시티 (주차비)</t>
    <phoneticPr fontId="5" type="noConversion"/>
  </si>
  <si>
    <t>다채</t>
    <phoneticPr fontId="5" type="noConversion"/>
  </si>
  <si>
    <t>닥터로빈</t>
    <phoneticPr fontId="5" type="noConversion"/>
  </si>
  <si>
    <t>이체 기록으로 영수증 대체 (지현 5만원)</t>
    <phoneticPr fontId="5" type="noConversion"/>
  </si>
  <si>
    <t>이체 기록으로 영수증 대체</t>
    <phoneticPr fontId="5" type="noConversion"/>
  </si>
  <si>
    <t>인출 기록/확인서로 영수증 대체 (지현 80만원)</t>
    <phoneticPr fontId="5" type="noConversion"/>
  </si>
  <si>
    <t>인출 기록/확인서로 영수증 대체</t>
    <phoneticPr fontId="5" type="noConversion"/>
  </si>
  <si>
    <t>디자인웨딩 (중도금)</t>
    <phoneticPr fontId="5" type="noConversion"/>
  </si>
  <si>
    <t>스튜디오홍진 (수모비)</t>
    <phoneticPr fontId="5" type="noConversion"/>
  </si>
  <si>
    <t>인출 기록으로 영수증 대체</t>
    <phoneticPr fontId="5" type="noConversion"/>
  </si>
  <si>
    <t>스튜디오홍진 (원본+수정본 CD)</t>
    <phoneticPr fontId="5" type="noConversion"/>
  </si>
  <si>
    <t>스튜디오홍진 (발렛주차)</t>
    <phoneticPr fontId="5" type="noConversion"/>
  </si>
  <si>
    <t>예비처가 인사선물 (화과자)</t>
    <phoneticPr fontId="5" type="noConversion"/>
  </si>
  <si>
    <t>취향</t>
    <phoneticPr fontId="5" type="noConversion"/>
  </si>
  <si>
    <t>스튜디오홍진 (사진추가)</t>
    <phoneticPr fontId="5" type="noConversion"/>
  </si>
  <si>
    <t>예비처형 생일선물 (Wedgwood)</t>
    <phoneticPr fontId="5" type="noConversion"/>
  </si>
  <si>
    <t>이체 기록으로 영수증 대체 (지현 13만 9천원)</t>
    <phoneticPr fontId="5" type="noConversion"/>
  </si>
  <si>
    <t>아크로리버하임 (인덕션 계약금)</t>
    <phoneticPr fontId="5" type="noConversion"/>
  </si>
  <si>
    <t>지현 8만 5천원</t>
    <phoneticPr fontId="5" type="noConversion"/>
  </si>
  <si>
    <t>이체 기록으로 영수증 대체 (1만 8백원 환급)</t>
    <phoneticPr fontId="5" type="noConversion"/>
  </si>
  <si>
    <t>병맥주할인점 (화공 리액터스)</t>
    <phoneticPr fontId="5" type="noConversion"/>
  </si>
  <si>
    <t>프라다</t>
    <phoneticPr fontId="5" type="noConversion"/>
  </si>
  <si>
    <r>
      <rPr>
        <sz val="10"/>
        <color theme="1"/>
        <rFont val="맑은 고딕"/>
        <family val="3"/>
        <charset val="129"/>
      </rPr>
      <t>뮌헨</t>
    </r>
    <r>
      <rPr>
        <sz val="10"/>
        <color theme="1"/>
        <rFont val="Arial"/>
        <family val="2"/>
      </rPr>
      <t xml:space="preserve"> </t>
    </r>
    <r>
      <rPr>
        <sz val="10"/>
        <color theme="1"/>
        <rFont val="맑은 고딕"/>
        <family val="3"/>
        <charset val="129"/>
      </rPr>
      <t>프라다</t>
    </r>
    <r>
      <rPr>
        <sz val="10"/>
        <color theme="1"/>
        <rFont val="Arial"/>
        <family val="2"/>
      </rPr>
      <t xml:space="preserve"> </t>
    </r>
    <r>
      <rPr>
        <sz val="10"/>
        <color theme="1"/>
        <rFont val="맑은 고딕"/>
        <family val="3"/>
        <charset val="129"/>
      </rPr>
      <t>매장</t>
    </r>
    <r>
      <rPr>
        <sz val="10"/>
        <color theme="1"/>
        <rFont val="Arial"/>
        <family val="2"/>
      </rPr>
      <t xml:space="preserve">: € 2,200 (Tax Refund: € 267)
</t>
    </r>
    <r>
      <rPr>
        <sz val="10"/>
        <color theme="1"/>
        <rFont val="맑은 고딕"/>
        <family val="3"/>
        <charset val="129"/>
      </rPr>
      <t>왕복</t>
    </r>
    <r>
      <rPr>
        <sz val="10"/>
        <color theme="1"/>
        <rFont val="Arial"/>
        <family val="2"/>
      </rPr>
      <t xml:space="preserve"> ICE: € 114
</t>
    </r>
    <r>
      <rPr>
        <sz val="10"/>
        <color theme="1"/>
        <rFont val="맑은 고딕"/>
        <family val="3"/>
        <charset val="129"/>
      </rPr>
      <t>상기와</t>
    </r>
    <r>
      <rPr>
        <sz val="10"/>
        <color theme="1"/>
        <rFont val="Arial"/>
        <family val="2"/>
      </rPr>
      <t xml:space="preserve"> </t>
    </r>
    <r>
      <rPr>
        <sz val="10"/>
        <color theme="1"/>
        <rFont val="맑은 고딕"/>
        <family val="3"/>
        <charset val="129"/>
      </rPr>
      <t>환전수수료를</t>
    </r>
    <r>
      <rPr>
        <sz val="10"/>
        <color theme="1"/>
        <rFont val="Arial"/>
        <family val="2"/>
      </rPr>
      <t xml:space="preserve"> </t>
    </r>
    <r>
      <rPr>
        <sz val="10"/>
        <color theme="1"/>
        <rFont val="맑은 고딕"/>
        <family val="3"/>
        <charset val="129"/>
      </rPr>
      <t>고려하여</t>
    </r>
    <r>
      <rPr>
        <sz val="10"/>
        <color theme="1"/>
        <rFont val="Arial"/>
        <family val="2"/>
      </rPr>
      <t xml:space="preserve"> 2,700,000</t>
    </r>
    <r>
      <rPr>
        <sz val="10"/>
        <color theme="1"/>
        <rFont val="맑은 고딕"/>
        <family val="3"/>
        <charset val="129"/>
      </rPr>
      <t>원으로</t>
    </r>
    <r>
      <rPr>
        <sz val="10"/>
        <color theme="1"/>
        <rFont val="Arial"/>
        <family val="2"/>
      </rPr>
      <t xml:space="preserve"> </t>
    </r>
    <r>
      <rPr>
        <sz val="10"/>
        <color theme="1"/>
        <rFont val="맑은 고딕"/>
        <family val="3"/>
        <charset val="129"/>
      </rPr>
      <t>정산</t>
    </r>
    <r>
      <rPr>
        <sz val="10"/>
        <color theme="1"/>
        <rFont val="Arial"/>
        <family val="2"/>
      </rPr>
      <t xml:space="preserve"> (2018-03-09 </t>
    </r>
    <r>
      <rPr>
        <sz val="10"/>
        <color theme="1"/>
        <rFont val="맑은 고딕"/>
        <family val="3"/>
        <charset val="129"/>
      </rPr>
      <t>신한은행</t>
    </r>
    <r>
      <rPr>
        <sz val="10"/>
        <color theme="1"/>
        <rFont val="Arial"/>
        <family val="2"/>
      </rPr>
      <t xml:space="preserve"> 40% </t>
    </r>
    <r>
      <rPr>
        <sz val="10"/>
        <color theme="1"/>
        <rFont val="맑은 고딕"/>
        <family val="3"/>
        <charset val="129"/>
      </rPr>
      <t>우대</t>
    </r>
    <r>
      <rPr>
        <sz val="10"/>
        <color theme="1"/>
        <rFont val="Arial"/>
        <family val="2"/>
      </rPr>
      <t xml:space="preserve"> </t>
    </r>
    <r>
      <rPr>
        <sz val="10"/>
        <color theme="1"/>
        <rFont val="맑은 고딕"/>
        <family val="3"/>
        <charset val="129"/>
      </rPr>
      <t>환전환율</t>
    </r>
    <r>
      <rPr>
        <sz val="10"/>
        <color theme="1"/>
        <rFont val="Arial"/>
        <family val="2"/>
      </rPr>
      <t xml:space="preserve"> 1,333.36 </t>
    </r>
    <r>
      <rPr>
        <sz val="10"/>
        <color theme="1"/>
        <rFont val="맑은 고딕"/>
        <family val="3"/>
        <charset val="129"/>
      </rPr>
      <t>원</t>
    </r>
    <r>
      <rPr>
        <sz val="10"/>
        <color theme="1"/>
        <rFont val="Arial"/>
        <family val="2"/>
      </rPr>
      <t>)</t>
    </r>
    <phoneticPr fontId="5" type="noConversion"/>
  </si>
  <si>
    <t>예거르쿨트르</t>
    <phoneticPr fontId="5" type="noConversion"/>
  </si>
  <si>
    <t>바른컴퍼니 (50장 추가)</t>
    <phoneticPr fontId="5" type="noConversion"/>
  </si>
  <si>
    <t>주유별장 (김홍미)</t>
    <phoneticPr fontId="5" type="noConversion"/>
  </si>
  <si>
    <t>예비장모님 생신선물 (Saint Luxure)</t>
    <phoneticPr fontId="5" type="noConversion"/>
  </si>
  <si>
    <t>태준부모님 ($ 100)</t>
    <phoneticPr fontId="5" type="noConversion"/>
  </si>
  <si>
    <t>약손명가 (웨딩케어 10회)</t>
    <phoneticPr fontId="5" type="noConversion"/>
  </si>
  <si>
    <t>만수옥 (김범석, 서동엽)</t>
    <phoneticPr fontId="5" type="noConversion"/>
  </si>
  <si>
    <t>더블린테라스 (김민철, 김희진, 신민식, 최세영, 추연백)</t>
    <phoneticPr fontId="5" type="noConversion"/>
  </si>
  <si>
    <t>예비처가 인사선물 (애플망고)</t>
    <phoneticPr fontId="5" type="noConversion"/>
  </si>
  <si>
    <t>지고트 (신부예복)</t>
    <phoneticPr fontId="5" type="noConversion"/>
  </si>
  <si>
    <t>지고트 (신부예복 수선비)</t>
    <phoneticPr fontId="5" type="noConversion"/>
  </si>
  <si>
    <t>Hmall (캐리어)</t>
    <phoneticPr fontId="5" type="noConversion"/>
  </si>
  <si>
    <t>직원쇼핑몰포인트</t>
    <phoneticPr fontId="5" type="noConversion"/>
  </si>
  <si>
    <t>의정부 부대고기 (박상진)</t>
    <phoneticPr fontId="5" type="noConversion"/>
  </si>
  <si>
    <t>취향 (한상욱)</t>
    <phoneticPr fontId="5" type="noConversion"/>
  </si>
  <si>
    <t>동방미인</t>
    <phoneticPr fontId="5" type="noConversion"/>
  </si>
  <si>
    <t>아크로리버하임 (인덕션 중도금)</t>
    <phoneticPr fontId="5" type="noConversion"/>
  </si>
  <si>
    <t>지현 17만원</t>
    <phoneticPr fontId="5" type="noConversion"/>
  </si>
  <si>
    <t>루이비통</t>
    <phoneticPr fontId="5" type="noConversion"/>
  </si>
  <si>
    <r>
      <rPr>
        <sz val="10"/>
        <color theme="1"/>
        <rFont val="맑은 고딕"/>
        <family val="3"/>
        <charset val="129"/>
      </rPr>
      <t>밀라노</t>
    </r>
    <r>
      <rPr>
        <sz val="10"/>
        <color theme="1"/>
        <rFont val="Arial"/>
        <family val="2"/>
      </rPr>
      <t xml:space="preserve"> </t>
    </r>
    <r>
      <rPr>
        <sz val="10"/>
        <color theme="1"/>
        <rFont val="맑은 고딕"/>
        <family val="3"/>
        <charset val="129"/>
      </rPr>
      <t>루이비통</t>
    </r>
    <r>
      <rPr>
        <sz val="10"/>
        <color theme="1"/>
        <rFont val="Arial"/>
        <family val="2"/>
      </rPr>
      <t xml:space="preserve"> </t>
    </r>
    <r>
      <rPr>
        <sz val="10"/>
        <color theme="1"/>
        <rFont val="맑은 고딕"/>
        <family val="3"/>
        <charset val="129"/>
      </rPr>
      <t>매장</t>
    </r>
    <r>
      <rPr>
        <sz val="10"/>
        <color theme="1"/>
        <rFont val="Arial"/>
        <family val="2"/>
      </rPr>
      <t xml:space="preserve">: € 2,350 (Tax Refund: € 323)
</t>
    </r>
    <r>
      <rPr>
        <sz val="10"/>
        <color theme="1"/>
        <rFont val="맑은 고딕"/>
        <family val="3"/>
        <charset val="129"/>
      </rPr>
      <t>정병율</t>
    </r>
    <r>
      <rPr>
        <sz val="10"/>
        <color theme="1"/>
        <rFont val="Arial"/>
        <family val="2"/>
      </rPr>
      <t xml:space="preserve"> </t>
    </r>
    <r>
      <rPr>
        <sz val="10"/>
        <color theme="1"/>
        <rFont val="맑은 고딕"/>
        <family val="3"/>
        <charset val="129"/>
      </rPr>
      <t>대리</t>
    </r>
    <r>
      <rPr>
        <sz val="10"/>
        <color theme="1"/>
        <rFont val="Arial"/>
        <family val="2"/>
      </rPr>
      <t xml:space="preserve"> </t>
    </r>
    <r>
      <rPr>
        <sz val="10"/>
        <color theme="1"/>
        <rFont val="맑은 고딕"/>
        <family val="3"/>
        <charset val="129"/>
      </rPr>
      <t>결제금액</t>
    </r>
    <r>
      <rPr>
        <sz val="10"/>
        <color theme="1"/>
        <rFont val="Arial"/>
        <family val="2"/>
      </rPr>
      <t xml:space="preserve">: € 250
</t>
    </r>
    <r>
      <rPr>
        <sz val="10"/>
        <color theme="1"/>
        <rFont val="맑은 고딕"/>
        <family val="3"/>
        <charset val="129"/>
      </rPr>
      <t>상기와</t>
    </r>
    <r>
      <rPr>
        <sz val="10"/>
        <color theme="1"/>
        <rFont val="Arial"/>
        <family val="2"/>
      </rPr>
      <t xml:space="preserve"> </t>
    </r>
    <r>
      <rPr>
        <sz val="10"/>
        <color theme="1"/>
        <rFont val="맑은 고딕"/>
        <family val="3"/>
        <charset val="129"/>
      </rPr>
      <t>환전수수료를</t>
    </r>
    <r>
      <rPr>
        <sz val="10"/>
        <color theme="1"/>
        <rFont val="Arial"/>
        <family val="2"/>
      </rPr>
      <t xml:space="preserve"> </t>
    </r>
    <r>
      <rPr>
        <sz val="10"/>
        <color theme="1"/>
        <rFont val="맑은 고딕"/>
        <family val="3"/>
        <charset val="129"/>
      </rPr>
      <t>고려하여</t>
    </r>
    <r>
      <rPr>
        <sz val="10"/>
        <color theme="1"/>
        <rFont val="Arial"/>
        <family val="2"/>
      </rPr>
      <t xml:space="preserve"> 2,700,000</t>
    </r>
    <r>
      <rPr>
        <sz val="10"/>
        <color theme="1"/>
        <rFont val="맑은 고딕"/>
        <family val="3"/>
        <charset val="129"/>
      </rPr>
      <t>원으로</t>
    </r>
    <r>
      <rPr>
        <sz val="10"/>
        <color theme="1"/>
        <rFont val="Arial"/>
        <family val="2"/>
      </rPr>
      <t xml:space="preserve"> </t>
    </r>
    <r>
      <rPr>
        <sz val="10"/>
        <color theme="1"/>
        <rFont val="맑은 고딕"/>
        <family val="3"/>
        <charset val="129"/>
      </rPr>
      <t>정산</t>
    </r>
    <r>
      <rPr>
        <sz val="10"/>
        <color theme="1"/>
        <rFont val="Arial"/>
        <family val="2"/>
      </rPr>
      <t xml:space="preserve">
-. € 820: 2018-03-09 </t>
    </r>
    <r>
      <rPr>
        <sz val="10"/>
        <color theme="1"/>
        <rFont val="맑은 고딕"/>
        <family val="3"/>
        <charset val="129"/>
      </rPr>
      <t>신한은행</t>
    </r>
    <r>
      <rPr>
        <sz val="10"/>
        <color theme="1"/>
        <rFont val="Arial"/>
        <family val="2"/>
      </rPr>
      <t xml:space="preserve"> 40% </t>
    </r>
    <r>
      <rPr>
        <sz val="10"/>
        <color theme="1"/>
        <rFont val="맑은 고딕"/>
        <family val="3"/>
        <charset val="129"/>
      </rPr>
      <t>우대</t>
    </r>
    <r>
      <rPr>
        <sz val="10"/>
        <color theme="1"/>
        <rFont val="Arial"/>
        <family val="2"/>
      </rPr>
      <t xml:space="preserve"> </t>
    </r>
    <r>
      <rPr>
        <sz val="10"/>
        <color theme="1"/>
        <rFont val="맑은 고딕"/>
        <family val="3"/>
        <charset val="129"/>
      </rPr>
      <t>환전환율</t>
    </r>
    <r>
      <rPr>
        <sz val="10"/>
        <color theme="1"/>
        <rFont val="Arial"/>
        <family val="2"/>
      </rPr>
      <t xml:space="preserve"> 1,333.36 </t>
    </r>
    <r>
      <rPr>
        <sz val="10"/>
        <color theme="1"/>
        <rFont val="맑은 고딕"/>
        <family val="3"/>
        <charset val="129"/>
      </rPr>
      <t>원</t>
    </r>
    <r>
      <rPr>
        <sz val="10"/>
        <color theme="1"/>
        <rFont val="Arial"/>
        <family val="2"/>
      </rPr>
      <t xml:space="preserve">
-. € 1130: 2018-04-02 </t>
    </r>
    <r>
      <rPr>
        <sz val="10"/>
        <color theme="1"/>
        <rFont val="맑은 고딕"/>
        <family val="3"/>
        <charset val="129"/>
      </rPr>
      <t>신한은행</t>
    </r>
    <r>
      <rPr>
        <sz val="10"/>
        <color theme="1"/>
        <rFont val="Arial"/>
        <family val="2"/>
      </rPr>
      <t xml:space="preserve"> 90% </t>
    </r>
    <r>
      <rPr>
        <sz val="10"/>
        <color theme="1"/>
        <rFont val="맑은 고딕"/>
        <family val="3"/>
        <charset val="129"/>
      </rPr>
      <t>우대</t>
    </r>
    <r>
      <rPr>
        <sz val="10"/>
        <color theme="1"/>
        <rFont val="Arial"/>
        <family val="2"/>
      </rPr>
      <t xml:space="preserve"> </t>
    </r>
    <r>
      <rPr>
        <sz val="10"/>
        <color theme="1"/>
        <rFont val="맑은 고딕"/>
        <family val="3"/>
        <charset val="129"/>
      </rPr>
      <t>환전환율</t>
    </r>
    <r>
      <rPr>
        <sz val="10"/>
        <color theme="1"/>
        <rFont val="Arial"/>
        <family val="2"/>
      </rPr>
      <t xml:space="preserve"> 1,305.96 </t>
    </r>
    <r>
      <rPr>
        <sz val="10"/>
        <color theme="1"/>
        <rFont val="맑은 고딕"/>
        <family val="3"/>
        <charset val="129"/>
      </rPr>
      <t>원</t>
    </r>
    <r>
      <rPr>
        <sz val="10"/>
        <color theme="1"/>
        <rFont val="Arial"/>
        <family val="2"/>
      </rPr>
      <t xml:space="preserve">
-. € 150: 2018-04-04 </t>
    </r>
    <r>
      <rPr>
        <sz val="10"/>
        <color theme="1"/>
        <rFont val="맑은 고딕"/>
        <family val="3"/>
        <charset val="129"/>
      </rPr>
      <t>신한은행</t>
    </r>
    <r>
      <rPr>
        <sz val="10"/>
        <color theme="1"/>
        <rFont val="Arial"/>
        <family val="2"/>
      </rPr>
      <t xml:space="preserve"> 40% </t>
    </r>
    <r>
      <rPr>
        <sz val="10"/>
        <color theme="1"/>
        <rFont val="맑은 고딕"/>
        <family val="3"/>
        <charset val="129"/>
      </rPr>
      <t>우대</t>
    </r>
    <r>
      <rPr>
        <sz val="10"/>
        <color theme="1"/>
        <rFont val="Arial"/>
        <family val="2"/>
      </rPr>
      <t xml:space="preserve"> </t>
    </r>
    <r>
      <rPr>
        <sz val="10"/>
        <color theme="1"/>
        <rFont val="맑은 고딕"/>
        <family val="3"/>
        <charset val="129"/>
      </rPr>
      <t>환전환율</t>
    </r>
    <r>
      <rPr>
        <sz val="10"/>
        <color theme="1"/>
        <rFont val="Arial"/>
        <family val="2"/>
      </rPr>
      <t xml:space="preserve"> 1,313.28 </t>
    </r>
    <r>
      <rPr>
        <sz val="10"/>
        <color theme="1"/>
        <rFont val="맑은 고딕"/>
        <family val="3"/>
        <charset val="129"/>
      </rPr>
      <t>원</t>
    </r>
    <phoneticPr fontId="5" type="noConversion"/>
  </si>
  <si>
    <t>신의주 찹쌀순대 (문지환)</t>
    <phoneticPr fontId="5" type="noConversion"/>
  </si>
  <si>
    <t>정병율 대리 결제</t>
    <phoneticPr fontId="5" type="noConversion"/>
  </si>
  <si>
    <t>낮달 (강승현, 김문길)</t>
    <phoneticPr fontId="5" type="noConversion"/>
  </si>
  <si>
    <t>숙박비 (엠스테이호텔창원)</t>
    <phoneticPr fontId="5" type="noConversion"/>
  </si>
  <si>
    <t>장인닭갈비 (김동진, 남유나, 장선미)</t>
    <phoneticPr fontId="5" type="noConversion"/>
  </si>
  <si>
    <t>셰막 (이주홍, 정윤수, 최낙준, 홍지수)</t>
    <phoneticPr fontId="5" type="noConversion"/>
  </si>
  <si>
    <t>르브레 (고현정)</t>
    <phoneticPr fontId="5" type="noConversion"/>
  </si>
  <si>
    <t>코치 (미니백)</t>
    <phoneticPr fontId="5" type="noConversion"/>
  </si>
  <si>
    <t>구찌 (지갑)</t>
    <phoneticPr fontId="5" type="noConversion"/>
  </si>
  <si>
    <t>다듬나리공방</t>
    <phoneticPr fontId="5" type="noConversion"/>
  </si>
  <si>
    <t>킴스클럽</t>
    <phoneticPr fontId="5" type="noConversion"/>
  </si>
  <si>
    <t>소고기</t>
    <phoneticPr fontId="5" type="noConversion"/>
  </si>
  <si>
    <t>결혼 준비 비용 수입 대장</t>
    <phoneticPr fontId="5" type="noConversion"/>
  </si>
  <si>
    <t>용도 (거래처)</t>
    <phoneticPr fontId="5" type="noConversion"/>
  </si>
  <si>
    <t>수입 잔금</t>
    <phoneticPr fontId="5" type="noConversion"/>
  </si>
  <si>
    <t>입금자</t>
    <phoneticPr fontId="5" type="noConversion"/>
  </si>
  <si>
    <t>신한 생활비</t>
    <phoneticPr fontId="5" type="noConversion"/>
  </si>
  <si>
    <t>신한 급여</t>
    <phoneticPr fontId="5" type="noConversion"/>
  </si>
  <si>
    <t>디자인웨딩 (잔금)</t>
    <phoneticPr fontId="5" type="noConversion"/>
  </si>
  <si>
    <t>허니문코리아 (항공권 차액 환급)</t>
    <phoneticPr fontId="5" type="noConversion"/>
  </si>
  <si>
    <t>모바일청첩장 비용 9,000원은 제함</t>
    <phoneticPr fontId="5" type="noConversion"/>
  </si>
  <si>
    <t>신한 흑석7구역</t>
    <phoneticPr fontId="5" type="noConversion"/>
  </si>
  <si>
    <t>혼주메이크업</t>
    <phoneticPr fontId="5" type="noConversion"/>
  </si>
  <si>
    <t>합값</t>
    <phoneticPr fontId="5" type="noConversion"/>
  </si>
  <si>
    <t>입금일자</t>
    <phoneticPr fontId="5" type="noConversion"/>
  </si>
  <si>
    <t>실제 결제 잔금</t>
    <phoneticPr fontId="5" type="noConversion"/>
  </si>
  <si>
    <t>청첩장/답례장</t>
    <phoneticPr fontId="5" type="noConversion"/>
  </si>
  <si>
    <t>바른컴퍼니/카드마켓</t>
    <phoneticPr fontId="5" type="noConversion"/>
  </si>
  <si>
    <t>모바일 청첩장</t>
    <phoneticPr fontId="5" type="noConversion"/>
  </si>
  <si>
    <t>결혼식 순서지</t>
    <phoneticPr fontId="5" type="noConversion"/>
  </si>
  <si>
    <t>허니문 기본경비</t>
    <phoneticPr fontId="5" type="noConversion"/>
  </si>
  <si>
    <t>N/A (루이비통, 코치, 구찌 등)</t>
    <phoneticPr fontId="5" type="noConversion"/>
  </si>
  <si>
    <t>꾸밈비 지출 대장</t>
    <phoneticPr fontId="5" type="noConversion"/>
  </si>
  <si>
    <t>지고트 (신부예복)</t>
  </si>
  <si>
    <t>태준</t>
  </si>
  <si>
    <t>직불카드 (신한)</t>
  </si>
  <si>
    <t>지고트 (신부예복 수선비)</t>
  </si>
  <si>
    <t>현금</t>
  </si>
  <si>
    <t>월급</t>
  </si>
  <si>
    <t>개인생활비</t>
  </si>
  <si>
    <t>십일조</t>
  </si>
  <si>
    <t>신한카드(신용)</t>
  </si>
  <si>
    <t>지완실비</t>
  </si>
  <si>
    <t>태준실비</t>
  </si>
  <si>
    <t>태준운전자</t>
  </si>
  <si>
    <t>태준치아</t>
  </si>
  <si>
    <t>관리비</t>
  </si>
  <si>
    <t>가스비</t>
  </si>
  <si>
    <t>시가용돈</t>
  </si>
  <si>
    <t>처가용돈</t>
  </si>
  <si>
    <t>현대오일뱅크</t>
  </si>
  <si>
    <t>처갓집양념치킨</t>
  </si>
  <si>
    <t>아우어베이커리</t>
  </si>
  <si>
    <t>이마트</t>
  </si>
  <si>
    <t>이마트에브리데이</t>
  </si>
  <si>
    <t>농협하나로마트</t>
  </si>
  <si>
    <t>노랑통닭</t>
  </si>
  <si>
    <t>교촌치킨</t>
  </si>
  <si>
    <t>빅마켓주차장</t>
  </si>
  <si>
    <t>버거킹</t>
  </si>
  <si>
    <t>GS칼텍스</t>
  </si>
  <si>
    <t>생신용돈(엄마)</t>
  </si>
  <si>
    <t>여주휴게소</t>
  </si>
  <si>
    <t>동작구 주민세</t>
  </si>
  <si>
    <t>금양자동차공업사</t>
  </si>
  <si>
    <t>아크로세탁소</t>
  </si>
  <si>
    <t>이민희헤어</t>
  </si>
  <si>
    <t>롯데리아</t>
  </si>
  <si>
    <t>네네치킨</t>
  </si>
  <si>
    <t>남산공원주차장</t>
  </si>
  <si>
    <t>합계</t>
  </si>
  <si>
    <t>이촌한강공원</t>
  </si>
  <si>
    <t>쿠팡이츠</t>
  </si>
  <si>
    <t>장례식(김교록)</t>
  </si>
  <si>
    <t>아리하 재산세</t>
  </si>
  <si>
    <t>코스트코</t>
  </si>
  <si>
    <t>썬주차장</t>
  </si>
  <si>
    <t>추풍령휴게소</t>
  </si>
  <si>
    <t>배스킨라빈스</t>
  </si>
  <si>
    <t>스타벅스</t>
  </si>
  <si>
    <t>선산휴게소</t>
  </si>
  <si>
    <t>문경새재주차장</t>
  </si>
  <si>
    <t>추석용돈(부모님)</t>
  </si>
  <si>
    <t>추석용돈(강지성)</t>
  </si>
  <si>
    <t>형제과일</t>
  </si>
  <si>
    <t>더볼룸</t>
  </si>
  <si>
    <t>배달의민족</t>
  </si>
  <si>
    <t>명절음식비</t>
  </si>
  <si>
    <t>낙산사주차장</t>
  </si>
  <si>
    <t>농협주유소</t>
  </si>
  <si>
    <t>양양시장주차장</t>
  </si>
  <si>
    <t>설화분식</t>
  </si>
  <si>
    <t>서오릉피자</t>
  </si>
  <si>
    <t>세븐일레븐</t>
  </si>
  <si>
    <t>자동차보험료</t>
  </si>
  <si>
    <t>총각네정육점</t>
  </si>
  <si>
    <t>현대프리미엄아울렛</t>
  </si>
  <si>
    <t>포마토김밥</t>
  </si>
  <si>
    <t>서울대공원</t>
  </si>
  <si>
    <t>지코바</t>
  </si>
  <si>
    <t>취향</t>
  </si>
  <si>
    <t>맥도날드</t>
  </si>
  <si>
    <t>SK브로드밴드</t>
  </si>
  <si>
    <t>버블스토리</t>
  </si>
  <si>
    <t>신중앙약국</t>
  </si>
  <si>
    <t>8월지출이월</t>
  </si>
  <si>
    <t>이수통닭</t>
  </si>
  <si>
    <t>CA정문약국</t>
  </si>
  <si>
    <t>신세명약국</t>
  </si>
  <si>
    <t>파리바게뜨</t>
  </si>
  <si>
    <t>신전떡볶이</t>
  </si>
  <si>
    <t>우소아과의원</t>
  </si>
  <si>
    <t>맘스터치</t>
  </si>
  <si>
    <t>버즈2</t>
  </si>
  <si>
    <t>보험지급금</t>
  </si>
  <si>
    <t>하츠필터</t>
  </si>
  <si>
    <t>헤어스토리</t>
  </si>
  <si>
    <t>환갑주유비</t>
  </si>
  <si>
    <t>오듀몽듀</t>
  </si>
  <si>
    <t>생일용돈(강지성)</t>
  </si>
  <si>
    <t>장례식(김동진)</t>
  </si>
  <si>
    <t>SK주유소</t>
  </si>
  <si>
    <t>시내대중교통</t>
  </si>
  <si>
    <t>신세계백화점</t>
  </si>
  <si>
    <t>현대백화점</t>
  </si>
  <si>
    <t>한강상사</t>
  </si>
  <si>
    <t>송지오옴므</t>
  </si>
  <si>
    <t>자동차재산세</t>
  </si>
  <si>
    <t>카카오택시</t>
  </si>
  <si>
    <t>결혼식(최낙준)</t>
  </si>
  <si>
    <t>산타복</t>
  </si>
  <si>
    <t>다이치</t>
  </si>
  <si>
    <t>포마토</t>
  </si>
  <si>
    <t>덕봉주차장</t>
  </si>
  <si>
    <t>식사(처가)</t>
  </si>
  <si>
    <t>서울역주차장</t>
  </si>
  <si>
    <t>롯데아울렛</t>
  </si>
  <si>
    <t>죠스떡볶이</t>
  </si>
  <si>
    <t>퍼즐사랑</t>
  </si>
  <si>
    <t>써브웨이</t>
  </si>
  <si>
    <t>전쟁기념관</t>
  </si>
  <si>
    <t>쿠팡</t>
  </si>
  <si>
    <t>서울역</t>
  </si>
  <si>
    <t>국내출장비</t>
  </si>
  <si>
    <t>생신용돈</t>
  </si>
  <si>
    <t>생신식사</t>
  </si>
  <si>
    <t>명절선물(시가)</t>
  </si>
  <si>
    <t>명절선물(처가)</t>
  </si>
  <si>
    <t>에어부산</t>
  </si>
  <si>
    <t>명절용돈(시가)</t>
  </si>
  <si>
    <t>명절용돈(처가)</t>
  </si>
  <si>
    <t>명절용돈(강지성)</t>
  </si>
  <si>
    <t>명절용돈(강지완)</t>
  </si>
  <si>
    <t>헤어아티스트M</t>
  </si>
  <si>
    <t>현대모터스튜디오고양</t>
  </si>
  <si>
    <t>나눔농장</t>
  </si>
  <si>
    <t>동작주차공원</t>
  </si>
  <si>
    <t>신룽푸마라탕</t>
  </si>
  <si>
    <t>쿠팡(강지완)</t>
  </si>
  <si>
    <t>연말정산세액</t>
  </si>
  <si>
    <t>로켓프레시</t>
  </si>
  <si>
    <t>커피나무</t>
  </si>
  <si>
    <t>현대모터스튜디오</t>
  </si>
  <si>
    <t>아크로명품세탁</t>
  </si>
  <si>
    <t>장례식(홍성윤)</t>
  </si>
  <si>
    <t>삼성화재교통박물관</t>
  </si>
  <si>
    <t>예금이자</t>
  </si>
  <si>
    <t>달온기</t>
  </si>
  <si>
    <t>키치키치다이닝</t>
  </si>
  <si>
    <t>마녀김밥</t>
  </si>
  <si>
    <t>예술의전당</t>
  </si>
  <si>
    <t>담</t>
  </si>
  <si>
    <t>강남연세산부인과의원</t>
  </si>
  <si>
    <t>바나프레소</t>
  </si>
  <si>
    <t>카페드빈티지</t>
  </si>
  <si>
    <t>미락</t>
  </si>
  <si>
    <t>블루스톤</t>
  </si>
  <si>
    <t>침사추이</t>
  </si>
  <si>
    <t>공영주차장</t>
  </si>
  <si>
    <t>파스타스토리</t>
  </si>
  <si>
    <t>아쿠아플라넷일산</t>
  </si>
  <si>
    <t>장례식(이지현)</t>
  </si>
  <si>
    <t>어린이대공원</t>
  </si>
  <si>
    <t>양지현 생활비</t>
  </si>
  <si>
    <t>스타필드하남</t>
  </si>
  <si>
    <t>매튜앤조엘스토이킹덤</t>
  </si>
  <si>
    <t>반포식스</t>
  </si>
  <si>
    <t>4월대중교통</t>
  </si>
  <si>
    <t>닥터로빈</t>
  </si>
  <si>
    <t>이화여자대학교</t>
  </si>
  <si>
    <t>맘스하트카페</t>
  </si>
  <si>
    <t>스쿳앤라이드</t>
  </si>
  <si>
    <t>어머니의찬장</t>
  </si>
  <si>
    <t>이대목동병원</t>
  </si>
  <si>
    <t>어버이날(시가)</t>
  </si>
  <si>
    <t>어버이날(처가)</t>
  </si>
  <si>
    <t>삼정집</t>
  </si>
  <si>
    <t>양지현 수술비</t>
  </si>
  <si>
    <t>어버이날(JMW)</t>
  </si>
  <si>
    <t>쏘카</t>
  </si>
  <si>
    <t>가야성</t>
  </si>
  <si>
    <t>푸라닭</t>
  </si>
  <si>
    <t>당근마켓(그레이트북스)</t>
  </si>
  <si>
    <t>천사온누리약국</t>
  </si>
  <si>
    <t>이삭토스트</t>
  </si>
  <si>
    <t>두찜</t>
  </si>
  <si>
    <t>에버랜드</t>
  </si>
  <si>
    <t>자라섬</t>
  </si>
  <si>
    <t>춘천닭갈비</t>
  </si>
  <si>
    <t>구포잔치국수</t>
  </si>
  <si>
    <t>철도박물관</t>
  </si>
  <si>
    <t>벨라쿠키</t>
  </si>
  <si>
    <t>한섬</t>
  </si>
  <si>
    <t>경성함바그</t>
  </si>
  <si>
    <t>나인포토</t>
  </si>
  <si>
    <t>롯데시네마</t>
  </si>
  <si>
    <t>더한강</t>
  </si>
  <si>
    <t>자동차검사</t>
  </si>
  <si>
    <t>속도위반과태료</t>
  </si>
  <si>
    <t>여권</t>
  </si>
  <si>
    <t>동키치킨</t>
  </si>
  <si>
    <t>산시브르</t>
  </si>
  <si>
    <t>마마운동화이불빨래방</t>
  </si>
  <si>
    <t>씨스페이스</t>
  </si>
  <si>
    <t>처가식사대접</t>
  </si>
  <si>
    <t>롯데프리미엄아울렛</t>
  </si>
  <si>
    <t>롯데월드</t>
  </si>
  <si>
    <t>동남자동차공업사</t>
  </si>
  <si>
    <t>이산찰누룽지닭백숙</t>
  </si>
  <si>
    <t>삼막사계곡</t>
  </si>
  <si>
    <t>알뜰주유소</t>
  </si>
  <si>
    <t>남산3호터널</t>
  </si>
  <si>
    <t>충주휴게소</t>
  </si>
  <si>
    <t>명랑쌀핫도그</t>
  </si>
  <si>
    <t>생신용돈(어머니)</t>
  </si>
  <si>
    <t>씨유</t>
  </si>
  <si>
    <t>청주휴게소</t>
  </si>
  <si>
    <t>현대면세점</t>
  </si>
  <si>
    <t>고기싸롱</t>
  </si>
  <si>
    <t>쿠쿠서비스센터</t>
  </si>
  <si>
    <t>개울테라스</t>
  </si>
  <si>
    <t>옛날통닭</t>
  </si>
  <si>
    <t>언주한의원</t>
  </si>
  <si>
    <t>롯데면세점</t>
  </si>
  <si>
    <t>부동산재산세</t>
  </si>
  <si>
    <t>주정차위반 과태료</t>
  </si>
  <si>
    <t>면세점</t>
  </si>
  <si>
    <t>서대문자연사박물관</t>
  </si>
  <si>
    <t>테르메덴</t>
  </si>
  <si>
    <t>자동차 취등록세</t>
  </si>
  <si>
    <t>여의도한강공원</t>
  </si>
  <si>
    <t>시흥프리미엄아울렛</t>
  </si>
  <si>
    <t>화서휴게소</t>
  </si>
  <si>
    <t>결혼식(장인혁)</t>
  </si>
  <si>
    <t>구몬(강지완)</t>
  </si>
  <si>
    <t>라원레스토랑</t>
  </si>
  <si>
    <t>오핸즈하우스</t>
  </si>
  <si>
    <t>문호베이커리</t>
  </si>
  <si>
    <t>명절선물</t>
  </si>
  <si>
    <t>교통사고보상금</t>
  </si>
  <si>
    <t>여수여행</t>
  </si>
  <si>
    <t>명절용돈</t>
  </si>
  <si>
    <t>빅세일마트</t>
  </si>
  <si>
    <t>이태리부대찌개</t>
  </si>
  <si>
    <t>컴포즈커피</t>
  </si>
  <si>
    <t>노량진수산시장</t>
  </si>
  <si>
    <t>당근마켓</t>
  </si>
  <si>
    <t>트니트니</t>
  </si>
  <si>
    <t>현선이네</t>
  </si>
  <si>
    <t>노들펍</t>
  </si>
  <si>
    <t>흑수돈</t>
  </si>
  <si>
    <t>더핏짜</t>
  </si>
  <si>
    <t>카페기차가있는풍경</t>
  </si>
  <si>
    <t>축의금(황성훈)</t>
  </si>
  <si>
    <t>김밥천국</t>
  </si>
  <si>
    <t>피자헛</t>
  </si>
  <si>
    <t>큰바다생선구이</t>
  </si>
  <si>
    <t>바운스</t>
  </si>
  <si>
    <t>로지사진관</t>
  </si>
  <si>
    <t>장호숯불닭갈비</t>
  </si>
  <si>
    <t>현대백화점면세점</t>
  </si>
  <si>
    <t>안동각</t>
  </si>
  <si>
    <t>온더레일</t>
  </si>
  <si>
    <t>뉴코아아울렛</t>
  </si>
  <si>
    <t>옷수선</t>
  </si>
  <si>
    <t>그레이몽키</t>
  </si>
  <si>
    <t>태준암(현대해상)</t>
  </si>
  <si>
    <t>태준암(신한)</t>
  </si>
  <si>
    <t>특별용돈(시가)</t>
  </si>
  <si>
    <t>용산역</t>
  </si>
  <si>
    <t>한신메디피아</t>
  </si>
  <si>
    <t>초월보리밥</t>
  </si>
  <si>
    <t>시래마루</t>
  </si>
  <si>
    <t>브라운돈까스</t>
  </si>
  <si>
    <t>올림픽기념국민생활관</t>
  </si>
  <si>
    <t>현대자동차공업사</t>
  </si>
  <si>
    <t>카보드(그랜저)</t>
  </si>
  <si>
    <t>행복한가족</t>
  </si>
  <si>
    <t>장례식(정진우)</t>
  </si>
  <si>
    <t>남산돈까스</t>
  </si>
  <si>
    <t>현대옥</t>
  </si>
  <si>
    <t>한국건설기술인협회</t>
  </si>
  <si>
    <t>이소키즈어학원</t>
  </si>
  <si>
    <t>아리하 종부세</t>
  </si>
  <si>
    <t>피자스쿨</t>
  </si>
  <si>
    <t>결혼식(이해석)</t>
  </si>
  <si>
    <t>아쿠아필드</t>
  </si>
  <si>
    <t>카페드아쿠아</t>
  </si>
  <si>
    <t>이마트트레이더스</t>
  </si>
  <si>
    <t>니뽕내뽕</t>
  </si>
  <si>
    <t>처갓집</t>
  </si>
  <si>
    <t>고속도로통행료</t>
  </si>
  <si>
    <t>당근마켓(강지완)</t>
  </si>
  <si>
    <t>김가네</t>
  </si>
  <si>
    <t>인피니티볼링장</t>
  </si>
  <si>
    <t>프랑제리</t>
  </si>
  <si>
    <t>네이버페이(기온쿼츠)</t>
  </si>
  <si>
    <t>여권(강지완)</t>
  </si>
  <si>
    <t>강남순환도로</t>
  </si>
  <si>
    <t>SK주유소</t>
    <phoneticPr fontId="5" type="noConversion"/>
  </si>
  <si>
    <t>구매품질팀(진급자회식)</t>
    <phoneticPr fontId="5" type="noConversion"/>
  </si>
  <si>
    <t>명절선물</t>
    <phoneticPr fontId="5" type="noConversion"/>
  </si>
  <si>
    <t>생신용돈(아버지)</t>
  </si>
  <si>
    <t>생신식사(아버지)</t>
  </si>
  <si>
    <t>창원고속버스터미널</t>
  </si>
  <si>
    <t>당항포관광지</t>
  </si>
  <si>
    <t>쉐즈롤</t>
    <phoneticPr fontId="5" type="noConversion"/>
  </si>
  <si>
    <t>검아웃</t>
  </si>
  <si>
    <t>장례식(이봉규)</t>
  </si>
  <si>
    <t>제일콩집</t>
  </si>
  <si>
    <t>결혼식(홍지수)</t>
  </si>
  <si>
    <t>서귀포공영주차장</t>
  </si>
  <si>
    <t>주민등록등본</t>
  </si>
  <si>
    <t>성심농장가든</t>
  </si>
  <si>
    <t>뚜레쥬르</t>
  </si>
  <si>
    <t>고속도로휴게소</t>
  </si>
  <si>
    <t>취등록세(그랜저)</t>
    <phoneticPr fontId="5" type="noConversion"/>
  </si>
  <si>
    <t>자동차보험(K5)</t>
    <phoneticPr fontId="5" type="noConversion"/>
  </si>
  <si>
    <t>자동차보험(그랜저)</t>
  </si>
  <si>
    <t>이마트</t>
    <phoneticPr fontId="5" type="noConversion"/>
  </si>
  <si>
    <t>VIC마켓</t>
    <phoneticPr fontId="5" type="noConversion"/>
  </si>
  <si>
    <t>ITX(서울-춘천)</t>
    <phoneticPr fontId="5" type="noConversion"/>
  </si>
  <si>
    <t>쿠팡이츠(처가)</t>
  </si>
  <si>
    <t>드래곤마운틴</t>
  </si>
  <si>
    <t>미성레스토랑</t>
  </si>
  <si>
    <t>김해공항주차장</t>
  </si>
  <si>
    <t>마이현대</t>
  </si>
  <si>
    <t>서귀피안</t>
  </si>
  <si>
    <t>네이버페이(세차용품)</t>
  </si>
  <si>
    <t>카드등록비</t>
  </si>
  <si>
    <t>현대카드연회비</t>
  </si>
  <si>
    <t>쿠팡(식비)</t>
    <phoneticPr fontId="5" type="noConversion"/>
  </si>
  <si>
    <t>쿠팡(세차용품)</t>
    <phoneticPr fontId="5" type="noConversion"/>
  </si>
  <si>
    <t>연세곰돌이소아과</t>
    <phoneticPr fontId="5" type="noConversion"/>
  </si>
  <si>
    <t>워시존</t>
    <phoneticPr fontId="5" type="noConversion"/>
  </si>
  <si>
    <t>쿠팡이츠</t>
    <phoneticPr fontId="5" type="noConversion"/>
  </si>
  <si>
    <t>제주흑돼지</t>
    <phoneticPr fontId="5" type="noConversion"/>
  </si>
  <si>
    <t>자동차재산세 (K5)</t>
    <phoneticPr fontId="5" type="noConversion"/>
  </si>
  <si>
    <t>헨리코튼</t>
    <phoneticPr fontId="5" type="noConversion"/>
  </si>
  <si>
    <t>신세계백화점(케이크/음료수)</t>
    <phoneticPr fontId="5" type="noConversion"/>
  </si>
  <si>
    <t>금계닭갈비</t>
    <phoneticPr fontId="5" type="noConversion"/>
  </si>
  <si>
    <t>가평양떼목장</t>
    <phoneticPr fontId="5" type="noConversion"/>
  </si>
  <si>
    <t>연말정산환급</t>
    <phoneticPr fontId="5" type="noConversion"/>
  </si>
  <si>
    <t>로이드밤</t>
    <phoneticPr fontId="5" type="noConversion"/>
  </si>
  <si>
    <t>배달의민족</t>
    <phoneticPr fontId="5" type="noConversion"/>
  </si>
  <si>
    <t>신세명약국</t>
    <phoneticPr fontId="5" type="noConversion"/>
  </si>
  <si>
    <t>우소아과의원</t>
    <phoneticPr fontId="5" type="noConversion"/>
  </si>
  <si>
    <t>국립중앙박물관(주차)</t>
    <phoneticPr fontId="5" type="noConversion"/>
  </si>
  <si>
    <t>옷수선</t>
    <phoneticPr fontId="5" type="noConversion"/>
  </si>
  <si>
    <t>장례식(최우석)</t>
    <phoneticPr fontId="5" type="noConversion"/>
  </si>
  <si>
    <t>결혼식(이주홍)</t>
    <phoneticPr fontId="5" type="noConversion"/>
  </si>
  <si>
    <t>장례식(최영준)</t>
    <phoneticPr fontId="5" type="noConversion"/>
  </si>
  <si>
    <t>예금이자</t>
    <phoneticPr fontId="5" type="noConversion"/>
  </si>
  <si>
    <t>결혼식(최세영)</t>
    <phoneticPr fontId="5" type="noConversion"/>
  </si>
  <si>
    <t>아이나비동작센터</t>
    <phoneticPr fontId="5" type="noConversion"/>
  </si>
  <si>
    <t>벨센트</t>
    <phoneticPr fontId="5" type="noConversion"/>
  </si>
  <si>
    <t>KFC</t>
    <phoneticPr fontId="5" type="noConversion"/>
  </si>
  <si>
    <t>이마트트레이더스</t>
    <phoneticPr fontId="5" type="noConversion"/>
  </si>
  <si>
    <t>크라이치즈버거</t>
    <phoneticPr fontId="5" type="noConversion"/>
  </si>
  <si>
    <t>처갓집</t>
    <phoneticPr fontId="5" type="noConversion"/>
  </si>
  <si>
    <t>세븐일레븐</t>
    <phoneticPr fontId="5" type="noConversion"/>
  </si>
  <si>
    <t>여의도한강공원</t>
    <phoneticPr fontId="5" type="noConversion"/>
  </si>
  <si>
    <t>스타벅스</t>
    <phoneticPr fontId="5" type="noConversion"/>
  </si>
  <si>
    <t>고속도로통행료</t>
    <phoneticPr fontId="5" type="noConversion"/>
  </si>
  <si>
    <t>조양방직</t>
    <phoneticPr fontId="5" type="noConversion"/>
  </si>
  <si>
    <t>N</t>
  </si>
  <si>
    <t>N</t>
    <phoneticPr fontId="5" type="noConversion"/>
  </si>
  <si>
    <t>Y</t>
    <phoneticPr fontId="5" type="noConversion"/>
  </si>
  <si>
    <t>이마트에브리데이</t>
    <phoneticPr fontId="5" type="noConversion"/>
  </si>
  <si>
    <t>야놀자</t>
    <phoneticPr fontId="5" type="noConversion"/>
  </si>
  <si>
    <t>여행</t>
    <phoneticPr fontId="5" type="noConversion"/>
  </si>
  <si>
    <t>화곡4동주민센터주차장</t>
    <phoneticPr fontId="5" type="noConversion"/>
  </si>
  <si>
    <t>커피나무</t>
    <phoneticPr fontId="5" type="noConversion"/>
  </si>
  <si>
    <t>비오템</t>
    <phoneticPr fontId="5" type="noConversion"/>
  </si>
  <si>
    <t>라팽블랑</t>
    <phoneticPr fontId="5" type="noConversion"/>
  </si>
  <si>
    <t>철도박물관편의점</t>
    <phoneticPr fontId="5" type="noConversion"/>
  </si>
  <si>
    <t>철도박물관</t>
    <phoneticPr fontId="5" type="noConversion"/>
  </si>
  <si>
    <t>인천공항장기주차장</t>
    <phoneticPr fontId="5" type="noConversion"/>
  </si>
  <si>
    <t>서오릉피자</t>
    <phoneticPr fontId="5" type="noConversion"/>
  </si>
  <si>
    <t>어버이날용돈</t>
    <phoneticPr fontId="5" type="noConversion"/>
  </si>
  <si>
    <t>Out - In</t>
    <phoneticPr fontId="5" type="noConversion"/>
  </si>
  <si>
    <t>보험지급금</t>
    <phoneticPr fontId="5" type="noConversion"/>
  </si>
  <si>
    <t>스타필드시티</t>
    <phoneticPr fontId="5" type="noConversion"/>
  </si>
  <si>
    <t>요기요</t>
    <phoneticPr fontId="5" type="noConversion"/>
  </si>
  <si>
    <t>2026 TOTAL</t>
    <phoneticPr fontId="5" type="noConversion"/>
  </si>
  <si>
    <t>2027 TOTAL</t>
    <phoneticPr fontId="5" type="noConversion"/>
  </si>
  <si>
    <t>2028 TOTAL</t>
    <phoneticPr fontId="5" type="noConversion"/>
  </si>
  <si>
    <t>어린이대공원 주차장</t>
    <phoneticPr fontId="5" type="noConversion"/>
  </si>
  <si>
    <t>아쿠아플라넷63</t>
    <phoneticPr fontId="5" type="noConversion"/>
  </si>
  <si>
    <t>국내출장비</t>
    <phoneticPr fontId="5" type="noConversion"/>
  </si>
  <si>
    <t>년</t>
    <phoneticPr fontId="5" type="noConversion"/>
  </si>
  <si>
    <t>월</t>
    <phoneticPr fontId="5" type="noConversion"/>
  </si>
  <si>
    <t>진천현대서비스</t>
    <phoneticPr fontId="5" type="noConversion"/>
  </si>
  <si>
    <t>베니어베이커리</t>
    <phoneticPr fontId="5" type="noConversion"/>
  </si>
  <si>
    <t>천사온누리약국</t>
    <phoneticPr fontId="5" type="noConversion"/>
  </si>
  <si>
    <t>버거킹</t>
    <phoneticPr fontId="5" type="noConversion"/>
  </si>
  <si>
    <t>포마토김밥</t>
    <phoneticPr fontId="5" type="noConversion"/>
  </si>
  <si>
    <t>GS25</t>
    <phoneticPr fontId="5" type="noConversion"/>
  </si>
  <si>
    <t>중동본가삼계탕</t>
    <phoneticPr fontId="5" type="noConversion"/>
  </si>
  <si>
    <t>인피니티볼링장</t>
    <phoneticPr fontId="5" type="noConversion"/>
  </si>
  <si>
    <t>배스킨라빈스</t>
    <phoneticPr fontId="5" type="noConversion"/>
  </si>
  <si>
    <t>KTX (창원-서울)</t>
    <phoneticPr fontId="5" type="noConversion"/>
  </si>
  <si>
    <t>아크로세탁소</t>
    <phoneticPr fontId="5" type="noConversion"/>
  </si>
  <si>
    <t>어탕골</t>
    <phoneticPr fontId="5" type="noConversion"/>
  </si>
  <si>
    <t>장례식(이지현)</t>
    <phoneticPr fontId="5" type="noConversion"/>
  </si>
  <si>
    <t>경양카츠</t>
    <phoneticPr fontId="5" type="noConversion"/>
  </si>
  <si>
    <t>리베라메인타워</t>
    <phoneticPr fontId="5" type="noConversion"/>
  </si>
  <si>
    <t>진안마이산휴게소</t>
    <phoneticPr fontId="5" type="noConversion"/>
  </si>
  <si>
    <t>꿀삐닭강정</t>
    <phoneticPr fontId="5" type="noConversion"/>
  </si>
  <si>
    <t>갱스커피</t>
    <phoneticPr fontId="5" type="noConversion"/>
  </si>
  <si>
    <t>우유창고</t>
    <phoneticPr fontId="5" type="noConversion"/>
  </si>
  <si>
    <t>모카브레드</t>
    <phoneticPr fontId="5" type="noConversion"/>
  </si>
  <si>
    <t>쿠팡(어탕골)</t>
    <phoneticPr fontId="5" type="noConversion"/>
  </si>
  <si>
    <t>삼백돈돈카츠</t>
    <phoneticPr fontId="5" type="noConversion"/>
  </si>
  <si>
    <t>까망돌도서관</t>
    <phoneticPr fontId="5" type="noConversion"/>
  </si>
  <si>
    <t>한남동공영주차장</t>
    <phoneticPr fontId="5" type="noConversion"/>
  </si>
  <si>
    <t>쿠팡(자동차용품)</t>
    <phoneticPr fontId="5" type="noConversion"/>
  </si>
  <si>
    <t>에어컨필터</t>
    <phoneticPr fontId="5" type="noConversion"/>
  </si>
  <si>
    <t>식사(처가)</t>
    <phoneticPr fontId="5" type="noConversion"/>
  </si>
  <si>
    <t>아쿠아필드</t>
    <phoneticPr fontId="5" type="noConversion"/>
  </si>
  <si>
    <t>SK매직 정수기</t>
    <phoneticPr fontId="5" type="noConversion"/>
  </si>
  <si>
    <t>네이버페이(디퓨저)</t>
    <phoneticPr fontId="5" type="noConversion"/>
  </si>
  <si>
    <t>SKT 강태준</t>
    <phoneticPr fontId="5" type="noConversion"/>
  </si>
  <si>
    <t>SKT 양지현</t>
    <phoneticPr fontId="5" type="noConversion"/>
  </si>
  <si>
    <r>
      <t>'23</t>
    </r>
    <r>
      <rPr>
        <sz val="10"/>
        <color theme="1"/>
        <rFont val="맑은 고딕"/>
        <family val="3"/>
        <charset val="129"/>
      </rPr>
      <t>년</t>
    </r>
    <r>
      <rPr>
        <sz val="10"/>
        <color theme="1"/>
        <rFont val="Arial"/>
        <family val="2"/>
      </rPr>
      <t xml:space="preserve"> 11</t>
    </r>
    <r>
      <rPr>
        <sz val="10"/>
        <color theme="1"/>
        <rFont val="맑은 고딕"/>
        <family val="3"/>
        <charset val="129"/>
      </rPr>
      <t>월</t>
    </r>
    <phoneticPr fontId="5" type="noConversion"/>
  </si>
  <si>
    <r>
      <t>'23</t>
    </r>
    <r>
      <rPr>
        <sz val="10"/>
        <color theme="1"/>
        <rFont val="맑은 고딕"/>
        <family val="3"/>
        <charset val="129"/>
      </rPr>
      <t>년</t>
    </r>
    <r>
      <rPr>
        <sz val="10"/>
        <color theme="1"/>
        <rFont val="Arial"/>
        <family val="2"/>
      </rPr>
      <t xml:space="preserve"> 12</t>
    </r>
    <r>
      <rPr>
        <sz val="10"/>
        <color theme="1"/>
        <rFont val="맑은 고딕"/>
        <family val="3"/>
        <charset val="129"/>
      </rPr>
      <t>월</t>
    </r>
    <phoneticPr fontId="5" type="noConversion"/>
  </si>
  <si>
    <r>
      <t>'24</t>
    </r>
    <r>
      <rPr>
        <sz val="10"/>
        <color theme="1"/>
        <rFont val="맑은 고딕"/>
        <family val="3"/>
        <charset val="129"/>
      </rPr>
      <t>년</t>
    </r>
    <r>
      <rPr>
        <sz val="10"/>
        <color theme="1"/>
        <rFont val="Arial"/>
        <family val="2"/>
      </rPr>
      <t xml:space="preserve"> 01</t>
    </r>
    <r>
      <rPr>
        <sz val="10"/>
        <color theme="1"/>
        <rFont val="맑은 고딕"/>
        <family val="3"/>
        <charset val="129"/>
      </rPr>
      <t>월</t>
    </r>
    <phoneticPr fontId="5" type="noConversion"/>
  </si>
  <si>
    <r>
      <t>2022</t>
    </r>
    <r>
      <rPr>
        <sz val="10"/>
        <color theme="1"/>
        <rFont val="맑은 고딕"/>
        <family val="3"/>
        <charset val="129"/>
      </rPr>
      <t>년</t>
    </r>
    <phoneticPr fontId="5" type="noConversion"/>
  </si>
  <si>
    <r>
      <t>2023</t>
    </r>
    <r>
      <rPr>
        <sz val="10"/>
        <color theme="1"/>
        <rFont val="맑은 고딕"/>
        <family val="3"/>
        <charset val="129"/>
      </rPr>
      <t>년</t>
    </r>
    <phoneticPr fontId="5" type="noConversion"/>
  </si>
  <si>
    <r>
      <t>2024</t>
    </r>
    <r>
      <rPr>
        <sz val="10"/>
        <color theme="1"/>
        <rFont val="맑은 고딕"/>
        <family val="3"/>
        <charset val="129"/>
      </rPr>
      <t>년</t>
    </r>
    <phoneticPr fontId="5" type="noConversion"/>
  </si>
  <si>
    <t>씨유</t>
    <phoneticPr fontId="5" type="noConversion"/>
  </si>
  <si>
    <t>명동성당주차장</t>
    <phoneticPr fontId="5" type="noConversion"/>
  </si>
  <si>
    <t>명동문구</t>
    <phoneticPr fontId="5" type="noConversion"/>
  </si>
  <si>
    <t>아크로리버하임 재산세</t>
    <phoneticPr fontId="5" type="noConversion"/>
  </si>
  <si>
    <t>메리츠화재 해지환급금</t>
    <phoneticPr fontId="5" type="noConversion"/>
  </si>
  <si>
    <t>아츠</t>
    <phoneticPr fontId="5" type="noConversion"/>
  </si>
  <si>
    <t>산시브르</t>
    <phoneticPr fontId="5" type="noConversion"/>
  </si>
  <si>
    <t>동그라미패스트랙키즈</t>
    <phoneticPr fontId="5" type="noConversion"/>
  </si>
  <si>
    <t>빌리캣바버샵</t>
    <phoneticPr fontId="5" type="noConversion"/>
  </si>
  <si>
    <t>롯데마트</t>
    <phoneticPr fontId="5" type="noConversion"/>
  </si>
  <si>
    <t>K스퀘어주차장</t>
    <phoneticPr fontId="5" type="noConversion"/>
  </si>
  <si>
    <t>성산명가</t>
    <phoneticPr fontId="5" type="noConversion"/>
  </si>
  <si>
    <t>에어부산</t>
    <phoneticPr fontId="5" type="noConversion"/>
  </si>
  <si>
    <t>택시</t>
    <phoneticPr fontId="5" type="noConversion"/>
  </si>
  <si>
    <t>시외버스(대구-남지)</t>
    <phoneticPr fontId="5" type="noConversion"/>
  </si>
  <si>
    <t>조의금 목록</t>
    <phoneticPr fontId="5" type="noConversion"/>
  </si>
  <si>
    <t>카카오</t>
    <phoneticPr fontId="5" type="noConversion"/>
  </si>
  <si>
    <t>상도중앙교회 1교구</t>
    <phoneticPr fontId="5" type="noConversion"/>
  </si>
  <si>
    <t>황윤섭</t>
    <phoneticPr fontId="5" type="noConversion"/>
  </si>
  <si>
    <t>갈윤선</t>
    <phoneticPr fontId="5" type="noConversion"/>
  </si>
  <si>
    <t>류성안</t>
    <phoneticPr fontId="5" type="noConversion"/>
  </si>
  <si>
    <t>박예진</t>
    <phoneticPr fontId="5" type="noConversion"/>
  </si>
  <si>
    <t>박지애</t>
    <phoneticPr fontId="5" type="noConversion"/>
  </si>
  <si>
    <t>최영준</t>
    <phoneticPr fontId="5" type="noConversion"/>
  </si>
  <si>
    <t>이해석</t>
    <phoneticPr fontId="5" type="noConversion"/>
  </si>
  <si>
    <t>양윤성</t>
    <phoneticPr fontId="5" type="noConversion"/>
  </si>
  <si>
    <t>홍성윤</t>
    <phoneticPr fontId="5" type="noConversion"/>
  </si>
  <si>
    <t>신지수</t>
    <phoneticPr fontId="5" type="noConversion"/>
  </si>
  <si>
    <t>김지은</t>
    <phoneticPr fontId="5" type="noConversion"/>
  </si>
  <si>
    <t>정진우</t>
    <phoneticPr fontId="5" type="noConversion"/>
  </si>
  <si>
    <t>최호형</t>
    <phoneticPr fontId="5" type="noConversion"/>
  </si>
  <si>
    <t>박세진</t>
    <phoneticPr fontId="5" type="noConversion"/>
  </si>
  <si>
    <t>강동현</t>
    <phoneticPr fontId="5" type="noConversion"/>
  </si>
  <si>
    <t>이상협</t>
    <phoneticPr fontId="5" type="noConversion"/>
  </si>
  <si>
    <t>주동훈</t>
    <phoneticPr fontId="5" type="noConversion"/>
  </si>
  <si>
    <t>이송은</t>
    <phoneticPr fontId="5" type="noConversion"/>
  </si>
  <si>
    <t>남궁한신</t>
    <phoneticPr fontId="5" type="noConversion"/>
  </si>
  <si>
    <t>박창희</t>
    <phoneticPr fontId="5" type="noConversion"/>
  </si>
  <si>
    <t>양희봉</t>
    <phoneticPr fontId="5" type="noConversion"/>
  </si>
  <si>
    <t>이상호</t>
    <phoneticPr fontId="5" type="noConversion"/>
  </si>
  <si>
    <t>김광미</t>
    <phoneticPr fontId="5" type="noConversion"/>
  </si>
  <si>
    <t>처가</t>
    <phoneticPr fontId="5" type="noConversion"/>
  </si>
  <si>
    <t>편성욱</t>
    <phoneticPr fontId="5" type="noConversion"/>
  </si>
  <si>
    <t>김정희</t>
    <phoneticPr fontId="5" type="noConversion"/>
  </si>
  <si>
    <t>양지윤</t>
    <phoneticPr fontId="5" type="noConversion"/>
  </si>
  <si>
    <t>박현철</t>
    <phoneticPr fontId="5" type="noConversion"/>
  </si>
  <si>
    <t>부형규</t>
    <phoneticPr fontId="5" type="noConversion"/>
  </si>
  <si>
    <t>아스킨</t>
    <phoneticPr fontId="5" type="noConversion"/>
  </si>
  <si>
    <t>손동환</t>
    <phoneticPr fontId="5" type="noConversion"/>
  </si>
  <si>
    <t>강동헌</t>
    <phoneticPr fontId="5" type="noConversion"/>
  </si>
  <si>
    <t>서라벌</t>
    <phoneticPr fontId="5" type="noConversion"/>
  </si>
  <si>
    <t>김성준</t>
    <phoneticPr fontId="5" type="noConversion"/>
  </si>
  <si>
    <t>황성훈</t>
    <phoneticPr fontId="5" type="noConversion"/>
  </si>
  <si>
    <t>유병찬</t>
    <phoneticPr fontId="5" type="noConversion"/>
  </si>
  <si>
    <t>석우경</t>
    <phoneticPr fontId="5" type="noConversion"/>
  </si>
  <si>
    <t>김교록</t>
    <phoneticPr fontId="5" type="noConversion"/>
  </si>
  <si>
    <t>한래동</t>
    <phoneticPr fontId="5" type="noConversion"/>
  </si>
  <si>
    <t>김재은</t>
    <phoneticPr fontId="5" type="noConversion"/>
  </si>
  <si>
    <t>박종군</t>
    <phoneticPr fontId="5" type="noConversion"/>
  </si>
  <si>
    <t>박성원</t>
    <phoneticPr fontId="5" type="noConversion"/>
  </si>
  <si>
    <t>전창훈</t>
    <phoneticPr fontId="5" type="noConversion"/>
  </si>
  <si>
    <t>변동열</t>
    <phoneticPr fontId="5" type="noConversion"/>
  </si>
  <si>
    <t>이경빈</t>
    <phoneticPr fontId="5" type="noConversion"/>
  </si>
  <si>
    <t>양천영</t>
    <phoneticPr fontId="5" type="noConversion"/>
  </si>
  <si>
    <t>민윤건</t>
    <phoneticPr fontId="5" type="noConversion"/>
  </si>
  <si>
    <t>곽수환</t>
    <phoneticPr fontId="5" type="noConversion"/>
  </si>
  <si>
    <t>박인주</t>
    <phoneticPr fontId="5" type="noConversion"/>
  </si>
  <si>
    <t>김수영</t>
    <phoneticPr fontId="5" type="noConversion"/>
  </si>
  <si>
    <t>SK에코플랜트</t>
    <phoneticPr fontId="5" type="noConversion"/>
  </si>
  <si>
    <t>장진욱</t>
    <phoneticPr fontId="5" type="noConversion"/>
  </si>
  <si>
    <t>김용운</t>
    <phoneticPr fontId="5" type="noConversion"/>
  </si>
  <si>
    <t>노봉균</t>
    <phoneticPr fontId="5" type="noConversion"/>
  </si>
  <si>
    <t>최윤희</t>
    <phoneticPr fontId="5" type="noConversion"/>
  </si>
  <si>
    <t>이봉규</t>
    <phoneticPr fontId="5" type="noConversion"/>
  </si>
  <si>
    <t>한상중</t>
    <phoneticPr fontId="5" type="noConversion"/>
  </si>
  <si>
    <t>최종현</t>
    <phoneticPr fontId="5" type="noConversion"/>
  </si>
  <si>
    <t>성수진</t>
    <phoneticPr fontId="5" type="noConversion"/>
  </si>
  <si>
    <t>이지현</t>
    <phoneticPr fontId="5" type="noConversion"/>
  </si>
  <si>
    <t>KTX</t>
    <phoneticPr fontId="5" type="noConversion"/>
  </si>
  <si>
    <t>조의금</t>
    <phoneticPr fontId="5" type="noConversion"/>
  </si>
  <si>
    <t>감사헌금</t>
    <phoneticPr fontId="5" type="noConversion"/>
  </si>
  <si>
    <t>작은형수전달</t>
    <phoneticPr fontId="5" type="noConversion"/>
  </si>
  <si>
    <t>서울역 주차장</t>
    <phoneticPr fontId="5" type="noConversion"/>
  </si>
  <si>
    <t>점핑파크</t>
    <phoneticPr fontId="5" type="noConversion"/>
  </si>
  <si>
    <t>점핑파크주차장</t>
    <phoneticPr fontId="5" type="noConversion"/>
  </si>
  <si>
    <t>서울역편의점</t>
    <phoneticPr fontId="5" type="noConversion"/>
  </si>
  <si>
    <t>늘푸른꽃도매</t>
    <phoneticPr fontId="5" type="noConversion"/>
  </si>
  <si>
    <t>남해상상양떼목장편백숲</t>
    <phoneticPr fontId="5" type="noConversion"/>
  </si>
  <si>
    <t>임진각식당</t>
    <phoneticPr fontId="5" type="noConversion"/>
  </si>
  <si>
    <t>생신용돈(어머니)</t>
    <phoneticPr fontId="5" type="noConversion"/>
  </si>
  <si>
    <t>서울역주차장</t>
    <phoneticPr fontId="5" type="noConversion"/>
  </si>
  <si>
    <t>하계휴가비</t>
    <phoneticPr fontId="5" type="noConversion"/>
  </si>
  <si>
    <t>부산여행</t>
    <phoneticPr fontId="5" type="noConversion"/>
  </si>
  <si>
    <t>T150</t>
    <phoneticPr fontId="5" type="noConversion"/>
  </si>
  <si>
    <t>IRCA</t>
    <phoneticPr fontId="5" type="noConversion"/>
  </si>
  <si>
    <t>백채김치찌개</t>
    <phoneticPr fontId="5" type="noConversion"/>
  </si>
  <si>
    <t>파리바게뜨</t>
    <phoneticPr fontId="5" type="noConversion"/>
  </si>
  <si>
    <t>롯데리아</t>
    <phoneticPr fontId="5" type="noConversion"/>
  </si>
  <si>
    <t>장군주먹고기</t>
    <phoneticPr fontId="5" type="noConversion"/>
  </si>
  <si>
    <t>주민세</t>
    <phoneticPr fontId="5" type="noConversion"/>
  </si>
  <si>
    <t>통일동산장단콩두부마을</t>
    <phoneticPr fontId="5" type="noConversion"/>
  </si>
  <si>
    <t>행주산성주차장</t>
    <phoneticPr fontId="5" type="noConversion"/>
  </si>
  <si>
    <t>삼이국수</t>
    <phoneticPr fontId="5" type="noConversion"/>
  </si>
  <si>
    <t>코코닼</t>
    <phoneticPr fontId="5" type="noConversion"/>
  </si>
  <si>
    <t>죠스떡볶이</t>
    <phoneticPr fontId="5" type="noConversion"/>
  </si>
  <si>
    <t>임진각주차장</t>
    <phoneticPr fontId="5" type="noConversion"/>
  </si>
  <si>
    <t>롯데프리미엄아울렛</t>
    <phoneticPr fontId="5" type="noConversion"/>
  </si>
  <si>
    <t>르메이에르주차장</t>
    <phoneticPr fontId="5" type="noConversion"/>
  </si>
  <si>
    <t>조문</t>
    <phoneticPr fontId="5" type="noConversion"/>
  </si>
  <si>
    <t>오토바디모터스</t>
    <phoneticPr fontId="5" type="noConversion"/>
  </si>
  <si>
    <t>교촌치킨</t>
    <phoneticPr fontId="5" type="noConversion"/>
  </si>
  <si>
    <t>짐맥클린골프아카데미</t>
    <phoneticPr fontId="5" type="noConversion"/>
  </si>
  <si>
    <t>서울대공원캠핑장</t>
    <phoneticPr fontId="5" type="noConversion"/>
  </si>
  <si>
    <t>서울대공원캠핑장(주차장)</t>
    <phoneticPr fontId="5" type="noConversion"/>
  </si>
  <si>
    <t>김밥이야기</t>
    <phoneticPr fontId="5" type="noConversion"/>
  </si>
  <si>
    <t>나이키</t>
    <phoneticPr fontId="5" type="noConversion"/>
  </si>
  <si>
    <t>레이드백바버샵</t>
    <phoneticPr fontId="5" type="noConversion"/>
  </si>
  <si>
    <t>트래블월렛</t>
    <phoneticPr fontId="5" type="noConversion"/>
  </si>
  <si>
    <t>마산오동동할매아구찜</t>
    <phoneticPr fontId="5" type="noConversion"/>
  </si>
  <si>
    <t>자동차보험(스포티지)</t>
    <phoneticPr fontId="5" type="noConversion"/>
  </si>
  <si>
    <t>김포세탁</t>
    <phoneticPr fontId="5" type="noConversion"/>
  </si>
  <si>
    <t>덕봉주차장</t>
    <phoneticPr fontId="5" type="noConversion"/>
  </si>
  <si>
    <t>강약국</t>
    <phoneticPr fontId="5" type="noConversion"/>
  </si>
  <si>
    <t>소망이비인후과의원</t>
    <phoneticPr fontId="5" type="noConversion"/>
  </si>
  <si>
    <t>(VN)VSPA</t>
    <phoneticPr fontId="5" type="noConversion"/>
  </si>
  <si>
    <t>(VN)ATM(VND 1M)</t>
    <phoneticPr fontId="5" type="noConversion"/>
  </si>
  <si>
    <t>엔제리너스(여행)</t>
    <phoneticPr fontId="5" type="noConversion"/>
  </si>
  <si>
    <t>파리바게뜨(여행)</t>
    <phoneticPr fontId="5" type="noConversion"/>
  </si>
  <si>
    <t>타코벨(여행)</t>
    <phoneticPr fontId="5" type="noConversion"/>
  </si>
  <si>
    <t>이민희헤어</t>
    <phoneticPr fontId="5" type="noConversion"/>
  </si>
  <si>
    <t>다이소</t>
    <phoneticPr fontId="5" type="noConversion"/>
  </si>
  <si>
    <t>명절선물(시가)</t>
    <phoneticPr fontId="5" type="noConversion"/>
  </si>
  <si>
    <t>85s바버샵</t>
    <phoneticPr fontId="5" type="noConversion"/>
  </si>
  <si>
    <t>명절음식비</t>
    <phoneticPr fontId="5" type="noConversion"/>
  </si>
  <si>
    <t>맥도날드</t>
    <phoneticPr fontId="5" type="noConversion"/>
  </si>
  <si>
    <t>국립한글박물관(주차장)</t>
    <phoneticPr fontId="5" type="noConversion"/>
  </si>
  <si>
    <t>니뽕내뽕</t>
    <phoneticPr fontId="5" type="noConversion"/>
  </si>
  <si>
    <t>장례식(강택기)</t>
    <phoneticPr fontId="5" type="noConversion"/>
  </si>
  <si>
    <t>명절선물(처가)</t>
    <phoneticPr fontId="5" type="noConversion"/>
  </si>
  <si>
    <t>GS칼텍스</t>
    <phoneticPr fontId="5" type="noConversion"/>
  </si>
  <si>
    <t>충주휴게소</t>
    <phoneticPr fontId="5" type="noConversion"/>
  </si>
  <si>
    <t>갤럭시 S23 5G</t>
    <phoneticPr fontId="5" type="noConversion"/>
  </si>
  <si>
    <t>알뜰주유소</t>
    <phoneticPr fontId="5" type="noConversion"/>
  </si>
  <si>
    <t>카페루치아</t>
    <phoneticPr fontId="5" type="noConversion"/>
  </si>
  <si>
    <t>365드림아이의원</t>
    <phoneticPr fontId="5" type="noConversion"/>
  </si>
  <si>
    <t>굿모닝온누리약국</t>
    <phoneticPr fontId="5" type="noConversion"/>
  </si>
  <si>
    <t>포토이즘스튜디오</t>
    <phoneticPr fontId="5" type="noConversion"/>
  </si>
  <si>
    <t>하나의원</t>
    <phoneticPr fontId="5" type="noConversion"/>
  </si>
  <si>
    <t>아이파크약국</t>
    <phoneticPr fontId="5" type="noConversion"/>
  </si>
  <si>
    <t>문의청남대주유소</t>
    <phoneticPr fontId="5" type="noConversion"/>
  </si>
  <si>
    <t>KTX (포항-서울)</t>
    <phoneticPr fontId="5" type="noConversion"/>
  </si>
  <si>
    <t>명절용돈(시가)</t>
    <phoneticPr fontId="5" type="noConversion"/>
  </si>
  <si>
    <t>한신서울치과의원</t>
    <phoneticPr fontId="5" type="noConversion"/>
  </si>
  <si>
    <t>미타임</t>
    <phoneticPr fontId="5" type="noConversion"/>
  </si>
  <si>
    <t>포레스트소울</t>
    <phoneticPr fontId="5" type="noConversion"/>
  </si>
  <si>
    <t>산아래</t>
    <phoneticPr fontId="5" type="noConversion"/>
  </si>
  <si>
    <t>닉센</t>
    <phoneticPr fontId="5" type="noConversion"/>
  </si>
  <si>
    <t>스카이72</t>
    <phoneticPr fontId="5" type="noConversion"/>
  </si>
  <si>
    <t>레이크 Out - 레이크 In</t>
    <phoneticPr fontId="5" type="noConversion"/>
  </si>
  <si>
    <t>최우석 (89)
박승진 (92)
도정호 (101)</t>
    <phoneticPr fontId="5" type="noConversion"/>
  </si>
  <si>
    <t>별님 - 해님</t>
    <phoneticPr fontId="5" type="noConversion"/>
  </si>
  <si>
    <t>최우석 (92)
박승진 (93)
김성준 (105)</t>
    <phoneticPr fontId="5" type="noConversion"/>
  </si>
  <si>
    <t>마루 - 누리</t>
    <phoneticPr fontId="5" type="noConversion"/>
  </si>
  <si>
    <r>
      <t>윤희수 (84)
도정호 (97)
이상협 (98)</t>
    </r>
    <r>
      <rPr>
        <sz val="10"/>
        <color theme="1"/>
        <rFont val="맑은 고딕"/>
        <family val="3"/>
        <charset val="129"/>
      </rPr>
      <t/>
    </r>
    <phoneticPr fontId="5" type="noConversion"/>
  </si>
  <si>
    <t>동 - 서</t>
    <phoneticPr fontId="5" type="noConversion"/>
  </si>
  <si>
    <t>김광미 (125)
김홍미 (118)</t>
    <phoneticPr fontId="5" type="noConversion"/>
  </si>
  <si>
    <t>황학 - 세종</t>
    <phoneticPr fontId="5" type="noConversion"/>
  </si>
  <si>
    <r>
      <t>서수빈 (105)
이무형 (109)
홍지수 (111)</t>
    </r>
    <r>
      <rPr>
        <sz val="10"/>
        <color theme="1"/>
        <rFont val="맑은 고딕"/>
        <family val="3"/>
        <charset val="129"/>
      </rPr>
      <t/>
    </r>
    <phoneticPr fontId="5" type="noConversion"/>
  </si>
  <si>
    <t>박인주 (96)
이상협 (95)
이호준 (91)</t>
    <phoneticPr fontId="5" type="noConversion"/>
  </si>
  <si>
    <t>마이다스이천</t>
    <phoneticPr fontId="5" type="noConversion"/>
  </si>
  <si>
    <t>타이탄 - 마이다스</t>
    <phoneticPr fontId="5" type="noConversion"/>
  </si>
  <si>
    <t>장진욱 (91)
김성준 (107)
이상협 (107)</t>
    <phoneticPr fontId="5" type="noConversion"/>
  </si>
  <si>
    <r>
      <t>윤희수 (91)
박승진 (106)
이호준 (105)</t>
    </r>
    <r>
      <rPr>
        <sz val="10"/>
        <color theme="1"/>
        <rFont val="맑은 고딕"/>
        <family val="3"/>
        <charset val="129"/>
      </rPr>
      <t/>
    </r>
    <phoneticPr fontId="5" type="noConversion"/>
  </si>
  <si>
    <t>신현우 (101)
장성민 (104)
이우주 (106)</t>
    <phoneticPr fontId="5" type="noConversion"/>
  </si>
  <si>
    <t>여강 - 황학</t>
    <phoneticPr fontId="5" type="noConversion"/>
  </si>
  <si>
    <t>남궁한신 (103)
정승균 (108)
도정호 (105)</t>
    <phoneticPr fontId="5" type="noConversion"/>
  </si>
  <si>
    <t>브리즈 - 선샤인</t>
    <phoneticPr fontId="5" type="noConversion"/>
  </si>
  <si>
    <t>장진욱 (94)
박승진 (108)
이호준 (98)</t>
    <phoneticPr fontId="5" type="noConversion"/>
  </si>
  <si>
    <t>레이크 - 마운틴</t>
    <phoneticPr fontId="5" type="noConversion"/>
  </si>
  <si>
    <t>이상협 (100)
이호준 (106)</t>
    <phoneticPr fontId="5" type="noConversion"/>
  </si>
  <si>
    <t>밸리 (2/3/5 → 마운틴 1/2/9) - 레이크</t>
    <phoneticPr fontId="5" type="noConversion"/>
  </si>
  <si>
    <t>이상협 (102)
이호준 (97)</t>
    <phoneticPr fontId="5" type="noConversion"/>
  </si>
  <si>
    <t>장진욱 (108)</t>
    <phoneticPr fontId="5" type="noConversion"/>
  </si>
  <si>
    <t>장진욱 (80)</t>
    <phoneticPr fontId="5" type="noConversion"/>
  </si>
  <si>
    <t>밸리 - 레이크</t>
    <phoneticPr fontId="5" type="noConversion"/>
  </si>
  <si>
    <t>최우석 (94)
도정호 (106)
이상협 (103)</t>
    <phoneticPr fontId="5" type="noConversion"/>
  </si>
  <si>
    <t>누리 - 가람</t>
    <phoneticPr fontId="5" type="noConversion"/>
  </si>
  <si>
    <t>최우석 (93)
윤희수 (88)</t>
    <phoneticPr fontId="5" type="noConversion"/>
  </si>
  <si>
    <t>골프존카운티 안성W</t>
    <phoneticPr fontId="5" type="noConversion"/>
  </si>
  <si>
    <t>최우석 (86)
박승진 (104)</t>
    <phoneticPr fontId="5" type="noConversion"/>
  </si>
  <si>
    <t>레이크 - 실크</t>
    <phoneticPr fontId="5" type="noConversion"/>
  </si>
  <si>
    <t>최우석 (92)
이상협 (97)
이호준 (103)</t>
    <phoneticPr fontId="5" type="noConversion"/>
  </si>
  <si>
    <t>최우석 (96)
장진욱 (97)</t>
    <phoneticPr fontId="5" type="noConversion"/>
  </si>
  <si>
    <t>쿠팡(미쉐린와이퍼)</t>
    <phoneticPr fontId="5" type="noConversion"/>
  </si>
  <si>
    <t>네이버페이(엠퓨처)</t>
    <phoneticPr fontId="5" type="noConversion"/>
  </si>
  <si>
    <t>네이버페이(리벤아이티)</t>
    <phoneticPr fontId="5" type="noConversion"/>
  </si>
  <si>
    <t>이무형 (98)
홍지수 (106)
서수빈 (102)</t>
    <phoneticPr fontId="5" type="noConversion"/>
  </si>
  <si>
    <t>KTX (서울-창원)</t>
    <phoneticPr fontId="5" type="noConversion"/>
  </si>
  <si>
    <t>왕삼겹촌돼지</t>
    <phoneticPr fontId="5" type="noConversion"/>
  </si>
  <si>
    <t>베뉴지</t>
    <phoneticPr fontId="5" type="noConversion"/>
  </si>
  <si>
    <t>G - HUE</t>
    <phoneticPr fontId="5" type="noConversion"/>
  </si>
  <si>
    <t>신샤브</t>
    <phoneticPr fontId="5" type="noConversion"/>
  </si>
  <si>
    <t>서울동작구육아종합지원센터</t>
    <phoneticPr fontId="5" type="noConversion"/>
  </si>
  <si>
    <t>엔진오일</t>
    <phoneticPr fontId="5" type="noConversion"/>
  </si>
  <si>
    <t>오일필터 &amp; 에어필터</t>
    <phoneticPr fontId="5" type="noConversion"/>
  </si>
  <si>
    <t>세이브포인트</t>
    <phoneticPr fontId="5" type="noConversion"/>
  </si>
  <si>
    <t>듬박이찌개</t>
    <phoneticPr fontId="5" type="noConversion"/>
  </si>
  <si>
    <t>롯데면세점</t>
    <phoneticPr fontId="5" type="noConversion"/>
  </si>
  <si>
    <t>결혼식(김문길)</t>
    <phoneticPr fontId="5" type="noConversion"/>
  </si>
  <si>
    <t>오토그릴(두바이)</t>
    <phoneticPr fontId="5" type="noConversion"/>
  </si>
  <si>
    <t>두바이면세점(초콜릿)</t>
    <phoneticPr fontId="5" type="noConversion"/>
  </si>
  <si>
    <t>공임나라</t>
    <phoneticPr fontId="5" type="noConversion"/>
  </si>
  <si>
    <t>숑숑돈까스</t>
    <phoneticPr fontId="5" type="noConversion"/>
  </si>
  <si>
    <t>나이키 축구공</t>
    <phoneticPr fontId="5" type="noConversion"/>
  </si>
  <si>
    <t>성동구민종합체육센터 주차장</t>
    <phoneticPr fontId="5" type="noConversion"/>
  </si>
  <si>
    <t>송정반점</t>
    <phoneticPr fontId="5" type="noConversion"/>
  </si>
  <si>
    <t>내린천휴게소</t>
    <phoneticPr fontId="5" type="noConversion"/>
  </si>
  <si>
    <t>코끼리만두분식</t>
    <phoneticPr fontId="5" type="noConversion"/>
  </si>
  <si>
    <t>한화리조트</t>
    <phoneticPr fontId="5" type="noConversion"/>
  </si>
  <si>
    <t>최우석 (101)
양승욱 (104)
이호준 (100)</t>
    <phoneticPr fontId="5" type="noConversion"/>
  </si>
  <si>
    <t>사당1호 공영주차장</t>
    <phoneticPr fontId="5" type="noConversion"/>
  </si>
  <si>
    <t>이곱착한고기</t>
    <phoneticPr fontId="5" type="noConversion"/>
  </si>
  <si>
    <t>생신용돈(장인어른)</t>
    <phoneticPr fontId="5" type="noConversion"/>
  </si>
  <si>
    <t>한강크루즈</t>
    <phoneticPr fontId="5" type="noConversion"/>
  </si>
  <si>
    <t>필로스</t>
    <phoneticPr fontId="5" type="noConversion"/>
  </si>
  <si>
    <t>연도</t>
    <phoneticPr fontId="5" type="noConversion"/>
  </si>
  <si>
    <t>나이스파크사당역</t>
    <phoneticPr fontId="5" type="noConversion"/>
  </si>
  <si>
    <t>이호준 (100)
김동환 (90)
김군일 (97)</t>
    <phoneticPr fontId="5" type="noConversion"/>
  </si>
  <si>
    <t>자동차재산세(K5)</t>
    <phoneticPr fontId="5" type="noConversion"/>
  </si>
  <si>
    <t>자동차재산세(그랜저)</t>
    <phoneticPr fontId="5" type="noConversion"/>
  </si>
  <si>
    <t>현대건설주차장</t>
    <phoneticPr fontId="5" type="noConversion"/>
  </si>
  <si>
    <t>현대백화점주차장</t>
    <phoneticPr fontId="5" type="noConversion"/>
  </si>
  <si>
    <t>포레스트아웃팅스</t>
    <phoneticPr fontId="5" type="noConversion"/>
  </si>
  <si>
    <t>반포쇼핑타운3동주차장</t>
    <phoneticPr fontId="5" type="noConversion"/>
  </si>
  <si>
    <t>크리스마스소품</t>
    <phoneticPr fontId="5" type="noConversion"/>
  </si>
  <si>
    <t>자동차보험(그랜저)</t>
    <phoneticPr fontId="5" type="noConversion"/>
  </si>
  <si>
    <t>쿠팡(스노우패치)</t>
    <phoneticPr fontId="5" type="noConversion"/>
  </si>
  <si>
    <t>JM</t>
    <phoneticPr fontId="5" type="noConversion"/>
  </si>
  <si>
    <t>BSJ</t>
    <phoneticPr fontId="5" type="noConversion"/>
  </si>
  <si>
    <t>송구영신감사헌금</t>
    <phoneticPr fontId="5" type="noConversion"/>
  </si>
  <si>
    <t>만푸푸네르</t>
    <phoneticPr fontId="5" type="noConversion"/>
  </si>
  <si>
    <t>KTX(본가)</t>
    <phoneticPr fontId="5" type="noConversion"/>
  </si>
  <si>
    <t>밀양아리랑우주천문대</t>
    <phoneticPr fontId="5" type="noConversion"/>
  </si>
  <si>
    <t>아크로리버하임 취득세</t>
    <phoneticPr fontId="5" type="noConversion"/>
  </si>
  <si>
    <t>새옹지마찜</t>
    <phoneticPr fontId="5" type="noConversion"/>
  </si>
  <si>
    <t>오현숙산시브르</t>
    <phoneticPr fontId="5" type="noConversion"/>
  </si>
  <si>
    <t>갤러리아포레주차장</t>
    <phoneticPr fontId="5" type="noConversion"/>
  </si>
  <si>
    <t>장례식(박상진)</t>
    <phoneticPr fontId="5" type="noConversion"/>
  </si>
  <si>
    <r>
      <rPr>
        <sz val="10"/>
        <color theme="1"/>
        <rFont val="맑은 고딕"/>
        <family val="3"/>
        <charset val="129"/>
      </rPr>
      <t>세탁</t>
    </r>
    <r>
      <rPr>
        <sz val="10"/>
        <color theme="1"/>
        <rFont val="Arial"/>
        <family val="2"/>
      </rPr>
      <t>/</t>
    </r>
    <r>
      <rPr>
        <sz val="10"/>
        <color theme="1"/>
        <rFont val="맑은 고딕"/>
        <family val="3"/>
        <charset val="129"/>
      </rPr>
      <t>수선</t>
    </r>
    <r>
      <rPr>
        <sz val="10"/>
        <color theme="1"/>
        <rFont val="Arial"/>
        <family val="2"/>
      </rPr>
      <t>/</t>
    </r>
    <r>
      <rPr>
        <sz val="10"/>
        <color theme="1"/>
        <rFont val="맑은 고딕"/>
        <family val="3"/>
        <charset val="129"/>
      </rPr>
      <t>시계수리</t>
    </r>
    <phoneticPr fontId="5" type="noConversion"/>
  </si>
  <si>
    <t>팬텀(예거르쿨트르)</t>
    <phoneticPr fontId="5" type="noConversion"/>
  </si>
  <si>
    <t>장수탕선녀님</t>
    <phoneticPr fontId="5" type="noConversion"/>
  </si>
  <si>
    <t>송사부수제쌀고로케</t>
    <phoneticPr fontId="5" type="noConversion"/>
  </si>
  <si>
    <t>신세계백화점주차장</t>
    <phoneticPr fontId="5" type="noConversion"/>
  </si>
  <si>
    <t>타임옴므</t>
    <phoneticPr fontId="5" type="noConversion"/>
  </si>
  <si>
    <t>S-OIL</t>
    <phoneticPr fontId="5" type="noConversion"/>
  </si>
  <si>
    <t>D1</t>
    <phoneticPr fontId="5" type="noConversion"/>
  </si>
  <si>
    <t>A4</t>
    <phoneticPr fontId="5" type="noConversion"/>
  </si>
  <si>
    <t>SJ</t>
    <phoneticPr fontId="5" type="noConversion"/>
  </si>
  <si>
    <t>LFmall(질스튜어트뉴욕)</t>
    <phoneticPr fontId="5" type="noConversion"/>
  </si>
  <si>
    <t>바삭하게</t>
    <phoneticPr fontId="5" type="noConversion"/>
  </si>
  <si>
    <t>특별용돈(어머니)</t>
    <phoneticPr fontId="5" type="noConversion"/>
  </si>
  <si>
    <t>여의도한강공원눈썰매장</t>
    <phoneticPr fontId="5" type="noConversion"/>
  </si>
  <si>
    <t>모임회비(룸비니)</t>
    <phoneticPr fontId="5" type="noConversion"/>
  </si>
  <si>
    <t>현대백화점</t>
    <phoneticPr fontId="5" type="noConversion"/>
  </si>
  <si>
    <t>현대백화점(디올)(양지현)</t>
    <phoneticPr fontId="5" type="noConversion"/>
  </si>
  <si>
    <t>현대백화점(강지완)</t>
    <phoneticPr fontId="5" type="noConversion"/>
  </si>
  <si>
    <t>두물머리</t>
    <phoneticPr fontId="5" type="noConversion"/>
  </si>
  <si>
    <t>두물머리주차장</t>
    <phoneticPr fontId="5" type="noConversion"/>
  </si>
  <si>
    <t>황태마을</t>
    <phoneticPr fontId="5" type="noConversion"/>
  </si>
  <si>
    <t>감탄계</t>
    <phoneticPr fontId="5" type="noConversion"/>
  </si>
  <si>
    <t>블루헤런</t>
    <phoneticPr fontId="5" type="noConversion"/>
  </si>
  <si>
    <t>EAST - WEST</t>
    <phoneticPr fontId="5" type="noConversion"/>
  </si>
  <si>
    <t>쿠팡(버즈케이스)(양지현)</t>
    <phoneticPr fontId="5" type="noConversion"/>
  </si>
  <si>
    <t>성과급</t>
    <phoneticPr fontId="5" type="noConversion"/>
  </si>
  <si>
    <t>연결</t>
    <phoneticPr fontId="5" type="noConversion"/>
  </si>
  <si>
    <t>매출액</t>
    <phoneticPr fontId="5" type="noConversion"/>
  </si>
  <si>
    <t>영업이익</t>
    <phoneticPr fontId="5" type="noConversion"/>
  </si>
  <si>
    <t>별도</t>
    <phoneticPr fontId="5" type="noConversion"/>
  </si>
  <si>
    <t>영업이익률</t>
    <phoneticPr fontId="5" type="noConversion"/>
  </si>
  <si>
    <t>토목</t>
    <phoneticPr fontId="5" type="noConversion"/>
  </si>
  <si>
    <t>건축</t>
    <phoneticPr fontId="5" type="noConversion"/>
  </si>
  <si>
    <t>플랜트</t>
    <phoneticPr fontId="5" type="noConversion"/>
  </si>
  <si>
    <t>지원</t>
    <phoneticPr fontId="5" type="noConversion"/>
  </si>
  <si>
    <t>생신용돈(아버지)</t>
    <phoneticPr fontId="5" type="noConversion"/>
  </si>
  <si>
    <t>2층은약국</t>
    <phoneticPr fontId="5" type="noConversion"/>
  </si>
  <si>
    <t>가츠오</t>
    <phoneticPr fontId="5" type="noConversion"/>
  </si>
  <si>
    <t>뚜레쥬르</t>
    <phoneticPr fontId="5" type="noConversion"/>
  </si>
  <si>
    <t>하이보</t>
    <phoneticPr fontId="5" type="noConversion"/>
  </si>
  <si>
    <t>고속버스터미널주차장</t>
    <phoneticPr fontId="5" type="noConversion"/>
  </si>
  <si>
    <t>라면땡기는날</t>
    <phoneticPr fontId="5" type="noConversion"/>
  </si>
  <si>
    <t>국립현대미술관주차장</t>
    <phoneticPr fontId="5" type="noConversion"/>
  </si>
  <si>
    <t>라메</t>
    <phoneticPr fontId="5" type="noConversion"/>
  </si>
  <si>
    <t>산업안전기사</t>
    <phoneticPr fontId="5" type="noConversion"/>
  </si>
  <si>
    <t>G1(B)</t>
    <phoneticPr fontId="5" type="noConversion"/>
  </si>
  <si>
    <t>G2(B)</t>
    <phoneticPr fontId="5" type="noConversion"/>
  </si>
  <si>
    <t>G3(B)</t>
    <phoneticPr fontId="5" type="noConversion"/>
  </si>
  <si>
    <t>장기근속</t>
    <phoneticPr fontId="5" type="noConversion"/>
  </si>
  <si>
    <t>장기근속휴가비</t>
    <phoneticPr fontId="5" type="noConversion"/>
  </si>
  <si>
    <t>장기근속과세지원</t>
    <phoneticPr fontId="5" type="noConversion"/>
  </si>
  <si>
    <t>장기근속공제</t>
    <phoneticPr fontId="5" type="noConversion"/>
  </si>
  <si>
    <t>SSG.COM(나이키)</t>
    <phoneticPr fontId="5" type="noConversion"/>
  </si>
  <si>
    <t>쿠팡</t>
    <phoneticPr fontId="5" type="noConversion"/>
  </si>
  <si>
    <t>나인식양평해장국</t>
    <phoneticPr fontId="5" type="noConversion"/>
  </si>
  <si>
    <t>돌멩이캠핑바베큐</t>
    <phoneticPr fontId="5" type="noConversion"/>
  </si>
  <si>
    <t>BB</t>
    <phoneticPr fontId="5" type="noConversion"/>
  </si>
  <si>
    <t>SA</t>
    <phoneticPr fontId="5" type="noConversion"/>
  </si>
  <si>
    <t>2030 TOTAL</t>
    <phoneticPr fontId="5" type="noConversion"/>
  </si>
  <si>
    <t>2029 TOTAL</t>
    <phoneticPr fontId="5" type="noConversion"/>
  </si>
  <si>
    <t>2034 TOTAL</t>
    <phoneticPr fontId="5" type="noConversion"/>
  </si>
  <si>
    <t>2033 TOTAL</t>
    <phoneticPr fontId="5" type="noConversion"/>
  </si>
  <si>
    <t>2032 TOTAL</t>
    <phoneticPr fontId="5" type="noConversion"/>
  </si>
  <si>
    <t>2031 TOTAL</t>
    <phoneticPr fontId="5" type="noConversion"/>
  </si>
  <si>
    <t>Actual</t>
    <phoneticPr fontId="5" type="noConversion"/>
  </si>
  <si>
    <t>Expected</t>
    <phoneticPr fontId="5" type="noConversion"/>
  </si>
  <si>
    <t>공돈</t>
    <phoneticPr fontId="5" type="noConversion"/>
  </si>
  <si>
    <t>명절선물(시가/처가)</t>
    <phoneticPr fontId="5" type="noConversion"/>
  </si>
  <si>
    <t>티몬(에버랜드)</t>
    <phoneticPr fontId="5" type="noConversion"/>
  </si>
  <si>
    <t>용산역</t>
    <phoneticPr fontId="5" type="noConversion"/>
  </si>
  <si>
    <t>생일선물(양지현)</t>
    <phoneticPr fontId="5" type="noConversion"/>
  </si>
  <si>
    <t>쿠팡(SRB)</t>
    <phoneticPr fontId="5" type="noConversion"/>
  </si>
  <si>
    <t>명륜진사갈비</t>
    <phoneticPr fontId="5" type="noConversion"/>
  </si>
  <si>
    <t>밀피유</t>
    <phoneticPr fontId="5" type="noConversion"/>
  </si>
  <si>
    <t>CA정문약국</t>
    <phoneticPr fontId="5" type="noConversion"/>
  </si>
  <si>
    <t>여의도한강공원주차장</t>
    <phoneticPr fontId="5" type="noConversion"/>
  </si>
  <si>
    <t>명절용돈(처가)</t>
    <phoneticPr fontId="5" type="noConversion"/>
  </si>
  <si>
    <t>인천공항고속도로</t>
    <phoneticPr fontId="5" type="noConversion"/>
  </si>
  <si>
    <t>신세계인터넷면세점</t>
    <phoneticPr fontId="5" type="noConversion"/>
  </si>
  <si>
    <t>연말정산환급금</t>
    <phoneticPr fontId="5" type="noConversion"/>
  </si>
  <si>
    <t>최우석 (105)
이상협 (107)
이호준 (113)</t>
    <phoneticPr fontId="5" type="noConversion"/>
  </si>
  <si>
    <t>PMP 자격갱신비용</t>
    <phoneticPr fontId="5" type="noConversion"/>
  </si>
  <si>
    <r>
      <t xml:space="preserve">PMP </t>
    </r>
    <r>
      <rPr>
        <sz val="10"/>
        <color theme="1"/>
        <rFont val="맑은 고딕"/>
        <family val="3"/>
        <charset val="129"/>
      </rPr>
      <t>자격갱신비용</t>
    </r>
    <phoneticPr fontId="5" type="noConversion"/>
  </si>
  <si>
    <t>건설기술인협회 연회비</t>
    <phoneticPr fontId="5" type="noConversion"/>
  </si>
  <si>
    <t>규돈향</t>
    <phoneticPr fontId="5" type="noConversion"/>
  </si>
  <si>
    <t>대우디오슈페리움</t>
    <phoneticPr fontId="5" type="noConversion"/>
  </si>
  <si>
    <t>더볼룸(강지완)</t>
    <phoneticPr fontId="5" type="noConversion"/>
  </si>
  <si>
    <t>화해(알로즈)</t>
    <phoneticPr fontId="5" type="noConversion"/>
  </si>
  <si>
    <t>카페얼티밋(양지현)</t>
    <phoneticPr fontId="5" type="noConversion"/>
  </si>
  <si>
    <t>카페얼티밋(강지완)</t>
    <phoneticPr fontId="5" type="noConversion"/>
  </si>
  <si>
    <t>키랩보드게임카페</t>
    <phoneticPr fontId="5" type="noConversion"/>
  </si>
  <si>
    <t>맘스터치</t>
    <phoneticPr fontId="5" type="noConversion"/>
  </si>
  <si>
    <t>MBC(주차)</t>
    <phoneticPr fontId="5" type="noConversion"/>
  </si>
  <si>
    <t>에버랜드</t>
    <phoneticPr fontId="5" type="noConversion"/>
  </si>
  <si>
    <t>에버랜드(주차)</t>
    <phoneticPr fontId="5" type="noConversion"/>
  </si>
  <si>
    <t>돈까스잔치</t>
    <phoneticPr fontId="5" type="noConversion"/>
  </si>
  <si>
    <t>알라보</t>
    <phoneticPr fontId="5" type="noConversion"/>
  </si>
  <si>
    <t>황새골</t>
    <phoneticPr fontId="5" type="noConversion"/>
  </si>
  <si>
    <t>중동떡집</t>
    <phoneticPr fontId="5" type="noConversion"/>
  </si>
  <si>
    <t>무광오피스(주차)</t>
    <phoneticPr fontId="5" type="noConversion"/>
  </si>
  <si>
    <t>쿠팡(키친타월)</t>
    <phoneticPr fontId="5" type="noConversion"/>
  </si>
  <si>
    <t>2022-10</t>
  </si>
  <si>
    <t>2022-11</t>
  </si>
  <si>
    <t>2023-01</t>
    <phoneticPr fontId="5" type="noConversion"/>
  </si>
  <si>
    <t>2022-01</t>
    <phoneticPr fontId="5" type="noConversion"/>
  </si>
  <si>
    <t>2022-02</t>
  </si>
  <si>
    <t>2022-03</t>
  </si>
  <si>
    <t>2022-04</t>
  </si>
  <si>
    <t>2022-05</t>
  </si>
  <si>
    <t>2022-06</t>
  </si>
  <si>
    <t>2022-07</t>
  </si>
  <si>
    <t>2022-08</t>
  </si>
  <si>
    <t>2022-09</t>
  </si>
  <si>
    <t>2023-02</t>
  </si>
  <si>
    <t>2023-03</t>
  </si>
  <si>
    <t>2023-04</t>
  </si>
  <si>
    <t>2023-05</t>
  </si>
  <si>
    <t>2023-06</t>
  </si>
  <si>
    <t>2023-07</t>
  </si>
  <si>
    <t>2023-08</t>
  </si>
  <si>
    <t>2023-09</t>
  </si>
  <si>
    <t>2023-10</t>
  </si>
  <si>
    <t>2024-01</t>
    <phoneticPr fontId="5" type="noConversion"/>
  </si>
  <si>
    <t>Season</t>
    <phoneticPr fontId="5" type="noConversion"/>
  </si>
  <si>
    <t>Golf Course</t>
    <phoneticPr fontId="5" type="noConversion"/>
  </si>
  <si>
    <t>Shot</t>
    <phoneticPr fontId="5" type="noConversion"/>
  </si>
  <si>
    <t>Golf Club</t>
    <phoneticPr fontId="5" type="noConversion"/>
  </si>
  <si>
    <t>레이크 Out - 레이크 In</t>
  </si>
  <si>
    <t>별님 - 해님</t>
  </si>
  <si>
    <t>마루 - 누리</t>
  </si>
  <si>
    <t>동 - 서</t>
  </si>
  <si>
    <t>황학 - 세종</t>
  </si>
  <si>
    <t>USA - AUS</t>
  </si>
  <si>
    <t>타이탄 - 마이다스</t>
  </si>
  <si>
    <t>Challenge - Victory</t>
  </si>
  <si>
    <t>여강 - 황학</t>
  </si>
  <si>
    <t>브리즈 - 선샤인</t>
  </si>
  <si>
    <t>레이크 - 마운틴</t>
  </si>
  <si>
    <t>밸리 (2/3/5 → 마운틴 1/2/9) - 레이크</t>
  </si>
  <si>
    <t>밸리 - 레이크</t>
  </si>
  <si>
    <t>누리 - 가람</t>
  </si>
  <si>
    <t>Out - In</t>
  </si>
  <si>
    <t>레이크 - 실크</t>
  </si>
  <si>
    <t>G - HUE</t>
  </si>
  <si>
    <t>EAST - WEST</t>
  </si>
  <si>
    <t>Year</t>
    <phoneticPr fontId="5" type="noConversion"/>
  </si>
  <si>
    <t>Avg. Shot</t>
    <phoneticPr fontId="5" type="noConversion"/>
  </si>
  <si>
    <t>Avg. Score</t>
    <phoneticPr fontId="5" type="noConversion"/>
  </si>
  <si>
    <t>SMA</t>
    <phoneticPr fontId="5" type="noConversion"/>
  </si>
  <si>
    <t>SM</t>
    <phoneticPr fontId="5" type="noConversion"/>
  </si>
  <si>
    <t>캠핑고양이</t>
    <phoneticPr fontId="5" type="noConversion"/>
  </si>
  <si>
    <t>전쟁기념관</t>
    <phoneticPr fontId="5" type="noConversion"/>
  </si>
  <si>
    <t>생신용돈(장모님)</t>
    <phoneticPr fontId="5" type="noConversion"/>
  </si>
  <si>
    <t>DB손해보험</t>
    <phoneticPr fontId="5" type="noConversion"/>
  </si>
  <si>
    <t>1974비래옥</t>
    <phoneticPr fontId="5" type="noConversion"/>
  </si>
  <si>
    <t>소하공영주차장</t>
    <phoneticPr fontId="5" type="noConversion"/>
  </si>
  <si>
    <t>이마트24</t>
    <phoneticPr fontId="5" type="noConversion"/>
  </si>
  <si>
    <t>2024-02</t>
    <phoneticPr fontId="5" type="noConversion"/>
  </si>
  <si>
    <t>실크 - 밸리</t>
    <phoneticPr fontId="5" type="noConversion"/>
  </si>
  <si>
    <t>쿠팡(골프장갑 - 지현 회사)</t>
    <phoneticPr fontId="5" type="noConversion"/>
  </si>
  <si>
    <t>보험지급금 저축 (DB손해보험)</t>
    <phoneticPr fontId="5" type="noConversion"/>
  </si>
  <si>
    <t>BBQ</t>
    <phoneticPr fontId="5" type="noConversion"/>
  </si>
  <si>
    <t>마마된장</t>
    <phoneticPr fontId="5" type="noConversion"/>
  </si>
  <si>
    <t>태광</t>
    <phoneticPr fontId="5" type="noConversion"/>
  </si>
  <si>
    <t>KTX (전주-서울) (장인어른)</t>
    <phoneticPr fontId="5" type="noConversion"/>
  </si>
  <si>
    <t>국민수육국밥</t>
    <phoneticPr fontId="5" type="noConversion"/>
  </si>
  <si>
    <t>할리스커피</t>
    <phoneticPr fontId="5" type="noConversion"/>
  </si>
  <si>
    <t>라고바움</t>
    <phoneticPr fontId="5" type="noConversion"/>
  </si>
  <si>
    <t>결혼식(김기락)</t>
    <phoneticPr fontId="5" type="noConversion"/>
  </si>
  <si>
    <t>소마사고력수학학원(강지완)</t>
    <phoneticPr fontId="5" type="noConversion"/>
  </si>
  <si>
    <t>장례식(유병찬)</t>
    <phoneticPr fontId="5" type="noConversion"/>
  </si>
  <si>
    <t>장례식(최종현)</t>
    <phoneticPr fontId="5" type="noConversion"/>
  </si>
  <si>
    <t>2024-03</t>
    <phoneticPr fontId="5" type="noConversion"/>
  </si>
  <si>
    <t>이무형 (100)
홍지수 (109)
서수빈 (99)</t>
    <phoneticPr fontId="5" type="noConversion"/>
  </si>
  <si>
    <r>
      <rPr>
        <b/>
        <sz val="10"/>
        <color theme="1"/>
        <rFont val="맑은 고딕"/>
        <family val="3"/>
        <charset val="129"/>
      </rPr>
      <t>교육</t>
    </r>
    <r>
      <rPr>
        <b/>
        <sz val="10"/>
        <color theme="1"/>
        <rFont val="Arial"/>
        <family val="2"/>
      </rPr>
      <t xml:space="preserve"> (</t>
    </r>
    <r>
      <rPr>
        <b/>
        <sz val="10"/>
        <color theme="1"/>
        <rFont val="맑은 고딕"/>
        <family val="3"/>
        <charset val="129"/>
      </rPr>
      <t>강지완</t>
    </r>
    <r>
      <rPr>
        <b/>
        <sz val="10"/>
        <color theme="1"/>
        <rFont val="Arial"/>
        <family val="2"/>
      </rPr>
      <t>)</t>
    </r>
    <phoneticPr fontId="5" type="noConversion"/>
  </si>
  <si>
    <r>
      <rPr>
        <b/>
        <sz val="10"/>
        <color theme="1"/>
        <rFont val="맑은 고딕"/>
        <family val="3"/>
        <charset val="129"/>
      </rPr>
      <t>교육</t>
    </r>
    <r>
      <rPr>
        <b/>
        <sz val="10"/>
        <color theme="1"/>
        <rFont val="Arial"/>
        <family val="2"/>
      </rPr>
      <t xml:space="preserve"> (</t>
    </r>
    <r>
      <rPr>
        <b/>
        <sz val="10"/>
        <color theme="1"/>
        <rFont val="맑은 고딕"/>
        <family val="3"/>
        <charset val="129"/>
      </rPr>
      <t>기타</t>
    </r>
    <r>
      <rPr>
        <b/>
        <sz val="10"/>
        <color theme="1"/>
        <rFont val="Arial"/>
        <family val="2"/>
      </rPr>
      <t>)</t>
    </r>
    <phoneticPr fontId="5" type="noConversion"/>
  </si>
  <si>
    <t>서 - 남</t>
    <phoneticPr fontId="5" type="noConversion"/>
  </si>
  <si>
    <t>안철호 (101)
안상훈 (99)
정유훈 (109)</t>
    <phoneticPr fontId="5" type="noConversion"/>
  </si>
  <si>
    <t>2024-04</t>
    <phoneticPr fontId="5" type="noConversion"/>
  </si>
  <si>
    <t>연세어린이사랑치과의원</t>
    <phoneticPr fontId="5" type="noConversion"/>
  </si>
  <si>
    <t>런드리고</t>
    <phoneticPr fontId="5" type="noConversion"/>
  </si>
  <si>
    <t>결혼식(김범윤)</t>
    <phoneticPr fontId="5" type="noConversion"/>
  </si>
  <si>
    <t>교보문고(강지완)</t>
    <phoneticPr fontId="5" type="noConversion"/>
  </si>
  <si>
    <t>토예랑</t>
    <phoneticPr fontId="5" type="noConversion"/>
  </si>
  <si>
    <t>백운보트장</t>
    <phoneticPr fontId="5" type="noConversion"/>
  </si>
  <si>
    <t>백온호수주차장</t>
    <phoneticPr fontId="5" type="noConversion"/>
  </si>
  <si>
    <t>신라스테이역삼(부모님)</t>
    <phoneticPr fontId="5" type="noConversion"/>
  </si>
  <si>
    <t>쿠팡(그린세라)(양지현)</t>
    <phoneticPr fontId="5" type="noConversion"/>
  </si>
  <si>
    <t>'21년 7월</t>
  </si>
  <si>
    <t>구내식당 45,000</t>
  </si>
  <si>
    <t>6월 출장비 십일조 14,000 포함</t>
  </si>
  <si>
    <t>TV/인터넷(42,900)+휴대폰(69,000+56,650)+정수기(26,010)+통행료(800)</t>
  </si>
  <si>
    <t>100만원 Keep</t>
  </si>
  <si>
    <t>'21년 8월</t>
  </si>
  <si>
    <t>구내식당 37,500</t>
  </si>
  <si>
    <t>7월 6,410 납입 완료</t>
  </si>
  <si>
    <t>마일리지사용 1,200</t>
  </si>
  <si>
    <t>'21년 9월</t>
  </si>
  <si>
    <t>구내식당 12,000</t>
  </si>
  <si>
    <t>'21년 10월</t>
  </si>
  <si>
    <t>구내식당 64,500</t>
  </si>
  <si>
    <t>'21년 11월</t>
  </si>
  <si>
    <t>구내식당 60,000</t>
  </si>
  <si>
    <t>'21년 12월</t>
  </si>
  <si>
    <t>구내식당 69,000</t>
  </si>
  <si>
    <t>'22년 1월</t>
  </si>
  <si>
    <t>구내식당 55,500 골프장갑 25,800</t>
  </si>
  <si>
    <t>'22년 2월</t>
  </si>
  <si>
    <t>구내식당 57,000</t>
  </si>
  <si>
    <t>'22년 3월</t>
  </si>
  <si>
    <t>구내식당 70,500</t>
  </si>
  <si>
    <t>'22년 4월</t>
  </si>
  <si>
    <t>구내식당 39,000</t>
  </si>
  <si>
    <t>'22년 5월</t>
  </si>
  <si>
    <t>구내식당 66,000 + 씨스페이스 27,600</t>
  </si>
  <si>
    <t>'22년 6월</t>
  </si>
  <si>
    <t>구내식당 81,000</t>
  </si>
  <si>
    <t>'22년 7월</t>
  </si>
  <si>
    <t>구내식당 86,500</t>
  </si>
  <si>
    <t>마일리지 850 사용</t>
  </si>
  <si>
    <t>'22년 8월</t>
  </si>
  <si>
    <t>구내식당 137,500</t>
  </si>
  <si>
    <t>'22년 9월</t>
  </si>
  <si>
    <t>마일리지 1200 사용</t>
  </si>
  <si>
    <t>'22년 10월</t>
  </si>
  <si>
    <t>구내식당 83,000</t>
  </si>
  <si>
    <t>'22년 11월</t>
  </si>
  <si>
    <t>구내식당 18,000</t>
  </si>
  <si>
    <t>'22년 12월</t>
  </si>
  <si>
    <t>구내식당 73,000</t>
  </si>
  <si>
    <t>'23년 01월</t>
    <phoneticPr fontId="5" type="noConversion"/>
  </si>
  <si>
    <t>구내식당 90,500</t>
    <phoneticPr fontId="5" type="noConversion"/>
  </si>
  <si>
    <t>'23년 02월</t>
    <phoneticPr fontId="5" type="noConversion"/>
  </si>
  <si>
    <t>구내식당 86,500</t>
    <phoneticPr fontId="5" type="noConversion"/>
  </si>
  <si>
    <t>'23년 03월</t>
    <phoneticPr fontId="5" type="noConversion"/>
  </si>
  <si>
    <t>구내식당 110,500 + 노우즈 13,200</t>
    <phoneticPr fontId="5" type="noConversion"/>
  </si>
  <si>
    <t>'23년 04월</t>
    <phoneticPr fontId="5" type="noConversion"/>
  </si>
  <si>
    <t>구내식당 7,000</t>
    <phoneticPr fontId="5" type="noConversion"/>
  </si>
  <si>
    <t>'23년 05월</t>
    <phoneticPr fontId="5" type="noConversion"/>
  </si>
  <si>
    <t>구내식당 89,500</t>
    <phoneticPr fontId="5" type="noConversion"/>
  </si>
  <si>
    <t>태준암(KB)</t>
    <phoneticPr fontId="5" type="noConversion"/>
  </si>
  <si>
    <r>
      <rPr>
        <sz val="10"/>
        <color theme="1"/>
        <rFont val="현대하모니 L"/>
        <family val="1"/>
        <charset val="129"/>
      </rPr>
      <t>자동차취등록세 환급 400,410</t>
    </r>
    <phoneticPr fontId="5" type="noConversion"/>
  </si>
  <si>
    <t>자동차세 (K5)</t>
    <phoneticPr fontId="5" type="noConversion"/>
  </si>
  <si>
    <t>자동차세 (그랜저)</t>
    <phoneticPr fontId="5" type="noConversion"/>
  </si>
  <si>
    <t>'23년 06월</t>
    <phoneticPr fontId="5" type="noConversion"/>
  </si>
  <si>
    <t>구내식당 50,000 + 시내대중교통 신용카드 사용분 45,770 소급 ('22년 1월 ~ '23년 6월)</t>
    <phoneticPr fontId="5" type="noConversion"/>
  </si>
  <si>
    <t>'23년 07월</t>
    <phoneticPr fontId="5" type="noConversion"/>
  </si>
  <si>
    <t>구내식당 36,000 + 대중교통 2160</t>
    <phoneticPr fontId="5" type="noConversion"/>
  </si>
  <si>
    <t>통행료(지현) 900 + 대중교통(태준) 2160</t>
    <phoneticPr fontId="5" type="noConversion"/>
  </si>
  <si>
    <t>'23년 08월</t>
    <phoneticPr fontId="5" type="noConversion"/>
  </si>
  <si>
    <t>구내식당 49,000</t>
    <phoneticPr fontId="5" type="noConversion"/>
  </si>
  <si>
    <t>마일리지사용 850</t>
    <phoneticPr fontId="5" type="noConversion"/>
  </si>
  <si>
    <t>'23년 09월</t>
    <phoneticPr fontId="5" type="noConversion"/>
  </si>
  <si>
    <t>구내식당 56,000</t>
    <phoneticPr fontId="5" type="noConversion"/>
  </si>
  <si>
    <t>'23년 10월</t>
    <phoneticPr fontId="5" type="noConversion"/>
  </si>
  <si>
    <t>구내식당 14,000</t>
    <phoneticPr fontId="5" type="noConversion"/>
  </si>
  <si>
    <t>'23년 11월</t>
    <phoneticPr fontId="5" type="noConversion"/>
  </si>
  <si>
    <t>구내식당 42,000</t>
    <phoneticPr fontId="5" type="noConversion"/>
  </si>
  <si>
    <t>'23년 12월</t>
    <phoneticPr fontId="5" type="noConversion"/>
  </si>
  <si>
    <t>구내식당 35,000</t>
    <phoneticPr fontId="5" type="noConversion"/>
  </si>
  <si>
    <t>'24년 01월</t>
    <phoneticPr fontId="5" type="noConversion"/>
  </si>
  <si>
    <t>'24년 02월</t>
    <phoneticPr fontId="5" type="noConversion"/>
  </si>
  <si>
    <t>구내식당 28,000</t>
    <phoneticPr fontId="5" type="noConversion"/>
  </si>
  <si>
    <t>'24년 03월</t>
    <phoneticPr fontId="5" type="noConversion"/>
  </si>
  <si>
    <t>1교구90</t>
    <phoneticPr fontId="5" type="noConversion"/>
  </si>
  <si>
    <t>HERR(주차)</t>
    <phoneticPr fontId="5" type="noConversion"/>
  </si>
  <si>
    <t>롯데월드타워(주차)</t>
    <phoneticPr fontId="5" type="noConversion"/>
  </si>
  <si>
    <t>JBOUT COFFEE</t>
    <phoneticPr fontId="5" type="noConversion"/>
  </si>
  <si>
    <t>안동장</t>
    <phoneticPr fontId="5" type="noConversion"/>
  </si>
  <si>
    <t>올리브데올리브</t>
    <phoneticPr fontId="5" type="noConversion"/>
  </si>
  <si>
    <t>'24년 04월</t>
    <phoneticPr fontId="5" type="noConversion"/>
  </si>
  <si>
    <t>구내식당 32,000</t>
    <phoneticPr fontId="5" type="noConversion"/>
  </si>
  <si>
    <t>결혼식(이예진)</t>
    <phoneticPr fontId="5" type="noConversion"/>
  </si>
  <si>
    <t>광주휴게소</t>
    <phoneticPr fontId="5" type="noConversion"/>
  </si>
  <si>
    <t>농협주유소</t>
    <phoneticPr fontId="5" type="noConversion"/>
  </si>
  <si>
    <t>토끼의숲</t>
    <phoneticPr fontId="5" type="noConversion"/>
  </si>
  <si>
    <t>한촌설렁탕</t>
    <phoneticPr fontId="5" type="noConversion"/>
  </si>
  <si>
    <t>알펜시아리조트</t>
    <phoneticPr fontId="5" type="noConversion"/>
  </si>
  <si>
    <t>여주프리미엄아울렛</t>
    <phoneticPr fontId="5" type="noConversion"/>
  </si>
  <si>
    <t>버스(서울-창원)</t>
    <phoneticPr fontId="5" type="noConversion"/>
  </si>
  <si>
    <t>SPA 응시료</t>
    <phoneticPr fontId="5" type="noConversion"/>
  </si>
  <si>
    <t>KTX(창원-서울)</t>
    <phoneticPr fontId="5" type="noConversion"/>
  </si>
  <si>
    <t>어버이날(시가)</t>
    <phoneticPr fontId="5" type="noConversion"/>
  </si>
  <si>
    <t>플로라(시가)</t>
    <phoneticPr fontId="5" type="noConversion"/>
  </si>
  <si>
    <t>백제계삼탕(시가)</t>
    <phoneticPr fontId="5" type="noConversion"/>
  </si>
  <si>
    <t>개성만두궁</t>
    <phoneticPr fontId="5" type="noConversion"/>
  </si>
  <si>
    <t>성지순례용돈(장모님)</t>
    <phoneticPr fontId="5" type="noConversion"/>
  </si>
  <si>
    <t>KTX(서울-부산)</t>
    <phoneticPr fontId="5" type="noConversion"/>
  </si>
  <si>
    <t>어버이날(처가)</t>
    <phoneticPr fontId="5" type="noConversion"/>
  </si>
  <si>
    <t>흑석메트로정형외과의원</t>
    <phoneticPr fontId="5" type="noConversion"/>
  </si>
  <si>
    <t>최우석 (104)
양승욱 (93)
이호준 (96)</t>
    <phoneticPr fontId="5" type="noConversion"/>
  </si>
  <si>
    <t>2024-06</t>
    <phoneticPr fontId="5" type="noConversion"/>
  </si>
  <si>
    <t>2024-07</t>
    <phoneticPr fontId="5" type="noConversion"/>
  </si>
  <si>
    <t>2024-08</t>
    <phoneticPr fontId="5" type="noConversion"/>
  </si>
  <si>
    <t>2024-09</t>
    <phoneticPr fontId="5" type="noConversion"/>
  </si>
  <si>
    <t>삼거리부대찌개</t>
    <phoneticPr fontId="5" type="noConversion"/>
  </si>
  <si>
    <t>뻥튀기</t>
    <phoneticPr fontId="5" type="noConversion"/>
  </si>
  <si>
    <t>LG서비스센터</t>
    <phoneticPr fontId="5" type="noConversion"/>
  </si>
  <si>
    <t>연세와이즈치과의원</t>
    <phoneticPr fontId="5" type="noConversion"/>
  </si>
  <si>
    <t>'24년 05월</t>
    <phoneticPr fontId="5" type="noConversion"/>
  </si>
  <si>
    <t>구내식당 36,000</t>
    <phoneticPr fontId="5" type="noConversion"/>
  </si>
  <si>
    <t>카봇(강지완)</t>
    <phoneticPr fontId="5" type="noConversion"/>
  </si>
  <si>
    <t>수목식당</t>
    <phoneticPr fontId="5" type="noConversion"/>
  </si>
  <si>
    <t>결혼식(정대욱)</t>
    <phoneticPr fontId="5" type="noConversion"/>
  </si>
  <si>
    <t>한주면옥</t>
    <phoneticPr fontId="5" type="noConversion"/>
  </si>
  <si>
    <t>켈리토스트</t>
    <phoneticPr fontId="5" type="noConversion"/>
  </si>
  <si>
    <t>플라이트럭</t>
    <phoneticPr fontId="5" type="noConversion"/>
  </si>
  <si>
    <t>포레스트청담</t>
    <phoneticPr fontId="5" type="noConversion"/>
  </si>
  <si>
    <t>돌하우스</t>
    <phoneticPr fontId="5" type="noConversion"/>
  </si>
  <si>
    <t>원유로스페셜티</t>
    <phoneticPr fontId="5" type="noConversion"/>
  </si>
  <si>
    <t>2022부산기념품10선협의회</t>
    <phoneticPr fontId="5" type="noConversion"/>
  </si>
  <si>
    <t>동백카츠</t>
    <phoneticPr fontId="5" type="noConversion"/>
  </si>
  <si>
    <t>배달의민족(본가)</t>
    <phoneticPr fontId="5" type="noConversion"/>
  </si>
  <si>
    <t>찬's컴퍼니</t>
    <phoneticPr fontId="5" type="noConversion"/>
  </si>
  <si>
    <t>태종대다누비열차</t>
    <phoneticPr fontId="5" type="noConversion"/>
  </si>
  <si>
    <t>쿠팡(방탄꼭지)</t>
    <phoneticPr fontId="5" type="noConversion"/>
  </si>
  <si>
    <t>자동차검사</t>
    <phoneticPr fontId="5" type="noConversion"/>
  </si>
  <si>
    <t>티몬(신신호텔)</t>
    <phoneticPr fontId="5" type="noConversion"/>
  </si>
  <si>
    <t>더힐피부과의원</t>
    <phoneticPr fontId="5" type="noConversion"/>
  </si>
  <si>
    <t>현주네김밥</t>
    <phoneticPr fontId="5" type="noConversion"/>
  </si>
  <si>
    <t>장성그랜드사우나</t>
    <phoneticPr fontId="5" type="noConversion"/>
  </si>
  <si>
    <t>현선이네</t>
    <phoneticPr fontId="5" type="noConversion"/>
  </si>
  <si>
    <t>한신메디피아</t>
    <phoneticPr fontId="5" type="noConversion"/>
  </si>
  <si>
    <t>달콤왕가탕후루</t>
    <phoneticPr fontId="5" type="noConversion"/>
  </si>
  <si>
    <t>가마치통닭</t>
    <phoneticPr fontId="5" type="noConversion"/>
  </si>
  <si>
    <t>양궈푸마라탕</t>
    <phoneticPr fontId="5" type="noConversion"/>
  </si>
  <si>
    <t>최우석 (99)
윤희수 (87)
양승욱 (87)</t>
    <phoneticPr fontId="5" type="noConversion"/>
  </si>
  <si>
    <t>'24년 06월</t>
    <phoneticPr fontId="5" type="noConversion"/>
  </si>
  <si>
    <t>제주공항(마그넷)</t>
  </si>
  <si>
    <t>제주공항(마그넷)</t>
    <phoneticPr fontId="5" type="noConversion"/>
  </si>
  <si>
    <t>세계자동차&amp;피아노 박물관</t>
  </si>
  <si>
    <t>세계자동차&amp;피아노 박물관</t>
    <phoneticPr fontId="5" type="noConversion"/>
  </si>
  <si>
    <t>해비치호텔앤드리조트</t>
  </si>
  <si>
    <t>해비치호텔앤드리조트</t>
    <phoneticPr fontId="5" type="noConversion"/>
  </si>
  <si>
    <t>해비치호텔앤드리조트 (이디)</t>
  </si>
  <si>
    <t>해비치호텔앤드리조트 (이디)</t>
    <phoneticPr fontId="5" type="noConversion"/>
  </si>
  <si>
    <t>제주닭집</t>
  </si>
  <si>
    <t>제주닭집</t>
    <phoneticPr fontId="5" type="noConversion"/>
  </si>
  <si>
    <t>서울앵무새</t>
  </si>
  <si>
    <t>서울앵무새</t>
    <phoneticPr fontId="5" type="noConversion"/>
  </si>
  <si>
    <t>포즐파크</t>
  </si>
  <si>
    <t>포즐파크</t>
    <phoneticPr fontId="5" type="noConversion"/>
  </si>
  <si>
    <t>흑돼지고을</t>
  </si>
  <si>
    <t>흑돼지고을</t>
    <phoneticPr fontId="5" type="noConversion"/>
  </si>
  <si>
    <t>김포공항</t>
  </si>
  <si>
    <t>김포공항</t>
    <phoneticPr fontId="5" type="noConversion"/>
  </si>
  <si>
    <t>신신호텔</t>
  </si>
  <si>
    <t>신신호텔</t>
    <phoneticPr fontId="5" type="noConversion"/>
  </si>
  <si>
    <t>돌담밥상</t>
    <phoneticPr fontId="5" type="noConversion"/>
  </si>
  <si>
    <t>다가미</t>
    <phoneticPr fontId="5" type="noConversion"/>
  </si>
  <si>
    <t>갤럭시 S24 5G</t>
    <phoneticPr fontId="5" type="noConversion"/>
  </si>
  <si>
    <t>나우데이터복구</t>
    <phoneticPr fontId="5" type="noConversion"/>
  </si>
  <si>
    <t>씨유(택배)</t>
    <phoneticPr fontId="5" type="noConversion"/>
  </si>
  <si>
    <t>더볼룸</t>
    <phoneticPr fontId="5" type="noConversion"/>
  </si>
  <si>
    <t>SOLAR - LUNAR</t>
    <phoneticPr fontId="5" type="noConversion"/>
  </si>
  <si>
    <t>양평TPC</t>
    <phoneticPr fontId="5" type="noConversion"/>
  </si>
  <si>
    <t>당근마켓(과학공룡)(강지완)</t>
    <phoneticPr fontId="5" type="noConversion"/>
  </si>
  <si>
    <t>한국관</t>
    <phoneticPr fontId="5" type="noConversion"/>
  </si>
  <si>
    <t>볼디스트</t>
    <phoneticPr fontId="5" type="noConversion"/>
  </si>
  <si>
    <t>가마솥흑염소</t>
    <phoneticPr fontId="5" type="noConversion"/>
  </si>
  <si>
    <t>종로떡집</t>
    <phoneticPr fontId="5" type="noConversion"/>
  </si>
  <si>
    <t>찐푸줏간</t>
    <phoneticPr fontId="5" type="noConversion"/>
  </si>
  <si>
    <t>아리하 재산세</t>
    <phoneticPr fontId="5" type="noConversion"/>
  </si>
  <si>
    <t>1Q</t>
    <phoneticPr fontId="5" type="noConversion"/>
  </si>
  <si>
    <t>2Q</t>
    <phoneticPr fontId="5" type="noConversion"/>
  </si>
  <si>
    <t>3Q</t>
    <phoneticPr fontId="5" type="noConversion"/>
  </si>
  <si>
    <t>4Q</t>
    <phoneticPr fontId="5" type="noConversion"/>
  </si>
  <si>
    <t>강지완</t>
    <phoneticPr fontId="5" type="noConversion"/>
  </si>
  <si>
    <t>막내</t>
    <phoneticPr fontId="5" type="noConversion"/>
  </si>
  <si>
    <t>출생</t>
    <phoneticPr fontId="5" type="noConversion"/>
  </si>
  <si>
    <t>팀장 임명 (희망사항)</t>
    <phoneticPr fontId="5" type="noConversion"/>
  </si>
  <si>
    <t>나이(연)</t>
    <phoneticPr fontId="5" type="noConversion"/>
  </si>
  <si>
    <t>수능</t>
    <phoneticPr fontId="5" type="noConversion"/>
  </si>
  <si>
    <t>임원 승진 (희망사항)</t>
    <phoneticPr fontId="5" type="noConversion"/>
  </si>
  <si>
    <t>G3 승급 (조기)</t>
    <phoneticPr fontId="5" type="noConversion"/>
  </si>
  <si>
    <t>G3 승급 (정규)</t>
    <phoneticPr fontId="5" type="noConversion"/>
  </si>
  <si>
    <t>중학교 배정 및 입학</t>
    <phoneticPr fontId="5" type="noConversion"/>
  </si>
  <si>
    <t>11월 중대부초 원서 접수 및 추첨</t>
    <phoneticPr fontId="5" type="noConversion"/>
  </si>
  <si>
    <t>대학교 입학</t>
    <phoneticPr fontId="5" type="noConversion"/>
  </si>
  <si>
    <t>고등학교 배정 및 입학</t>
    <phoneticPr fontId="5" type="noConversion"/>
  </si>
  <si>
    <t>12월 고등학교 원서 접수</t>
    <phoneticPr fontId="5" type="noConversion"/>
  </si>
  <si>
    <t>11월 중학교 원서 접수</t>
    <phoneticPr fontId="5" type="noConversion"/>
  </si>
  <si>
    <t>라이즈어학원 입학</t>
    <phoneticPr fontId="5" type="noConversion"/>
  </si>
  <si>
    <t>7 (초1)</t>
    <phoneticPr fontId="5" type="noConversion"/>
  </si>
  <si>
    <t>8 (초2)</t>
    <phoneticPr fontId="5" type="noConversion"/>
  </si>
  <si>
    <t>9 (초3)</t>
    <phoneticPr fontId="5" type="noConversion"/>
  </si>
  <si>
    <t>10 (초4)</t>
    <phoneticPr fontId="5" type="noConversion"/>
  </si>
  <si>
    <t>11 (초5)</t>
    <phoneticPr fontId="5" type="noConversion"/>
  </si>
  <si>
    <t>12 (초6)</t>
    <phoneticPr fontId="5" type="noConversion"/>
  </si>
  <si>
    <t>13 (중1)</t>
    <phoneticPr fontId="5" type="noConversion"/>
  </si>
  <si>
    <t>14 (중2)</t>
    <phoneticPr fontId="5" type="noConversion"/>
  </si>
  <si>
    <t>15 (중3)</t>
    <phoneticPr fontId="5" type="noConversion"/>
  </si>
  <si>
    <t>16 (고1)</t>
    <phoneticPr fontId="5" type="noConversion"/>
  </si>
  <si>
    <t>17 (고2)</t>
    <phoneticPr fontId="5" type="noConversion"/>
  </si>
  <si>
    <t>18 (고3)</t>
    <phoneticPr fontId="5" type="noConversion"/>
  </si>
  <si>
    <t>5 (유치원)</t>
    <phoneticPr fontId="5" type="noConversion"/>
  </si>
  <si>
    <t>6 (유치원)</t>
    <phoneticPr fontId="5" type="noConversion"/>
  </si>
  <si>
    <t>2 (어린이집)</t>
    <phoneticPr fontId="5" type="noConversion"/>
  </si>
  <si>
    <t>3 (어린이집)</t>
    <phoneticPr fontId="5" type="noConversion"/>
  </si>
  <si>
    <t>4 (유치원)</t>
    <phoneticPr fontId="5" type="noConversion"/>
  </si>
  <si>
    <t>강지성 (10)</t>
    <phoneticPr fontId="5" type="noConversion"/>
  </si>
  <si>
    <t>강지성 (11)</t>
    <phoneticPr fontId="5" type="noConversion"/>
  </si>
  <si>
    <t>강지성 (12)</t>
    <phoneticPr fontId="5" type="noConversion"/>
  </si>
  <si>
    <t>강지성 (13)</t>
    <phoneticPr fontId="5" type="noConversion"/>
  </si>
  <si>
    <t>강지성 (14)</t>
    <phoneticPr fontId="5" type="noConversion"/>
  </si>
  <si>
    <t>강지성 (15)</t>
    <phoneticPr fontId="5" type="noConversion"/>
  </si>
  <si>
    <t>강지성 (16)</t>
    <phoneticPr fontId="5" type="noConversion"/>
  </si>
  <si>
    <t>강지성 (17)</t>
    <phoneticPr fontId="5" type="noConversion"/>
  </si>
  <si>
    <t>강지성 (18)</t>
    <phoneticPr fontId="5" type="noConversion"/>
  </si>
  <si>
    <t>강지성 (19)</t>
    <phoneticPr fontId="5" type="noConversion"/>
  </si>
  <si>
    <t>강지성 (20)</t>
    <phoneticPr fontId="5" type="noConversion"/>
  </si>
  <si>
    <t>강지성 (21)</t>
    <phoneticPr fontId="5" type="noConversion"/>
  </si>
  <si>
    <t>강지성 (22)</t>
    <phoneticPr fontId="5" type="noConversion"/>
  </si>
  <si>
    <t>강지성 (23)</t>
    <phoneticPr fontId="5" type="noConversion"/>
  </si>
  <si>
    <t>강지성 (24)</t>
    <phoneticPr fontId="5" type="noConversion"/>
  </si>
  <si>
    <t>강지성 (25)</t>
    <phoneticPr fontId="5" type="noConversion"/>
  </si>
  <si>
    <t>강지성 (26)</t>
    <phoneticPr fontId="5" type="noConversion"/>
  </si>
  <si>
    <t>강지성 (27)</t>
    <phoneticPr fontId="5" type="noConversion"/>
  </si>
  <si>
    <t>강지성 (28)</t>
    <phoneticPr fontId="5" type="noConversion"/>
  </si>
  <si>
    <t>강지성 (29)</t>
    <phoneticPr fontId="5" type="noConversion"/>
  </si>
  <si>
    <t>강지성 (30)</t>
    <phoneticPr fontId="5" type="noConversion"/>
  </si>
  <si>
    <t>강지성 (31)</t>
    <phoneticPr fontId="5" type="noConversion"/>
  </si>
  <si>
    <t>강지성 (32)</t>
    <phoneticPr fontId="5" type="noConversion"/>
  </si>
  <si>
    <t>강지성 (33)</t>
    <phoneticPr fontId="5" type="noConversion"/>
  </si>
  <si>
    <t>강지성 (34)</t>
    <phoneticPr fontId="5" type="noConversion"/>
  </si>
  <si>
    <t>강지성 (35)</t>
    <phoneticPr fontId="5" type="noConversion"/>
  </si>
  <si>
    <t>강지성 (36)</t>
    <phoneticPr fontId="5" type="noConversion"/>
  </si>
  <si>
    <t>강지성 (37)</t>
    <phoneticPr fontId="5" type="noConversion"/>
  </si>
  <si>
    <t>강지성 (38)</t>
    <phoneticPr fontId="5" type="noConversion"/>
  </si>
  <si>
    <t>중대부초 낙첨 - 롯데캐슬에듀포레(전세) 이사 후 은로초 배정
중대부초 당첨 - 아크로리버하임 거주</t>
    <phoneticPr fontId="5" type="noConversion"/>
  </si>
  <si>
    <t>교육비</t>
    <phoneticPr fontId="5" type="noConversion"/>
  </si>
  <si>
    <t>중대부초 배정 및 입학</t>
    <phoneticPr fontId="5" type="noConversion"/>
  </si>
  <si>
    <t>'24년 07월</t>
    <phoneticPr fontId="5" type="noConversion"/>
  </si>
  <si>
    <t>구내식당 15,000</t>
    <phoneticPr fontId="5" type="noConversion"/>
  </si>
  <si>
    <t>영건슈림프</t>
    <phoneticPr fontId="5" type="noConversion"/>
  </si>
  <si>
    <t>당근마켓(이상해씨)(강지완)</t>
    <phoneticPr fontId="5" type="noConversion"/>
  </si>
  <si>
    <t>핵밥</t>
    <phoneticPr fontId="5" type="noConversion"/>
  </si>
  <si>
    <t>춘포방앗간</t>
    <phoneticPr fontId="5" type="noConversion"/>
  </si>
  <si>
    <t>평강삼계탕</t>
    <phoneticPr fontId="5" type="noConversion"/>
  </si>
  <si>
    <r>
      <rPr>
        <b/>
        <sz val="10"/>
        <color theme="1"/>
        <rFont val="맑은 고딕"/>
        <family val="3"/>
        <charset val="129"/>
      </rPr>
      <t>아크로리버하임</t>
    </r>
    <r>
      <rPr>
        <b/>
        <sz val="10"/>
        <color theme="1"/>
        <rFont val="Arial"/>
        <family val="2"/>
      </rPr>
      <t xml:space="preserve"> </t>
    </r>
    <r>
      <rPr>
        <b/>
        <sz val="10"/>
        <color theme="1"/>
        <rFont val="맑은 고딕"/>
        <family val="3"/>
        <charset val="129"/>
      </rPr>
      <t>취득비용</t>
    </r>
    <phoneticPr fontId="5" type="noConversion"/>
  </si>
  <si>
    <r>
      <rPr>
        <sz val="10"/>
        <color theme="1"/>
        <rFont val="맑은 고딕"/>
        <family val="3"/>
        <charset val="129"/>
      </rPr>
      <t>계약금</t>
    </r>
    <phoneticPr fontId="23" type="noConversion"/>
  </si>
  <si>
    <r>
      <rPr>
        <sz val="10"/>
        <color theme="1"/>
        <rFont val="맑은 고딕"/>
        <family val="3"/>
        <charset val="129"/>
      </rPr>
      <t>중도금</t>
    </r>
    <phoneticPr fontId="23" type="noConversion"/>
  </si>
  <si>
    <r>
      <rPr>
        <sz val="10"/>
        <color theme="1"/>
        <rFont val="맑은 고딕"/>
        <family val="3"/>
        <charset val="129"/>
      </rPr>
      <t>태준</t>
    </r>
    <r>
      <rPr>
        <sz val="10"/>
        <color theme="1"/>
        <rFont val="Arial"/>
        <family val="2"/>
      </rPr>
      <t xml:space="preserve"> </t>
    </r>
    <r>
      <rPr>
        <sz val="10"/>
        <color theme="1"/>
        <rFont val="맑은 고딕"/>
        <family val="3"/>
        <charset val="129"/>
      </rPr>
      <t>부모님</t>
    </r>
    <r>
      <rPr>
        <sz val="10"/>
        <color theme="1"/>
        <rFont val="Arial"/>
        <family val="2"/>
      </rPr>
      <t xml:space="preserve"> (</t>
    </r>
    <r>
      <rPr>
        <sz val="10"/>
        <color theme="1"/>
        <rFont val="맑은 고딕"/>
        <family val="3"/>
        <charset val="129"/>
      </rPr>
      <t>지현</t>
    </r>
    <r>
      <rPr>
        <sz val="10"/>
        <color theme="1"/>
        <rFont val="Arial"/>
        <family val="2"/>
      </rPr>
      <t>)</t>
    </r>
    <phoneticPr fontId="23" type="noConversion"/>
  </si>
  <si>
    <r>
      <rPr>
        <sz val="10"/>
        <color theme="1"/>
        <rFont val="맑은 고딕"/>
        <family val="3"/>
        <charset val="129"/>
      </rPr>
      <t>태준</t>
    </r>
    <phoneticPr fontId="23" type="noConversion"/>
  </si>
  <si>
    <r>
      <rPr>
        <sz val="10"/>
        <color theme="1"/>
        <rFont val="맑은 고딕"/>
        <family val="3"/>
        <charset val="129"/>
      </rPr>
      <t>이주촉진비</t>
    </r>
    <phoneticPr fontId="23" type="noConversion"/>
  </si>
  <si>
    <r>
      <rPr>
        <sz val="10"/>
        <color theme="1"/>
        <rFont val="맑은 고딕"/>
        <family val="3"/>
        <charset val="129"/>
      </rPr>
      <t>관리비</t>
    </r>
    <r>
      <rPr>
        <sz val="10"/>
        <color theme="1"/>
        <rFont val="Arial"/>
        <family val="2"/>
      </rPr>
      <t xml:space="preserve"> </t>
    </r>
    <r>
      <rPr>
        <sz val="10"/>
        <color theme="1"/>
        <rFont val="맑은 고딕"/>
        <family val="3"/>
        <charset val="129"/>
      </rPr>
      <t>예치금</t>
    </r>
    <phoneticPr fontId="23" type="noConversion"/>
  </si>
  <si>
    <r>
      <rPr>
        <sz val="10"/>
        <color theme="1"/>
        <rFont val="맑은 고딕"/>
        <family val="3"/>
        <charset val="129"/>
      </rPr>
      <t>아파트</t>
    </r>
    <r>
      <rPr>
        <sz val="10"/>
        <color theme="1"/>
        <rFont val="Arial"/>
        <family val="2"/>
      </rPr>
      <t xml:space="preserve"> </t>
    </r>
    <r>
      <rPr>
        <sz val="10"/>
        <color theme="1"/>
        <rFont val="맑은 고딕"/>
        <family val="3"/>
        <charset val="129"/>
      </rPr>
      <t>할인금액</t>
    </r>
    <r>
      <rPr>
        <sz val="10"/>
        <color theme="1"/>
        <rFont val="Arial"/>
        <family val="2"/>
      </rPr>
      <t xml:space="preserve"> </t>
    </r>
    <r>
      <rPr>
        <sz val="10"/>
        <color theme="1"/>
        <rFont val="맑은 고딕"/>
        <family val="3"/>
        <charset val="129"/>
      </rPr>
      <t>환급</t>
    </r>
    <phoneticPr fontId="23" type="noConversion"/>
  </si>
  <si>
    <r>
      <rPr>
        <sz val="10"/>
        <color theme="1"/>
        <rFont val="맑은 고딕"/>
        <family val="3"/>
        <charset val="129"/>
      </rPr>
      <t>흑석</t>
    </r>
    <r>
      <rPr>
        <sz val="10"/>
        <color theme="1"/>
        <rFont val="Arial"/>
        <family val="2"/>
      </rPr>
      <t>7</t>
    </r>
    <r>
      <rPr>
        <sz val="10"/>
        <color theme="1"/>
        <rFont val="맑은 고딕"/>
        <family val="3"/>
        <charset val="129"/>
      </rPr>
      <t>구역</t>
    </r>
    <phoneticPr fontId="23" type="noConversion"/>
  </si>
  <si>
    <r>
      <rPr>
        <sz val="10"/>
        <color theme="1"/>
        <rFont val="맑은 고딕"/>
        <family val="3"/>
        <charset val="129"/>
      </rPr>
      <t>조합해산</t>
    </r>
    <r>
      <rPr>
        <sz val="10"/>
        <color theme="1"/>
        <rFont val="Arial"/>
        <family val="2"/>
      </rPr>
      <t xml:space="preserve"> </t>
    </r>
    <r>
      <rPr>
        <sz val="10"/>
        <color theme="1"/>
        <rFont val="맑은 고딕"/>
        <family val="3"/>
        <charset val="129"/>
      </rPr>
      <t>환급</t>
    </r>
    <phoneticPr fontId="23" type="noConversion"/>
  </si>
  <si>
    <r>
      <rPr>
        <sz val="10"/>
        <color theme="1"/>
        <rFont val="맑은 고딕"/>
        <family val="3"/>
        <charset val="129"/>
      </rPr>
      <t>조합해산</t>
    </r>
    <r>
      <rPr>
        <sz val="10"/>
        <color theme="1"/>
        <rFont val="Arial"/>
        <family val="2"/>
      </rPr>
      <t xml:space="preserve"> </t>
    </r>
    <r>
      <rPr>
        <sz val="10"/>
        <color theme="1"/>
        <rFont val="맑은 고딕"/>
        <family val="3"/>
        <charset val="129"/>
      </rPr>
      <t>배당금</t>
    </r>
    <phoneticPr fontId="23" type="noConversion"/>
  </si>
  <si>
    <r>
      <rPr>
        <sz val="10"/>
        <color theme="1"/>
        <rFont val="맑은 고딕"/>
        <family val="3"/>
        <charset val="129"/>
      </rPr>
      <t>취득세</t>
    </r>
    <r>
      <rPr>
        <sz val="10"/>
        <color theme="1"/>
        <rFont val="Arial"/>
        <family val="2"/>
      </rPr>
      <t>(</t>
    </r>
    <r>
      <rPr>
        <sz val="10"/>
        <color theme="1"/>
        <rFont val="맑은 고딕"/>
        <family val="3"/>
        <charset val="129"/>
      </rPr>
      <t>소급분</t>
    </r>
    <r>
      <rPr>
        <sz val="10"/>
        <color theme="1"/>
        <rFont val="Arial"/>
        <family val="2"/>
      </rPr>
      <t>)</t>
    </r>
    <phoneticPr fontId="23" type="noConversion"/>
  </si>
  <si>
    <r>
      <rPr>
        <sz val="10"/>
        <color theme="1"/>
        <rFont val="맑은 고딕"/>
        <family val="3"/>
        <charset val="129"/>
      </rPr>
      <t>태준</t>
    </r>
    <r>
      <rPr>
        <sz val="10"/>
        <color theme="1"/>
        <rFont val="Arial"/>
        <family val="2"/>
      </rPr>
      <t xml:space="preserve"> </t>
    </r>
    <r>
      <rPr>
        <sz val="10"/>
        <color theme="1"/>
        <rFont val="맑은 고딕"/>
        <family val="3"/>
        <charset val="129"/>
      </rPr>
      <t>→</t>
    </r>
    <r>
      <rPr>
        <sz val="10"/>
        <color theme="1"/>
        <rFont val="Arial"/>
        <family val="2"/>
      </rPr>
      <t xml:space="preserve"> </t>
    </r>
    <r>
      <rPr>
        <sz val="10"/>
        <color theme="1"/>
        <rFont val="맑은 고딕"/>
        <family val="3"/>
        <charset val="129"/>
      </rPr>
      <t>부모님</t>
    </r>
    <phoneticPr fontId="23" type="noConversion"/>
  </si>
  <si>
    <r>
      <rPr>
        <sz val="10"/>
        <color theme="1"/>
        <rFont val="맑은 고딕"/>
        <family val="3"/>
        <charset val="129"/>
      </rPr>
      <t>할인금액</t>
    </r>
    <r>
      <rPr>
        <sz val="10"/>
        <color theme="1"/>
        <rFont val="Arial"/>
        <family val="2"/>
      </rPr>
      <t xml:space="preserve"> 216,110 </t>
    </r>
    <r>
      <rPr>
        <sz val="10"/>
        <color theme="1"/>
        <rFont val="맑은 고딕"/>
        <family val="3"/>
        <charset val="129"/>
      </rPr>
      <t>환급</t>
    </r>
    <r>
      <rPr>
        <sz val="10"/>
        <color theme="1"/>
        <rFont val="Arial"/>
        <family val="2"/>
      </rPr>
      <t xml:space="preserve"> </t>
    </r>
    <r>
      <rPr>
        <sz val="10"/>
        <color theme="1"/>
        <rFont val="맑은 고딕"/>
        <family val="3"/>
        <charset val="129"/>
      </rPr>
      <t>별도</t>
    </r>
    <r>
      <rPr>
        <sz val="10"/>
        <color theme="1"/>
        <rFont val="Arial"/>
        <family val="2"/>
      </rPr>
      <t xml:space="preserve"> </t>
    </r>
    <r>
      <rPr>
        <sz val="10"/>
        <color theme="1"/>
        <rFont val="맑은 고딕"/>
        <family val="3"/>
        <charset val="129"/>
      </rPr>
      <t>표기</t>
    </r>
    <phoneticPr fontId="23" type="noConversion"/>
  </si>
  <si>
    <r>
      <rPr>
        <sz val="10"/>
        <color theme="1"/>
        <rFont val="맑은 고딕"/>
        <family val="3"/>
        <charset val="129"/>
      </rPr>
      <t>할인금액</t>
    </r>
    <phoneticPr fontId="23" type="noConversion"/>
  </si>
  <si>
    <r>
      <rPr>
        <sz val="10"/>
        <color theme="1"/>
        <rFont val="맑은 고딕"/>
        <family val="3"/>
        <charset val="129"/>
      </rPr>
      <t>입금</t>
    </r>
    <r>
      <rPr>
        <sz val="10"/>
        <color theme="1"/>
        <rFont val="Arial"/>
        <family val="2"/>
      </rPr>
      <t xml:space="preserve"> </t>
    </r>
    <r>
      <rPr>
        <sz val="10"/>
        <color theme="1"/>
        <rFont val="맑은 고딕"/>
        <family val="3"/>
        <charset val="129"/>
      </rPr>
      <t>완료</t>
    </r>
    <r>
      <rPr>
        <sz val="10"/>
        <color theme="1"/>
        <rFont val="Arial"/>
        <family val="2"/>
      </rPr>
      <t xml:space="preserve"> (</t>
    </r>
    <r>
      <rPr>
        <sz val="10"/>
        <color theme="1"/>
        <rFont val="맑은 고딕"/>
        <family val="3"/>
        <charset val="129"/>
      </rPr>
      <t>강태준</t>
    </r>
    <r>
      <rPr>
        <sz val="10"/>
        <color theme="1"/>
        <rFont val="Arial"/>
        <family val="2"/>
      </rPr>
      <t>)</t>
    </r>
    <phoneticPr fontId="23" type="noConversion"/>
  </si>
  <si>
    <r>
      <rPr>
        <sz val="10"/>
        <color theme="1"/>
        <rFont val="맑은 고딕"/>
        <family val="3"/>
        <charset val="129"/>
      </rPr>
      <t>조합해산</t>
    </r>
    <r>
      <rPr>
        <sz val="10"/>
        <color theme="1"/>
        <rFont val="Arial"/>
        <family val="2"/>
      </rPr>
      <t xml:space="preserve"> </t>
    </r>
    <r>
      <rPr>
        <sz val="10"/>
        <color theme="1"/>
        <rFont val="맑은 고딕"/>
        <family val="3"/>
        <charset val="129"/>
      </rPr>
      <t>환급금</t>
    </r>
    <phoneticPr fontId="23" type="noConversion"/>
  </si>
  <si>
    <t>오설록</t>
    <phoneticPr fontId="5" type="noConversion"/>
  </si>
  <si>
    <t>여의도우삼겹집</t>
    <phoneticPr fontId="5" type="noConversion"/>
  </si>
  <si>
    <t>구포잔치국수</t>
    <phoneticPr fontId="5" type="noConversion"/>
  </si>
  <si>
    <t>삼막사주차장</t>
    <phoneticPr fontId="5" type="noConversion"/>
  </si>
  <si>
    <t>썸머스테어</t>
    <phoneticPr fontId="5" type="noConversion"/>
  </si>
  <si>
    <t>좋은계란할인점</t>
    <phoneticPr fontId="5" type="noConversion"/>
  </si>
  <si>
    <t>엠플라워</t>
    <phoneticPr fontId="5" type="noConversion"/>
  </si>
  <si>
    <t>와필레</t>
    <phoneticPr fontId="5" type="noConversion"/>
  </si>
  <si>
    <t>동작주차공원</t>
    <phoneticPr fontId="5" type="noConversion"/>
  </si>
  <si>
    <t>삼정집</t>
    <phoneticPr fontId="5" type="noConversion"/>
  </si>
  <si>
    <t>노량진수산물도매시장</t>
    <phoneticPr fontId="5" type="noConversion"/>
  </si>
  <si>
    <t>KTX(창원-서울)(어머니)</t>
    <phoneticPr fontId="5" type="noConversion"/>
  </si>
  <si>
    <t>안철호 (98)
성준영 (111)
서우창 (110)</t>
    <phoneticPr fontId="5" type="noConversion"/>
  </si>
  <si>
    <t>농협하나로마트</t>
    <phoneticPr fontId="5" type="noConversion"/>
  </si>
  <si>
    <t>동작구 주민세</t>
    <phoneticPr fontId="5" type="noConversion"/>
  </si>
  <si>
    <t>특별용돈(부모님-중복)</t>
    <phoneticPr fontId="5" type="noConversion"/>
  </si>
  <si>
    <t>%</t>
  </si>
  <si>
    <t>잔고</t>
    <phoneticPr fontId="5" type="noConversion"/>
  </si>
  <si>
    <t>네네치킨</t>
    <phoneticPr fontId="5" type="noConversion"/>
  </si>
  <si>
    <t>안성CC</t>
    <phoneticPr fontId="5" type="noConversion"/>
  </si>
  <si>
    <t>맷돌두부집</t>
    <phoneticPr fontId="5" type="noConversion"/>
  </si>
  <si>
    <t>꼬꼬숯불닭갈비</t>
    <phoneticPr fontId="5" type="noConversion"/>
  </si>
  <si>
    <t>블루스톤</t>
    <phoneticPr fontId="5" type="noConversion"/>
  </si>
  <si>
    <t>천사약국</t>
    <phoneticPr fontId="5" type="noConversion"/>
  </si>
  <si>
    <t>형제과일</t>
    <phoneticPr fontId="5" type="noConversion"/>
  </si>
  <si>
    <t>최우석 (93)
장진욱 (101)
김기만 (97)</t>
    <phoneticPr fontId="5" type="noConversion"/>
  </si>
  <si>
    <t>2024-10</t>
    <phoneticPr fontId="5" type="noConversion"/>
  </si>
  <si>
    <t>WEST - EAST</t>
    <phoneticPr fontId="5" type="noConversion"/>
  </si>
  <si>
    <t>2024-11</t>
  </si>
  <si>
    <t>2024-12</t>
  </si>
  <si>
    <t>알파문구</t>
    <phoneticPr fontId="5" type="noConversion"/>
  </si>
  <si>
    <t>가마솥순대</t>
    <phoneticPr fontId="5" type="noConversion"/>
  </si>
  <si>
    <t>'24년 08월</t>
    <phoneticPr fontId="5" type="noConversion"/>
  </si>
  <si>
    <t>구내식당 11,000</t>
    <phoneticPr fontId="5" type="noConversion"/>
  </si>
  <si>
    <t>격려금</t>
    <phoneticPr fontId="5" type="noConversion"/>
  </si>
  <si>
    <t>'24년 09월</t>
    <phoneticPr fontId="5" type="noConversion"/>
  </si>
  <si>
    <t>'24년 12월</t>
    <phoneticPr fontId="5" type="noConversion"/>
  </si>
  <si>
    <t>'24년 11월</t>
    <phoneticPr fontId="5" type="noConversion"/>
  </si>
  <si>
    <t>'24년 10월</t>
    <phoneticPr fontId="5" type="noConversion"/>
  </si>
  <si>
    <t>문구돌이x아이즈크림</t>
    <phoneticPr fontId="5" type="noConversion"/>
  </si>
  <si>
    <t>그랜드컨벤션센터(주차)</t>
    <phoneticPr fontId="5" type="noConversion"/>
  </si>
  <si>
    <t>봄날의정원</t>
    <phoneticPr fontId="5" type="noConversion"/>
  </si>
  <si>
    <t>장례식(김기락)</t>
    <phoneticPr fontId="5" type="noConversion"/>
  </si>
  <si>
    <t>다미만두</t>
    <phoneticPr fontId="5" type="noConversion"/>
  </si>
  <si>
    <t>룸비니TT 사용내역</t>
    <phoneticPr fontId="5" type="noConversion"/>
  </si>
  <si>
    <t>금액</t>
    <phoneticPr fontId="5" type="noConversion"/>
  </si>
  <si>
    <t>내용</t>
    <phoneticPr fontId="5" type="noConversion"/>
  </si>
  <si>
    <t>박재상 생일</t>
    <phoneticPr fontId="5" type="noConversion"/>
  </si>
  <si>
    <t>양희봉 생일</t>
    <phoneticPr fontId="5" type="noConversion"/>
  </si>
  <si>
    <t>기준일</t>
    <phoneticPr fontId="5" type="noConversion"/>
  </si>
  <si>
    <t>룸비니TT 납입내역 (회비 20,000원 / 월)</t>
    <phoneticPr fontId="5" type="noConversion"/>
  </si>
  <si>
    <t>쿠팡(닥터에디션 액상 칼슘)</t>
    <phoneticPr fontId="5" type="noConversion"/>
  </si>
  <si>
    <t>흑석시장(현성식품 - 콩물)</t>
    <phoneticPr fontId="5" type="noConversion"/>
  </si>
  <si>
    <t>청화산후조리원</t>
    <phoneticPr fontId="5" type="noConversion"/>
  </si>
  <si>
    <t>연보람목장</t>
    <phoneticPr fontId="5" type="noConversion"/>
  </si>
  <si>
    <t>푸드트럭(다꼬야끼)</t>
    <phoneticPr fontId="5" type="noConversion"/>
  </si>
  <si>
    <r>
      <rPr>
        <sz val="10"/>
        <color theme="1"/>
        <rFont val="맑은 고딕"/>
        <family val="3"/>
        <charset val="129"/>
      </rPr>
      <t>병원</t>
    </r>
    <r>
      <rPr>
        <sz val="10"/>
        <color theme="1"/>
        <rFont val="Arial"/>
        <family val="2"/>
      </rPr>
      <t>/</t>
    </r>
    <r>
      <rPr>
        <sz val="10"/>
        <color theme="1"/>
        <rFont val="맑은 고딕"/>
        <family val="3"/>
        <charset val="129"/>
      </rPr>
      <t>약국</t>
    </r>
    <r>
      <rPr>
        <sz val="10"/>
        <color theme="1"/>
        <rFont val="Arial"/>
        <family val="2"/>
      </rPr>
      <t>/</t>
    </r>
    <r>
      <rPr>
        <sz val="10"/>
        <color theme="1"/>
        <rFont val="맑은 고딕"/>
        <family val="3"/>
        <charset val="129"/>
      </rPr>
      <t>산후조리원</t>
    </r>
    <phoneticPr fontId="5" type="noConversion"/>
  </si>
  <si>
    <t>당근마켓(목발)</t>
    <phoneticPr fontId="5" type="noConversion"/>
  </si>
  <si>
    <t>퍼민</t>
    <phoneticPr fontId="5" type="noConversion"/>
  </si>
  <si>
    <t>이삭토스트</t>
    <phoneticPr fontId="5" type="noConversion"/>
  </si>
  <si>
    <t>김동진 생일</t>
    <phoneticPr fontId="5" type="noConversion"/>
  </si>
  <si>
    <t>사이공파크</t>
    <phoneticPr fontId="5" type="noConversion"/>
  </si>
  <si>
    <t>국립현충원(매점)</t>
    <phoneticPr fontId="5" type="noConversion"/>
  </si>
  <si>
    <t>먹쇠돌쇠</t>
    <phoneticPr fontId="5" type="noConversion"/>
  </si>
  <si>
    <t>모마</t>
    <phoneticPr fontId="5" type="noConversion"/>
  </si>
  <si>
    <t>가람 - 마루</t>
    <phoneticPr fontId="5" type="noConversion"/>
  </si>
  <si>
    <t>장례식(편성욱)</t>
    <phoneticPr fontId="5" type="noConversion"/>
  </si>
  <si>
    <t>최우석 (97)
장진욱 (109)
김기만 (106)</t>
    <phoneticPr fontId="5" type="noConversion"/>
  </si>
  <si>
    <t>신전떡볶이</t>
    <phoneticPr fontId="5" type="noConversion"/>
  </si>
  <si>
    <t>블루헤런(식비)</t>
    <phoneticPr fontId="5" type="noConversion"/>
  </si>
  <si>
    <t>쿠팡(로스트볼)</t>
    <phoneticPr fontId="5" type="noConversion"/>
  </si>
  <si>
    <t>KTX자판기</t>
    <phoneticPr fontId="5" type="noConversion"/>
  </si>
  <si>
    <t>서울숲주차장</t>
    <phoneticPr fontId="5" type="noConversion"/>
  </si>
  <si>
    <t>KTX(어머니)</t>
    <phoneticPr fontId="5" type="noConversion"/>
  </si>
  <si>
    <t>프레디버거</t>
    <phoneticPr fontId="5" type="noConversion"/>
  </si>
  <si>
    <t>서울대학교주차장</t>
    <phoneticPr fontId="5" type="noConversion"/>
  </si>
  <si>
    <t>달빛나루터영화제</t>
    <phoneticPr fontId="5" type="noConversion"/>
  </si>
  <si>
    <t>삼형제김밥</t>
    <phoneticPr fontId="5" type="noConversion"/>
  </si>
  <si>
    <t>현대오일뱅크</t>
    <phoneticPr fontId="5" type="noConversion"/>
  </si>
  <si>
    <t>쿠팡(블랑네이처)</t>
    <phoneticPr fontId="5" type="noConversion"/>
  </si>
  <si>
    <t>블루헤런(캐디피)</t>
    <phoneticPr fontId="5" type="noConversion"/>
  </si>
  <si>
    <t>격려금공제</t>
    <phoneticPr fontId="5" type="noConversion"/>
  </si>
  <si>
    <t>경복궁</t>
    <phoneticPr fontId="5" type="noConversion"/>
  </si>
  <si>
    <t>소문난만천곱창(시장)</t>
    <phoneticPr fontId="5" type="noConversion"/>
  </si>
  <si>
    <t>쿠팡(깔끔대장)</t>
    <phoneticPr fontId="5" type="noConversion"/>
  </si>
  <si>
    <t>당근(신기한스쿨버스)</t>
    <phoneticPr fontId="5" type="noConversion"/>
  </si>
  <si>
    <t>이촌한강공원</t>
    <phoneticPr fontId="5" type="noConversion"/>
  </si>
  <si>
    <t>한강바베큐</t>
    <phoneticPr fontId="5" type="noConversion"/>
  </si>
  <si>
    <t>쿠팡(카봇)(강지완)</t>
    <phoneticPr fontId="5" type="noConversion"/>
  </si>
  <si>
    <t>카페어텐디(강지완)</t>
    <phoneticPr fontId="5" type="noConversion"/>
  </si>
  <si>
    <t>충청도순대</t>
    <phoneticPr fontId="5" type="noConversion"/>
  </si>
  <si>
    <t>단양마늘만두</t>
    <phoneticPr fontId="5" type="noConversion"/>
  </si>
  <si>
    <t>카페산</t>
    <phoneticPr fontId="5" type="noConversion"/>
  </si>
  <si>
    <t>향미식당</t>
    <phoneticPr fontId="5" type="noConversion"/>
  </si>
  <si>
    <t>소노문단양베이커리</t>
    <phoneticPr fontId="5" type="noConversion"/>
  </si>
  <si>
    <t>외갓집</t>
    <phoneticPr fontId="5" type="noConversion"/>
  </si>
  <si>
    <t>효강정</t>
    <phoneticPr fontId="5" type="noConversion"/>
  </si>
  <si>
    <t>하이락글램핑매점</t>
    <phoneticPr fontId="5" type="noConversion"/>
  </si>
  <si>
    <t>도담삼봉주차장</t>
    <phoneticPr fontId="5" type="noConversion"/>
  </si>
  <si>
    <t>양평휴게소</t>
    <phoneticPr fontId="5" type="noConversion"/>
  </si>
  <si>
    <t>쿠팡(노루발)</t>
    <phoneticPr fontId="5" type="noConversion"/>
  </si>
  <si>
    <t>할머니반찬가게</t>
    <phoneticPr fontId="5" type="noConversion"/>
  </si>
  <si>
    <t>오복떡방앗간</t>
    <phoneticPr fontId="5" type="noConversion"/>
  </si>
  <si>
    <t>스마일약국</t>
    <phoneticPr fontId="5" type="noConversion"/>
  </si>
  <si>
    <t>동두천솥뚜껑삼겹살</t>
    <phoneticPr fontId="5" type="noConversion"/>
  </si>
  <si>
    <t>써브웨이</t>
    <phoneticPr fontId="5" type="noConversion"/>
  </si>
  <si>
    <t>최우석 (91)
장진욱 (92)
김기만 (102)</t>
    <phoneticPr fontId="5" type="noConversion"/>
  </si>
  <si>
    <t>가락돈까스</t>
    <phoneticPr fontId="5" type="noConversion"/>
  </si>
  <si>
    <t>플롭</t>
    <phoneticPr fontId="5" type="noConversion"/>
  </si>
  <si>
    <t>현대건설(주차장)</t>
    <phoneticPr fontId="5" type="noConversion"/>
  </si>
  <si>
    <t>경복궁(주차장)</t>
    <phoneticPr fontId="5" type="noConversion"/>
  </si>
  <si>
    <t>헤어스토리(강지완)</t>
    <phoneticPr fontId="5" type="noConversion"/>
  </si>
  <si>
    <t>차범근축구교실</t>
    <phoneticPr fontId="5" type="noConversion"/>
  </si>
  <si>
    <t>쿠팡(살라딘)</t>
    <phoneticPr fontId="5" type="noConversion"/>
  </si>
  <si>
    <t>삭</t>
    <phoneticPr fontId="5" type="noConversion"/>
  </si>
  <si>
    <t>누들김밥</t>
    <phoneticPr fontId="5" type="noConversion"/>
  </si>
  <si>
    <r>
      <t>2021</t>
    </r>
    <r>
      <rPr>
        <sz val="10"/>
        <color theme="1"/>
        <rFont val="맑은 고딕"/>
        <family val="3"/>
        <charset val="129"/>
      </rPr>
      <t>년</t>
    </r>
    <phoneticPr fontId="5" type="noConversion"/>
  </si>
  <si>
    <r>
      <t>'23</t>
    </r>
    <r>
      <rPr>
        <sz val="10"/>
        <color theme="1"/>
        <rFont val="맑은 고딕"/>
        <family val="3"/>
        <charset val="129"/>
      </rPr>
      <t>년</t>
    </r>
    <r>
      <rPr>
        <sz val="10"/>
        <color theme="1"/>
        <rFont val="Arial"/>
        <family val="2"/>
      </rPr>
      <t xml:space="preserve"> 05</t>
    </r>
    <r>
      <rPr>
        <sz val="10"/>
        <color theme="1"/>
        <rFont val="맑은 고딕"/>
        <family val="3"/>
        <charset val="129"/>
      </rPr>
      <t>월</t>
    </r>
  </si>
  <si>
    <r>
      <t>'23</t>
    </r>
    <r>
      <rPr>
        <sz val="10"/>
        <color theme="1"/>
        <rFont val="맑은 고딕"/>
        <family val="3"/>
        <charset val="129"/>
      </rPr>
      <t>년</t>
    </r>
    <r>
      <rPr>
        <sz val="10"/>
        <color theme="1"/>
        <rFont val="Arial"/>
        <family val="2"/>
      </rPr>
      <t xml:space="preserve"> 06</t>
    </r>
    <r>
      <rPr>
        <sz val="10"/>
        <color theme="1"/>
        <rFont val="맑은 고딕"/>
        <family val="3"/>
        <charset val="129"/>
      </rPr>
      <t>월</t>
    </r>
  </si>
  <si>
    <r>
      <t>'23</t>
    </r>
    <r>
      <rPr>
        <sz val="10"/>
        <color theme="1"/>
        <rFont val="맑은 고딕"/>
        <family val="3"/>
        <charset val="129"/>
      </rPr>
      <t>년</t>
    </r>
    <r>
      <rPr>
        <sz val="10"/>
        <color theme="1"/>
        <rFont val="Arial"/>
        <family val="2"/>
      </rPr>
      <t xml:space="preserve"> 07</t>
    </r>
    <r>
      <rPr>
        <sz val="10"/>
        <color theme="1"/>
        <rFont val="맑은 고딕"/>
        <family val="3"/>
        <charset val="129"/>
      </rPr>
      <t>월</t>
    </r>
  </si>
  <si>
    <r>
      <t>'23</t>
    </r>
    <r>
      <rPr>
        <sz val="10"/>
        <color theme="1"/>
        <rFont val="맑은 고딕"/>
        <family val="3"/>
        <charset val="129"/>
      </rPr>
      <t>년</t>
    </r>
    <r>
      <rPr>
        <sz val="10"/>
        <color theme="1"/>
        <rFont val="Arial"/>
        <family val="2"/>
      </rPr>
      <t xml:space="preserve"> 08</t>
    </r>
    <r>
      <rPr>
        <sz val="10"/>
        <color theme="1"/>
        <rFont val="맑은 고딕"/>
        <family val="3"/>
        <charset val="129"/>
      </rPr>
      <t>월</t>
    </r>
  </si>
  <si>
    <r>
      <t>'23</t>
    </r>
    <r>
      <rPr>
        <sz val="10"/>
        <color theme="1"/>
        <rFont val="맑은 고딕"/>
        <family val="3"/>
        <charset val="129"/>
      </rPr>
      <t>년</t>
    </r>
    <r>
      <rPr>
        <sz val="10"/>
        <color theme="1"/>
        <rFont val="Arial"/>
        <family val="2"/>
      </rPr>
      <t xml:space="preserve"> 09</t>
    </r>
    <r>
      <rPr>
        <sz val="10"/>
        <color theme="1"/>
        <rFont val="맑은 고딕"/>
        <family val="3"/>
        <charset val="129"/>
      </rPr>
      <t>월</t>
    </r>
  </si>
  <si>
    <r>
      <t>'23</t>
    </r>
    <r>
      <rPr>
        <sz val="10"/>
        <color theme="1"/>
        <rFont val="맑은 고딕"/>
        <family val="3"/>
        <charset val="129"/>
      </rPr>
      <t>년</t>
    </r>
    <r>
      <rPr>
        <sz val="10"/>
        <color theme="1"/>
        <rFont val="Arial"/>
        <family val="2"/>
      </rPr>
      <t xml:space="preserve"> 10</t>
    </r>
    <r>
      <rPr>
        <sz val="10"/>
        <color theme="1"/>
        <rFont val="맑은 고딕"/>
        <family val="3"/>
        <charset val="129"/>
      </rPr>
      <t>월</t>
    </r>
  </si>
  <si>
    <r>
      <t>'24</t>
    </r>
    <r>
      <rPr>
        <sz val="10"/>
        <color theme="1"/>
        <rFont val="맑은 고딕"/>
        <family val="3"/>
        <charset val="129"/>
      </rPr>
      <t>년</t>
    </r>
    <r>
      <rPr>
        <sz val="10"/>
        <color theme="1"/>
        <rFont val="Arial"/>
        <family val="2"/>
      </rPr>
      <t xml:space="preserve"> 02</t>
    </r>
    <r>
      <rPr>
        <sz val="10"/>
        <color theme="1"/>
        <rFont val="맑은 고딕"/>
        <family val="3"/>
        <charset val="129"/>
      </rPr>
      <t>월</t>
    </r>
  </si>
  <si>
    <r>
      <t>'24</t>
    </r>
    <r>
      <rPr>
        <sz val="10"/>
        <color theme="1"/>
        <rFont val="맑은 고딕"/>
        <family val="3"/>
        <charset val="129"/>
      </rPr>
      <t>년</t>
    </r>
    <r>
      <rPr>
        <sz val="10"/>
        <color theme="1"/>
        <rFont val="Arial"/>
        <family val="2"/>
      </rPr>
      <t xml:space="preserve"> 03</t>
    </r>
    <r>
      <rPr>
        <sz val="10"/>
        <color theme="1"/>
        <rFont val="맑은 고딕"/>
        <family val="3"/>
        <charset val="129"/>
      </rPr>
      <t>월</t>
    </r>
  </si>
  <si>
    <r>
      <t>'24</t>
    </r>
    <r>
      <rPr>
        <sz val="10"/>
        <color theme="1"/>
        <rFont val="맑은 고딕"/>
        <family val="3"/>
        <charset val="129"/>
      </rPr>
      <t>년</t>
    </r>
    <r>
      <rPr>
        <sz val="10"/>
        <color theme="1"/>
        <rFont val="Arial"/>
        <family val="2"/>
      </rPr>
      <t xml:space="preserve"> 04</t>
    </r>
    <r>
      <rPr>
        <sz val="10"/>
        <color theme="1"/>
        <rFont val="맑은 고딕"/>
        <family val="3"/>
        <charset val="129"/>
      </rPr>
      <t>월</t>
    </r>
  </si>
  <si>
    <r>
      <t>'24</t>
    </r>
    <r>
      <rPr>
        <sz val="10"/>
        <color theme="1"/>
        <rFont val="맑은 고딕"/>
        <family val="3"/>
        <charset val="129"/>
      </rPr>
      <t>년</t>
    </r>
    <r>
      <rPr>
        <sz val="10"/>
        <color theme="1"/>
        <rFont val="Arial"/>
        <family val="2"/>
      </rPr>
      <t xml:space="preserve"> 05</t>
    </r>
    <r>
      <rPr>
        <sz val="10"/>
        <color theme="1"/>
        <rFont val="맑은 고딕"/>
        <family val="3"/>
        <charset val="129"/>
      </rPr>
      <t>월</t>
    </r>
  </si>
  <si>
    <r>
      <t>'24</t>
    </r>
    <r>
      <rPr>
        <sz val="10"/>
        <color theme="1"/>
        <rFont val="맑은 고딕"/>
        <family val="3"/>
        <charset val="129"/>
      </rPr>
      <t>년</t>
    </r>
    <r>
      <rPr>
        <sz val="10"/>
        <color theme="1"/>
        <rFont val="Arial"/>
        <family val="2"/>
      </rPr>
      <t xml:space="preserve"> 06</t>
    </r>
    <r>
      <rPr>
        <sz val="10"/>
        <color theme="1"/>
        <rFont val="맑은 고딕"/>
        <family val="3"/>
        <charset val="129"/>
      </rPr>
      <t>월</t>
    </r>
  </si>
  <si>
    <r>
      <t>'24</t>
    </r>
    <r>
      <rPr>
        <sz val="10"/>
        <color theme="1"/>
        <rFont val="맑은 고딕"/>
        <family val="3"/>
        <charset val="129"/>
      </rPr>
      <t>년</t>
    </r>
    <r>
      <rPr>
        <sz val="10"/>
        <color theme="1"/>
        <rFont val="Arial"/>
        <family val="2"/>
      </rPr>
      <t xml:space="preserve"> 07</t>
    </r>
    <r>
      <rPr>
        <sz val="10"/>
        <color theme="1"/>
        <rFont val="맑은 고딕"/>
        <family val="3"/>
        <charset val="129"/>
      </rPr>
      <t>월</t>
    </r>
  </si>
  <si>
    <r>
      <t>'24</t>
    </r>
    <r>
      <rPr>
        <sz val="10"/>
        <color theme="1"/>
        <rFont val="맑은 고딕"/>
        <family val="3"/>
        <charset val="129"/>
      </rPr>
      <t>년</t>
    </r>
    <r>
      <rPr>
        <sz val="10"/>
        <color theme="1"/>
        <rFont val="Arial"/>
        <family val="2"/>
      </rPr>
      <t xml:space="preserve"> 08</t>
    </r>
    <r>
      <rPr>
        <sz val="10"/>
        <color theme="1"/>
        <rFont val="맑은 고딕"/>
        <family val="3"/>
        <charset val="129"/>
      </rPr>
      <t>월</t>
    </r>
  </si>
  <si>
    <r>
      <t>'24</t>
    </r>
    <r>
      <rPr>
        <sz val="10"/>
        <color theme="1"/>
        <rFont val="맑은 고딕"/>
        <family val="3"/>
        <charset val="129"/>
      </rPr>
      <t>년</t>
    </r>
    <r>
      <rPr>
        <sz val="10"/>
        <color theme="1"/>
        <rFont val="Arial"/>
        <family val="2"/>
      </rPr>
      <t xml:space="preserve"> 09</t>
    </r>
    <r>
      <rPr>
        <sz val="10"/>
        <color theme="1"/>
        <rFont val="맑은 고딕"/>
        <family val="3"/>
        <charset val="129"/>
      </rPr>
      <t>월</t>
    </r>
  </si>
  <si>
    <r>
      <t>'24</t>
    </r>
    <r>
      <rPr>
        <sz val="10"/>
        <color theme="1"/>
        <rFont val="맑은 고딕"/>
        <family val="3"/>
        <charset val="129"/>
      </rPr>
      <t>년</t>
    </r>
    <r>
      <rPr>
        <sz val="10"/>
        <color theme="1"/>
        <rFont val="Arial"/>
        <family val="2"/>
      </rPr>
      <t xml:space="preserve"> 10</t>
    </r>
    <r>
      <rPr>
        <sz val="10"/>
        <color theme="1"/>
        <rFont val="맑은 고딕"/>
        <family val="3"/>
        <charset val="129"/>
      </rPr>
      <t>월</t>
    </r>
  </si>
  <si>
    <r>
      <t>'24</t>
    </r>
    <r>
      <rPr>
        <sz val="10"/>
        <color theme="1"/>
        <rFont val="맑은 고딕"/>
        <family val="3"/>
        <charset val="129"/>
      </rPr>
      <t>년</t>
    </r>
    <r>
      <rPr>
        <sz val="10"/>
        <color theme="1"/>
        <rFont val="Arial"/>
        <family val="2"/>
      </rPr>
      <t xml:space="preserve"> 11</t>
    </r>
    <r>
      <rPr>
        <sz val="10"/>
        <color theme="1"/>
        <rFont val="맑은 고딕"/>
        <family val="3"/>
        <charset val="129"/>
      </rPr>
      <t>월</t>
    </r>
  </si>
  <si>
    <r>
      <t>'24</t>
    </r>
    <r>
      <rPr>
        <sz val="10"/>
        <color theme="1"/>
        <rFont val="맑은 고딕"/>
        <family val="3"/>
        <charset val="129"/>
      </rPr>
      <t>년</t>
    </r>
    <r>
      <rPr>
        <sz val="10"/>
        <color theme="1"/>
        <rFont val="Arial"/>
        <family val="2"/>
      </rPr>
      <t xml:space="preserve"> 12</t>
    </r>
    <r>
      <rPr>
        <sz val="10"/>
        <color theme="1"/>
        <rFont val="맑은 고딕"/>
        <family val="3"/>
        <charset val="129"/>
      </rPr>
      <t>월</t>
    </r>
  </si>
  <si>
    <r>
      <t>'25</t>
    </r>
    <r>
      <rPr>
        <sz val="10"/>
        <color theme="1"/>
        <rFont val="맑은 고딕"/>
        <family val="3"/>
        <charset val="129"/>
      </rPr>
      <t>년</t>
    </r>
    <r>
      <rPr>
        <sz val="10"/>
        <color theme="1"/>
        <rFont val="Arial"/>
        <family val="2"/>
      </rPr>
      <t xml:space="preserve"> 01</t>
    </r>
    <r>
      <rPr>
        <sz val="10"/>
        <color theme="1"/>
        <rFont val="맑은 고딕"/>
        <family val="3"/>
        <charset val="129"/>
      </rPr>
      <t>월</t>
    </r>
  </si>
  <si>
    <r>
      <t>'25</t>
    </r>
    <r>
      <rPr>
        <sz val="10"/>
        <color theme="1"/>
        <rFont val="맑은 고딕"/>
        <family val="3"/>
        <charset val="129"/>
      </rPr>
      <t>년</t>
    </r>
    <r>
      <rPr>
        <sz val="10"/>
        <color theme="1"/>
        <rFont val="Arial"/>
        <family val="2"/>
      </rPr>
      <t xml:space="preserve"> 02</t>
    </r>
    <r>
      <rPr>
        <sz val="10"/>
        <color theme="1"/>
        <rFont val="맑은 고딕"/>
        <family val="3"/>
        <charset val="129"/>
      </rPr>
      <t>월</t>
    </r>
  </si>
  <si>
    <r>
      <t>'25</t>
    </r>
    <r>
      <rPr>
        <sz val="10"/>
        <color theme="1"/>
        <rFont val="맑은 고딕"/>
        <family val="3"/>
        <charset val="129"/>
      </rPr>
      <t>년</t>
    </r>
    <r>
      <rPr>
        <sz val="10"/>
        <color theme="1"/>
        <rFont val="Arial"/>
        <family val="2"/>
      </rPr>
      <t xml:space="preserve"> 03</t>
    </r>
    <r>
      <rPr>
        <sz val="10"/>
        <color theme="1"/>
        <rFont val="맑은 고딕"/>
        <family val="3"/>
        <charset val="129"/>
      </rPr>
      <t>월</t>
    </r>
  </si>
  <si>
    <r>
      <t>'25</t>
    </r>
    <r>
      <rPr>
        <sz val="10"/>
        <color theme="1"/>
        <rFont val="맑은 고딕"/>
        <family val="3"/>
        <charset val="129"/>
      </rPr>
      <t>년</t>
    </r>
    <r>
      <rPr>
        <sz val="10"/>
        <color theme="1"/>
        <rFont val="Arial"/>
        <family val="2"/>
      </rPr>
      <t xml:space="preserve"> 04</t>
    </r>
    <r>
      <rPr>
        <sz val="10"/>
        <color theme="1"/>
        <rFont val="맑은 고딕"/>
        <family val="3"/>
        <charset val="129"/>
      </rPr>
      <t>월</t>
    </r>
  </si>
  <si>
    <r>
      <t>'25</t>
    </r>
    <r>
      <rPr>
        <sz val="10"/>
        <color theme="1"/>
        <rFont val="맑은 고딕"/>
        <family val="3"/>
        <charset val="129"/>
      </rPr>
      <t>년</t>
    </r>
    <r>
      <rPr>
        <sz val="10"/>
        <color theme="1"/>
        <rFont val="Arial"/>
        <family val="2"/>
      </rPr>
      <t xml:space="preserve"> 05</t>
    </r>
    <r>
      <rPr>
        <sz val="10"/>
        <color theme="1"/>
        <rFont val="맑은 고딕"/>
        <family val="3"/>
        <charset val="129"/>
      </rPr>
      <t>월</t>
    </r>
  </si>
  <si>
    <r>
      <t>'25</t>
    </r>
    <r>
      <rPr>
        <sz val="10"/>
        <color theme="1"/>
        <rFont val="맑은 고딕"/>
        <family val="3"/>
        <charset val="129"/>
      </rPr>
      <t>년</t>
    </r>
    <r>
      <rPr>
        <sz val="10"/>
        <color theme="1"/>
        <rFont val="Arial"/>
        <family val="2"/>
      </rPr>
      <t xml:space="preserve"> 06</t>
    </r>
    <r>
      <rPr>
        <sz val="10"/>
        <color theme="1"/>
        <rFont val="맑은 고딕"/>
        <family val="3"/>
        <charset val="129"/>
      </rPr>
      <t>월</t>
    </r>
  </si>
  <si>
    <r>
      <t>'25</t>
    </r>
    <r>
      <rPr>
        <sz val="10"/>
        <color theme="1"/>
        <rFont val="맑은 고딕"/>
        <family val="3"/>
        <charset val="129"/>
      </rPr>
      <t>년</t>
    </r>
    <r>
      <rPr>
        <sz val="10"/>
        <color theme="1"/>
        <rFont val="Arial"/>
        <family val="2"/>
      </rPr>
      <t xml:space="preserve"> 07</t>
    </r>
    <r>
      <rPr>
        <sz val="10"/>
        <color theme="1"/>
        <rFont val="맑은 고딕"/>
        <family val="3"/>
        <charset val="129"/>
      </rPr>
      <t>월</t>
    </r>
  </si>
  <si>
    <r>
      <t>'25</t>
    </r>
    <r>
      <rPr>
        <sz val="10"/>
        <color theme="1"/>
        <rFont val="맑은 고딕"/>
        <family val="3"/>
        <charset val="129"/>
      </rPr>
      <t>년</t>
    </r>
    <r>
      <rPr>
        <sz val="10"/>
        <color theme="1"/>
        <rFont val="Arial"/>
        <family val="2"/>
      </rPr>
      <t xml:space="preserve"> 08</t>
    </r>
    <r>
      <rPr>
        <sz val="10"/>
        <color theme="1"/>
        <rFont val="맑은 고딕"/>
        <family val="3"/>
        <charset val="129"/>
      </rPr>
      <t>월</t>
    </r>
  </si>
  <si>
    <r>
      <t>'25</t>
    </r>
    <r>
      <rPr>
        <sz val="10"/>
        <color theme="1"/>
        <rFont val="맑은 고딕"/>
        <family val="3"/>
        <charset val="129"/>
      </rPr>
      <t>년</t>
    </r>
    <r>
      <rPr>
        <sz val="10"/>
        <color theme="1"/>
        <rFont val="Arial"/>
        <family val="2"/>
      </rPr>
      <t xml:space="preserve"> 09</t>
    </r>
    <r>
      <rPr>
        <sz val="10"/>
        <color theme="1"/>
        <rFont val="맑은 고딕"/>
        <family val="3"/>
        <charset val="129"/>
      </rPr>
      <t>월</t>
    </r>
  </si>
  <si>
    <r>
      <t>'25</t>
    </r>
    <r>
      <rPr>
        <sz val="10"/>
        <color theme="1"/>
        <rFont val="맑은 고딕"/>
        <family val="3"/>
        <charset val="129"/>
      </rPr>
      <t>년</t>
    </r>
    <r>
      <rPr>
        <sz val="10"/>
        <color theme="1"/>
        <rFont val="Arial"/>
        <family val="2"/>
      </rPr>
      <t xml:space="preserve"> 10</t>
    </r>
    <r>
      <rPr>
        <sz val="10"/>
        <color theme="1"/>
        <rFont val="맑은 고딕"/>
        <family val="3"/>
        <charset val="129"/>
      </rPr>
      <t>월</t>
    </r>
  </si>
  <si>
    <r>
      <t>'25</t>
    </r>
    <r>
      <rPr>
        <sz val="10"/>
        <color theme="1"/>
        <rFont val="맑은 고딕"/>
        <family val="3"/>
        <charset val="129"/>
      </rPr>
      <t>년</t>
    </r>
    <r>
      <rPr>
        <sz val="10"/>
        <color theme="1"/>
        <rFont val="Arial"/>
        <family val="2"/>
      </rPr>
      <t xml:space="preserve"> 11</t>
    </r>
    <r>
      <rPr>
        <sz val="10"/>
        <color theme="1"/>
        <rFont val="맑은 고딕"/>
        <family val="3"/>
        <charset val="129"/>
      </rPr>
      <t>월</t>
    </r>
  </si>
  <si>
    <r>
      <t>'25</t>
    </r>
    <r>
      <rPr>
        <sz val="10"/>
        <color theme="1"/>
        <rFont val="맑은 고딕"/>
        <family val="3"/>
        <charset val="129"/>
      </rPr>
      <t>년</t>
    </r>
    <r>
      <rPr>
        <sz val="10"/>
        <color theme="1"/>
        <rFont val="Arial"/>
        <family val="2"/>
      </rPr>
      <t xml:space="preserve"> 12</t>
    </r>
    <r>
      <rPr>
        <sz val="10"/>
        <color theme="1"/>
        <rFont val="맑은 고딕"/>
        <family val="3"/>
        <charset val="129"/>
      </rPr>
      <t>월</t>
    </r>
  </si>
  <si>
    <r>
      <t>2025</t>
    </r>
    <r>
      <rPr>
        <sz val="10"/>
        <color theme="1"/>
        <rFont val="맑은 고딕"/>
        <family val="3"/>
        <charset val="129"/>
      </rPr>
      <t>년</t>
    </r>
  </si>
  <si>
    <r>
      <t>'26</t>
    </r>
    <r>
      <rPr>
        <sz val="10"/>
        <color theme="1"/>
        <rFont val="맑은 고딕"/>
        <family val="3"/>
        <charset val="129"/>
      </rPr>
      <t>년</t>
    </r>
    <r>
      <rPr>
        <sz val="10"/>
        <color theme="1"/>
        <rFont val="Arial"/>
        <family val="2"/>
      </rPr>
      <t xml:space="preserve"> 01</t>
    </r>
    <r>
      <rPr>
        <sz val="10"/>
        <color theme="1"/>
        <rFont val="맑은 고딕"/>
        <family val="3"/>
        <charset val="129"/>
      </rPr>
      <t>월</t>
    </r>
  </si>
  <si>
    <r>
      <t>'26</t>
    </r>
    <r>
      <rPr>
        <sz val="10"/>
        <color theme="1"/>
        <rFont val="맑은 고딕"/>
        <family val="3"/>
        <charset val="129"/>
      </rPr>
      <t>년</t>
    </r>
    <r>
      <rPr>
        <sz val="10"/>
        <color theme="1"/>
        <rFont val="Arial"/>
        <family val="2"/>
      </rPr>
      <t xml:space="preserve"> 02</t>
    </r>
    <r>
      <rPr>
        <sz val="10"/>
        <color theme="1"/>
        <rFont val="맑은 고딕"/>
        <family val="3"/>
        <charset val="129"/>
      </rPr>
      <t>월</t>
    </r>
  </si>
  <si>
    <r>
      <t>'26</t>
    </r>
    <r>
      <rPr>
        <sz val="10"/>
        <color theme="1"/>
        <rFont val="맑은 고딕"/>
        <family val="3"/>
        <charset val="129"/>
      </rPr>
      <t>년</t>
    </r>
    <r>
      <rPr>
        <sz val="10"/>
        <color theme="1"/>
        <rFont val="Arial"/>
        <family val="2"/>
      </rPr>
      <t xml:space="preserve"> 03</t>
    </r>
    <r>
      <rPr>
        <sz val="10"/>
        <color theme="1"/>
        <rFont val="맑은 고딕"/>
        <family val="3"/>
        <charset val="129"/>
      </rPr>
      <t>월</t>
    </r>
  </si>
  <si>
    <r>
      <t>'26</t>
    </r>
    <r>
      <rPr>
        <sz val="10"/>
        <color theme="1"/>
        <rFont val="맑은 고딕"/>
        <family val="3"/>
        <charset val="129"/>
      </rPr>
      <t>년</t>
    </r>
    <r>
      <rPr>
        <sz val="10"/>
        <color theme="1"/>
        <rFont val="Arial"/>
        <family val="2"/>
      </rPr>
      <t xml:space="preserve"> 04</t>
    </r>
    <r>
      <rPr>
        <sz val="10"/>
        <color theme="1"/>
        <rFont val="맑은 고딕"/>
        <family val="3"/>
        <charset val="129"/>
      </rPr>
      <t>월</t>
    </r>
  </si>
  <si>
    <r>
      <t>'26</t>
    </r>
    <r>
      <rPr>
        <sz val="10"/>
        <color theme="1"/>
        <rFont val="맑은 고딕"/>
        <family val="3"/>
        <charset val="129"/>
      </rPr>
      <t>년</t>
    </r>
    <r>
      <rPr>
        <sz val="10"/>
        <color theme="1"/>
        <rFont val="Arial"/>
        <family val="2"/>
      </rPr>
      <t xml:space="preserve"> 05</t>
    </r>
    <r>
      <rPr>
        <sz val="10"/>
        <color theme="1"/>
        <rFont val="맑은 고딕"/>
        <family val="3"/>
        <charset val="129"/>
      </rPr>
      <t>월</t>
    </r>
  </si>
  <si>
    <r>
      <t>'26</t>
    </r>
    <r>
      <rPr>
        <sz val="10"/>
        <color theme="1"/>
        <rFont val="맑은 고딕"/>
        <family val="3"/>
        <charset val="129"/>
      </rPr>
      <t>년</t>
    </r>
    <r>
      <rPr>
        <sz val="10"/>
        <color theme="1"/>
        <rFont val="Arial"/>
        <family val="2"/>
      </rPr>
      <t xml:space="preserve"> 06</t>
    </r>
    <r>
      <rPr>
        <sz val="10"/>
        <color theme="1"/>
        <rFont val="맑은 고딕"/>
        <family val="3"/>
        <charset val="129"/>
      </rPr>
      <t>월</t>
    </r>
  </si>
  <si>
    <r>
      <t>'26</t>
    </r>
    <r>
      <rPr>
        <sz val="10"/>
        <color theme="1"/>
        <rFont val="맑은 고딕"/>
        <family val="3"/>
        <charset val="129"/>
      </rPr>
      <t>년</t>
    </r>
    <r>
      <rPr>
        <sz val="10"/>
        <color theme="1"/>
        <rFont val="Arial"/>
        <family val="2"/>
      </rPr>
      <t xml:space="preserve"> 07</t>
    </r>
    <r>
      <rPr>
        <sz val="10"/>
        <color theme="1"/>
        <rFont val="맑은 고딕"/>
        <family val="3"/>
        <charset val="129"/>
      </rPr>
      <t>월</t>
    </r>
  </si>
  <si>
    <r>
      <t>'26</t>
    </r>
    <r>
      <rPr>
        <sz val="10"/>
        <color theme="1"/>
        <rFont val="맑은 고딕"/>
        <family val="3"/>
        <charset val="129"/>
      </rPr>
      <t>년</t>
    </r>
    <r>
      <rPr>
        <sz val="10"/>
        <color theme="1"/>
        <rFont val="Arial"/>
        <family val="2"/>
      </rPr>
      <t xml:space="preserve"> 08</t>
    </r>
    <r>
      <rPr>
        <sz val="10"/>
        <color theme="1"/>
        <rFont val="맑은 고딕"/>
        <family val="3"/>
        <charset val="129"/>
      </rPr>
      <t>월</t>
    </r>
  </si>
  <si>
    <r>
      <t>'26</t>
    </r>
    <r>
      <rPr>
        <sz val="10"/>
        <color theme="1"/>
        <rFont val="맑은 고딕"/>
        <family val="3"/>
        <charset val="129"/>
      </rPr>
      <t>년</t>
    </r>
    <r>
      <rPr>
        <sz val="10"/>
        <color theme="1"/>
        <rFont val="Arial"/>
        <family val="2"/>
      </rPr>
      <t xml:space="preserve"> 09</t>
    </r>
    <r>
      <rPr>
        <sz val="10"/>
        <color theme="1"/>
        <rFont val="맑은 고딕"/>
        <family val="3"/>
        <charset val="129"/>
      </rPr>
      <t>월</t>
    </r>
  </si>
  <si>
    <r>
      <t>'26</t>
    </r>
    <r>
      <rPr>
        <sz val="10"/>
        <color theme="1"/>
        <rFont val="맑은 고딕"/>
        <family val="3"/>
        <charset val="129"/>
      </rPr>
      <t>년</t>
    </r>
    <r>
      <rPr>
        <sz val="10"/>
        <color theme="1"/>
        <rFont val="Arial"/>
        <family val="2"/>
      </rPr>
      <t xml:space="preserve"> 10</t>
    </r>
    <r>
      <rPr>
        <sz val="10"/>
        <color theme="1"/>
        <rFont val="맑은 고딕"/>
        <family val="3"/>
        <charset val="129"/>
      </rPr>
      <t>월</t>
    </r>
  </si>
  <si>
    <r>
      <t>'26</t>
    </r>
    <r>
      <rPr>
        <sz val="10"/>
        <color theme="1"/>
        <rFont val="맑은 고딕"/>
        <family val="3"/>
        <charset val="129"/>
      </rPr>
      <t>년</t>
    </r>
    <r>
      <rPr>
        <sz val="10"/>
        <color theme="1"/>
        <rFont val="Arial"/>
        <family val="2"/>
      </rPr>
      <t xml:space="preserve"> 11</t>
    </r>
    <r>
      <rPr>
        <sz val="10"/>
        <color theme="1"/>
        <rFont val="맑은 고딕"/>
        <family val="3"/>
        <charset val="129"/>
      </rPr>
      <t>월</t>
    </r>
  </si>
  <si>
    <r>
      <t>'26</t>
    </r>
    <r>
      <rPr>
        <sz val="10"/>
        <color theme="1"/>
        <rFont val="맑은 고딕"/>
        <family val="3"/>
        <charset val="129"/>
      </rPr>
      <t>년</t>
    </r>
    <r>
      <rPr>
        <sz val="10"/>
        <color theme="1"/>
        <rFont val="Arial"/>
        <family val="2"/>
      </rPr>
      <t xml:space="preserve"> 12</t>
    </r>
    <r>
      <rPr>
        <sz val="10"/>
        <color theme="1"/>
        <rFont val="맑은 고딕"/>
        <family val="3"/>
        <charset val="129"/>
      </rPr>
      <t>월</t>
    </r>
  </si>
  <si>
    <r>
      <t>2026</t>
    </r>
    <r>
      <rPr>
        <sz val="10"/>
        <color theme="1"/>
        <rFont val="맑은 고딕"/>
        <family val="3"/>
        <charset val="129"/>
      </rPr>
      <t>년</t>
    </r>
  </si>
  <si>
    <r>
      <t>'27</t>
    </r>
    <r>
      <rPr>
        <sz val="10"/>
        <color theme="1"/>
        <rFont val="맑은 고딕"/>
        <family val="3"/>
        <charset val="129"/>
      </rPr>
      <t>년</t>
    </r>
    <r>
      <rPr>
        <sz val="10"/>
        <color theme="1"/>
        <rFont val="Arial"/>
        <family val="2"/>
      </rPr>
      <t xml:space="preserve"> 01</t>
    </r>
    <r>
      <rPr>
        <sz val="10"/>
        <color theme="1"/>
        <rFont val="맑은 고딕"/>
        <family val="3"/>
        <charset val="129"/>
      </rPr>
      <t>월</t>
    </r>
  </si>
  <si>
    <r>
      <t>'27</t>
    </r>
    <r>
      <rPr>
        <sz val="10"/>
        <color theme="1"/>
        <rFont val="맑은 고딕"/>
        <family val="3"/>
        <charset val="129"/>
      </rPr>
      <t>년</t>
    </r>
    <r>
      <rPr>
        <sz val="10"/>
        <color theme="1"/>
        <rFont val="Arial"/>
        <family val="2"/>
      </rPr>
      <t xml:space="preserve"> 02</t>
    </r>
    <r>
      <rPr>
        <sz val="10"/>
        <color theme="1"/>
        <rFont val="맑은 고딕"/>
        <family val="3"/>
        <charset val="129"/>
      </rPr>
      <t>월</t>
    </r>
  </si>
  <si>
    <r>
      <t>'27</t>
    </r>
    <r>
      <rPr>
        <sz val="10"/>
        <color theme="1"/>
        <rFont val="맑은 고딕"/>
        <family val="3"/>
        <charset val="129"/>
      </rPr>
      <t>년</t>
    </r>
    <r>
      <rPr>
        <sz val="10"/>
        <color theme="1"/>
        <rFont val="Arial"/>
        <family val="2"/>
      </rPr>
      <t xml:space="preserve"> 03</t>
    </r>
    <r>
      <rPr>
        <sz val="10"/>
        <color theme="1"/>
        <rFont val="맑은 고딕"/>
        <family val="3"/>
        <charset val="129"/>
      </rPr>
      <t>월</t>
    </r>
  </si>
  <si>
    <r>
      <t>'27</t>
    </r>
    <r>
      <rPr>
        <sz val="10"/>
        <color theme="1"/>
        <rFont val="맑은 고딕"/>
        <family val="3"/>
        <charset val="129"/>
      </rPr>
      <t>년</t>
    </r>
    <r>
      <rPr>
        <sz val="10"/>
        <color theme="1"/>
        <rFont val="Arial"/>
        <family val="2"/>
      </rPr>
      <t xml:space="preserve"> 04</t>
    </r>
    <r>
      <rPr>
        <sz val="10"/>
        <color theme="1"/>
        <rFont val="맑은 고딕"/>
        <family val="3"/>
        <charset val="129"/>
      </rPr>
      <t>월</t>
    </r>
  </si>
  <si>
    <r>
      <t>'27</t>
    </r>
    <r>
      <rPr>
        <sz val="10"/>
        <color theme="1"/>
        <rFont val="맑은 고딕"/>
        <family val="3"/>
        <charset val="129"/>
      </rPr>
      <t>년</t>
    </r>
    <r>
      <rPr>
        <sz val="10"/>
        <color theme="1"/>
        <rFont val="Arial"/>
        <family val="2"/>
      </rPr>
      <t xml:space="preserve"> 05</t>
    </r>
    <r>
      <rPr>
        <sz val="10"/>
        <color theme="1"/>
        <rFont val="맑은 고딕"/>
        <family val="3"/>
        <charset val="129"/>
      </rPr>
      <t>월</t>
    </r>
  </si>
  <si>
    <r>
      <t>'27</t>
    </r>
    <r>
      <rPr>
        <sz val="10"/>
        <color theme="1"/>
        <rFont val="맑은 고딕"/>
        <family val="3"/>
        <charset val="129"/>
      </rPr>
      <t>년</t>
    </r>
    <r>
      <rPr>
        <sz val="10"/>
        <color theme="1"/>
        <rFont val="Arial"/>
        <family val="2"/>
      </rPr>
      <t xml:space="preserve"> 06</t>
    </r>
    <r>
      <rPr>
        <sz val="10"/>
        <color theme="1"/>
        <rFont val="맑은 고딕"/>
        <family val="3"/>
        <charset val="129"/>
      </rPr>
      <t>월</t>
    </r>
  </si>
  <si>
    <r>
      <t>'27</t>
    </r>
    <r>
      <rPr>
        <sz val="10"/>
        <color theme="1"/>
        <rFont val="맑은 고딕"/>
        <family val="3"/>
        <charset val="129"/>
      </rPr>
      <t>년</t>
    </r>
    <r>
      <rPr>
        <sz val="10"/>
        <color theme="1"/>
        <rFont val="Arial"/>
        <family val="2"/>
      </rPr>
      <t xml:space="preserve"> 07</t>
    </r>
    <r>
      <rPr>
        <sz val="10"/>
        <color theme="1"/>
        <rFont val="맑은 고딕"/>
        <family val="3"/>
        <charset val="129"/>
      </rPr>
      <t>월</t>
    </r>
  </si>
  <si>
    <r>
      <t>'27</t>
    </r>
    <r>
      <rPr>
        <sz val="10"/>
        <color theme="1"/>
        <rFont val="맑은 고딕"/>
        <family val="3"/>
        <charset val="129"/>
      </rPr>
      <t>년</t>
    </r>
    <r>
      <rPr>
        <sz val="10"/>
        <color theme="1"/>
        <rFont val="Arial"/>
        <family val="2"/>
      </rPr>
      <t xml:space="preserve"> 08</t>
    </r>
    <r>
      <rPr>
        <sz val="10"/>
        <color theme="1"/>
        <rFont val="맑은 고딕"/>
        <family val="3"/>
        <charset val="129"/>
      </rPr>
      <t>월</t>
    </r>
  </si>
  <si>
    <r>
      <t>'27</t>
    </r>
    <r>
      <rPr>
        <sz val="10"/>
        <color theme="1"/>
        <rFont val="맑은 고딕"/>
        <family val="3"/>
        <charset val="129"/>
      </rPr>
      <t>년</t>
    </r>
    <r>
      <rPr>
        <sz val="10"/>
        <color theme="1"/>
        <rFont val="Arial"/>
        <family val="2"/>
      </rPr>
      <t xml:space="preserve"> 09</t>
    </r>
    <r>
      <rPr>
        <sz val="10"/>
        <color theme="1"/>
        <rFont val="맑은 고딕"/>
        <family val="3"/>
        <charset val="129"/>
      </rPr>
      <t>월</t>
    </r>
  </si>
  <si>
    <r>
      <t>'27</t>
    </r>
    <r>
      <rPr>
        <sz val="10"/>
        <color theme="1"/>
        <rFont val="맑은 고딕"/>
        <family val="3"/>
        <charset val="129"/>
      </rPr>
      <t>년</t>
    </r>
    <r>
      <rPr>
        <sz val="10"/>
        <color theme="1"/>
        <rFont val="Arial"/>
        <family val="2"/>
      </rPr>
      <t xml:space="preserve"> 10</t>
    </r>
    <r>
      <rPr>
        <sz val="10"/>
        <color theme="1"/>
        <rFont val="맑은 고딕"/>
        <family val="3"/>
        <charset val="129"/>
      </rPr>
      <t>월</t>
    </r>
  </si>
  <si>
    <r>
      <t>'27</t>
    </r>
    <r>
      <rPr>
        <sz val="10"/>
        <color theme="1"/>
        <rFont val="맑은 고딕"/>
        <family val="3"/>
        <charset val="129"/>
      </rPr>
      <t>년</t>
    </r>
    <r>
      <rPr>
        <sz val="10"/>
        <color theme="1"/>
        <rFont val="Arial"/>
        <family val="2"/>
      </rPr>
      <t xml:space="preserve"> 11</t>
    </r>
    <r>
      <rPr>
        <sz val="10"/>
        <color theme="1"/>
        <rFont val="맑은 고딕"/>
        <family val="3"/>
        <charset val="129"/>
      </rPr>
      <t>월</t>
    </r>
  </si>
  <si>
    <r>
      <t>'27</t>
    </r>
    <r>
      <rPr>
        <sz val="10"/>
        <color theme="1"/>
        <rFont val="맑은 고딕"/>
        <family val="3"/>
        <charset val="129"/>
      </rPr>
      <t>년</t>
    </r>
    <r>
      <rPr>
        <sz val="10"/>
        <color theme="1"/>
        <rFont val="Arial"/>
        <family val="2"/>
      </rPr>
      <t xml:space="preserve"> 12</t>
    </r>
    <r>
      <rPr>
        <sz val="10"/>
        <color theme="1"/>
        <rFont val="맑은 고딕"/>
        <family val="3"/>
        <charset val="129"/>
      </rPr>
      <t>월</t>
    </r>
  </si>
  <si>
    <r>
      <t>2027</t>
    </r>
    <r>
      <rPr>
        <sz val="10"/>
        <color theme="1"/>
        <rFont val="맑은 고딕"/>
        <family val="3"/>
        <charset val="129"/>
      </rPr>
      <t>년</t>
    </r>
  </si>
  <si>
    <r>
      <t>'28</t>
    </r>
    <r>
      <rPr>
        <sz val="10"/>
        <color theme="1"/>
        <rFont val="맑은 고딕"/>
        <family val="3"/>
        <charset val="129"/>
      </rPr>
      <t>년</t>
    </r>
    <r>
      <rPr>
        <sz val="10"/>
        <color theme="1"/>
        <rFont val="Arial"/>
        <family val="2"/>
      </rPr>
      <t xml:space="preserve"> 01</t>
    </r>
    <r>
      <rPr>
        <sz val="10"/>
        <color theme="1"/>
        <rFont val="맑은 고딕"/>
        <family val="3"/>
        <charset val="129"/>
      </rPr>
      <t>월</t>
    </r>
  </si>
  <si>
    <r>
      <t>'28</t>
    </r>
    <r>
      <rPr>
        <sz val="10"/>
        <color theme="1"/>
        <rFont val="맑은 고딕"/>
        <family val="3"/>
        <charset val="129"/>
      </rPr>
      <t>년</t>
    </r>
    <r>
      <rPr>
        <sz val="10"/>
        <color theme="1"/>
        <rFont val="Arial"/>
        <family val="2"/>
      </rPr>
      <t xml:space="preserve"> 02</t>
    </r>
    <r>
      <rPr>
        <sz val="10"/>
        <color theme="1"/>
        <rFont val="맑은 고딕"/>
        <family val="3"/>
        <charset val="129"/>
      </rPr>
      <t>월</t>
    </r>
  </si>
  <si>
    <r>
      <t>'28</t>
    </r>
    <r>
      <rPr>
        <sz val="10"/>
        <color theme="1"/>
        <rFont val="맑은 고딕"/>
        <family val="3"/>
        <charset val="129"/>
      </rPr>
      <t>년</t>
    </r>
    <r>
      <rPr>
        <sz val="10"/>
        <color theme="1"/>
        <rFont val="Arial"/>
        <family val="2"/>
      </rPr>
      <t xml:space="preserve"> 03</t>
    </r>
    <r>
      <rPr>
        <sz val="10"/>
        <color theme="1"/>
        <rFont val="맑은 고딕"/>
        <family val="3"/>
        <charset val="129"/>
      </rPr>
      <t>월</t>
    </r>
  </si>
  <si>
    <r>
      <t>'28</t>
    </r>
    <r>
      <rPr>
        <sz val="10"/>
        <color theme="1"/>
        <rFont val="맑은 고딕"/>
        <family val="3"/>
        <charset val="129"/>
      </rPr>
      <t>년</t>
    </r>
    <r>
      <rPr>
        <sz val="10"/>
        <color theme="1"/>
        <rFont val="Arial"/>
        <family val="2"/>
      </rPr>
      <t xml:space="preserve"> 04</t>
    </r>
    <r>
      <rPr>
        <sz val="10"/>
        <color theme="1"/>
        <rFont val="맑은 고딕"/>
        <family val="3"/>
        <charset val="129"/>
      </rPr>
      <t>월</t>
    </r>
  </si>
  <si>
    <r>
      <t>'28</t>
    </r>
    <r>
      <rPr>
        <sz val="10"/>
        <color theme="1"/>
        <rFont val="맑은 고딕"/>
        <family val="3"/>
        <charset val="129"/>
      </rPr>
      <t>년</t>
    </r>
    <r>
      <rPr>
        <sz val="10"/>
        <color theme="1"/>
        <rFont val="Arial"/>
        <family val="2"/>
      </rPr>
      <t xml:space="preserve"> 05</t>
    </r>
    <r>
      <rPr>
        <sz val="10"/>
        <color theme="1"/>
        <rFont val="맑은 고딕"/>
        <family val="3"/>
        <charset val="129"/>
      </rPr>
      <t>월</t>
    </r>
  </si>
  <si>
    <r>
      <t>'28</t>
    </r>
    <r>
      <rPr>
        <sz val="10"/>
        <color theme="1"/>
        <rFont val="맑은 고딕"/>
        <family val="3"/>
        <charset val="129"/>
      </rPr>
      <t>년</t>
    </r>
    <r>
      <rPr>
        <sz val="10"/>
        <color theme="1"/>
        <rFont val="Arial"/>
        <family val="2"/>
      </rPr>
      <t xml:space="preserve"> 06</t>
    </r>
    <r>
      <rPr>
        <sz val="10"/>
        <color theme="1"/>
        <rFont val="맑은 고딕"/>
        <family val="3"/>
        <charset val="129"/>
      </rPr>
      <t>월</t>
    </r>
  </si>
  <si>
    <r>
      <t>'28</t>
    </r>
    <r>
      <rPr>
        <sz val="10"/>
        <color theme="1"/>
        <rFont val="맑은 고딕"/>
        <family val="3"/>
        <charset val="129"/>
      </rPr>
      <t>년</t>
    </r>
    <r>
      <rPr>
        <sz val="10"/>
        <color theme="1"/>
        <rFont val="Arial"/>
        <family val="2"/>
      </rPr>
      <t xml:space="preserve"> 07</t>
    </r>
    <r>
      <rPr>
        <sz val="10"/>
        <color theme="1"/>
        <rFont val="맑은 고딕"/>
        <family val="3"/>
        <charset val="129"/>
      </rPr>
      <t>월</t>
    </r>
  </si>
  <si>
    <r>
      <t>'28</t>
    </r>
    <r>
      <rPr>
        <sz val="10"/>
        <color theme="1"/>
        <rFont val="맑은 고딕"/>
        <family val="3"/>
        <charset val="129"/>
      </rPr>
      <t>년</t>
    </r>
    <r>
      <rPr>
        <sz val="10"/>
        <color theme="1"/>
        <rFont val="Arial"/>
        <family val="2"/>
      </rPr>
      <t xml:space="preserve"> 08</t>
    </r>
    <r>
      <rPr>
        <sz val="10"/>
        <color theme="1"/>
        <rFont val="맑은 고딕"/>
        <family val="3"/>
        <charset val="129"/>
      </rPr>
      <t>월</t>
    </r>
  </si>
  <si>
    <r>
      <t>'28</t>
    </r>
    <r>
      <rPr>
        <sz val="10"/>
        <color theme="1"/>
        <rFont val="맑은 고딕"/>
        <family val="3"/>
        <charset val="129"/>
      </rPr>
      <t>년</t>
    </r>
    <r>
      <rPr>
        <sz val="10"/>
        <color theme="1"/>
        <rFont val="Arial"/>
        <family val="2"/>
      </rPr>
      <t xml:space="preserve"> 09</t>
    </r>
    <r>
      <rPr>
        <sz val="10"/>
        <color theme="1"/>
        <rFont val="맑은 고딕"/>
        <family val="3"/>
        <charset val="129"/>
      </rPr>
      <t>월</t>
    </r>
  </si>
  <si>
    <r>
      <t>'28</t>
    </r>
    <r>
      <rPr>
        <sz val="10"/>
        <color theme="1"/>
        <rFont val="맑은 고딕"/>
        <family val="3"/>
        <charset val="129"/>
      </rPr>
      <t>년</t>
    </r>
    <r>
      <rPr>
        <sz val="10"/>
        <color theme="1"/>
        <rFont val="Arial"/>
        <family val="2"/>
      </rPr>
      <t xml:space="preserve"> 10</t>
    </r>
    <r>
      <rPr>
        <sz val="10"/>
        <color theme="1"/>
        <rFont val="맑은 고딕"/>
        <family val="3"/>
        <charset val="129"/>
      </rPr>
      <t>월</t>
    </r>
  </si>
  <si>
    <r>
      <t>'28</t>
    </r>
    <r>
      <rPr>
        <sz val="10"/>
        <color theme="1"/>
        <rFont val="맑은 고딕"/>
        <family val="3"/>
        <charset val="129"/>
      </rPr>
      <t>년</t>
    </r>
    <r>
      <rPr>
        <sz val="10"/>
        <color theme="1"/>
        <rFont val="Arial"/>
        <family val="2"/>
      </rPr>
      <t xml:space="preserve"> 11</t>
    </r>
    <r>
      <rPr>
        <sz val="10"/>
        <color theme="1"/>
        <rFont val="맑은 고딕"/>
        <family val="3"/>
        <charset val="129"/>
      </rPr>
      <t>월</t>
    </r>
  </si>
  <si>
    <r>
      <t>'28</t>
    </r>
    <r>
      <rPr>
        <sz val="10"/>
        <color theme="1"/>
        <rFont val="맑은 고딕"/>
        <family val="3"/>
        <charset val="129"/>
      </rPr>
      <t>년</t>
    </r>
    <r>
      <rPr>
        <sz val="10"/>
        <color theme="1"/>
        <rFont val="Arial"/>
        <family val="2"/>
      </rPr>
      <t xml:space="preserve"> 12</t>
    </r>
    <r>
      <rPr>
        <sz val="10"/>
        <color theme="1"/>
        <rFont val="맑은 고딕"/>
        <family val="3"/>
        <charset val="129"/>
      </rPr>
      <t>월</t>
    </r>
  </si>
  <si>
    <r>
      <t>2028</t>
    </r>
    <r>
      <rPr>
        <sz val="10"/>
        <color theme="1"/>
        <rFont val="맑은 고딕"/>
        <family val="3"/>
        <charset val="129"/>
      </rPr>
      <t>년</t>
    </r>
  </si>
  <si>
    <r>
      <t>'29</t>
    </r>
    <r>
      <rPr>
        <sz val="10"/>
        <color theme="1"/>
        <rFont val="맑은 고딕"/>
        <family val="3"/>
        <charset val="129"/>
      </rPr>
      <t>년</t>
    </r>
    <r>
      <rPr>
        <sz val="10"/>
        <color theme="1"/>
        <rFont val="Arial"/>
        <family val="2"/>
      </rPr>
      <t xml:space="preserve"> 01</t>
    </r>
    <r>
      <rPr>
        <sz val="10"/>
        <color theme="1"/>
        <rFont val="맑은 고딕"/>
        <family val="3"/>
        <charset val="129"/>
      </rPr>
      <t>월</t>
    </r>
  </si>
  <si>
    <r>
      <t>'29</t>
    </r>
    <r>
      <rPr>
        <sz val="10"/>
        <color theme="1"/>
        <rFont val="맑은 고딕"/>
        <family val="3"/>
        <charset val="129"/>
      </rPr>
      <t>년</t>
    </r>
    <r>
      <rPr>
        <sz val="10"/>
        <color theme="1"/>
        <rFont val="Arial"/>
        <family val="2"/>
      </rPr>
      <t xml:space="preserve"> 02</t>
    </r>
    <r>
      <rPr>
        <sz val="10"/>
        <color theme="1"/>
        <rFont val="맑은 고딕"/>
        <family val="3"/>
        <charset val="129"/>
      </rPr>
      <t>월</t>
    </r>
  </si>
  <si>
    <r>
      <t>'29</t>
    </r>
    <r>
      <rPr>
        <sz val="10"/>
        <color theme="1"/>
        <rFont val="맑은 고딕"/>
        <family val="3"/>
        <charset val="129"/>
      </rPr>
      <t>년</t>
    </r>
    <r>
      <rPr>
        <sz val="10"/>
        <color theme="1"/>
        <rFont val="Arial"/>
        <family val="2"/>
      </rPr>
      <t xml:space="preserve"> 03</t>
    </r>
    <r>
      <rPr>
        <sz val="10"/>
        <color theme="1"/>
        <rFont val="맑은 고딕"/>
        <family val="3"/>
        <charset val="129"/>
      </rPr>
      <t>월</t>
    </r>
  </si>
  <si>
    <r>
      <t>'29</t>
    </r>
    <r>
      <rPr>
        <sz val="10"/>
        <color theme="1"/>
        <rFont val="맑은 고딕"/>
        <family val="3"/>
        <charset val="129"/>
      </rPr>
      <t>년</t>
    </r>
    <r>
      <rPr>
        <sz val="10"/>
        <color theme="1"/>
        <rFont val="Arial"/>
        <family val="2"/>
      </rPr>
      <t xml:space="preserve"> 04</t>
    </r>
    <r>
      <rPr>
        <sz val="10"/>
        <color theme="1"/>
        <rFont val="맑은 고딕"/>
        <family val="3"/>
        <charset val="129"/>
      </rPr>
      <t>월</t>
    </r>
  </si>
  <si>
    <r>
      <t>'29</t>
    </r>
    <r>
      <rPr>
        <sz val="10"/>
        <color theme="1"/>
        <rFont val="맑은 고딕"/>
        <family val="3"/>
        <charset val="129"/>
      </rPr>
      <t>년</t>
    </r>
    <r>
      <rPr>
        <sz val="10"/>
        <color theme="1"/>
        <rFont val="Arial"/>
        <family val="2"/>
      </rPr>
      <t xml:space="preserve"> 05</t>
    </r>
    <r>
      <rPr>
        <sz val="10"/>
        <color theme="1"/>
        <rFont val="맑은 고딕"/>
        <family val="3"/>
        <charset val="129"/>
      </rPr>
      <t>월</t>
    </r>
  </si>
  <si>
    <r>
      <t>'29</t>
    </r>
    <r>
      <rPr>
        <sz val="10"/>
        <color theme="1"/>
        <rFont val="맑은 고딕"/>
        <family val="3"/>
        <charset val="129"/>
      </rPr>
      <t>년</t>
    </r>
    <r>
      <rPr>
        <sz val="10"/>
        <color theme="1"/>
        <rFont val="Arial"/>
        <family val="2"/>
      </rPr>
      <t xml:space="preserve"> 06</t>
    </r>
    <r>
      <rPr>
        <sz val="10"/>
        <color theme="1"/>
        <rFont val="맑은 고딕"/>
        <family val="3"/>
        <charset val="129"/>
      </rPr>
      <t>월</t>
    </r>
  </si>
  <si>
    <r>
      <t>'29</t>
    </r>
    <r>
      <rPr>
        <sz val="10"/>
        <color theme="1"/>
        <rFont val="맑은 고딕"/>
        <family val="3"/>
        <charset val="129"/>
      </rPr>
      <t>년</t>
    </r>
    <r>
      <rPr>
        <sz val="10"/>
        <color theme="1"/>
        <rFont val="Arial"/>
        <family val="2"/>
      </rPr>
      <t xml:space="preserve"> 07</t>
    </r>
    <r>
      <rPr>
        <sz val="10"/>
        <color theme="1"/>
        <rFont val="맑은 고딕"/>
        <family val="3"/>
        <charset val="129"/>
      </rPr>
      <t>월</t>
    </r>
  </si>
  <si>
    <r>
      <t>'29</t>
    </r>
    <r>
      <rPr>
        <sz val="10"/>
        <color theme="1"/>
        <rFont val="맑은 고딕"/>
        <family val="3"/>
        <charset val="129"/>
      </rPr>
      <t>년</t>
    </r>
    <r>
      <rPr>
        <sz val="10"/>
        <color theme="1"/>
        <rFont val="Arial"/>
        <family val="2"/>
      </rPr>
      <t xml:space="preserve"> 08</t>
    </r>
    <r>
      <rPr>
        <sz val="10"/>
        <color theme="1"/>
        <rFont val="맑은 고딕"/>
        <family val="3"/>
        <charset val="129"/>
      </rPr>
      <t>월</t>
    </r>
  </si>
  <si>
    <r>
      <t>'29</t>
    </r>
    <r>
      <rPr>
        <sz val="10"/>
        <color theme="1"/>
        <rFont val="맑은 고딕"/>
        <family val="3"/>
        <charset val="129"/>
      </rPr>
      <t>년</t>
    </r>
    <r>
      <rPr>
        <sz val="10"/>
        <color theme="1"/>
        <rFont val="Arial"/>
        <family val="2"/>
      </rPr>
      <t xml:space="preserve"> 09</t>
    </r>
    <r>
      <rPr>
        <sz val="10"/>
        <color theme="1"/>
        <rFont val="맑은 고딕"/>
        <family val="3"/>
        <charset val="129"/>
      </rPr>
      <t>월</t>
    </r>
  </si>
  <si>
    <r>
      <t>'29</t>
    </r>
    <r>
      <rPr>
        <sz val="10"/>
        <color theme="1"/>
        <rFont val="맑은 고딕"/>
        <family val="3"/>
        <charset val="129"/>
      </rPr>
      <t>년</t>
    </r>
    <r>
      <rPr>
        <sz val="10"/>
        <color theme="1"/>
        <rFont val="Arial"/>
        <family val="2"/>
      </rPr>
      <t xml:space="preserve"> 10</t>
    </r>
    <r>
      <rPr>
        <sz val="10"/>
        <color theme="1"/>
        <rFont val="맑은 고딕"/>
        <family val="3"/>
        <charset val="129"/>
      </rPr>
      <t>월</t>
    </r>
  </si>
  <si>
    <r>
      <t>'29</t>
    </r>
    <r>
      <rPr>
        <sz val="10"/>
        <color theme="1"/>
        <rFont val="맑은 고딕"/>
        <family val="3"/>
        <charset val="129"/>
      </rPr>
      <t>년</t>
    </r>
    <r>
      <rPr>
        <sz val="10"/>
        <color theme="1"/>
        <rFont val="Arial"/>
        <family val="2"/>
      </rPr>
      <t xml:space="preserve"> 11</t>
    </r>
    <r>
      <rPr>
        <sz val="10"/>
        <color theme="1"/>
        <rFont val="맑은 고딕"/>
        <family val="3"/>
        <charset val="129"/>
      </rPr>
      <t>월</t>
    </r>
  </si>
  <si>
    <r>
      <t>'29</t>
    </r>
    <r>
      <rPr>
        <sz val="10"/>
        <color theme="1"/>
        <rFont val="맑은 고딕"/>
        <family val="3"/>
        <charset val="129"/>
      </rPr>
      <t>년</t>
    </r>
    <r>
      <rPr>
        <sz val="10"/>
        <color theme="1"/>
        <rFont val="Arial"/>
        <family val="2"/>
      </rPr>
      <t xml:space="preserve"> 12</t>
    </r>
    <r>
      <rPr>
        <sz val="10"/>
        <color theme="1"/>
        <rFont val="맑은 고딕"/>
        <family val="3"/>
        <charset val="129"/>
      </rPr>
      <t>월</t>
    </r>
  </si>
  <si>
    <r>
      <t>2029</t>
    </r>
    <r>
      <rPr>
        <sz val="10"/>
        <color theme="1"/>
        <rFont val="맑은 고딕"/>
        <family val="3"/>
        <charset val="129"/>
      </rPr>
      <t>년</t>
    </r>
  </si>
  <si>
    <r>
      <t>'30</t>
    </r>
    <r>
      <rPr>
        <sz val="10"/>
        <color theme="1"/>
        <rFont val="맑은 고딕"/>
        <family val="3"/>
        <charset val="129"/>
      </rPr>
      <t>년</t>
    </r>
    <r>
      <rPr>
        <sz val="10"/>
        <color theme="1"/>
        <rFont val="Arial"/>
        <family val="2"/>
      </rPr>
      <t xml:space="preserve"> 01</t>
    </r>
    <r>
      <rPr>
        <sz val="10"/>
        <color theme="1"/>
        <rFont val="맑은 고딕"/>
        <family val="3"/>
        <charset val="129"/>
      </rPr>
      <t>월</t>
    </r>
  </si>
  <si>
    <r>
      <t>'30</t>
    </r>
    <r>
      <rPr>
        <sz val="10"/>
        <color theme="1"/>
        <rFont val="맑은 고딕"/>
        <family val="3"/>
        <charset val="129"/>
      </rPr>
      <t>년</t>
    </r>
    <r>
      <rPr>
        <sz val="10"/>
        <color theme="1"/>
        <rFont val="Arial"/>
        <family val="2"/>
      </rPr>
      <t xml:space="preserve"> 02</t>
    </r>
    <r>
      <rPr>
        <sz val="10"/>
        <color theme="1"/>
        <rFont val="맑은 고딕"/>
        <family val="3"/>
        <charset val="129"/>
      </rPr>
      <t>월</t>
    </r>
  </si>
  <si>
    <r>
      <t>'30</t>
    </r>
    <r>
      <rPr>
        <sz val="10"/>
        <color theme="1"/>
        <rFont val="맑은 고딕"/>
        <family val="3"/>
        <charset val="129"/>
      </rPr>
      <t>년</t>
    </r>
    <r>
      <rPr>
        <sz val="10"/>
        <color theme="1"/>
        <rFont val="Arial"/>
        <family val="2"/>
      </rPr>
      <t xml:space="preserve"> 03</t>
    </r>
    <r>
      <rPr>
        <sz val="10"/>
        <color theme="1"/>
        <rFont val="맑은 고딕"/>
        <family val="3"/>
        <charset val="129"/>
      </rPr>
      <t>월</t>
    </r>
  </si>
  <si>
    <r>
      <t>'30</t>
    </r>
    <r>
      <rPr>
        <sz val="10"/>
        <color theme="1"/>
        <rFont val="맑은 고딕"/>
        <family val="3"/>
        <charset val="129"/>
      </rPr>
      <t>년</t>
    </r>
    <r>
      <rPr>
        <sz val="10"/>
        <color theme="1"/>
        <rFont val="Arial"/>
        <family val="2"/>
      </rPr>
      <t xml:space="preserve"> 04</t>
    </r>
    <r>
      <rPr>
        <sz val="10"/>
        <color theme="1"/>
        <rFont val="맑은 고딕"/>
        <family val="3"/>
        <charset val="129"/>
      </rPr>
      <t>월</t>
    </r>
  </si>
  <si>
    <r>
      <t>'30</t>
    </r>
    <r>
      <rPr>
        <sz val="10"/>
        <color theme="1"/>
        <rFont val="맑은 고딕"/>
        <family val="3"/>
        <charset val="129"/>
      </rPr>
      <t>년</t>
    </r>
    <r>
      <rPr>
        <sz val="10"/>
        <color theme="1"/>
        <rFont val="Arial"/>
        <family val="2"/>
      </rPr>
      <t xml:space="preserve"> 05</t>
    </r>
    <r>
      <rPr>
        <sz val="10"/>
        <color theme="1"/>
        <rFont val="맑은 고딕"/>
        <family val="3"/>
        <charset val="129"/>
      </rPr>
      <t>월</t>
    </r>
  </si>
  <si>
    <r>
      <t>'30</t>
    </r>
    <r>
      <rPr>
        <sz val="10"/>
        <color theme="1"/>
        <rFont val="맑은 고딕"/>
        <family val="3"/>
        <charset val="129"/>
      </rPr>
      <t>년</t>
    </r>
    <r>
      <rPr>
        <sz val="10"/>
        <color theme="1"/>
        <rFont val="Arial"/>
        <family val="2"/>
      </rPr>
      <t xml:space="preserve"> 06</t>
    </r>
    <r>
      <rPr>
        <sz val="10"/>
        <color theme="1"/>
        <rFont val="맑은 고딕"/>
        <family val="3"/>
        <charset val="129"/>
      </rPr>
      <t>월</t>
    </r>
  </si>
  <si>
    <r>
      <t>'30</t>
    </r>
    <r>
      <rPr>
        <sz val="10"/>
        <color theme="1"/>
        <rFont val="맑은 고딕"/>
        <family val="3"/>
        <charset val="129"/>
      </rPr>
      <t>년</t>
    </r>
    <r>
      <rPr>
        <sz val="10"/>
        <color theme="1"/>
        <rFont val="Arial"/>
        <family val="2"/>
      </rPr>
      <t xml:space="preserve"> 07</t>
    </r>
    <r>
      <rPr>
        <sz val="10"/>
        <color theme="1"/>
        <rFont val="맑은 고딕"/>
        <family val="3"/>
        <charset val="129"/>
      </rPr>
      <t>월</t>
    </r>
  </si>
  <si>
    <r>
      <t>'30</t>
    </r>
    <r>
      <rPr>
        <sz val="10"/>
        <color theme="1"/>
        <rFont val="맑은 고딕"/>
        <family val="3"/>
        <charset val="129"/>
      </rPr>
      <t>년</t>
    </r>
    <r>
      <rPr>
        <sz val="10"/>
        <color theme="1"/>
        <rFont val="Arial"/>
        <family val="2"/>
      </rPr>
      <t xml:space="preserve"> 08</t>
    </r>
    <r>
      <rPr>
        <sz val="10"/>
        <color theme="1"/>
        <rFont val="맑은 고딕"/>
        <family val="3"/>
        <charset val="129"/>
      </rPr>
      <t>월</t>
    </r>
  </si>
  <si>
    <r>
      <t>'30</t>
    </r>
    <r>
      <rPr>
        <sz val="10"/>
        <color theme="1"/>
        <rFont val="맑은 고딕"/>
        <family val="3"/>
        <charset val="129"/>
      </rPr>
      <t>년</t>
    </r>
    <r>
      <rPr>
        <sz val="10"/>
        <color theme="1"/>
        <rFont val="Arial"/>
        <family val="2"/>
      </rPr>
      <t xml:space="preserve"> 09</t>
    </r>
    <r>
      <rPr>
        <sz val="10"/>
        <color theme="1"/>
        <rFont val="맑은 고딕"/>
        <family val="3"/>
        <charset val="129"/>
      </rPr>
      <t>월</t>
    </r>
  </si>
  <si>
    <r>
      <t>'30</t>
    </r>
    <r>
      <rPr>
        <sz val="10"/>
        <color theme="1"/>
        <rFont val="맑은 고딕"/>
        <family val="3"/>
        <charset val="129"/>
      </rPr>
      <t>년</t>
    </r>
    <r>
      <rPr>
        <sz val="10"/>
        <color theme="1"/>
        <rFont val="Arial"/>
        <family val="2"/>
      </rPr>
      <t xml:space="preserve"> 10</t>
    </r>
    <r>
      <rPr>
        <sz val="10"/>
        <color theme="1"/>
        <rFont val="맑은 고딕"/>
        <family val="3"/>
        <charset val="129"/>
      </rPr>
      <t>월</t>
    </r>
  </si>
  <si>
    <r>
      <t>'30</t>
    </r>
    <r>
      <rPr>
        <sz val="10"/>
        <color theme="1"/>
        <rFont val="맑은 고딕"/>
        <family val="3"/>
        <charset val="129"/>
      </rPr>
      <t>년</t>
    </r>
    <r>
      <rPr>
        <sz val="10"/>
        <color theme="1"/>
        <rFont val="Arial"/>
        <family val="2"/>
      </rPr>
      <t xml:space="preserve"> 11</t>
    </r>
    <r>
      <rPr>
        <sz val="10"/>
        <color theme="1"/>
        <rFont val="맑은 고딕"/>
        <family val="3"/>
        <charset val="129"/>
      </rPr>
      <t>월</t>
    </r>
  </si>
  <si>
    <r>
      <t>'30</t>
    </r>
    <r>
      <rPr>
        <sz val="10"/>
        <color theme="1"/>
        <rFont val="맑은 고딕"/>
        <family val="3"/>
        <charset val="129"/>
      </rPr>
      <t>년</t>
    </r>
    <r>
      <rPr>
        <sz val="10"/>
        <color theme="1"/>
        <rFont val="Arial"/>
        <family val="2"/>
      </rPr>
      <t xml:space="preserve"> 12</t>
    </r>
    <r>
      <rPr>
        <sz val="10"/>
        <color theme="1"/>
        <rFont val="맑은 고딕"/>
        <family val="3"/>
        <charset val="129"/>
      </rPr>
      <t>월</t>
    </r>
  </si>
  <si>
    <r>
      <t>2030</t>
    </r>
    <r>
      <rPr>
        <sz val="10"/>
        <color theme="1"/>
        <rFont val="맑은 고딕"/>
        <family val="3"/>
        <charset val="129"/>
      </rPr>
      <t>년</t>
    </r>
  </si>
  <si>
    <r>
      <rPr>
        <b/>
        <sz val="10"/>
        <color theme="1"/>
        <rFont val="맑은 고딕"/>
        <family val="3"/>
        <charset val="129"/>
      </rPr>
      <t>수입총계</t>
    </r>
    <phoneticPr fontId="5" type="noConversion"/>
  </si>
  <si>
    <r>
      <rPr>
        <sz val="10"/>
        <color theme="1"/>
        <rFont val="맑은 고딕"/>
        <family val="3"/>
        <charset val="129"/>
      </rPr>
      <t>현대건설</t>
    </r>
    <r>
      <rPr>
        <sz val="10"/>
        <color theme="1"/>
        <rFont val="Arial"/>
        <family val="2"/>
      </rPr>
      <t>(</t>
    </r>
    <r>
      <rPr>
        <sz val="10"/>
        <color theme="1"/>
        <rFont val="맑은 고딕"/>
        <family val="3"/>
        <charset val="129"/>
      </rPr>
      <t>성과급</t>
    </r>
    <r>
      <rPr>
        <sz val="10"/>
        <color theme="1"/>
        <rFont val="Arial"/>
        <family val="2"/>
      </rPr>
      <t>/</t>
    </r>
    <r>
      <rPr>
        <sz val="10"/>
        <color theme="1"/>
        <rFont val="맑은 고딕"/>
        <family val="3"/>
        <charset val="129"/>
      </rPr>
      <t>격려금제외</t>
    </r>
    <r>
      <rPr>
        <sz val="10"/>
        <color theme="1"/>
        <rFont val="Arial"/>
        <family val="2"/>
      </rPr>
      <t>)</t>
    </r>
    <phoneticPr fontId="5" type="noConversion"/>
  </si>
  <si>
    <r>
      <rPr>
        <sz val="10"/>
        <color theme="1"/>
        <rFont val="맑은 고딕"/>
        <family val="3"/>
        <charset val="129"/>
      </rPr>
      <t>현대건설</t>
    </r>
    <r>
      <rPr>
        <sz val="10"/>
        <color theme="1"/>
        <rFont val="Arial"/>
        <family val="2"/>
      </rPr>
      <t>(</t>
    </r>
    <r>
      <rPr>
        <sz val="10"/>
        <color theme="1"/>
        <rFont val="맑은 고딕"/>
        <family val="3"/>
        <charset val="129"/>
      </rPr>
      <t>해외출장비</t>
    </r>
    <r>
      <rPr>
        <sz val="10"/>
        <color theme="1"/>
        <rFont val="Arial"/>
        <family val="2"/>
      </rPr>
      <t>)</t>
    </r>
    <phoneticPr fontId="5" type="noConversion"/>
  </si>
  <si>
    <r>
      <rPr>
        <sz val="10"/>
        <color theme="1"/>
        <rFont val="맑은 고딕"/>
        <family val="3"/>
        <charset val="129"/>
      </rPr>
      <t>현대건설</t>
    </r>
    <r>
      <rPr>
        <sz val="10"/>
        <color theme="1"/>
        <rFont val="Arial"/>
        <family val="2"/>
      </rPr>
      <t>(</t>
    </r>
    <r>
      <rPr>
        <sz val="10"/>
        <color theme="1"/>
        <rFont val="맑은 고딕"/>
        <family val="3"/>
        <charset val="129"/>
      </rPr>
      <t>국내출장비</t>
    </r>
    <r>
      <rPr>
        <sz val="10"/>
        <color theme="1"/>
        <rFont val="Arial"/>
        <family val="2"/>
      </rPr>
      <t>)</t>
    </r>
    <phoneticPr fontId="5" type="noConversion"/>
  </si>
  <si>
    <r>
      <rPr>
        <sz val="10"/>
        <color theme="1"/>
        <rFont val="맑은 고딕"/>
        <family val="3"/>
        <charset val="129"/>
      </rPr>
      <t>조의금</t>
    </r>
    <phoneticPr fontId="5" type="noConversion"/>
  </si>
  <si>
    <r>
      <rPr>
        <sz val="10"/>
        <color theme="1"/>
        <rFont val="맑은 고딕"/>
        <family val="3"/>
        <charset val="129"/>
      </rPr>
      <t>여행</t>
    </r>
    <phoneticPr fontId="5" type="noConversion"/>
  </si>
  <si>
    <r>
      <rPr>
        <sz val="10"/>
        <color theme="1"/>
        <rFont val="맑은 고딕"/>
        <family val="3"/>
        <charset val="129"/>
      </rPr>
      <t>보험지급금</t>
    </r>
    <phoneticPr fontId="5" type="noConversion"/>
  </si>
  <si>
    <r>
      <rPr>
        <sz val="10"/>
        <color theme="1"/>
        <rFont val="맑은 고딕"/>
        <family val="3"/>
        <charset val="129"/>
      </rPr>
      <t>보험해지환급금</t>
    </r>
    <phoneticPr fontId="5" type="noConversion"/>
  </si>
  <si>
    <r>
      <rPr>
        <sz val="10"/>
        <color theme="1"/>
        <rFont val="맑은 고딕"/>
        <family val="3"/>
        <charset val="129"/>
      </rPr>
      <t>시내대중교통</t>
    </r>
    <r>
      <rPr>
        <sz val="10"/>
        <color theme="1"/>
        <rFont val="Arial"/>
        <family val="2"/>
      </rPr>
      <t>(</t>
    </r>
    <r>
      <rPr>
        <sz val="10"/>
        <color theme="1"/>
        <rFont val="맑은 고딕"/>
        <family val="3"/>
        <charset val="129"/>
      </rPr>
      <t>신용</t>
    </r>
    <r>
      <rPr>
        <sz val="10"/>
        <color theme="1"/>
        <rFont val="Arial"/>
        <family val="2"/>
      </rPr>
      <t>)</t>
    </r>
    <phoneticPr fontId="5" type="noConversion"/>
  </si>
  <si>
    <r>
      <rPr>
        <sz val="10"/>
        <color theme="1"/>
        <rFont val="맑은 고딕"/>
        <family val="3"/>
        <charset val="129"/>
      </rPr>
      <t>감사헌금</t>
    </r>
    <phoneticPr fontId="5" type="noConversion"/>
  </si>
  <si>
    <r>
      <rPr>
        <b/>
        <sz val="10"/>
        <color theme="1"/>
        <rFont val="맑은 고딕"/>
        <family val="3"/>
        <charset val="129"/>
      </rPr>
      <t>관리비</t>
    </r>
    <r>
      <rPr>
        <b/>
        <sz val="10"/>
        <color theme="1"/>
        <rFont val="Arial"/>
        <family val="2"/>
      </rPr>
      <t>/</t>
    </r>
    <r>
      <rPr>
        <b/>
        <sz val="10"/>
        <color theme="1"/>
        <rFont val="맑은 고딕"/>
        <family val="3"/>
        <charset val="129"/>
      </rPr>
      <t>가스비</t>
    </r>
    <r>
      <rPr>
        <b/>
        <sz val="10"/>
        <color theme="1"/>
        <rFont val="Arial"/>
        <family val="2"/>
      </rPr>
      <t>/</t>
    </r>
    <r>
      <rPr>
        <b/>
        <sz val="10"/>
        <color theme="1"/>
        <rFont val="맑은 고딕"/>
        <family val="3"/>
        <charset val="129"/>
      </rPr>
      <t>통신비</t>
    </r>
    <r>
      <rPr>
        <b/>
        <sz val="10"/>
        <color theme="1"/>
        <rFont val="Arial"/>
        <family val="2"/>
      </rPr>
      <t>/</t>
    </r>
    <r>
      <rPr>
        <b/>
        <sz val="10"/>
        <color theme="1"/>
        <rFont val="맑은 고딕"/>
        <family val="3"/>
        <charset val="129"/>
      </rPr>
      <t>정수기</t>
    </r>
    <phoneticPr fontId="5" type="noConversion"/>
  </si>
  <si>
    <r>
      <t xml:space="preserve">SKT </t>
    </r>
    <r>
      <rPr>
        <sz val="10"/>
        <color theme="1"/>
        <rFont val="맑은 고딕"/>
        <family val="3"/>
        <charset val="129"/>
      </rPr>
      <t>강태준</t>
    </r>
    <phoneticPr fontId="5" type="noConversion"/>
  </si>
  <si>
    <r>
      <t xml:space="preserve">SKT </t>
    </r>
    <r>
      <rPr>
        <sz val="10"/>
        <color theme="1"/>
        <rFont val="맑은 고딕"/>
        <family val="3"/>
        <charset val="129"/>
      </rPr>
      <t>양지현</t>
    </r>
    <phoneticPr fontId="5" type="noConversion"/>
  </si>
  <si>
    <r>
      <rPr>
        <sz val="10"/>
        <color theme="1"/>
        <rFont val="맑은 고딕"/>
        <family val="3"/>
        <charset val="129"/>
      </rPr>
      <t>정수기</t>
    </r>
    <phoneticPr fontId="5" type="noConversion"/>
  </si>
  <si>
    <r>
      <rPr>
        <b/>
        <sz val="10"/>
        <color theme="1"/>
        <rFont val="맑은 고딕"/>
        <family val="3"/>
        <charset val="129"/>
      </rPr>
      <t>신용카드</t>
    </r>
    <phoneticPr fontId="5" type="noConversion"/>
  </si>
  <si>
    <r>
      <rPr>
        <sz val="10"/>
        <color theme="1"/>
        <rFont val="맑은 고딕"/>
        <family val="3"/>
        <charset val="129"/>
      </rPr>
      <t>부동산취등록세</t>
    </r>
    <phoneticPr fontId="5" type="noConversion"/>
  </si>
  <si>
    <r>
      <rPr>
        <sz val="10"/>
        <color theme="1"/>
        <rFont val="맑은 고딕"/>
        <family val="3"/>
        <charset val="129"/>
      </rPr>
      <t>이마트</t>
    </r>
    <r>
      <rPr>
        <sz val="10"/>
        <color theme="1"/>
        <rFont val="Arial"/>
        <family val="2"/>
      </rPr>
      <t>(</t>
    </r>
    <r>
      <rPr>
        <sz val="10"/>
        <color theme="1"/>
        <rFont val="맑은 고딕"/>
        <family val="3"/>
        <charset val="129"/>
      </rPr>
      <t>트레이더스</t>
    </r>
    <r>
      <rPr>
        <sz val="10"/>
        <color theme="1"/>
        <rFont val="Arial"/>
        <family val="2"/>
      </rPr>
      <t>)</t>
    </r>
    <phoneticPr fontId="5" type="noConversion"/>
  </si>
  <si>
    <r>
      <rPr>
        <sz val="10"/>
        <color theme="1"/>
        <rFont val="맑은 고딕"/>
        <family val="3"/>
        <charset val="129"/>
      </rPr>
      <t>롯데마트</t>
    </r>
    <r>
      <rPr>
        <sz val="10"/>
        <color theme="1"/>
        <rFont val="Arial"/>
        <family val="2"/>
      </rPr>
      <t>(VIC</t>
    </r>
    <r>
      <rPr>
        <sz val="10"/>
        <color theme="1"/>
        <rFont val="맑은 고딕"/>
        <family val="3"/>
        <charset val="129"/>
      </rPr>
      <t>마켓</t>
    </r>
    <r>
      <rPr>
        <sz val="10"/>
        <color theme="1"/>
        <rFont val="Arial"/>
        <family val="2"/>
      </rPr>
      <t>)</t>
    </r>
    <phoneticPr fontId="5" type="noConversion"/>
  </si>
  <si>
    <r>
      <rPr>
        <sz val="10"/>
        <color theme="1"/>
        <rFont val="맑은 고딕"/>
        <family val="3"/>
        <charset val="129"/>
      </rPr>
      <t>기타</t>
    </r>
    <r>
      <rPr>
        <sz val="10"/>
        <color theme="1"/>
        <rFont val="Arial"/>
        <family val="2"/>
      </rPr>
      <t>(</t>
    </r>
    <r>
      <rPr>
        <sz val="10"/>
        <color theme="1"/>
        <rFont val="맑은 고딕"/>
        <family val="3"/>
        <charset val="129"/>
      </rPr>
      <t>시장</t>
    </r>
    <r>
      <rPr>
        <sz val="10"/>
        <color theme="1"/>
        <rFont val="Arial"/>
        <family val="2"/>
      </rPr>
      <t>)</t>
    </r>
    <phoneticPr fontId="5" type="noConversion"/>
  </si>
  <si>
    <r>
      <rPr>
        <sz val="10"/>
        <color theme="1"/>
        <rFont val="맑은 고딕"/>
        <family val="3"/>
        <charset val="129"/>
      </rPr>
      <t>요기요</t>
    </r>
    <phoneticPr fontId="5" type="noConversion"/>
  </si>
  <si>
    <r>
      <t>LG</t>
    </r>
    <r>
      <rPr>
        <sz val="10"/>
        <color theme="1"/>
        <rFont val="맑은 고딕"/>
        <family val="3"/>
        <charset val="129"/>
      </rPr>
      <t>서비스센터</t>
    </r>
    <phoneticPr fontId="5" type="noConversion"/>
  </si>
  <si>
    <r>
      <rPr>
        <sz val="10"/>
        <color theme="1"/>
        <rFont val="맑은 고딕"/>
        <family val="3"/>
        <charset val="129"/>
      </rPr>
      <t>휴대폰</t>
    </r>
    <phoneticPr fontId="5" type="noConversion"/>
  </si>
  <si>
    <r>
      <rPr>
        <sz val="10"/>
        <color theme="1"/>
        <rFont val="맑은 고딕"/>
        <family val="3"/>
        <charset val="129"/>
      </rPr>
      <t>쿠팡</t>
    </r>
    <r>
      <rPr>
        <sz val="10"/>
        <color theme="1"/>
        <rFont val="Arial"/>
        <family val="2"/>
      </rPr>
      <t>/</t>
    </r>
    <r>
      <rPr>
        <sz val="10"/>
        <color theme="1"/>
        <rFont val="맑은 고딕"/>
        <family val="3"/>
        <charset val="129"/>
      </rPr>
      <t>네이버</t>
    </r>
    <r>
      <rPr>
        <sz val="10"/>
        <color theme="1"/>
        <rFont val="Arial"/>
        <family val="2"/>
      </rPr>
      <t>/</t>
    </r>
    <r>
      <rPr>
        <sz val="10"/>
        <color theme="1"/>
        <rFont val="맑은 고딕"/>
        <family val="3"/>
        <charset val="129"/>
      </rPr>
      <t>화해</t>
    </r>
    <r>
      <rPr>
        <sz val="10"/>
        <color theme="1"/>
        <rFont val="Arial"/>
        <family val="2"/>
      </rPr>
      <t>/</t>
    </r>
    <r>
      <rPr>
        <sz val="10"/>
        <color theme="1"/>
        <rFont val="맑은 고딕"/>
        <family val="3"/>
        <charset val="129"/>
      </rPr>
      <t>기타</t>
    </r>
    <r>
      <rPr>
        <sz val="10"/>
        <color theme="1"/>
        <rFont val="Arial"/>
        <family val="2"/>
      </rPr>
      <t>(</t>
    </r>
    <r>
      <rPr>
        <sz val="10"/>
        <color theme="1"/>
        <rFont val="맑은 고딕"/>
        <family val="3"/>
        <charset val="129"/>
      </rPr>
      <t>생활용품</t>
    </r>
    <r>
      <rPr>
        <sz val="10"/>
        <color theme="1"/>
        <rFont val="Arial"/>
        <family val="2"/>
      </rPr>
      <t>/</t>
    </r>
    <r>
      <rPr>
        <sz val="10"/>
        <color theme="1"/>
        <rFont val="맑은 고딕"/>
        <family val="3"/>
        <charset val="129"/>
      </rPr>
      <t>지완</t>
    </r>
    <r>
      <rPr>
        <sz val="10"/>
        <color theme="1"/>
        <rFont val="Arial"/>
        <family val="2"/>
      </rPr>
      <t>)</t>
    </r>
    <phoneticPr fontId="5" type="noConversion"/>
  </si>
  <si>
    <r>
      <rPr>
        <b/>
        <sz val="10"/>
        <color theme="1"/>
        <rFont val="맑은 고딕"/>
        <family val="3"/>
        <charset val="129"/>
      </rPr>
      <t>문화생활</t>
    </r>
    <phoneticPr fontId="5" type="noConversion"/>
  </si>
  <si>
    <r>
      <rPr>
        <sz val="10"/>
        <color theme="1"/>
        <rFont val="맑은 고딕"/>
        <family val="3"/>
        <charset val="129"/>
      </rPr>
      <t>남해상상양떼목장편백숲</t>
    </r>
    <phoneticPr fontId="5" type="noConversion"/>
  </si>
  <si>
    <r>
      <rPr>
        <sz val="10"/>
        <color theme="1"/>
        <rFont val="맑은 고딕"/>
        <family val="3"/>
        <charset val="129"/>
      </rPr>
      <t>골프</t>
    </r>
    <phoneticPr fontId="5" type="noConversion"/>
  </si>
  <si>
    <r>
      <rPr>
        <sz val="10"/>
        <color theme="1"/>
        <rFont val="맑은 고딕"/>
        <family val="3"/>
        <charset val="129"/>
      </rPr>
      <t>버스</t>
    </r>
    <phoneticPr fontId="5" type="noConversion"/>
  </si>
  <si>
    <r>
      <rPr>
        <sz val="10"/>
        <color theme="1"/>
        <rFont val="맑은 고딕"/>
        <family val="3"/>
        <charset val="129"/>
      </rPr>
      <t>택시</t>
    </r>
    <phoneticPr fontId="5" type="noConversion"/>
  </si>
  <si>
    <r>
      <rPr>
        <sz val="10"/>
        <color theme="1"/>
        <rFont val="맑은 고딕"/>
        <family val="3"/>
        <charset val="129"/>
      </rPr>
      <t>소마사고력수학학원</t>
    </r>
    <phoneticPr fontId="5" type="noConversion"/>
  </si>
  <si>
    <r>
      <rPr>
        <sz val="10"/>
        <color theme="1"/>
        <rFont val="맑은 고딕"/>
        <family val="3"/>
        <charset val="129"/>
      </rPr>
      <t>동그라미패스트랙키즈</t>
    </r>
    <phoneticPr fontId="5" type="noConversion"/>
  </si>
  <si>
    <r>
      <rPr>
        <sz val="10"/>
        <color theme="1"/>
        <rFont val="맑은 고딕"/>
        <family val="3"/>
        <charset val="129"/>
      </rPr>
      <t>차범근축구교실</t>
    </r>
    <phoneticPr fontId="5" type="noConversion"/>
  </si>
  <si>
    <r>
      <rPr>
        <sz val="10"/>
        <color theme="1"/>
        <rFont val="맑은 고딕"/>
        <family val="3"/>
        <charset val="129"/>
      </rPr>
      <t>교보문고</t>
    </r>
    <r>
      <rPr>
        <sz val="10"/>
        <color theme="1"/>
        <rFont val="Arial"/>
        <family val="2"/>
      </rPr>
      <t>/</t>
    </r>
    <r>
      <rPr>
        <sz val="10"/>
        <color theme="1"/>
        <rFont val="맑은 고딕"/>
        <family val="3"/>
        <charset val="129"/>
      </rPr>
      <t>알파문구</t>
    </r>
    <phoneticPr fontId="5" type="noConversion"/>
  </si>
  <si>
    <r>
      <rPr>
        <sz val="10"/>
        <color theme="1"/>
        <rFont val="맑은 고딕"/>
        <family val="3"/>
        <charset val="129"/>
      </rPr>
      <t>짐맥클린골프아카데미</t>
    </r>
    <phoneticPr fontId="5" type="noConversion"/>
  </si>
  <si>
    <r>
      <t xml:space="preserve">SPA </t>
    </r>
    <r>
      <rPr>
        <sz val="10"/>
        <color theme="1"/>
        <rFont val="맑은 고딕"/>
        <family val="3"/>
        <charset val="129"/>
      </rPr>
      <t>응시료</t>
    </r>
    <phoneticPr fontId="5" type="noConversion"/>
  </si>
  <si>
    <r>
      <rPr>
        <b/>
        <sz val="10"/>
        <color theme="1"/>
        <rFont val="맑은 고딕"/>
        <family val="3"/>
        <charset val="129"/>
      </rPr>
      <t>출장</t>
    </r>
    <phoneticPr fontId="5" type="noConversion"/>
  </si>
  <si>
    <r>
      <rPr>
        <sz val="10"/>
        <color theme="1"/>
        <rFont val="맑은 고딕"/>
        <family val="3"/>
        <charset val="129"/>
      </rPr>
      <t>해외출장경비</t>
    </r>
    <r>
      <rPr>
        <sz val="10"/>
        <color theme="1"/>
        <rFont val="Arial"/>
        <family val="2"/>
      </rPr>
      <t>(</t>
    </r>
    <r>
      <rPr>
        <sz val="10"/>
        <color theme="1"/>
        <rFont val="맑은 고딕"/>
        <family val="3"/>
        <charset val="129"/>
      </rPr>
      <t>실비제외</t>
    </r>
    <r>
      <rPr>
        <sz val="10"/>
        <color theme="1"/>
        <rFont val="Arial"/>
        <family val="2"/>
      </rPr>
      <t>)</t>
    </r>
    <phoneticPr fontId="5" type="noConversion"/>
  </si>
  <si>
    <r>
      <rPr>
        <sz val="10"/>
        <color theme="1"/>
        <rFont val="맑은 고딕"/>
        <family val="3"/>
        <charset val="129"/>
      </rPr>
      <t>국내출장경비</t>
    </r>
    <r>
      <rPr>
        <sz val="10"/>
        <color theme="1"/>
        <rFont val="Arial"/>
        <family val="2"/>
      </rPr>
      <t>(</t>
    </r>
    <r>
      <rPr>
        <sz val="10"/>
        <color theme="1"/>
        <rFont val="맑은 고딕"/>
        <family val="3"/>
        <charset val="129"/>
      </rPr>
      <t>실비제외</t>
    </r>
    <r>
      <rPr>
        <sz val="10"/>
        <color theme="1"/>
        <rFont val="Arial"/>
        <family val="2"/>
      </rPr>
      <t>)</t>
    </r>
    <phoneticPr fontId="5" type="noConversion"/>
  </si>
  <si>
    <r>
      <rPr>
        <sz val="10"/>
        <color theme="1"/>
        <rFont val="맑은 고딕"/>
        <family val="3"/>
        <charset val="129"/>
      </rPr>
      <t>사진관</t>
    </r>
    <phoneticPr fontId="5" type="noConversion"/>
  </si>
  <si>
    <r>
      <rPr>
        <sz val="10"/>
        <color theme="1"/>
        <rFont val="맑은 고딕"/>
        <family val="3"/>
        <charset val="129"/>
      </rPr>
      <t>모임회비</t>
    </r>
    <r>
      <rPr>
        <sz val="10"/>
        <color theme="1"/>
        <rFont val="Arial"/>
        <family val="2"/>
      </rPr>
      <t>(</t>
    </r>
    <r>
      <rPr>
        <sz val="10"/>
        <color theme="1"/>
        <rFont val="맑은 고딕"/>
        <family val="3"/>
        <charset val="129"/>
      </rPr>
      <t>룸비니</t>
    </r>
    <r>
      <rPr>
        <sz val="10"/>
        <color theme="1"/>
        <rFont val="Arial"/>
        <family val="2"/>
      </rPr>
      <t>)</t>
    </r>
    <phoneticPr fontId="5" type="noConversion"/>
  </si>
  <si>
    <r>
      <rPr>
        <b/>
        <sz val="10"/>
        <color theme="1"/>
        <rFont val="맑은 고딕"/>
        <family val="3"/>
        <charset val="129"/>
      </rPr>
      <t>저축총계</t>
    </r>
    <phoneticPr fontId="5" type="noConversion"/>
  </si>
  <si>
    <t>헤르지아</t>
    <phoneticPr fontId="5" type="noConversion"/>
  </si>
  <si>
    <t>남산산채집(주차)</t>
    <phoneticPr fontId="5" type="noConversion"/>
  </si>
  <si>
    <t>국립극장(주차)</t>
    <phoneticPr fontId="5" type="noConversion"/>
  </si>
  <si>
    <t>서울성모병원</t>
    <phoneticPr fontId="5" type="noConversion"/>
  </si>
  <si>
    <t>최우석 (107)
장진욱 (92)
나광조 (103)</t>
    <phoneticPr fontId="5" type="noConversion"/>
  </si>
  <si>
    <t>베트남뚝배기쌀국수</t>
    <phoneticPr fontId="5" type="noConversion"/>
  </si>
  <si>
    <t>론썸헤이드(강지완)</t>
    <phoneticPr fontId="5" type="noConversion"/>
  </si>
  <si>
    <t>고가네칼국수</t>
    <phoneticPr fontId="5" type="noConversion"/>
  </si>
  <si>
    <t>바운스트램폴린파크</t>
    <phoneticPr fontId="5" type="noConversion"/>
  </si>
  <si>
    <t>서초당약국</t>
    <phoneticPr fontId="5" type="noConversion"/>
  </si>
  <si>
    <t>하기스</t>
    <phoneticPr fontId="5" type="noConversion"/>
  </si>
  <si>
    <t>업비트</t>
    <phoneticPr fontId="5" type="noConversion"/>
  </si>
  <si>
    <t>소양탐정</t>
    <phoneticPr fontId="5" type="noConversion"/>
  </si>
  <si>
    <t>소양탐정(주차)</t>
    <phoneticPr fontId="5" type="noConversion"/>
  </si>
  <si>
    <t>미미담</t>
    <phoneticPr fontId="5" type="noConversion"/>
  </si>
  <si>
    <t>어울터</t>
    <phoneticPr fontId="5" type="noConversion"/>
  </si>
  <si>
    <t>당근마켓(구두)(강지완)</t>
    <phoneticPr fontId="5" type="noConversion"/>
  </si>
  <si>
    <t>이촌한강공원(주차)</t>
    <phoneticPr fontId="5" type="noConversion"/>
  </si>
  <si>
    <t>차범근축구교실(강지완)</t>
    <phoneticPr fontId="5" type="noConversion"/>
  </si>
  <si>
    <t>퐁퐁플라워</t>
    <phoneticPr fontId="5" type="noConversion"/>
  </si>
  <si>
    <t>카페브람스</t>
    <phoneticPr fontId="5" type="noConversion"/>
  </si>
  <si>
    <t>지파시</t>
    <phoneticPr fontId="5" type="noConversion"/>
  </si>
  <si>
    <t>롯데백화점(주차)</t>
    <phoneticPr fontId="5" type="noConversion"/>
  </si>
  <si>
    <t>워시존개러지</t>
    <phoneticPr fontId="5" type="noConversion"/>
  </si>
  <si>
    <t>당근마켓(골프공)</t>
    <phoneticPr fontId="5" type="noConversion"/>
  </si>
  <si>
    <t>서울페이</t>
    <phoneticPr fontId="5" type="noConversion"/>
  </si>
  <si>
    <t>곰돌이스타약국</t>
    <phoneticPr fontId="5" type="noConversion"/>
  </si>
  <si>
    <t>영양센타(주차)</t>
    <phoneticPr fontId="5" type="noConversion"/>
  </si>
  <si>
    <t>영양센타</t>
    <phoneticPr fontId="5" type="noConversion"/>
  </si>
  <si>
    <t>구내식당 14,000 + 유즈라멘 40,000 + 사우스스프링스 129,000</t>
    <phoneticPr fontId="5" type="noConversion"/>
  </si>
  <si>
    <t>구내식당 28,000 + 유즈라멘 40,000 (10월 선지급) + 사우스스프링스 129,000 (10월 선지급)</t>
    <phoneticPr fontId="5" type="noConversion"/>
  </si>
  <si>
    <t>이상호 생일</t>
    <phoneticPr fontId="5" type="noConversion"/>
  </si>
  <si>
    <t>안철호 (105)
김정훈 (101)
강은비 (104)</t>
    <phoneticPr fontId="5" type="noConversion"/>
  </si>
  <si>
    <t>라이나생명 해지환급금</t>
    <phoneticPr fontId="5" type="noConversion"/>
  </si>
  <si>
    <t>순대나라</t>
    <phoneticPr fontId="5" type="noConversion"/>
  </si>
  <si>
    <t>쿠팡(푸룬주스)</t>
    <phoneticPr fontId="5" type="noConversion"/>
  </si>
  <si>
    <t>CENACOLO VINCIANO</t>
    <phoneticPr fontId="5" type="noConversion"/>
  </si>
  <si>
    <t>해외출장비(트래블월렛)</t>
    <phoneticPr fontId="5" type="noConversion"/>
  </si>
  <si>
    <t>붕어빵</t>
    <phoneticPr fontId="5" type="noConversion"/>
  </si>
  <si>
    <t>출장(여행)</t>
    <phoneticPr fontId="5" type="noConversion"/>
  </si>
  <si>
    <t>쿠팡(삭피엔스)</t>
    <phoneticPr fontId="5" type="noConversion"/>
  </si>
  <si>
    <t>벨라쿠키</t>
    <phoneticPr fontId="5" type="noConversion"/>
  </si>
  <si>
    <t>뷰티풀캐리커쳐</t>
    <phoneticPr fontId="5" type="noConversion"/>
  </si>
  <si>
    <t>익선민영주차장</t>
    <phoneticPr fontId="5" type="noConversion"/>
  </si>
  <si>
    <t>에프터워크33</t>
    <phoneticPr fontId="5" type="noConversion"/>
  </si>
  <si>
    <t>CGV용산</t>
    <phoneticPr fontId="5" type="noConversion"/>
  </si>
  <si>
    <t>올리브영(토리든)</t>
    <phoneticPr fontId="5" type="noConversion"/>
  </si>
  <si>
    <t>면세점</t>
    <phoneticPr fontId="5" type="noConversion"/>
  </si>
  <si>
    <t>QEEQ(렌터카)</t>
    <phoneticPr fontId="5" type="noConversion"/>
  </si>
  <si>
    <t>ASPIT(통행료)</t>
    <phoneticPr fontId="5" type="noConversion"/>
  </si>
  <si>
    <t>IPER</t>
    <phoneticPr fontId="5" type="noConversion"/>
  </si>
  <si>
    <t>출장(경비)</t>
    <phoneticPr fontId="5" type="noConversion"/>
  </si>
  <si>
    <t>출장(식비)</t>
    <phoneticPr fontId="5" type="noConversion"/>
  </si>
  <si>
    <t>고속도로통행료(인천공항)</t>
    <phoneticPr fontId="5" type="noConversion"/>
  </si>
  <si>
    <t>KTX(서울-창원)</t>
    <phoneticPr fontId="5" type="noConversion"/>
  </si>
  <si>
    <t>마노디셰프</t>
    <phoneticPr fontId="5" type="noConversion"/>
  </si>
  <si>
    <t>네이버페이(유요석 팀장 선물)</t>
    <phoneticPr fontId="5" type="noConversion"/>
  </si>
  <si>
    <t>EUROPCAR(렌터카)</t>
    <phoneticPr fontId="5" type="noConversion"/>
  </si>
  <si>
    <t>쿠팡(아버지 칠순)</t>
    <phoneticPr fontId="5" type="noConversion"/>
  </si>
  <si>
    <t>11번가(JS SLOANE)</t>
    <phoneticPr fontId="5" type="noConversion"/>
  </si>
  <si>
    <t>아이민스튜디오</t>
    <phoneticPr fontId="5" type="noConversion"/>
  </si>
  <si>
    <t>짠돈</t>
    <phoneticPr fontId="5" type="noConversion"/>
  </si>
  <si>
    <t>구내식당 50,500</t>
    <phoneticPr fontId="5" type="noConversion"/>
  </si>
  <si>
    <t>배달의민족/쿠팡이츠</t>
    <phoneticPr fontId="5" type="noConversion"/>
  </si>
  <si>
    <t>용주골생고기</t>
    <phoneticPr fontId="5" type="noConversion"/>
  </si>
  <si>
    <t>서울역(식사)</t>
    <phoneticPr fontId="5" type="noConversion"/>
  </si>
  <si>
    <t>횡단보도불법주정차 과태료</t>
    <phoneticPr fontId="5" type="noConversion"/>
  </si>
  <si>
    <t>KTX 자판기</t>
    <phoneticPr fontId="5" type="noConversion"/>
  </si>
  <si>
    <t>칠순</t>
    <phoneticPr fontId="5" type="noConversion"/>
  </si>
  <si>
    <t>꽃피움(아버지 칠순)</t>
    <phoneticPr fontId="5" type="noConversion"/>
  </si>
  <si>
    <t>반송시장</t>
    <phoneticPr fontId="5" type="noConversion"/>
  </si>
  <si>
    <t>나모바버샵</t>
    <phoneticPr fontId="5" type="noConversion"/>
  </si>
  <si>
    <t>참사랑소아과의원</t>
    <phoneticPr fontId="5" type="noConversion"/>
  </si>
  <si>
    <t>반송약국</t>
    <phoneticPr fontId="5" type="noConversion"/>
  </si>
  <si>
    <t>빅세일마트</t>
    <phoneticPr fontId="5" type="noConversion"/>
  </si>
  <si>
    <t>스토리웨이</t>
    <phoneticPr fontId="5" type="noConversion"/>
  </si>
  <si>
    <t>고향사랑기부금</t>
    <phoneticPr fontId="5" type="noConversion"/>
  </si>
  <si>
    <t>흑석동주민센터</t>
    <phoneticPr fontId="5" type="noConversion"/>
  </si>
  <si>
    <t>신한은행강화지점 주차장</t>
    <phoneticPr fontId="5" type="noConversion"/>
  </si>
  <si>
    <t>금문도</t>
    <phoneticPr fontId="5" type="noConversion"/>
  </si>
  <si>
    <t>옥토끼우주센터</t>
    <phoneticPr fontId="5" type="noConversion"/>
  </si>
  <si>
    <t>침스버거</t>
    <phoneticPr fontId="5" type="noConversion"/>
  </si>
  <si>
    <t>신세계백화점</t>
    <phoneticPr fontId="5" type="noConversion"/>
  </si>
  <si>
    <t>구스토리아</t>
    <phoneticPr fontId="5" type="noConversion"/>
  </si>
  <si>
    <t>KB손해보험-자동차(그랜저)</t>
    <phoneticPr fontId="5" type="noConversion"/>
  </si>
  <si>
    <t>귀뚜라미보일러</t>
    <phoneticPr fontId="5" type="noConversion"/>
  </si>
  <si>
    <t>해외출장비</t>
    <phoneticPr fontId="5" type="noConversion"/>
  </si>
  <si>
    <t>네이버페이(자동차용품)</t>
    <phoneticPr fontId="5" type="noConversion"/>
  </si>
  <si>
    <t>선릉이스타빌(주차)</t>
    <phoneticPr fontId="5" type="noConversion"/>
  </si>
  <si>
    <t>류경회관</t>
    <phoneticPr fontId="5" type="noConversion"/>
  </si>
  <si>
    <t>서울성모병원(강지완)</t>
    <phoneticPr fontId="5" type="noConversion"/>
  </si>
  <si>
    <t>WS타워(주차)</t>
    <phoneticPr fontId="5" type="noConversion"/>
  </si>
  <si>
    <t>당근마켓(다독다독과학)(강지완)</t>
    <phoneticPr fontId="5" type="noConversion"/>
  </si>
  <si>
    <t>위아플라워</t>
    <phoneticPr fontId="5" type="noConversion"/>
  </si>
  <si>
    <t>'25년 01월</t>
    <phoneticPr fontId="5" type="noConversion"/>
  </si>
  <si>
    <t>구내식당 25,000</t>
    <phoneticPr fontId="5" type="noConversion"/>
  </si>
  <si>
    <t>신용카드 (Mr. Life)</t>
    <phoneticPr fontId="5" type="noConversion"/>
  </si>
  <si>
    <t>도쿄미식당</t>
    <phoneticPr fontId="5" type="noConversion"/>
  </si>
  <si>
    <t>다시식당</t>
    <phoneticPr fontId="5" type="noConversion"/>
  </si>
  <si>
    <t>토방분식</t>
    <phoneticPr fontId="5" type="noConversion"/>
  </si>
  <si>
    <t>카페주남</t>
    <phoneticPr fontId="5" type="noConversion"/>
  </si>
  <si>
    <t>알로하오에</t>
    <phoneticPr fontId="5" type="noConversion"/>
  </si>
  <si>
    <t>KB손해보험-자동차(K5)</t>
    <phoneticPr fontId="5" type="noConversion"/>
  </si>
  <si>
    <t>명절용돈(강지성)</t>
    <phoneticPr fontId="5" type="noConversion"/>
  </si>
  <si>
    <t>124샘90</t>
    <phoneticPr fontId="5" type="noConversion"/>
  </si>
  <si>
    <t>적금이자</t>
    <phoneticPr fontId="5" type="noConversion"/>
  </si>
  <si>
    <t>던킨</t>
    <phoneticPr fontId="5" type="noConversion"/>
  </si>
  <si>
    <t>결혼식(이창교)</t>
    <phoneticPr fontId="5" type="noConversion"/>
  </si>
  <si>
    <t>네이버페이(팔라라이더)</t>
    <phoneticPr fontId="5" type="noConversion"/>
  </si>
  <si>
    <t>장독대</t>
    <phoneticPr fontId="5" type="noConversion"/>
  </si>
  <si>
    <t>달쭈꾸미</t>
    <phoneticPr fontId="5" type="noConversion"/>
  </si>
  <si>
    <t>국립인천해양박물관</t>
    <phoneticPr fontId="5" type="noConversion"/>
  </si>
  <si>
    <t>위트빌바버샵</t>
    <phoneticPr fontId="5" type="noConversion"/>
  </si>
  <si>
    <t>이공커피</t>
    <phoneticPr fontId="5" type="noConversion"/>
  </si>
  <si>
    <t>아웃백</t>
    <phoneticPr fontId="5" type="noConversion"/>
  </si>
  <si>
    <t>유니클로</t>
    <phoneticPr fontId="5" type="noConversion"/>
  </si>
  <si>
    <t>'25년 02월</t>
    <phoneticPr fontId="5" type="noConversion"/>
  </si>
  <si>
    <t>구내식당 53,800</t>
    <phoneticPr fontId="5" type="noConversion"/>
  </si>
  <si>
    <t>카페얼티밋</t>
    <phoneticPr fontId="5" type="noConversion"/>
  </si>
  <si>
    <t>신용카드연회비</t>
    <phoneticPr fontId="5" type="noConversion"/>
  </si>
  <si>
    <t>서울대공원주차장</t>
    <phoneticPr fontId="5" type="noConversion"/>
  </si>
  <si>
    <t>서울대공원</t>
    <phoneticPr fontId="5" type="noConversion"/>
  </si>
  <si>
    <t>노티드</t>
    <phoneticPr fontId="5" type="noConversion"/>
  </si>
  <si>
    <t>국립중앙박물관주차장</t>
    <phoneticPr fontId="5" type="noConversion"/>
  </si>
  <si>
    <t>톰스키친</t>
    <phoneticPr fontId="5" type="noConversion"/>
  </si>
  <si>
    <t>KTX(창원-서울)(부모님)</t>
    <phoneticPr fontId="5" type="noConversion"/>
  </si>
  <si>
    <t>이촌한강공원주차장</t>
    <phoneticPr fontId="5" type="noConversion"/>
  </si>
  <si>
    <t>플레이인더박스</t>
    <phoneticPr fontId="5" type="noConversion"/>
  </si>
  <si>
    <t>청화병원</t>
    <phoneticPr fontId="5" type="noConversion"/>
  </si>
  <si>
    <t>Dr. CS Care Step 1</t>
    <phoneticPr fontId="5" type="noConversion"/>
  </si>
  <si>
    <t>서울고속버스터미널주차장</t>
    <phoneticPr fontId="5" type="noConversion"/>
  </si>
  <si>
    <t>청화병원주차장</t>
    <phoneticPr fontId="5" type="noConversion"/>
  </si>
  <si>
    <t>오버트</t>
    <phoneticPr fontId="5" type="noConversion"/>
  </si>
  <si>
    <t>얌샘김밥</t>
    <phoneticPr fontId="5" type="noConversion"/>
  </si>
  <si>
    <t>길동우동</t>
    <phoneticPr fontId="5" type="noConversion"/>
  </si>
  <si>
    <t>숭실대학교주차장</t>
    <phoneticPr fontId="5" type="noConversion"/>
  </si>
  <si>
    <t>맑은샘약국</t>
    <phoneticPr fontId="5" type="noConversion"/>
  </si>
  <si>
    <t>프랭크버거</t>
    <phoneticPr fontId="5" type="noConversion"/>
  </si>
  <si>
    <t>영카츠</t>
    <phoneticPr fontId="5" type="noConversion"/>
  </si>
  <si>
    <t>서울페이(보전금-양지현)</t>
    <phoneticPr fontId="5" type="noConversion"/>
  </si>
  <si>
    <t>서울페이(충전금)</t>
    <phoneticPr fontId="5" type="noConversion"/>
  </si>
  <si>
    <t>면식당</t>
    <phoneticPr fontId="5" type="noConversion"/>
  </si>
  <si>
    <t>순천향대서울병원(강지우)</t>
    <phoneticPr fontId="5" type="noConversion"/>
  </si>
  <si>
    <t>쿠팡(생활용품)</t>
    <phoneticPr fontId="5" type="noConversion"/>
  </si>
  <si>
    <t>출산지원금(부모님)</t>
    <phoneticPr fontId="5" type="noConversion"/>
  </si>
  <si>
    <r>
      <rPr>
        <sz val="10"/>
        <color theme="1"/>
        <rFont val="맑은 고딕"/>
        <family val="3"/>
        <charset val="129"/>
      </rPr>
      <t>연말정산세액</t>
    </r>
    <r>
      <rPr>
        <sz val="10"/>
        <color theme="1"/>
        <rFont val="Arial"/>
        <family val="2"/>
      </rPr>
      <t>(</t>
    </r>
    <r>
      <rPr>
        <sz val="10"/>
        <color theme="1"/>
        <rFont val="맑은 고딕"/>
        <family val="3"/>
        <charset val="129"/>
      </rPr>
      <t>보전금</t>
    </r>
    <r>
      <rPr>
        <sz val="10"/>
        <color theme="1"/>
        <rFont val="Arial"/>
        <family val="2"/>
      </rPr>
      <t>-</t>
    </r>
    <r>
      <rPr>
        <sz val="10"/>
        <color theme="1"/>
        <rFont val="맑은 고딕"/>
        <family val="3"/>
        <charset val="129"/>
      </rPr>
      <t>양지현</t>
    </r>
    <r>
      <rPr>
        <sz val="10"/>
        <color theme="1"/>
        <rFont val="Arial"/>
        <family val="2"/>
      </rPr>
      <t>)</t>
    </r>
    <phoneticPr fontId="5" type="noConversion"/>
  </si>
  <si>
    <r>
      <rPr>
        <sz val="10"/>
        <color theme="1"/>
        <rFont val="맑은 고딕"/>
        <family val="3"/>
        <charset val="129"/>
      </rPr>
      <t>서울페이</t>
    </r>
    <r>
      <rPr>
        <sz val="10"/>
        <color theme="1"/>
        <rFont val="Arial"/>
        <family val="2"/>
      </rPr>
      <t>(</t>
    </r>
    <r>
      <rPr>
        <sz val="10"/>
        <color theme="1"/>
        <rFont val="맑은 고딕"/>
        <family val="3"/>
        <charset val="129"/>
      </rPr>
      <t>적립금</t>
    </r>
    <r>
      <rPr>
        <sz val="10"/>
        <color theme="1"/>
        <rFont val="Arial"/>
        <family val="2"/>
      </rPr>
      <t>)</t>
    </r>
    <phoneticPr fontId="5" type="noConversion"/>
  </si>
  <si>
    <r>
      <rPr>
        <sz val="10"/>
        <color theme="1"/>
        <rFont val="맑은 고딕"/>
        <family val="3"/>
        <charset val="129"/>
      </rPr>
      <t>서울페이</t>
    </r>
    <r>
      <rPr>
        <sz val="10"/>
        <color theme="1"/>
        <rFont val="Arial"/>
        <family val="2"/>
      </rPr>
      <t>(</t>
    </r>
    <r>
      <rPr>
        <sz val="10"/>
        <color theme="1"/>
        <rFont val="맑은 고딕"/>
        <family val="3"/>
        <charset val="129"/>
      </rPr>
      <t>보전금</t>
    </r>
    <r>
      <rPr>
        <sz val="10"/>
        <color theme="1"/>
        <rFont val="Arial"/>
        <family val="2"/>
      </rPr>
      <t>-</t>
    </r>
    <r>
      <rPr>
        <sz val="10"/>
        <color theme="1"/>
        <rFont val="맑은 고딕"/>
        <family val="3"/>
        <charset val="129"/>
      </rPr>
      <t>양지현</t>
    </r>
    <r>
      <rPr>
        <sz val="10"/>
        <color theme="1"/>
        <rFont val="Arial"/>
        <family val="2"/>
      </rPr>
      <t>)</t>
    </r>
    <phoneticPr fontId="5" type="noConversion"/>
  </si>
  <si>
    <r>
      <rPr>
        <sz val="10"/>
        <color theme="1"/>
        <rFont val="맑은 고딕"/>
        <family val="3"/>
        <charset val="129"/>
      </rPr>
      <t>업비트</t>
    </r>
    <r>
      <rPr>
        <sz val="10"/>
        <color theme="1"/>
        <rFont val="Arial"/>
        <family val="2"/>
      </rPr>
      <t xml:space="preserve"> </t>
    </r>
    <r>
      <rPr>
        <sz val="10"/>
        <color theme="1"/>
        <rFont val="맑은 고딕"/>
        <family val="3"/>
        <charset val="129"/>
      </rPr>
      <t>투자손익</t>
    </r>
    <phoneticPr fontId="5" type="noConversion"/>
  </si>
  <si>
    <r>
      <rPr>
        <sz val="10"/>
        <color theme="1"/>
        <rFont val="맑은 고딕"/>
        <family val="3"/>
        <charset val="129"/>
      </rPr>
      <t>출산지원금</t>
    </r>
    <r>
      <rPr>
        <sz val="10"/>
        <color theme="1"/>
        <rFont val="Arial"/>
        <family val="2"/>
      </rPr>
      <t>(</t>
    </r>
    <r>
      <rPr>
        <sz val="10"/>
        <color theme="1"/>
        <rFont val="맑은 고딕"/>
        <family val="3"/>
        <charset val="129"/>
      </rPr>
      <t>부모님</t>
    </r>
    <r>
      <rPr>
        <sz val="10"/>
        <color theme="1"/>
        <rFont val="Arial"/>
        <family val="2"/>
      </rPr>
      <t>)</t>
    </r>
    <phoneticPr fontId="5" type="noConversion"/>
  </si>
  <si>
    <r>
      <rPr>
        <sz val="10"/>
        <color theme="1"/>
        <rFont val="맑은 고딕"/>
        <family val="3"/>
        <charset val="129"/>
      </rPr>
      <t>귀뚜라미보일러</t>
    </r>
    <phoneticPr fontId="5" type="noConversion"/>
  </si>
  <si>
    <r>
      <rPr>
        <sz val="10"/>
        <color theme="1"/>
        <rFont val="맑은 고딕"/>
        <family val="3"/>
        <charset val="129"/>
      </rPr>
      <t>키즈카페</t>
    </r>
    <phoneticPr fontId="5" type="noConversion"/>
  </si>
  <si>
    <r>
      <rPr>
        <b/>
        <sz val="10"/>
        <color theme="1"/>
        <rFont val="맑은 고딕"/>
        <family val="3"/>
        <charset val="129"/>
      </rPr>
      <t>투자</t>
    </r>
    <phoneticPr fontId="5" type="noConversion"/>
  </si>
  <si>
    <r>
      <rPr>
        <b/>
        <sz val="10"/>
        <color theme="1"/>
        <rFont val="맑은 고딕"/>
        <family val="3"/>
        <charset val="129"/>
      </rPr>
      <t>투자총계</t>
    </r>
    <phoneticPr fontId="5" type="noConversion"/>
  </si>
  <si>
    <r>
      <rPr>
        <sz val="10"/>
        <color theme="1"/>
        <rFont val="맑은 고딕"/>
        <family val="3"/>
        <charset val="129"/>
      </rPr>
      <t>업비트</t>
    </r>
    <r>
      <rPr>
        <sz val="10"/>
        <color theme="1"/>
        <rFont val="Arial"/>
        <family val="2"/>
      </rPr>
      <t>(</t>
    </r>
    <r>
      <rPr>
        <sz val="10"/>
        <color theme="1"/>
        <rFont val="맑은 고딕"/>
        <family val="3"/>
        <charset val="129"/>
      </rPr>
      <t>충전금</t>
    </r>
    <r>
      <rPr>
        <sz val="10"/>
        <color theme="1"/>
        <rFont val="Arial"/>
        <family val="2"/>
      </rPr>
      <t>)</t>
    </r>
    <phoneticPr fontId="5" type="noConversion"/>
  </si>
  <si>
    <r>
      <rPr>
        <b/>
        <sz val="10"/>
        <color theme="1"/>
        <rFont val="맑은 고딕"/>
        <family val="3"/>
        <charset val="129"/>
      </rPr>
      <t>서울페이</t>
    </r>
    <phoneticPr fontId="5" type="noConversion"/>
  </si>
  <si>
    <r>
      <rPr>
        <b/>
        <sz val="10"/>
        <color theme="1"/>
        <rFont val="맑은 고딕"/>
        <family val="3"/>
        <charset val="129"/>
      </rPr>
      <t>이체총계</t>
    </r>
    <phoneticPr fontId="5" type="noConversion"/>
  </si>
  <si>
    <r>
      <rPr>
        <sz val="10"/>
        <color theme="1"/>
        <rFont val="맑은 고딕"/>
        <family val="3"/>
        <charset val="129"/>
      </rPr>
      <t>서울페이</t>
    </r>
    <r>
      <rPr>
        <sz val="10"/>
        <color theme="1"/>
        <rFont val="Arial"/>
        <family val="2"/>
      </rPr>
      <t>(</t>
    </r>
    <r>
      <rPr>
        <sz val="10"/>
        <color theme="1"/>
        <rFont val="맑은 고딕"/>
        <family val="3"/>
        <charset val="129"/>
      </rPr>
      <t>충전금</t>
    </r>
    <r>
      <rPr>
        <sz val="10"/>
        <color theme="1"/>
        <rFont val="Arial"/>
        <family val="2"/>
      </rPr>
      <t>)</t>
    </r>
    <phoneticPr fontId="5" type="noConversion"/>
  </si>
  <si>
    <t>연말정산환급(보전급-양지현)</t>
    <phoneticPr fontId="5" type="noConversion"/>
  </si>
  <si>
    <t>서울아산병원주차장</t>
    <phoneticPr fontId="5" type="noConversion"/>
  </si>
  <si>
    <t>장례식(노덕인)</t>
    <phoneticPr fontId="5" type="noConversion"/>
  </si>
  <si>
    <t>유에스바버샵</t>
    <phoneticPr fontId="5" type="noConversion"/>
  </si>
  <si>
    <t>차량유지비</t>
    <phoneticPr fontId="5" type="noConversion"/>
  </si>
  <si>
    <t>'25년 03월</t>
    <phoneticPr fontId="5" type="noConversion"/>
  </si>
  <si>
    <t>구내식당 82,800</t>
    <phoneticPr fontId="5" type="noConversion"/>
  </si>
  <si>
    <t>신용카드 (하이패스/1597)</t>
    <phoneticPr fontId="5" type="noConversion"/>
  </si>
  <si>
    <t>네이버페이(앱솔루트)</t>
    <phoneticPr fontId="5" type="noConversion"/>
  </si>
  <si>
    <t>곽선생왕만두</t>
    <phoneticPr fontId="5" type="noConversion"/>
  </si>
  <si>
    <t>메가박스</t>
    <phoneticPr fontId="5" type="noConversion"/>
  </si>
  <si>
    <t>출산지원금(부모님) - 양지현 이체</t>
    <phoneticPr fontId="5" type="noConversion"/>
  </si>
  <si>
    <t>네이버페이(요넥스)</t>
    <phoneticPr fontId="5" type="noConversion"/>
  </si>
  <si>
    <t>라미스콘</t>
    <phoneticPr fontId="5" type="noConversion"/>
  </si>
  <si>
    <t>쿠팡(식재료)</t>
    <phoneticPr fontId="5" type="noConversion"/>
  </si>
  <si>
    <t>어린이보호구역 과태료</t>
    <phoneticPr fontId="5" type="noConversion"/>
  </si>
  <si>
    <t>김포세탁/런드리고</t>
    <phoneticPr fontId="5" type="noConversion"/>
  </si>
  <si>
    <t>네이버페이(매직랜드블루밍라이트쇼)</t>
    <phoneticPr fontId="5" type="noConversion"/>
  </si>
  <si>
    <t>성수공영주차장</t>
    <phoneticPr fontId="5" type="noConversion"/>
  </si>
  <si>
    <t>네이버페이(데이오라)</t>
    <phoneticPr fontId="5" type="noConversion"/>
  </si>
  <si>
    <t>환전</t>
    <phoneticPr fontId="5" type="noConversion"/>
  </si>
  <si>
    <t>예적금이자 &amp; 환전차익</t>
    <phoneticPr fontId="5" type="noConversion"/>
  </si>
  <si>
    <t>밴브루</t>
    <phoneticPr fontId="5" type="noConversion"/>
  </si>
  <si>
    <t>KTX(서울-포항)</t>
    <phoneticPr fontId="5" type="noConversion"/>
  </si>
  <si>
    <t>바버앳상도</t>
    <phoneticPr fontId="5" type="noConversion"/>
  </si>
  <si>
    <t>룡산399</t>
    <phoneticPr fontId="5" type="noConversion"/>
  </si>
  <si>
    <t>'25년 04월</t>
    <phoneticPr fontId="5" type="noConversion"/>
  </si>
  <si>
    <t>고속도로통행료(1597)</t>
    <phoneticPr fontId="5" type="noConversion"/>
  </si>
  <si>
    <t>고속도로통행료(6149)</t>
    <phoneticPr fontId="5" type="noConversion"/>
  </si>
  <si>
    <t>한국인 직원 급여산정표 (현장)</t>
    <phoneticPr fontId="5" type="noConversion"/>
  </si>
  <si>
    <t>1. 월급여</t>
    <phoneticPr fontId="5" type="noConversion"/>
  </si>
  <si>
    <t>항목</t>
    <phoneticPr fontId="5" type="noConversion"/>
  </si>
  <si>
    <t>SBA</t>
    <phoneticPr fontId="5" type="noConversion"/>
  </si>
  <si>
    <t>SBB</t>
    <phoneticPr fontId="5" type="noConversion"/>
  </si>
  <si>
    <t>BJ</t>
    <phoneticPr fontId="5" type="noConversion"/>
  </si>
  <si>
    <t>BD</t>
    <phoneticPr fontId="5" type="noConversion"/>
  </si>
  <si>
    <t>CJ</t>
    <phoneticPr fontId="5" type="noConversion"/>
  </si>
  <si>
    <t>GJ</t>
    <phoneticPr fontId="5" type="noConversion"/>
  </si>
  <si>
    <t>DR</t>
    <phoneticPr fontId="5" type="noConversion"/>
  </si>
  <si>
    <t>SW</t>
    <phoneticPr fontId="5" type="noConversion"/>
  </si>
  <si>
    <t>기본급+시간외수당</t>
    <phoneticPr fontId="5" type="noConversion"/>
  </si>
  <si>
    <t>연도무관</t>
    <phoneticPr fontId="5" type="noConversion"/>
  </si>
  <si>
    <t>가족수당</t>
    <phoneticPr fontId="5" type="noConversion"/>
  </si>
  <si>
    <t>자격증수당</t>
    <phoneticPr fontId="5" type="noConversion"/>
  </si>
  <si>
    <t>교통/차량유지비</t>
    <phoneticPr fontId="5" type="noConversion"/>
  </si>
  <si>
    <t>중식대</t>
    <phoneticPr fontId="5" type="noConversion"/>
  </si>
  <si>
    <t>월지급 급여</t>
    <phoneticPr fontId="5" type="noConversion"/>
  </si>
  <si>
    <t>2. 성과급</t>
    <phoneticPr fontId="5" type="noConversion"/>
  </si>
  <si>
    <t>월기준 지급 성과급</t>
    <phoneticPr fontId="5" type="noConversion"/>
  </si>
  <si>
    <t>3. 해외수당</t>
    <phoneticPr fontId="5" type="noConversion"/>
  </si>
  <si>
    <t>현장등급</t>
    <phoneticPr fontId="5" type="noConversion"/>
  </si>
  <si>
    <t>JM</t>
  </si>
  <si>
    <t>SM</t>
  </si>
  <si>
    <t>SBA</t>
  </si>
  <si>
    <t>SBB</t>
  </si>
  <si>
    <t>BJ</t>
  </si>
  <si>
    <t>BD</t>
  </si>
  <si>
    <t>CJ</t>
  </si>
  <si>
    <t>GJ</t>
  </si>
  <si>
    <t>DR</t>
  </si>
  <si>
    <t>SW</t>
  </si>
  <si>
    <t>해외근무수당</t>
    <phoneticPr fontId="5" type="noConversion"/>
  </si>
  <si>
    <t>해외지원수당</t>
    <phoneticPr fontId="5" type="noConversion"/>
  </si>
  <si>
    <t>합계 (KRW)</t>
    <phoneticPr fontId="5" type="noConversion"/>
  </si>
  <si>
    <t>H1</t>
    <phoneticPr fontId="5" type="noConversion"/>
  </si>
  <si>
    <t>H2</t>
    <phoneticPr fontId="5" type="noConversion"/>
  </si>
  <si>
    <t>H3</t>
    <phoneticPr fontId="5" type="noConversion"/>
  </si>
  <si>
    <t>H4</t>
    <phoneticPr fontId="5" type="noConversion"/>
  </si>
  <si>
    <t>H5</t>
    <phoneticPr fontId="5" type="noConversion"/>
  </si>
  <si>
    <t>H6</t>
    <phoneticPr fontId="5" type="noConversion"/>
  </si>
  <si>
    <t>H7</t>
    <phoneticPr fontId="5" type="noConversion"/>
  </si>
  <si>
    <t>H8</t>
    <phoneticPr fontId="5" type="noConversion"/>
  </si>
  <si>
    <t>H9</t>
    <phoneticPr fontId="5" type="noConversion"/>
  </si>
  <si>
    <t>NOTE</t>
    <phoneticPr fontId="5" type="noConversion"/>
  </si>
  <si>
    <t>1. 환율</t>
    <phoneticPr fontId="5" type="noConversion"/>
  </si>
  <si>
    <t>KRW/USD</t>
    <phoneticPr fontId="5" type="noConversion"/>
  </si>
  <si>
    <t>2. 성과급 지급율</t>
    <phoneticPr fontId="5" type="noConversion"/>
  </si>
  <si>
    <t>3. 임금인상율</t>
    <phoneticPr fontId="5" type="noConversion"/>
  </si>
  <si>
    <t>이라크</t>
    <phoneticPr fontId="5" type="noConversion"/>
  </si>
  <si>
    <t>미국</t>
    <phoneticPr fontId="5" type="noConversion"/>
  </si>
  <si>
    <t>강태준 생일</t>
    <phoneticPr fontId="5" type="noConversion"/>
  </si>
  <si>
    <t>2022년</t>
  </si>
  <si>
    <t>2023년</t>
  </si>
  <si>
    <t>2024년</t>
  </si>
  <si>
    <t>2025년</t>
  </si>
  <si>
    <r>
      <rPr>
        <sz val="10"/>
        <color theme="1"/>
        <rFont val="맑은 고딕"/>
        <family val="3"/>
        <charset val="129"/>
      </rPr>
      <t>저축</t>
    </r>
    <r>
      <rPr>
        <sz val="10"/>
        <color theme="1"/>
        <rFont val="Arial"/>
        <family val="2"/>
      </rPr>
      <t>(</t>
    </r>
    <r>
      <rPr>
        <sz val="10"/>
        <color theme="1"/>
        <rFont val="맑은 고딕"/>
        <family val="3"/>
        <charset val="129"/>
      </rPr>
      <t>지현</t>
    </r>
    <r>
      <rPr>
        <sz val="10"/>
        <color theme="1"/>
        <rFont val="Arial"/>
        <family val="2"/>
      </rPr>
      <t>)</t>
    </r>
    <phoneticPr fontId="5" type="noConversion"/>
  </si>
  <si>
    <r>
      <rPr>
        <sz val="10"/>
        <color theme="1"/>
        <rFont val="맑은 고딕"/>
        <family val="3"/>
        <charset val="129"/>
      </rPr>
      <t>연말정산세액</t>
    </r>
    <r>
      <rPr>
        <sz val="10"/>
        <color theme="1"/>
        <rFont val="Arial"/>
        <family val="2"/>
      </rPr>
      <t>(</t>
    </r>
    <r>
      <rPr>
        <sz val="10"/>
        <color theme="1"/>
        <rFont val="맑은 고딕"/>
        <family val="3"/>
        <charset val="129"/>
      </rPr>
      <t>보전금</t>
    </r>
    <r>
      <rPr>
        <sz val="10"/>
        <color theme="1"/>
        <rFont val="Arial"/>
        <family val="2"/>
      </rPr>
      <t>-</t>
    </r>
    <r>
      <rPr>
        <sz val="10"/>
        <color theme="1"/>
        <rFont val="맑은 고딕"/>
        <family val="3"/>
        <charset val="129"/>
      </rPr>
      <t>지현</t>
    </r>
    <r>
      <rPr>
        <sz val="10"/>
        <color theme="1"/>
        <rFont val="Arial"/>
        <family val="2"/>
      </rPr>
      <t>)</t>
    </r>
    <phoneticPr fontId="5" type="noConversion"/>
  </si>
  <si>
    <r>
      <rPr>
        <sz val="10"/>
        <color theme="1"/>
        <rFont val="맑은 고딕"/>
        <family val="3"/>
        <charset val="129"/>
      </rPr>
      <t>서울페이</t>
    </r>
    <r>
      <rPr>
        <sz val="10"/>
        <color theme="1"/>
        <rFont val="Arial"/>
        <family val="2"/>
      </rPr>
      <t>(</t>
    </r>
    <r>
      <rPr>
        <sz val="10"/>
        <color theme="1"/>
        <rFont val="맑은 고딕"/>
        <family val="3"/>
        <charset val="129"/>
      </rPr>
      <t>보전금</t>
    </r>
    <r>
      <rPr>
        <sz val="10"/>
        <color theme="1"/>
        <rFont val="Arial"/>
        <family val="2"/>
      </rPr>
      <t>-</t>
    </r>
    <r>
      <rPr>
        <sz val="10"/>
        <color theme="1"/>
        <rFont val="맑은 고딕"/>
        <family val="3"/>
        <charset val="129"/>
      </rPr>
      <t>지현</t>
    </r>
    <r>
      <rPr>
        <sz val="10"/>
        <color theme="1"/>
        <rFont val="Arial"/>
        <family val="2"/>
      </rPr>
      <t>)</t>
    </r>
    <phoneticPr fontId="5" type="noConversion"/>
  </si>
  <si>
    <r>
      <rPr>
        <sz val="10"/>
        <color theme="1"/>
        <rFont val="맑은 고딕"/>
        <family val="3"/>
        <charset val="129"/>
      </rPr>
      <t>자동차취등록세</t>
    </r>
    <r>
      <rPr>
        <sz val="10"/>
        <color theme="1"/>
        <rFont val="Arial"/>
        <family val="2"/>
      </rPr>
      <t>(</t>
    </r>
    <r>
      <rPr>
        <sz val="10"/>
        <color theme="1"/>
        <rFont val="맑은 고딕"/>
        <family val="3"/>
        <charset val="129"/>
      </rPr>
      <t>보전금</t>
    </r>
    <r>
      <rPr>
        <sz val="10"/>
        <color theme="1"/>
        <rFont val="Arial"/>
        <family val="2"/>
      </rPr>
      <t>-</t>
    </r>
    <r>
      <rPr>
        <sz val="10"/>
        <color theme="1"/>
        <rFont val="맑은 고딕"/>
        <family val="3"/>
        <charset val="129"/>
      </rPr>
      <t>지현</t>
    </r>
    <r>
      <rPr>
        <sz val="10"/>
        <color theme="1"/>
        <rFont val="Arial"/>
        <family val="2"/>
      </rPr>
      <t>)</t>
    </r>
    <phoneticPr fontId="5" type="noConversion"/>
  </si>
  <si>
    <t>청화웰니스</t>
    <phoneticPr fontId="5" type="noConversion"/>
  </si>
  <si>
    <t>결혼식(서우창)</t>
    <phoneticPr fontId="5" type="noConversion"/>
  </si>
  <si>
    <t>한섬팩토리아울렛</t>
    <phoneticPr fontId="5" type="noConversion"/>
  </si>
  <si>
    <t>마리오아울렛</t>
    <phoneticPr fontId="5" type="noConversion"/>
  </si>
  <si>
    <t>공조금 저축</t>
    <phoneticPr fontId="5" type="noConversion"/>
  </si>
  <si>
    <t>결혼식(김홍미)</t>
    <phoneticPr fontId="5" type="noConversion"/>
  </si>
  <si>
    <t>G4</t>
  </si>
  <si>
    <t>G1</t>
  </si>
  <si>
    <t>G3</t>
  </si>
  <si>
    <t>G2</t>
  </si>
  <si>
    <t>G7</t>
  </si>
  <si>
    <t>■ 해외부임자 수당</t>
    <phoneticPr fontId="5" type="noConversion"/>
  </si>
  <si>
    <t>(단위 : 천원/月)</t>
    <phoneticPr fontId="5" type="noConversion"/>
  </si>
  <si>
    <t>가산수당 
(천원단위 절상)</t>
    <phoneticPr fontId="5" type="noConversion"/>
  </si>
  <si>
    <t>단신부임수당</t>
    <phoneticPr fontId="5" type="noConversion"/>
  </si>
  <si>
    <r>
      <t xml:space="preserve">위험
수당
</t>
    </r>
    <r>
      <rPr>
        <b/>
        <sz val="11"/>
        <color theme="1"/>
        <rFont val="현대하모니 L"/>
        <family val="1"/>
        <charset val="129"/>
      </rPr>
      <t>(이라크)</t>
    </r>
    <phoneticPr fontId="5" type="noConversion"/>
  </si>
  <si>
    <t>해외</t>
    <phoneticPr fontId="5" type="noConversion"/>
  </si>
  <si>
    <t>2년
미만</t>
    <phoneticPr fontId="5" type="noConversion"/>
  </si>
  <si>
    <t>2년
이상</t>
    <phoneticPr fontId="5" type="noConversion"/>
  </si>
  <si>
    <t>현장</t>
    <phoneticPr fontId="5" type="noConversion"/>
  </si>
  <si>
    <t>지사</t>
    <phoneticPr fontId="5" type="noConversion"/>
  </si>
  <si>
    <t>H1</t>
  </si>
  <si>
    <t>H2</t>
  </si>
  <si>
    <t>H3</t>
  </si>
  <si>
    <t>H4</t>
    <phoneticPr fontId="48" type="noConversion"/>
  </si>
  <si>
    <t>H5</t>
    <phoneticPr fontId="48" type="noConversion"/>
  </si>
  <si>
    <t>H6</t>
  </si>
  <si>
    <t>H7</t>
  </si>
  <si>
    <t>H8</t>
  </si>
  <si>
    <t>H9</t>
  </si>
  <si>
    <t>H10</t>
    <phoneticPr fontId="48" type="noConversion"/>
  </si>
  <si>
    <t>G5</t>
  </si>
  <si>
    <t>G6</t>
  </si>
  <si>
    <t>G8</t>
  </si>
  <si>
    <t>G9</t>
  </si>
  <si>
    <t>임원</t>
    <phoneticPr fontId="5" type="noConversion"/>
  </si>
  <si>
    <t>전무</t>
    <phoneticPr fontId="5" type="noConversion"/>
  </si>
  <si>
    <t>상무A</t>
    <phoneticPr fontId="5" type="noConversion"/>
  </si>
  <si>
    <t>상무B</t>
    <phoneticPr fontId="5" type="noConversion"/>
  </si>
  <si>
    <t>상무C</t>
    <phoneticPr fontId="5" type="noConversion"/>
  </si>
  <si>
    <t>일반직</t>
    <phoneticPr fontId="5" type="noConversion"/>
  </si>
  <si>
    <t>G3(舊부장)</t>
    <phoneticPr fontId="5" type="noConversion"/>
  </si>
  <si>
    <t>시급*78</t>
    <phoneticPr fontId="5" type="noConversion"/>
  </si>
  <si>
    <t>시급*48</t>
    <phoneticPr fontId="5" type="noConversion"/>
  </si>
  <si>
    <t>G3(부대/차장)</t>
    <phoneticPr fontId="5" type="noConversion"/>
  </si>
  <si>
    <t>G2(과장)</t>
    <phoneticPr fontId="5" type="noConversion"/>
  </si>
  <si>
    <t>G1(대리/4사)</t>
    <phoneticPr fontId="5" type="noConversion"/>
  </si>
  <si>
    <t>G1A(5사)</t>
    <phoneticPr fontId="5" type="noConversion"/>
  </si>
  <si>
    <t>G1B(6사)</t>
    <phoneticPr fontId="5" type="noConversion"/>
  </si>
  <si>
    <t>PJT</t>
    <phoneticPr fontId="5" type="noConversion"/>
  </si>
  <si>
    <t>P9</t>
    <phoneticPr fontId="5" type="noConversion"/>
  </si>
  <si>
    <t>P8</t>
    <phoneticPr fontId="48" type="noConversion"/>
  </si>
  <si>
    <t>P7</t>
    <phoneticPr fontId="48" type="noConversion"/>
  </si>
  <si>
    <t>P6</t>
    <phoneticPr fontId="48" type="noConversion"/>
  </si>
  <si>
    <t>P5</t>
    <phoneticPr fontId="48" type="noConversion"/>
  </si>
  <si>
    <t>P4</t>
    <phoneticPr fontId="48" type="noConversion"/>
  </si>
  <si>
    <t>P1,2,3</t>
    <phoneticPr fontId="48" type="noConversion"/>
  </si>
  <si>
    <t>안전</t>
    <phoneticPr fontId="5" type="noConversion"/>
  </si>
  <si>
    <t>안전G3(부대/차장)</t>
    <phoneticPr fontId="5" type="noConversion"/>
  </si>
  <si>
    <t>안전G2(과장)</t>
    <phoneticPr fontId="5" type="noConversion"/>
  </si>
  <si>
    <t>안전G1(대리/4사)</t>
    <phoneticPr fontId="5" type="noConversion"/>
  </si>
  <si>
    <t>안전G1A(5사)</t>
    <phoneticPr fontId="5" type="noConversion"/>
  </si>
  <si>
    <t>안전G1B(6사)</t>
    <phoneticPr fontId="5" type="noConversion"/>
  </si>
  <si>
    <t>전문안전</t>
    <phoneticPr fontId="5" type="noConversion"/>
  </si>
  <si>
    <t>P9(안전)</t>
    <phoneticPr fontId="5" type="noConversion"/>
  </si>
  <si>
    <t>P8(안전)</t>
    <phoneticPr fontId="48" type="noConversion"/>
  </si>
  <si>
    <t>P7(안전)</t>
    <phoneticPr fontId="48" type="noConversion"/>
  </si>
  <si>
    <t>P6(안전)</t>
    <phoneticPr fontId="48" type="noConversion"/>
  </si>
  <si>
    <t>P5(안전)</t>
    <phoneticPr fontId="48" type="noConversion"/>
  </si>
  <si>
    <t>P4(안전)</t>
    <phoneticPr fontId="48" type="noConversion"/>
  </si>
  <si>
    <t>P1,2,3(안전)</t>
    <phoneticPr fontId="5" type="noConversion"/>
  </si>
  <si>
    <t>하이파킹</t>
    <phoneticPr fontId="5" type="noConversion"/>
  </si>
  <si>
    <t>컬리</t>
    <phoneticPr fontId="5" type="noConversion"/>
  </si>
  <si>
    <t>쿠팡로켓프레쉬</t>
    <phoneticPr fontId="5" type="noConversion"/>
  </si>
  <si>
    <t>티켓링크(LG:SK)</t>
    <phoneticPr fontId="5" type="noConversion"/>
  </si>
  <si>
    <r>
      <rPr>
        <sz val="10"/>
        <color theme="1"/>
        <rFont val="맑은 고딕"/>
        <family val="3"/>
        <charset val="129"/>
      </rPr>
      <t>농구</t>
    </r>
    <r>
      <rPr>
        <sz val="10"/>
        <color theme="1"/>
        <rFont val="Arial"/>
        <family val="2"/>
      </rPr>
      <t>/</t>
    </r>
    <r>
      <rPr>
        <sz val="10"/>
        <color theme="1"/>
        <rFont val="맑은 고딕"/>
        <family val="3"/>
        <charset val="129"/>
      </rPr>
      <t>야구</t>
    </r>
    <r>
      <rPr>
        <sz val="10"/>
        <color theme="1"/>
        <rFont val="Arial"/>
        <family val="2"/>
      </rPr>
      <t>/</t>
    </r>
    <r>
      <rPr>
        <sz val="10"/>
        <color theme="1"/>
        <rFont val="맑은 고딕"/>
        <family val="3"/>
        <charset val="129"/>
      </rPr>
      <t>축구</t>
    </r>
    <phoneticPr fontId="5" type="noConversion"/>
  </si>
  <si>
    <t>어린이날용돈(어머니)</t>
    <phoneticPr fontId="5" type="noConversion"/>
  </si>
  <si>
    <r>
      <rPr>
        <sz val="10"/>
        <color theme="1"/>
        <rFont val="맑은 고딕"/>
        <family val="3"/>
        <charset val="129"/>
      </rPr>
      <t>특별용돈</t>
    </r>
    <r>
      <rPr>
        <sz val="10"/>
        <color theme="1"/>
        <rFont val="Arial"/>
        <family val="2"/>
      </rPr>
      <t>(</t>
    </r>
    <r>
      <rPr>
        <sz val="10"/>
        <color theme="1"/>
        <rFont val="맑은 고딕"/>
        <family val="3"/>
        <charset val="129"/>
      </rPr>
      <t>부모님</t>
    </r>
    <r>
      <rPr>
        <sz val="10"/>
        <color theme="1"/>
        <rFont val="Arial"/>
        <family val="2"/>
      </rPr>
      <t>)</t>
    </r>
    <phoneticPr fontId="5" type="noConversion"/>
  </si>
  <si>
    <t>레고(강지완)</t>
    <phoneticPr fontId="5" type="noConversion"/>
  </si>
  <si>
    <t>현대백화점(주차)</t>
    <phoneticPr fontId="5" type="noConversion"/>
  </si>
  <si>
    <t>어버이날(카네이션)</t>
    <phoneticPr fontId="5" type="noConversion"/>
  </si>
  <si>
    <t>잠실학생체육관(외식)</t>
    <phoneticPr fontId="5" type="noConversion"/>
  </si>
  <si>
    <t>잠실학생체육관(주차)</t>
    <phoneticPr fontId="5" type="noConversion"/>
  </si>
  <si>
    <t>어버이날용돈(시가&amp;처가)</t>
    <phoneticPr fontId="5" type="noConversion"/>
  </si>
  <si>
    <t>여기어때(핸드픽트호텔)</t>
    <phoneticPr fontId="5" type="noConversion"/>
  </si>
  <si>
    <t>네이버페이(서오릉피자)</t>
    <phoneticPr fontId="5" type="noConversion"/>
  </si>
  <si>
    <t>백소정</t>
    <phoneticPr fontId="5" type="noConversion"/>
  </si>
  <si>
    <t>잠실역공영주차장</t>
    <phoneticPr fontId="5" type="noConversion"/>
  </si>
  <si>
    <t>프리미엄버스(서울-창원)</t>
    <phoneticPr fontId="5" type="noConversion"/>
  </si>
  <si>
    <t>삼쩜삼</t>
    <phoneticPr fontId="5" type="noConversion"/>
  </si>
  <si>
    <t>중대냉삼</t>
    <phoneticPr fontId="5" type="noConversion"/>
  </si>
  <si>
    <t>포토그레이</t>
    <phoneticPr fontId="5" type="noConversion"/>
  </si>
  <si>
    <t>브라더후드바버샵</t>
    <phoneticPr fontId="5" type="noConversion"/>
  </si>
  <si>
    <t>'25년 05월</t>
    <phoneticPr fontId="5" type="noConversion"/>
  </si>
  <si>
    <t>구내식당 74,000</t>
    <phoneticPr fontId="5" type="noConversion"/>
  </si>
  <si>
    <t>켈리토스트카페</t>
    <phoneticPr fontId="5" type="noConversion"/>
  </si>
  <si>
    <t>프리미엄버스(창원-서울)</t>
    <phoneticPr fontId="5" type="noConversion"/>
  </si>
  <si>
    <t>쿠팡</t>
    <phoneticPr fontId="5" type="noConversion"/>
  </si>
  <si>
    <t>네이버페이(풀리오)</t>
    <phoneticPr fontId="5" type="noConversion"/>
  </si>
  <si>
    <t>GS25</t>
    <phoneticPr fontId="5" type="noConversion"/>
  </si>
  <si>
    <t>파이인더샵</t>
    <phoneticPr fontId="5" type="noConversion"/>
  </si>
  <si>
    <t>식껍</t>
    <phoneticPr fontId="5" type="noConversion"/>
  </si>
  <si>
    <t>삼각지임시공영주차장</t>
    <phoneticPr fontId="5" type="noConversion"/>
  </si>
  <si>
    <t>미태리파스타</t>
    <phoneticPr fontId="5" type="noConversion"/>
  </si>
  <si>
    <t>보험해지환급금(강태준 운전자)</t>
    <phoneticPr fontId="5" type="noConversion"/>
  </si>
  <si>
    <t>다이소</t>
    <phoneticPr fontId="5" type="noConversion"/>
  </si>
  <si>
    <t>네이버페이(서오릉피자)</t>
    <phoneticPr fontId="5" type="noConversion"/>
  </si>
  <si>
    <t>알파문구</t>
    <phoneticPr fontId="5" type="noConversion"/>
  </si>
  <si>
    <t>던킨도너츠</t>
    <phoneticPr fontId="5" type="noConversion"/>
  </si>
  <si>
    <t>장성그랜드사우나</t>
    <phoneticPr fontId="5" type="noConversion"/>
  </si>
  <si>
    <t>포토에이스</t>
    <phoneticPr fontId="5" type="noConversion"/>
  </si>
  <si>
    <t>포토그레이</t>
    <phoneticPr fontId="5" type="noConversion"/>
  </si>
  <si>
    <t>Hmall(나이키)</t>
    <phoneticPr fontId="5" type="noConversion"/>
  </si>
  <si>
    <t>오두산막국수</t>
    <phoneticPr fontId="5" type="noConversion"/>
  </si>
  <si>
    <t>동작세무서</t>
    <phoneticPr fontId="5" type="noConversion"/>
  </si>
  <si>
    <t>연말정산세액으로 반영</t>
    <phoneticPr fontId="5" type="noConversion"/>
  </si>
  <si>
    <t>KTX</t>
    <phoneticPr fontId="5" type="noConversion"/>
  </si>
  <si>
    <t>주정차위반과태료</t>
    <phoneticPr fontId="5" type="noConversion"/>
  </si>
  <si>
    <t>자동차재산세(6149)</t>
    <phoneticPr fontId="5" type="noConversion"/>
  </si>
  <si>
    <t>자동차재산세(1597)</t>
    <phoneticPr fontId="5" type="noConversion"/>
  </si>
  <si>
    <t>종로떡집</t>
    <phoneticPr fontId="5" type="noConversion"/>
  </si>
  <si>
    <t>개미정육점</t>
    <phoneticPr fontId="5" type="noConversion"/>
  </si>
  <si>
    <t>예금이자</t>
    <phoneticPr fontId="5" type="noConversion"/>
  </si>
  <si>
    <t>당근마켓(강지우)</t>
    <phoneticPr fontId="5" type="noConversion"/>
  </si>
  <si>
    <t>당근마켓</t>
    <phoneticPr fontId="5" type="noConversion"/>
  </si>
  <si>
    <t>'25년 06월</t>
    <phoneticPr fontId="5" type="noConversion"/>
  </si>
  <si>
    <t>지우실비</t>
    <phoneticPr fontId="5" type="noConversion"/>
  </si>
  <si>
    <t>지우태아</t>
    <phoneticPr fontId="5" type="noConversion"/>
  </si>
  <si>
    <t>아이민스튜디오</t>
    <phoneticPr fontId="5" type="noConversion"/>
  </si>
  <si>
    <t>아이민스튜디오(주차)</t>
    <phoneticPr fontId="5" type="noConversion"/>
  </si>
  <si>
    <t>KFC</t>
    <phoneticPr fontId="5" type="noConversion"/>
  </si>
  <si>
    <t>세븐일레븐</t>
    <phoneticPr fontId="5" type="noConversion"/>
  </si>
  <si>
    <t>당근마켓(강지우)</t>
    <phoneticPr fontId="5" type="noConversion"/>
  </si>
  <si>
    <t>DDP(주차)</t>
    <phoneticPr fontId="5" type="noConversion"/>
  </si>
  <si>
    <t>안양새물공원주차장</t>
    <phoneticPr fontId="5" type="noConversion"/>
  </si>
  <si>
    <t>로도스피자</t>
    <phoneticPr fontId="5" type="noConversion"/>
  </si>
  <si>
    <t>올리브영</t>
    <phoneticPr fontId="5" type="noConversion"/>
  </si>
  <si>
    <t>푸롤리</t>
    <phoneticPr fontId="5" type="noConversion"/>
  </si>
  <si>
    <t>GS25</t>
    <phoneticPr fontId="5" type="noConversion"/>
  </si>
  <si>
    <r>
      <rPr>
        <sz val="10"/>
        <color theme="1"/>
        <rFont val="맑은 고딕"/>
        <family val="3"/>
        <charset val="129"/>
      </rPr>
      <t>쿠팡</t>
    </r>
    <r>
      <rPr>
        <sz val="10"/>
        <color theme="1"/>
        <rFont val="Arial"/>
        <family val="2"/>
      </rPr>
      <t>/</t>
    </r>
    <r>
      <rPr>
        <sz val="10"/>
        <color theme="1"/>
        <rFont val="맑은 고딕"/>
        <family val="3"/>
        <charset val="129"/>
      </rPr>
      <t>네이버</t>
    </r>
    <r>
      <rPr>
        <sz val="10"/>
        <color theme="1"/>
        <rFont val="Arial"/>
        <family val="2"/>
      </rPr>
      <t>/</t>
    </r>
    <r>
      <rPr>
        <sz val="10"/>
        <color theme="1"/>
        <rFont val="맑은 고딕"/>
        <family val="3"/>
        <charset val="129"/>
      </rPr>
      <t>화해</t>
    </r>
    <r>
      <rPr>
        <sz val="10"/>
        <color theme="1"/>
        <rFont val="Arial"/>
        <family val="2"/>
      </rPr>
      <t>/</t>
    </r>
    <r>
      <rPr>
        <sz val="10"/>
        <color theme="1"/>
        <rFont val="맑은 고딕"/>
        <family val="3"/>
        <charset val="129"/>
      </rPr>
      <t>기타</t>
    </r>
    <r>
      <rPr>
        <sz val="10"/>
        <color theme="1"/>
        <rFont val="Arial"/>
        <family val="2"/>
      </rPr>
      <t>(</t>
    </r>
    <r>
      <rPr>
        <sz val="10"/>
        <color theme="1"/>
        <rFont val="맑은 고딕"/>
        <family val="3"/>
        <charset val="129"/>
      </rPr>
      <t>생활용품</t>
    </r>
    <r>
      <rPr>
        <sz val="10"/>
        <color theme="1"/>
        <rFont val="Arial"/>
        <family val="2"/>
      </rPr>
      <t>/</t>
    </r>
    <r>
      <rPr>
        <sz val="10"/>
        <color theme="1"/>
        <rFont val="맑은 고딕"/>
        <family val="3"/>
        <charset val="129"/>
      </rPr>
      <t>지완지우</t>
    </r>
    <r>
      <rPr>
        <sz val="10"/>
        <color theme="1"/>
        <rFont val="Arial"/>
        <family val="2"/>
      </rPr>
      <t>)</t>
    </r>
    <phoneticPr fontId="5" type="noConversion"/>
  </si>
  <si>
    <t>이촌한강공원</t>
    <phoneticPr fontId="5" type="noConversion"/>
  </si>
  <si>
    <t>문구돌이x아이즈크림</t>
    <phoneticPr fontId="5" type="noConversion"/>
  </si>
  <si>
    <t>지방소득세</t>
    <phoneticPr fontId="5" type="noConversion"/>
  </si>
  <si>
    <t>현대푸본생명</t>
    <phoneticPr fontId="5" type="noConversion"/>
  </si>
  <si>
    <t>기타/기타로 반영</t>
    <phoneticPr fontId="5" type="noConversion"/>
  </si>
  <si>
    <t>국립세계문자박물관</t>
    <phoneticPr fontId="5" type="noConversion"/>
  </si>
  <si>
    <t>배스킨라빈스</t>
    <phoneticPr fontId="5" type="noConversion"/>
  </si>
  <si>
    <t>교대역동측공영주차장</t>
    <phoneticPr fontId="5" type="noConversion"/>
  </si>
  <si>
    <t>네이버페이(앱솔루트)</t>
    <phoneticPr fontId="5" type="noConversion"/>
  </si>
  <si>
    <r>
      <rPr>
        <sz val="10"/>
        <color theme="1"/>
        <rFont val="맑은 고딕"/>
        <family val="3"/>
        <charset val="129"/>
      </rPr>
      <t>롯데마트</t>
    </r>
    <r>
      <rPr>
        <sz val="10"/>
        <color theme="1"/>
        <rFont val="Arial"/>
        <family val="2"/>
      </rPr>
      <t>(</t>
    </r>
    <r>
      <rPr>
        <sz val="10"/>
        <color theme="1"/>
        <rFont val="맑은 고딕"/>
        <family val="3"/>
        <charset val="129"/>
      </rPr>
      <t>맥스</t>
    </r>
    <r>
      <rPr>
        <sz val="10"/>
        <color theme="1"/>
        <rFont val="Arial"/>
        <family val="2"/>
      </rPr>
      <t>)</t>
    </r>
    <phoneticPr fontId="5" type="noConversion"/>
  </si>
  <si>
    <t>흑석메트로정형외과의원</t>
    <phoneticPr fontId="5" type="noConversion"/>
  </si>
  <si>
    <t>아리하 재산세</t>
    <phoneticPr fontId="5" type="noConversion"/>
  </si>
  <si>
    <t>신용카드 (Mr. Life) + 이체 (3,757)</t>
    <phoneticPr fontId="5" type="noConversion"/>
  </si>
  <si>
    <t>론썸헤이드(강지완)</t>
    <phoneticPr fontId="5" type="noConversion"/>
  </si>
  <si>
    <t>여름성경학교</t>
    <phoneticPr fontId="5" type="noConversion"/>
  </si>
  <si>
    <r>
      <rPr>
        <sz val="10"/>
        <color theme="1"/>
        <rFont val="맑은 고딕"/>
        <family val="3"/>
        <charset val="129"/>
      </rPr>
      <t>미용실</t>
    </r>
    <r>
      <rPr>
        <sz val="10"/>
        <color theme="1"/>
        <rFont val="Arial"/>
        <family val="2"/>
      </rPr>
      <t>(</t>
    </r>
    <r>
      <rPr>
        <sz val="10"/>
        <color theme="1"/>
        <rFont val="맑은 고딕"/>
        <family val="3"/>
        <charset val="129"/>
      </rPr>
      <t>태준</t>
    </r>
    <r>
      <rPr>
        <sz val="10"/>
        <color theme="1"/>
        <rFont val="Arial"/>
        <family val="2"/>
      </rPr>
      <t>/</t>
    </r>
    <r>
      <rPr>
        <sz val="10"/>
        <color theme="1"/>
        <rFont val="맑은 고딕"/>
        <family val="3"/>
        <charset val="129"/>
      </rPr>
      <t>지완지우</t>
    </r>
    <r>
      <rPr>
        <sz val="10"/>
        <color theme="1"/>
        <rFont val="Arial"/>
        <family val="2"/>
      </rPr>
      <t>)</t>
    </r>
    <phoneticPr fontId="5" type="noConversion"/>
  </si>
  <si>
    <r>
      <rPr>
        <sz val="10"/>
        <color theme="1"/>
        <rFont val="맑은 고딕"/>
        <family val="3"/>
        <charset val="129"/>
      </rPr>
      <t>당근마켓</t>
    </r>
    <r>
      <rPr>
        <sz val="10"/>
        <color theme="1"/>
        <rFont val="Arial"/>
        <family val="2"/>
      </rPr>
      <t>(</t>
    </r>
    <r>
      <rPr>
        <sz val="10"/>
        <color theme="1"/>
        <rFont val="맑은 고딕"/>
        <family val="3"/>
        <charset val="129"/>
      </rPr>
      <t>지완지우</t>
    </r>
    <r>
      <rPr>
        <sz val="10"/>
        <color theme="1"/>
        <rFont val="Arial"/>
        <family val="2"/>
      </rPr>
      <t>)</t>
    </r>
    <phoneticPr fontId="5" type="noConversion"/>
  </si>
  <si>
    <t>네이버페이(서오릉피자)</t>
    <phoneticPr fontId="5" type="noConversion"/>
  </si>
  <si>
    <t>KFC</t>
    <phoneticPr fontId="5" type="noConversion"/>
  </si>
  <si>
    <t>생신용돈(어머니)</t>
    <phoneticPr fontId="5" type="noConversion"/>
  </si>
  <si>
    <t>택시</t>
    <phoneticPr fontId="5" type="noConversion"/>
  </si>
  <si>
    <t>파리바게뜨</t>
    <phoneticPr fontId="5" type="noConversion"/>
  </si>
  <si>
    <t>청요릿집</t>
    <phoneticPr fontId="5" type="noConversion"/>
  </si>
  <si>
    <t>KTX</t>
    <phoneticPr fontId="5" type="noConversion"/>
  </si>
  <si>
    <t>육아휴직급여</t>
    <phoneticPr fontId="5" type="noConversion"/>
  </si>
  <si>
    <t>07/22 Cutoff</t>
    <phoneticPr fontId="5" type="noConversion"/>
  </si>
  <si>
    <t>자동차보험(1597)</t>
    <phoneticPr fontId="5" type="noConversion"/>
  </si>
  <si>
    <t>놀유니버스</t>
    <phoneticPr fontId="5" type="noConversion"/>
  </si>
  <si>
    <t>'25년 07월</t>
    <phoneticPr fontId="5" type="noConversion"/>
  </si>
  <si>
    <t>카멜커피</t>
    <phoneticPr fontId="5" type="noConversion"/>
  </si>
  <si>
    <t>쿠팡</t>
    <phoneticPr fontId="5" type="noConversion"/>
  </si>
  <si>
    <t>네이버페이(윌슨)</t>
    <phoneticPr fontId="5" type="noConversion"/>
  </si>
  <si>
    <t>더라탄베이커리</t>
    <phoneticPr fontId="5" type="noConversion"/>
  </si>
  <si>
    <t>동춘서커스</t>
    <phoneticPr fontId="5" type="noConversion"/>
  </si>
  <si>
    <t>대한항공(부산-제주)</t>
    <phoneticPr fontId="5" type="noConversion"/>
  </si>
  <si>
    <t>12월 제주 여행</t>
    <phoneticPr fontId="5" type="noConversion"/>
  </si>
  <si>
    <t>코엑스(주차)</t>
    <phoneticPr fontId="5" type="noConversion"/>
  </si>
  <si>
    <r>
      <rPr>
        <sz val="10"/>
        <color theme="1"/>
        <rFont val="맑은 고딕"/>
        <family val="3"/>
        <charset val="129"/>
      </rPr>
      <t>교보문고</t>
    </r>
    <r>
      <rPr>
        <sz val="10"/>
        <color theme="1"/>
        <rFont val="Arial"/>
        <family val="2"/>
      </rPr>
      <t>/</t>
    </r>
    <r>
      <rPr>
        <sz val="10"/>
        <color theme="1"/>
        <rFont val="맑은 고딕"/>
        <family val="3"/>
        <charset val="129"/>
      </rPr>
      <t>알파문구</t>
    </r>
    <r>
      <rPr>
        <sz val="10"/>
        <color theme="1"/>
        <rFont val="Arial"/>
        <family val="2"/>
      </rPr>
      <t>/</t>
    </r>
    <r>
      <rPr>
        <sz val="10"/>
        <color theme="1"/>
        <rFont val="맑은 고딕"/>
        <family val="3"/>
        <charset val="129"/>
      </rPr>
      <t>오피스디포</t>
    </r>
    <phoneticPr fontId="5" type="noConversion"/>
  </si>
  <si>
    <t>이촌한강공원</t>
    <phoneticPr fontId="5" type="noConversion"/>
  </si>
  <si>
    <t>오피스디포</t>
    <phoneticPr fontId="5" type="noConversion"/>
  </si>
  <si>
    <t>예산예당호휴게소</t>
    <phoneticPr fontId="5" type="noConversion"/>
  </si>
  <si>
    <t>옹고집쌈밥</t>
    <phoneticPr fontId="5" type="noConversion"/>
  </si>
  <si>
    <t>브라더후드바버샵</t>
    <phoneticPr fontId="5" type="noConversion"/>
  </si>
  <si>
    <t>인의한의원</t>
    <phoneticPr fontId="5" type="noConversion"/>
  </si>
  <si>
    <t>문구돌이x아이즈크림</t>
    <phoneticPr fontId="5" type="noConversion"/>
  </si>
  <si>
    <t>배스킨라빈스</t>
    <phoneticPr fontId="5" type="noConversion"/>
  </si>
  <si>
    <t>GS25</t>
    <phoneticPr fontId="5" type="noConversion"/>
  </si>
  <si>
    <t>트리스약국</t>
    <phoneticPr fontId="5" type="noConversion"/>
  </si>
  <si>
    <t>'25년 08월</t>
    <phoneticPr fontId="5" type="noConversion"/>
  </si>
  <si>
    <t>택시</t>
    <phoneticPr fontId="5" type="noConversion"/>
  </si>
  <si>
    <t>이촌한강공원</t>
    <phoneticPr fontId="5" type="noConversion"/>
  </si>
  <si>
    <t>동작구 주민세</t>
    <phoneticPr fontId="5" type="noConversion"/>
  </si>
  <si>
    <t>웅진플레이도시</t>
    <phoneticPr fontId="5" type="noConversion"/>
  </si>
  <si>
    <t>던킨도너츠</t>
    <phoneticPr fontId="5" type="noConversion"/>
  </si>
  <si>
    <t>연평도꽃게탕보리밥</t>
    <phoneticPr fontId="5" type="noConversion"/>
  </si>
  <si>
    <t>KFC</t>
    <phoneticPr fontId="5" type="noConversion"/>
  </si>
  <si>
    <t>쿠팡</t>
    <phoneticPr fontId="5" type="noConversion"/>
  </si>
  <si>
    <t>포토그레이</t>
    <phoneticPr fontId="5" type="noConversion"/>
  </si>
  <si>
    <t>롯데마트맥스</t>
    <phoneticPr fontId="5" type="noConversion"/>
  </si>
  <si>
    <t>올리브영(압타밀)</t>
    <phoneticPr fontId="5" type="noConversion"/>
  </si>
  <si>
    <t>주정차위반 과태료</t>
    <phoneticPr fontId="5" type="noConversion"/>
  </si>
  <si>
    <t>쿠팡(오사닛캔디)</t>
    <phoneticPr fontId="5" type="noConversion"/>
  </si>
  <si>
    <t>연세어린이사랑치과의원</t>
    <phoneticPr fontId="5" type="noConversion"/>
  </si>
  <si>
    <t>인싸포토</t>
    <phoneticPr fontId="5" type="noConversion"/>
  </si>
  <si>
    <t>8~9월</t>
    <phoneticPr fontId="5" type="noConversion"/>
  </si>
  <si>
    <t>쿠팡</t>
    <phoneticPr fontId="5" type="noConversion"/>
  </si>
  <si>
    <t>128,000 + 47,000</t>
    <phoneticPr fontId="5" type="noConversion"/>
  </si>
  <si>
    <t>미국(단신)</t>
    <phoneticPr fontId="5" type="noConversion"/>
  </si>
  <si>
    <t>미국(가족)</t>
    <phoneticPr fontId="5" type="noConversion"/>
  </si>
  <si>
    <t>KTX(서울-창원)</t>
    <phoneticPr fontId="5" type="noConversion"/>
  </si>
  <si>
    <t>KTX(창원-서울)</t>
    <phoneticPr fontId="5" type="noConversion"/>
  </si>
  <si>
    <t>어린이대공원</t>
    <phoneticPr fontId="5" type="noConversion"/>
  </si>
  <si>
    <t>GS25</t>
    <phoneticPr fontId="5" type="noConversion"/>
  </si>
  <si>
    <t>'25년 09월</t>
    <phoneticPr fontId="5" type="noConversion"/>
  </si>
  <si>
    <t>초록마을</t>
    <phoneticPr fontId="5" type="noConversion"/>
  </si>
  <si>
    <t>쿠팡</t>
    <phoneticPr fontId="5" type="noConversion"/>
  </si>
  <si>
    <t>론썸헤이드(강지완)</t>
    <phoneticPr fontId="5" type="noConversion"/>
  </si>
  <si>
    <t>SPA응시료</t>
    <phoneticPr fontId="5" type="noConversion"/>
  </si>
  <si>
    <t>GS25</t>
    <phoneticPr fontId="5" type="noConversion"/>
  </si>
  <si>
    <t>IRCA갱신료</t>
    <phoneticPr fontId="5" type="noConversion"/>
  </si>
  <si>
    <t>단지명</t>
    <phoneticPr fontId="5" type="noConversion"/>
  </si>
  <si>
    <t>구분</t>
    <phoneticPr fontId="5" type="noConversion"/>
  </si>
  <si>
    <t>세대수</t>
    <phoneticPr fontId="5" type="noConversion"/>
  </si>
  <si>
    <t>청약시기</t>
    <phoneticPr fontId="5" type="noConversion"/>
  </si>
  <si>
    <t>입주시기</t>
    <phoneticPr fontId="5" type="noConversion"/>
  </si>
  <si>
    <t>전체</t>
    <phoneticPr fontId="5" type="noConversion"/>
  </si>
  <si>
    <t>반포3주구</t>
    <phoneticPr fontId="5" type="noConversion"/>
  </si>
  <si>
    <t>반포디에이치클래스트</t>
    <phoneticPr fontId="5" type="noConversion"/>
  </si>
  <si>
    <t>래미안트리니원</t>
    <phoneticPr fontId="5" type="noConversion"/>
  </si>
  <si>
    <t>반포</t>
    <phoneticPr fontId="5" type="noConversion"/>
  </si>
  <si>
    <t>위치</t>
    <phoneticPr fontId="5" type="noConversion"/>
  </si>
  <si>
    <t>재건축</t>
    <phoneticPr fontId="5" type="noConversion"/>
  </si>
  <si>
    <t>방배</t>
    <phoneticPr fontId="5" type="noConversion"/>
  </si>
  <si>
    <t>방배신동아</t>
    <phoneticPr fontId="5" type="noConversion"/>
  </si>
  <si>
    <t>서초신동아</t>
    <phoneticPr fontId="5" type="noConversion"/>
  </si>
  <si>
    <t>서초</t>
    <phoneticPr fontId="5" type="noConversion"/>
  </si>
  <si>
    <t>재개발</t>
    <phoneticPr fontId="5" type="noConversion"/>
  </si>
  <si>
    <t>34평</t>
    <phoneticPr fontId="5" type="noConversion"/>
  </si>
  <si>
    <t>신반포12차</t>
    <phoneticPr fontId="5" type="noConversion"/>
  </si>
  <si>
    <t>반포미도1차</t>
    <phoneticPr fontId="5" type="noConversion"/>
  </si>
  <si>
    <t>반포미도2차</t>
    <phoneticPr fontId="5" type="noConversion"/>
  </si>
  <si>
    <t>신반포2차</t>
    <phoneticPr fontId="5" type="noConversion"/>
  </si>
  <si>
    <t>신반포4차</t>
    <phoneticPr fontId="5" type="noConversion"/>
  </si>
  <si>
    <t>신반포16차</t>
    <phoneticPr fontId="5" type="noConversion"/>
  </si>
  <si>
    <t>신반포19/25차</t>
    <phoneticPr fontId="5" type="noConversion"/>
  </si>
  <si>
    <t>반포1/2/4주구</t>
    <phoneticPr fontId="5" type="noConversion"/>
  </si>
  <si>
    <t>잠원</t>
    <phoneticPr fontId="5" type="noConversion"/>
  </si>
  <si>
    <t>방배신삼호</t>
    <phoneticPr fontId="5" type="noConversion"/>
  </si>
  <si>
    <t>방배구삼호</t>
    <phoneticPr fontId="5" type="noConversion"/>
  </si>
  <si>
    <t>서초삼풍</t>
    <phoneticPr fontId="5" type="noConversion"/>
  </si>
  <si>
    <t>서초진흥</t>
    <phoneticPr fontId="5" type="noConversion"/>
  </si>
  <si>
    <t>잠원한강</t>
    <phoneticPr fontId="5" type="noConversion"/>
  </si>
  <si>
    <t>압구정</t>
    <phoneticPr fontId="5" type="noConversion"/>
  </si>
  <si>
    <t>압구정1구역</t>
    <phoneticPr fontId="5" type="noConversion"/>
  </si>
  <si>
    <t>압구정2구역</t>
    <phoneticPr fontId="5" type="noConversion"/>
  </si>
  <si>
    <t>압구정3구역</t>
    <phoneticPr fontId="5" type="noConversion"/>
  </si>
  <si>
    <t>압구정4구역</t>
    <phoneticPr fontId="5" type="noConversion"/>
  </si>
  <si>
    <t>압구정5구역</t>
    <phoneticPr fontId="5" type="noConversion"/>
  </si>
  <si>
    <t>잠실</t>
    <phoneticPr fontId="5" type="noConversion"/>
  </si>
  <si>
    <t>잠실주공5단지</t>
    <phoneticPr fontId="5" type="noConversion"/>
  </si>
  <si>
    <t>잠실우성1/2/3차</t>
    <phoneticPr fontId="5" type="noConversion"/>
  </si>
  <si>
    <t>잠실우성4차</t>
    <phoneticPr fontId="5" type="noConversion"/>
  </si>
  <si>
    <t>장미1/2/3차</t>
    <phoneticPr fontId="5" type="noConversion"/>
  </si>
  <si>
    <t>이촌</t>
    <phoneticPr fontId="5" type="noConversion"/>
  </si>
  <si>
    <t>여의도</t>
    <phoneticPr fontId="5" type="noConversion"/>
  </si>
  <si>
    <t>한강맨션</t>
    <phoneticPr fontId="5" type="noConversion"/>
  </si>
  <si>
    <t>여의도시범</t>
    <phoneticPr fontId="5" type="noConversion"/>
  </si>
  <si>
    <t>여의도서울</t>
    <phoneticPr fontId="5" type="noConversion"/>
  </si>
  <si>
    <t>여의도삼부</t>
    <phoneticPr fontId="5" type="noConversion"/>
  </si>
  <si>
    <t>여의도대교</t>
    <phoneticPr fontId="5" type="noConversion"/>
  </si>
  <si>
    <t>여의도한양</t>
    <phoneticPr fontId="5" type="noConversion"/>
  </si>
  <si>
    <t>노량진</t>
    <phoneticPr fontId="5" type="noConversion"/>
  </si>
  <si>
    <t>노량진1구역</t>
    <phoneticPr fontId="5" type="noConversion"/>
  </si>
  <si>
    <t>흑석</t>
    <phoneticPr fontId="5" type="noConversion"/>
  </si>
  <si>
    <t>흑석9구역</t>
    <phoneticPr fontId="5" type="noConversion"/>
  </si>
  <si>
    <t>흑석11구역</t>
    <phoneticPr fontId="5" type="noConversion"/>
  </si>
  <si>
    <t>노량진2구역</t>
  </si>
  <si>
    <t>노량진3구역</t>
  </si>
  <si>
    <t>노량진4구역</t>
  </si>
  <si>
    <t>노량진5구역</t>
  </si>
  <si>
    <t>노량진6구역</t>
  </si>
  <si>
    <t>노량진7구역</t>
  </si>
  <si>
    <t>노량진8구역</t>
  </si>
  <si>
    <t>명절음식비</t>
    <phoneticPr fontId="5" type="noConversion"/>
  </si>
  <si>
    <t>방배13구역</t>
    <phoneticPr fontId="5" type="noConversion"/>
  </si>
  <si>
    <t>방배14구역</t>
  </si>
  <si>
    <t>방배15구역</t>
  </si>
  <si>
    <t>한남</t>
    <phoneticPr fontId="5" type="noConversion"/>
  </si>
  <si>
    <t>한남2구역</t>
    <phoneticPr fontId="5" type="noConversion"/>
  </si>
  <si>
    <t>한남3구역</t>
    <phoneticPr fontId="5" type="noConversion"/>
  </si>
  <si>
    <t>한남4구역</t>
    <phoneticPr fontId="5" type="noConversion"/>
  </si>
  <si>
    <t>한남5구역</t>
    <phoneticPr fontId="5" type="noConversion"/>
  </si>
  <si>
    <t>성수</t>
    <phoneticPr fontId="5" type="noConversion"/>
  </si>
  <si>
    <t>성수1구역</t>
    <phoneticPr fontId="5" type="noConversion"/>
  </si>
  <si>
    <t>성수2구역</t>
  </si>
  <si>
    <t>성수3구역</t>
  </si>
  <si>
    <t>성수4구역</t>
  </si>
  <si>
    <t>서빙고신동아</t>
    <phoneticPr fontId="5" type="noConversion"/>
  </si>
  <si>
    <t>순번</t>
    <phoneticPr fontId="5" type="noConversion"/>
  </si>
  <si>
    <t>34평 추첨제</t>
    <phoneticPr fontId="5" type="noConversion"/>
  </si>
  <si>
    <t>34평 추첨제 2순위</t>
    <phoneticPr fontId="5" type="noConversion"/>
  </si>
  <si>
    <t>디에이치르블랑</t>
    <phoneticPr fontId="5" type="noConversion"/>
  </si>
  <si>
    <t>래미안헤리븐반포</t>
    <phoneticPr fontId="5" type="noConversion"/>
  </si>
  <si>
    <t>미정 (현대건설)</t>
    <phoneticPr fontId="5" type="noConversion"/>
  </si>
  <si>
    <t>미정 (시공사 미선정)</t>
    <phoneticPr fontId="5" type="noConversion"/>
  </si>
  <si>
    <t>일반분양가(만원)</t>
    <phoneticPr fontId="5" type="noConversion"/>
  </si>
  <si>
    <t>평당가</t>
    <phoneticPr fontId="5" type="noConversion"/>
  </si>
  <si>
    <t>前</t>
    <phoneticPr fontId="5" type="noConversion"/>
  </si>
  <si>
    <t>後</t>
    <phoneticPr fontId="5" type="noConversion"/>
  </si>
  <si>
    <t>미정 (롯데건설)</t>
    <phoneticPr fontId="5" type="noConversion"/>
  </si>
  <si>
    <t>임대 세대수</t>
    <phoneticPr fontId="5" type="noConversion"/>
  </si>
  <si>
    <t>일반분양 세대수</t>
    <phoneticPr fontId="5" type="noConversion"/>
  </si>
  <si>
    <t>미정 (대우건설)</t>
    <phoneticPr fontId="5" type="noConversion"/>
  </si>
  <si>
    <t>디에이치켄트로나인</t>
    <phoneticPr fontId="5" type="noConversion"/>
  </si>
  <si>
    <t>오티에르동작</t>
    <phoneticPr fontId="5" type="noConversion"/>
  </si>
  <si>
    <t>써밋더힐</t>
    <phoneticPr fontId="5" type="noConversion"/>
  </si>
  <si>
    <t>미정 (SK건설)</t>
    <phoneticPr fontId="5" type="noConversion"/>
  </si>
  <si>
    <t>미정 (포스코건설)</t>
    <phoneticPr fontId="5" type="noConversion"/>
  </si>
  <si>
    <t>디에이치씨엘스타</t>
    <phoneticPr fontId="5" type="noConversion"/>
  </si>
  <si>
    <t>써밋더트레시아</t>
    <phoneticPr fontId="5" type="noConversion"/>
  </si>
  <si>
    <t>라클라체자이드파인</t>
    <phoneticPr fontId="5" type="noConversion"/>
  </si>
  <si>
    <t>아크로리버스카이</t>
    <phoneticPr fontId="5" type="noConversion"/>
  </si>
  <si>
    <t>방배포레스트자이</t>
    <phoneticPr fontId="5" type="noConversion"/>
  </si>
  <si>
    <t>방배르엘</t>
    <phoneticPr fontId="5" type="noConversion"/>
  </si>
  <si>
    <t>오티에르방배더원</t>
    <phoneticPr fontId="5" type="noConversion"/>
  </si>
  <si>
    <t>오티에르방배</t>
    <phoneticPr fontId="5" type="noConversion"/>
  </si>
  <si>
    <t>미정 (삼성GS현산)</t>
    <phoneticPr fontId="5" type="noConversion"/>
  </si>
  <si>
    <t>잠실자이리비에르</t>
    <phoneticPr fontId="5" type="noConversion"/>
  </si>
  <si>
    <t>이촌자이더리버</t>
    <phoneticPr fontId="5" type="noConversion"/>
  </si>
  <si>
    <t>한남써밋</t>
    <phoneticPr fontId="5" type="noConversion"/>
  </si>
  <si>
    <t>디에이치한남</t>
    <phoneticPr fontId="5" type="noConversion"/>
  </si>
  <si>
    <t>래미안글로우힐즈한남</t>
    <phoneticPr fontId="5" type="noConversion"/>
  </si>
  <si>
    <t>아크로한남</t>
    <phoneticPr fontId="5" type="noConversion"/>
  </si>
  <si>
    <t>디에이치여의도퍼스트</t>
    <phoneticPr fontId="5" type="noConversion"/>
  </si>
  <si>
    <t>아크로잠실</t>
    <phoneticPr fontId="5" type="noConversion"/>
  </si>
  <si>
    <r>
      <rPr>
        <sz val="10"/>
        <color theme="1"/>
        <rFont val="맑은 고딕"/>
        <family val="3"/>
        <charset val="129"/>
      </rPr>
      <t>육아휴직급여</t>
    </r>
    <phoneticPr fontId="5" type="noConversion"/>
  </si>
  <si>
    <r>
      <rPr>
        <sz val="10"/>
        <color theme="1"/>
        <rFont val="맑은 고딕"/>
        <family val="3"/>
        <charset val="129"/>
      </rPr>
      <t>예적금이자</t>
    </r>
    <r>
      <rPr>
        <sz val="10"/>
        <color theme="1"/>
        <rFont val="Arial"/>
        <family val="2"/>
      </rPr>
      <t xml:space="preserve"> &amp; </t>
    </r>
    <r>
      <rPr>
        <sz val="10"/>
        <color theme="1"/>
        <rFont val="맑은 고딕"/>
        <family val="3"/>
        <charset val="129"/>
      </rPr>
      <t>환전차익</t>
    </r>
    <phoneticPr fontId="5" type="noConversion"/>
  </si>
  <si>
    <r>
      <rPr>
        <sz val="10"/>
        <color theme="1"/>
        <rFont val="맑은 고딕"/>
        <family val="3"/>
        <charset val="129"/>
      </rPr>
      <t>지우실비</t>
    </r>
    <phoneticPr fontId="5" type="noConversion"/>
  </si>
  <si>
    <r>
      <rPr>
        <sz val="10"/>
        <color theme="1"/>
        <rFont val="맑은 고딕"/>
        <family val="3"/>
        <charset val="129"/>
      </rPr>
      <t>지우태아</t>
    </r>
    <phoneticPr fontId="5" type="noConversion"/>
  </si>
  <si>
    <r>
      <rPr>
        <b/>
        <sz val="10"/>
        <color theme="1"/>
        <rFont val="맑은 고딕"/>
        <family val="3"/>
        <charset val="129"/>
      </rPr>
      <t>교육</t>
    </r>
    <r>
      <rPr>
        <b/>
        <sz val="10"/>
        <color theme="1"/>
        <rFont val="Arial"/>
        <family val="2"/>
      </rPr>
      <t xml:space="preserve"> (</t>
    </r>
    <r>
      <rPr>
        <b/>
        <sz val="10"/>
        <color theme="1"/>
        <rFont val="맑은 고딕"/>
        <family val="3"/>
        <charset val="129"/>
      </rPr>
      <t>강지완</t>
    </r>
    <r>
      <rPr>
        <b/>
        <sz val="10"/>
        <color theme="1"/>
        <rFont val="Arial"/>
        <family val="2"/>
      </rPr>
      <t>/</t>
    </r>
    <r>
      <rPr>
        <b/>
        <sz val="10"/>
        <color theme="1"/>
        <rFont val="맑은 고딕"/>
        <family val="3"/>
        <charset val="129"/>
      </rPr>
      <t>강지우</t>
    </r>
    <r>
      <rPr>
        <b/>
        <sz val="10"/>
        <color theme="1"/>
        <rFont val="Arial"/>
        <family val="2"/>
      </rPr>
      <t>)</t>
    </r>
    <phoneticPr fontId="5" type="noConversion"/>
  </si>
  <si>
    <r>
      <rPr>
        <sz val="10"/>
        <color theme="1"/>
        <rFont val="맑은 고딕"/>
        <family val="3"/>
        <charset val="129"/>
      </rPr>
      <t>교회</t>
    </r>
    <phoneticPr fontId="5" type="noConversion"/>
  </si>
  <si>
    <r>
      <t>KB</t>
    </r>
    <r>
      <rPr>
        <sz val="10"/>
        <color theme="1"/>
        <rFont val="맑은 고딕"/>
        <family val="3"/>
        <charset val="129"/>
      </rPr>
      <t>증권</t>
    </r>
    <r>
      <rPr>
        <sz val="10"/>
        <color theme="1"/>
        <rFont val="Arial"/>
        <family val="2"/>
      </rPr>
      <t>(</t>
    </r>
    <r>
      <rPr>
        <sz val="10"/>
        <color theme="1"/>
        <rFont val="맑은 고딕"/>
        <family val="3"/>
        <charset val="129"/>
      </rPr>
      <t>충전금</t>
    </r>
    <r>
      <rPr>
        <sz val="10"/>
        <color theme="1"/>
        <rFont val="Arial"/>
        <family val="2"/>
      </rPr>
      <t>)</t>
    </r>
    <phoneticPr fontId="5" type="noConversion"/>
  </si>
  <si>
    <t>명절용돈(시가)</t>
    <phoneticPr fontId="5" type="noConversion"/>
  </si>
  <si>
    <t>명절용돈(처가)</t>
    <phoneticPr fontId="5" type="noConversion"/>
  </si>
  <si>
    <t>생일용돈(강지완)</t>
    <phoneticPr fontId="5" type="noConversion"/>
  </si>
  <si>
    <t>서오릉피자</t>
    <phoneticPr fontId="5" type="noConversion"/>
  </si>
  <si>
    <t>명절선물(처가)</t>
    <phoneticPr fontId="5" type="noConversion"/>
  </si>
  <si>
    <t>포켓몬카드숍(강지완)</t>
    <phoneticPr fontId="5" type="noConversion"/>
  </si>
  <si>
    <t>용산역주차장</t>
    <phoneticPr fontId="5" type="noConversion"/>
  </si>
  <si>
    <t>버거킹</t>
    <phoneticPr fontId="5" type="noConversion"/>
  </si>
  <si>
    <t>초가집</t>
    <phoneticPr fontId="5" type="noConversion"/>
  </si>
  <si>
    <t>만남의광장편의점</t>
    <phoneticPr fontId="5" type="noConversion"/>
  </si>
  <si>
    <t>키노튼</t>
    <phoneticPr fontId="5" type="noConversion"/>
  </si>
  <si>
    <t>GS25</t>
    <phoneticPr fontId="5" type="noConversion"/>
  </si>
  <si>
    <t>바스타커피</t>
    <phoneticPr fontId="5" type="noConversion"/>
  </si>
  <si>
    <t>서울역주차장</t>
    <phoneticPr fontId="5" type="noConversion"/>
  </si>
  <si>
    <t>던킨도너츠</t>
    <phoneticPr fontId="5" type="noConversion"/>
  </si>
  <si>
    <t>명절용돈(강지성)</t>
    <phoneticPr fontId="5" type="noConversion"/>
  </si>
  <si>
    <t>북악팔각정</t>
    <phoneticPr fontId="5" type="noConversion"/>
  </si>
  <si>
    <t>이촌한강공원주차장</t>
    <phoneticPr fontId="5" type="noConversion"/>
  </si>
  <si>
    <t>오준이네감자탕</t>
    <phoneticPr fontId="5" type="noConversion"/>
  </si>
  <si>
    <t>KTX(서울-창원)(어머니)</t>
    <phoneticPr fontId="5" type="noConversion"/>
  </si>
  <si>
    <t>스토리웨이</t>
    <phoneticPr fontId="5" type="noConversion"/>
  </si>
  <si>
    <t>KFC</t>
    <phoneticPr fontId="5" type="noConversion"/>
  </si>
  <si>
    <t>천사약국</t>
    <phoneticPr fontId="5" type="noConversion"/>
  </si>
  <si>
    <t>KB증권</t>
    <phoneticPr fontId="5" type="noConversion"/>
  </si>
  <si>
    <t>에버랜드(장난감)</t>
    <phoneticPr fontId="5" type="noConversion"/>
  </si>
  <si>
    <t>에버랜드(주차)</t>
    <phoneticPr fontId="5" type="noConversion"/>
  </si>
  <si>
    <t>에버랜드(식비)</t>
    <phoneticPr fontId="5" type="noConversion"/>
  </si>
  <si>
    <t>인의한의원(보험지급금)</t>
    <phoneticPr fontId="5" type="noConversion"/>
  </si>
  <si>
    <t>이수자이주차장</t>
    <phoneticPr fontId="5" type="noConversion"/>
  </si>
  <si>
    <t>이마트24</t>
    <phoneticPr fontId="5" type="noConversion"/>
  </si>
  <si>
    <t>결혼식(양천영)</t>
    <phoneticPr fontId="5" type="noConversion"/>
  </si>
  <si>
    <t>양지현도장</t>
    <phoneticPr fontId="5" type="noConversion"/>
  </si>
  <si>
    <r>
      <rPr>
        <sz val="10"/>
        <color theme="1"/>
        <rFont val="맑은 고딕"/>
        <family val="3"/>
        <charset val="129"/>
      </rPr>
      <t>시간외수당</t>
    </r>
    <r>
      <rPr>
        <sz val="10"/>
        <color theme="1"/>
        <rFont val="Arial"/>
        <family val="2"/>
      </rPr>
      <t>2</t>
    </r>
    <phoneticPr fontId="5" type="noConversion"/>
  </si>
  <si>
    <t>지연이자</t>
    <phoneticPr fontId="5" type="noConversion"/>
  </si>
  <si>
    <t>기타소득세</t>
    <phoneticPr fontId="5" type="noConversion"/>
  </si>
  <si>
    <t>기타소득주민세</t>
    <phoneticPr fontId="5" type="noConversion"/>
  </si>
  <si>
    <t>신용카드 (Mr. Life) - 처가결혼식경비 (95,800)</t>
    <phoneticPr fontId="5" type="noConversion"/>
  </si>
  <si>
    <t>처가결혼식경비 (104,200)</t>
    <phoneticPr fontId="5" type="noConversion"/>
  </si>
  <si>
    <t>'25년 10월</t>
    <phoneticPr fontId="5" type="noConversion"/>
  </si>
  <si>
    <t>신한-공동</t>
    <phoneticPr fontId="5" type="noConversion"/>
  </si>
  <si>
    <t>신한-기타</t>
    <phoneticPr fontId="5" type="noConversion"/>
  </si>
  <si>
    <t>자기자금</t>
    <phoneticPr fontId="5" type="noConversion"/>
  </si>
  <si>
    <t>금융기관 예금액</t>
    <phoneticPr fontId="5" type="noConversion"/>
  </si>
  <si>
    <t>주식/채권 매각대금</t>
    <phoneticPr fontId="5" type="noConversion"/>
  </si>
  <si>
    <t>증여/상속</t>
    <phoneticPr fontId="5" type="noConversion"/>
  </si>
  <si>
    <t>부부</t>
    <phoneticPr fontId="5" type="noConversion"/>
  </si>
  <si>
    <t>직계존비속</t>
    <phoneticPr fontId="5" type="noConversion"/>
  </si>
  <si>
    <t>그 밖의 관계</t>
    <phoneticPr fontId="5" type="noConversion"/>
  </si>
  <si>
    <t>현금 등 그 밖의 자금</t>
    <phoneticPr fontId="5" type="noConversion"/>
  </si>
  <si>
    <t>부동산 처분대금</t>
    <phoneticPr fontId="5" type="noConversion"/>
  </si>
  <si>
    <t>차입금</t>
    <phoneticPr fontId="5" type="noConversion"/>
  </si>
  <si>
    <t>금융기관 대출액</t>
    <phoneticPr fontId="5" type="noConversion"/>
  </si>
  <si>
    <t>주택담보대출</t>
    <phoneticPr fontId="5" type="noConversion"/>
  </si>
  <si>
    <t>신용대출</t>
    <phoneticPr fontId="5" type="noConversion"/>
  </si>
  <si>
    <t>그 밖의 대출</t>
    <phoneticPr fontId="5" type="noConversion"/>
  </si>
  <si>
    <t>임대보증금</t>
    <phoneticPr fontId="5" type="noConversion"/>
  </si>
  <si>
    <t>회사지원금/사채</t>
    <phoneticPr fontId="5" type="noConversion"/>
  </si>
  <si>
    <t>그 밖의 차입금</t>
    <phoneticPr fontId="5" type="noConversion"/>
  </si>
  <si>
    <t>식대 (49,000) &amp; 민생회복쿠폰 (112,100)</t>
    <phoneticPr fontId="5" type="noConversion"/>
  </si>
  <si>
    <t>KB</t>
    <phoneticPr fontId="5" type="noConversion"/>
  </si>
  <si>
    <t>우리</t>
    <phoneticPr fontId="5" type="noConversion"/>
  </si>
  <si>
    <t>신한-지완/지우</t>
    <phoneticPr fontId="5" type="noConversion"/>
  </si>
  <si>
    <t>신한-창조퇴직금</t>
    <phoneticPr fontId="5" type="noConversion"/>
  </si>
  <si>
    <t>증권</t>
    <phoneticPr fontId="5" type="noConversion"/>
  </si>
  <si>
    <t>신한-증여</t>
    <phoneticPr fontId="5" type="noConversion"/>
  </si>
  <si>
    <t>신한-마이너스통장</t>
    <phoneticPr fontId="5" type="noConversion"/>
  </si>
  <si>
    <t>근로복지기금</t>
    <phoneticPr fontId="5" type="noConversion"/>
  </si>
  <si>
    <t>예금+주식+업비트</t>
    <phoneticPr fontId="5" type="noConversion"/>
  </si>
  <si>
    <t>우체국</t>
    <phoneticPr fontId="5" type="noConversion"/>
  </si>
  <si>
    <t>차용</t>
    <phoneticPr fontId="5" type="noConversion"/>
  </si>
  <si>
    <t>아리하 매도 후 상환</t>
    <phoneticPr fontId="5" type="noConversion"/>
  </si>
  <si>
    <t>네이버페이(사치하타)</t>
    <phoneticPr fontId="5" type="noConversion"/>
  </si>
  <si>
    <t>한섬팩토리아울렛</t>
    <phoneticPr fontId="5" type="noConversion"/>
  </si>
  <si>
    <t>뻥튀기</t>
    <phoneticPr fontId="5" type="noConversion"/>
  </si>
  <si>
    <t>총각네정육점</t>
    <phoneticPr fontId="5" type="noConversion"/>
  </si>
  <si>
    <t>GS25</t>
    <phoneticPr fontId="5" type="noConversion"/>
  </si>
  <si>
    <t>쿠팡(오사닛캔디)</t>
    <phoneticPr fontId="5" type="noConversion"/>
  </si>
  <si>
    <t>KTX(창원-서울)</t>
    <phoneticPr fontId="5" type="noConversion"/>
  </si>
  <si>
    <r>
      <t>KB</t>
    </r>
    <r>
      <rPr>
        <sz val="10"/>
        <color theme="1"/>
        <rFont val="맑은 고딕"/>
        <family val="3"/>
        <charset val="129"/>
      </rPr>
      <t>증권</t>
    </r>
    <r>
      <rPr>
        <sz val="10"/>
        <color theme="1"/>
        <rFont val="Arial"/>
        <family val="2"/>
      </rPr>
      <t xml:space="preserve"> </t>
    </r>
    <r>
      <rPr>
        <sz val="10"/>
        <color theme="1"/>
        <rFont val="맑은 고딕"/>
        <family val="3"/>
        <charset val="129"/>
      </rPr>
      <t>투자손익</t>
    </r>
    <phoneticPr fontId="5" type="noConversion"/>
  </si>
  <si>
    <r>
      <rPr>
        <sz val="10"/>
        <color theme="1"/>
        <rFont val="맑은 고딕"/>
        <family val="3"/>
        <charset val="129"/>
      </rPr>
      <t>업비트</t>
    </r>
    <phoneticPr fontId="5" type="noConversion"/>
  </si>
  <si>
    <r>
      <t>KB</t>
    </r>
    <r>
      <rPr>
        <sz val="10"/>
        <color theme="1"/>
        <rFont val="맑은 고딕"/>
        <family val="3"/>
        <charset val="129"/>
      </rPr>
      <t>증권</t>
    </r>
    <phoneticPr fontId="5" type="noConversion"/>
  </si>
  <si>
    <t>대한항공(제주-김포)</t>
    <phoneticPr fontId="5" type="noConversion"/>
  </si>
  <si>
    <t>12월 제주 여행</t>
    <phoneticPr fontId="5" type="noConversion"/>
  </si>
  <si>
    <t>KTX(창원-서울)</t>
    <phoneticPr fontId="5" type="noConversion"/>
  </si>
  <si>
    <t>출장</t>
    <phoneticPr fontId="5" type="noConversion"/>
  </si>
  <si>
    <t>KFC</t>
    <phoneticPr fontId="5" type="noConversion"/>
  </si>
  <si>
    <t>성북구청</t>
    <phoneticPr fontId="5" type="noConversion"/>
  </si>
  <si>
    <t>수능(유요석)</t>
    <phoneticPr fontId="5" type="noConversion"/>
  </si>
  <si>
    <t>택시</t>
    <phoneticPr fontId="5" type="noConversion"/>
  </si>
  <si>
    <t>홍수계찜닭</t>
    <phoneticPr fontId="5" type="noConversion"/>
  </si>
  <si>
    <t>용산역주차장</t>
    <phoneticPr fontId="5" type="noConversion"/>
  </si>
  <si>
    <t>결혼식(김정희)</t>
    <phoneticPr fontId="5" type="noConversion"/>
  </si>
  <si>
    <t>용산구청</t>
    <phoneticPr fontId="5" type="noConversion"/>
  </si>
  <si>
    <t>푸주옥</t>
    <phoneticPr fontId="5" type="noConversion"/>
  </si>
  <si>
    <t>본가/식사</t>
    <phoneticPr fontId="5" type="noConversion"/>
  </si>
  <si>
    <t>배스킨라빈스</t>
    <phoneticPr fontId="5" type="noConversion"/>
  </si>
  <si>
    <t>생활용품/면세점</t>
    <phoneticPr fontId="5" type="noConversion"/>
  </si>
  <si>
    <t>화해(토리든)</t>
    <phoneticPr fontId="5" type="noConversion"/>
  </si>
  <si>
    <t>롯데면세점(TUMI)</t>
    <phoneticPr fontId="5" type="noConversion"/>
  </si>
  <si>
    <t>신라면세점(디디에두보)</t>
    <phoneticPr fontId="5" type="noConversion"/>
  </si>
  <si>
    <t>신라면세점(톰포드)</t>
    <phoneticPr fontId="5" type="noConversion"/>
  </si>
  <si>
    <t>자매빌딩(주차)</t>
    <phoneticPr fontId="5" type="noConversion"/>
  </si>
  <si>
    <t>명동탕후루</t>
    <phoneticPr fontId="5" type="noConversion"/>
  </si>
  <si>
    <t>럭키스토어</t>
    <phoneticPr fontId="5" type="noConversion"/>
  </si>
  <si>
    <t>명동성당주차장</t>
    <phoneticPr fontId="5" type="noConversion"/>
  </si>
  <si>
    <t>'25년 11월</t>
    <phoneticPr fontId="5" type="noConversion"/>
  </si>
  <si>
    <t>식대 (28,000)</t>
    <phoneticPr fontId="5" type="noConversion"/>
  </si>
  <si>
    <t>장례식(김동진)</t>
    <phoneticPr fontId="5" type="noConversion"/>
  </si>
  <si>
    <t>장례식(박인주)</t>
    <phoneticPr fontId="5" type="noConversion"/>
  </si>
  <si>
    <t>링커스영배</t>
    <phoneticPr fontId="5" type="noConversion"/>
  </si>
  <si>
    <t>기타/기타</t>
    <phoneticPr fontId="5" type="noConversion"/>
  </si>
  <si>
    <t>해외출장경비</t>
    <phoneticPr fontId="5" type="noConversion"/>
  </si>
  <si>
    <t>고속도로통행료</t>
    <phoneticPr fontId="5" type="noConversion"/>
  </si>
  <si>
    <t>인천공항장기추자장</t>
    <phoneticPr fontId="5" type="noConversion"/>
  </si>
  <si>
    <t>결혼식(최보윤)</t>
    <phoneticPr fontId="5" type="noConversion"/>
  </si>
  <si>
    <t>KFC</t>
    <phoneticPr fontId="5" type="noConversion"/>
  </si>
  <si>
    <t>11번가(괌)</t>
    <phoneticPr fontId="5" type="noConversion"/>
  </si>
  <si>
    <t>여행</t>
    <phoneticPr fontId="5" type="noConversion"/>
  </si>
  <si>
    <t>AA</t>
    <phoneticPr fontId="5" type="noConversion"/>
  </si>
  <si>
    <t>109,000 + 41,000</t>
    <phoneticPr fontId="5" type="noConversion"/>
  </si>
  <si>
    <t>워시존</t>
    <phoneticPr fontId="5" type="noConversion"/>
  </si>
  <si>
    <t>교촌치킨</t>
    <phoneticPr fontId="5" type="noConversion"/>
  </si>
  <si>
    <t>생신용돈(장인어른)</t>
    <phoneticPr fontId="5" type="noConversion"/>
  </si>
  <si>
    <t>키링(강지완)</t>
    <phoneticPr fontId="5" type="noConversion"/>
  </si>
  <si>
    <t>주일헌금(강지우)</t>
    <phoneticPr fontId="5" type="noConversion"/>
  </si>
  <si>
    <t>bhc(장동철)</t>
    <phoneticPr fontId="5" type="noConversion"/>
  </si>
  <si>
    <t>기타/기타</t>
    <phoneticPr fontId="5" type="noConversion"/>
  </si>
  <si>
    <t>안동장</t>
    <phoneticPr fontId="5" type="noConversion"/>
  </si>
  <si>
    <t>아트박스</t>
    <phoneticPr fontId="5" type="noConversion"/>
  </si>
  <si>
    <t>CGV용산(식비)</t>
    <phoneticPr fontId="5" type="noConversion"/>
  </si>
  <si>
    <t>버거킹</t>
    <phoneticPr fontId="5" type="noConversion"/>
  </si>
  <si>
    <t>주일헌금/감사헌금</t>
    <phoneticPr fontId="5" type="noConversion"/>
  </si>
  <si>
    <t>TUMI</t>
    <phoneticPr fontId="5" type="noConversion"/>
  </si>
  <si>
    <t>현대프리미엄아울렛(강지완)</t>
    <phoneticPr fontId="5" type="noConversion"/>
  </si>
  <si>
    <t>바르미샤브</t>
    <phoneticPr fontId="5" type="noConversion"/>
  </si>
  <si>
    <t>주일헌금(강지완/강지우)</t>
    <phoneticPr fontId="5" type="noConversion"/>
  </si>
  <si>
    <t>현금인출</t>
    <phoneticPr fontId="5" type="noConversion"/>
  </si>
  <si>
    <t>카모아</t>
    <phoneticPr fontId="5" type="noConversion"/>
  </si>
  <si>
    <t>결혼식(윤해든)</t>
    <phoneticPr fontId="5" type="noConversion"/>
  </si>
  <si>
    <t>(HK)PERSONALITYLAB</t>
    <phoneticPr fontId="5" type="noConversion"/>
  </si>
  <si>
    <t>KTX(서울-창원)</t>
    <phoneticPr fontId="5" type="noConversion"/>
  </si>
  <si>
    <t>론썸헤이드(강지완)</t>
    <phoneticPr fontId="5" type="noConversion"/>
  </si>
  <si>
    <t>예금이자</t>
    <phoneticPr fontId="5" type="noConversion"/>
  </si>
  <si>
    <t>프랑세즈</t>
    <phoneticPr fontId="5" type="noConversion"/>
  </si>
  <si>
    <t>KTX(서울-포항)</t>
    <phoneticPr fontId="5" type="noConversion"/>
  </si>
  <si>
    <t>함지박</t>
    <phoneticPr fontId="5" type="noConversion"/>
  </si>
  <si>
    <t>서오릉피자</t>
    <phoneticPr fontId="5" type="noConversion"/>
  </si>
  <si>
    <t>'25년 12월</t>
    <phoneticPr fontId="5" type="noConversion"/>
  </si>
  <si>
    <t>하이패스(신용카드)</t>
    <phoneticPr fontId="5" type="noConversion"/>
  </si>
  <si>
    <t>부원</t>
    <phoneticPr fontId="5" type="noConversion"/>
  </si>
  <si>
    <t>포마토김밥</t>
    <phoneticPr fontId="5" type="noConversion"/>
  </si>
  <si>
    <t>이케아</t>
    <phoneticPr fontId="5" type="noConversion"/>
  </si>
  <si>
    <t>KFC</t>
    <phoneticPr fontId="5" type="noConversion"/>
  </si>
  <si>
    <t>써브웨이</t>
    <phoneticPr fontId="5" type="noConversion"/>
  </si>
  <si>
    <t>현주네김밥</t>
    <phoneticPr fontId="5" type="noConversion"/>
  </si>
  <si>
    <t>택시</t>
    <phoneticPr fontId="5" type="noConversion"/>
  </si>
  <si>
    <t>스토리웨이</t>
    <phoneticPr fontId="5" type="noConversion"/>
  </si>
  <si>
    <t>서울역</t>
    <phoneticPr fontId="5" type="noConversion"/>
  </si>
  <si>
    <t>제주항공(제주-부산)</t>
    <phoneticPr fontId="5" type="noConversion"/>
  </si>
  <si>
    <t>여행</t>
    <phoneticPr fontId="5" type="noConversion"/>
  </si>
  <si>
    <t>반송시장</t>
    <phoneticPr fontId="5" type="noConversion"/>
  </si>
  <si>
    <t>밀집</t>
    <phoneticPr fontId="5" type="noConversion"/>
  </si>
  <si>
    <t>GS25</t>
    <phoneticPr fontId="5" type="noConversion"/>
  </si>
  <si>
    <t>여행경비 (12/30)</t>
    <phoneticPr fontId="5" type="noConversion"/>
  </si>
  <si>
    <t>여행경비 (12/29)</t>
    <phoneticPr fontId="5" type="noConversion"/>
  </si>
  <si>
    <t>여행경비 (12/31)</t>
    <phoneticPr fontId="5" type="noConversion"/>
  </si>
  <si>
    <t>해비치호텔앤드리조트</t>
    <phoneticPr fontId="5" type="noConversion"/>
  </si>
  <si>
    <t>용산곤충관</t>
    <phoneticPr fontId="5" type="noConversion"/>
  </si>
  <si>
    <t>신기소</t>
    <phoneticPr fontId="5" type="noConversion"/>
  </si>
  <si>
    <t>용산역주차장</t>
    <phoneticPr fontId="5" type="noConversion"/>
  </si>
  <si>
    <t>스타벅스</t>
    <phoneticPr fontId="5" type="noConversion"/>
  </si>
  <si>
    <t>한섬팩토리아울렛</t>
    <phoneticPr fontId="5" type="noConversion"/>
  </si>
  <si>
    <t>자동차보험(6149)</t>
    <phoneticPr fontId="5" type="noConversion"/>
  </si>
  <si>
    <t>인의한의원</t>
    <phoneticPr fontId="5" type="noConversion"/>
  </si>
  <si>
    <t>캉골(강지완)</t>
    <phoneticPr fontId="5" type="noConversion"/>
  </si>
  <si>
    <t>백화점 / 보전 필요 (양지현)</t>
    <phoneticPr fontId="5" type="noConversion"/>
  </si>
  <si>
    <t>주일헌금(강지우)</t>
    <phoneticPr fontId="5" type="noConversion"/>
  </si>
  <si>
    <t>감사헌금(성탄절)</t>
    <phoneticPr fontId="5" type="noConversion"/>
  </si>
  <si>
    <t>아리하 종부세</t>
    <phoneticPr fontId="5" type="noConversion"/>
  </si>
  <si>
    <t>자동차 재산세 (K5)</t>
    <phoneticPr fontId="5" type="noConversion"/>
  </si>
  <si>
    <t>자동차 재산세 (그랜저)</t>
    <phoneticPr fontId="5" type="noConversion"/>
  </si>
  <si>
    <t>옛날가마솥순대</t>
    <phoneticPr fontId="5" type="noConversion"/>
  </si>
  <si>
    <t>명성왕족발</t>
    <phoneticPr fontId="5" type="noConversion"/>
  </si>
  <si>
    <t>소문난순대국</t>
    <phoneticPr fontId="5" type="noConversion"/>
  </si>
  <si>
    <t>성대지마트</t>
    <phoneticPr fontId="5" type="noConversion"/>
  </si>
  <si>
    <t>브라더후드바버샵</t>
    <phoneticPr fontId="5" type="noConversion"/>
  </si>
  <si>
    <t>서오릉피자</t>
    <phoneticPr fontId="5" type="noConversion"/>
  </si>
  <si>
    <t>어썸글라스</t>
    <phoneticPr fontId="5" type="noConversion"/>
  </si>
  <si>
    <t>워시존</t>
    <phoneticPr fontId="5" type="noConversion"/>
  </si>
  <si>
    <t>강원도감자옹심이</t>
    <phoneticPr fontId="5" type="noConversion"/>
  </si>
  <si>
    <t>본가/식사</t>
    <phoneticPr fontId="5" type="noConversion"/>
  </si>
  <si>
    <t>자매빌딩</t>
    <phoneticPr fontId="5" type="noConversion"/>
  </si>
  <si>
    <t>쿠팡</t>
    <phoneticPr fontId="5" type="noConversion"/>
  </si>
  <si>
    <t>명동호프치킨</t>
    <phoneticPr fontId="5" type="noConversion"/>
  </si>
  <si>
    <t>다이소</t>
    <phoneticPr fontId="5" type="noConversion"/>
  </si>
  <si>
    <t>목동파라곤</t>
    <phoneticPr fontId="5" type="noConversion"/>
  </si>
  <si>
    <t>현대백화점</t>
    <phoneticPr fontId="5" type="noConversion"/>
  </si>
  <si>
    <t>케이크링</t>
    <phoneticPr fontId="5" type="noConversion"/>
  </si>
  <si>
    <t>쿠팡(오사닛)</t>
    <phoneticPr fontId="5" type="noConversion"/>
  </si>
  <si>
    <t>네이버페이(자연애보감)</t>
    <phoneticPr fontId="5" type="noConversion"/>
  </si>
  <si>
    <t>신한은행 166933</t>
    <phoneticPr fontId="5" type="noConversion"/>
  </si>
  <si>
    <t>신한은행 165849</t>
    <phoneticPr fontId="5" type="noConversion"/>
  </si>
  <si>
    <t>케이뱅크 040244</t>
    <phoneticPr fontId="5" type="noConversion"/>
  </si>
  <si>
    <t>출금통장</t>
    <phoneticPr fontId="5" type="noConversion"/>
  </si>
  <si>
    <t>소스</t>
    <phoneticPr fontId="5" type="noConversion"/>
  </si>
  <si>
    <t>급여</t>
    <phoneticPr fontId="5" type="noConversion"/>
  </si>
  <si>
    <t>스텔스</t>
    <phoneticPr fontId="5" type="noConversion"/>
  </si>
  <si>
    <t>공생분할</t>
    <phoneticPr fontId="5" type="noConversion"/>
  </si>
  <si>
    <t>지닥 940,307</t>
    <phoneticPr fontId="5" type="noConversion"/>
  </si>
  <si>
    <t>현금 200,000</t>
    <phoneticPr fontId="5" type="noConversion"/>
  </si>
  <si>
    <t>가산수당(해외)</t>
    <phoneticPr fontId="5" type="noConversion"/>
  </si>
  <si>
    <t>콘텐토</t>
    <phoneticPr fontId="5" type="noConversion"/>
  </si>
  <si>
    <t>문구돌이x아이즈크림</t>
    <phoneticPr fontId="5" type="noConversion"/>
  </si>
  <si>
    <t>'26년 01월</t>
    <phoneticPr fontId="5" type="noConversion"/>
  </si>
  <si>
    <t>AB</t>
    <phoneticPr fontId="5" type="noConversion"/>
  </si>
  <si>
    <t>성과급 (2023-2025)</t>
    <phoneticPr fontId="5" type="noConversion"/>
  </si>
  <si>
    <t>성과급 (2021)</t>
    <phoneticPr fontId="5" type="noConversion"/>
  </si>
  <si>
    <t>GS25</t>
    <phoneticPr fontId="5" type="noConversion"/>
  </si>
  <si>
    <t>KTX(서울-창원)</t>
    <phoneticPr fontId="5" type="noConversion"/>
  </si>
  <si>
    <t>KTX(창원-서울)</t>
    <phoneticPr fontId="5" type="noConversion"/>
  </si>
  <si>
    <t>네이버페이(팔라디움)</t>
    <phoneticPr fontId="5" type="noConversion"/>
  </si>
  <si>
    <t>송구영신감사헌금</t>
    <phoneticPr fontId="5" type="noConversion"/>
  </si>
  <si>
    <t>91,000 + 34,000</t>
    <phoneticPr fontId="5" type="noConversion"/>
  </si>
  <si>
    <t>127,000 + 48,000</t>
    <phoneticPr fontId="5" type="noConversion"/>
  </si>
  <si>
    <t>블렌타믹스</t>
    <phoneticPr fontId="5" type="noConversion"/>
  </si>
  <si>
    <r>
      <rPr>
        <sz val="10"/>
        <color theme="1"/>
        <rFont val="맑은 고딕"/>
        <family val="3"/>
        <charset val="129"/>
        <scheme val="minor"/>
      </rPr>
      <t xml:space="preserve">블렌더 </t>
    </r>
    <r>
      <rPr>
        <sz val="10"/>
        <color theme="1"/>
        <rFont val="Arial"/>
        <family val="2"/>
      </rPr>
      <t>(JSK-17005)</t>
    </r>
    <phoneticPr fontId="5" type="noConversion"/>
  </si>
  <si>
    <t>LG전자베스트샵 남성역점</t>
    <phoneticPr fontId="5" type="noConversion"/>
  </si>
  <si>
    <r>
      <rPr>
        <sz val="10"/>
        <color theme="1"/>
        <rFont val="맑은 고딕"/>
        <family val="3"/>
        <charset val="129"/>
      </rPr>
      <t>밥솥</t>
    </r>
    <r>
      <rPr>
        <sz val="10"/>
        <color theme="1"/>
        <rFont val="Arial"/>
        <family val="2"/>
      </rPr>
      <t xml:space="preserve"> (DHXB0610FS)</t>
    </r>
    <phoneticPr fontId="5" type="noConversion"/>
  </si>
  <si>
    <r>
      <rPr>
        <sz val="10"/>
        <color theme="1"/>
        <rFont val="맑은 고딕"/>
        <family val="3"/>
        <charset val="129"/>
      </rPr>
      <t>청소기</t>
    </r>
    <r>
      <rPr>
        <sz val="10"/>
        <color theme="1"/>
        <rFont val="Arial"/>
        <family val="2"/>
      </rPr>
      <t xml:space="preserve"> (A958SK)</t>
    </r>
    <phoneticPr fontId="5" type="noConversion"/>
  </si>
  <si>
    <r>
      <rPr>
        <sz val="10"/>
        <color theme="1"/>
        <rFont val="맑은 고딕"/>
        <family val="3"/>
        <charset val="129"/>
      </rPr>
      <t>냉장고</t>
    </r>
    <r>
      <rPr>
        <sz val="10"/>
        <color theme="1"/>
        <rFont val="Arial"/>
        <family val="2"/>
      </rPr>
      <t xml:space="preserve"> (F871TS56W)</t>
    </r>
    <phoneticPr fontId="5" type="noConversion"/>
  </si>
  <si>
    <r>
      <rPr>
        <sz val="10"/>
        <color theme="1"/>
        <rFont val="맑은 고딕"/>
        <family val="3"/>
        <charset val="129"/>
      </rPr>
      <t>올레드</t>
    </r>
    <r>
      <rPr>
        <sz val="10"/>
        <color theme="1"/>
        <rFont val="Arial"/>
        <family val="2"/>
      </rPr>
      <t xml:space="preserve"> TV (OLED55B8GW)</t>
    </r>
    <phoneticPr fontId="5" type="noConversion"/>
  </si>
  <si>
    <r>
      <rPr>
        <sz val="10"/>
        <color theme="1"/>
        <rFont val="맑은 고딕"/>
        <family val="3"/>
        <charset val="129"/>
      </rPr>
      <t>건조기</t>
    </r>
    <r>
      <rPr>
        <sz val="10"/>
        <color theme="1"/>
        <rFont val="Arial"/>
        <family val="2"/>
      </rPr>
      <t xml:space="preserve"> (RH14VH)</t>
    </r>
    <phoneticPr fontId="5" type="noConversion"/>
  </si>
  <si>
    <r>
      <rPr>
        <sz val="10"/>
        <color theme="1"/>
        <rFont val="맑은 고딕"/>
        <family val="3"/>
        <charset val="129"/>
      </rPr>
      <t>세탁기</t>
    </r>
    <r>
      <rPr>
        <sz val="10"/>
        <color theme="1"/>
        <rFont val="Arial"/>
        <family val="2"/>
      </rPr>
      <t xml:space="preserve"> (F17VDW)</t>
    </r>
    <phoneticPr fontId="5" type="noConversion"/>
  </si>
  <si>
    <r>
      <rPr>
        <sz val="10"/>
        <color theme="1"/>
        <rFont val="맑은 고딕"/>
        <family val="3"/>
        <charset val="129"/>
      </rPr>
      <t>결제금액</t>
    </r>
    <r>
      <rPr>
        <sz val="10"/>
        <color theme="1"/>
        <rFont val="Arial"/>
        <family val="2"/>
      </rPr>
      <t>: 10,300,000</t>
    </r>
    <r>
      <rPr>
        <sz val="10"/>
        <color theme="1"/>
        <rFont val="Arial"/>
        <family val="2"/>
      </rPr>
      <t xml:space="preserve">
-. </t>
    </r>
    <r>
      <rPr>
        <sz val="10"/>
        <color theme="1"/>
        <rFont val="맑은 고딕"/>
        <family val="3"/>
        <charset val="129"/>
      </rPr>
      <t>외상금액</t>
    </r>
    <r>
      <rPr>
        <sz val="10"/>
        <color theme="1"/>
        <rFont val="Arial"/>
        <family val="2"/>
      </rPr>
      <t xml:space="preserve">: 400,000
-. </t>
    </r>
    <r>
      <rPr>
        <sz val="10"/>
        <color theme="1"/>
        <rFont val="맑은 고딕"/>
        <family val="3"/>
        <charset val="129"/>
      </rPr>
      <t>신한포인트</t>
    </r>
    <r>
      <rPr>
        <sz val="10"/>
        <color theme="1"/>
        <rFont val="Arial"/>
        <family val="2"/>
      </rPr>
      <t>: 400,000 (</t>
    </r>
    <r>
      <rPr>
        <sz val="10"/>
        <color theme="1"/>
        <rFont val="맑은 고딕"/>
        <family val="3"/>
        <charset val="129"/>
      </rPr>
      <t>외상금액</t>
    </r>
    <r>
      <rPr>
        <sz val="10"/>
        <color theme="1"/>
        <rFont val="Arial"/>
        <family val="2"/>
      </rPr>
      <t xml:space="preserve"> </t>
    </r>
    <r>
      <rPr>
        <sz val="10"/>
        <color theme="1"/>
        <rFont val="맑은 고딕"/>
        <family val="3"/>
        <charset val="129"/>
      </rPr>
      <t>감면</t>
    </r>
    <r>
      <rPr>
        <sz val="10"/>
        <color theme="1"/>
        <rFont val="Arial"/>
        <family val="2"/>
      </rPr>
      <t xml:space="preserve">)
-. </t>
    </r>
    <r>
      <rPr>
        <sz val="10"/>
        <color theme="1"/>
        <rFont val="맑은 고딕"/>
        <family val="3"/>
        <charset val="129"/>
      </rPr>
      <t>멤버쉽</t>
    </r>
    <r>
      <rPr>
        <sz val="10"/>
        <color theme="1"/>
        <rFont val="Arial"/>
        <family val="2"/>
      </rPr>
      <t>: 300,000 (</t>
    </r>
    <r>
      <rPr>
        <sz val="10"/>
        <color theme="1"/>
        <rFont val="맑은 고딕"/>
        <family val="3"/>
        <charset val="129"/>
      </rPr>
      <t>밥솥</t>
    </r>
    <r>
      <rPr>
        <sz val="10"/>
        <color theme="1"/>
        <rFont val="Arial"/>
        <family val="2"/>
      </rPr>
      <t xml:space="preserve">)
-. </t>
    </r>
    <r>
      <rPr>
        <sz val="10"/>
        <color theme="1"/>
        <rFont val="맑은 고딕"/>
        <family val="3"/>
        <charset val="129"/>
      </rPr>
      <t>캐시백</t>
    </r>
    <r>
      <rPr>
        <sz val="10"/>
        <color theme="1"/>
        <rFont val="Arial"/>
        <family val="2"/>
      </rPr>
      <t xml:space="preserve">: 200,000
-. </t>
    </r>
    <r>
      <rPr>
        <sz val="10"/>
        <color theme="1"/>
        <rFont val="맑은 고딕"/>
        <family val="3"/>
        <charset val="129"/>
      </rPr>
      <t>재구매</t>
    </r>
    <r>
      <rPr>
        <sz val="10"/>
        <color theme="1"/>
        <rFont val="Arial"/>
        <family val="2"/>
      </rPr>
      <t xml:space="preserve">: 500,000
</t>
    </r>
    <r>
      <rPr>
        <u/>
        <sz val="10"/>
        <color theme="1"/>
        <rFont val="맑은 고딕"/>
        <family val="3"/>
        <charset val="129"/>
      </rPr>
      <t>합계</t>
    </r>
    <r>
      <rPr>
        <u/>
        <sz val="10"/>
        <color theme="1"/>
        <rFont val="Arial"/>
        <family val="2"/>
      </rPr>
      <t xml:space="preserve"> 9,300,000 </t>
    </r>
    <r>
      <rPr>
        <u/>
        <sz val="10"/>
        <color theme="1"/>
        <rFont val="맑은 고딕"/>
        <family val="3"/>
        <charset val="129"/>
      </rPr>
      <t>지출</t>
    </r>
    <phoneticPr fontId="5" type="noConversion"/>
  </si>
  <si>
    <r>
      <rPr>
        <sz val="10"/>
        <color theme="1"/>
        <rFont val="맑은 고딕"/>
        <family val="3"/>
        <charset val="129"/>
      </rPr>
      <t>신한카드</t>
    </r>
    <r>
      <rPr>
        <sz val="10"/>
        <color theme="1"/>
        <rFont val="Arial"/>
        <family val="2"/>
      </rPr>
      <t xml:space="preserve"> (LG)</t>
    </r>
    <phoneticPr fontId="5" type="noConversion"/>
  </si>
  <si>
    <r>
      <rPr>
        <sz val="10"/>
        <color theme="1"/>
        <rFont val="맑은 고딕"/>
        <family val="3"/>
        <charset val="129"/>
      </rPr>
      <t>스타일러</t>
    </r>
    <r>
      <rPr>
        <sz val="10"/>
        <color theme="1"/>
        <rFont val="Arial"/>
        <family val="2"/>
      </rPr>
      <t xml:space="preserve"> (S3BF)</t>
    </r>
    <phoneticPr fontId="5" type="noConversion"/>
  </si>
  <si>
    <r>
      <t xml:space="preserve">10/28 </t>
    </r>
    <r>
      <rPr>
        <sz val="10"/>
        <color theme="1"/>
        <rFont val="맑은 고딕"/>
        <family val="3"/>
        <charset val="129"/>
      </rPr>
      <t>환급</t>
    </r>
    <r>
      <rPr>
        <sz val="10"/>
        <color theme="1"/>
        <rFont val="Arial"/>
        <family val="2"/>
      </rPr>
      <t xml:space="preserve"> </t>
    </r>
    <r>
      <rPr>
        <sz val="10"/>
        <color theme="1"/>
        <rFont val="맑은 고딕"/>
        <family val="3"/>
        <charset val="129"/>
      </rPr>
      <t>완료</t>
    </r>
    <r>
      <rPr>
        <sz val="10"/>
        <color theme="1"/>
        <rFont val="Arial"/>
        <family val="2"/>
      </rPr>
      <t xml:space="preserve"> (</t>
    </r>
    <r>
      <rPr>
        <sz val="10"/>
        <color theme="1"/>
        <rFont val="맑은 고딕"/>
        <family val="3"/>
        <charset val="129"/>
      </rPr>
      <t>신한</t>
    </r>
    <r>
      <rPr>
        <sz val="10"/>
        <color theme="1"/>
        <rFont val="Arial"/>
        <family val="2"/>
      </rPr>
      <t xml:space="preserve"> </t>
    </r>
    <r>
      <rPr>
        <sz val="10"/>
        <color theme="1"/>
        <rFont val="맑은 고딕"/>
        <family val="3"/>
        <charset val="129"/>
      </rPr>
      <t>개인생활비</t>
    </r>
    <r>
      <rPr>
        <sz val="10"/>
        <color theme="1"/>
        <rFont val="Arial"/>
        <family val="2"/>
      </rPr>
      <t>)</t>
    </r>
    <phoneticPr fontId="5" type="noConversion"/>
  </si>
  <si>
    <r>
      <rPr>
        <sz val="10"/>
        <color theme="1"/>
        <rFont val="맑은 고딕"/>
        <family val="3"/>
        <charset val="129"/>
      </rPr>
      <t>현금</t>
    </r>
    <phoneticPr fontId="5" type="noConversion"/>
  </si>
  <si>
    <t>대림산업</t>
    <phoneticPr fontId="5" type="noConversion"/>
  </si>
  <si>
    <r>
      <rPr>
        <sz val="10"/>
        <color theme="1"/>
        <rFont val="맑은 고딕"/>
        <family val="3"/>
        <charset val="129"/>
      </rPr>
      <t>아크로리버하임</t>
    </r>
    <r>
      <rPr>
        <sz val="10"/>
        <color theme="1"/>
        <rFont val="Arial"/>
        <family val="2"/>
      </rPr>
      <t xml:space="preserve"> (</t>
    </r>
    <r>
      <rPr>
        <sz val="10"/>
        <color theme="1"/>
        <rFont val="맑은 고딕"/>
        <family val="3"/>
        <charset val="129"/>
      </rPr>
      <t>쿡탑</t>
    </r>
    <r>
      <rPr>
        <sz val="10"/>
        <color theme="1"/>
        <rFont val="Arial"/>
        <family val="2"/>
      </rPr>
      <t xml:space="preserve"> </t>
    </r>
    <r>
      <rPr>
        <sz val="10"/>
        <color theme="1"/>
        <rFont val="맑은 고딕"/>
        <family val="3"/>
        <charset val="129"/>
      </rPr>
      <t>잔금</t>
    </r>
    <r>
      <rPr>
        <sz val="10"/>
        <color theme="1"/>
        <rFont val="Arial"/>
        <family val="2"/>
      </rPr>
      <t>)</t>
    </r>
    <phoneticPr fontId="5" type="noConversion"/>
  </si>
  <si>
    <r>
      <rPr>
        <sz val="10"/>
        <color theme="1"/>
        <rFont val="맑은 고딕"/>
        <family val="3"/>
        <charset val="129"/>
      </rPr>
      <t>아크로리버하임</t>
    </r>
    <r>
      <rPr>
        <sz val="10"/>
        <color theme="1"/>
        <rFont val="Arial"/>
        <family val="2"/>
      </rPr>
      <t xml:space="preserve"> (</t>
    </r>
    <r>
      <rPr>
        <sz val="10"/>
        <color theme="1"/>
        <rFont val="맑은 고딕"/>
        <family val="3"/>
        <charset val="129"/>
      </rPr>
      <t>시스템에어컨</t>
    </r>
    <r>
      <rPr>
        <sz val="10"/>
        <color theme="1"/>
        <rFont val="Arial"/>
        <family val="2"/>
      </rPr>
      <t xml:space="preserve"> </t>
    </r>
    <r>
      <rPr>
        <sz val="10"/>
        <color theme="1"/>
        <rFont val="맑은 고딕"/>
        <family val="3"/>
        <charset val="129"/>
      </rPr>
      <t>계약금</t>
    </r>
    <r>
      <rPr>
        <sz val="10"/>
        <color theme="1"/>
        <rFont val="Arial"/>
        <family val="2"/>
      </rPr>
      <t>/</t>
    </r>
    <r>
      <rPr>
        <sz val="10"/>
        <color theme="1"/>
        <rFont val="맑은 고딕"/>
        <family val="3"/>
        <charset val="129"/>
      </rPr>
      <t>중도금</t>
    </r>
    <r>
      <rPr>
        <sz val="10"/>
        <color theme="1"/>
        <rFont val="Arial"/>
        <family val="2"/>
      </rPr>
      <t>/</t>
    </r>
    <r>
      <rPr>
        <sz val="10"/>
        <color theme="1"/>
        <rFont val="맑은 고딕"/>
        <family val="3"/>
        <charset val="129"/>
      </rPr>
      <t>잔금</t>
    </r>
    <r>
      <rPr>
        <sz val="10"/>
        <color theme="1"/>
        <rFont val="Arial"/>
        <family val="2"/>
      </rPr>
      <t>)</t>
    </r>
    <phoneticPr fontId="5" type="noConversion"/>
  </si>
  <si>
    <r>
      <rPr>
        <sz val="10"/>
        <color theme="1"/>
        <rFont val="맑은 고딕"/>
        <family val="3"/>
        <charset val="129"/>
      </rPr>
      <t>신한카드</t>
    </r>
    <r>
      <rPr>
        <sz val="10"/>
        <color theme="1"/>
        <rFont val="Arial"/>
        <family val="2"/>
      </rPr>
      <t xml:space="preserve"> (Light Plan)</t>
    </r>
    <phoneticPr fontId="5" type="noConversion"/>
  </si>
  <si>
    <t>현대건설 임직원쇼핑몰</t>
    <phoneticPr fontId="5" type="noConversion"/>
  </si>
  <si>
    <r>
      <rPr>
        <sz val="10"/>
        <color theme="1"/>
        <rFont val="맑은 고딕"/>
        <family val="3"/>
        <charset val="129"/>
      </rPr>
      <t>에어프라이어</t>
    </r>
    <phoneticPr fontId="5" type="noConversion"/>
  </si>
  <si>
    <r>
      <t xml:space="preserve">4/8 </t>
    </r>
    <r>
      <rPr>
        <sz val="10"/>
        <color theme="1"/>
        <rFont val="맑은 고딕"/>
        <family val="3"/>
        <charset val="129"/>
      </rPr>
      <t>환급</t>
    </r>
    <r>
      <rPr>
        <sz val="10"/>
        <color theme="1"/>
        <rFont val="Arial"/>
        <family val="2"/>
      </rPr>
      <t xml:space="preserve"> </t>
    </r>
    <r>
      <rPr>
        <sz val="10"/>
        <color theme="1"/>
        <rFont val="맑은 고딕"/>
        <family val="3"/>
        <charset val="129"/>
      </rPr>
      <t>완료</t>
    </r>
    <r>
      <rPr>
        <sz val="10"/>
        <color theme="1"/>
        <rFont val="Arial"/>
        <family val="2"/>
      </rPr>
      <t xml:space="preserve"> (</t>
    </r>
    <r>
      <rPr>
        <sz val="10"/>
        <color theme="1"/>
        <rFont val="맑은 고딕"/>
        <family val="3"/>
        <charset val="129"/>
      </rPr>
      <t>신한</t>
    </r>
    <r>
      <rPr>
        <sz val="10"/>
        <color theme="1"/>
        <rFont val="Arial"/>
        <family val="2"/>
      </rPr>
      <t xml:space="preserve"> </t>
    </r>
    <r>
      <rPr>
        <sz val="10"/>
        <color theme="1"/>
        <rFont val="맑은 고딕"/>
        <family val="3"/>
        <charset val="129"/>
      </rPr>
      <t>개인생활비</t>
    </r>
    <r>
      <rPr>
        <sz val="10"/>
        <color theme="1"/>
        <rFont val="Arial"/>
        <family val="2"/>
      </rPr>
      <t>)</t>
    </r>
    <phoneticPr fontId="5" type="noConversion"/>
  </si>
  <si>
    <r>
      <rPr>
        <sz val="10"/>
        <color theme="1"/>
        <rFont val="맑은 고딕"/>
        <family val="3"/>
        <charset val="129"/>
      </rPr>
      <t>아크로리버하임</t>
    </r>
    <r>
      <rPr>
        <sz val="10"/>
        <color theme="1"/>
        <rFont val="Arial"/>
        <family val="2"/>
      </rPr>
      <t xml:space="preserve"> (</t>
    </r>
    <r>
      <rPr>
        <sz val="10"/>
        <color theme="1"/>
        <rFont val="맑은 고딕"/>
        <family val="3"/>
        <charset val="129"/>
      </rPr>
      <t>쿡탑</t>
    </r>
    <r>
      <rPr>
        <sz val="10"/>
        <color theme="1"/>
        <rFont val="Arial"/>
        <family val="2"/>
      </rPr>
      <t xml:space="preserve"> </t>
    </r>
    <r>
      <rPr>
        <sz val="10"/>
        <color theme="1"/>
        <rFont val="맑은 고딕"/>
        <family val="3"/>
        <charset val="129"/>
      </rPr>
      <t>중도금</t>
    </r>
    <r>
      <rPr>
        <sz val="10"/>
        <color theme="1"/>
        <rFont val="Arial"/>
        <family val="2"/>
      </rPr>
      <t>)</t>
    </r>
    <phoneticPr fontId="5" type="noConversion"/>
  </si>
  <si>
    <r>
      <t xml:space="preserve">2/12 </t>
    </r>
    <r>
      <rPr>
        <sz val="10"/>
        <color theme="1"/>
        <rFont val="맑은 고딕"/>
        <family val="3"/>
        <charset val="129"/>
      </rPr>
      <t>환급</t>
    </r>
    <r>
      <rPr>
        <sz val="10"/>
        <color theme="1"/>
        <rFont val="Arial"/>
        <family val="2"/>
      </rPr>
      <t xml:space="preserve"> </t>
    </r>
    <r>
      <rPr>
        <sz val="10"/>
        <color theme="1"/>
        <rFont val="맑은 고딕"/>
        <family val="3"/>
        <charset val="129"/>
      </rPr>
      <t>완료</t>
    </r>
    <r>
      <rPr>
        <sz val="10"/>
        <color theme="1"/>
        <rFont val="Arial"/>
        <family val="2"/>
      </rPr>
      <t xml:space="preserve"> (</t>
    </r>
    <r>
      <rPr>
        <sz val="10"/>
        <color theme="1"/>
        <rFont val="맑은 고딕"/>
        <family val="3"/>
        <charset val="129"/>
      </rPr>
      <t>신한</t>
    </r>
    <r>
      <rPr>
        <sz val="10"/>
        <color theme="1"/>
        <rFont val="Arial"/>
        <family val="2"/>
      </rPr>
      <t xml:space="preserve"> </t>
    </r>
    <r>
      <rPr>
        <sz val="10"/>
        <color theme="1"/>
        <rFont val="맑은 고딕"/>
        <family val="3"/>
        <charset val="129"/>
      </rPr>
      <t>개인생활비</t>
    </r>
    <r>
      <rPr>
        <sz val="10"/>
        <color theme="1"/>
        <rFont val="Arial"/>
        <family val="2"/>
      </rPr>
      <t>)</t>
    </r>
    <phoneticPr fontId="5" type="noConversion"/>
  </si>
  <si>
    <r>
      <rPr>
        <sz val="10"/>
        <color theme="1"/>
        <rFont val="맑은 고딕"/>
        <family val="3"/>
        <charset val="129"/>
      </rPr>
      <t>아크로리버하임</t>
    </r>
    <r>
      <rPr>
        <sz val="10"/>
        <color theme="1"/>
        <rFont val="Arial"/>
        <family val="2"/>
      </rPr>
      <t xml:space="preserve"> (</t>
    </r>
    <r>
      <rPr>
        <sz val="10"/>
        <color theme="1"/>
        <rFont val="맑은 고딕"/>
        <family val="3"/>
        <charset val="129"/>
      </rPr>
      <t>쿡탑</t>
    </r>
    <r>
      <rPr>
        <sz val="10"/>
        <color theme="1"/>
        <rFont val="Arial"/>
        <family val="2"/>
      </rPr>
      <t xml:space="preserve"> </t>
    </r>
    <r>
      <rPr>
        <sz val="10"/>
        <color theme="1"/>
        <rFont val="맑은 고딕"/>
        <family val="3"/>
        <charset val="129"/>
      </rPr>
      <t>계약금</t>
    </r>
    <r>
      <rPr>
        <sz val="10"/>
        <color theme="1"/>
        <rFont val="Arial"/>
        <family val="2"/>
      </rPr>
      <t>)</t>
    </r>
    <phoneticPr fontId="5" type="noConversion"/>
  </si>
  <si>
    <r>
      <rPr>
        <sz val="10"/>
        <color theme="1"/>
        <rFont val="맑은 고딕"/>
        <family val="3"/>
        <charset val="129"/>
      </rPr>
      <t>비고</t>
    </r>
    <phoneticPr fontId="5" type="noConversion"/>
  </si>
  <si>
    <r>
      <rPr>
        <sz val="10"/>
        <color theme="1"/>
        <rFont val="맑은 고딕"/>
        <family val="3"/>
        <charset val="129"/>
      </rPr>
      <t>영수증</t>
    </r>
    <phoneticPr fontId="5" type="noConversion"/>
  </si>
  <si>
    <r>
      <rPr>
        <sz val="10"/>
        <color theme="1"/>
        <rFont val="맑은 고딕"/>
        <family val="3"/>
        <charset val="129"/>
      </rPr>
      <t>결제수단</t>
    </r>
    <phoneticPr fontId="5" type="noConversion"/>
  </si>
  <si>
    <r>
      <rPr>
        <sz val="10"/>
        <color theme="1"/>
        <rFont val="맑은 고딕"/>
        <family val="3"/>
        <charset val="129"/>
      </rPr>
      <t>품목</t>
    </r>
    <phoneticPr fontId="5" type="noConversion"/>
  </si>
  <si>
    <r>
      <rPr>
        <b/>
        <sz val="12"/>
        <color theme="1"/>
        <rFont val="맑은 고딕"/>
        <family val="3"/>
        <charset val="129"/>
      </rPr>
      <t>혼수</t>
    </r>
    <r>
      <rPr>
        <b/>
        <sz val="12"/>
        <color theme="1"/>
        <rFont val="Arial"/>
        <family val="2"/>
      </rPr>
      <t xml:space="preserve"> </t>
    </r>
    <r>
      <rPr>
        <b/>
        <sz val="12"/>
        <color theme="1"/>
        <rFont val="맑은 고딕"/>
        <family val="3"/>
        <charset val="129"/>
      </rPr>
      <t>비용</t>
    </r>
    <r>
      <rPr>
        <b/>
        <sz val="12"/>
        <color theme="1"/>
        <rFont val="Arial"/>
        <family val="2"/>
      </rPr>
      <t xml:space="preserve"> </t>
    </r>
    <r>
      <rPr>
        <b/>
        <sz val="12"/>
        <color theme="1"/>
        <rFont val="맑은 고딕"/>
        <family val="3"/>
        <charset val="129"/>
      </rPr>
      <t>지출</t>
    </r>
    <r>
      <rPr>
        <b/>
        <sz val="12"/>
        <color theme="1"/>
        <rFont val="Arial"/>
        <family val="2"/>
      </rPr>
      <t xml:space="preserve"> </t>
    </r>
    <r>
      <rPr>
        <b/>
        <sz val="12"/>
        <color theme="1"/>
        <rFont val="맑은 고딕"/>
        <family val="3"/>
        <charset val="129"/>
      </rPr>
      <t>대장</t>
    </r>
    <phoneticPr fontId="5" type="noConversion"/>
  </si>
  <si>
    <t>직책수당</t>
    <phoneticPr fontId="5" type="noConversion"/>
  </si>
  <si>
    <t>곽선생왕만두</t>
    <phoneticPr fontId="5" type="noConversion"/>
  </si>
  <si>
    <t>장례식(임현수)</t>
    <phoneticPr fontId="5" type="noConversion"/>
  </si>
  <si>
    <t>KFC</t>
    <phoneticPr fontId="5" type="noConversion"/>
  </si>
  <si>
    <t>롯데리아</t>
    <phoneticPr fontId="5" type="noConversion"/>
  </si>
  <si>
    <t>캉골(강지완)</t>
    <phoneticPr fontId="5" type="noConversion"/>
  </si>
  <si>
    <t>프랑세즈</t>
    <phoneticPr fontId="5" type="noConversion"/>
  </si>
  <si>
    <t>KTX(창원-서울)(부모님)</t>
    <phoneticPr fontId="5" type="noConversion"/>
  </si>
  <si>
    <t>생신용돈(아버지)</t>
    <phoneticPr fontId="5" type="noConversion"/>
  </si>
  <si>
    <t>한살림</t>
    <phoneticPr fontId="5" type="noConversion"/>
  </si>
  <si>
    <t>신세계백화점(강지완)</t>
    <phoneticPr fontId="5" type="noConversion"/>
  </si>
  <si>
    <t>브라더후드바버샵</t>
    <phoneticPr fontId="5" type="noConversion"/>
  </si>
  <si>
    <t>오연상내과</t>
    <phoneticPr fontId="5" type="noConversion"/>
  </si>
  <si>
    <t>예쁜약국</t>
    <phoneticPr fontId="5" type="noConversion"/>
  </si>
  <si>
    <t>론썸헤이드(강지완)</t>
    <phoneticPr fontId="5" type="noConversion"/>
  </si>
  <si>
    <t>건설기술인협회</t>
    <phoneticPr fontId="5" type="noConversion"/>
  </si>
  <si>
    <t>플레이팅</t>
    <phoneticPr fontId="5" type="noConversion"/>
  </si>
  <si>
    <t>여행</t>
    <phoneticPr fontId="5" type="noConversion"/>
  </si>
  <si>
    <t>신세계라이브쇼핑(팔라디움)</t>
    <phoneticPr fontId="5" type="noConversion"/>
  </si>
  <si>
    <t>손정보쌈</t>
    <phoneticPr fontId="5" type="noConversion"/>
  </si>
  <si>
    <t>곰돌이스타약국</t>
    <phoneticPr fontId="5" type="noConversion"/>
  </si>
  <si>
    <t>롯데리아</t>
    <phoneticPr fontId="5" type="noConversion"/>
  </si>
  <si>
    <t>스토리웨이</t>
    <phoneticPr fontId="5" type="noConversion"/>
  </si>
  <si>
    <t>KTX자판기</t>
    <phoneticPr fontId="5" type="noConversion"/>
  </si>
  <si>
    <t>명절용돈(시가)</t>
    <phoneticPr fontId="5" type="noConversion"/>
  </si>
  <si>
    <t>명절용돈(처가)</t>
    <phoneticPr fontId="5" type="noConversion"/>
  </si>
  <si>
    <t>명절음식비</t>
    <phoneticPr fontId="5" type="noConversion"/>
  </si>
  <si>
    <t>명절용돈(강지성)</t>
    <phoneticPr fontId="5" type="noConversion"/>
  </si>
  <si>
    <t>씨유</t>
    <phoneticPr fontId="5" type="noConversion"/>
  </si>
  <si>
    <t>쿠팡(풋조이)</t>
    <phoneticPr fontId="5" type="noConversion"/>
  </si>
  <si>
    <t>서울역주차장</t>
    <phoneticPr fontId="5" type="noConversion"/>
  </si>
  <si>
    <t>인천공항장기주차장</t>
    <phoneticPr fontId="5" type="noConversion"/>
  </si>
  <si>
    <t>남서울</t>
  </si>
  <si>
    <t>남서울</t>
    <phoneticPr fontId="5" type="noConversion"/>
  </si>
  <si>
    <t>In - Out</t>
  </si>
  <si>
    <t>안철호 (101)
김정훈 (95)
강은비 (100)</t>
    <phoneticPr fontId="5" type="noConversion"/>
  </si>
  <si>
    <t>루트52</t>
  </si>
  <si>
    <t>루트52</t>
    <phoneticPr fontId="5" type="noConversion"/>
  </si>
  <si>
    <t>A - B</t>
  </si>
  <si>
    <t>A - B</t>
    <phoneticPr fontId="5" type="noConversion"/>
  </si>
  <si>
    <t>장진욱 (95)
최우석 (95)
게스트 (98)</t>
    <phoneticPr fontId="5" type="noConversion"/>
  </si>
  <si>
    <t>안성베네스트</t>
  </si>
  <si>
    <t>안성베네스트</t>
    <phoneticPr fontId="5" type="noConversion"/>
  </si>
  <si>
    <t>북 - 서</t>
  </si>
  <si>
    <t>북 - 서</t>
    <phoneticPr fontId="5" type="noConversion"/>
  </si>
  <si>
    <t>안철호 (XXX)
양준호 (XXX)
게스트 (XXX)</t>
    <phoneticPr fontId="5" type="noConversion"/>
  </si>
  <si>
    <t>2025-03</t>
    <phoneticPr fontId="5" type="noConversion"/>
  </si>
  <si>
    <t>2025-08</t>
    <phoneticPr fontId="5" type="noConversion"/>
  </si>
  <si>
    <t>2026-02</t>
    <phoneticPr fontId="5" type="noConversion"/>
  </si>
  <si>
    <t>든든채</t>
    <phoneticPr fontId="5" type="noConversion"/>
  </si>
  <si>
    <t>아카데미타워(주차)</t>
    <phoneticPr fontId="5" type="noConversion"/>
  </si>
  <si>
    <t>가족부양수당2</t>
    <phoneticPr fontId="5" type="noConversion"/>
  </si>
  <si>
    <t>'26년 02월</t>
    <phoneticPr fontId="5" type="noConversion"/>
  </si>
  <si>
    <t>식대 (88,000)</t>
    <phoneticPr fontId="5" type="noConversion"/>
  </si>
  <si>
    <t>121샘90</t>
    <phoneticPr fontId="5" type="noConversion"/>
  </si>
  <si>
    <t>당근마켓(양지현 옷)</t>
    <phoneticPr fontId="5" type="noConversion"/>
  </si>
  <si>
    <t>신한카드(신용) 연회비</t>
    <phoneticPr fontId="5" type="noConversion"/>
  </si>
  <si>
    <t>KFC</t>
    <phoneticPr fontId="5" type="noConversion"/>
  </si>
  <si>
    <t>KTX(부모님)</t>
    <phoneticPr fontId="5" type="noConversion"/>
  </si>
  <si>
    <t>자동차(티스테이션)</t>
    <phoneticPr fontId="5" type="noConversion"/>
  </si>
  <si>
    <t>엄마손칼국수</t>
    <phoneticPr fontId="5" type="noConversion"/>
  </si>
  <si>
    <t>세븐일레븐</t>
    <phoneticPr fontId="5" type="noConversion"/>
  </si>
  <si>
    <t>다이소</t>
    <phoneticPr fontId="5" type="noConversion"/>
  </si>
  <si>
    <t>이수가</t>
    <phoneticPr fontId="5" type="noConversion"/>
  </si>
  <si>
    <t>쿠팡(오사닛캔디)</t>
    <phoneticPr fontId="5" type="noConversion"/>
  </si>
  <si>
    <t>이촌한강공원주차장</t>
    <phoneticPr fontId="5" type="noConversion"/>
  </si>
  <si>
    <t>맥도날드</t>
    <phoneticPr fontId="5" type="noConversion"/>
  </si>
  <si>
    <t>보험지급금(인의한의원)</t>
    <phoneticPr fontId="5" type="noConversion"/>
  </si>
  <si>
    <t>보험지급금(오연상내과)</t>
    <phoneticPr fontId="5" type="noConversion"/>
  </si>
  <si>
    <t>손정보쌈</t>
    <phoneticPr fontId="5" type="noConversion"/>
  </si>
  <si>
    <t>보험지급금(미국약국)</t>
    <phoneticPr fontId="5" type="noConversion"/>
  </si>
  <si>
    <t>보험지급금(연세곰돌이소아과)</t>
    <phoneticPr fontId="5" type="noConversion"/>
  </si>
  <si>
    <t>GS25</t>
    <phoneticPr fontId="5" type="noConversion"/>
  </si>
  <si>
    <t>쿠팡(홈스타)</t>
    <phoneticPr fontId="5" type="noConversion"/>
  </si>
  <si>
    <t>오토바디모터스</t>
    <phoneticPr fontId="5" type="noConversion"/>
  </si>
  <si>
    <t>문구돌이x아이즈크림</t>
    <phoneticPr fontId="5" type="noConversion"/>
  </si>
  <si>
    <t>백온생순대</t>
    <phoneticPr fontId="5" type="noConversion"/>
  </si>
  <si>
    <t>예금이자</t>
    <phoneticPr fontId="5" type="noConversion"/>
  </si>
  <si>
    <t>주일헌금(강지우)</t>
    <phoneticPr fontId="5" type="noConversion"/>
  </si>
  <si>
    <t>버거킹</t>
    <phoneticPr fontId="5" type="noConversion"/>
  </si>
  <si>
    <t>한섬팩토리아울렛</t>
    <phoneticPr fontId="5" type="noConversion"/>
  </si>
  <si>
    <t>'26년 03월</t>
    <phoneticPr fontId="5" type="noConversion"/>
  </si>
  <si>
    <t>에어서울</t>
    <phoneticPr fontId="5" type="noConversion"/>
  </si>
  <si>
    <t>신용카드 (Mr. Life) - 여행/여행</t>
    <phoneticPr fontId="5" type="noConversion"/>
  </si>
  <si>
    <t>든든채</t>
    <phoneticPr fontId="5" type="noConversion"/>
  </si>
  <si>
    <t>생신용돈(장모님)</t>
    <phoneticPr fontId="5" type="noConversion"/>
  </si>
  <si>
    <t>SPA응시료</t>
    <phoneticPr fontId="5" type="noConversion"/>
  </si>
  <si>
    <t>맥도날드</t>
    <phoneticPr fontId="5" type="noConversion"/>
  </si>
  <si>
    <t>서브웨이</t>
    <phoneticPr fontId="5" type="noConversion"/>
  </si>
  <si>
    <t>명동탕후루</t>
    <phoneticPr fontId="5" type="noConversion"/>
  </si>
  <si>
    <t>럭키스토어</t>
    <phoneticPr fontId="5" type="noConversion"/>
  </si>
  <si>
    <t>명동성당주차장</t>
    <phoneticPr fontId="5" type="noConversion"/>
  </si>
  <si>
    <t>KFC</t>
    <phoneticPr fontId="5" type="noConversion"/>
  </si>
  <si>
    <t>장례식(이천우)</t>
    <phoneticPr fontId="5" type="noConversion"/>
  </si>
  <si>
    <t>북촌유기농밀명인단팥빵</t>
    <phoneticPr fontId="5" type="noConversion"/>
  </si>
  <si>
    <t>프랑세즈</t>
    <phoneticPr fontId="5" type="noConversion"/>
  </si>
  <si>
    <t>옛날가마솥순대</t>
    <phoneticPr fontId="5" type="noConversion"/>
  </si>
  <si>
    <t>쿠팡(자동차용품)</t>
    <phoneticPr fontId="5" type="noConversion"/>
  </si>
  <si>
    <t>잭슨피자</t>
    <phoneticPr fontId="5" type="noConversion"/>
  </si>
  <si>
    <t>타임스퀘어주차장</t>
    <phoneticPr fontId="5" type="noConversion"/>
  </si>
  <si>
    <t>아트박스(강지완)</t>
    <phoneticPr fontId="5" type="noConversion"/>
  </si>
  <si>
    <t>롯데리아</t>
    <phoneticPr fontId="5" type="noConversion"/>
  </si>
  <si>
    <t>쿠팡(오사닛캔디)</t>
    <phoneticPr fontId="5" type="noConversion"/>
  </si>
  <si>
    <t>씨유</t>
    <phoneticPr fontId="5" type="noConversion"/>
  </si>
  <si>
    <t>리즈밸리글램핑펜션</t>
    <phoneticPr fontId="5" type="noConversion"/>
  </si>
  <si>
    <t>여행</t>
    <phoneticPr fontId="5" type="noConversion"/>
  </si>
  <si>
    <t>사막여우</t>
    <phoneticPr fontId="5" type="noConversion"/>
  </si>
  <si>
    <t>에버랜드</t>
    <phoneticPr fontId="5" type="noConversion"/>
  </si>
  <si>
    <t>에버랜드(식비)</t>
    <phoneticPr fontId="5" type="noConversion"/>
  </si>
  <si>
    <t>스타벅스</t>
    <phoneticPr fontId="5" type="noConversion"/>
  </si>
  <si>
    <t>'26년 04월</t>
    <phoneticPr fontId="5" type="noConversion"/>
  </si>
  <si>
    <t>식대 (49,000)</t>
    <phoneticPr fontId="5" type="noConversion"/>
  </si>
  <si>
    <t>세림문구점</t>
    <phoneticPr fontId="5" type="noConversion"/>
  </si>
  <si>
    <t>맥도날드</t>
    <phoneticPr fontId="5" type="noConversion"/>
  </si>
  <si>
    <t>써브웨이</t>
    <phoneticPr fontId="5" type="noConversion"/>
  </si>
  <si>
    <t>연세어린이사랑치과의원(강지완)</t>
    <phoneticPr fontId="5" type="noConversion"/>
  </si>
  <si>
    <t>워시존</t>
    <phoneticPr fontId="5" type="noConversion"/>
  </si>
  <si>
    <t>쿠팡(케미컬가이)</t>
    <phoneticPr fontId="5" type="noConversion"/>
  </si>
  <si>
    <r>
      <rPr>
        <sz val="10"/>
        <color theme="1"/>
        <rFont val="맑은 고딕"/>
        <family val="3"/>
        <charset val="129"/>
      </rPr>
      <t>현대건설</t>
    </r>
    <r>
      <rPr>
        <sz val="10"/>
        <color theme="1"/>
        <rFont val="Arial"/>
        <family val="2"/>
      </rPr>
      <t>(</t>
    </r>
    <r>
      <rPr>
        <sz val="10"/>
        <color theme="1"/>
        <rFont val="맑은 고딕"/>
        <family val="3"/>
        <charset val="129"/>
      </rPr>
      <t>성과급</t>
    </r>
    <r>
      <rPr>
        <sz val="10"/>
        <color theme="1"/>
        <rFont val="Arial"/>
        <family val="2"/>
      </rPr>
      <t>/</t>
    </r>
    <r>
      <rPr>
        <sz val="10"/>
        <color theme="1"/>
        <rFont val="맑은 고딕"/>
        <family val="3"/>
        <charset val="129"/>
      </rPr>
      <t>격려금</t>
    </r>
    <r>
      <rPr>
        <sz val="10"/>
        <color theme="1"/>
        <rFont val="Arial"/>
        <family val="2"/>
      </rPr>
      <t>)</t>
    </r>
    <phoneticPr fontId="5" type="noConversion"/>
  </si>
  <si>
    <t>서울역사박물관</t>
    <phoneticPr fontId="5" type="noConversion"/>
  </si>
  <si>
    <t>특별용돈(어머니)</t>
    <phoneticPr fontId="5" type="noConversion"/>
  </si>
  <si>
    <t>세븐일레븐</t>
    <phoneticPr fontId="5" type="noConversion"/>
  </si>
  <si>
    <t>KFC</t>
    <phoneticPr fontId="5" type="noConversion"/>
  </si>
  <si>
    <t>퍼블로그</t>
    <phoneticPr fontId="5" type="noConversion"/>
  </si>
  <si>
    <t>씨유</t>
    <phoneticPr fontId="5" type="noConversion"/>
  </si>
  <si>
    <t>식대 (80,000) &amp; 시내대중교통 (1,200)</t>
    <phoneticPr fontId="5" type="noConversion"/>
  </si>
  <si>
    <t>카네이션</t>
    <phoneticPr fontId="5" type="noConversion"/>
  </si>
  <si>
    <t>어버이날용돈</t>
    <phoneticPr fontId="5" type="noConversion"/>
  </si>
  <si>
    <t>어린이날용돈(강지성)</t>
    <phoneticPr fontId="5" type="noConversion"/>
  </si>
  <si>
    <t>Claude</t>
    <phoneticPr fontId="5" type="noConversion"/>
  </si>
  <si>
    <t>문구돌이x아이즈크림</t>
    <phoneticPr fontId="5" type="noConversion"/>
  </si>
  <si>
    <t>프랭크버거</t>
    <phoneticPr fontId="5" type="noConversion"/>
  </si>
  <si>
    <t>서오릉피자</t>
    <phoneticPr fontId="5" type="noConversion"/>
  </si>
  <si>
    <t>쿠팡(오킵스)</t>
    <phoneticPr fontId="5" type="noConversion"/>
  </si>
  <si>
    <t>타임스퀘어주차장</t>
    <phoneticPr fontId="5" type="noConversion"/>
  </si>
  <si>
    <t>적당</t>
    <phoneticPr fontId="5" type="noConversion"/>
  </si>
  <si>
    <t>GS25</t>
    <phoneticPr fontId="5" type="noConversion"/>
  </si>
  <si>
    <t>허그맘허그인</t>
    <phoneticPr fontId="5" type="noConversion"/>
  </si>
  <si>
    <t>'26년 05월</t>
    <phoneticPr fontId="5" type="noConversion"/>
  </si>
  <si>
    <t>올드스웻바버샵</t>
    <phoneticPr fontId="5" type="noConversion"/>
  </si>
  <si>
    <t>쿤헤어(강지완)</t>
    <phoneticPr fontId="5" type="noConversion"/>
  </si>
  <si>
    <t>다이소</t>
    <phoneticPr fontId="5" type="noConversion"/>
  </si>
  <si>
    <t>포켓몬태그스타</t>
    <phoneticPr fontId="5" type="noConversion"/>
  </si>
  <si>
    <t>배스킨라빈스</t>
    <phoneticPr fontId="5" type="noConversion"/>
  </si>
  <si>
    <t>포켓몬인형</t>
    <phoneticPr fontId="5" type="noConversion"/>
  </si>
  <si>
    <t>노브랜드버거</t>
    <phoneticPr fontId="5" type="noConversion"/>
  </si>
  <si>
    <t>코엑스자판기</t>
    <phoneticPr fontId="5" type="noConversion"/>
  </si>
  <si>
    <t>KFC</t>
    <phoneticPr fontId="5" type="noConversion"/>
  </si>
  <si>
    <t>세븐일레븐</t>
    <phoneticPr fontId="5" type="noConversion"/>
  </si>
  <si>
    <t>매헌시민의숲공영주차장</t>
    <phoneticPr fontId="5" type="noConversion"/>
  </si>
  <si>
    <t>택시</t>
    <phoneticPr fontId="5" type="noConversion"/>
  </si>
  <si>
    <t>KTX(어머니)</t>
    <phoneticPr fontId="5" type="noConversion"/>
  </si>
  <si>
    <t>삼각지임시공영주차장</t>
    <phoneticPr fontId="5" type="noConversion"/>
  </si>
  <si>
    <t>GS25</t>
    <phoneticPr fontId="5" type="noConversion"/>
  </si>
  <si>
    <r>
      <t xml:space="preserve">(06/02 </t>
    </r>
    <r>
      <rPr>
        <b/>
        <sz val="10"/>
        <color theme="1"/>
        <rFont val="맑은 고딕"/>
        <family val="3"/>
        <charset val="129"/>
      </rPr>
      <t>오후</t>
    </r>
    <r>
      <rPr>
        <b/>
        <sz val="10"/>
        <color theme="1"/>
        <rFont val="Arial"/>
        <family val="2"/>
      </rPr>
      <t xml:space="preserve"> 12</t>
    </r>
    <r>
      <rPr>
        <b/>
        <sz val="10"/>
        <color theme="1"/>
        <rFont val="맑은 고딕"/>
        <family val="3"/>
        <charset val="129"/>
      </rPr>
      <t>시</t>
    </r>
    <r>
      <rPr>
        <b/>
        <sz val="10"/>
        <color theme="1"/>
        <rFont val="Arial"/>
        <family val="2"/>
      </rPr>
      <t xml:space="preserve"> 30</t>
    </r>
    <r>
      <rPr>
        <b/>
        <sz val="10"/>
        <color theme="1"/>
        <rFont val="맑은 고딕"/>
        <family val="3"/>
        <charset val="129"/>
      </rPr>
      <t>분</t>
    </r>
    <r>
      <rPr>
        <b/>
        <sz val="10"/>
        <color theme="1"/>
        <rFont val="Arial"/>
        <family val="2"/>
      </rPr>
      <t xml:space="preserve"> </t>
    </r>
    <r>
      <rPr>
        <b/>
        <sz val="10"/>
        <color theme="1"/>
        <rFont val="맑은 고딕"/>
        <family val="3"/>
        <charset val="129"/>
      </rPr>
      <t>기준</t>
    </r>
    <r>
      <rPr>
        <b/>
        <sz val="10"/>
        <color theme="1"/>
        <rFont val="Arial"/>
        <family val="2"/>
      </rPr>
      <t>)</t>
    </r>
    <phoneticPr fontId="5" type="noConversion"/>
  </si>
  <si>
    <t>급여+성과급(2026)</t>
    <phoneticPr fontId="5" type="noConversion"/>
  </si>
  <si>
    <t>매도가</t>
    <phoneticPr fontId="5" type="noConversion"/>
  </si>
  <si>
    <t>중개보수 (0.55%)</t>
    <phoneticPr fontId="5" type="noConversion"/>
  </si>
  <si>
    <t>총 매도비용</t>
    <phoneticPr fontId="5" type="noConversion"/>
  </si>
  <si>
    <t>세후 순입금액</t>
    <phoneticPr fontId="5" type="noConversion"/>
  </si>
  <si>
    <t>양도세+지방세</t>
    <phoneticPr fontId="5" type="noConversion"/>
  </si>
  <si>
    <t>반디클 취득비용 (32억)</t>
    <phoneticPr fontId="5" type="noConversion"/>
  </si>
  <si>
    <t>추가 필요현금</t>
    <phoneticPr fontId="5" type="noConversion"/>
  </si>
  <si>
    <t>아리하 (29.5)</t>
    <phoneticPr fontId="5" type="noConversion"/>
  </si>
  <si>
    <t>총합계</t>
    <phoneticPr fontId="5" type="noConversion"/>
  </si>
  <si>
    <t>반디클 계약금</t>
    <phoneticPr fontId="5" type="noConversion"/>
  </si>
  <si>
    <t>뉴에너지</t>
    <phoneticPr fontId="5"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</si>
</sst>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9">
    <numFmt numFmtId="41" formatCode="_-* #,##0_-;\-* #,##0_-;_-* &quot;-&quot;_-;_-@_-"/>
    <numFmt numFmtId="43" formatCode="_-* #,##0.00_-;\-* #,##0.00_-;_-* &quot;-&quot;??_-;_-@_-"/>
    <numFmt numFmtId="176" formatCode="0.0%"/>
    <numFmt numFmtId="177" formatCode="0_);[Red]\(0\)"/>
    <numFmt numFmtId="178" formatCode="General\”"/>
    <numFmt numFmtId="179" formatCode="General\°"/>
    <numFmt numFmtId="180" formatCode="General&quot; g&quot;"/>
    <numFmt numFmtId="181" formatCode="_-#,##0_-;\-#,##0_-;_-&quot;-&quot;_-;_-@_-"/>
    <numFmt numFmtId="182" formatCode="hh:mm;@"/>
    <numFmt numFmtId="183" formatCode="0.0"/>
    <numFmt numFmtId="184" formatCode="_-* #,##0.0000_-;\-* #,##0.0000_-;_-* &quot;-&quot;??_-;_-@_-"/>
    <numFmt numFmtId="185" formatCode="m&quot;/&quot;d;@"/>
    <numFmt numFmtId="186" formatCode="#,###"/>
    <numFmt numFmtId="187" formatCode="_-* #,##0.00_-;\-* #,##0.00_-;_-* &quot;-&quot;_-;_-@_-"/>
    <numFmt numFmtId="188" formatCode="yyyy/mm/dd;@"/>
    <numFmt numFmtId="189" formatCode="yyyy/mm"/>
    <numFmt numFmtId="190" formatCode="mm\/dd"/>
    <numFmt numFmtId="191" formatCode="0E+00"/>
    <numFmt numFmtId="192" formatCode="_-* #,##0_-;\-* #,##0_-;_-* &quot;-&quot;??_-;_-@_-"/>
  </numFmts>
  <fonts count="57">
    <font>
      <sz val="11"/>
      <color theme="1"/>
      <name val="맑은 고딕"/>
      <family val="2"/>
      <charset val="129"/>
      <scheme val="minor"/>
    </font>
    <font>
      <sz val="10"/>
      <color theme="1"/>
      <name val="맑은 고딕"/>
      <family val="2"/>
      <charset val="129"/>
      <scheme val="minor"/>
    </font>
    <font>
      <sz val="10"/>
      <color theme="1"/>
      <name val="맑은 고딕"/>
      <family val="2"/>
      <charset val="129"/>
      <scheme val="minor"/>
    </font>
    <font>
      <sz val="10"/>
      <color theme="1"/>
      <name val="맑은 고딕"/>
      <family val="2"/>
      <charset val="129"/>
      <scheme val="minor"/>
    </font>
    <font>
      <sz val="11"/>
      <color theme="1"/>
      <name val="맑은 고딕"/>
      <family val="2"/>
      <charset val="129"/>
      <scheme val="minor"/>
    </font>
    <font>
      <sz val="8"/>
      <name val="맑은 고딕"/>
      <family val="2"/>
      <charset val="129"/>
      <scheme val="minor"/>
    </font>
    <font>
      <sz val="10"/>
      <color theme="1"/>
      <name val="돋움"/>
      <family val="3"/>
      <charset val="129"/>
    </font>
    <font>
      <sz val="10"/>
      <color theme="1"/>
      <name val="맑은 고딕"/>
      <family val="3"/>
      <charset val="129"/>
    </font>
    <font>
      <sz val="11"/>
      <color theme="1"/>
      <name val="맑은 고딕"/>
      <family val="3"/>
      <charset val="129"/>
      <scheme val="minor"/>
    </font>
    <font>
      <sz val="10"/>
      <color theme="1"/>
      <name val="Arial"/>
      <family val="2"/>
    </font>
    <font>
      <u/>
      <sz val="11"/>
      <color theme="10"/>
      <name val="맑은 고딕"/>
      <family val="2"/>
      <charset val="129"/>
      <scheme val="minor"/>
    </font>
    <font>
      <sz val="10"/>
      <name val="Arial"/>
      <family val="2"/>
    </font>
    <font>
      <strike/>
      <sz val="10"/>
      <color theme="1"/>
      <name val="Arial"/>
      <family val="2"/>
    </font>
    <font>
      <sz val="10"/>
      <color theme="1"/>
      <name val="맑은 고딕"/>
      <family val="3"/>
      <charset val="129"/>
      <scheme val="minor"/>
    </font>
    <font>
      <sz val="11"/>
      <color theme="1"/>
      <name val="맑은 고딕"/>
      <family val="3"/>
      <scheme val="minor"/>
    </font>
    <font>
      <sz val="11"/>
      <name val="돋움"/>
      <family val="3"/>
      <charset val="129"/>
    </font>
    <font>
      <sz val="10"/>
      <color rgb="FF000000"/>
      <name val="Times New Roman"/>
      <family val="1"/>
    </font>
    <font>
      <sz val="11"/>
      <name val="돋움"/>
      <family val="3"/>
    </font>
    <font>
      <sz val="11"/>
      <color theme="1"/>
      <name val="맑은 고딕"/>
      <family val="2"/>
      <scheme val="minor"/>
    </font>
    <font>
      <sz val="10"/>
      <color theme="1"/>
      <name val="현대하모니 L"/>
      <family val="1"/>
      <charset val="129"/>
    </font>
    <font>
      <b/>
      <sz val="10"/>
      <color theme="1"/>
      <name val="Arial"/>
      <family val="2"/>
    </font>
    <font>
      <b/>
      <sz val="10"/>
      <color theme="1"/>
      <name val="맑은 고딕"/>
      <family val="3"/>
      <charset val="129"/>
    </font>
    <font>
      <sz val="11"/>
      <color theme="1"/>
      <name val="맑은 고딕"/>
      <family val="2"/>
      <charset val="129"/>
    </font>
    <font>
      <sz val="8"/>
      <name val="맑은 고딕"/>
      <family val="2"/>
      <charset val="129"/>
    </font>
    <font>
      <sz val="10"/>
      <color theme="1"/>
      <name val="aa"/>
    </font>
    <font>
      <b/>
      <sz val="10"/>
      <color rgb="FFFF0000"/>
      <name val="맑은 고딕"/>
      <family val="3"/>
      <charset val="129"/>
      <scheme val="minor"/>
    </font>
    <font>
      <b/>
      <sz val="12"/>
      <color theme="1"/>
      <name val="맑은 고딕"/>
      <family val="3"/>
      <charset val="129"/>
      <scheme val="minor"/>
    </font>
    <font>
      <u/>
      <sz val="11"/>
      <color theme="10"/>
      <name val="맑은 고딕"/>
      <family val="2"/>
      <charset val="129"/>
    </font>
    <font>
      <sz val="10"/>
      <name val="맑은 고딕"/>
      <family val="3"/>
      <charset val="129"/>
    </font>
    <font>
      <sz val="10"/>
      <color theme="1"/>
      <name val="맑은 고딕"/>
      <family val="3"/>
      <charset val="129"/>
      <scheme val="major"/>
    </font>
    <font>
      <sz val="10"/>
      <color theme="1"/>
      <name val="HY견명조"/>
      <family val="1"/>
      <charset val="129"/>
    </font>
    <font>
      <b/>
      <sz val="10"/>
      <color theme="1"/>
      <name val="맑은 고딕"/>
      <family val="3"/>
      <charset val="129"/>
      <scheme val="minor"/>
    </font>
    <font>
      <b/>
      <sz val="10"/>
      <color rgb="FF660066"/>
      <name val="현대하모니 L"/>
      <family val="1"/>
      <charset val="129"/>
    </font>
    <font>
      <b/>
      <sz val="10"/>
      <color rgb="FFFF0000"/>
      <name val="현대하모니 L"/>
      <family val="1"/>
      <charset val="129"/>
    </font>
    <font>
      <sz val="10"/>
      <name val="현대하모니 L"/>
      <family val="1"/>
      <charset val="129"/>
    </font>
    <font>
      <sz val="11"/>
      <color theme="1"/>
      <name val="현대하모니 L"/>
      <family val="1"/>
      <charset val="129"/>
    </font>
    <font>
      <sz val="11"/>
      <color theme="1"/>
      <name val="Arial"/>
      <family val="2"/>
    </font>
    <font>
      <sz val="10"/>
      <color rgb="FFFF0000"/>
      <name val="현대하모니 L"/>
      <family val="1"/>
      <charset val="129"/>
    </font>
    <font>
      <b/>
      <sz val="8"/>
      <color theme="1"/>
      <name val="현대하모니 L"/>
      <family val="1"/>
      <charset val="129"/>
    </font>
    <font>
      <b/>
      <u/>
      <sz val="14"/>
      <color theme="1"/>
      <name val="현대하모니 L"/>
      <family val="1"/>
      <charset val="129"/>
    </font>
    <font>
      <b/>
      <sz val="12"/>
      <color theme="1"/>
      <name val="현대하모니 L"/>
      <family val="1"/>
      <charset val="129"/>
    </font>
    <font>
      <sz val="8"/>
      <color theme="1"/>
      <name val="현대하모니 L"/>
      <family val="1"/>
      <charset val="129"/>
    </font>
    <font>
      <b/>
      <u/>
      <sz val="8"/>
      <color theme="1"/>
      <name val="현대하모니 L"/>
      <family val="1"/>
      <charset val="129"/>
    </font>
    <font>
      <sz val="10"/>
      <color theme="1"/>
      <name val="Arial"/>
      <family val="3"/>
      <charset val="129"/>
    </font>
    <font>
      <b/>
      <sz val="26"/>
      <color theme="1"/>
      <name val="현대하모니 L"/>
      <family val="1"/>
      <charset val="129"/>
    </font>
    <font>
      <sz val="14"/>
      <color theme="1"/>
      <name val="현대하모니 L"/>
      <family val="1"/>
      <charset val="129"/>
    </font>
    <font>
      <b/>
      <sz val="14"/>
      <color theme="1"/>
      <name val="현대하모니 L"/>
      <family val="1"/>
      <charset val="129"/>
    </font>
    <font>
      <b/>
      <sz val="11"/>
      <color theme="1"/>
      <name val="현대하모니 L"/>
      <family val="1"/>
      <charset val="129"/>
    </font>
    <font>
      <sz val="8"/>
      <name val="맑은 고딕"/>
      <family val="3"/>
      <charset val="129"/>
      <scheme val="minor"/>
    </font>
    <font>
      <sz val="11"/>
      <color rgb="FFC00000"/>
      <name val="현대하모니 L"/>
      <family val="1"/>
      <charset val="129"/>
    </font>
    <font>
      <b/>
      <sz val="10"/>
      <color theme="1"/>
      <name val="Arial"/>
      <family val="3"/>
      <charset val="129"/>
    </font>
    <font>
      <u/>
      <sz val="10"/>
      <color theme="1"/>
      <name val="맑은 고딕"/>
      <family val="3"/>
      <charset val="129"/>
    </font>
    <font>
      <u/>
      <sz val="10"/>
      <color theme="1"/>
      <name val="Arial"/>
      <family val="2"/>
    </font>
    <font>
      <b/>
      <sz val="12"/>
      <color theme="1"/>
      <name val="Arial"/>
      <family val="2"/>
    </font>
    <font>
      <b/>
      <sz val="12"/>
      <color theme="1"/>
      <name val="맑은 고딕"/>
      <family val="3"/>
      <charset val="129"/>
    </font>
    <font>
      <sz val="10"/>
      <color theme="1"/>
      <name val="맑은 고딕"/>
      <family val="2"/>
      <charset val="129"/>
    </font>
    <font>
      <sz val="11"/>
      <color theme="1"/>
      <name val="현대하모니 B"/>
      <family val="1"/>
      <charset val="129"/>
    </font>
  </fonts>
  <fills count="28">
    <fill>
      <patternFill patternType="none"/>
    </fill>
    <fill>
      <patternFill patternType="gray125"/>
    </fill>
    <fill>
      <patternFill patternType="solid">
        <fgColor theme="0"/>
        <bgColor indexed="64"/>
      </patternFill>
    </fill>
    <fill>
      <patternFill patternType="solid">
        <fgColor rgb="FFFFC000"/>
        <bgColor indexed="64"/>
      </patternFill>
    </fill>
    <fill>
      <patternFill patternType="solid">
        <fgColor rgb="FFFFFF00"/>
        <bgColor indexed="64"/>
      </patternFill>
    </fill>
    <fill>
      <patternFill patternType="solid">
        <fgColor theme="4" tint="0.79998168889431442"/>
        <bgColor indexed="64"/>
      </patternFill>
    </fill>
    <fill>
      <patternFill patternType="solid">
        <fgColor rgb="FF92D050"/>
        <bgColor indexed="64"/>
      </patternFill>
    </fill>
    <fill>
      <patternFill patternType="solid">
        <fgColor theme="9" tint="0.59999389629810485"/>
        <bgColor indexed="64"/>
      </patternFill>
    </fill>
    <fill>
      <patternFill patternType="solid">
        <fgColor rgb="FF00B0F0"/>
        <bgColor indexed="64"/>
      </patternFill>
    </fill>
    <fill>
      <patternFill patternType="solid">
        <fgColor rgb="FFFF0000"/>
        <bgColor indexed="64"/>
      </patternFill>
    </fill>
    <fill>
      <patternFill patternType="solid">
        <fgColor theme="8" tint="0.79998168889431442"/>
        <bgColor indexed="64"/>
      </patternFill>
    </fill>
    <fill>
      <patternFill patternType="solid">
        <fgColor theme="5" tint="0.79998168889431442"/>
        <bgColor indexed="64"/>
      </patternFill>
    </fill>
    <fill>
      <patternFill patternType="solid">
        <fgColor theme="7" tint="0.79998168889431442"/>
        <bgColor indexed="64"/>
      </patternFill>
    </fill>
    <fill>
      <patternFill patternType="solid">
        <fgColor theme="9" tint="0.79998168889431442"/>
        <bgColor indexed="64"/>
      </patternFill>
    </fill>
    <fill>
      <patternFill patternType="solid">
        <fgColor theme="0" tint="-4.9989318521683403E-2"/>
        <bgColor indexed="64"/>
      </patternFill>
    </fill>
    <fill>
      <patternFill patternType="solid">
        <fgColor theme="0" tint="-0.34998626667073579"/>
        <bgColor indexed="64"/>
      </patternFill>
    </fill>
    <fill>
      <patternFill patternType="solid">
        <fgColor theme="7" tint="0.59999389629810485"/>
        <bgColor indexed="64"/>
      </patternFill>
    </fill>
    <fill>
      <patternFill patternType="solid">
        <fgColor rgb="FFBAE18F"/>
        <bgColor indexed="64"/>
      </patternFill>
    </fill>
    <fill>
      <patternFill patternType="solid">
        <fgColor theme="8" tint="0.59999389629810485"/>
        <bgColor indexed="64"/>
      </patternFill>
    </fill>
    <fill>
      <patternFill patternType="solid">
        <fgColor indexed="55"/>
        <bgColor indexed="64"/>
      </patternFill>
    </fill>
    <fill>
      <patternFill patternType="solid">
        <fgColor indexed="9"/>
        <bgColor indexed="64"/>
      </patternFill>
    </fill>
    <fill>
      <patternFill patternType="solid">
        <fgColor rgb="FFFFFF99"/>
        <bgColor indexed="64"/>
      </patternFill>
    </fill>
    <fill>
      <patternFill patternType="solid">
        <fgColor theme="6" tint="0.79998168889431442"/>
        <bgColor indexed="64"/>
      </patternFill>
    </fill>
    <fill>
      <patternFill patternType="solid">
        <fgColor rgb="FFEFE5F7"/>
        <bgColor indexed="64"/>
      </patternFill>
    </fill>
    <fill>
      <patternFill patternType="solid">
        <fgColor rgb="FFE5F7E7"/>
        <bgColor indexed="64"/>
      </patternFill>
    </fill>
    <fill>
      <patternFill patternType="solid">
        <fgColor theme="0" tint="-0.14999847407452621"/>
        <bgColor indexed="64"/>
      </patternFill>
    </fill>
    <fill>
      <patternFill patternType="solid">
        <fgColor rgb="FFEFDECD"/>
        <bgColor indexed="64"/>
      </patternFill>
    </fill>
    <fill>
      <patternFill patternType="solid">
        <fgColor rgb="FFFFFFCC"/>
        <bgColor indexed="64"/>
      </patternFill>
    </fill>
  </fills>
  <borders count="184">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hair">
        <color indexed="64"/>
      </left>
      <right style="hair">
        <color indexed="64"/>
      </right>
      <top style="hair">
        <color indexed="64"/>
      </top>
      <bottom style="hair">
        <color indexed="64"/>
      </bottom>
      <diagonal/>
    </border>
    <border>
      <left style="thin">
        <color indexed="64"/>
      </left>
      <right style="hair">
        <color indexed="64"/>
      </right>
      <top style="thin">
        <color indexed="64"/>
      </top>
      <bottom style="hair">
        <color indexed="64"/>
      </bottom>
      <diagonal/>
    </border>
    <border>
      <left style="hair">
        <color indexed="64"/>
      </left>
      <right style="hair">
        <color indexed="64"/>
      </right>
      <top style="thin">
        <color indexed="64"/>
      </top>
      <bottom style="hair">
        <color indexed="64"/>
      </bottom>
      <diagonal/>
    </border>
    <border>
      <left style="hair">
        <color indexed="64"/>
      </left>
      <right style="thin">
        <color indexed="64"/>
      </right>
      <top style="thin">
        <color indexed="64"/>
      </top>
      <bottom style="hair">
        <color indexed="64"/>
      </bottom>
      <diagonal/>
    </border>
    <border>
      <left style="thin">
        <color indexed="64"/>
      </left>
      <right style="hair">
        <color indexed="64"/>
      </right>
      <top style="hair">
        <color indexed="64"/>
      </top>
      <bottom style="hair">
        <color indexed="64"/>
      </bottom>
      <diagonal/>
    </border>
    <border>
      <left style="hair">
        <color indexed="64"/>
      </left>
      <right style="thin">
        <color indexed="64"/>
      </right>
      <top style="hair">
        <color indexed="64"/>
      </top>
      <bottom style="hair">
        <color indexed="64"/>
      </bottom>
      <diagonal/>
    </border>
    <border>
      <left style="thin">
        <color indexed="64"/>
      </left>
      <right style="hair">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right/>
      <top style="thin">
        <color auto="1"/>
      </top>
      <bottom style="thin">
        <color auto="1"/>
      </bottom>
      <diagonal/>
    </border>
    <border>
      <left style="thin">
        <color auto="1"/>
      </left>
      <right style="thin">
        <color auto="1"/>
      </right>
      <top style="thin">
        <color auto="1"/>
      </top>
      <bottom style="thin">
        <color auto="1"/>
      </bottom>
      <diagonal/>
    </border>
    <border>
      <left style="thin">
        <color indexed="64"/>
      </left>
      <right style="thin">
        <color auto="1"/>
      </right>
      <top/>
      <bottom style="thin">
        <color auto="1"/>
      </bottom>
      <diagonal/>
    </border>
    <border>
      <left style="thin">
        <color indexed="64"/>
      </left>
      <right/>
      <top style="thin">
        <color indexed="64"/>
      </top>
      <bottom/>
      <diagonal/>
    </border>
    <border>
      <left style="thin">
        <color indexed="64"/>
      </left>
      <right style="thin">
        <color indexed="64"/>
      </right>
      <top/>
      <bottom/>
      <diagonal/>
    </border>
    <border>
      <left style="thin">
        <color indexed="64"/>
      </left>
      <right/>
      <top/>
      <bottom/>
      <diagonal/>
    </border>
    <border>
      <left style="thin">
        <color indexed="64"/>
      </left>
      <right/>
      <top/>
      <bottom style="thin">
        <color indexed="64"/>
      </bottom>
      <diagonal/>
    </border>
    <border>
      <left style="thin">
        <color rgb="FF505050"/>
      </left>
      <right style="thin">
        <color rgb="FF505050"/>
      </right>
      <top style="thin">
        <color rgb="FF505050"/>
      </top>
      <bottom style="thin">
        <color rgb="FF505050"/>
      </bottom>
      <diagonal/>
    </border>
    <border>
      <left/>
      <right/>
      <top/>
      <bottom style="thin">
        <color indexed="64"/>
      </bottom>
      <diagonal/>
    </border>
    <border>
      <left style="thin">
        <color indexed="8"/>
      </left>
      <right style="thin">
        <color indexed="8"/>
      </right>
      <top style="thin">
        <color indexed="8"/>
      </top>
      <bottom style="thin">
        <color indexed="8"/>
      </bottom>
      <diagonal/>
    </border>
    <border>
      <left style="thin">
        <color auto="1"/>
      </left>
      <right style="thin">
        <color auto="1"/>
      </right>
      <top style="thin">
        <color auto="1"/>
      </top>
      <bottom style="thin">
        <color auto="1"/>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hair">
        <color indexed="64"/>
      </right>
      <top style="thin">
        <color indexed="64"/>
      </top>
      <bottom style="thin">
        <color indexed="64"/>
      </bottom>
      <diagonal/>
    </border>
    <border>
      <left style="hair">
        <color indexed="64"/>
      </left>
      <right style="thin">
        <color indexed="64"/>
      </right>
      <top style="thin">
        <color indexed="64"/>
      </top>
      <bottom style="thin">
        <color indexed="64"/>
      </bottom>
      <diagonal/>
    </border>
    <border>
      <left style="hair">
        <color indexed="64"/>
      </left>
      <right style="hair">
        <color indexed="64"/>
      </right>
      <top style="thin">
        <color indexed="64"/>
      </top>
      <bottom style="thin">
        <color indexed="64"/>
      </bottom>
      <diagonal/>
    </border>
    <border>
      <left style="thin">
        <color indexed="64"/>
      </left>
      <right style="hair">
        <color indexed="64"/>
      </right>
      <top style="thin">
        <color indexed="64"/>
      </top>
      <bottom/>
      <diagonal/>
    </border>
    <border>
      <left style="hair">
        <color indexed="64"/>
      </left>
      <right style="thin">
        <color indexed="64"/>
      </right>
      <top style="thin">
        <color indexed="64"/>
      </top>
      <bottom/>
      <diagonal/>
    </border>
    <border>
      <left style="thin">
        <color indexed="64"/>
      </left>
      <right style="hair">
        <color indexed="64"/>
      </right>
      <top/>
      <bottom/>
      <diagonal/>
    </border>
    <border>
      <left style="hair">
        <color indexed="64"/>
      </left>
      <right style="thin">
        <color indexed="64"/>
      </right>
      <top/>
      <bottom/>
      <diagonal/>
    </border>
    <border>
      <left style="thin">
        <color indexed="64"/>
      </left>
      <right style="hair">
        <color indexed="64"/>
      </right>
      <top/>
      <bottom style="thin">
        <color indexed="64"/>
      </bottom>
      <diagonal/>
    </border>
    <border>
      <left style="hair">
        <color indexed="64"/>
      </left>
      <right style="thin">
        <color indexed="64"/>
      </right>
      <top/>
      <bottom style="thin">
        <color indexed="64"/>
      </bottom>
      <diagonal/>
    </border>
    <border>
      <left style="thin">
        <color indexed="64"/>
      </left>
      <right style="hair">
        <color indexed="64"/>
      </right>
      <top style="thin">
        <color indexed="64"/>
      </top>
      <bottom/>
      <diagonal/>
    </border>
    <border>
      <left style="hair">
        <color indexed="64"/>
      </left>
      <right style="thin">
        <color indexed="64"/>
      </right>
      <top style="thin">
        <color indexed="64"/>
      </top>
      <bottom/>
      <diagonal/>
    </border>
    <border>
      <left style="hair">
        <color indexed="64"/>
      </left>
      <right style="hair">
        <color indexed="64"/>
      </right>
      <top/>
      <bottom style="thin">
        <color indexed="64"/>
      </bottom>
      <diagonal/>
    </border>
    <border>
      <left style="hair">
        <color indexed="64"/>
      </left>
      <right style="hair">
        <color indexed="64"/>
      </right>
      <top style="thin">
        <color indexed="64"/>
      </top>
      <bottom/>
      <diagonal/>
    </border>
    <border>
      <left style="hair">
        <color indexed="64"/>
      </left>
      <right style="hair">
        <color indexed="64"/>
      </right>
      <top/>
      <bottom/>
      <diagonal/>
    </border>
    <border>
      <left style="thin">
        <color rgb="FF505050"/>
      </left>
      <right style="thin">
        <color rgb="FF505050"/>
      </right>
      <top/>
      <bottom style="thin">
        <color rgb="FF505050"/>
      </bottom>
      <diagonal/>
    </border>
    <border>
      <left style="medium">
        <color indexed="64"/>
      </left>
      <right style="thin">
        <color rgb="FF505050"/>
      </right>
      <top style="medium">
        <color indexed="64"/>
      </top>
      <bottom style="thin">
        <color rgb="FF505050"/>
      </bottom>
      <diagonal/>
    </border>
    <border>
      <left style="thin">
        <color rgb="FF505050"/>
      </left>
      <right style="thin">
        <color rgb="FF505050"/>
      </right>
      <top style="medium">
        <color indexed="64"/>
      </top>
      <bottom style="thin">
        <color rgb="FF505050"/>
      </bottom>
      <diagonal/>
    </border>
    <border>
      <left style="thin">
        <color rgb="FF505050"/>
      </left>
      <right style="medium">
        <color indexed="64"/>
      </right>
      <top style="medium">
        <color indexed="64"/>
      </top>
      <bottom style="thin">
        <color rgb="FF505050"/>
      </bottom>
      <diagonal/>
    </border>
    <border>
      <left style="medium">
        <color indexed="64"/>
      </left>
      <right style="thin">
        <color rgb="FF505050"/>
      </right>
      <top style="thin">
        <color rgb="FF505050"/>
      </top>
      <bottom style="thin">
        <color rgb="FF505050"/>
      </bottom>
      <diagonal/>
    </border>
    <border>
      <left style="thin">
        <color rgb="FF505050"/>
      </left>
      <right style="medium">
        <color indexed="64"/>
      </right>
      <top style="thin">
        <color rgb="FF505050"/>
      </top>
      <bottom style="thin">
        <color rgb="FF505050"/>
      </bottom>
      <diagonal/>
    </border>
    <border>
      <left style="medium">
        <color indexed="64"/>
      </left>
      <right style="thin">
        <color rgb="FF505050"/>
      </right>
      <top style="thin">
        <color rgb="FF505050"/>
      </top>
      <bottom style="medium">
        <color indexed="64"/>
      </bottom>
      <diagonal/>
    </border>
    <border>
      <left style="thin">
        <color rgb="FF505050"/>
      </left>
      <right style="thin">
        <color rgb="FF505050"/>
      </right>
      <top style="thin">
        <color rgb="FF505050"/>
      </top>
      <bottom style="medium">
        <color indexed="64"/>
      </bottom>
      <diagonal/>
    </border>
    <border>
      <left style="thin">
        <color rgb="FF505050"/>
      </left>
      <right style="medium">
        <color indexed="64"/>
      </right>
      <top style="thin">
        <color rgb="FF505050"/>
      </top>
      <bottom style="medium">
        <color indexed="64"/>
      </bottom>
      <diagonal/>
    </border>
    <border>
      <left style="medium">
        <color indexed="64"/>
      </left>
      <right style="thin">
        <color rgb="FF505050"/>
      </right>
      <top/>
      <bottom style="thin">
        <color rgb="FF505050"/>
      </bottom>
      <diagonal/>
    </border>
    <border>
      <left style="thin">
        <color rgb="FF505050"/>
      </left>
      <right style="medium">
        <color indexed="64"/>
      </right>
      <top/>
      <bottom style="thin">
        <color rgb="FF505050"/>
      </bottom>
      <diagonal/>
    </border>
    <border>
      <left style="medium">
        <color indexed="64"/>
      </left>
      <right style="thin">
        <color rgb="FF505050"/>
      </right>
      <top style="thin">
        <color rgb="FF505050"/>
      </top>
      <bottom/>
      <diagonal/>
    </border>
    <border>
      <left style="thin">
        <color rgb="FF505050"/>
      </left>
      <right style="thin">
        <color rgb="FF505050"/>
      </right>
      <top style="thin">
        <color rgb="FF505050"/>
      </top>
      <bottom/>
      <diagonal/>
    </border>
    <border>
      <left style="thin">
        <color rgb="FF505050"/>
      </left>
      <right style="medium">
        <color indexed="64"/>
      </right>
      <top style="thin">
        <color rgb="FF505050"/>
      </top>
      <bottom/>
      <diagonal/>
    </border>
    <border>
      <left/>
      <right/>
      <top/>
      <bottom style="medium">
        <color indexed="64"/>
      </bottom>
      <diagonal/>
    </border>
    <border>
      <left style="medium">
        <color indexed="64"/>
      </left>
      <right/>
      <top/>
      <bottom/>
      <diagonal/>
    </border>
    <border>
      <left style="medium">
        <color indexed="64"/>
      </left>
      <right/>
      <top/>
      <bottom style="medium">
        <color indexed="64"/>
      </bottom>
      <diagonal/>
    </border>
    <border>
      <left style="thin">
        <color indexed="64"/>
      </left>
      <right style="thin">
        <color indexed="64"/>
      </right>
      <top style="thin">
        <color indexed="64"/>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hair">
        <color indexed="64"/>
      </top>
      <bottom style="thin">
        <color indexed="64"/>
      </bottom>
      <diagonal/>
    </border>
    <border>
      <left/>
      <right style="thin">
        <color indexed="64"/>
      </right>
      <top style="thin">
        <color indexed="64"/>
      </top>
      <bottom/>
      <diagonal/>
    </border>
    <border>
      <left/>
      <right style="thin">
        <color indexed="64"/>
      </right>
      <top style="thin">
        <color indexed="64"/>
      </top>
      <bottom style="hair">
        <color indexed="64"/>
      </bottom>
      <diagonal/>
    </border>
    <border>
      <left/>
      <right style="thin">
        <color indexed="64"/>
      </right>
      <top style="hair">
        <color indexed="64"/>
      </top>
      <bottom style="hair">
        <color indexed="64"/>
      </bottom>
      <diagonal/>
    </border>
    <border>
      <left/>
      <right style="thin">
        <color indexed="64"/>
      </right>
      <top style="hair">
        <color indexed="64"/>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hair">
        <color indexed="64"/>
      </top>
      <bottom/>
      <diagonal/>
    </border>
    <border>
      <left style="thin">
        <color auto="1"/>
      </left>
      <right style="thin">
        <color auto="1"/>
      </right>
      <top style="medium">
        <color indexed="64"/>
      </top>
      <bottom style="thin">
        <color auto="1"/>
      </bottom>
      <diagonal/>
    </border>
    <border>
      <left style="medium">
        <color indexed="64"/>
      </left>
      <right style="thin">
        <color indexed="64"/>
      </right>
      <top/>
      <bottom/>
      <diagonal/>
    </border>
    <border>
      <left style="medium">
        <color auto="1"/>
      </left>
      <right/>
      <top style="medium">
        <color auto="1"/>
      </top>
      <bottom style="medium">
        <color auto="1"/>
      </bottom>
      <diagonal/>
    </border>
    <border>
      <left style="thin">
        <color auto="1"/>
      </left>
      <right style="thin">
        <color auto="1"/>
      </right>
      <top style="medium">
        <color auto="1"/>
      </top>
      <bottom style="medium">
        <color auto="1"/>
      </bottom>
      <diagonal/>
    </border>
    <border>
      <left/>
      <right style="hair">
        <color auto="1"/>
      </right>
      <top style="medium">
        <color auto="1"/>
      </top>
      <bottom style="medium">
        <color auto="1"/>
      </bottom>
      <diagonal/>
    </border>
    <border>
      <left style="hair">
        <color auto="1"/>
      </left>
      <right style="hair">
        <color auto="1"/>
      </right>
      <top style="medium">
        <color auto="1"/>
      </top>
      <bottom style="medium">
        <color auto="1"/>
      </bottom>
      <diagonal/>
    </border>
    <border>
      <left style="hair">
        <color auto="1"/>
      </left>
      <right style="medium">
        <color auto="1"/>
      </right>
      <top style="medium">
        <color auto="1"/>
      </top>
      <bottom style="medium">
        <color auto="1"/>
      </bottom>
      <diagonal/>
    </border>
    <border>
      <left/>
      <right style="hair">
        <color auto="1"/>
      </right>
      <top/>
      <bottom style="hair">
        <color auto="1"/>
      </bottom>
      <diagonal/>
    </border>
    <border>
      <left style="hair">
        <color auto="1"/>
      </left>
      <right style="hair">
        <color auto="1"/>
      </right>
      <top/>
      <bottom style="hair">
        <color auto="1"/>
      </bottom>
      <diagonal/>
    </border>
    <border>
      <left style="hair">
        <color auto="1"/>
      </left>
      <right style="medium">
        <color auto="1"/>
      </right>
      <top/>
      <bottom style="hair">
        <color auto="1"/>
      </bottom>
      <diagonal/>
    </border>
    <border>
      <left/>
      <right style="hair">
        <color auto="1"/>
      </right>
      <top style="hair">
        <color auto="1"/>
      </top>
      <bottom style="hair">
        <color auto="1"/>
      </bottom>
      <diagonal/>
    </border>
    <border>
      <left style="hair">
        <color auto="1"/>
      </left>
      <right style="medium">
        <color auto="1"/>
      </right>
      <top style="hair">
        <color auto="1"/>
      </top>
      <bottom style="hair">
        <color auto="1"/>
      </bottom>
      <diagonal/>
    </border>
    <border>
      <left/>
      <right style="hair">
        <color auto="1"/>
      </right>
      <top style="hair">
        <color auto="1"/>
      </top>
      <bottom/>
      <diagonal/>
    </border>
    <border>
      <left style="hair">
        <color auto="1"/>
      </left>
      <right style="hair">
        <color auto="1"/>
      </right>
      <top style="hair">
        <color auto="1"/>
      </top>
      <bottom/>
      <diagonal/>
    </border>
    <border>
      <left style="hair">
        <color auto="1"/>
      </left>
      <right style="medium">
        <color auto="1"/>
      </right>
      <top style="hair">
        <color auto="1"/>
      </top>
      <bottom/>
      <diagonal/>
    </border>
    <border>
      <left style="medium">
        <color auto="1"/>
      </left>
      <right/>
      <top style="thin">
        <color auto="1"/>
      </top>
      <bottom style="hair">
        <color auto="1"/>
      </bottom>
      <diagonal/>
    </border>
    <border>
      <left/>
      <right style="hair">
        <color auto="1"/>
      </right>
      <top style="thin">
        <color auto="1"/>
      </top>
      <bottom style="hair">
        <color auto="1"/>
      </bottom>
      <diagonal/>
    </border>
    <border>
      <left style="hair">
        <color auto="1"/>
      </left>
      <right style="medium">
        <color auto="1"/>
      </right>
      <top style="thin">
        <color auto="1"/>
      </top>
      <bottom style="hair">
        <color auto="1"/>
      </bottom>
      <diagonal/>
    </border>
    <border>
      <left style="medium">
        <color auto="1"/>
      </left>
      <right/>
      <top style="hair">
        <color auto="1"/>
      </top>
      <bottom style="hair">
        <color auto="1"/>
      </bottom>
      <diagonal/>
    </border>
    <border>
      <left style="medium">
        <color auto="1"/>
      </left>
      <right/>
      <top style="hair">
        <color auto="1"/>
      </top>
      <bottom style="thin">
        <color auto="1"/>
      </bottom>
      <diagonal/>
    </border>
    <border>
      <left/>
      <right style="hair">
        <color auto="1"/>
      </right>
      <top style="hair">
        <color auto="1"/>
      </top>
      <bottom style="thin">
        <color auto="1"/>
      </bottom>
      <diagonal/>
    </border>
    <border>
      <left style="hair">
        <color auto="1"/>
      </left>
      <right style="medium">
        <color auto="1"/>
      </right>
      <top style="hair">
        <color auto="1"/>
      </top>
      <bottom style="thin">
        <color auto="1"/>
      </bottom>
      <diagonal/>
    </border>
    <border>
      <left style="medium">
        <color auto="1"/>
      </left>
      <right/>
      <top style="thin">
        <color auto="1"/>
      </top>
      <bottom/>
      <diagonal/>
    </border>
    <border>
      <left style="thin">
        <color auto="1"/>
      </left>
      <right style="thin">
        <color auto="1"/>
      </right>
      <top style="hair">
        <color auto="1"/>
      </top>
      <bottom style="medium">
        <color auto="1"/>
      </bottom>
      <diagonal/>
    </border>
    <border>
      <left/>
      <right style="hair">
        <color auto="1"/>
      </right>
      <top style="hair">
        <color auto="1"/>
      </top>
      <bottom style="medium">
        <color auto="1"/>
      </bottom>
      <diagonal/>
    </border>
    <border>
      <left style="hair">
        <color auto="1"/>
      </left>
      <right style="hair">
        <color auto="1"/>
      </right>
      <top style="hair">
        <color auto="1"/>
      </top>
      <bottom style="medium">
        <color auto="1"/>
      </bottom>
      <diagonal/>
    </border>
    <border>
      <left style="hair">
        <color auto="1"/>
      </left>
      <right style="medium">
        <color auto="1"/>
      </right>
      <top style="hair">
        <color auto="1"/>
      </top>
      <bottom style="medium">
        <color auto="1"/>
      </bottom>
      <diagonal/>
    </border>
    <border>
      <left style="medium">
        <color auto="1"/>
      </left>
      <right/>
      <top style="medium">
        <color auto="1"/>
      </top>
      <bottom style="thin">
        <color auto="1"/>
      </bottom>
      <diagonal/>
    </border>
    <border>
      <left/>
      <right style="hair">
        <color auto="1"/>
      </right>
      <top style="medium">
        <color auto="1"/>
      </top>
      <bottom style="thin">
        <color auto="1"/>
      </bottom>
      <diagonal/>
    </border>
    <border>
      <left style="hair">
        <color auto="1"/>
      </left>
      <right style="hair">
        <color auto="1"/>
      </right>
      <top style="medium">
        <color auto="1"/>
      </top>
      <bottom style="thin">
        <color auto="1"/>
      </bottom>
      <diagonal/>
    </border>
    <border>
      <left style="hair">
        <color auto="1"/>
      </left>
      <right style="medium">
        <color auto="1"/>
      </right>
      <top style="medium">
        <color auto="1"/>
      </top>
      <bottom style="thin">
        <color auto="1"/>
      </bottom>
      <diagonal/>
    </border>
    <border>
      <left style="medium">
        <color auto="1"/>
      </left>
      <right/>
      <top style="medium">
        <color auto="1"/>
      </top>
      <bottom style="hair">
        <color auto="1"/>
      </bottom>
      <diagonal/>
    </border>
    <border>
      <left style="thin">
        <color auto="1"/>
      </left>
      <right style="thin">
        <color auto="1"/>
      </right>
      <top style="medium">
        <color auto="1"/>
      </top>
      <bottom style="hair">
        <color auto="1"/>
      </bottom>
      <diagonal/>
    </border>
    <border>
      <left/>
      <right style="hair">
        <color auto="1"/>
      </right>
      <top style="medium">
        <color auto="1"/>
      </top>
      <bottom style="hair">
        <color auto="1"/>
      </bottom>
      <diagonal/>
    </border>
    <border>
      <left style="hair">
        <color auto="1"/>
      </left>
      <right style="hair">
        <color auto="1"/>
      </right>
      <top style="medium">
        <color auto="1"/>
      </top>
      <bottom style="hair">
        <color auto="1"/>
      </bottom>
      <diagonal/>
    </border>
    <border>
      <left style="hair">
        <color auto="1"/>
      </left>
      <right style="medium">
        <color auto="1"/>
      </right>
      <top style="medium">
        <color auto="1"/>
      </top>
      <bottom style="hair">
        <color auto="1"/>
      </bottom>
      <diagonal/>
    </border>
    <border>
      <left style="medium">
        <color auto="1"/>
      </left>
      <right/>
      <top style="hair">
        <color auto="1"/>
      </top>
      <bottom/>
      <diagonal/>
    </border>
    <border>
      <left style="medium">
        <color auto="1"/>
      </left>
      <right/>
      <top style="double">
        <color auto="1"/>
      </top>
      <bottom/>
      <diagonal/>
    </border>
    <border>
      <left style="thin">
        <color auto="1"/>
      </left>
      <right style="thin">
        <color auto="1"/>
      </right>
      <top style="double">
        <color auto="1"/>
      </top>
      <bottom/>
      <diagonal/>
    </border>
    <border>
      <left/>
      <right style="hair">
        <color auto="1"/>
      </right>
      <top style="double">
        <color auto="1"/>
      </top>
      <bottom/>
      <diagonal/>
    </border>
    <border>
      <left style="hair">
        <color auto="1"/>
      </left>
      <right style="hair">
        <color auto="1"/>
      </right>
      <top style="double">
        <color auto="1"/>
      </top>
      <bottom/>
      <diagonal/>
    </border>
    <border>
      <left style="hair">
        <color auto="1"/>
      </left>
      <right style="medium">
        <color auto="1"/>
      </right>
      <top style="double">
        <color auto="1"/>
      </top>
      <bottom/>
      <diagonal/>
    </border>
    <border>
      <left style="medium">
        <color auto="1"/>
      </left>
      <right/>
      <top style="hair">
        <color auto="1"/>
      </top>
      <bottom style="double">
        <color auto="1"/>
      </bottom>
      <diagonal/>
    </border>
    <border>
      <left style="thin">
        <color auto="1"/>
      </left>
      <right style="thin">
        <color auto="1"/>
      </right>
      <top style="hair">
        <color auto="1"/>
      </top>
      <bottom style="double">
        <color auto="1"/>
      </bottom>
      <diagonal/>
    </border>
    <border>
      <left/>
      <right style="hair">
        <color auto="1"/>
      </right>
      <top style="hair">
        <color auto="1"/>
      </top>
      <bottom style="double">
        <color auto="1"/>
      </bottom>
      <diagonal/>
    </border>
    <border>
      <left style="hair">
        <color auto="1"/>
      </left>
      <right style="hair">
        <color auto="1"/>
      </right>
      <top style="hair">
        <color auto="1"/>
      </top>
      <bottom style="double">
        <color auto="1"/>
      </bottom>
      <diagonal/>
    </border>
    <border>
      <left style="hair">
        <color auto="1"/>
      </left>
      <right style="medium">
        <color auto="1"/>
      </right>
      <top style="hair">
        <color auto="1"/>
      </top>
      <bottom style="double">
        <color auto="1"/>
      </bottom>
      <diagonal/>
    </border>
    <border>
      <left style="medium">
        <color auto="1"/>
      </left>
      <right/>
      <top/>
      <bottom style="thin">
        <color auto="1"/>
      </bottom>
      <diagonal/>
    </border>
    <border>
      <left/>
      <right style="hair">
        <color auto="1"/>
      </right>
      <top/>
      <bottom style="thin">
        <color auto="1"/>
      </bottom>
      <diagonal/>
    </border>
    <border>
      <left style="hair">
        <color auto="1"/>
      </left>
      <right style="medium">
        <color auto="1"/>
      </right>
      <top/>
      <bottom style="thin">
        <color auto="1"/>
      </bottom>
      <diagonal/>
    </border>
    <border>
      <left style="medium">
        <color auto="1"/>
      </left>
      <right/>
      <top/>
      <bottom style="hair">
        <color auto="1"/>
      </bottom>
      <diagonal/>
    </border>
    <border>
      <left style="medium">
        <color auto="1"/>
      </left>
      <right/>
      <top style="double">
        <color auto="1"/>
      </top>
      <bottom style="medium">
        <color auto="1"/>
      </bottom>
      <diagonal/>
    </border>
    <border>
      <left style="thin">
        <color auto="1"/>
      </left>
      <right style="thin">
        <color auto="1"/>
      </right>
      <top style="double">
        <color auto="1"/>
      </top>
      <bottom style="medium">
        <color auto="1"/>
      </bottom>
      <diagonal/>
    </border>
    <border>
      <left/>
      <right style="hair">
        <color auto="1"/>
      </right>
      <top style="double">
        <color auto="1"/>
      </top>
      <bottom style="medium">
        <color auto="1"/>
      </bottom>
      <diagonal/>
    </border>
    <border>
      <left style="hair">
        <color auto="1"/>
      </left>
      <right style="hair">
        <color auto="1"/>
      </right>
      <top style="double">
        <color auto="1"/>
      </top>
      <bottom style="medium">
        <color auto="1"/>
      </bottom>
      <diagonal/>
    </border>
    <border>
      <left style="hair">
        <color auto="1"/>
      </left>
      <right style="medium">
        <color auto="1"/>
      </right>
      <top style="double">
        <color auto="1"/>
      </top>
      <bottom style="medium">
        <color auto="1"/>
      </bottom>
      <diagonal/>
    </border>
    <border>
      <left style="thin">
        <color theme="1"/>
      </left>
      <right style="hair">
        <color theme="1"/>
      </right>
      <top style="thin">
        <color theme="1"/>
      </top>
      <bottom style="hair">
        <color theme="1"/>
      </bottom>
      <diagonal/>
    </border>
    <border>
      <left style="hair">
        <color theme="1"/>
      </left>
      <right style="hair">
        <color theme="1"/>
      </right>
      <top style="thin">
        <color theme="1"/>
      </top>
      <bottom style="hair">
        <color theme="1"/>
      </bottom>
      <diagonal/>
    </border>
    <border>
      <left style="hair">
        <color theme="1"/>
      </left>
      <right style="thin">
        <color theme="1"/>
      </right>
      <top style="thin">
        <color theme="1"/>
      </top>
      <bottom style="hair">
        <color theme="1"/>
      </bottom>
      <diagonal/>
    </border>
    <border>
      <left style="thin">
        <color theme="1"/>
      </left>
      <right/>
      <top style="thin">
        <color theme="1"/>
      </top>
      <bottom style="thin">
        <color theme="1"/>
      </bottom>
      <diagonal/>
    </border>
    <border>
      <left/>
      <right style="thin">
        <color theme="1"/>
      </right>
      <top style="thin">
        <color theme="1"/>
      </top>
      <bottom style="thin">
        <color theme="1"/>
      </bottom>
      <diagonal/>
    </border>
    <border>
      <left style="thin">
        <color theme="1"/>
      </left>
      <right style="hair">
        <color theme="1"/>
      </right>
      <top style="thin">
        <color theme="1"/>
      </top>
      <bottom style="thin">
        <color theme="1"/>
      </bottom>
      <diagonal/>
    </border>
    <border>
      <left style="hair">
        <color theme="1"/>
      </left>
      <right style="thin">
        <color theme="1"/>
      </right>
      <top style="thin">
        <color theme="1"/>
      </top>
      <bottom style="thin">
        <color theme="1"/>
      </bottom>
      <diagonal/>
    </border>
    <border>
      <left style="thin">
        <color theme="1"/>
      </left>
      <right style="thin">
        <color theme="1"/>
      </right>
      <top style="thin">
        <color theme="1"/>
      </top>
      <bottom style="hair">
        <color theme="1"/>
      </bottom>
      <diagonal/>
    </border>
    <border>
      <left style="thin">
        <color theme="1"/>
      </left>
      <right style="hair">
        <color theme="1"/>
      </right>
      <top style="thin">
        <color theme="1"/>
      </top>
      <bottom/>
      <diagonal/>
    </border>
    <border>
      <left style="hair">
        <color theme="1"/>
      </left>
      <right style="hair">
        <color theme="1"/>
      </right>
      <top style="thin">
        <color theme="1"/>
      </top>
      <bottom/>
      <diagonal/>
    </border>
    <border>
      <left style="hair">
        <color theme="1"/>
      </left>
      <right style="thin">
        <color theme="1"/>
      </right>
      <top style="thin">
        <color theme="1"/>
      </top>
      <bottom/>
      <diagonal/>
    </border>
    <border>
      <left style="thin">
        <color theme="1"/>
      </left>
      <right style="hair">
        <color theme="1"/>
      </right>
      <top style="hair">
        <color theme="1"/>
      </top>
      <bottom style="hair">
        <color theme="1"/>
      </bottom>
      <diagonal/>
    </border>
    <border>
      <left style="hair">
        <color theme="1"/>
      </left>
      <right style="hair">
        <color theme="1"/>
      </right>
      <top style="hair">
        <color theme="1"/>
      </top>
      <bottom style="hair">
        <color theme="1"/>
      </bottom>
      <diagonal/>
    </border>
    <border>
      <left style="hair">
        <color theme="1"/>
      </left>
      <right style="thin">
        <color theme="1"/>
      </right>
      <top style="hair">
        <color theme="1"/>
      </top>
      <bottom style="hair">
        <color theme="1"/>
      </bottom>
      <diagonal/>
    </border>
    <border>
      <left style="hair">
        <color theme="1"/>
      </left>
      <right style="hair">
        <color theme="1"/>
      </right>
      <top/>
      <bottom style="hair">
        <color theme="1"/>
      </bottom>
      <diagonal/>
    </border>
    <border>
      <left style="hair">
        <color theme="1"/>
      </left>
      <right style="thin">
        <color theme="1"/>
      </right>
      <top/>
      <bottom style="hair">
        <color theme="1"/>
      </bottom>
      <diagonal/>
    </border>
    <border>
      <left style="thin">
        <color theme="1"/>
      </left>
      <right style="hair">
        <color theme="1"/>
      </right>
      <top/>
      <bottom style="hair">
        <color theme="1"/>
      </bottom>
      <diagonal/>
    </border>
    <border>
      <left style="thin">
        <color theme="1"/>
      </left>
      <right style="thin">
        <color theme="1"/>
      </right>
      <top style="hair">
        <color theme="1"/>
      </top>
      <bottom style="hair">
        <color theme="1"/>
      </bottom>
      <diagonal/>
    </border>
    <border>
      <left style="thin">
        <color theme="1"/>
      </left>
      <right style="hair">
        <color theme="1"/>
      </right>
      <top style="hair">
        <color theme="1"/>
      </top>
      <bottom style="thin">
        <color theme="1"/>
      </bottom>
      <diagonal/>
    </border>
    <border>
      <left style="hair">
        <color theme="1"/>
      </left>
      <right style="hair">
        <color theme="1"/>
      </right>
      <top style="hair">
        <color theme="1"/>
      </top>
      <bottom style="thin">
        <color theme="1"/>
      </bottom>
      <diagonal/>
    </border>
    <border>
      <left style="hair">
        <color theme="1"/>
      </left>
      <right style="thin">
        <color theme="1"/>
      </right>
      <top style="hair">
        <color theme="1"/>
      </top>
      <bottom style="thin">
        <color theme="1"/>
      </bottom>
      <diagonal/>
    </border>
    <border>
      <left style="thin">
        <color theme="1"/>
      </left>
      <right style="thin">
        <color theme="1"/>
      </right>
      <top style="hair">
        <color theme="1"/>
      </top>
      <bottom style="thin">
        <color theme="1"/>
      </bottom>
      <diagonal/>
    </border>
    <border>
      <left style="hair">
        <color theme="1"/>
      </left>
      <right/>
      <top style="hair">
        <color theme="1"/>
      </top>
      <bottom style="thin">
        <color theme="1"/>
      </bottom>
      <diagonal/>
    </border>
    <border>
      <left style="hair">
        <color indexed="64"/>
      </left>
      <right style="hair">
        <color theme="1"/>
      </right>
      <top style="hair">
        <color theme="1"/>
      </top>
      <bottom style="thin">
        <color theme="1"/>
      </bottom>
      <diagonal/>
    </border>
    <border>
      <left/>
      <right style="hair">
        <color theme="1"/>
      </right>
      <top style="hair">
        <color theme="1"/>
      </top>
      <bottom style="thin">
        <color theme="1"/>
      </bottom>
      <diagonal/>
    </border>
    <border>
      <left style="thin">
        <color theme="1"/>
      </left>
      <right style="thin">
        <color theme="1"/>
      </right>
      <top style="thin">
        <color theme="1"/>
      </top>
      <bottom/>
      <diagonal/>
    </border>
    <border>
      <left style="hair">
        <color theme="1"/>
      </left>
      <right/>
      <top style="thin">
        <color theme="1"/>
      </top>
      <bottom style="hair">
        <color theme="1"/>
      </bottom>
      <diagonal/>
    </border>
    <border>
      <left style="hair">
        <color theme="1"/>
      </left>
      <right style="hair">
        <color indexed="64"/>
      </right>
      <top style="thin">
        <color theme="1"/>
      </top>
      <bottom style="hair">
        <color theme="1"/>
      </bottom>
      <diagonal/>
    </border>
    <border>
      <left/>
      <right style="hair">
        <color theme="1"/>
      </right>
      <top style="thin">
        <color theme="1"/>
      </top>
      <bottom style="hair">
        <color theme="1"/>
      </bottom>
      <diagonal/>
    </border>
    <border>
      <left style="hair">
        <color theme="1"/>
      </left>
      <right style="hair">
        <color theme="1"/>
      </right>
      <top/>
      <bottom/>
      <diagonal/>
    </border>
    <border>
      <left style="hair">
        <color theme="1"/>
      </left>
      <right style="thin">
        <color theme="1"/>
      </right>
      <top/>
      <bottom/>
      <diagonal/>
    </border>
    <border>
      <left style="thin">
        <color theme="1"/>
      </left>
      <right style="hair">
        <color theme="1"/>
      </right>
      <top/>
      <bottom/>
      <diagonal/>
    </border>
    <border>
      <left style="thin">
        <color theme="1"/>
      </left>
      <right style="thin">
        <color theme="1"/>
      </right>
      <top/>
      <bottom/>
      <diagonal/>
    </border>
    <border>
      <left style="hair">
        <color theme="1"/>
      </left>
      <right/>
      <top style="hair">
        <color theme="1"/>
      </top>
      <bottom style="hair">
        <color theme="1"/>
      </bottom>
      <diagonal/>
    </border>
    <border>
      <left style="hair">
        <color theme="1"/>
      </left>
      <right style="hair">
        <color indexed="64"/>
      </right>
      <top style="hair">
        <color theme="1"/>
      </top>
      <bottom style="hair">
        <color theme="1"/>
      </bottom>
      <diagonal/>
    </border>
    <border>
      <left/>
      <right style="hair">
        <color theme="1"/>
      </right>
      <top style="hair">
        <color theme="1"/>
      </top>
      <bottom style="hair">
        <color theme="1"/>
      </bottom>
      <diagonal/>
    </border>
    <border>
      <left style="hair">
        <color theme="1"/>
      </left>
      <right style="hair">
        <color theme="1"/>
      </right>
      <top/>
      <bottom style="thin">
        <color theme="1"/>
      </bottom>
      <diagonal/>
    </border>
    <border>
      <left style="hair">
        <color theme="1"/>
      </left>
      <right style="thin">
        <color theme="1"/>
      </right>
      <top/>
      <bottom style="thin">
        <color theme="1"/>
      </bottom>
      <diagonal/>
    </border>
    <border>
      <left style="thin">
        <color theme="1"/>
      </left>
      <right style="hair">
        <color theme="1"/>
      </right>
      <top/>
      <bottom style="thin">
        <color theme="1"/>
      </bottom>
      <diagonal/>
    </border>
    <border>
      <left style="thin">
        <color theme="1"/>
      </left>
      <right style="thin">
        <color theme="1"/>
      </right>
      <top/>
      <bottom style="thin">
        <color theme="1"/>
      </bottom>
      <diagonal/>
    </border>
    <border>
      <left style="hair">
        <color theme="1"/>
      </left>
      <right style="hair">
        <color indexed="64"/>
      </right>
      <top style="hair">
        <color theme="1"/>
      </top>
      <bottom style="thin">
        <color theme="1"/>
      </bottom>
      <diagonal/>
    </border>
    <border>
      <left style="thin">
        <color theme="1"/>
      </left>
      <right style="hair">
        <color theme="1"/>
      </right>
      <top style="hair">
        <color theme="1"/>
      </top>
      <bottom/>
      <diagonal/>
    </border>
    <border>
      <left style="hair">
        <color theme="1"/>
      </left>
      <right style="thin">
        <color theme="1"/>
      </right>
      <top style="hair">
        <color theme="1"/>
      </top>
      <bottom/>
      <diagonal/>
    </border>
    <border>
      <left style="hair">
        <color theme="1"/>
      </left>
      <right style="hair">
        <color theme="1"/>
      </right>
      <top style="hair">
        <color theme="1"/>
      </top>
      <bottom/>
      <diagonal/>
    </border>
    <border>
      <left style="thin">
        <color theme="1"/>
      </left>
      <right style="thin">
        <color theme="1"/>
      </right>
      <top style="hair">
        <color theme="1"/>
      </top>
      <bottom/>
      <diagonal/>
    </border>
    <border>
      <left style="hair">
        <color theme="1"/>
      </left>
      <right/>
      <top style="hair">
        <color theme="1"/>
      </top>
      <bottom/>
      <diagonal/>
    </border>
    <border>
      <left style="hair">
        <color theme="1"/>
      </left>
      <right style="hair">
        <color indexed="64"/>
      </right>
      <top style="hair">
        <color theme="1"/>
      </top>
      <bottom/>
      <diagonal/>
    </border>
    <border>
      <left/>
      <right style="hair">
        <color theme="1"/>
      </right>
      <top style="hair">
        <color theme="1"/>
      </top>
      <bottom/>
      <diagonal/>
    </border>
    <border>
      <left style="hair">
        <color theme="1"/>
      </left>
      <right/>
      <top/>
      <bottom style="thin">
        <color theme="1"/>
      </bottom>
      <diagonal/>
    </border>
    <border>
      <left style="hair">
        <color theme="1"/>
      </left>
      <right style="hair">
        <color indexed="64"/>
      </right>
      <top/>
      <bottom style="thin">
        <color theme="1"/>
      </bottom>
      <diagonal/>
    </border>
    <border>
      <left/>
      <right style="hair">
        <color theme="1"/>
      </right>
      <top/>
      <bottom style="thin">
        <color theme="1"/>
      </bottom>
      <diagonal/>
    </border>
    <border>
      <left/>
      <right style="thin">
        <color theme="1"/>
      </right>
      <top style="hair">
        <color theme="1"/>
      </top>
      <bottom style="hair">
        <color theme="1"/>
      </bottom>
      <diagonal/>
    </border>
    <border>
      <left style="thin">
        <color theme="1"/>
      </left>
      <right style="thin">
        <color theme="1"/>
      </right>
      <top/>
      <bottom style="hair">
        <color theme="1"/>
      </bottom>
      <diagonal/>
    </border>
    <border>
      <left/>
      <right style="thin">
        <color theme="1"/>
      </right>
      <top style="hair">
        <color theme="1"/>
      </top>
      <bottom/>
      <diagonal/>
    </border>
    <border>
      <left/>
      <right style="thin">
        <color theme="1"/>
      </right>
      <top/>
      <bottom style="thin">
        <color theme="1"/>
      </bottom>
      <diagonal/>
    </border>
    <border>
      <left/>
      <right/>
      <top style="thin">
        <color auto="1"/>
      </top>
      <bottom/>
      <diagonal/>
    </border>
    <border>
      <left/>
      <right style="thin">
        <color auto="1"/>
      </right>
      <top/>
      <bottom style="thin">
        <color auto="1"/>
      </bottom>
      <diagonal/>
    </border>
    <border>
      <left/>
      <right style="thin">
        <color auto="1"/>
      </right>
      <top/>
      <bottom/>
      <diagonal/>
    </border>
  </borders>
  <cellStyleXfs count="23">
    <xf numFmtId="0" fontId="0" fillId="0" borderId="0">
      <alignment vertical="center"/>
    </xf>
    <xf numFmtId="9" fontId="4" fillId="0" borderId="0" applyFont="0" applyFill="0" applyBorder="0" applyAlignment="0" applyProtection="0">
      <alignment vertical="center"/>
    </xf>
    <xf numFmtId="41" fontId="4" fillId="0" borderId="0" applyFont="0" applyFill="0" applyBorder="0" applyAlignment="0" applyProtection="0">
      <alignment vertical="center"/>
    </xf>
    <xf numFmtId="0" fontId="8" fillId="0" borderId="0"/>
    <xf numFmtId="41" fontId="4" fillId="0" borderId="0" applyFont="0" applyFill="0" applyBorder="0" applyAlignment="0" applyProtection="0">
      <alignment vertical="center"/>
    </xf>
    <xf numFmtId="0" fontId="14" fillId="0" borderId="0">
      <alignment vertical="center"/>
    </xf>
    <xf numFmtId="0" fontId="15" fillId="0" borderId="0"/>
    <xf numFmtId="0" fontId="11" fillId="0" borderId="0"/>
    <xf numFmtId="0" fontId="16" fillId="0" borderId="0"/>
    <xf numFmtId="0" fontId="17" fillId="0" borderId="0"/>
    <xf numFmtId="41" fontId="3" fillId="0" borderId="0" applyFont="0" applyFill="0" applyBorder="0" applyAlignment="0" applyProtection="0">
      <alignment vertical="center"/>
    </xf>
    <xf numFmtId="0" fontId="18" fillId="0" borderId="0"/>
    <xf numFmtId="0" fontId="2" fillId="0" borderId="0">
      <alignment vertical="center"/>
    </xf>
    <xf numFmtId="41" fontId="1" fillId="0" borderId="0" applyFont="0" applyFill="0" applyBorder="0" applyAlignment="0" applyProtection="0">
      <alignment vertical="center"/>
    </xf>
    <xf numFmtId="0" fontId="10" fillId="0" borderId="0" applyNumberFormat="0" applyFill="0" applyBorder="0" applyAlignment="0" applyProtection="0">
      <alignment vertical="center"/>
    </xf>
    <xf numFmtId="0" fontId="8" fillId="0" borderId="0">
      <alignment vertical="center"/>
    </xf>
    <xf numFmtId="41" fontId="8" fillId="0" borderId="0" applyFont="0" applyFill="0" applyBorder="0" applyAlignment="0" applyProtection="0">
      <alignment vertical="center"/>
    </xf>
    <xf numFmtId="0" fontId="22" fillId="0" borderId="0">
      <alignment vertical="center"/>
    </xf>
    <xf numFmtId="41" fontId="22" fillId="0" borderId="0" applyFont="0" applyFill="0" applyBorder="0" applyAlignment="0" applyProtection="0">
      <alignment vertical="center"/>
    </xf>
    <xf numFmtId="0" fontId="4" fillId="0" borderId="0">
      <alignment vertical="center"/>
    </xf>
    <xf numFmtId="0" fontId="27" fillId="0" borderId="0" applyNumberFormat="0" applyFill="0" applyBorder="0" applyAlignment="0" applyProtection="0">
      <alignment vertical="center"/>
    </xf>
    <xf numFmtId="0" fontId="4" fillId="0" borderId="0">
      <alignment vertical="center"/>
    </xf>
    <xf numFmtId="41" fontId="4" fillId="0" borderId="0" applyFont="0" applyFill="0" applyBorder="0" applyAlignment="0" applyProtection="0">
      <alignment vertical="center"/>
    </xf>
  </cellStyleXfs>
  <cellXfs count="815">
    <xf numFmtId="0" fontId="0" fillId="0" borderId="0" xfId="0">
      <alignment vertical="center"/>
    </xf>
    <xf numFmtId="0" fontId="9" fillId="0" borderId="0" xfId="0" applyFont="1" applyAlignment="1">
      <alignment vertical="center" shrinkToFit="1"/>
    </xf>
    <xf numFmtId="14" fontId="9" fillId="0" borderId="0" xfId="0" applyNumberFormat="1" applyFont="1" applyAlignment="1">
      <alignment horizontal="center" vertical="center" shrinkToFit="1"/>
    </xf>
    <xf numFmtId="0" fontId="9" fillId="0" borderId="0" xfId="0" applyFont="1" applyAlignment="1">
      <alignment horizontal="center" vertical="center" shrinkToFit="1"/>
    </xf>
    <xf numFmtId="0" fontId="9" fillId="0" borderId="0" xfId="0" applyFont="1">
      <alignment vertical="center"/>
    </xf>
    <xf numFmtId="0" fontId="9" fillId="0" borderId="0" xfId="0" applyFont="1" applyAlignment="1">
      <alignment horizontal="center" vertical="center"/>
    </xf>
    <xf numFmtId="41" fontId="9" fillId="0" borderId="0" xfId="2" applyFont="1">
      <alignment vertical="center"/>
    </xf>
    <xf numFmtId="177" fontId="9" fillId="0" borderId="0" xfId="2" applyNumberFormat="1" applyFont="1" applyAlignment="1">
      <alignment horizontal="center" vertical="center"/>
    </xf>
    <xf numFmtId="41" fontId="9" fillId="0" borderId="0" xfId="2" applyFont="1" applyAlignment="1">
      <alignment horizontal="center" vertical="center"/>
    </xf>
    <xf numFmtId="10" fontId="9" fillId="0" borderId="0" xfId="1" applyNumberFormat="1" applyFont="1" applyAlignment="1">
      <alignment horizontal="center" vertical="center"/>
    </xf>
    <xf numFmtId="41" fontId="9" fillId="0" borderId="0" xfId="2" applyFont="1" applyAlignment="1">
      <alignment vertical="center" shrinkToFit="1"/>
    </xf>
    <xf numFmtId="177" fontId="9" fillId="0" borderId="0" xfId="2" applyNumberFormat="1" applyFont="1" applyAlignment="1">
      <alignment horizontal="center" vertical="center" shrinkToFit="1"/>
    </xf>
    <xf numFmtId="41" fontId="9" fillId="0" borderId="0" xfId="2" applyFont="1" applyAlignment="1">
      <alignment horizontal="center" vertical="center" shrinkToFit="1"/>
    </xf>
    <xf numFmtId="10" fontId="9" fillId="0" borderId="0" xfId="1" applyNumberFormat="1" applyFont="1" applyAlignment="1">
      <alignment horizontal="center" vertical="center" shrinkToFit="1"/>
    </xf>
    <xf numFmtId="0" fontId="9" fillId="0" borderId="0" xfId="0" quotePrefix="1" applyFont="1" applyAlignment="1">
      <alignment horizontal="center" vertical="center"/>
    </xf>
    <xf numFmtId="41" fontId="9" fillId="0" borderId="0" xfId="2" quotePrefix="1" applyFont="1" applyBorder="1" applyAlignment="1">
      <alignment horizontal="center" vertical="center"/>
    </xf>
    <xf numFmtId="41" fontId="9" fillId="0" borderId="0" xfId="2" applyFont="1" applyBorder="1" applyAlignment="1">
      <alignment horizontal="center" vertical="center"/>
    </xf>
    <xf numFmtId="0" fontId="7" fillId="0" borderId="0" xfId="0" applyFont="1" applyAlignment="1">
      <alignment horizontal="center" vertical="center" shrinkToFit="1"/>
    </xf>
    <xf numFmtId="177" fontId="9" fillId="3" borderId="0" xfId="2" applyNumberFormat="1" applyFont="1" applyFill="1" applyAlignment="1">
      <alignment horizontal="center" vertical="center" shrinkToFit="1"/>
    </xf>
    <xf numFmtId="41" fontId="9" fillId="3" borderId="0" xfId="2" applyFont="1" applyFill="1" applyAlignment="1">
      <alignment horizontal="center" vertical="center" shrinkToFit="1"/>
    </xf>
    <xf numFmtId="0" fontId="9" fillId="3" borderId="0" xfId="0" applyFont="1" applyFill="1" applyAlignment="1">
      <alignment horizontal="center" vertical="center" shrinkToFit="1"/>
    </xf>
    <xf numFmtId="10" fontId="9" fillId="3" borderId="0" xfId="1" applyNumberFormat="1" applyFont="1" applyFill="1" applyAlignment="1">
      <alignment horizontal="center" vertical="center" shrinkToFit="1"/>
    </xf>
    <xf numFmtId="0" fontId="9" fillId="3" borderId="0" xfId="0" applyFont="1" applyFill="1" applyAlignment="1">
      <alignment vertical="center" shrinkToFit="1"/>
    </xf>
    <xf numFmtId="41" fontId="9" fillId="3" borderId="0" xfId="2" applyFont="1" applyFill="1" applyBorder="1" applyAlignment="1">
      <alignment horizontal="center" vertical="center" shrinkToFit="1"/>
    </xf>
    <xf numFmtId="41" fontId="9" fillId="7" borderId="0" xfId="2" applyFont="1" applyFill="1" applyBorder="1" applyAlignment="1">
      <alignment horizontal="center" vertical="center" shrinkToFit="1"/>
    </xf>
    <xf numFmtId="0" fontId="9" fillId="0" borderId="0" xfId="0" quotePrefix="1" applyFont="1" applyAlignment="1">
      <alignment horizontal="center" vertical="center" shrinkToFit="1"/>
    </xf>
    <xf numFmtId="0" fontId="19" fillId="0" borderId="0" xfId="0" applyFont="1" applyAlignment="1">
      <alignment horizontal="center" vertical="center"/>
    </xf>
    <xf numFmtId="183" fontId="19" fillId="0" borderId="0" xfId="0" applyNumberFormat="1" applyFont="1" applyAlignment="1">
      <alignment horizontal="center" vertical="center"/>
    </xf>
    <xf numFmtId="0" fontId="19" fillId="4" borderId="0" xfId="0" applyFont="1" applyFill="1" applyAlignment="1">
      <alignment horizontal="center" vertical="center"/>
    </xf>
    <xf numFmtId="0" fontId="13" fillId="0" borderId="0" xfId="0" applyFont="1" applyAlignment="1">
      <alignment horizontal="left" vertical="center" shrinkToFit="1"/>
    </xf>
    <xf numFmtId="0" fontId="9" fillId="2" borderId="15" xfId="0" applyFont="1" applyFill="1" applyBorder="1" applyAlignment="1">
      <alignment horizontal="center" vertical="center" shrinkToFit="1"/>
    </xf>
    <xf numFmtId="0" fontId="7" fillId="2" borderId="15" xfId="0" applyFont="1" applyFill="1" applyBorder="1" applyAlignment="1">
      <alignment horizontal="center" vertical="center" shrinkToFit="1"/>
    </xf>
    <xf numFmtId="41" fontId="7" fillId="2" borderId="15" xfId="2" applyFont="1" applyFill="1" applyBorder="1" applyAlignment="1">
      <alignment horizontal="center" vertical="center" shrinkToFit="1"/>
    </xf>
    <xf numFmtId="0" fontId="13" fillId="2" borderId="15" xfId="0" applyFont="1" applyFill="1" applyBorder="1" applyAlignment="1">
      <alignment horizontal="center" vertical="center" shrinkToFit="1"/>
    </xf>
    <xf numFmtId="14" fontId="9" fillId="2" borderId="15" xfId="0" applyNumberFormat="1" applyFont="1" applyFill="1" applyBorder="1" applyAlignment="1">
      <alignment horizontal="center" vertical="center" shrinkToFit="1"/>
    </xf>
    <xf numFmtId="41" fontId="9" fillId="2" borderId="15" xfId="2" applyFont="1" applyFill="1" applyBorder="1" applyAlignment="1">
      <alignment horizontal="center" vertical="center" shrinkToFit="1"/>
    </xf>
    <xf numFmtId="0" fontId="13" fillId="2" borderId="15" xfId="0" applyFont="1" applyFill="1" applyBorder="1" applyAlignment="1">
      <alignment horizontal="left" vertical="center" shrinkToFit="1"/>
    </xf>
    <xf numFmtId="0" fontId="9" fillId="2" borderId="2" xfId="0" applyFont="1" applyFill="1" applyBorder="1" applyAlignment="1">
      <alignment horizontal="center" vertical="center" shrinkToFit="1"/>
    </xf>
    <xf numFmtId="14" fontId="9" fillId="2" borderId="14" xfId="0" applyNumberFormat="1" applyFont="1" applyFill="1" applyBorder="1" applyAlignment="1">
      <alignment horizontal="center" vertical="center" shrinkToFit="1"/>
    </xf>
    <xf numFmtId="41" fontId="9" fillId="2" borderId="0" xfId="2" applyFont="1" applyFill="1" applyAlignment="1">
      <alignment vertical="center" shrinkToFit="1"/>
    </xf>
    <xf numFmtId="0" fontId="9" fillId="0" borderId="15" xfId="0" applyFont="1" applyBorder="1" applyAlignment="1">
      <alignment horizontal="center" vertical="center" shrinkToFit="1"/>
    </xf>
    <xf numFmtId="179" fontId="9" fillId="0" borderId="15" xfId="0" applyNumberFormat="1" applyFont="1" applyBorder="1" applyAlignment="1">
      <alignment horizontal="center" vertical="center" shrinkToFit="1"/>
    </xf>
    <xf numFmtId="179" fontId="12" fillId="0" borderId="15" xfId="0" applyNumberFormat="1" applyFont="1" applyBorder="1" applyAlignment="1">
      <alignment horizontal="center" vertical="center" shrinkToFit="1"/>
    </xf>
    <xf numFmtId="0" fontId="12" fillId="0" borderId="15" xfId="0" applyFont="1" applyBorder="1" applyAlignment="1">
      <alignment horizontal="center" vertical="center" shrinkToFit="1"/>
    </xf>
    <xf numFmtId="178" fontId="9" fillId="0" borderId="15" xfId="0" applyNumberFormat="1" applyFont="1" applyBorder="1" applyAlignment="1">
      <alignment horizontal="center" vertical="center" shrinkToFit="1"/>
    </xf>
    <xf numFmtId="180" fontId="9" fillId="0" borderId="15" xfId="0" applyNumberFormat="1" applyFont="1" applyBorder="1" applyAlignment="1">
      <alignment horizontal="center" vertical="center" shrinkToFit="1"/>
    </xf>
    <xf numFmtId="49" fontId="12" fillId="0" borderId="15" xfId="0" applyNumberFormat="1" applyFont="1" applyBorder="1" applyAlignment="1">
      <alignment horizontal="center" vertical="center" shrinkToFit="1"/>
    </xf>
    <xf numFmtId="178" fontId="12" fillId="0" borderId="15" xfId="0" applyNumberFormat="1" applyFont="1" applyBorder="1" applyAlignment="1">
      <alignment horizontal="center" vertical="center" shrinkToFit="1"/>
    </xf>
    <xf numFmtId="177" fontId="9" fillId="0" borderId="15" xfId="0" applyNumberFormat="1" applyFont="1" applyBorder="1" applyAlignment="1">
      <alignment horizontal="center" vertical="center" shrinkToFit="1"/>
    </xf>
    <xf numFmtId="179" fontId="9" fillId="0" borderId="15" xfId="0" quotePrefix="1" applyNumberFormat="1" applyFont="1" applyBorder="1" applyAlignment="1">
      <alignment horizontal="center" vertical="center" shrinkToFit="1"/>
    </xf>
    <xf numFmtId="14" fontId="9" fillId="0" borderId="15" xfId="0" applyNumberFormat="1" applyFont="1" applyBorder="1" applyAlignment="1">
      <alignment horizontal="center" vertical="center" shrinkToFit="1"/>
    </xf>
    <xf numFmtId="0" fontId="9" fillId="0" borderId="14" xfId="0" quotePrefix="1" applyFont="1" applyBorder="1" applyAlignment="1">
      <alignment horizontal="center" vertical="center" shrinkToFit="1"/>
    </xf>
    <xf numFmtId="0" fontId="9" fillId="0" borderId="14" xfId="0" applyFont="1" applyBorder="1" applyAlignment="1">
      <alignment horizontal="center" vertical="center" shrinkToFit="1"/>
    </xf>
    <xf numFmtId="0" fontId="9" fillId="4" borderId="15" xfId="0" applyFont="1" applyFill="1" applyBorder="1" applyAlignment="1">
      <alignment horizontal="center" vertical="center" shrinkToFit="1"/>
    </xf>
    <xf numFmtId="179" fontId="9" fillId="4" borderId="15" xfId="0" applyNumberFormat="1" applyFont="1" applyFill="1" applyBorder="1" applyAlignment="1">
      <alignment horizontal="center" vertical="center" shrinkToFit="1"/>
    </xf>
    <xf numFmtId="0" fontId="9" fillId="4" borderId="0" xfId="0" applyFont="1" applyFill="1" applyAlignment="1">
      <alignment horizontal="center" vertical="center" shrinkToFit="1"/>
    </xf>
    <xf numFmtId="180" fontId="12" fillId="0" borderId="15" xfId="0" applyNumberFormat="1" applyFont="1" applyBorder="1" applyAlignment="1">
      <alignment horizontal="center" vertical="center" shrinkToFit="1"/>
    </xf>
    <xf numFmtId="184" fontId="9" fillId="0" borderId="0" xfId="0" applyNumberFormat="1" applyFont="1" applyAlignment="1">
      <alignment horizontal="center" vertical="center"/>
    </xf>
    <xf numFmtId="0" fontId="13" fillId="0" borderId="0" xfId="0" applyFont="1" applyAlignment="1">
      <alignment horizontal="center" vertical="center"/>
    </xf>
    <xf numFmtId="0" fontId="9" fillId="2" borderId="15" xfId="0" applyFont="1" applyFill="1" applyBorder="1" applyAlignment="1">
      <alignment horizontal="center" vertical="center"/>
    </xf>
    <xf numFmtId="0" fontId="9" fillId="2" borderId="15" xfId="0" quotePrefix="1" applyFont="1" applyFill="1" applyBorder="1" applyAlignment="1">
      <alignment horizontal="center" vertical="center"/>
    </xf>
    <xf numFmtId="41" fontId="20" fillId="10" borderId="15" xfId="2" applyFont="1" applyFill="1" applyBorder="1" applyAlignment="1">
      <alignment horizontal="center" vertical="center"/>
    </xf>
    <xf numFmtId="41" fontId="9" fillId="2" borderId="15" xfId="2" applyFont="1" applyFill="1" applyBorder="1" applyAlignment="1">
      <alignment horizontal="center" vertical="center"/>
    </xf>
    <xf numFmtId="0" fontId="20" fillId="11" borderId="3" xfId="0" applyFont="1" applyFill="1" applyBorder="1" applyAlignment="1">
      <alignment horizontal="center" vertical="center" shrinkToFit="1"/>
    </xf>
    <xf numFmtId="41" fontId="20" fillId="11" borderId="15" xfId="2" applyFont="1" applyFill="1" applyBorder="1" applyAlignment="1">
      <alignment horizontal="center" vertical="center"/>
    </xf>
    <xf numFmtId="0" fontId="20" fillId="12" borderId="3" xfId="0" applyFont="1" applyFill="1" applyBorder="1" applyAlignment="1">
      <alignment horizontal="center" vertical="center" shrinkToFit="1"/>
    </xf>
    <xf numFmtId="41" fontId="20" fillId="12" borderId="15" xfId="2" applyFont="1" applyFill="1" applyBorder="1" applyAlignment="1">
      <alignment horizontal="center" vertical="center"/>
    </xf>
    <xf numFmtId="0" fontId="20" fillId="13" borderId="14" xfId="0" applyFont="1" applyFill="1" applyBorder="1">
      <alignment vertical="center"/>
    </xf>
    <xf numFmtId="41" fontId="20" fillId="13" borderId="15" xfId="2" applyFont="1" applyFill="1" applyBorder="1" applyAlignment="1">
      <alignment horizontal="center" vertical="center"/>
    </xf>
    <xf numFmtId="0" fontId="22" fillId="2" borderId="0" xfId="17" applyFill="1">
      <alignment vertical="center"/>
    </xf>
    <xf numFmtId="0" fontId="22" fillId="2" borderId="0" xfId="17" applyFill="1" applyAlignment="1">
      <alignment horizontal="center" vertical="center"/>
    </xf>
    <xf numFmtId="0" fontId="22" fillId="2" borderId="0" xfId="17" applyFill="1" applyAlignment="1">
      <alignment horizontal="left" vertical="center"/>
    </xf>
    <xf numFmtId="0" fontId="22" fillId="2" borderId="15" xfId="17" applyFill="1" applyBorder="1" applyAlignment="1">
      <alignment horizontal="center" vertical="center"/>
    </xf>
    <xf numFmtId="41" fontId="0" fillId="2" borderId="15" xfId="18" applyFont="1" applyFill="1" applyBorder="1" applyAlignment="1">
      <alignment horizontal="left" vertical="center"/>
    </xf>
    <xf numFmtId="41" fontId="0" fillId="2" borderId="15" xfId="18" applyFont="1" applyFill="1" applyBorder="1" applyAlignment="1">
      <alignment horizontal="center" vertical="center"/>
    </xf>
    <xf numFmtId="41" fontId="0" fillId="2" borderId="2" xfId="18" applyFont="1" applyFill="1" applyBorder="1" applyAlignment="1">
      <alignment horizontal="center" vertical="center"/>
    </xf>
    <xf numFmtId="41" fontId="0" fillId="2" borderId="3" xfId="18" applyFont="1" applyFill="1" applyBorder="1" applyAlignment="1">
      <alignment horizontal="center" vertical="center"/>
    </xf>
    <xf numFmtId="0" fontId="22" fillId="2" borderId="4" xfId="17" applyFill="1" applyBorder="1" applyAlignment="1">
      <alignment horizontal="center" vertical="center"/>
    </xf>
    <xf numFmtId="41" fontId="0" fillId="2" borderId="4" xfId="18" applyFont="1" applyFill="1" applyBorder="1" applyAlignment="1">
      <alignment horizontal="left" vertical="center"/>
    </xf>
    <xf numFmtId="41" fontId="0" fillId="2" borderId="2" xfId="18" applyFont="1" applyFill="1" applyBorder="1" applyAlignment="1">
      <alignment horizontal="left" vertical="center"/>
    </xf>
    <xf numFmtId="41" fontId="0" fillId="2" borderId="3" xfId="18" applyFont="1" applyFill="1" applyBorder="1" applyAlignment="1">
      <alignment horizontal="left" vertical="center"/>
    </xf>
    <xf numFmtId="41" fontId="22" fillId="2" borderId="15" xfId="17" applyNumberFormat="1" applyFill="1" applyBorder="1" applyAlignment="1">
      <alignment horizontal="center" vertical="center"/>
    </xf>
    <xf numFmtId="0" fontId="1" fillId="0" borderId="0" xfId="19" applyFont="1">
      <alignment vertical="center"/>
    </xf>
    <xf numFmtId="0" fontId="1" fillId="2" borderId="15" xfId="19" applyFont="1" applyFill="1" applyBorder="1" applyAlignment="1">
      <alignment horizontal="center" vertical="center"/>
    </xf>
    <xf numFmtId="0" fontId="1" fillId="2" borderId="0" xfId="19" applyFont="1" applyFill="1">
      <alignment vertical="center"/>
    </xf>
    <xf numFmtId="0" fontId="1" fillId="15" borderId="15" xfId="19" applyFont="1" applyFill="1" applyBorder="1" applyAlignment="1">
      <alignment horizontal="center" vertical="center"/>
    </xf>
    <xf numFmtId="185" fontId="24" fillId="15" borderId="15" xfId="19" applyNumberFormat="1" applyFont="1" applyFill="1" applyBorder="1" applyAlignment="1">
      <alignment horizontal="center" vertical="center"/>
    </xf>
    <xf numFmtId="0" fontId="9" fillId="15" borderId="15" xfId="19" applyFont="1" applyFill="1" applyBorder="1" applyAlignment="1">
      <alignment horizontal="center" vertical="center"/>
    </xf>
    <xf numFmtId="0" fontId="1" fillId="0" borderId="15" xfId="19" applyFont="1" applyBorder="1" applyAlignment="1">
      <alignment horizontal="center" vertical="center"/>
    </xf>
    <xf numFmtId="185" fontId="24" fillId="2" borderId="15" xfId="19" applyNumberFormat="1" applyFont="1" applyFill="1" applyBorder="1" applyAlignment="1">
      <alignment horizontal="center" vertical="center"/>
    </xf>
    <xf numFmtId="0" fontId="1" fillId="16" borderId="15" xfId="19" applyFont="1" applyFill="1" applyBorder="1" applyAlignment="1">
      <alignment horizontal="center" vertical="center"/>
    </xf>
    <xf numFmtId="185" fontId="24" fillId="16" borderId="15" xfId="19" applyNumberFormat="1" applyFont="1" applyFill="1" applyBorder="1" applyAlignment="1">
      <alignment horizontal="center" vertical="center"/>
    </xf>
    <xf numFmtId="0" fontId="25" fillId="16" borderId="15" xfId="19" applyFont="1" applyFill="1" applyBorder="1" applyAlignment="1">
      <alignment horizontal="center" vertical="center"/>
    </xf>
    <xf numFmtId="0" fontId="9" fillId="16" borderId="15" xfId="19" applyFont="1" applyFill="1" applyBorder="1" applyAlignment="1">
      <alignment horizontal="center" vertical="center"/>
    </xf>
    <xf numFmtId="0" fontId="1" fillId="17" borderId="15" xfId="19" applyFont="1" applyFill="1" applyBorder="1" applyAlignment="1">
      <alignment horizontal="center" vertical="center"/>
    </xf>
    <xf numFmtId="185" fontId="24" fillId="17" borderId="15" xfId="19" applyNumberFormat="1" applyFont="1" applyFill="1" applyBorder="1" applyAlignment="1">
      <alignment horizontal="center" vertical="center"/>
    </xf>
    <xf numFmtId="0" fontId="9" fillId="16" borderId="15" xfId="19" applyFont="1" applyFill="1" applyBorder="1">
      <alignment vertical="center"/>
    </xf>
    <xf numFmtId="0" fontId="9" fillId="2" borderId="15" xfId="19" applyFont="1" applyFill="1" applyBorder="1">
      <alignment vertical="center"/>
    </xf>
    <xf numFmtId="0" fontId="1" fillId="18" borderId="15" xfId="19" applyFont="1" applyFill="1" applyBorder="1" applyAlignment="1">
      <alignment horizontal="center" vertical="center"/>
    </xf>
    <xf numFmtId="185" fontId="24" fillId="18" borderId="15" xfId="19" applyNumberFormat="1" applyFont="1" applyFill="1" applyBorder="1" applyAlignment="1">
      <alignment horizontal="center" vertical="center"/>
    </xf>
    <xf numFmtId="0" fontId="25" fillId="18" borderId="15" xfId="19" applyFont="1" applyFill="1" applyBorder="1" applyAlignment="1">
      <alignment horizontal="center" vertical="center"/>
    </xf>
    <xf numFmtId="0" fontId="9" fillId="2" borderId="15" xfId="19" applyFont="1" applyFill="1" applyBorder="1" applyAlignment="1">
      <alignment horizontal="center" vertical="center"/>
    </xf>
    <xf numFmtId="0" fontId="9" fillId="17" borderId="15" xfId="19" applyFont="1" applyFill="1" applyBorder="1">
      <alignment vertical="center"/>
    </xf>
    <xf numFmtId="0" fontId="25" fillId="15" borderId="15" xfId="19" applyFont="1" applyFill="1" applyBorder="1" applyAlignment="1">
      <alignment horizontal="center" vertical="center"/>
    </xf>
    <xf numFmtId="0" fontId="9" fillId="15" borderId="15" xfId="19" applyFont="1" applyFill="1" applyBorder="1">
      <alignment vertical="center"/>
    </xf>
    <xf numFmtId="0" fontId="9" fillId="18" borderId="15" xfId="19" applyFont="1" applyFill="1" applyBorder="1">
      <alignment vertical="center"/>
    </xf>
    <xf numFmtId="0" fontId="1" fillId="0" borderId="0" xfId="19" applyFont="1" applyAlignment="1">
      <alignment horizontal="center" vertical="center"/>
    </xf>
    <xf numFmtId="0" fontId="13" fillId="0" borderId="0" xfId="0" applyFont="1">
      <alignment vertical="center"/>
    </xf>
    <xf numFmtId="14" fontId="7" fillId="0" borderId="15" xfId="0" applyNumberFormat="1" applyFont="1" applyBorder="1" applyAlignment="1">
      <alignment horizontal="center" vertical="center" shrinkToFit="1"/>
    </xf>
    <xf numFmtId="0" fontId="13" fillId="0" borderId="15" xfId="0" applyFont="1" applyBorder="1" applyAlignment="1">
      <alignment horizontal="center" vertical="center" shrinkToFit="1"/>
    </xf>
    <xf numFmtId="41" fontId="7" fillId="0" borderId="15" xfId="0" applyNumberFormat="1" applyFont="1" applyBorder="1" applyAlignment="1">
      <alignment horizontal="center" vertical="center" shrinkToFit="1"/>
    </xf>
    <xf numFmtId="41" fontId="13" fillId="0" borderId="15" xfId="0" applyNumberFormat="1" applyFont="1" applyBorder="1" applyAlignment="1">
      <alignment horizontal="center" vertical="center" shrinkToFit="1"/>
    </xf>
    <xf numFmtId="41" fontId="9" fillId="0" borderId="15" xfId="0" applyNumberFormat="1" applyFont="1" applyBorder="1" applyAlignment="1">
      <alignment horizontal="center" vertical="center" shrinkToFit="1"/>
    </xf>
    <xf numFmtId="0" fontId="13" fillId="4" borderId="15" xfId="0" applyFont="1" applyFill="1" applyBorder="1" applyAlignment="1">
      <alignment horizontal="center" vertical="center" shrinkToFit="1"/>
    </xf>
    <xf numFmtId="14" fontId="9" fillId="0" borderId="0" xfId="0" applyNumberFormat="1" applyFont="1" applyAlignment="1">
      <alignment horizontal="center" vertical="center"/>
    </xf>
    <xf numFmtId="41" fontId="9" fillId="0" borderId="0" xfId="0" applyNumberFormat="1" applyFont="1" applyAlignment="1">
      <alignment horizontal="center" vertical="center"/>
    </xf>
    <xf numFmtId="41" fontId="13" fillId="0" borderId="0" xfId="0" applyNumberFormat="1" applyFont="1" applyAlignment="1">
      <alignment horizontal="center" vertical="center"/>
    </xf>
    <xf numFmtId="0" fontId="13" fillId="0" borderId="0" xfId="0" applyFont="1" applyAlignment="1">
      <alignment horizontal="left" vertical="center"/>
    </xf>
    <xf numFmtId="0" fontId="9" fillId="2" borderId="0" xfId="17" applyFont="1" applyFill="1">
      <alignment vertical="center"/>
    </xf>
    <xf numFmtId="0" fontId="9" fillId="0" borderId="0" xfId="17" applyFont="1">
      <alignment vertical="center"/>
    </xf>
    <xf numFmtId="41" fontId="9" fillId="2" borderId="0" xfId="18" applyFont="1" applyFill="1">
      <alignment vertical="center"/>
    </xf>
    <xf numFmtId="0" fontId="9" fillId="2" borderId="15" xfId="17" applyFont="1" applyFill="1" applyBorder="1" applyAlignment="1">
      <alignment vertical="center" shrinkToFit="1"/>
    </xf>
    <xf numFmtId="41" fontId="9" fillId="2" borderId="15" xfId="18" applyFont="1" applyFill="1" applyBorder="1" applyAlignment="1">
      <alignment vertical="center" shrinkToFit="1"/>
    </xf>
    <xf numFmtId="0" fontId="9" fillId="2" borderId="15" xfId="17" applyFont="1" applyFill="1" applyBorder="1" applyAlignment="1">
      <alignment horizontal="center" vertical="center" shrinkToFit="1"/>
    </xf>
    <xf numFmtId="14" fontId="9" fillId="2" borderId="15" xfId="17" applyNumberFormat="1" applyFont="1" applyFill="1" applyBorder="1" applyAlignment="1">
      <alignment horizontal="center" vertical="center" shrinkToFit="1"/>
    </xf>
    <xf numFmtId="0" fontId="9" fillId="2" borderId="15" xfId="17" applyFont="1" applyFill="1" applyBorder="1">
      <alignment vertical="center"/>
    </xf>
    <xf numFmtId="41" fontId="9" fillId="2" borderId="15" xfId="18" applyFont="1" applyFill="1" applyBorder="1" applyAlignment="1">
      <alignment horizontal="center" vertical="center"/>
    </xf>
    <xf numFmtId="41" fontId="9" fillId="0" borderId="0" xfId="18" applyFont="1">
      <alignment vertical="center"/>
    </xf>
    <xf numFmtId="0" fontId="11" fillId="19" borderId="23" xfId="0" applyFont="1" applyFill="1" applyBorder="1" applyAlignment="1">
      <alignment horizontal="center" vertical="center" wrapText="1"/>
    </xf>
    <xf numFmtId="0" fontId="11" fillId="3" borderId="23" xfId="0" applyFont="1" applyFill="1" applyBorder="1" applyAlignment="1">
      <alignment horizontal="center" vertical="center" wrapText="1"/>
    </xf>
    <xf numFmtId="0" fontId="11" fillId="20" borderId="23" xfId="0" applyFont="1" applyFill="1" applyBorder="1" applyAlignment="1">
      <alignment horizontal="center" vertical="center" wrapText="1"/>
    </xf>
    <xf numFmtId="186" fontId="11" fillId="4" borderId="23" xfId="0" applyNumberFormat="1" applyFont="1" applyFill="1" applyBorder="1" applyAlignment="1">
      <alignment horizontal="right" vertical="center" wrapText="1"/>
    </xf>
    <xf numFmtId="186" fontId="11" fillId="20" borderId="23" xfId="0" applyNumberFormat="1" applyFont="1" applyFill="1" applyBorder="1" applyAlignment="1">
      <alignment horizontal="right" vertical="center" wrapText="1"/>
    </xf>
    <xf numFmtId="186" fontId="11" fillId="6" borderId="23" xfId="0" applyNumberFormat="1" applyFont="1" applyFill="1" applyBorder="1" applyAlignment="1">
      <alignment horizontal="right" vertical="center" wrapText="1"/>
    </xf>
    <xf numFmtId="186" fontId="11" fillId="8" borderId="23" xfId="0" applyNumberFormat="1" applyFont="1" applyFill="1" applyBorder="1" applyAlignment="1">
      <alignment horizontal="right" vertical="center" wrapText="1"/>
    </xf>
    <xf numFmtId="41" fontId="9" fillId="2" borderId="15" xfId="18" applyFont="1" applyFill="1" applyBorder="1" applyAlignment="1">
      <alignment horizontal="center" vertical="center" shrinkToFit="1"/>
    </xf>
    <xf numFmtId="0" fontId="29" fillId="2" borderId="15" xfId="0" applyFont="1" applyFill="1" applyBorder="1" applyAlignment="1">
      <alignment horizontal="center" vertical="center" shrinkToFit="1"/>
    </xf>
    <xf numFmtId="0" fontId="1" fillId="2" borderId="0" xfId="19" applyFont="1" applyFill="1" applyAlignment="1">
      <alignment horizontal="center" vertical="center"/>
    </xf>
    <xf numFmtId="0" fontId="1" fillId="0" borderId="0" xfId="0" applyFont="1">
      <alignment vertical="center"/>
    </xf>
    <xf numFmtId="0" fontId="1" fillId="12" borderId="16" xfId="0" applyFont="1" applyFill="1" applyBorder="1" applyAlignment="1">
      <alignment horizontal="center" vertical="center" shrinkToFit="1"/>
    </xf>
    <xf numFmtId="0" fontId="1" fillId="2" borderId="24" xfId="0" applyFont="1" applyFill="1" applyBorder="1" applyAlignment="1">
      <alignment horizontal="center" vertical="center" shrinkToFit="1"/>
    </xf>
    <xf numFmtId="0" fontId="1" fillId="10" borderId="16" xfId="0" applyFont="1" applyFill="1" applyBorder="1" applyAlignment="1">
      <alignment horizontal="center" vertical="center" shrinkToFit="1"/>
    </xf>
    <xf numFmtId="0" fontId="9" fillId="0" borderId="24" xfId="0" applyFont="1" applyBorder="1" applyAlignment="1">
      <alignment horizontal="center" vertical="center" shrinkToFit="1"/>
    </xf>
    <xf numFmtId="0" fontId="1" fillId="0" borderId="24" xfId="0" applyFont="1" applyBorder="1" applyAlignment="1">
      <alignment horizontal="left" vertical="center" shrinkToFit="1"/>
    </xf>
    <xf numFmtId="0" fontId="1" fillId="0" borderId="16" xfId="0" applyFont="1" applyBorder="1" applyAlignment="1">
      <alignment horizontal="left" vertical="center" shrinkToFit="1"/>
    </xf>
    <xf numFmtId="41" fontId="9" fillId="0" borderId="24" xfId="0" applyNumberFormat="1" applyFont="1" applyBorder="1" applyAlignment="1">
      <alignment horizontal="center" vertical="center" shrinkToFit="1"/>
    </xf>
    <xf numFmtId="41" fontId="29" fillId="0" borderId="24" xfId="0" applyNumberFormat="1" applyFont="1" applyBorder="1" applyAlignment="1">
      <alignment horizontal="center" vertical="center" shrinkToFit="1"/>
    </xf>
    <xf numFmtId="41" fontId="9" fillId="12" borderId="24" xfId="0" applyNumberFormat="1" applyFont="1" applyFill="1" applyBorder="1" applyAlignment="1">
      <alignment horizontal="center" vertical="center" shrinkToFit="1"/>
    </xf>
    <xf numFmtId="41" fontId="9" fillId="2" borderId="24" xfId="0" applyNumberFormat="1" applyFont="1" applyFill="1" applyBorder="1" applyAlignment="1">
      <alignment horizontal="center" vertical="center" shrinkToFit="1"/>
    </xf>
    <xf numFmtId="41" fontId="9" fillId="10" borderId="24" xfId="0" applyNumberFormat="1" applyFont="1" applyFill="1" applyBorder="1" applyAlignment="1">
      <alignment horizontal="center" vertical="center" shrinkToFit="1"/>
    </xf>
    <xf numFmtId="41" fontId="6" fillId="2" borderId="24" xfId="0" applyNumberFormat="1" applyFont="1" applyFill="1" applyBorder="1" applyAlignment="1">
      <alignment horizontal="center" vertical="center" shrinkToFit="1"/>
    </xf>
    <xf numFmtId="41" fontId="9" fillId="0" borderId="24" xfId="0" applyNumberFormat="1" applyFont="1" applyBorder="1" applyAlignment="1">
      <alignment vertical="center" shrinkToFit="1"/>
    </xf>
    <xf numFmtId="41" fontId="9" fillId="12" borderId="24" xfId="0" applyNumberFormat="1" applyFont="1" applyFill="1" applyBorder="1" applyAlignment="1">
      <alignment vertical="center" shrinkToFit="1"/>
    </xf>
    <xf numFmtId="41" fontId="9" fillId="10" borderId="24" xfId="0" applyNumberFormat="1" applyFont="1" applyFill="1" applyBorder="1" applyAlignment="1">
      <alignment vertical="center" shrinkToFit="1"/>
    </xf>
    <xf numFmtId="49" fontId="13" fillId="0" borderId="24" xfId="0" applyNumberFormat="1" applyFont="1" applyBorder="1" applyAlignment="1">
      <alignment horizontal="center" vertical="center" shrinkToFit="1"/>
    </xf>
    <xf numFmtId="0" fontId="13" fillId="0" borderId="24" xfId="0" applyFont="1" applyBorder="1" applyAlignment="1">
      <alignment horizontal="center" vertical="center" shrinkToFit="1"/>
    </xf>
    <xf numFmtId="14" fontId="9" fillId="0" borderId="24" xfId="0" applyNumberFormat="1" applyFont="1" applyBorder="1" applyAlignment="1">
      <alignment horizontal="center" vertical="center" shrinkToFit="1"/>
    </xf>
    <xf numFmtId="0" fontId="13" fillId="0" borderId="24" xfId="0" applyFont="1" applyBorder="1" applyAlignment="1">
      <alignment horizontal="left" vertical="center" shrinkToFit="1"/>
    </xf>
    <xf numFmtId="0" fontId="9" fillId="0" borderId="24" xfId="0" applyFont="1" applyBorder="1" applyAlignment="1">
      <alignment horizontal="left" vertical="center" wrapText="1" shrinkToFit="1"/>
    </xf>
    <xf numFmtId="14" fontId="6" fillId="0" borderId="24" xfId="0" applyNumberFormat="1" applyFont="1" applyBorder="1" applyAlignment="1">
      <alignment horizontal="center" vertical="center" shrinkToFit="1"/>
    </xf>
    <xf numFmtId="41" fontId="7" fillId="0" borderId="24" xfId="0" applyNumberFormat="1" applyFont="1" applyBorder="1" applyAlignment="1">
      <alignment horizontal="center" vertical="center" shrinkToFit="1"/>
    </xf>
    <xf numFmtId="0" fontId="1" fillId="0" borderId="24" xfId="0" applyFont="1" applyBorder="1" applyAlignment="1">
      <alignment horizontal="center" vertical="center" shrinkToFit="1"/>
    </xf>
    <xf numFmtId="0" fontId="1" fillId="0" borderId="30" xfId="0" applyFont="1" applyBorder="1" applyAlignment="1">
      <alignment horizontal="center" vertical="center" shrinkToFit="1"/>
    </xf>
    <xf numFmtId="0" fontId="1" fillId="0" borderId="31" xfId="0" applyFont="1" applyBorder="1" applyAlignment="1">
      <alignment horizontal="center" vertical="center" shrinkToFit="1"/>
    </xf>
    <xf numFmtId="0" fontId="1" fillId="0" borderId="32" xfId="0" applyFont="1" applyBorder="1" applyAlignment="1">
      <alignment horizontal="center" vertical="center" shrinkToFit="1"/>
    </xf>
    <xf numFmtId="0" fontId="1" fillId="2" borderId="31" xfId="0" applyFont="1" applyFill="1" applyBorder="1" applyAlignment="1">
      <alignment horizontal="center" vertical="center" shrinkToFit="1"/>
    </xf>
    <xf numFmtId="0" fontId="1" fillId="2" borderId="15" xfId="0" applyFont="1" applyFill="1" applyBorder="1" applyAlignment="1">
      <alignment horizontal="center" vertical="center" shrinkToFit="1"/>
    </xf>
    <xf numFmtId="0" fontId="1" fillId="0" borderId="15" xfId="0" applyFont="1" applyBorder="1" applyAlignment="1">
      <alignment horizontal="center" vertical="center" shrinkToFit="1"/>
    </xf>
    <xf numFmtId="0" fontId="1" fillId="0" borderId="15" xfId="0" applyFont="1" applyBorder="1" applyAlignment="1">
      <alignment horizontal="left" vertical="center" shrinkToFit="1"/>
    </xf>
    <xf numFmtId="41" fontId="9" fillId="0" borderId="30" xfId="0" applyNumberFormat="1" applyFont="1" applyBorder="1" applyAlignment="1">
      <alignment horizontal="center" vertical="center" shrinkToFit="1"/>
    </xf>
    <xf numFmtId="41" fontId="9" fillId="0" borderId="31" xfId="0" applyNumberFormat="1" applyFont="1" applyBorder="1" applyAlignment="1">
      <alignment horizontal="center" vertical="center" shrinkToFit="1"/>
    </xf>
    <xf numFmtId="14" fontId="9" fillId="0" borderId="30" xfId="0" applyNumberFormat="1" applyFont="1" applyBorder="1" applyAlignment="1">
      <alignment horizontal="center" vertical="center" shrinkToFit="1"/>
    </xf>
    <xf numFmtId="41" fontId="13" fillId="0" borderId="32" xfId="0" applyNumberFormat="1" applyFont="1" applyBorder="1" applyAlignment="1">
      <alignment horizontal="center" vertical="center" shrinkToFit="1"/>
    </xf>
    <xf numFmtId="41" fontId="9" fillId="2" borderId="31" xfId="0" applyNumberFormat="1" applyFont="1" applyFill="1" applyBorder="1" applyAlignment="1">
      <alignment horizontal="center" vertical="center" shrinkToFit="1"/>
    </xf>
    <xf numFmtId="41" fontId="9" fillId="2" borderId="15" xfId="0" applyNumberFormat="1" applyFont="1" applyFill="1" applyBorder="1" applyAlignment="1">
      <alignment horizontal="center" vertical="center" shrinkToFit="1"/>
    </xf>
    <xf numFmtId="41" fontId="13" fillId="2" borderId="15" xfId="0" applyNumberFormat="1" applyFont="1" applyFill="1" applyBorder="1" applyAlignment="1">
      <alignment horizontal="center" vertical="center" shrinkToFit="1"/>
    </xf>
    <xf numFmtId="41" fontId="9" fillId="0" borderId="37" xfId="0" applyNumberFormat="1" applyFont="1" applyBorder="1" applyAlignment="1">
      <alignment vertical="center" shrinkToFit="1"/>
    </xf>
    <xf numFmtId="41" fontId="9" fillId="0" borderId="38" xfId="0" applyNumberFormat="1" applyFont="1" applyBorder="1" applyAlignment="1">
      <alignment vertical="center" shrinkToFit="1"/>
    </xf>
    <xf numFmtId="41" fontId="13" fillId="0" borderId="37" xfId="0" applyNumberFormat="1" applyFont="1" applyBorder="1" applyAlignment="1">
      <alignment horizontal="center" vertical="center" shrinkToFit="1"/>
    </xf>
    <xf numFmtId="41" fontId="13" fillId="0" borderId="41" xfId="0" applyNumberFormat="1" applyFont="1" applyBorder="1" applyAlignment="1">
      <alignment horizontal="center" vertical="center" shrinkToFit="1"/>
    </xf>
    <xf numFmtId="41" fontId="9" fillId="0" borderId="16" xfId="0" applyNumberFormat="1" applyFont="1" applyBorder="1" applyAlignment="1">
      <alignment vertical="center" shrinkToFit="1"/>
    </xf>
    <xf numFmtId="49" fontId="13" fillId="0" borderId="16" xfId="0" applyNumberFormat="1" applyFont="1" applyBorder="1" applyAlignment="1">
      <alignment horizontal="center" vertical="center" shrinkToFit="1"/>
    </xf>
    <xf numFmtId="0" fontId="13" fillId="0" borderId="15" xfId="0" applyFont="1" applyBorder="1" applyAlignment="1">
      <alignment horizontal="left" vertical="center" shrinkToFit="1"/>
    </xf>
    <xf numFmtId="0" fontId="9" fillId="0" borderId="15" xfId="0" applyFont="1" applyBorder="1" applyAlignment="1">
      <alignment horizontal="left" vertical="center" wrapText="1" shrinkToFit="1"/>
    </xf>
    <xf numFmtId="10" fontId="9" fillId="2" borderId="15" xfId="1" applyNumberFormat="1" applyFont="1" applyFill="1" applyBorder="1" applyAlignment="1">
      <alignment horizontal="center" vertical="center"/>
    </xf>
    <xf numFmtId="10" fontId="20" fillId="10" borderId="15" xfId="1" applyNumberFormat="1" applyFont="1" applyFill="1" applyBorder="1" applyAlignment="1">
      <alignment horizontal="center" vertical="center"/>
    </xf>
    <xf numFmtId="10" fontId="20" fillId="11" borderId="15" xfId="1" applyNumberFormat="1" applyFont="1" applyFill="1" applyBorder="1" applyAlignment="1">
      <alignment horizontal="center" vertical="center"/>
    </xf>
    <xf numFmtId="10" fontId="20" fillId="12" borderId="15" xfId="1" applyNumberFormat="1" applyFont="1" applyFill="1" applyBorder="1" applyAlignment="1">
      <alignment horizontal="center" vertical="center"/>
    </xf>
    <xf numFmtId="10" fontId="20" fillId="13" borderId="15" xfId="1" applyNumberFormat="1" applyFont="1" applyFill="1" applyBorder="1" applyAlignment="1">
      <alignment horizontal="center" vertical="center"/>
    </xf>
    <xf numFmtId="0" fontId="9" fillId="21" borderId="15" xfId="0" quotePrefix="1" applyFont="1" applyFill="1" applyBorder="1" applyAlignment="1">
      <alignment horizontal="center" vertical="center"/>
    </xf>
    <xf numFmtId="41" fontId="9" fillId="21" borderId="15" xfId="2" applyFont="1" applyFill="1" applyBorder="1" applyAlignment="1">
      <alignment horizontal="center" vertical="center"/>
    </xf>
    <xf numFmtId="0" fontId="20" fillId="10" borderId="14" xfId="0" applyFont="1" applyFill="1" applyBorder="1" applyAlignment="1">
      <alignment horizontal="center" vertical="center" shrinkToFit="1"/>
    </xf>
    <xf numFmtId="41" fontId="20" fillId="2" borderId="15" xfId="2" applyFont="1" applyFill="1" applyBorder="1" applyAlignment="1">
      <alignment horizontal="center" vertical="center"/>
    </xf>
    <xf numFmtId="41" fontId="20" fillId="21" borderId="15" xfId="2" applyFont="1" applyFill="1" applyBorder="1" applyAlignment="1">
      <alignment horizontal="center" vertical="center"/>
    </xf>
    <xf numFmtId="0" fontId="20" fillId="0" borderId="0" xfId="0" applyFont="1" applyAlignment="1">
      <alignment horizontal="center" vertical="center"/>
    </xf>
    <xf numFmtId="0" fontId="20" fillId="11" borderId="14" xfId="0" applyFont="1" applyFill="1" applyBorder="1" applyAlignment="1">
      <alignment horizontal="center" vertical="center" shrinkToFit="1"/>
    </xf>
    <xf numFmtId="10" fontId="20" fillId="21" borderId="15" xfId="1" applyNumberFormat="1" applyFont="1" applyFill="1" applyBorder="1" applyAlignment="1">
      <alignment horizontal="center" vertical="center"/>
    </xf>
    <xf numFmtId="10" fontId="9" fillId="21" borderId="15" xfId="1" applyNumberFormat="1" applyFont="1" applyFill="1" applyBorder="1" applyAlignment="1">
      <alignment horizontal="center" vertical="center"/>
    </xf>
    <xf numFmtId="0" fontId="9" fillId="21" borderId="15" xfId="0" applyFont="1" applyFill="1" applyBorder="1" applyAlignment="1">
      <alignment horizontal="center" vertical="center"/>
    </xf>
    <xf numFmtId="0" fontId="9" fillId="2" borderId="24" xfId="0" applyFont="1" applyFill="1" applyBorder="1" applyAlignment="1">
      <alignment horizontal="center" vertical="center" shrinkToFit="1"/>
    </xf>
    <xf numFmtId="14" fontId="7" fillId="2" borderId="24" xfId="0" applyNumberFormat="1" applyFont="1" applyFill="1" applyBorder="1" applyAlignment="1">
      <alignment horizontal="center" vertical="center" shrinkToFit="1"/>
    </xf>
    <xf numFmtId="0" fontId="13" fillId="2" borderId="24" xfId="0" applyFont="1" applyFill="1" applyBorder="1" applyAlignment="1">
      <alignment horizontal="center" vertical="center" shrinkToFit="1"/>
    </xf>
    <xf numFmtId="41" fontId="7" fillId="2" borderId="24" xfId="0" applyNumberFormat="1" applyFont="1" applyFill="1" applyBorder="1" applyAlignment="1">
      <alignment horizontal="center" vertical="center" shrinkToFit="1"/>
    </xf>
    <xf numFmtId="41" fontId="13" fillId="2" borderId="24" xfId="0" applyNumberFormat="1" applyFont="1" applyFill="1" applyBorder="1" applyAlignment="1">
      <alignment horizontal="center" vertical="center" shrinkToFit="1"/>
    </xf>
    <xf numFmtId="0" fontId="9" fillId="2" borderId="0" xfId="0" applyFont="1" applyFill="1" applyAlignment="1">
      <alignment horizontal="center" vertical="center" shrinkToFit="1"/>
    </xf>
    <xf numFmtId="14" fontId="7" fillId="2" borderId="0" xfId="0" applyNumberFormat="1" applyFont="1" applyFill="1" applyAlignment="1">
      <alignment horizontal="center" vertical="center" shrinkToFit="1"/>
    </xf>
    <xf numFmtId="0" fontId="13" fillId="2" borderId="0" xfId="0" applyFont="1" applyFill="1" applyAlignment="1">
      <alignment horizontal="center" vertical="center" shrinkToFit="1"/>
    </xf>
    <xf numFmtId="41" fontId="7" fillId="2" borderId="0" xfId="0" applyNumberFormat="1" applyFont="1" applyFill="1" applyAlignment="1">
      <alignment horizontal="center" vertical="center" shrinkToFit="1"/>
    </xf>
    <xf numFmtId="0" fontId="13" fillId="2" borderId="0" xfId="0" applyFont="1" applyFill="1">
      <alignment vertical="center"/>
    </xf>
    <xf numFmtId="0" fontId="13" fillId="2" borderId="0" xfId="0" applyFont="1" applyFill="1" applyAlignment="1">
      <alignment horizontal="center" vertical="center"/>
    </xf>
    <xf numFmtId="0" fontId="9" fillId="2" borderId="0" xfId="0" applyFont="1" applyFill="1">
      <alignment vertical="center"/>
    </xf>
    <xf numFmtId="14" fontId="9" fillId="2" borderId="0" xfId="0" applyNumberFormat="1" applyFont="1" applyFill="1" applyAlignment="1">
      <alignment horizontal="center" vertical="center"/>
    </xf>
    <xf numFmtId="41" fontId="9" fillId="2" borderId="0" xfId="0" applyNumberFormat="1" applyFont="1" applyFill="1" applyAlignment="1">
      <alignment horizontal="center" vertical="center"/>
    </xf>
    <xf numFmtId="41" fontId="13" fillId="2" borderId="0" xfId="0" applyNumberFormat="1" applyFont="1" applyFill="1" applyAlignment="1">
      <alignment horizontal="center" vertical="center"/>
    </xf>
    <xf numFmtId="0" fontId="13" fillId="2" borderId="0" xfId="0" applyFont="1" applyFill="1" applyAlignment="1">
      <alignment horizontal="left" vertical="center"/>
    </xf>
    <xf numFmtId="41" fontId="20" fillId="2" borderId="24" xfId="0" applyNumberFormat="1" applyFont="1" applyFill="1" applyBorder="1" applyAlignment="1">
      <alignment horizontal="center" vertical="center" shrinkToFit="1"/>
    </xf>
    <xf numFmtId="41" fontId="31" fillId="2" borderId="24" xfId="0" applyNumberFormat="1" applyFont="1" applyFill="1" applyBorder="1" applyAlignment="1">
      <alignment horizontal="center" vertical="center" shrinkToFit="1"/>
    </xf>
    <xf numFmtId="178" fontId="9" fillId="4" borderId="15" xfId="0" applyNumberFormat="1" applyFont="1" applyFill="1" applyBorder="1" applyAlignment="1">
      <alignment horizontal="center" vertical="center" shrinkToFit="1"/>
    </xf>
    <xf numFmtId="0" fontId="9" fillId="2" borderId="0" xfId="0" applyFont="1" applyFill="1" applyAlignment="1">
      <alignment horizontal="center" vertical="center"/>
    </xf>
    <xf numFmtId="0" fontId="19" fillId="0" borderId="1" xfId="0" applyFont="1" applyBorder="1" applyAlignment="1">
      <alignment horizontal="center" vertical="center" shrinkToFit="1"/>
    </xf>
    <xf numFmtId="0" fontId="19" fillId="0" borderId="0" xfId="0" applyFont="1" applyAlignment="1">
      <alignment horizontal="center" vertical="center" shrinkToFit="1"/>
    </xf>
    <xf numFmtId="0" fontId="19" fillId="0" borderId="7" xfId="0" applyFont="1" applyBorder="1" applyAlignment="1">
      <alignment horizontal="center" vertical="center" shrinkToFit="1"/>
    </xf>
    <xf numFmtId="181" fontId="19" fillId="0" borderId="7" xfId="2" applyNumberFormat="1" applyFont="1" applyBorder="1" applyAlignment="1">
      <alignment horizontal="center" vertical="center" shrinkToFit="1"/>
    </xf>
    <xf numFmtId="181" fontId="19" fillId="0" borderId="8" xfId="2" applyNumberFormat="1" applyFont="1" applyBorder="1" applyAlignment="1">
      <alignment horizontal="center" vertical="center" shrinkToFit="1"/>
    </xf>
    <xf numFmtId="0" fontId="19" fillId="0" borderId="5" xfId="0" applyFont="1" applyBorder="1" applyAlignment="1">
      <alignment horizontal="center" vertical="center" shrinkToFit="1"/>
    </xf>
    <xf numFmtId="181" fontId="32" fillId="5" borderId="5" xfId="2" applyNumberFormat="1" applyFont="1" applyFill="1" applyBorder="1" applyAlignment="1">
      <alignment horizontal="center" vertical="center" shrinkToFit="1"/>
    </xf>
    <xf numFmtId="181" fontId="19" fillId="0" borderId="5" xfId="2" applyNumberFormat="1" applyFont="1" applyBorder="1" applyAlignment="1">
      <alignment horizontal="center" vertical="center" shrinkToFit="1"/>
    </xf>
    <xf numFmtId="181" fontId="19" fillId="0" borderId="10" xfId="2" applyNumberFormat="1" applyFont="1" applyBorder="1" applyAlignment="1">
      <alignment horizontal="center" vertical="center" shrinkToFit="1"/>
    </xf>
    <xf numFmtId="176" fontId="19" fillId="0" borderId="5" xfId="1" applyNumberFormat="1" applyFont="1" applyBorder="1" applyAlignment="1">
      <alignment horizontal="center" vertical="center" shrinkToFit="1"/>
    </xf>
    <xf numFmtId="181" fontId="33" fillId="4" borderId="5" xfId="2" applyNumberFormat="1" applyFont="1" applyFill="1" applyBorder="1" applyAlignment="1">
      <alignment horizontal="center" vertical="center" shrinkToFit="1"/>
    </xf>
    <xf numFmtId="0" fontId="19" fillId="0" borderId="12" xfId="0" applyFont="1" applyBorder="1" applyAlignment="1">
      <alignment horizontal="center" vertical="center" shrinkToFit="1"/>
    </xf>
    <xf numFmtId="181" fontId="19" fillId="0" borderId="12" xfId="2" applyNumberFormat="1" applyFont="1" applyBorder="1" applyAlignment="1">
      <alignment horizontal="center" vertical="center" shrinkToFit="1"/>
    </xf>
    <xf numFmtId="181" fontId="19" fillId="9" borderId="12" xfId="2" applyNumberFormat="1" applyFont="1" applyFill="1" applyBorder="1" applyAlignment="1">
      <alignment horizontal="center" vertical="center" shrinkToFit="1"/>
    </xf>
    <xf numFmtId="181" fontId="19" fillId="6" borderId="12" xfId="2" applyNumberFormat="1" applyFont="1" applyFill="1" applyBorder="1" applyAlignment="1">
      <alignment horizontal="center" vertical="center" shrinkToFit="1"/>
    </xf>
    <xf numFmtId="181" fontId="19" fillId="0" borderId="13" xfId="2" applyNumberFormat="1" applyFont="1" applyBorder="1" applyAlignment="1">
      <alignment horizontal="center" vertical="center" shrinkToFit="1"/>
    </xf>
    <xf numFmtId="181" fontId="19" fillId="8" borderId="12" xfId="2" applyNumberFormat="1" applyFont="1" applyFill="1" applyBorder="1" applyAlignment="1">
      <alignment horizontal="center" vertical="center" shrinkToFit="1"/>
    </xf>
    <xf numFmtId="181" fontId="19" fillId="6" borderId="13" xfId="2" applyNumberFormat="1" applyFont="1" applyFill="1" applyBorder="1" applyAlignment="1">
      <alignment horizontal="center" vertical="center" shrinkToFit="1"/>
    </xf>
    <xf numFmtId="181" fontId="19" fillId="0" borderId="12" xfId="2" applyNumberFormat="1" applyFont="1" applyFill="1" applyBorder="1" applyAlignment="1">
      <alignment horizontal="center" vertical="center" shrinkToFit="1"/>
    </xf>
    <xf numFmtId="181" fontId="19" fillId="9" borderId="13" xfId="2" applyNumberFormat="1" applyFont="1" applyFill="1" applyBorder="1" applyAlignment="1">
      <alignment horizontal="center" vertical="center" shrinkToFit="1"/>
    </xf>
    <xf numFmtId="181" fontId="19" fillId="3" borderId="13" xfId="2" applyNumberFormat="1" applyFont="1" applyFill="1" applyBorder="1" applyAlignment="1">
      <alignment horizontal="center" vertical="center" shrinkToFit="1"/>
    </xf>
    <xf numFmtId="181" fontId="19" fillId="3" borderId="12" xfId="2" applyNumberFormat="1" applyFont="1" applyFill="1" applyBorder="1" applyAlignment="1">
      <alignment horizontal="center" vertical="center" shrinkToFit="1"/>
    </xf>
    <xf numFmtId="41" fontId="19" fillId="0" borderId="0" xfId="2" applyFont="1">
      <alignment vertical="center"/>
    </xf>
    <xf numFmtId="10" fontId="19" fillId="0" borderId="0" xfId="2" applyNumberFormat="1" applyFont="1" applyAlignment="1">
      <alignment horizontal="center" vertical="center"/>
    </xf>
    <xf numFmtId="177" fontId="19" fillId="0" borderId="0" xfId="2" applyNumberFormat="1" applyFont="1" applyAlignment="1">
      <alignment horizontal="center" vertical="center"/>
    </xf>
    <xf numFmtId="10" fontId="19" fillId="0" borderId="0" xfId="1" applyNumberFormat="1" applyFont="1">
      <alignment vertical="center"/>
    </xf>
    <xf numFmtId="187" fontId="19" fillId="0" borderId="0" xfId="2" applyNumberFormat="1" applyFont="1">
      <alignment vertical="center"/>
    </xf>
    <xf numFmtId="177" fontId="19" fillId="0" borderId="58" xfId="2" applyNumberFormat="1" applyFont="1" applyBorder="1" applyAlignment="1">
      <alignment horizontal="center" vertical="center"/>
    </xf>
    <xf numFmtId="10" fontId="19" fillId="0" borderId="58" xfId="1" applyNumberFormat="1" applyFont="1" applyBorder="1">
      <alignment vertical="center"/>
    </xf>
    <xf numFmtId="187" fontId="19" fillId="0" borderId="58" xfId="2" applyNumberFormat="1" applyFont="1" applyBorder="1">
      <alignment vertical="center"/>
    </xf>
    <xf numFmtId="41" fontId="19" fillId="0" borderId="58" xfId="2" applyFont="1" applyBorder="1">
      <alignment vertical="center"/>
    </xf>
    <xf numFmtId="10" fontId="19" fillId="0" borderId="0" xfId="2" applyNumberFormat="1" applyFont="1">
      <alignment vertical="center"/>
    </xf>
    <xf numFmtId="41" fontId="19" fillId="4" borderId="0" xfId="2" applyFont="1" applyFill="1">
      <alignment vertical="center"/>
    </xf>
    <xf numFmtId="10" fontId="19" fillId="4" borderId="0" xfId="1" applyNumberFormat="1" applyFont="1" applyFill="1">
      <alignment vertical="center"/>
    </xf>
    <xf numFmtId="41" fontId="19" fillId="0" borderId="0" xfId="2" applyFont="1" applyFill="1">
      <alignment vertical="center"/>
    </xf>
    <xf numFmtId="10" fontId="19" fillId="0" borderId="0" xfId="1" applyNumberFormat="1" applyFont="1" applyFill="1">
      <alignment vertical="center"/>
    </xf>
    <xf numFmtId="0" fontId="19" fillId="0" borderId="0" xfId="0" applyFont="1">
      <alignment vertical="center"/>
    </xf>
    <xf numFmtId="0" fontId="19" fillId="0" borderId="0" xfId="0" quotePrefix="1" applyFont="1" applyAlignment="1">
      <alignment horizontal="center" vertical="center"/>
    </xf>
    <xf numFmtId="14" fontId="19" fillId="0" borderId="0" xfId="0" applyNumberFormat="1" applyFont="1" applyAlignment="1">
      <alignment horizontal="center" vertical="center"/>
    </xf>
    <xf numFmtId="188" fontId="19" fillId="0" borderId="0" xfId="0" applyNumberFormat="1" applyFont="1" applyAlignment="1">
      <alignment horizontal="center" vertical="center"/>
    </xf>
    <xf numFmtId="0" fontId="19" fillId="8" borderId="0" xfId="0" applyFont="1" applyFill="1" applyAlignment="1">
      <alignment horizontal="center" vertical="center"/>
    </xf>
    <xf numFmtId="181" fontId="19" fillId="8" borderId="13" xfId="2" applyNumberFormat="1" applyFont="1" applyFill="1" applyBorder="1" applyAlignment="1">
      <alignment horizontal="center" vertical="center" shrinkToFit="1"/>
    </xf>
    <xf numFmtId="0" fontId="19" fillId="0" borderId="0" xfId="0" quotePrefix="1" applyFont="1">
      <alignment vertical="center"/>
    </xf>
    <xf numFmtId="0" fontId="19" fillId="0" borderId="21" xfId="0" applyFont="1" applyBorder="1">
      <alignment vertical="center"/>
    </xf>
    <xf numFmtId="41" fontId="19" fillId="0" borderId="21" xfId="0" applyNumberFormat="1" applyFont="1" applyBorder="1">
      <alignment vertical="center"/>
    </xf>
    <xf numFmtId="0" fontId="19" fillId="0" borderId="21" xfId="0" applyFont="1" applyBorder="1" applyAlignment="1">
      <alignment vertical="center" wrapText="1"/>
    </xf>
    <xf numFmtId="0" fontId="19" fillId="0" borderId="21" xfId="0" quotePrefix="1" applyFont="1" applyBorder="1">
      <alignment vertical="center"/>
    </xf>
    <xf numFmtId="41" fontId="19" fillId="0" borderId="0" xfId="0" applyNumberFormat="1" applyFont="1">
      <alignment vertical="center"/>
    </xf>
    <xf numFmtId="0" fontId="34" fillId="0" borderId="21" xfId="0" applyFont="1" applyBorder="1">
      <alignment vertical="center"/>
    </xf>
    <xf numFmtId="0" fontId="19" fillId="0" borderId="45" xfId="0" applyFont="1" applyBorder="1">
      <alignment vertical="center"/>
    </xf>
    <xf numFmtId="41" fontId="19" fillId="0" borderId="46" xfId="0" applyNumberFormat="1" applyFont="1" applyBorder="1">
      <alignment vertical="center"/>
    </xf>
    <xf numFmtId="0" fontId="19" fillId="0" borderId="47" xfId="0" applyFont="1" applyBorder="1">
      <alignment vertical="center"/>
    </xf>
    <xf numFmtId="0" fontId="19" fillId="0" borderId="48" xfId="0" applyFont="1" applyBorder="1">
      <alignment vertical="center"/>
    </xf>
    <xf numFmtId="0" fontId="34" fillId="0" borderId="49" xfId="0" applyFont="1" applyBorder="1">
      <alignment vertical="center"/>
    </xf>
    <xf numFmtId="0" fontId="19" fillId="0" borderId="49" xfId="0" applyFont="1" applyBorder="1">
      <alignment vertical="center"/>
    </xf>
    <xf numFmtId="0" fontId="19" fillId="0" borderId="49" xfId="0" applyFont="1" applyBorder="1" applyAlignment="1">
      <alignment vertical="center" wrapText="1"/>
    </xf>
    <xf numFmtId="0" fontId="19" fillId="0" borderId="49" xfId="0" quotePrefix="1" applyFont="1" applyBorder="1">
      <alignment vertical="center"/>
    </xf>
    <xf numFmtId="0" fontId="19" fillId="0" borderId="50" xfId="0" applyFont="1" applyBorder="1">
      <alignment vertical="center"/>
    </xf>
    <xf numFmtId="41" fontId="19" fillId="0" borderId="51" xfId="0" applyNumberFormat="1" applyFont="1" applyBorder="1">
      <alignment vertical="center"/>
    </xf>
    <xf numFmtId="0" fontId="34" fillId="0" borderId="52" xfId="0" applyFont="1" applyBorder="1">
      <alignment vertical="center"/>
    </xf>
    <xf numFmtId="0" fontId="19" fillId="0" borderId="53" xfId="0" applyFont="1" applyBorder="1">
      <alignment vertical="center"/>
    </xf>
    <xf numFmtId="41" fontId="19" fillId="0" borderId="44" xfId="0" applyNumberFormat="1" applyFont="1" applyBorder="1">
      <alignment vertical="center"/>
    </xf>
    <xf numFmtId="0" fontId="19" fillId="0" borderId="54" xfId="0" quotePrefix="1" applyFont="1" applyBorder="1">
      <alignment vertical="center"/>
    </xf>
    <xf numFmtId="0" fontId="19" fillId="0" borderId="52" xfId="0" quotePrefix="1" applyFont="1" applyBorder="1">
      <alignment vertical="center"/>
    </xf>
    <xf numFmtId="0" fontId="19" fillId="0" borderId="52" xfId="0" applyFont="1" applyBorder="1">
      <alignment vertical="center"/>
    </xf>
    <xf numFmtId="0" fontId="19" fillId="0" borderId="48" xfId="0" applyFont="1" applyBorder="1" applyAlignment="1">
      <alignment vertical="center" shrinkToFit="1"/>
    </xf>
    <xf numFmtId="0" fontId="19" fillId="0" borderId="55" xfId="0" applyFont="1" applyBorder="1">
      <alignment vertical="center"/>
    </xf>
    <xf numFmtId="41" fontId="19" fillId="0" borderId="56" xfId="0" applyNumberFormat="1" applyFont="1" applyBorder="1">
      <alignment vertical="center"/>
    </xf>
    <xf numFmtId="0" fontId="34" fillId="0" borderId="57" xfId="0" applyFont="1" applyBorder="1">
      <alignment vertical="center"/>
    </xf>
    <xf numFmtId="0" fontId="19" fillId="0" borderId="47" xfId="0" quotePrefix="1" applyFont="1" applyBorder="1">
      <alignment vertical="center"/>
    </xf>
    <xf numFmtId="0" fontId="19" fillId="0" borderId="54" xfId="0" applyFont="1" applyBorder="1">
      <alignment vertical="center"/>
    </xf>
    <xf numFmtId="0" fontId="19" fillId="0" borderId="57" xfId="0" applyFont="1" applyBorder="1">
      <alignment vertical="center"/>
    </xf>
    <xf numFmtId="41" fontId="36" fillId="0" borderId="0" xfId="2" applyFont="1">
      <alignment vertical="center"/>
    </xf>
    <xf numFmtId="1" fontId="0" fillId="0" borderId="0" xfId="0" applyNumberFormat="1">
      <alignment vertical="center"/>
    </xf>
    <xf numFmtId="41" fontId="19" fillId="0" borderId="0" xfId="2" applyFont="1" applyAlignment="1">
      <alignment horizontal="center" vertical="center"/>
    </xf>
    <xf numFmtId="0" fontId="19" fillId="0" borderId="24" xfId="0" applyFont="1" applyBorder="1" applyAlignment="1">
      <alignment horizontal="center" vertical="center"/>
    </xf>
    <xf numFmtId="0" fontId="19" fillId="0" borderId="10" xfId="0" applyFont="1" applyBorder="1" applyAlignment="1">
      <alignment horizontal="center" vertical="center"/>
    </xf>
    <xf numFmtId="0" fontId="19" fillId="0" borderId="13" xfId="0" applyFont="1" applyBorder="1" applyAlignment="1">
      <alignment horizontal="center" vertical="center"/>
    </xf>
    <xf numFmtId="0" fontId="19" fillId="0" borderId="25" xfId="0" applyFont="1" applyBorder="1" applyAlignment="1">
      <alignment horizontal="center" vertical="center"/>
    </xf>
    <xf numFmtId="0" fontId="19" fillId="0" borderId="62" xfId="0" applyFont="1" applyBorder="1" applyAlignment="1">
      <alignment horizontal="center" vertical="center"/>
    </xf>
    <xf numFmtId="0" fontId="19" fillId="0" borderId="63" xfId="0" applyFont="1" applyBorder="1" applyAlignment="1">
      <alignment horizontal="center" vertical="center"/>
    </xf>
    <xf numFmtId="0" fontId="19" fillId="0" borderId="64" xfId="0" applyFont="1" applyBorder="1" applyAlignment="1">
      <alignment horizontal="center" vertical="center"/>
    </xf>
    <xf numFmtId="0" fontId="19" fillId="0" borderId="13" xfId="0" applyFont="1" applyBorder="1" applyAlignment="1">
      <alignment horizontal="center" vertical="center" wrapText="1"/>
    </xf>
    <xf numFmtId="0" fontId="19" fillId="0" borderId="9" xfId="0" applyFont="1" applyBorder="1" applyAlignment="1">
      <alignment horizontal="center" vertical="center"/>
    </xf>
    <xf numFmtId="0" fontId="19" fillId="0" borderId="11" xfId="0" applyFont="1" applyBorder="1" applyAlignment="1">
      <alignment horizontal="center" vertical="center"/>
    </xf>
    <xf numFmtId="0" fontId="19" fillId="12" borderId="8" xfId="0" applyFont="1" applyFill="1" applyBorder="1" applyAlignment="1">
      <alignment horizontal="center" vertical="center"/>
    </xf>
    <xf numFmtId="0" fontId="19" fillId="12" borderId="61" xfId="0" applyFont="1" applyFill="1" applyBorder="1" applyAlignment="1">
      <alignment horizontal="center" vertical="center"/>
    </xf>
    <xf numFmtId="41" fontId="19" fillId="12" borderId="65" xfId="2" applyFont="1" applyFill="1" applyBorder="1" applyAlignment="1">
      <alignment horizontal="center" vertical="center"/>
    </xf>
    <xf numFmtId="41" fontId="19" fillId="0" borderId="66" xfId="2" applyFont="1" applyBorder="1" applyAlignment="1">
      <alignment horizontal="center" vertical="center"/>
    </xf>
    <xf numFmtId="41" fontId="19" fillId="0" borderId="67" xfId="2" applyFont="1" applyBorder="1" applyAlignment="1">
      <alignment horizontal="center" vertical="center"/>
    </xf>
    <xf numFmtId="0" fontId="19" fillId="12" borderId="6" xfId="0" applyFont="1" applyFill="1" applyBorder="1" applyAlignment="1">
      <alignment horizontal="center" vertical="center"/>
    </xf>
    <xf numFmtId="41" fontId="9" fillId="4" borderId="15" xfId="18" applyFont="1" applyFill="1" applyBorder="1">
      <alignment vertical="center"/>
    </xf>
    <xf numFmtId="0" fontId="9" fillId="4" borderId="15" xfId="17" applyFont="1" applyFill="1" applyBorder="1">
      <alignment vertical="center"/>
    </xf>
    <xf numFmtId="0" fontId="9" fillId="14" borderId="15" xfId="17" applyFont="1" applyFill="1" applyBorder="1" applyAlignment="1">
      <alignment horizontal="center" vertical="center" shrinkToFit="1"/>
    </xf>
    <xf numFmtId="14" fontId="9" fillId="14" borderId="15" xfId="17" applyNumberFormat="1" applyFont="1" applyFill="1" applyBorder="1" applyAlignment="1">
      <alignment horizontal="center" vertical="center" shrinkToFit="1"/>
    </xf>
    <xf numFmtId="0" fontId="9" fillId="14" borderId="15" xfId="17" applyFont="1" applyFill="1" applyBorder="1" applyAlignment="1">
      <alignment vertical="center" shrinkToFit="1"/>
    </xf>
    <xf numFmtId="41" fontId="9" fillId="14" borderId="15" xfId="18" applyFont="1" applyFill="1" applyBorder="1" applyAlignment="1">
      <alignment vertical="center" shrinkToFit="1"/>
    </xf>
    <xf numFmtId="41" fontId="9" fillId="4" borderId="15" xfId="18" applyFont="1" applyFill="1" applyBorder="1" applyAlignment="1">
      <alignment horizontal="center" vertical="center"/>
    </xf>
    <xf numFmtId="190" fontId="19" fillId="0" borderId="15" xfId="0" applyNumberFormat="1" applyFont="1" applyBorder="1" applyAlignment="1">
      <alignment horizontal="center" vertical="center"/>
    </xf>
    <xf numFmtId="0" fontId="19" fillId="0" borderId="15" xfId="0" applyFont="1" applyBorder="1" applyAlignment="1">
      <alignment horizontal="center" vertical="center"/>
    </xf>
    <xf numFmtId="189" fontId="19" fillId="0" borderId="15" xfId="0" applyNumberFormat="1" applyFont="1" applyBorder="1" applyAlignment="1">
      <alignment horizontal="center" vertical="center"/>
    </xf>
    <xf numFmtId="14" fontId="9" fillId="2" borderId="0" xfId="0" applyNumberFormat="1" applyFont="1" applyFill="1" applyAlignment="1">
      <alignment horizontal="center" vertical="center" shrinkToFit="1"/>
    </xf>
    <xf numFmtId="14" fontId="19" fillId="0" borderId="15" xfId="0" applyNumberFormat="1" applyFont="1" applyBorder="1" applyAlignment="1">
      <alignment horizontal="center" vertical="center"/>
    </xf>
    <xf numFmtId="41" fontId="19" fillId="0" borderId="15" xfId="2" applyFont="1" applyFill="1" applyBorder="1" applyAlignment="1">
      <alignment horizontal="center" vertical="center"/>
    </xf>
    <xf numFmtId="0" fontId="19" fillId="4" borderId="15" xfId="0" applyFont="1" applyFill="1" applyBorder="1">
      <alignment vertical="center"/>
    </xf>
    <xf numFmtId="41" fontId="19" fillId="4" borderId="15" xfId="2" applyFont="1" applyFill="1" applyBorder="1">
      <alignment vertical="center"/>
    </xf>
    <xf numFmtId="14" fontId="19" fillId="4" borderId="15" xfId="0" applyNumberFormat="1" applyFont="1" applyFill="1" applyBorder="1">
      <alignment vertical="center"/>
    </xf>
    <xf numFmtId="0" fontId="36" fillId="0" borderId="0" xfId="0" applyFont="1">
      <alignment vertical="center"/>
    </xf>
    <xf numFmtId="0" fontId="20" fillId="10" borderId="3" xfId="0" applyFont="1" applyFill="1" applyBorder="1" applyAlignment="1">
      <alignment horizontal="center" vertical="center" shrinkToFit="1"/>
    </xf>
    <xf numFmtId="0" fontId="20" fillId="13" borderId="3" xfId="0" applyFont="1" applyFill="1" applyBorder="1" applyAlignment="1">
      <alignment horizontal="center" vertical="center"/>
    </xf>
    <xf numFmtId="0" fontId="20" fillId="2" borderId="0" xfId="0" applyFont="1" applyFill="1" applyAlignment="1">
      <alignment horizontal="left" vertical="center"/>
    </xf>
    <xf numFmtId="10" fontId="20" fillId="14" borderId="15" xfId="1" applyNumberFormat="1" applyFont="1" applyFill="1" applyBorder="1" applyAlignment="1">
      <alignment horizontal="center" vertical="center"/>
    </xf>
    <xf numFmtId="0" fontId="36" fillId="2" borderId="0" xfId="0" applyFont="1" applyFill="1">
      <alignment vertical="center"/>
    </xf>
    <xf numFmtId="0" fontId="20" fillId="5" borderId="14" xfId="0" applyFont="1" applyFill="1" applyBorder="1">
      <alignment vertical="center"/>
    </xf>
    <xf numFmtId="41" fontId="20" fillId="5" borderId="15" xfId="2" applyFont="1" applyFill="1" applyBorder="1" applyAlignment="1">
      <alignment horizontal="center" vertical="center"/>
    </xf>
    <xf numFmtId="10" fontId="20" fillId="5" borderId="15" xfId="1" applyNumberFormat="1" applyFont="1" applyFill="1" applyBorder="1" applyAlignment="1">
      <alignment horizontal="center" vertical="center"/>
    </xf>
    <xf numFmtId="0" fontId="20" fillId="26" borderId="14" xfId="0" applyFont="1" applyFill="1" applyBorder="1">
      <alignment vertical="center"/>
    </xf>
    <xf numFmtId="41" fontId="20" fillId="26" borderId="15" xfId="2" applyFont="1" applyFill="1" applyBorder="1" applyAlignment="1">
      <alignment horizontal="center" vertical="center"/>
    </xf>
    <xf numFmtId="10" fontId="20" fillId="26" borderId="15" xfId="1" applyNumberFormat="1" applyFont="1" applyFill="1" applyBorder="1" applyAlignment="1">
      <alignment horizontal="center" vertical="center"/>
    </xf>
    <xf numFmtId="0" fontId="19" fillId="4" borderId="48" xfId="0" applyFont="1" applyFill="1" applyBorder="1">
      <alignment vertical="center"/>
    </xf>
    <xf numFmtId="0" fontId="19" fillId="4" borderId="55" xfId="0" applyFont="1" applyFill="1" applyBorder="1">
      <alignment vertical="center"/>
    </xf>
    <xf numFmtId="41" fontId="20" fillId="2" borderId="0" xfId="2" applyFont="1" applyFill="1" applyAlignment="1">
      <alignment horizontal="center" vertical="center"/>
    </xf>
    <xf numFmtId="41" fontId="20" fillId="14" borderId="15" xfId="2" applyFont="1" applyFill="1" applyBorder="1" applyAlignment="1">
      <alignment horizontal="center" vertical="center"/>
    </xf>
    <xf numFmtId="41" fontId="20" fillId="24" borderId="15" xfId="2" applyFont="1" applyFill="1" applyBorder="1" applyAlignment="1">
      <alignment horizontal="center" vertical="center"/>
    </xf>
    <xf numFmtId="41" fontId="20" fillId="23" borderId="15" xfId="2" applyFont="1" applyFill="1" applyBorder="1" applyAlignment="1">
      <alignment horizontal="center" vertical="center"/>
    </xf>
    <xf numFmtId="0" fontId="37" fillId="0" borderId="49" xfId="0" quotePrefix="1" applyFont="1" applyBorder="1">
      <alignment vertical="center"/>
    </xf>
    <xf numFmtId="41" fontId="36" fillId="2" borderId="0" xfId="2" applyFont="1" applyFill="1">
      <alignment vertical="center"/>
    </xf>
    <xf numFmtId="0" fontId="20" fillId="5" borderId="3" xfId="0" applyFont="1" applyFill="1" applyBorder="1" applyAlignment="1">
      <alignment horizontal="center" vertical="center"/>
    </xf>
    <xf numFmtId="0" fontId="20" fillId="26" borderId="3" xfId="0" applyFont="1" applyFill="1" applyBorder="1" applyAlignment="1">
      <alignment horizontal="center" vertical="center"/>
    </xf>
    <xf numFmtId="0" fontId="38" fillId="2" borderId="0" xfId="2" applyNumberFormat="1" applyFont="1" applyFill="1" applyAlignment="1">
      <alignment horizontal="center" vertical="center"/>
    </xf>
    <xf numFmtId="0" fontId="39" fillId="2" borderId="0" xfId="2" applyNumberFormat="1" applyFont="1" applyFill="1" applyAlignment="1">
      <alignment horizontal="center" vertical="center"/>
    </xf>
    <xf numFmtId="0" fontId="40" fillId="2" borderId="0" xfId="2" applyNumberFormat="1" applyFont="1" applyFill="1" applyAlignment="1">
      <alignment horizontal="center" vertical="center"/>
    </xf>
    <xf numFmtId="41" fontId="40" fillId="2" borderId="0" xfId="2" applyFont="1" applyFill="1" applyAlignment="1">
      <alignment horizontal="center" vertical="center"/>
    </xf>
    <xf numFmtId="0" fontId="38" fillId="2" borderId="0" xfId="2" applyNumberFormat="1" applyFont="1" applyFill="1" applyAlignment="1">
      <alignment horizontal="left" vertical="center"/>
    </xf>
    <xf numFmtId="0" fontId="38" fillId="2" borderId="72" xfId="2" applyNumberFormat="1" applyFont="1" applyFill="1" applyBorder="1" applyAlignment="1">
      <alignment horizontal="center" vertical="center"/>
    </xf>
    <xf numFmtId="0" fontId="38" fillId="2" borderId="73" xfId="2" applyNumberFormat="1" applyFont="1" applyFill="1" applyBorder="1" applyAlignment="1">
      <alignment horizontal="center" vertical="center"/>
    </xf>
    <xf numFmtId="0" fontId="38" fillId="2" borderId="74" xfId="2" applyNumberFormat="1" applyFont="1" applyFill="1" applyBorder="1" applyAlignment="1">
      <alignment horizontal="center" vertical="center"/>
    </xf>
    <xf numFmtId="0" fontId="38" fillId="2" borderId="75" xfId="2" applyNumberFormat="1" applyFont="1" applyFill="1" applyBorder="1" applyAlignment="1">
      <alignment horizontal="center" vertical="center"/>
    </xf>
    <xf numFmtId="0" fontId="38" fillId="2" borderId="76" xfId="2" applyNumberFormat="1" applyFont="1" applyFill="1" applyBorder="1" applyAlignment="1">
      <alignment horizontal="center" vertical="center"/>
    </xf>
    <xf numFmtId="41" fontId="41" fillId="2" borderId="59" xfId="2" applyFont="1" applyFill="1" applyBorder="1">
      <alignment vertical="center"/>
    </xf>
    <xf numFmtId="0" fontId="41" fillId="2" borderId="68" xfId="2" applyNumberFormat="1" applyFont="1" applyFill="1" applyBorder="1" applyAlignment="1">
      <alignment horizontal="center" vertical="center"/>
    </xf>
    <xf numFmtId="41" fontId="41" fillId="2" borderId="77" xfId="2" applyFont="1" applyFill="1" applyBorder="1">
      <alignment vertical="center"/>
    </xf>
    <xf numFmtId="41" fontId="41" fillId="2" borderId="78" xfId="2" applyFont="1" applyFill="1" applyBorder="1">
      <alignment vertical="center"/>
    </xf>
    <xf numFmtId="41" fontId="41" fillId="2" borderId="79" xfId="2" applyFont="1" applyFill="1" applyBorder="1">
      <alignment vertical="center"/>
    </xf>
    <xf numFmtId="41" fontId="41" fillId="2" borderId="0" xfId="2" applyFont="1" applyFill="1">
      <alignment vertical="center"/>
    </xf>
    <xf numFmtId="0" fontId="41" fillId="2" borderId="71" xfId="2" applyNumberFormat="1" applyFont="1" applyFill="1" applyBorder="1" applyAlignment="1">
      <alignment horizontal="center" vertical="center"/>
    </xf>
    <xf numFmtId="0" fontId="41" fillId="2" borderId="62" xfId="2" applyNumberFormat="1" applyFont="1" applyFill="1" applyBorder="1" applyAlignment="1">
      <alignment horizontal="center" vertical="center"/>
    </xf>
    <xf numFmtId="41" fontId="41" fillId="2" borderId="80" xfId="2" applyFont="1" applyFill="1" applyBorder="1">
      <alignment vertical="center"/>
    </xf>
    <xf numFmtId="41" fontId="41" fillId="2" borderId="5" xfId="2" applyFont="1" applyFill="1" applyBorder="1">
      <alignment vertical="center"/>
    </xf>
    <xf numFmtId="41" fontId="41" fillId="2" borderId="81" xfId="2" applyFont="1" applyFill="1" applyBorder="1">
      <alignment vertical="center"/>
    </xf>
    <xf numFmtId="0" fontId="41" fillId="2" borderId="59" xfId="2" applyNumberFormat="1" applyFont="1" applyFill="1" applyBorder="1" applyAlignment="1">
      <alignment horizontal="center" vertical="center"/>
    </xf>
    <xf numFmtId="0" fontId="41" fillId="2" borderId="69" xfId="2" applyNumberFormat="1" applyFont="1" applyFill="1" applyBorder="1" applyAlignment="1">
      <alignment horizontal="center" vertical="center"/>
    </xf>
    <xf numFmtId="41" fontId="41" fillId="2" borderId="82" xfId="2" applyFont="1" applyFill="1" applyBorder="1">
      <alignment vertical="center"/>
    </xf>
    <xf numFmtId="41" fontId="41" fillId="2" borderId="83" xfId="2" applyFont="1" applyFill="1" applyBorder="1">
      <alignment vertical="center"/>
    </xf>
    <xf numFmtId="41" fontId="41" fillId="2" borderId="84" xfId="2" applyFont="1" applyFill="1" applyBorder="1">
      <alignment vertical="center"/>
    </xf>
    <xf numFmtId="41" fontId="41" fillId="2" borderId="85" xfId="2" applyFont="1" applyFill="1" applyBorder="1">
      <alignment vertical="center"/>
    </xf>
    <xf numFmtId="41" fontId="41" fillId="2" borderId="86" xfId="2" applyFont="1" applyFill="1" applyBorder="1">
      <alignment vertical="center"/>
    </xf>
    <xf numFmtId="41" fontId="41" fillId="2" borderId="7" xfId="2" applyFont="1" applyFill="1" applyBorder="1">
      <alignment vertical="center"/>
    </xf>
    <xf numFmtId="41" fontId="41" fillId="2" borderId="87" xfId="2" applyFont="1" applyFill="1" applyBorder="1">
      <alignment vertical="center"/>
    </xf>
    <xf numFmtId="41" fontId="41" fillId="2" borderId="88" xfId="2" applyFont="1" applyFill="1" applyBorder="1">
      <alignment vertical="center"/>
    </xf>
    <xf numFmtId="41" fontId="41" fillId="2" borderId="89" xfId="2" applyFont="1" applyFill="1" applyBorder="1">
      <alignment vertical="center"/>
    </xf>
    <xf numFmtId="41" fontId="41" fillId="2" borderId="90" xfId="2" applyFont="1" applyFill="1" applyBorder="1">
      <alignment vertical="center"/>
    </xf>
    <xf numFmtId="41" fontId="41" fillId="2" borderId="12" xfId="2" applyFont="1" applyFill="1" applyBorder="1">
      <alignment vertical="center"/>
    </xf>
    <xf numFmtId="41" fontId="41" fillId="2" borderId="91" xfId="2" applyFont="1" applyFill="1" applyBorder="1">
      <alignment vertical="center"/>
    </xf>
    <xf numFmtId="41" fontId="38" fillId="2" borderId="92" xfId="2" applyFont="1" applyFill="1" applyBorder="1">
      <alignment vertical="center"/>
    </xf>
    <xf numFmtId="0" fontId="38" fillId="2" borderId="61" xfId="2" applyNumberFormat="1" applyFont="1" applyFill="1" applyBorder="1" applyAlignment="1">
      <alignment horizontal="center" vertical="center"/>
    </xf>
    <xf numFmtId="41" fontId="38" fillId="2" borderId="86" xfId="2" applyFont="1" applyFill="1" applyBorder="1">
      <alignment vertical="center"/>
    </xf>
    <xf numFmtId="41" fontId="38" fillId="2" borderId="7" xfId="2" applyFont="1" applyFill="1" applyBorder="1">
      <alignment vertical="center"/>
    </xf>
    <xf numFmtId="41" fontId="38" fillId="2" borderId="87" xfId="2" applyFont="1" applyFill="1" applyBorder="1">
      <alignment vertical="center"/>
    </xf>
    <xf numFmtId="43" fontId="41" fillId="2" borderId="0" xfId="2" applyNumberFormat="1" applyFont="1" applyFill="1">
      <alignment vertical="center"/>
    </xf>
    <xf numFmtId="41" fontId="38" fillId="2" borderId="71" xfId="2" applyFont="1" applyFill="1" applyBorder="1">
      <alignment vertical="center"/>
    </xf>
    <xf numFmtId="0" fontId="38" fillId="2" borderId="62" xfId="2" applyNumberFormat="1" applyFont="1" applyFill="1" applyBorder="1" applyAlignment="1">
      <alignment horizontal="center" vertical="center"/>
    </xf>
    <xf numFmtId="41" fontId="38" fillId="2" borderId="80" xfId="2" applyFont="1" applyFill="1" applyBorder="1">
      <alignment vertical="center"/>
    </xf>
    <xf numFmtId="41" fontId="38" fillId="2" borderId="5" xfId="2" applyFont="1" applyFill="1" applyBorder="1">
      <alignment vertical="center"/>
    </xf>
    <xf numFmtId="41" fontId="38" fillId="2" borderId="81" xfId="2" applyFont="1" applyFill="1" applyBorder="1">
      <alignment vertical="center"/>
    </xf>
    <xf numFmtId="0" fontId="38" fillId="2" borderId="71" xfId="2" applyNumberFormat="1" applyFont="1" applyFill="1" applyBorder="1" applyAlignment="1">
      <alignment horizontal="center" vertical="center"/>
    </xf>
    <xf numFmtId="0" fontId="38" fillId="2" borderId="60" xfId="2" applyNumberFormat="1" applyFont="1" applyFill="1" applyBorder="1" applyAlignment="1">
      <alignment horizontal="center" vertical="center"/>
    </xf>
    <xf numFmtId="0" fontId="38" fillId="2" borderId="93" xfId="2" applyNumberFormat="1" applyFont="1" applyFill="1" applyBorder="1" applyAlignment="1">
      <alignment horizontal="center" vertical="center"/>
    </xf>
    <xf numFmtId="41" fontId="38" fillId="2" borderId="94" xfId="2" applyFont="1" applyFill="1" applyBorder="1">
      <alignment vertical="center"/>
    </xf>
    <xf numFmtId="41" fontId="38" fillId="2" borderId="95" xfId="2" applyFont="1" applyFill="1" applyBorder="1">
      <alignment vertical="center"/>
    </xf>
    <xf numFmtId="41" fontId="38" fillId="2" borderId="96" xfId="2" applyFont="1" applyFill="1" applyBorder="1">
      <alignment vertical="center"/>
    </xf>
    <xf numFmtId="0" fontId="41" fillId="2" borderId="0" xfId="2" applyNumberFormat="1" applyFont="1" applyFill="1" applyAlignment="1">
      <alignment horizontal="center" vertical="center"/>
    </xf>
    <xf numFmtId="0" fontId="38" fillId="2" borderId="97" xfId="2" applyNumberFormat="1" applyFont="1" applyFill="1" applyBorder="1" applyAlignment="1">
      <alignment horizontal="center" vertical="center"/>
    </xf>
    <xf numFmtId="0" fontId="38" fillId="2" borderId="70" xfId="2" applyNumberFormat="1" applyFont="1" applyFill="1" applyBorder="1" applyAlignment="1">
      <alignment horizontal="center" vertical="center"/>
    </xf>
    <xf numFmtId="0" fontId="38" fillId="2" borderId="98" xfId="2" applyNumberFormat="1" applyFont="1" applyFill="1" applyBorder="1" applyAlignment="1">
      <alignment horizontal="center" vertical="center"/>
    </xf>
    <xf numFmtId="0" fontId="38" fillId="2" borderId="99" xfId="2" applyNumberFormat="1" applyFont="1" applyFill="1" applyBorder="1" applyAlignment="1">
      <alignment horizontal="center" vertical="center"/>
    </xf>
    <xf numFmtId="0" fontId="38" fillId="2" borderId="100" xfId="2" applyNumberFormat="1" applyFont="1" applyFill="1" applyBorder="1" applyAlignment="1">
      <alignment horizontal="center" vertical="center"/>
    </xf>
    <xf numFmtId="43" fontId="38" fillId="2" borderId="0" xfId="2" applyNumberFormat="1" applyFont="1" applyFill="1" applyAlignment="1">
      <alignment horizontal="center" vertical="center"/>
    </xf>
    <xf numFmtId="41" fontId="38" fillId="2" borderId="59" xfId="2" applyFont="1" applyFill="1" applyBorder="1">
      <alignment vertical="center"/>
    </xf>
    <xf numFmtId="0" fontId="38" fillId="2" borderId="68" xfId="2" applyNumberFormat="1" applyFont="1" applyFill="1" applyBorder="1" applyAlignment="1">
      <alignment horizontal="center" vertical="center"/>
    </xf>
    <xf numFmtId="41" fontId="38" fillId="2" borderId="77" xfId="2" applyFont="1" applyFill="1" applyBorder="1">
      <alignment vertical="center"/>
    </xf>
    <xf numFmtId="41" fontId="38" fillId="2" borderId="78" xfId="2" applyFont="1" applyFill="1" applyBorder="1">
      <alignment vertical="center"/>
    </xf>
    <xf numFmtId="41" fontId="38" fillId="2" borderId="79" xfId="2" applyFont="1" applyFill="1" applyBorder="1">
      <alignment vertical="center"/>
    </xf>
    <xf numFmtId="41" fontId="38" fillId="2" borderId="0" xfId="2" applyFont="1" applyFill="1">
      <alignment vertical="center"/>
    </xf>
    <xf numFmtId="0" fontId="38" fillId="2" borderId="101" xfId="2" applyNumberFormat="1" applyFont="1" applyFill="1" applyBorder="1" applyAlignment="1">
      <alignment horizontal="center" vertical="center"/>
    </xf>
    <xf numFmtId="0" fontId="38" fillId="2" borderId="102" xfId="2" applyNumberFormat="1" applyFont="1" applyFill="1" applyBorder="1" applyAlignment="1">
      <alignment horizontal="center" vertical="center"/>
    </xf>
    <xf numFmtId="0" fontId="38" fillId="2" borderId="103" xfId="2" applyNumberFormat="1" applyFont="1" applyFill="1" applyBorder="1" applyAlignment="1">
      <alignment horizontal="center" vertical="center"/>
    </xf>
    <xf numFmtId="0" fontId="38" fillId="2" borderId="104" xfId="2" applyNumberFormat="1" applyFont="1" applyFill="1" applyBorder="1" applyAlignment="1">
      <alignment horizontal="center" vertical="center"/>
    </xf>
    <xf numFmtId="0" fontId="38" fillId="2" borderId="105" xfId="2" applyNumberFormat="1" applyFont="1" applyFill="1" applyBorder="1" applyAlignment="1">
      <alignment horizontal="center" vertical="center"/>
    </xf>
    <xf numFmtId="41" fontId="41" fillId="2" borderId="88" xfId="2" applyFont="1" applyFill="1" applyBorder="1" applyAlignment="1">
      <alignment horizontal="left" vertical="center"/>
    </xf>
    <xf numFmtId="41" fontId="41" fillId="2" borderId="106" xfId="2" applyFont="1" applyFill="1" applyBorder="1" applyAlignment="1">
      <alignment horizontal="left" vertical="center"/>
    </xf>
    <xf numFmtId="41" fontId="38" fillId="2" borderId="107" xfId="2" applyFont="1" applyFill="1" applyBorder="1" applyAlignment="1">
      <alignment horizontal="left" vertical="center"/>
    </xf>
    <xf numFmtId="0" fontId="38" fillId="2" borderId="108" xfId="2" applyNumberFormat="1" applyFont="1" applyFill="1" applyBorder="1" applyAlignment="1">
      <alignment horizontal="center" vertical="center"/>
    </xf>
    <xf numFmtId="41" fontId="38" fillId="2" borderId="109" xfId="2" applyFont="1" applyFill="1" applyBorder="1">
      <alignment vertical="center"/>
    </xf>
    <xf numFmtId="41" fontId="38" fillId="2" borderId="110" xfId="2" applyFont="1" applyFill="1" applyBorder="1">
      <alignment vertical="center"/>
    </xf>
    <xf numFmtId="41" fontId="38" fillId="2" borderId="111" xfId="2" applyFont="1" applyFill="1" applyBorder="1">
      <alignment vertical="center"/>
    </xf>
    <xf numFmtId="41" fontId="41" fillId="2" borderId="85" xfId="2" applyFont="1" applyFill="1" applyBorder="1" applyAlignment="1">
      <alignment horizontal="left" vertical="center"/>
    </xf>
    <xf numFmtId="0" fontId="41" fillId="2" borderId="61" xfId="2" applyNumberFormat="1" applyFont="1" applyFill="1" applyBorder="1" applyAlignment="1">
      <alignment horizontal="center" vertical="center"/>
    </xf>
    <xf numFmtId="41" fontId="41" fillId="2" borderId="112" xfId="2" applyFont="1" applyFill="1" applyBorder="1" applyAlignment="1">
      <alignment horizontal="left" vertical="center"/>
    </xf>
    <xf numFmtId="0" fontId="41" fillId="2" borderId="113" xfId="2" applyNumberFormat="1" applyFont="1" applyFill="1" applyBorder="1" applyAlignment="1">
      <alignment horizontal="center" vertical="center"/>
    </xf>
    <xf numFmtId="41" fontId="41" fillId="2" borderId="114" xfId="2" applyFont="1" applyFill="1" applyBorder="1">
      <alignment vertical="center"/>
    </xf>
    <xf numFmtId="41" fontId="41" fillId="2" borderId="115" xfId="2" applyFont="1" applyFill="1" applyBorder="1">
      <alignment vertical="center"/>
    </xf>
    <xf numFmtId="41" fontId="41" fillId="2" borderId="116" xfId="2" applyFont="1" applyFill="1" applyBorder="1">
      <alignment vertical="center"/>
    </xf>
    <xf numFmtId="41" fontId="38" fillId="2" borderId="117" xfId="2" applyFont="1" applyFill="1" applyBorder="1" applyAlignment="1">
      <alignment horizontal="left" vertical="center"/>
    </xf>
    <xf numFmtId="0" fontId="38" fillId="2" borderId="16" xfId="2" applyNumberFormat="1" applyFont="1" applyFill="1" applyBorder="1" applyAlignment="1">
      <alignment horizontal="center" vertical="center"/>
    </xf>
    <xf numFmtId="41" fontId="38" fillId="2" borderId="118" xfId="2" applyFont="1" applyFill="1" applyBorder="1">
      <alignment vertical="center"/>
    </xf>
    <xf numFmtId="41" fontId="38" fillId="2" borderId="41" xfId="2" applyFont="1" applyFill="1" applyBorder="1">
      <alignment vertical="center"/>
    </xf>
    <xf numFmtId="41" fontId="38" fillId="2" borderId="119" xfId="2" applyFont="1" applyFill="1" applyBorder="1">
      <alignment vertical="center"/>
    </xf>
    <xf numFmtId="41" fontId="41" fillId="2" borderId="120" xfId="2" applyFont="1" applyFill="1" applyBorder="1" applyAlignment="1">
      <alignment horizontal="left" vertical="center"/>
    </xf>
    <xf numFmtId="41" fontId="38" fillId="2" borderId="121" xfId="2" applyFont="1" applyFill="1" applyBorder="1" applyAlignment="1">
      <alignment horizontal="left" vertical="center"/>
    </xf>
    <xf numFmtId="0" fontId="38" fillId="2" borderId="122" xfId="2" applyNumberFormat="1" applyFont="1" applyFill="1" applyBorder="1" applyAlignment="1">
      <alignment horizontal="center" vertical="center"/>
    </xf>
    <xf numFmtId="41" fontId="38" fillId="2" borderId="123" xfId="2" applyFont="1" applyFill="1" applyBorder="1">
      <alignment vertical="center"/>
    </xf>
    <xf numFmtId="41" fontId="38" fillId="2" borderId="124" xfId="2" applyFont="1" applyFill="1" applyBorder="1">
      <alignment vertical="center"/>
    </xf>
    <xf numFmtId="41" fontId="38" fillId="2" borderId="125" xfId="2" applyFont="1" applyFill="1" applyBorder="1">
      <alignment vertical="center"/>
    </xf>
    <xf numFmtId="0" fontId="42" fillId="2" borderId="0" xfId="2" applyNumberFormat="1" applyFont="1" applyFill="1" applyAlignment="1">
      <alignment horizontal="left" vertical="center"/>
    </xf>
    <xf numFmtId="0" fontId="41" fillId="2" borderId="0" xfId="2" applyNumberFormat="1" applyFont="1" applyFill="1" applyAlignment="1">
      <alignment horizontal="left" vertical="center"/>
    </xf>
    <xf numFmtId="10" fontId="41" fillId="2" borderId="0" xfId="1" applyNumberFormat="1" applyFont="1" applyFill="1">
      <alignment vertical="center"/>
    </xf>
    <xf numFmtId="0" fontId="44" fillId="0" borderId="0" xfId="21" applyFont="1" applyAlignment="1">
      <alignment horizontal="left" vertical="center"/>
    </xf>
    <xf numFmtId="0" fontId="35" fillId="0" borderId="0" xfId="21" applyFont="1" applyAlignment="1">
      <alignment horizontal="center" vertical="center"/>
    </xf>
    <xf numFmtId="41" fontId="35" fillId="0" borderId="0" xfId="22" applyFont="1" applyAlignment="1">
      <alignment horizontal="center" vertical="center"/>
    </xf>
    <xf numFmtId="0" fontId="45" fillId="0" borderId="0" xfId="22" applyNumberFormat="1" applyFont="1" applyAlignment="1">
      <alignment horizontal="right" vertical="center"/>
    </xf>
    <xf numFmtId="0" fontId="46" fillId="25" borderId="145" xfId="22" applyNumberFormat="1" applyFont="1" applyFill="1" applyBorder="1" applyAlignment="1">
      <alignment horizontal="center" vertical="center"/>
    </xf>
    <xf numFmtId="0" fontId="46" fillId="25" borderId="146" xfId="22" applyNumberFormat="1" applyFont="1" applyFill="1" applyBorder="1" applyAlignment="1">
      <alignment horizontal="center" vertical="center"/>
    </xf>
    <xf numFmtId="0" fontId="46" fillId="25" borderId="144" xfId="22" applyNumberFormat="1" applyFont="1" applyFill="1" applyBorder="1" applyAlignment="1">
      <alignment horizontal="center" vertical="center"/>
    </xf>
    <xf numFmtId="0" fontId="46" fillId="25" borderId="148" xfId="22" applyNumberFormat="1" applyFont="1" applyFill="1" applyBorder="1" applyAlignment="1">
      <alignment horizontal="center" vertical="center"/>
    </xf>
    <xf numFmtId="0" fontId="46" fillId="25" borderId="149" xfId="22" applyNumberFormat="1" applyFont="1" applyFill="1" applyBorder="1" applyAlignment="1">
      <alignment horizontal="center" vertical="center"/>
    </xf>
    <xf numFmtId="0" fontId="46" fillId="25" borderId="150" xfId="22" applyNumberFormat="1" applyFont="1" applyFill="1" applyBorder="1" applyAlignment="1">
      <alignment horizontal="center" vertical="center"/>
    </xf>
    <xf numFmtId="37" fontId="45" fillId="27" borderId="126" xfId="22" applyNumberFormat="1" applyFont="1" applyFill="1" applyBorder="1" applyAlignment="1">
      <alignment horizontal="center" vertical="center" shrinkToFit="1"/>
    </xf>
    <xf numFmtId="37" fontId="45" fillId="27" borderId="127" xfId="22" applyNumberFormat="1" applyFont="1" applyFill="1" applyBorder="1" applyAlignment="1">
      <alignment horizontal="center" vertical="center" shrinkToFit="1"/>
    </xf>
    <xf numFmtId="37" fontId="45" fillId="27" borderId="152" xfId="22" applyNumberFormat="1" applyFont="1" applyFill="1" applyBorder="1" applyAlignment="1">
      <alignment horizontal="center" vertical="center" shrinkToFit="1"/>
    </xf>
    <xf numFmtId="37" fontId="45" fillId="27" borderId="153" xfId="22" applyNumberFormat="1" applyFont="1" applyFill="1" applyBorder="1" applyAlignment="1">
      <alignment horizontal="center" vertical="center" shrinkToFit="1"/>
    </xf>
    <xf numFmtId="37" fontId="45" fillId="27" borderId="154" xfId="22" applyNumberFormat="1" applyFont="1" applyFill="1" applyBorder="1" applyAlignment="1">
      <alignment horizontal="center" vertical="center" shrinkToFit="1"/>
    </xf>
    <xf numFmtId="37" fontId="45" fillId="27" borderId="128" xfId="22" applyNumberFormat="1" applyFont="1" applyFill="1" applyBorder="1" applyAlignment="1">
      <alignment horizontal="center" vertical="center" shrinkToFit="1"/>
    </xf>
    <xf numFmtId="37" fontId="45" fillId="27" borderId="137" xfId="22" applyNumberFormat="1" applyFont="1" applyFill="1" applyBorder="1" applyAlignment="1">
      <alignment horizontal="center" vertical="center" shrinkToFit="1"/>
    </xf>
    <xf numFmtId="37" fontId="45" fillId="27" borderId="138" xfId="22" applyNumberFormat="1" applyFont="1" applyFill="1" applyBorder="1" applyAlignment="1">
      <alignment horizontal="center" vertical="center" shrinkToFit="1"/>
    </xf>
    <xf numFmtId="37" fontId="45" fillId="27" borderId="159" xfId="22" applyNumberFormat="1" applyFont="1" applyFill="1" applyBorder="1" applyAlignment="1">
      <alignment horizontal="center" vertical="center" shrinkToFit="1"/>
    </xf>
    <xf numFmtId="37" fontId="45" fillId="27" borderId="160" xfId="22" applyNumberFormat="1" applyFont="1" applyFill="1" applyBorder="1" applyAlignment="1">
      <alignment horizontal="center" vertical="center" shrinkToFit="1"/>
    </xf>
    <xf numFmtId="37" fontId="45" fillId="27" borderId="161" xfId="22" applyNumberFormat="1" applyFont="1" applyFill="1" applyBorder="1" applyAlignment="1">
      <alignment horizontal="center" vertical="center" shrinkToFit="1"/>
    </xf>
    <xf numFmtId="37" fontId="45" fillId="27" borderId="139" xfId="22" applyNumberFormat="1" applyFont="1" applyFill="1" applyBorder="1" applyAlignment="1">
      <alignment horizontal="center" vertical="center" shrinkToFit="1"/>
    </xf>
    <xf numFmtId="37" fontId="45" fillId="27" borderId="143" xfId="22" applyNumberFormat="1" applyFont="1" applyFill="1" applyBorder="1" applyAlignment="1">
      <alignment horizontal="center" vertical="center" shrinkToFit="1"/>
    </xf>
    <xf numFmtId="37" fontId="45" fillId="27" borderId="133" xfId="22" applyNumberFormat="1" applyFont="1" applyFill="1" applyBorder="1" applyAlignment="1">
      <alignment horizontal="center" vertical="center" shrinkToFit="1"/>
    </xf>
    <xf numFmtId="10" fontId="19" fillId="0" borderId="0" xfId="1" applyNumberFormat="1" applyFont="1" applyAlignment="1">
      <alignment horizontal="center" vertical="center"/>
    </xf>
    <xf numFmtId="177" fontId="19" fillId="0" borderId="0" xfId="2" applyNumberFormat="1" applyFont="1">
      <alignment vertical="center"/>
    </xf>
    <xf numFmtId="177" fontId="19" fillId="4" borderId="0" xfId="2" applyNumberFormat="1" applyFont="1" applyFill="1">
      <alignment vertical="center"/>
    </xf>
    <xf numFmtId="10" fontId="19" fillId="4" borderId="0" xfId="2" applyNumberFormat="1" applyFont="1" applyFill="1" applyAlignment="1">
      <alignment horizontal="center" vertical="center"/>
    </xf>
    <xf numFmtId="177" fontId="35" fillId="0" borderId="0" xfId="2" applyNumberFormat="1" applyFont="1" applyAlignment="1">
      <alignment horizontal="center" vertical="center"/>
    </xf>
    <xf numFmtId="41" fontId="19" fillId="0" borderId="0" xfId="2" applyFont="1" applyAlignment="1">
      <alignment horizontal="center" vertical="center" shrinkToFit="1"/>
    </xf>
    <xf numFmtId="0" fontId="19" fillId="12" borderId="0" xfId="0" applyFont="1" applyFill="1" applyAlignment="1">
      <alignment horizontal="center" vertical="center" shrinkToFit="1"/>
    </xf>
    <xf numFmtId="41" fontId="19" fillId="12" borderId="0" xfId="2" applyFont="1" applyFill="1" applyAlignment="1">
      <alignment horizontal="center" vertical="center" shrinkToFit="1"/>
    </xf>
    <xf numFmtId="0" fontId="43" fillId="0" borderId="0" xfId="0" applyFont="1" applyAlignment="1">
      <alignment horizontal="center" vertical="center" shrinkToFit="1"/>
    </xf>
    <xf numFmtId="41" fontId="35" fillId="0" borderId="0" xfId="2" applyFont="1" applyAlignment="1">
      <alignment horizontal="center" vertical="center"/>
    </xf>
    <xf numFmtId="41" fontId="35" fillId="0" borderId="24" xfId="2" applyFont="1" applyBorder="1" applyAlignment="1">
      <alignment horizontal="center" vertical="center"/>
    </xf>
    <xf numFmtId="41" fontId="35" fillId="0" borderId="24" xfId="2" applyFont="1" applyBorder="1" applyAlignment="1">
      <alignment horizontal="center" vertical="center" shrinkToFit="1"/>
    </xf>
    <xf numFmtId="41" fontId="35" fillId="12" borderId="24" xfId="2" applyFont="1" applyFill="1" applyBorder="1" applyAlignment="1">
      <alignment horizontal="center" vertical="center"/>
    </xf>
    <xf numFmtId="41" fontId="35" fillId="12" borderId="24" xfId="2" applyFont="1" applyFill="1" applyBorder="1" applyAlignment="1">
      <alignment horizontal="center" vertical="center" shrinkToFit="1"/>
    </xf>
    <xf numFmtId="41" fontId="35" fillId="25" borderId="24" xfId="2" applyFont="1" applyFill="1" applyBorder="1" applyAlignment="1">
      <alignment horizontal="center" vertical="center"/>
    </xf>
    <xf numFmtId="41" fontId="35" fillId="25" borderId="24" xfId="2" applyFont="1" applyFill="1" applyBorder="1" applyAlignment="1">
      <alignment horizontal="center" vertical="center" shrinkToFit="1"/>
    </xf>
    <xf numFmtId="41" fontId="35" fillId="21" borderId="24" xfId="2" applyFont="1" applyFill="1" applyBorder="1" applyAlignment="1">
      <alignment horizontal="center" vertical="center"/>
    </xf>
    <xf numFmtId="41" fontId="35" fillId="0" borderId="0" xfId="2" applyFont="1" applyAlignment="1">
      <alignment horizontal="center" vertical="center" shrinkToFit="1"/>
    </xf>
    <xf numFmtId="41" fontId="35" fillId="0" borderId="24" xfId="2" applyFont="1" applyFill="1" applyBorder="1" applyAlignment="1">
      <alignment horizontal="center" vertical="center"/>
    </xf>
    <xf numFmtId="41" fontId="35" fillId="0" borderId="24" xfId="2" applyFont="1" applyFill="1" applyBorder="1" applyAlignment="1">
      <alignment horizontal="center" vertical="center" shrinkToFit="1"/>
    </xf>
    <xf numFmtId="41" fontId="49" fillId="0" borderId="24" xfId="2" applyFont="1" applyBorder="1" applyAlignment="1">
      <alignment horizontal="center" vertical="center"/>
    </xf>
    <xf numFmtId="41" fontId="35" fillId="0" borderId="0" xfId="2" applyFont="1" applyAlignment="1">
      <alignment horizontal="left" vertical="center"/>
    </xf>
    <xf numFmtId="41" fontId="9" fillId="2" borderId="0" xfId="2" applyFont="1" applyFill="1" applyAlignment="1">
      <alignment horizontal="center" vertical="center" shrinkToFit="1"/>
    </xf>
    <xf numFmtId="191" fontId="9" fillId="0" borderId="0" xfId="0" applyNumberFormat="1" applyFont="1" applyAlignment="1">
      <alignment horizontal="center" vertical="center"/>
    </xf>
    <xf numFmtId="43" fontId="19" fillId="0" borderId="0" xfId="0" applyNumberFormat="1" applyFont="1">
      <alignment vertical="center"/>
    </xf>
    <xf numFmtId="192" fontId="19" fillId="0" borderId="0" xfId="0" applyNumberFormat="1" applyFont="1">
      <alignment vertical="center"/>
    </xf>
    <xf numFmtId="41" fontId="19" fillId="0" borderId="0" xfId="2" quotePrefix="1" applyFont="1">
      <alignment vertical="center"/>
    </xf>
    <xf numFmtId="41" fontId="19" fillId="0" borderId="21" xfId="2" applyFont="1" applyFill="1" applyBorder="1">
      <alignment vertical="center"/>
    </xf>
    <xf numFmtId="41" fontId="19" fillId="4" borderId="21" xfId="2" applyFont="1" applyFill="1" applyBorder="1">
      <alignment vertical="center"/>
    </xf>
    <xf numFmtId="41" fontId="19" fillId="6" borderId="21" xfId="2" applyFont="1" applyFill="1" applyBorder="1">
      <alignment vertical="center"/>
    </xf>
    <xf numFmtId="41" fontId="19" fillId="6" borderId="46" xfId="2" applyFont="1" applyFill="1" applyBorder="1">
      <alignment vertical="center"/>
    </xf>
    <xf numFmtId="41" fontId="19" fillId="0" borderId="46" xfId="2" applyFont="1" applyFill="1" applyBorder="1">
      <alignment vertical="center"/>
    </xf>
    <xf numFmtId="41" fontId="19" fillId="0" borderId="51" xfId="2" applyFont="1" applyFill="1" applyBorder="1">
      <alignment vertical="center"/>
    </xf>
    <xf numFmtId="41" fontId="19" fillId="6" borderId="51" xfId="2" applyFont="1" applyFill="1" applyBorder="1">
      <alignment vertical="center"/>
    </xf>
    <xf numFmtId="41" fontId="19" fillId="0" borderId="44" xfId="2" applyFont="1" applyFill="1" applyBorder="1">
      <alignment vertical="center"/>
    </xf>
    <xf numFmtId="41" fontId="19" fillId="6" borderId="44" xfId="2" applyFont="1" applyFill="1" applyBorder="1">
      <alignment vertical="center"/>
    </xf>
    <xf numFmtId="41" fontId="19" fillId="0" borderId="56" xfId="2" applyFont="1" applyFill="1" applyBorder="1">
      <alignment vertical="center"/>
    </xf>
    <xf numFmtId="41" fontId="19" fillId="6" borderId="56" xfId="2" applyFont="1" applyFill="1" applyBorder="1">
      <alignment vertical="center"/>
    </xf>
    <xf numFmtId="41" fontId="19" fillId="2" borderId="21" xfId="2" applyFont="1" applyFill="1" applyBorder="1">
      <alignment vertical="center"/>
    </xf>
    <xf numFmtId="41" fontId="19" fillId="2" borderId="56" xfId="2" applyFont="1" applyFill="1" applyBorder="1">
      <alignment vertical="center"/>
    </xf>
    <xf numFmtId="177" fontId="19" fillId="0" borderId="181" xfId="2" applyNumberFormat="1" applyFont="1" applyBorder="1">
      <alignment vertical="center"/>
    </xf>
    <xf numFmtId="41" fontId="19" fillId="0" borderId="181" xfId="2" applyFont="1" applyBorder="1" applyAlignment="1">
      <alignment horizontal="center" vertical="center"/>
    </xf>
    <xf numFmtId="41" fontId="19" fillId="4" borderId="181" xfId="2" applyFont="1" applyFill="1" applyBorder="1">
      <alignment vertical="center"/>
    </xf>
    <xf numFmtId="41" fontId="19" fillId="0" borderId="181" xfId="2" applyFont="1" applyBorder="1">
      <alignment vertical="center"/>
    </xf>
    <xf numFmtId="0" fontId="9" fillId="0" borderId="0" xfId="0" applyFont="1" applyAlignment="1">
      <alignment horizontal="left" vertical="center"/>
    </xf>
    <xf numFmtId="0" fontId="9" fillId="0" borderId="24" xfId="0" applyFont="1" applyBorder="1" applyAlignment="1">
      <alignment horizontal="left" vertical="center" shrinkToFit="1"/>
    </xf>
    <xf numFmtId="41" fontId="19" fillId="6" borderId="0" xfId="2" applyFont="1" applyFill="1">
      <alignment vertical="center"/>
    </xf>
    <xf numFmtId="0" fontId="55" fillId="0" borderId="0" xfId="0" applyFont="1" applyAlignment="1">
      <alignment horizontal="center" vertical="center" shrinkToFit="1"/>
    </xf>
    <xf numFmtId="0" fontId="20" fillId="2" borderId="0" xfId="17" applyFont="1" applyFill="1" applyAlignment="1">
      <alignment horizontal="center" vertical="center"/>
    </xf>
    <xf numFmtId="0" fontId="9" fillId="2" borderId="15" xfId="17" applyFont="1" applyFill="1" applyBorder="1" applyAlignment="1">
      <alignment horizontal="left" vertical="center"/>
    </xf>
    <xf numFmtId="0" fontId="9" fillId="2" borderId="24" xfId="17" applyFont="1" applyFill="1" applyBorder="1" applyAlignment="1">
      <alignment horizontal="left" vertical="center"/>
    </xf>
    <xf numFmtId="0" fontId="9" fillId="4" borderId="15" xfId="17" applyFont="1" applyFill="1" applyBorder="1" applyAlignment="1">
      <alignment horizontal="left" vertical="center"/>
    </xf>
    <xf numFmtId="0" fontId="26" fillId="0" borderId="22" xfId="0" applyFont="1" applyBorder="1" applyAlignment="1">
      <alignment horizontal="center" vertical="center"/>
    </xf>
    <xf numFmtId="0" fontId="26" fillId="2" borderId="0" xfId="0" applyFont="1" applyFill="1" applyAlignment="1">
      <alignment horizontal="center" vertical="center"/>
    </xf>
    <xf numFmtId="0" fontId="46" fillId="25" borderId="126" xfId="21" applyFont="1" applyFill="1" applyBorder="1" applyAlignment="1">
      <alignment horizontal="center" vertical="center"/>
    </xf>
    <xf numFmtId="0" fontId="46" fillId="25" borderId="127" xfId="21" applyFont="1" applyFill="1" applyBorder="1" applyAlignment="1">
      <alignment horizontal="center" vertical="center"/>
    </xf>
    <xf numFmtId="0" fontId="46" fillId="25" borderId="128" xfId="21" applyFont="1" applyFill="1" applyBorder="1" applyAlignment="1">
      <alignment horizontal="center" vertical="center"/>
    </xf>
    <xf numFmtId="0" fontId="46" fillId="25" borderId="137" xfId="21" applyFont="1" applyFill="1" applyBorder="1" applyAlignment="1">
      <alignment horizontal="center" vertical="center"/>
    </xf>
    <xf numFmtId="0" fontId="46" fillId="25" borderId="138" xfId="21" applyFont="1" applyFill="1" applyBorder="1" applyAlignment="1">
      <alignment horizontal="center" vertical="center"/>
    </xf>
    <xf numFmtId="0" fontId="46" fillId="25" borderId="139" xfId="21" applyFont="1" applyFill="1" applyBorder="1" applyAlignment="1">
      <alignment horizontal="center" vertical="center"/>
    </xf>
    <xf numFmtId="0" fontId="46" fillId="25" borderId="144" xfId="21" applyFont="1" applyFill="1" applyBorder="1" applyAlignment="1">
      <alignment horizontal="center" vertical="center"/>
    </xf>
    <xf numFmtId="0" fontId="46" fillId="25" borderId="145" xfId="21" applyFont="1" applyFill="1" applyBorder="1" applyAlignment="1">
      <alignment horizontal="center" vertical="center"/>
    </xf>
    <xf numFmtId="0" fontId="46" fillId="25" borderId="146" xfId="21" applyFont="1" applyFill="1" applyBorder="1" applyAlignment="1">
      <alignment horizontal="center" vertical="center"/>
    </xf>
    <xf numFmtId="0" fontId="47" fillId="25" borderId="129" xfId="22" applyNumberFormat="1" applyFont="1" applyFill="1" applyBorder="1" applyAlignment="1">
      <alignment horizontal="center" vertical="center" wrapText="1"/>
    </xf>
    <xf numFmtId="0" fontId="47" fillId="25" borderId="130" xfId="22" applyNumberFormat="1" applyFont="1" applyFill="1" applyBorder="1" applyAlignment="1">
      <alignment horizontal="center" vertical="center" wrapText="1"/>
    </xf>
    <xf numFmtId="0" fontId="46" fillId="25" borderId="131" xfId="22" applyNumberFormat="1" applyFont="1" applyFill="1" applyBorder="1" applyAlignment="1">
      <alignment horizontal="center" vertical="center"/>
    </xf>
    <xf numFmtId="0" fontId="46" fillId="25" borderId="132" xfId="22" applyNumberFormat="1" applyFont="1" applyFill="1" applyBorder="1" applyAlignment="1">
      <alignment horizontal="center" vertical="center"/>
    </xf>
    <xf numFmtId="0" fontId="46" fillId="25" borderId="133" xfId="22" applyNumberFormat="1" applyFont="1" applyFill="1" applyBorder="1" applyAlignment="1">
      <alignment horizontal="center" vertical="center" wrapText="1"/>
    </xf>
    <xf numFmtId="0" fontId="46" fillId="25" borderId="143" xfId="22" applyNumberFormat="1" applyFont="1" applyFill="1" applyBorder="1" applyAlignment="1">
      <alignment horizontal="center" vertical="center"/>
    </xf>
    <xf numFmtId="0" fontId="46" fillId="25" borderId="147" xfId="22" applyNumberFormat="1" applyFont="1" applyFill="1" applyBorder="1" applyAlignment="1">
      <alignment horizontal="center" vertical="center"/>
    </xf>
    <xf numFmtId="0" fontId="46" fillId="25" borderId="134" xfId="22" applyNumberFormat="1" applyFont="1" applyFill="1" applyBorder="1" applyAlignment="1">
      <alignment horizontal="center" vertical="center"/>
    </xf>
    <xf numFmtId="0" fontId="46" fillId="25" borderId="135" xfId="22" applyNumberFormat="1" applyFont="1" applyFill="1" applyBorder="1" applyAlignment="1">
      <alignment horizontal="center" vertical="center"/>
    </xf>
    <xf numFmtId="0" fontId="46" fillId="25" borderId="136" xfId="22" applyNumberFormat="1" applyFont="1" applyFill="1" applyBorder="1" applyAlignment="1">
      <alignment horizontal="center" vertical="center"/>
    </xf>
    <xf numFmtId="0" fontId="46" fillId="25" borderId="140" xfId="22" applyNumberFormat="1" applyFont="1" applyFill="1" applyBorder="1" applyAlignment="1">
      <alignment horizontal="center" vertical="center"/>
    </xf>
    <xf numFmtId="0" fontId="46" fillId="25" borderId="141" xfId="22" applyNumberFormat="1" applyFont="1" applyFill="1" applyBorder="1" applyAlignment="1">
      <alignment horizontal="center" vertical="center"/>
    </xf>
    <xf numFmtId="0" fontId="46" fillId="25" borderId="142" xfId="22" applyNumberFormat="1" applyFont="1" applyFill="1" applyBorder="1" applyAlignment="1">
      <alignment horizontal="center" vertical="center" wrapText="1"/>
    </xf>
    <xf numFmtId="0" fontId="46" fillId="25" borderId="144" xfId="22" applyNumberFormat="1" applyFont="1" applyFill="1" applyBorder="1" applyAlignment="1">
      <alignment horizontal="center" vertical="center"/>
    </xf>
    <xf numFmtId="0" fontId="46" fillId="25" borderId="141" xfId="22" applyNumberFormat="1" applyFont="1" applyFill="1" applyBorder="1" applyAlignment="1">
      <alignment horizontal="center" vertical="center" wrapText="1"/>
    </xf>
    <xf numFmtId="0" fontId="46" fillId="25" borderId="146" xfId="22" applyNumberFormat="1" applyFont="1" applyFill="1" applyBorder="1" applyAlignment="1">
      <alignment horizontal="center" vertical="center"/>
    </xf>
    <xf numFmtId="0" fontId="46" fillId="25" borderId="126" xfId="22" applyNumberFormat="1" applyFont="1" applyFill="1" applyBorder="1" applyAlignment="1">
      <alignment horizontal="center" vertical="center"/>
    </xf>
    <xf numFmtId="0" fontId="46" fillId="25" borderId="127" xfId="22" applyNumberFormat="1" applyFont="1" applyFill="1" applyBorder="1" applyAlignment="1">
      <alignment horizontal="center" vertical="center"/>
    </xf>
    <xf numFmtId="0" fontId="46" fillId="25" borderId="128" xfId="22" applyNumberFormat="1" applyFont="1" applyFill="1" applyBorder="1" applyAlignment="1">
      <alignment horizontal="center" vertical="center"/>
    </xf>
    <xf numFmtId="37" fontId="45" fillId="27" borderId="127" xfId="22" applyNumberFormat="1" applyFont="1" applyFill="1" applyBorder="1" applyAlignment="1">
      <alignment horizontal="center" vertical="center" shrinkToFit="1"/>
    </xf>
    <xf numFmtId="37" fontId="45" fillId="27" borderId="138" xfId="22" applyNumberFormat="1" applyFont="1" applyFill="1" applyBorder="1" applyAlignment="1">
      <alignment horizontal="center" vertical="center" shrinkToFit="1"/>
    </xf>
    <xf numFmtId="37" fontId="45" fillId="27" borderId="152" xfId="22" applyNumberFormat="1" applyFont="1" applyFill="1" applyBorder="1" applyAlignment="1">
      <alignment horizontal="center" vertical="center" shrinkToFit="1"/>
    </xf>
    <xf numFmtId="37" fontId="45" fillId="27" borderId="159" xfId="22" applyNumberFormat="1" applyFont="1" applyFill="1" applyBorder="1" applyAlignment="1">
      <alignment horizontal="center" vertical="center" shrinkToFit="1"/>
    </xf>
    <xf numFmtId="37" fontId="45" fillId="27" borderId="153" xfId="22" applyNumberFormat="1" applyFont="1" applyFill="1" applyBorder="1" applyAlignment="1">
      <alignment horizontal="center" vertical="center" shrinkToFit="1"/>
    </xf>
    <xf numFmtId="37" fontId="45" fillId="27" borderId="160" xfId="22" applyNumberFormat="1" applyFont="1" applyFill="1" applyBorder="1" applyAlignment="1">
      <alignment horizontal="center" vertical="center" shrinkToFit="1"/>
    </xf>
    <xf numFmtId="37" fontId="45" fillId="27" borderId="154" xfId="22" applyNumberFormat="1" applyFont="1" applyFill="1" applyBorder="1" applyAlignment="1">
      <alignment horizontal="center" vertical="center" shrinkToFit="1"/>
    </xf>
    <xf numFmtId="37" fontId="45" fillId="27" borderId="161" xfId="22" applyNumberFormat="1" applyFont="1" applyFill="1" applyBorder="1" applyAlignment="1">
      <alignment horizontal="center" vertical="center" shrinkToFit="1"/>
    </xf>
    <xf numFmtId="0" fontId="46" fillId="14" borderId="126" xfId="21" applyFont="1" applyFill="1" applyBorder="1" applyAlignment="1">
      <alignment horizontal="center" vertical="center"/>
    </xf>
    <xf numFmtId="0" fontId="46" fillId="14" borderId="137" xfId="21" applyFont="1" applyFill="1" applyBorder="1" applyAlignment="1">
      <alignment horizontal="center" vertical="center"/>
    </xf>
    <xf numFmtId="0" fontId="46" fillId="14" borderId="144" xfId="21" applyFont="1" applyFill="1" applyBorder="1" applyAlignment="1">
      <alignment horizontal="center" vertical="center"/>
    </xf>
    <xf numFmtId="0" fontId="46" fillId="14" borderId="127" xfId="21" applyFont="1" applyFill="1" applyBorder="1" applyAlignment="1">
      <alignment horizontal="center" vertical="center"/>
    </xf>
    <xf numFmtId="0" fontId="46" fillId="14" borderId="128" xfId="21" applyFont="1" applyFill="1" applyBorder="1" applyAlignment="1">
      <alignment horizontal="center" vertical="center"/>
    </xf>
    <xf numFmtId="37" fontId="45" fillId="0" borderId="135" xfId="22" applyNumberFormat="1" applyFont="1" applyBorder="1" applyAlignment="1">
      <alignment horizontal="center" vertical="center" shrinkToFit="1"/>
    </xf>
    <xf numFmtId="37" fontId="45" fillId="0" borderId="155" xfId="22" applyNumberFormat="1" applyFont="1" applyBorder="1" applyAlignment="1">
      <alignment horizontal="center" vertical="center" shrinkToFit="1"/>
    </xf>
    <xf numFmtId="37" fontId="45" fillId="0" borderId="162" xfId="22" applyNumberFormat="1" applyFont="1" applyBorder="1" applyAlignment="1">
      <alignment horizontal="center" vertical="center" shrinkToFit="1"/>
    </xf>
    <xf numFmtId="37" fontId="45" fillId="0" borderId="136" xfId="22" applyNumberFormat="1" applyFont="1" applyBorder="1" applyAlignment="1">
      <alignment horizontal="center" vertical="center" shrinkToFit="1"/>
    </xf>
    <xf numFmtId="37" fontId="45" fillId="0" borderId="156" xfId="22" applyNumberFormat="1" applyFont="1" applyBorder="1" applyAlignment="1">
      <alignment horizontal="center" vertical="center" shrinkToFit="1"/>
    </xf>
    <xf numFmtId="37" fontId="45" fillId="0" borderId="163" xfId="22" applyNumberFormat="1" applyFont="1" applyBorder="1" applyAlignment="1">
      <alignment horizontal="center" vertical="center" shrinkToFit="1"/>
    </xf>
    <xf numFmtId="37" fontId="45" fillId="27" borderId="134" xfId="22" applyNumberFormat="1" applyFont="1" applyFill="1" applyBorder="1" applyAlignment="1">
      <alignment horizontal="center" vertical="center" shrinkToFit="1"/>
    </xf>
    <xf numFmtId="37" fontId="45" fillId="27" borderId="157" xfId="22" applyNumberFormat="1" applyFont="1" applyFill="1" applyBorder="1" applyAlignment="1">
      <alignment horizontal="center" vertical="center" shrinkToFit="1"/>
    </xf>
    <xf numFmtId="37" fontId="45" fillId="27" borderId="164" xfId="22" applyNumberFormat="1" applyFont="1" applyFill="1" applyBorder="1" applyAlignment="1">
      <alignment horizontal="center" vertical="center" shrinkToFit="1"/>
    </xf>
    <xf numFmtId="37" fontId="45" fillId="27" borderId="136" xfId="22" applyNumberFormat="1" applyFont="1" applyFill="1" applyBorder="1" applyAlignment="1">
      <alignment horizontal="center" vertical="center" shrinkToFit="1"/>
    </xf>
    <xf numFmtId="37" fontId="45" fillId="27" borderId="156" xfId="22" applyNumberFormat="1" applyFont="1" applyFill="1" applyBorder="1" applyAlignment="1">
      <alignment horizontal="center" vertical="center" shrinkToFit="1"/>
    </xf>
    <xf numFmtId="37" fontId="45" fillId="27" borderId="163" xfId="22" applyNumberFormat="1" applyFont="1" applyFill="1" applyBorder="1" applyAlignment="1">
      <alignment horizontal="center" vertical="center" shrinkToFit="1"/>
    </xf>
    <xf numFmtId="37" fontId="45" fillId="27" borderId="128" xfId="22" applyNumberFormat="1" applyFont="1" applyFill="1" applyBorder="1" applyAlignment="1">
      <alignment horizontal="center" vertical="center" shrinkToFit="1"/>
    </xf>
    <xf numFmtId="37" fontId="45" fillId="27" borderId="139" xfId="22" applyNumberFormat="1" applyFont="1" applyFill="1" applyBorder="1" applyAlignment="1">
      <alignment horizontal="center" vertical="center" shrinkToFit="1"/>
    </xf>
    <xf numFmtId="0" fontId="46" fillId="14" borderId="138" xfId="21" applyFont="1" applyFill="1" applyBorder="1" applyAlignment="1">
      <alignment horizontal="center" vertical="center"/>
    </xf>
    <xf numFmtId="0" fontId="46" fillId="14" borderId="139" xfId="21" applyFont="1" applyFill="1" applyBorder="1" applyAlignment="1">
      <alignment horizontal="center" vertical="center"/>
    </xf>
    <xf numFmtId="37" fontId="45" fillId="27" borderId="137" xfId="22" applyNumberFormat="1" applyFont="1" applyFill="1" applyBorder="1" applyAlignment="1">
      <alignment horizontal="center" vertical="center" shrinkToFit="1"/>
    </xf>
    <xf numFmtId="37" fontId="45" fillId="27" borderId="144" xfId="22" applyNumberFormat="1" applyFont="1" applyFill="1" applyBorder="1" applyAlignment="1">
      <alignment horizontal="center" vertical="center" shrinkToFit="1"/>
    </xf>
    <xf numFmtId="37" fontId="45" fillId="27" borderId="145" xfId="22" applyNumberFormat="1" applyFont="1" applyFill="1" applyBorder="1" applyAlignment="1">
      <alignment horizontal="center" vertical="center" shrinkToFit="1"/>
    </xf>
    <xf numFmtId="37" fontId="45" fillId="27" borderId="148" xfId="22" applyNumberFormat="1" applyFont="1" applyFill="1" applyBorder="1" applyAlignment="1">
      <alignment horizontal="center" vertical="center" shrinkToFit="1"/>
    </xf>
    <xf numFmtId="37" fontId="45" fillId="27" borderId="166" xfId="22" applyNumberFormat="1" applyFont="1" applyFill="1" applyBorder="1" applyAlignment="1">
      <alignment horizontal="center" vertical="center" shrinkToFit="1"/>
    </xf>
    <xf numFmtId="37" fontId="45" fillId="27" borderId="150" xfId="22" applyNumberFormat="1" applyFont="1" applyFill="1" applyBorder="1" applyAlignment="1">
      <alignment horizontal="center" vertical="center" shrinkToFit="1"/>
    </xf>
    <xf numFmtId="37" fontId="45" fillId="27" borderId="151" xfId="22" applyNumberFormat="1" applyFont="1" applyFill="1" applyBorder="1" applyAlignment="1">
      <alignment horizontal="center" vertical="center" shrinkToFit="1"/>
    </xf>
    <xf numFmtId="37" fontId="45" fillId="27" borderId="158" xfId="22" applyNumberFormat="1" applyFont="1" applyFill="1" applyBorder="1" applyAlignment="1">
      <alignment horizontal="center" vertical="center" shrinkToFit="1"/>
    </xf>
    <xf numFmtId="37" fontId="45" fillId="27" borderId="165" xfId="22" applyNumberFormat="1" applyFont="1" applyFill="1" applyBorder="1" applyAlignment="1">
      <alignment horizontal="center" vertical="center" shrinkToFit="1"/>
    </xf>
    <xf numFmtId="37" fontId="45" fillId="27" borderId="126" xfId="22" applyNumberFormat="1" applyFont="1" applyFill="1" applyBorder="1" applyAlignment="1">
      <alignment horizontal="center" vertical="center" shrinkToFit="1"/>
    </xf>
    <xf numFmtId="37" fontId="45" fillId="27" borderId="146" xfId="22" applyNumberFormat="1" applyFont="1" applyFill="1" applyBorder="1" applyAlignment="1">
      <alignment horizontal="center" vertical="center" shrinkToFit="1"/>
    </xf>
    <xf numFmtId="0" fontId="46" fillId="14" borderId="145" xfId="21" applyFont="1" applyFill="1" applyBorder="1" applyAlignment="1">
      <alignment horizontal="center" vertical="center"/>
    </xf>
    <xf numFmtId="0" fontId="46" fillId="14" borderId="146" xfId="21" applyFont="1" applyFill="1" applyBorder="1" applyAlignment="1">
      <alignment horizontal="center" vertical="center"/>
    </xf>
    <xf numFmtId="37" fontId="45" fillId="27" borderId="133" xfId="22" applyNumberFormat="1" applyFont="1" applyFill="1" applyBorder="1" applyAlignment="1">
      <alignment horizontal="center" vertical="center" shrinkToFit="1"/>
    </xf>
    <xf numFmtId="37" fontId="45" fillId="27" borderId="143" xfId="22" applyNumberFormat="1" applyFont="1" applyFill="1" applyBorder="1" applyAlignment="1">
      <alignment horizontal="center" vertical="center" shrinkToFit="1"/>
    </xf>
    <xf numFmtId="37" fontId="45" fillId="27" borderId="168" xfId="22" applyNumberFormat="1" applyFont="1" applyFill="1" applyBorder="1" applyAlignment="1">
      <alignment horizontal="center" vertical="center" shrinkToFit="1"/>
    </xf>
    <xf numFmtId="37" fontId="45" fillId="27" borderId="170" xfId="22" applyNumberFormat="1" applyFont="1" applyFill="1" applyBorder="1" applyAlignment="1">
      <alignment horizontal="center" vertical="center" shrinkToFit="1"/>
    </xf>
    <xf numFmtId="37" fontId="45" fillId="27" borderId="167" xfId="22" applyNumberFormat="1" applyFont="1" applyFill="1" applyBorder="1" applyAlignment="1">
      <alignment horizontal="center" vertical="center" shrinkToFit="1"/>
    </xf>
    <xf numFmtId="37" fontId="45" fillId="27" borderId="169" xfId="22" applyNumberFormat="1" applyFont="1" applyFill="1" applyBorder="1" applyAlignment="1">
      <alignment horizontal="center" vertical="center" shrinkToFit="1"/>
    </xf>
    <xf numFmtId="37" fontId="45" fillId="27" borderId="162" xfId="22" applyNumberFormat="1" applyFont="1" applyFill="1" applyBorder="1" applyAlignment="1">
      <alignment horizontal="center" vertical="center" shrinkToFit="1"/>
    </xf>
    <xf numFmtId="37" fontId="45" fillId="27" borderId="171" xfId="22" applyNumberFormat="1" applyFont="1" applyFill="1" applyBorder="1" applyAlignment="1">
      <alignment horizontal="center" vertical="center" shrinkToFit="1"/>
    </xf>
    <xf numFmtId="37" fontId="45" fillId="27" borderId="174" xfId="22" applyNumberFormat="1" applyFont="1" applyFill="1" applyBorder="1" applyAlignment="1">
      <alignment horizontal="center" vertical="center" shrinkToFit="1"/>
    </xf>
    <xf numFmtId="37" fontId="45" fillId="27" borderId="172" xfId="22" applyNumberFormat="1" applyFont="1" applyFill="1" applyBorder="1" applyAlignment="1">
      <alignment horizontal="center" vertical="center" shrinkToFit="1"/>
    </xf>
    <xf numFmtId="37" fontId="45" fillId="27" borderId="175" xfId="22" applyNumberFormat="1" applyFont="1" applyFill="1" applyBorder="1" applyAlignment="1">
      <alignment horizontal="center" vertical="center" shrinkToFit="1"/>
    </xf>
    <xf numFmtId="37" fontId="45" fillId="27" borderId="173" xfId="22" applyNumberFormat="1" applyFont="1" applyFill="1" applyBorder="1" applyAlignment="1">
      <alignment horizontal="center" vertical="center" shrinkToFit="1"/>
    </xf>
    <xf numFmtId="37" fontId="45" fillId="27" borderId="176" xfId="22" applyNumberFormat="1" applyFont="1" applyFill="1" applyBorder="1" applyAlignment="1">
      <alignment horizontal="center" vertical="center" shrinkToFit="1"/>
    </xf>
    <xf numFmtId="37" fontId="45" fillId="27" borderId="155" xfId="22" applyNumberFormat="1" applyFont="1" applyFill="1" applyBorder="1" applyAlignment="1">
      <alignment horizontal="center" vertical="center" shrinkToFit="1"/>
    </xf>
    <xf numFmtId="37" fontId="45" fillId="27" borderId="178" xfId="22" applyNumberFormat="1" applyFont="1" applyFill="1" applyBorder="1" applyAlignment="1">
      <alignment horizontal="center" vertical="center" shrinkToFit="1"/>
    </xf>
    <xf numFmtId="0" fontId="46" fillId="14" borderId="159" xfId="21" applyFont="1" applyFill="1" applyBorder="1" applyAlignment="1">
      <alignment horizontal="center" vertical="center"/>
    </xf>
    <xf numFmtId="0" fontId="46" fillId="14" borderId="177" xfId="21" applyFont="1" applyFill="1" applyBorder="1" applyAlignment="1">
      <alignment horizontal="center" vertical="center"/>
    </xf>
    <xf numFmtId="37" fontId="45" fillId="27" borderId="142" xfId="22" applyNumberFormat="1" applyFont="1" applyFill="1" applyBorder="1" applyAlignment="1">
      <alignment horizontal="center" vertical="center" shrinkToFit="1"/>
    </xf>
    <xf numFmtId="37" fontId="45" fillId="27" borderId="141" xfId="22" applyNumberFormat="1" applyFont="1" applyFill="1" applyBorder="1" applyAlignment="1">
      <alignment horizontal="center" vertical="center" shrinkToFit="1"/>
    </xf>
    <xf numFmtId="0" fontId="46" fillId="14" borderId="171" xfId="21" applyFont="1" applyFill="1" applyBorder="1" applyAlignment="1">
      <alignment horizontal="center" vertical="center"/>
    </xf>
    <xf numFmtId="0" fontId="46" fillId="14" borderId="179" xfId="21" applyFont="1" applyFill="1" applyBorder="1" applyAlignment="1">
      <alignment horizontal="center" vertical="center"/>
    </xf>
    <xf numFmtId="0" fontId="46" fillId="14" borderId="174" xfId="21" applyFont="1" applyFill="1" applyBorder="1" applyAlignment="1">
      <alignment horizontal="center" vertical="center"/>
    </xf>
    <xf numFmtId="0" fontId="46" fillId="14" borderId="180" xfId="21" applyFont="1" applyFill="1" applyBorder="1" applyAlignment="1">
      <alignment horizontal="center" vertical="center"/>
    </xf>
    <xf numFmtId="37" fontId="45" fillId="0" borderId="134" xfId="22" applyNumberFormat="1" applyFont="1" applyBorder="1" applyAlignment="1">
      <alignment horizontal="center" vertical="center" shrinkToFit="1"/>
    </xf>
    <xf numFmtId="37" fontId="45" fillId="0" borderId="157" xfId="22" applyNumberFormat="1" applyFont="1" applyBorder="1" applyAlignment="1">
      <alignment horizontal="center" vertical="center" shrinkToFit="1"/>
    </xf>
    <xf numFmtId="37" fontId="45" fillId="0" borderId="164" xfId="22" applyNumberFormat="1" applyFont="1" applyBorder="1" applyAlignment="1">
      <alignment horizontal="center" vertical="center" shrinkToFit="1"/>
    </xf>
    <xf numFmtId="0" fontId="39" fillId="2" borderId="0" xfId="2" applyNumberFormat="1" applyFont="1" applyFill="1" applyAlignment="1">
      <alignment horizontal="center" vertical="center"/>
    </xf>
    <xf numFmtId="0" fontId="41" fillId="2" borderId="25" xfId="2" applyNumberFormat="1" applyFont="1" applyFill="1" applyBorder="1" applyAlignment="1">
      <alignment horizontal="center" vertical="center"/>
    </xf>
    <xf numFmtId="0" fontId="41" fillId="2" borderId="18" xfId="2" applyNumberFormat="1" applyFont="1" applyFill="1" applyBorder="1" applyAlignment="1">
      <alignment horizontal="center" vertical="center"/>
    </xf>
    <xf numFmtId="0" fontId="41" fillId="2" borderId="16" xfId="2" applyNumberFormat="1" applyFont="1" applyFill="1" applyBorder="1" applyAlignment="1">
      <alignment horizontal="center" vertical="center"/>
    </xf>
    <xf numFmtId="10" fontId="19" fillId="0" borderId="0" xfId="1" applyNumberFormat="1" applyFont="1" applyAlignment="1">
      <alignment horizontal="center" vertical="center"/>
    </xf>
    <xf numFmtId="177" fontId="19" fillId="0" borderId="0" xfId="2" applyNumberFormat="1" applyFont="1" applyAlignment="1">
      <alignment horizontal="center" vertical="center"/>
    </xf>
    <xf numFmtId="41" fontId="19" fillId="0" borderId="0" xfId="2" applyFont="1" applyAlignment="1">
      <alignment horizontal="center" vertical="center"/>
    </xf>
    <xf numFmtId="0" fontId="9" fillId="7" borderId="0" xfId="0" applyFont="1" applyFill="1" applyAlignment="1">
      <alignment horizontal="center" vertical="center" shrinkToFit="1"/>
    </xf>
    <xf numFmtId="0" fontId="9" fillId="3" borderId="0" xfId="0" applyFont="1" applyFill="1" applyAlignment="1">
      <alignment horizontal="center" vertical="center"/>
    </xf>
    <xf numFmtId="0" fontId="20" fillId="23" borderId="29" xfId="0" applyFont="1" applyFill="1" applyBorder="1" applyAlignment="1">
      <alignment horizontal="center" vertical="center"/>
    </xf>
    <xf numFmtId="0" fontId="20" fillId="23" borderId="27" xfId="0" applyFont="1" applyFill="1" applyBorder="1" applyAlignment="1">
      <alignment horizontal="center" vertical="center"/>
    </xf>
    <xf numFmtId="0" fontId="20" fillId="23" borderId="28" xfId="0" applyFont="1" applyFill="1" applyBorder="1" applyAlignment="1">
      <alignment horizontal="center" vertical="center"/>
    </xf>
    <xf numFmtId="0" fontId="20" fillId="24" borderId="29" xfId="0" applyFont="1" applyFill="1" applyBorder="1" applyAlignment="1">
      <alignment horizontal="center" vertical="center"/>
    </xf>
    <xf numFmtId="0" fontId="20" fillId="24" borderId="27" xfId="0" applyFont="1" applyFill="1" applyBorder="1" applyAlignment="1">
      <alignment horizontal="center" vertical="center"/>
    </xf>
    <xf numFmtId="0" fontId="20" fillId="24" borderId="28" xfId="0" applyFont="1" applyFill="1" applyBorder="1" applyAlignment="1">
      <alignment horizontal="center" vertical="center"/>
    </xf>
    <xf numFmtId="0" fontId="20" fillId="12" borderId="26" xfId="0" applyFont="1" applyFill="1" applyBorder="1" applyAlignment="1">
      <alignment horizontal="center" vertical="center" shrinkToFit="1"/>
    </xf>
    <xf numFmtId="0" fontId="20" fillId="12" borderId="19" xfId="0" applyFont="1" applyFill="1" applyBorder="1" applyAlignment="1">
      <alignment horizontal="center" vertical="center" shrinkToFit="1"/>
    </xf>
    <xf numFmtId="0" fontId="20" fillId="12" borderId="20" xfId="0" applyFont="1" applyFill="1" applyBorder="1" applyAlignment="1">
      <alignment horizontal="center" vertical="center" shrinkToFit="1"/>
    </xf>
    <xf numFmtId="0" fontId="20" fillId="13" borderId="17" xfId="0" applyFont="1" applyFill="1" applyBorder="1" applyAlignment="1">
      <alignment horizontal="center" vertical="center"/>
    </xf>
    <xf numFmtId="0" fontId="20" fillId="13" borderId="20" xfId="0" applyFont="1" applyFill="1" applyBorder="1" applyAlignment="1">
      <alignment horizontal="center" vertical="center"/>
    </xf>
    <xf numFmtId="0" fontId="9" fillId="2" borderId="2" xfId="0" applyFont="1" applyFill="1" applyBorder="1" applyAlignment="1">
      <alignment horizontal="center" vertical="center" shrinkToFit="1"/>
    </xf>
    <xf numFmtId="0" fontId="9" fillId="2" borderId="3" xfId="0" applyFont="1" applyFill="1" applyBorder="1" applyAlignment="1">
      <alignment horizontal="center" vertical="center" shrinkToFit="1"/>
    </xf>
    <xf numFmtId="0" fontId="20" fillId="14" borderId="2" xfId="0" applyFont="1" applyFill="1" applyBorder="1" applyAlignment="1">
      <alignment horizontal="center" vertical="center"/>
    </xf>
    <xf numFmtId="0" fontId="20" fillId="14" borderId="14" xfId="0" applyFont="1" applyFill="1" applyBorder="1" applyAlignment="1">
      <alignment horizontal="center" vertical="center"/>
    </xf>
    <xf numFmtId="0" fontId="20" fillId="14" borderId="3" xfId="0" applyFont="1" applyFill="1" applyBorder="1" applyAlignment="1">
      <alignment horizontal="center" vertical="center"/>
    </xf>
    <xf numFmtId="0" fontId="20" fillId="12" borderId="17" xfId="0" applyFont="1" applyFill="1" applyBorder="1" applyAlignment="1">
      <alignment horizontal="center" vertical="center" shrinkToFit="1"/>
    </xf>
    <xf numFmtId="0" fontId="20" fillId="12" borderId="16" xfId="0" applyFont="1" applyFill="1" applyBorder="1" applyAlignment="1">
      <alignment horizontal="center" vertical="center" shrinkToFit="1"/>
    </xf>
    <xf numFmtId="0" fontId="43" fillId="2" borderId="2" xfId="0" applyFont="1" applyFill="1" applyBorder="1" applyAlignment="1">
      <alignment horizontal="center" vertical="center" shrinkToFit="1"/>
    </xf>
    <xf numFmtId="0" fontId="20" fillId="10" borderId="2" xfId="0" applyFont="1" applyFill="1" applyBorder="1" applyAlignment="1">
      <alignment horizontal="center" vertical="center"/>
    </xf>
    <xf numFmtId="0" fontId="20" fillId="10" borderId="15" xfId="0" applyFont="1" applyFill="1" applyBorder="1" applyAlignment="1">
      <alignment horizontal="center" vertical="center"/>
    </xf>
    <xf numFmtId="0" fontId="20" fillId="10" borderId="24" xfId="0" applyFont="1" applyFill="1" applyBorder="1" applyAlignment="1">
      <alignment horizontal="center" vertical="center"/>
    </xf>
    <xf numFmtId="0" fontId="9" fillId="2" borderId="29" xfId="0" applyFont="1" applyFill="1" applyBorder="1" applyAlignment="1">
      <alignment horizontal="center" vertical="center" shrinkToFit="1"/>
    </xf>
    <xf numFmtId="0" fontId="9" fillId="2" borderId="28" xfId="0" applyFont="1" applyFill="1" applyBorder="1" applyAlignment="1">
      <alignment horizontal="center" vertical="center" shrinkToFit="1"/>
    </xf>
    <xf numFmtId="0" fontId="20" fillId="12" borderId="18" xfId="0" applyFont="1" applyFill="1" applyBorder="1" applyAlignment="1">
      <alignment horizontal="center" vertical="center" shrinkToFit="1"/>
    </xf>
    <xf numFmtId="0" fontId="20" fillId="14" borderId="29" xfId="0" applyFont="1" applyFill="1" applyBorder="1" applyAlignment="1">
      <alignment horizontal="center" vertical="center"/>
    </xf>
    <xf numFmtId="0" fontId="20" fillId="14" borderId="27" xfId="0" applyFont="1" applyFill="1" applyBorder="1" applyAlignment="1">
      <alignment horizontal="center" vertical="center"/>
    </xf>
    <xf numFmtId="0" fontId="20" fillId="14" borderId="28" xfId="0" applyFont="1" applyFill="1" applyBorder="1" applyAlignment="1">
      <alignment horizontal="center" vertical="center"/>
    </xf>
    <xf numFmtId="0" fontId="20" fillId="26" borderId="17" xfId="0" applyFont="1" applyFill="1" applyBorder="1" applyAlignment="1">
      <alignment horizontal="center" vertical="center"/>
    </xf>
    <xf numFmtId="0" fontId="20" fillId="26" borderId="20" xfId="0" applyFont="1" applyFill="1" applyBorder="1" applyAlignment="1">
      <alignment horizontal="center" vertical="center"/>
    </xf>
    <xf numFmtId="0" fontId="20" fillId="5" borderId="17" xfId="0" applyFont="1" applyFill="1" applyBorder="1" applyAlignment="1">
      <alignment horizontal="center" vertical="center"/>
    </xf>
    <xf numFmtId="0" fontId="20" fillId="5" borderId="19" xfId="0" applyFont="1" applyFill="1" applyBorder="1" applyAlignment="1">
      <alignment horizontal="center" vertical="center"/>
    </xf>
    <xf numFmtId="0" fontId="20" fillId="5" borderId="20" xfId="0" applyFont="1" applyFill="1" applyBorder="1" applyAlignment="1">
      <alignment horizontal="center" vertical="center"/>
    </xf>
    <xf numFmtId="0" fontId="20" fillId="11" borderId="2" xfId="0" applyFont="1" applyFill="1" applyBorder="1" applyAlignment="1">
      <alignment horizontal="center" vertical="center"/>
    </xf>
    <xf numFmtId="0" fontId="20" fillId="11" borderId="29" xfId="0" applyFont="1" applyFill="1" applyBorder="1" applyAlignment="1">
      <alignment horizontal="center" vertical="center"/>
    </xf>
    <xf numFmtId="0" fontId="50" fillId="12" borderId="17" xfId="0" applyFont="1" applyFill="1" applyBorder="1" applyAlignment="1">
      <alignment horizontal="center" vertical="center" shrinkToFit="1"/>
    </xf>
    <xf numFmtId="0" fontId="7" fillId="2" borderId="2" xfId="0" applyFont="1" applyFill="1" applyBorder="1" applyAlignment="1">
      <alignment horizontal="center" vertical="center" shrinkToFit="1"/>
    </xf>
    <xf numFmtId="41" fontId="35" fillId="0" borderId="29" xfId="2" applyFont="1" applyBorder="1" applyAlignment="1">
      <alignment horizontal="center" vertical="center"/>
    </xf>
    <xf numFmtId="41" fontId="35" fillId="0" borderId="28" xfId="2" applyFont="1" applyBorder="1" applyAlignment="1">
      <alignment horizontal="center" vertical="center"/>
    </xf>
    <xf numFmtId="41" fontId="35" fillId="25" borderId="25" xfId="2" applyFont="1" applyFill="1" applyBorder="1" applyAlignment="1">
      <alignment horizontal="center" vertical="center"/>
    </xf>
    <xf numFmtId="41" fontId="35" fillId="25" borderId="16" xfId="2" applyFont="1" applyFill="1" applyBorder="1" applyAlignment="1">
      <alignment horizontal="center" vertical="center"/>
    </xf>
    <xf numFmtId="41" fontId="35" fillId="0" borderId="24" xfId="2" applyFont="1" applyBorder="1" applyAlignment="1">
      <alignment horizontal="center" vertical="center"/>
    </xf>
    <xf numFmtId="41" fontId="35" fillId="0" borderId="26" xfId="2" applyFont="1" applyBorder="1" applyAlignment="1">
      <alignment horizontal="center" vertical="center"/>
    </xf>
    <xf numFmtId="41" fontId="35" fillId="0" borderId="181" xfId="2" applyFont="1" applyBorder="1" applyAlignment="1">
      <alignment horizontal="center" vertical="center"/>
    </xf>
    <xf numFmtId="41" fontId="35" fillId="0" borderId="64" xfId="2" applyFont="1" applyBorder="1" applyAlignment="1">
      <alignment horizontal="center" vertical="center"/>
    </xf>
    <xf numFmtId="41" fontId="35" fillId="0" borderId="20" xfId="2" applyFont="1" applyBorder="1" applyAlignment="1">
      <alignment horizontal="center" vertical="center"/>
    </xf>
    <xf numFmtId="41" fontId="35" fillId="0" borderId="22" xfId="2" applyFont="1" applyBorder="1" applyAlignment="1">
      <alignment horizontal="center" vertical="center"/>
    </xf>
    <xf numFmtId="41" fontId="35" fillId="0" borderId="182" xfId="2" applyFont="1" applyBorder="1" applyAlignment="1">
      <alignment horizontal="center" vertical="center"/>
    </xf>
    <xf numFmtId="41" fontId="49" fillId="0" borderId="24" xfId="2" applyFont="1" applyBorder="1" applyAlignment="1">
      <alignment horizontal="center" vertical="center"/>
    </xf>
    <xf numFmtId="41" fontId="35" fillId="25" borderId="29" xfId="2" applyFont="1" applyFill="1" applyBorder="1" applyAlignment="1">
      <alignment horizontal="center" vertical="center"/>
    </xf>
    <xf numFmtId="41" fontId="35" fillId="25" borderId="27" xfId="2" applyFont="1" applyFill="1" applyBorder="1" applyAlignment="1">
      <alignment horizontal="center" vertical="center"/>
    </xf>
    <xf numFmtId="41" fontId="35" fillId="25" borderId="28" xfId="2" applyFont="1" applyFill="1" applyBorder="1" applyAlignment="1">
      <alignment horizontal="center" vertical="center"/>
    </xf>
    <xf numFmtId="41" fontId="35" fillId="0" borderId="19" xfId="2" applyFont="1" applyBorder="1" applyAlignment="1">
      <alignment horizontal="center" vertical="center"/>
    </xf>
    <xf numFmtId="41" fontId="35" fillId="0" borderId="183" xfId="2" applyFont="1" applyBorder="1" applyAlignment="1">
      <alignment horizontal="center" vertical="center"/>
    </xf>
    <xf numFmtId="0" fontId="19" fillId="0" borderId="0" xfId="0" applyFont="1" applyAlignment="1">
      <alignment horizontal="center" vertical="center" shrinkToFit="1"/>
    </xf>
    <xf numFmtId="41" fontId="19" fillId="0" borderId="0" xfId="2" applyFont="1" applyAlignment="1">
      <alignment horizontal="center" vertical="center" shrinkToFit="1"/>
    </xf>
    <xf numFmtId="0" fontId="19" fillId="0" borderId="22" xfId="0" applyFont="1" applyBorder="1" applyAlignment="1">
      <alignment horizontal="center" vertical="center"/>
    </xf>
    <xf numFmtId="0" fontId="19" fillId="0" borderId="0" xfId="0" applyFont="1" applyAlignment="1">
      <alignment horizontal="center" vertical="center"/>
    </xf>
    <xf numFmtId="0" fontId="19" fillId="22" borderId="39" xfId="0" applyFont="1" applyFill="1" applyBorder="1" applyAlignment="1">
      <alignment horizontal="center" vertical="center"/>
    </xf>
    <xf numFmtId="0" fontId="19" fillId="22" borderId="35" xfId="0" applyFont="1" applyFill="1" applyBorder="1" applyAlignment="1">
      <alignment horizontal="center" vertical="center"/>
    </xf>
    <xf numFmtId="0" fontId="19" fillId="22" borderId="37" xfId="0" applyFont="1" applyFill="1" applyBorder="1" applyAlignment="1">
      <alignment horizontal="center" vertical="center"/>
    </xf>
    <xf numFmtId="0" fontId="19" fillId="0" borderId="29" xfId="0" applyFont="1" applyBorder="1" applyAlignment="1">
      <alignment horizontal="center" vertical="center"/>
    </xf>
    <xf numFmtId="0" fontId="19" fillId="0" borderId="28" xfId="0" applyFont="1" applyBorder="1" applyAlignment="1">
      <alignment horizontal="center" vertical="center"/>
    </xf>
    <xf numFmtId="0" fontId="7" fillId="2" borderId="15" xfId="0" applyFont="1" applyFill="1" applyBorder="1" applyAlignment="1">
      <alignment horizontal="center" vertical="center" shrinkToFit="1"/>
    </xf>
    <xf numFmtId="41" fontId="9" fillId="2" borderId="15" xfId="2" applyFont="1" applyFill="1" applyBorder="1" applyAlignment="1">
      <alignment horizontal="center" vertical="center" shrinkToFit="1"/>
    </xf>
    <xf numFmtId="0" fontId="9" fillId="0" borderId="0" xfId="0" applyFont="1" applyAlignment="1">
      <alignment horizontal="center" vertical="center"/>
    </xf>
    <xf numFmtId="0" fontId="13" fillId="0" borderId="0" xfId="0" applyFont="1" applyAlignment="1">
      <alignment horizontal="center" vertical="center"/>
    </xf>
    <xf numFmtId="0" fontId="9" fillId="0" borderId="0" xfId="0" applyFont="1" applyAlignment="1">
      <alignment horizontal="center" vertical="center" shrinkToFit="1"/>
    </xf>
    <xf numFmtId="0" fontId="9" fillId="0" borderId="2" xfId="0" applyFont="1" applyBorder="1" applyAlignment="1">
      <alignment horizontal="center" vertical="center" wrapText="1" shrinkToFit="1"/>
    </xf>
    <xf numFmtId="0" fontId="9" fillId="0" borderId="14" xfId="0" applyFont="1" applyBorder="1" applyAlignment="1">
      <alignment horizontal="center" vertical="center" wrapText="1" shrinkToFit="1"/>
    </xf>
    <xf numFmtId="0" fontId="9" fillId="0" borderId="3" xfId="0" applyFont="1" applyBorder="1" applyAlignment="1">
      <alignment horizontal="center" vertical="center" wrapText="1" shrinkToFit="1"/>
    </xf>
    <xf numFmtId="0" fontId="9" fillId="0" borderId="15" xfId="0" applyFont="1" applyBorder="1" applyAlignment="1">
      <alignment horizontal="center" vertical="center" wrapText="1" shrinkToFit="1"/>
    </xf>
    <xf numFmtId="0" fontId="9" fillId="0" borderId="15" xfId="0" applyFont="1" applyBorder="1" applyAlignment="1">
      <alignment horizontal="center" vertical="center" shrinkToFit="1"/>
    </xf>
    <xf numFmtId="179" fontId="9" fillId="0" borderId="15" xfId="0" applyNumberFormat="1" applyFont="1" applyBorder="1" applyAlignment="1">
      <alignment horizontal="center" vertical="center" shrinkToFit="1"/>
    </xf>
    <xf numFmtId="180" fontId="9" fillId="0" borderId="15" xfId="0" applyNumberFormat="1" applyFont="1" applyBorder="1" applyAlignment="1">
      <alignment horizontal="center" vertical="center" shrinkToFit="1"/>
    </xf>
    <xf numFmtId="0" fontId="9" fillId="0" borderId="15" xfId="0" quotePrefix="1" applyFont="1" applyBorder="1" applyAlignment="1">
      <alignment horizontal="center" vertical="center" shrinkToFit="1"/>
    </xf>
    <xf numFmtId="0" fontId="9" fillId="0" borderId="4" xfId="0" applyFont="1" applyBorder="1" applyAlignment="1">
      <alignment horizontal="center" vertical="center" shrinkToFit="1"/>
    </xf>
    <xf numFmtId="0" fontId="9" fillId="0" borderId="16" xfId="0" applyFont="1" applyBorder="1" applyAlignment="1">
      <alignment horizontal="center" vertical="center" shrinkToFit="1"/>
    </xf>
    <xf numFmtId="0" fontId="19" fillId="0" borderId="6" xfId="0" applyFont="1" applyBorder="1" applyAlignment="1">
      <alignment horizontal="center" vertical="center" shrinkToFit="1"/>
    </xf>
    <xf numFmtId="0" fontId="19" fillId="0" borderId="9" xfId="0" applyFont="1" applyBorder="1" applyAlignment="1">
      <alignment horizontal="center" vertical="center" shrinkToFit="1"/>
    </xf>
    <xf numFmtId="0" fontId="19" fillId="0" borderId="11" xfId="0" applyFont="1" applyBorder="1" applyAlignment="1">
      <alignment horizontal="center" vertical="center" shrinkToFit="1"/>
    </xf>
    <xf numFmtId="14" fontId="19" fillId="0" borderId="7" xfId="0" applyNumberFormat="1" applyFont="1" applyBorder="1" applyAlignment="1">
      <alignment horizontal="center" vertical="center" shrinkToFit="1"/>
    </xf>
    <xf numFmtId="14" fontId="19" fillId="0" borderId="5" xfId="0" applyNumberFormat="1" applyFont="1" applyBorder="1" applyAlignment="1">
      <alignment horizontal="center" vertical="center" shrinkToFit="1"/>
    </xf>
    <xf numFmtId="0" fontId="19" fillId="0" borderId="5" xfId="0" applyFont="1" applyBorder="1" applyAlignment="1">
      <alignment horizontal="center" vertical="center" shrinkToFit="1"/>
    </xf>
    <xf numFmtId="0" fontId="19" fillId="0" borderId="12" xfId="0" applyFont="1" applyBorder="1" applyAlignment="1">
      <alignment horizontal="center" vertical="center" shrinkToFit="1"/>
    </xf>
    <xf numFmtId="182" fontId="19" fillId="0" borderId="7" xfId="0" applyNumberFormat="1" applyFont="1" applyBorder="1" applyAlignment="1">
      <alignment horizontal="center" vertical="center" shrinkToFit="1"/>
    </xf>
    <xf numFmtId="182" fontId="19" fillId="0" borderId="5" xfId="0" applyNumberFormat="1" applyFont="1" applyBorder="1" applyAlignment="1">
      <alignment horizontal="center" vertical="center" shrinkToFit="1"/>
    </xf>
    <xf numFmtId="182" fontId="19" fillId="0" borderId="12" xfId="0" applyNumberFormat="1" applyFont="1" applyBorder="1" applyAlignment="1">
      <alignment horizontal="center" vertical="center" shrinkToFit="1"/>
    </xf>
    <xf numFmtId="0" fontId="34" fillId="0" borderId="7" xfId="0" applyFont="1" applyBorder="1" applyAlignment="1">
      <alignment horizontal="center" vertical="center" shrinkToFit="1"/>
    </xf>
    <xf numFmtId="0" fontId="34" fillId="0" borderId="5" xfId="0" applyFont="1" applyBorder="1" applyAlignment="1">
      <alignment horizontal="center" vertical="center" shrinkToFit="1"/>
    </xf>
    <xf numFmtId="0" fontId="34" fillId="0" borderId="12" xfId="0" applyFont="1" applyBorder="1" applyAlignment="1">
      <alignment horizontal="center" vertical="center" shrinkToFit="1"/>
    </xf>
    <xf numFmtId="0" fontId="19" fillId="0" borderId="42" xfId="0" applyFont="1" applyBorder="1" applyAlignment="1">
      <alignment horizontal="center" vertical="center" shrinkToFit="1"/>
    </xf>
    <xf numFmtId="0" fontId="19" fillId="0" borderId="43" xfId="0" applyFont="1" applyBorder="1" applyAlignment="1">
      <alignment horizontal="center" vertical="center" shrinkToFit="1"/>
    </xf>
    <xf numFmtId="0" fontId="19" fillId="0" borderId="41" xfId="0" applyFont="1" applyBorder="1" applyAlignment="1">
      <alignment horizontal="center" vertical="center" shrinkToFit="1"/>
    </xf>
    <xf numFmtId="0" fontId="19" fillId="0" borderId="42" xfId="0" applyFont="1" applyBorder="1" applyAlignment="1">
      <alignment horizontal="center" vertical="center" wrapText="1" shrinkToFit="1"/>
    </xf>
    <xf numFmtId="0" fontId="19" fillId="0" borderId="43" xfId="0" applyFont="1" applyBorder="1" applyAlignment="1">
      <alignment horizontal="center" vertical="center" wrapText="1" shrinkToFit="1"/>
    </xf>
    <xf numFmtId="0" fontId="19" fillId="0" borderId="41" xfId="0" applyFont="1" applyBorder="1" applyAlignment="1">
      <alignment horizontal="center" vertical="center" wrapText="1" shrinkToFit="1"/>
    </xf>
    <xf numFmtId="0" fontId="34" fillId="0" borderId="7" xfId="0" applyFont="1" applyBorder="1" applyAlignment="1">
      <alignment horizontal="center" vertical="center" wrapText="1" shrinkToFit="1"/>
    </xf>
    <xf numFmtId="0" fontId="19" fillId="0" borderId="7" xfId="0" applyFont="1" applyBorder="1" applyAlignment="1">
      <alignment horizontal="center" vertical="center" shrinkToFit="1"/>
    </xf>
    <xf numFmtId="0" fontId="19" fillId="0" borderId="7" xfId="0" applyFont="1" applyBorder="1" applyAlignment="1">
      <alignment horizontal="center" vertical="center" wrapText="1" shrinkToFit="1"/>
    </xf>
    <xf numFmtId="0" fontId="19" fillId="0" borderId="5" xfId="0" applyFont="1" applyBorder="1" applyAlignment="1">
      <alignment horizontal="center" vertical="center" wrapText="1" shrinkToFit="1"/>
    </xf>
    <xf numFmtId="0" fontId="19" fillId="3" borderId="42" xfId="0" applyFont="1" applyFill="1" applyBorder="1" applyAlignment="1">
      <alignment horizontal="center" vertical="center" shrinkToFit="1"/>
    </xf>
    <xf numFmtId="0" fontId="19" fillId="3" borderId="43" xfId="0" applyFont="1" applyFill="1" applyBorder="1" applyAlignment="1">
      <alignment horizontal="center" vertical="center" shrinkToFit="1"/>
    </xf>
    <xf numFmtId="0" fontId="19" fillId="3" borderId="41" xfId="0" applyFont="1" applyFill="1" applyBorder="1" applyAlignment="1">
      <alignment horizontal="center" vertical="center" shrinkToFit="1"/>
    </xf>
    <xf numFmtId="14" fontId="19" fillId="0" borderId="42" xfId="0" applyNumberFormat="1" applyFont="1" applyBorder="1" applyAlignment="1">
      <alignment horizontal="center" vertical="center" shrinkToFit="1"/>
    </xf>
    <xf numFmtId="14" fontId="19" fillId="0" borderId="43" xfId="0" applyNumberFormat="1" applyFont="1" applyBorder="1" applyAlignment="1">
      <alignment horizontal="center" vertical="center" shrinkToFit="1"/>
    </xf>
    <xf numFmtId="14" fontId="19" fillId="0" borderId="41" xfId="0" applyNumberFormat="1" applyFont="1" applyBorder="1" applyAlignment="1">
      <alignment horizontal="center" vertical="center" shrinkToFit="1"/>
    </xf>
    <xf numFmtId="182" fontId="19" fillId="0" borderId="42" xfId="0" applyNumberFormat="1" applyFont="1" applyBorder="1" applyAlignment="1">
      <alignment horizontal="center" vertical="center" shrinkToFit="1"/>
    </xf>
    <xf numFmtId="182" fontId="19" fillId="0" borderId="43" xfId="0" applyNumberFormat="1" applyFont="1" applyBorder="1" applyAlignment="1">
      <alignment horizontal="center" vertical="center" shrinkToFit="1"/>
    </xf>
    <xf numFmtId="182" fontId="19" fillId="0" borderId="41" xfId="0" applyNumberFormat="1" applyFont="1" applyBorder="1" applyAlignment="1">
      <alignment horizontal="center" vertical="center" shrinkToFit="1"/>
    </xf>
    <xf numFmtId="0" fontId="19" fillId="3" borderId="7" xfId="0" applyFont="1" applyFill="1" applyBorder="1" applyAlignment="1">
      <alignment horizontal="center" vertical="center" shrinkToFit="1"/>
    </xf>
    <xf numFmtId="0" fontId="19" fillId="3" borderId="5" xfId="0" applyFont="1" applyFill="1" applyBorder="1" applyAlignment="1">
      <alignment horizontal="center" vertical="center" shrinkToFit="1"/>
    </xf>
    <xf numFmtId="0" fontId="19" fillId="3" borderId="12" xfId="0" applyFont="1" applyFill="1" applyBorder="1" applyAlignment="1">
      <alignment horizontal="center" vertical="center" shrinkToFit="1"/>
    </xf>
    <xf numFmtId="0" fontId="19" fillId="0" borderId="12" xfId="0" applyFont="1" applyBorder="1" applyAlignment="1">
      <alignment horizontal="center" vertical="center" wrapText="1" shrinkToFit="1"/>
    </xf>
    <xf numFmtId="0" fontId="34" fillId="0" borderId="42" xfId="0" applyFont="1" applyBorder="1" applyAlignment="1">
      <alignment horizontal="center" vertical="center" wrapText="1" shrinkToFit="1"/>
    </xf>
    <xf numFmtId="0" fontId="34" fillId="0" borderId="43" xfId="0" applyFont="1" applyBorder="1" applyAlignment="1">
      <alignment horizontal="center" vertical="center" wrapText="1" shrinkToFit="1"/>
    </xf>
    <xf numFmtId="0" fontId="34" fillId="0" borderId="41" xfId="0" applyFont="1" applyBorder="1" applyAlignment="1">
      <alignment horizontal="center" vertical="center" wrapText="1" shrinkToFit="1"/>
    </xf>
    <xf numFmtId="0" fontId="19" fillId="0" borderId="39" xfId="0" applyFont="1" applyBorder="1" applyAlignment="1">
      <alignment horizontal="center" vertical="center" shrinkToFit="1"/>
    </xf>
    <xf numFmtId="0" fontId="19" fillId="0" borderId="35" xfId="0" applyFont="1" applyBorder="1" applyAlignment="1">
      <alignment horizontal="center" vertical="center" shrinkToFit="1"/>
    </xf>
    <xf numFmtId="0" fontId="19" fillId="0" borderId="37" xfId="0" applyFont="1" applyBorder="1" applyAlignment="1">
      <alignment horizontal="center" vertical="center" shrinkToFit="1"/>
    </xf>
    <xf numFmtId="0" fontId="34" fillId="8" borderId="42" xfId="0" applyFont="1" applyFill="1" applyBorder="1" applyAlignment="1">
      <alignment horizontal="center" vertical="center" wrapText="1" shrinkToFit="1"/>
    </xf>
    <xf numFmtId="0" fontId="34" fillId="8" borderId="43" xfId="0" applyFont="1" applyFill="1" applyBorder="1" applyAlignment="1">
      <alignment horizontal="center" vertical="center" wrapText="1" shrinkToFit="1"/>
    </xf>
    <xf numFmtId="0" fontId="34" fillId="8" borderId="41" xfId="0" applyFont="1" applyFill="1" applyBorder="1" applyAlignment="1">
      <alignment horizontal="center" vertical="center" wrapText="1" shrinkToFit="1"/>
    </xf>
    <xf numFmtId="0" fontId="1" fillId="2" borderId="2" xfId="19" applyFont="1" applyFill="1" applyBorder="1" applyAlignment="1">
      <alignment horizontal="center" vertical="center"/>
    </xf>
    <xf numFmtId="0" fontId="1" fillId="2" borderId="14" xfId="19" applyFont="1" applyFill="1" applyBorder="1" applyAlignment="1">
      <alignment horizontal="center" vertical="center"/>
    </xf>
    <xf numFmtId="0" fontId="1" fillId="2" borderId="3" xfId="19" applyFont="1" applyFill="1" applyBorder="1" applyAlignment="1">
      <alignment horizontal="center" vertical="center"/>
    </xf>
    <xf numFmtId="0" fontId="1" fillId="2" borderId="15" xfId="19" applyFont="1" applyFill="1" applyBorder="1" applyAlignment="1">
      <alignment horizontal="center" vertical="center"/>
    </xf>
    <xf numFmtId="0" fontId="1" fillId="2" borderId="24" xfId="19" applyFont="1" applyFill="1" applyBorder="1" applyAlignment="1">
      <alignment horizontal="center" vertical="center"/>
    </xf>
    <xf numFmtId="0" fontId="1" fillId="17" borderId="2" xfId="19" applyFont="1" applyFill="1" applyBorder="1" applyAlignment="1">
      <alignment horizontal="center" vertical="center"/>
    </xf>
    <xf numFmtId="0" fontId="1" fillId="17" borderId="3" xfId="19" applyFont="1" applyFill="1" applyBorder="1" applyAlignment="1">
      <alignment horizontal="center" vertical="center"/>
    </xf>
    <xf numFmtId="0" fontId="1" fillId="17" borderId="15" xfId="19" applyFont="1" applyFill="1" applyBorder="1" applyAlignment="1">
      <alignment horizontal="center" vertical="center"/>
    </xf>
    <xf numFmtId="0" fontId="1" fillId="2" borderId="25" xfId="19" applyFont="1" applyFill="1" applyBorder="1" applyAlignment="1">
      <alignment horizontal="center" vertical="center"/>
    </xf>
    <xf numFmtId="0" fontId="1" fillId="2" borderId="16" xfId="19" applyFont="1" applyFill="1" applyBorder="1" applyAlignment="1">
      <alignment horizontal="center" vertical="center"/>
    </xf>
    <xf numFmtId="0" fontId="22" fillId="2" borderId="15" xfId="17" applyFill="1" applyBorder="1" applyAlignment="1">
      <alignment horizontal="center" vertical="center"/>
    </xf>
    <xf numFmtId="41" fontId="0" fillId="2" borderId="2" xfId="18" applyFont="1" applyFill="1" applyBorder="1" applyAlignment="1">
      <alignment horizontal="center" vertical="center"/>
    </xf>
    <xf numFmtId="41" fontId="0" fillId="2" borderId="3" xfId="18" applyFont="1" applyFill="1" applyBorder="1" applyAlignment="1">
      <alignment horizontal="center" vertical="center"/>
    </xf>
    <xf numFmtId="0" fontId="22" fillId="2" borderId="4" xfId="17" applyFill="1" applyBorder="1" applyAlignment="1">
      <alignment horizontal="center" vertical="center"/>
    </xf>
    <xf numFmtId="0" fontId="22" fillId="2" borderId="18" xfId="17" applyFill="1" applyBorder="1" applyAlignment="1">
      <alignment horizontal="center" vertical="center"/>
    </xf>
    <xf numFmtId="0" fontId="22" fillId="2" borderId="16" xfId="17" applyFill="1" applyBorder="1" applyAlignment="1">
      <alignment horizontal="center" vertical="center"/>
    </xf>
    <xf numFmtId="41" fontId="0" fillId="2" borderId="4" xfId="18" applyFont="1" applyFill="1" applyBorder="1" applyAlignment="1">
      <alignment horizontal="left" vertical="center"/>
    </xf>
    <xf numFmtId="41" fontId="0" fillId="2" borderId="18" xfId="18" applyFont="1" applyFill="1" applyBorder="1" applyAlignment="1">
      <alignment horizontal="left" vertical="center"/>
    </xf>
    <xf numFmtId="41" fontId="0" fillId="2" borderId="16" xfId="18" applyFont="1" applyFill="1" applyBorder="1" applyAlignment="1">
      <alignment horizontal="left" vertical="center"/>
    </xf>
    <xf numFmtId="0" fontId="22" fillId="2" borderId="15" xfId="17" applyFill="1" applyBorder="1" applyAlignment="1">
      <alignment horizontal="left" vertical="center"/>
    </xf>
    <xf numFmtId="41" fontId="0" fillId="2" borderId="2" xfId="18" applyFont="1" applyFill="1" applyBorder="1" applyAlignment="1">
      <alignment horizontal="left" vertical="center"/>
    </xf>
    <xf numFmtId="41" fontId="0" fillId="2" borderId="3" xfId="18" applyFont="1" applyFill="1" applyBorder="1" applyAlignment="1">
      <alignment horizontal="left" vertical="center"/>
    </xf>
    <xf numFmtId="0" fontId="9" fillId="0" borderId="29" xfId="0" applyFont="1" applyBorder="1" applyAlignment="1">
      <alignment horizontal="left" vertical="center" shrinkToFit="1"/>
    </xf>
    <xf numFmtId="0" fontId="9" fillId="0" borderId="27" xfId="0" applyFont="1" applyBorder="1" applyAlignment="1">
      <alignment horizontal="left" vertical="center" shrinkToFit="1"/>
    </xf>
    <xf numFmtId="0" fontId="9" fillId="0" borderId="28" xfId="0" applyFont="1" applyBorder="1" applyAlignment="1">
      <alignment horizontal="left" vertical="center" shrinkToFit="1"/>
    </xf>
    <xf numFmtId="0" fontId="1" fillId="0" borderId="25" xfId="0" applyFont="1" applyBorder="1" applyAlignment="1">
      <alignment horizontal="center" vertical="center" shrinkToFit="1"/>
    </xf>
    <xf numFmtId="0" fontId="1" fillId="0" borderId="18" xfId="0" applyFont="1" applyBorder="1" applyAlignment="1">
      <alignment horizontal="center" vertical="center" shrinkToFit="1"/>
    </xf>
    <xf numFmtId="0" fontId="1" fillId="0" borderId="16" xfId="0" applyFont="1" applyBorder="1" applyAlignment="1">
      <alignment horizontal="center" vertical="center" shrinkToFit="1"/>
    </xf>
    <xf numFmtId="0" fontId="1" fillId="2" borderId="24" xfId="0" applyFont="1" applyFill="1" applyBorder="1" applyAlignment="1">
      <alignment horizontal="center" vertical="center" shrinkToFit="1"/>
    </xf>
    <xf numFmtId="0" fontId="1" fillId="12" borderId="26" xfId="0" applyFont="1" applyFill="1" applyBorder="1" applyAlignment="1">
      <alignment horizontal="center" vertical="center" shrinkToFit="1"/>
    </xf>
    <xf numFmtId="0" fontId="1" fillId="12" borderId="27" xfId="0" applyFont="1" applyFill="1" applyBorder="1" applyAlignment="1">
      <alignment horizontal="center" vertical="center" shrinkToFit="1"/>
    </xf>
    <xf numFmtId="0" fontId="1" fillId="12" borderId="28" xfId="0" applyFont="1" applyFill="1" applyBorder="1" applyAlignment="1">
      <alignment horizontal="center" vertical="center" shrinkToFit="1"/>
    </xf>
    <xf numFmtId="0" fontId="1" fillId="10" borderId="26" xfId="0" applyFont="1" applyFill="1" applyBorder="1" applyAlignment="1">
      <alignment horizontal="center" vertical="center" shrinkToFit="1"/>
    </xf>
    <xf numFmtId="0" fontId="1" fillId="10" borderId="27" xfId="0" applyFont="1" applyFill="1" applyBorder="1" applyAlignment="1">
      <alignment horizontal="center" vertical="center" shrinkToFit="1"/>
    </xf>
    <xf numFmtId="0" fontId="1" fillId="10" borderId="28" xfId="0" applyFont="1" applyFill="1" applyBorder="1" applyAlignment="1">
      <alignment horizontal="center" vertical="center" shrinkToFit="1"/>
    </xf>
    <xf numFmtId="0" fontId="9" fillId="0" borderId="2" xfId="0" applyFont="1" applyBorder="1" applyAlignment="1">
      <alignment horizontal="left" vertical="center" shrinkToFit="1"/>
    </xf>
    <xf numFmtId="0" fontId="9" fillId="0" borderId="14" xfId="0" applyFont="1" applyBorder="1" applyAlignment="1">
      <alignment horizontal="left" vertical="center" shrinkToFit="1"/>
    </xf>
    <xf numFmtId="0" fontId="9" fillId="0" borderId="3" xfId="0" applyFont="1" applyBorder="1" applyAlignment="1">
      <alignment horizontal="left" vertical="center" shrinkToFit="1"/>
    </xf>
    <xf numFmtId="0" fontId="9" fillId="0" borderId="25" xfId="0" applyFont="1" applyBorder="1" applyAlignment="1">
      <alignment horizontal="center" vertical="center" shrinkToFit="1"/>
    </xf>
    <xf numFmtId="0" fontId="1" fillId="0" borderId="25" xfId="0" applyFont="1" applyBorder="1" applyAlignment="1">
      <alignment horizontal="left" vertical="center" shrinkToFit="1"/>
    </xf>
    <xf numFmtId="0" fontId="1" fillId="0" borderId="16" xfId="0" applyFont="1" applyBorder="1" applyAlignment="1">
      <alignment horizontal="left" vertical="center" shrinkToFit="1"/>
    </xf>
    <xf numFmtId="41" fontId="9" fillId="0" borderId="39" xfId="0" applyNumberFormat="1" applyFont="1" applyBorder="1" applyAlignment="1">
      <alignment horizontal="center" vertical="center" shrinkToFit="1"/>
    </xf>
    <xf numFmtId="41" fontId="9" fillId="0" borderId="37" xfId="0" applyNumberFormat="1" applyFont="1" applyBorder="1" applyAlignment="1">
      <alignment horizontal="center" vertical="center" shrinkToFit="1"/>
    </xf>
    <xf numFmtId="41" fontId="9" fillId="0" borderId="40" xfId="0" applyNumberFormat="1" applyFont="1" applyBorder="1" applyAlignment="1">
      <alignment horizontal="center" vertical="center" shrinkToFit="1"/>
    </xf>
    <xf numFmtId="41" fontId="9" fillId="0" borderId="38" xfId="0" applyNumberFormat="1" applyFont="1" applyBorder="1" applyAlignment="1">
      <alignment horizontal="center" vertical="center" shrinkToFit="1"/>
    </xf>
    <xf numFmtId="0" fontId="9" fillId="0" borderId="18" xfId="0" applyFont="1" applyBorder="1" applyAlignment="1">
      <alignment horizontal="center" vertical="center" shrinkToFit="1"/>
    </xf>
    <xf numFmtId="0" fontId="1" fillId="0" borderId="4" xfId="0" applyFont="1" applyBorder="1" applyAlignment="1">
      <alignment horizontal="left" vertical="center" shrinkToFit="1"/>
    </xf>
    <xf numFmtId="0" fontId="1" fillId="0" borderId="18" xfId="0" applyFont="1" applyBorder="1" applyAlignment="1">
      <alignment horizontal="left" vertical="center" shrinkToFit="1"/>
    </xf>
    <xf numFmtId="41" fontId="9" fillId="0" borderId="33" xfId="0" applyNumberFormat="1" applyFont="1" applyBorder="1" applyAlignment="1">
      <alignment horizontal="center" vertical="center" shrinkToFit="1"/>
    </xf>
    <xf numFmtId="41" fontId="9" fillId="0" borderId="35" xfId="0" applyNumberFormat="1" applyFont="1" applyBorder="1" applyAlignment="1">
      <alignment horizontal="center" vertical="center" shrinkToFit="1"/>
    </xf>
    <xf numFmtId="41" fontId="9" fillId="0" borderId="34" xfId="0" applyNumberFormat="1" applyFont="1" applyBorder="1" applyAlignment="1">
      <alignment horizontal="center" vertical="center" shrinkToFit="1"/>
    </xf>
    <xf numFmtId="41" fontId="9" fillId="0" borderId="36" xfId="0" applyNumberFormat="1" applyFont="1" applyBorder="1" applyAlignment="1">
      <alignment horizontal="center" vertical="center" shrinkToFit="1"/>
    </xf>
    <xf numFmtId="0" fontId="53" fillId="0" borderId="22" xfId="0" applyFont="1" applyBorder="1" applyAlignment="1">
      <alignment horizontal="center" vertical="center"/>
    </xf>
    <xf numFmtId="0" fontId="13" fillId="0" borderId="25" xfId="0" applyFont="1" applyBorder="1" applyAlignment="1">
      <alignment horizontal="center" vertical="center" shrinkToFit="1"/>
    </xf>
    <xf numFmtId="0" fontId="13" fillId="0" borderId="18" xfId="0" applyFont="1" applyBorder="1" applyAlignment="1">
      <alignment horizontal="center" vertical="center" shrinkToFit="1"/>
    </xf>
    <xf numFmtId="0" fontId="13" fillId="0" borderId="16" xfId="0" applyFont="1" applyBorder="1" applyAlignment="1">
      <alignment horizontal="center" vertical="center" shrinkToFit="1"/>
    </xf>
    <xf numFmtId="0" fontId="9" fillId="0" borderId="25" xfId="0" applyFont="1" applyBorder="1" applyAlignment="1">
      <alignment horizontal="left" vertical="center" wrapText="1" shrinkToFit="1"/>
    </xf>
    <xf numFmtId="0" fontId="9" fillId="0" borderId="18" xfId="0" applyFont="1" applyBorder="1" applyAlignment="1">
      <alignment horizontal="left" vertical="center" shrinkToFit="1"/>
    </xf>
    <xf numFmtId="0" fontId="9" fillId="0" borderId="16" xfId="0" applyFont="1" applyBorder="1" applyAlignment="1">
      <alignment horizontal="left" vertical="center" shrinkToFit="1"/>
    </xf>
    <xf numFmtId="41" fontId="35" fillId="0" borderId="15" xfId="2" applyFont="1" applyBorder="1" applyAlignment="1">
      <alignment horizontal="center" vertical="center"/>
    </xf>
    <xf numFmtId="41" fontId="56" fillId="13" borderId="15" xfId="2" applyFont="1" applyFill="1" applyBorder="1" applyAlignment="1">
      <alignment horizontal="center" vertical="center"/>
    </xf>
    <xf numFmtId="41" fontId="35" fillId="0" borderId="15" xfId="2" applyFont="1" applyBorder="1" applyAlignment="1">
      <alignment horizontal="center" vertical="center" shrinkToFit="1"/>
    </xf>
    <xf numFmtId="41" fontId="56" fillId="13" borderId="15" xfId="2" applyFont="1" applyFill="1" applyBorder="1" applyAlignment="1">
      <alignment horizontal="center" vertical="center" shrinkToFit="1"/>
    </xf>
  </cellXfs>
  <cellStyles count="23">
    <cellStyle name="Hyperlink" xfId="14" xr:uid="{00000000-0005-0000-0000-000000000000}"/>
    <cellStyle name="Normal" xfId="5" xr:uid="{00000000-0005-0000-0000-000001000000}"/>
    <cellStyle name="백분율" xfId="1" builtinId="5"/>
    <cellStyle name="쉼표 [0]" xfId="2" builtinId="6"/>
    <cellStyle name="쉼표 [0] 2" xfId="4" xr:uid="{00000000-0005-0000-0000-000004000000}"/>
    <cellStyle name="쉼표 [0] 2 2" xfId="16" xr:uid="{00000000-0005-0000-0000-000005000000}"/>
    <cellStyle name="쉼표 [0] 3" xfId="10" xr:uid="{00000000-0005-0000-0000-000006000000}"/>
    <cellStyle name="쉼표 [0] 3 2" xfId="13" xr:uid="{00000000-0005-0000-0000-000007000000}"/>
    <cellStyle name="쉼표 [0] 4" xfId="18" xr:uid="{00000000-0005-0000-0000-000008000000}"/>
    <cellStyle name="쉼표 [0] 6 2" xfId="22" xr:uid="{A2BC203B-F101-4AB3-ADD9-A8E8328E3AA8}"/>
    <cellStyle name="표준" xfId="0" builtinId="0"/>
    <cellStyle name="표준 10 2" xfId="21" xr:uid="{27BAE78A-5C48-4588-8788-E00C81E7DEC0}"/>
    <cellStyle name="표준 2" xfId="3" xr:uid="{00000000-0005-0000-0000-00000A000000}"/>
    <cellStyle name="표준 2 2" xfId="8" xr:uid="{00000000-0005-0000-0000-00000B000000}"/>
    <cellStyle name="표준 2 3" xfId="15" xr:uid="{00000000-0005-0000-0000-00000C000000}"/>
    <cellStyle name="표준 3" xfId="7" xr:uid="{00000000-0005-0000-0000-00000D000000}"/>
    <cellStyle name="표준 3 2" xfId="19" xr:uid="{00000000-0005-0000-0000-00000E000000}"/>
    <cellStyle name="표준 4" xfId="6" xr:uid="{00000000-0005-0000-0000-00000F000000}"/>
    <cellStyle name="표준 5" xfId="9" xr:uid="{00000000-0005-0000-0000-000010000000}"/>
    <cellStyle name="표준 6" xfId="11" xr:uid="{00000000-0005-0000-0000-000011000000}"/>
    <cellStyle name="표준 7" xfId="12" xr:uid="{00000000-0005-0000-0000-000012000000}"/>
    <cellStyle name="표준 8" xfId="17" xr:uid="{00000000-0005-0000-0000-000013000000}"/>
    <cellStyle name="하이퍼링크 2" xfId="20" xr:uid="{00000000-0005-0000-0000-000015000000}"/>
  </cellStyles>
  <dxfs count="94">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s>
  <tableStyles count="0" defaultTableStyle="TableStyleMedium2" defaultPivotStyle="PivotStyleLight16"/>
  <colors>
    <mruColors>
      <color rgb="FFFFFF99"/>
      <color rgb="FFFFFF9B"/>
      <color rgb="FF0000FF"/>
      <color rgb="FFEFDECD"/>
      <color rgb="FFE8D1BA"/>
      <color rgb="FFD3A77B"/>
      <color rgb="FFFADBC6"/>
      <color rgb="FFE5F7E7"/>
      <color rgb="FFEFE5F7"/>
      <color rgb="FFE4D3F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17" Type="http://schemas.openxmlformats.org/officeDocument/2006/relationships/externalLink" Target="externalLinks/externalLink90.xml"/><Relationship Id="rId21" Type="http://schemas.openxmlformats.org/officeDocument/2006/relationships/worksheet" Target="worksheets/sheet21.xml"/><Relationship Id="rId42" Type="http://schemas.openxmlformats.org/officeDocument/2006/relationships/externalLink" Target="externalLinks/externalLink15.xml"/><Relationship Id="rId63" Type="http://schemas.openxmlformats.org/officeDocument/2006/relationships/externalLink" Target="externalLinks/externalLink36.xml"/><Relationship Id="rId84" Type="http://schemas.openxmlformats.org/officeDocument/2006/relationships/externalLink" Target="externalLinks/externalLink57.xml"/><Relationship Id="rId138" Type="http://schemas.openxmlformats.org/officeDocument/2006/relationships/externalLink" Target="externalLinks/externalLink111.xml"/><Relationship Id="rId159" Type="http://schemas.openxmlformats.org/officeDocument/2006/relationships/externalLink" Target="externalLinks/externalLink132.xml"/><Relationship Id="rId170" Type="http://schemas.openxmlformats.org/officeDocument/2006/relationships/externalLink" Target="externalLinks/externalLink143.xml"/><Relationship Id="rId191" Type="http://schemas.openxmlformats.org/officeDocument/2006/relationships/externalLink" Target="externalLinks/externalLink164.xml"/><Relationship Id="rId205" Type="http://schemas.openxmlformats.org/officeDocument/2006/relationships/externalLink" Target="externalLinks/externalLink178.xml"/><Relationship Id="rId226" Type="http://schemas.openxmlformats.org/officeDocument/2006/relationships/styles" Target="styles.xml"/><Relationship Id="rId107" Type="http://schemas.openxmlformats.org/officeDocument/2006/relationships/externalLink" Target="externalLinks/externalLink80.xml"/><Relationship Id="rId11" Type="http://schemas.openxmlformats.org/officeDocument/2006/relationships/worksheet" Target="worksheets/sheet11.xml"/><Relationship Id="rId32" Type="http://schemas.openxmlformats.org/officeDocument/2006/relationships/externalLink" Target="externalLinks/externalLink5.xml"/><Relationship Id="rId53" Type="http://schemas.openxmlformats.org/officeDocument/2006/relationships/externalLink" Target="externalLinks/externalLink26.xml"/><Relationship Id="rId74" Type="http://schemas.openxmlformats.org/officeDocument/2006/relationships/externalLink" Target="externalLinks/externalLink47.xml"/><Relationship Id="rId128" Type="http://schemas.openxmlformats.org/officeDocument/2006/relationships/externalLink" Target="externalLinks/externalLink101.xml"/><Relationship Id="rId149" Type="http://schemas.openxmlformats.org/officeDocument/2006/relationships/externalLink" Target="externalLinks/externalLink122.xml"/><Relationship Id="rId5" Type="http://schemas.openxmlformats.org/officeDocument/2006/relationships/worksheet" Target="worksheets/sheet5.xml"/><Relationship Id="rId95" Type="http://schemas.openxmlformats.org/officeDocument/2006/relationships/externalLink" Target="externalLinks/externalLink68.xml"/><Relationship Id="rId160" Type="http://schemas.openxmlformats.org/officeDocument/2006/relationships/externalLink" Target="externalLinks/externalLink133.xml"/><Relationship Id="rId181" Type="http://schemas.openxmlformats.org/officeDocument/2006/relationships/externalLink" Target="externalLinks/externalLink154.xml"/><Relationship Id="rId216" Type="http://schemas.openxmlformats.org/officeDocument/2006/relationships/externalLink" Target="externalLinks/externalLink189.xml"/><Relationship Id="rId22" Type="http://schemas.openxmlformats.org/officeDocument/2006/relationships/worksheet" Target="worksheets/sheet22.xml"/><Relationship Id="rId43" Type="http://schemas.openxmlformats.org/officeDocument/2006/relationships/externalLink" Target="externalLinks/externalLink16.xml"/><Relationship Id="rId64" Type="http://schemas.openxmlformats.org/officeDocument/2006/relationships/externalLink" Target="externalLinks/externalLink37.xml"/><Relationship Id="rId118" Type="http://schemas.openxmlformats.org/officeDocument/2006/relationships/externalLink" Target="externalLinks/externalLink91.xml"/><Relationship Id="rId139" Type="http://schemas.openxmlformats.org/officeDocument/2006/relationships/externalLink" Target="externalLinks/externalLink112.xml"/><Relationship Id="rId85" Type="http://schemas.openxmlformats.org/officeDocument/2006/relationships/externalLink" Target="externalLinks/externalLink58.xml"/><Relationship Id="rId150" Type="http://schemas.openxmlformats.org/officeDocument/2006/relationships/externalLink" Target="externalLinks/externalLink123.xml"/><Relationship Id="rId171" Type="http://schemas.openxmlformats.org/officeDocument/2006/relationships/externalLink" Target="externalLinks/externalLink144.xml"/><Relationship Id="rId192" Type="http://schemas.openxmlformats.org/officeDocument/2006/relationships/externalLink" Target="externalLinks/externalLink165.xml"/><Relationship Id="rId206" Type="http://schemas.openxmlformats.org/officeDocument/2006/relationships/externalLink" Target="externalLinks/externalLink179.xml"/><Relationship Id="rId227" Type="http://schemas.openxmlformats.org/officeDocument/2006/relationships/sharedStrings" Target="sharedStrings.xml"/><Relationship Id="rId12" Type="http://schemas.openxmlformats.org/officeDocument/2006/relationships/worksheet" Target="worksheets/sheet12.xml"/><Relationship Id="rId33" Type="http://schemas.openxmlformats.org/officeDocument/2006/relationships/externalLink" Target="externalLinks/externalLink6.xml"/><Relationship Id="rId108" Type="http://schemas.openxmlformats.org/officeDocument/2006/relationships/externalLink" Target="externalLinks/externalLink81.xml"/><Relationship Id="rId129" Type="http://schemas.openxmlformats.org/officeDocument/2006/relationships/externalLink" Target="externalLinks/externalLink102.xml"/><Relationship Id="rId54" Type="http://schemas.openxmlformats.org/officeDocument/2006/relationships/externalLink" Target="externalLinks/externalLink27.xml"/><Relationship Id="rId75" Type="http://schemas.openxmlformats.org/officeDocument/2006/relationships/externalLink" Target="externalLinks/externalLink48.xml"/><Relationship Id="rId96" Type="http://schemas.openxmlformats.org/officeDocument/2006/relationships/externalLink" Target="externalLinks/externalLink69.xml"/><Relationship Id="rId140" Type="http://schemas.openxmlformats.org/officeDocument/2006/relationships/externalLink" Target="externalLinks/externalLink113.xml"/><Relationship Id="rId161" Type="http://schemas.openxmlformats.org/officeDocument/2006/relationships/externalLink" Target="externalLinks/externalLink134.xml"/><Relationship Id="rId182" Type="http://schemas.openxmlformats.org/officeDocument/2006/relationships/externalLink" Target="externalLinks/externalLink155.xml"/><Relationship Id="rId217" Type="http://schemas.openxmlformats.org/officeDocument/2006/relationships/externalLink" Target="externalLinks/externalLink190.xml"/><Relationship Id="rId6" Type="http://schemas.openxmlformats.org/officeDocument/2006/relationships/worksheet" Target="worksheets/sheet6.xml"/><Relationship Id="rId23" Type="http://schemas.openxmlformats.org/officeDocument/2006/relationships/worksheet" Target="worksheets/sheet23.xml"/><Relationship Id="rId119" Type="http://schemas.openxmlformats.org/officeDocument/2006/relationships/externalLink" Target="externalLinks/externalLink92.xml"/><Relationship Id="rId44" Type="http://schemas.openxmlformats.org/officeDocument/2006/relationships/externalLink" Target="externalLinks/externalLink17.xml"/><Relationship Id="rId65" Type="http://schemas.openxmlformats.org/officeDocument/2006/relationships/externalLink" Target="externalLinks/externalLink38.xml"/><Relationship Id="rId86" Type="http://schemas.openxmlformats.org/officeDocument/2006/relationships/externalLink" Target="externalLinks/externalLink59.xml"/><Relationship Id="rId130" Type="http://schemas.openxmlformats.org/officeDocument/2006/relationships/externalLink" Target="externalLinks/externalLink103.xml"/><Relationship Id="rId151" Type="http://schemas.openxmlformats.org/officeDocument/2006/relationships/externalLink" Target="externalLinks/externalLink124.xml"/><Relationship Id="rId172" Type="http://schemas.openxmlformats.org/officeDocument/2006/relationships/externalLink" Target="externalLinks/externalLink145.xml"/><Relationship Id="rId193" Type="http://schemas.openxmlformats.org/officeDocument/2006/relationships/externalLink" Target="externalLinks/externalLink166.xml"/><Relationship Id="rId207" Type="http://schemas.openxmlformats.org/officeDocument/2006/relationships/externalLink" Target="externalLinks/externalLink180.xml"/><Relationship Id="rId228" Type="http://schemas.openxmlformats.org/officeDocument/2006/relationships/calcChain" Target="calcChain.xml"/><Relationship Id="rId13" Type="http://schemas.openxmlformats.org/officeDocument/2006/relationships/worksheet" Target="worksheets/sheet13.xml"/><Relationship Id="rId109" Type="http://schemas.openxmlformats.org/officeDocument/2006/relationships/externalLink" Target="externalLinks/externalLink82.xml"/><Relationship Id="rId34" Type="http://schemas.openxmlformats.org/officeDocument/2006/relationships/externalLink" Target="externalLinks/externalLink7.xml"/><Relationship Id="rId55" Type="http://schemas.openxmlformats.org/officeDocument/2006/relationships/externalLink" Target="externalLinks/externalLink28.xml"/><Relationship Id="rId76" Type="http://schemas.openxmlformats.org/officeDocument/2006/relationships/externalLink" Target="externalLinks/externalLink49.xml"/><Relationship Id="rId97" Type="http://schemas.openxmlformats.org/officeDocument/2006/relationships/externalLink" Target="externalLinks/externalLink70.xml"/><Relationship Id="rId120" Type="http://schemas.openxmlformats.org/officeDocument/2006/relationships/externalLink" Target="externalLinks/externalLink93.xml"/><Relationship Id="rId141" Type="http://schemas.openxmlformats.org/officeDocument/2006/relationships/externalLink" Target="externalLinks/externalLink114.xml"/><Relationship Id="rId7" Type="http://schemas.openxmlformats.org/officeDocument/2006/relationships/worksheet" Target="worksheets/sheet7.xml"/><Relationship Id="rId162" Type="http://schemas.openxmlformats.org/officeDocument/2006/relationships/externalLink" Target="externalLinks/externalLink135.xml"/><Relationship Id="rId183" Type="http://schemas.openxmlformats.org/officeDocument/2006/relationships/externalLink" Target="externalLinks/externalLink156.xml"/><Relationship Id="rId218" Type="http://schemas.openxmlformats.org/officeDocument/2006/relationships/externalLink" Target="externalLinks/externalLink191.xml"/><Relationship Id="rId24" Type="http://schemas.openxmlformats.org/officeDocument/2006/relationships/worksheet" Target="worksheets/sheet24.xml"/><Relationship Id="rId45" Type="http://schemas.openxmlformats.org/officeDocument/2006/relationships/externalLink" Target="externalLinks/externalLink18.xml"/><Relationship Id="rId66" Type="http://schemas.openxmlformats.org/officeDocument/2006/relationships/externalLink" Target="externalLinks/externalLink39.xml"/><Relationship Id="rId87" Type="http://schemas.openxmlformats.org/officeDocument/2006/relationships/externalLink" Target="externalLinks/externalLink60.xml"/><Relationship Id="rId110" Type="http://schemas.openxmlformats.org/officeDocument/2006/relationships/externalLink" Target="externalLinks/externalLink83.xml"/><Relationship Id="rId131" Type="http://schemas.openxmlformats.org/officeDocument/2006/relationships/externalLink" Target="externalLinks/externalLink104.xml"/><Relationship Id="rId152" Type="http://schemas.openxmlformats.org/officeDocument/2006/relationships/externalLink" Target="externalLinks/externalLink125.xml"/><Relationship Id="rId173" Type="http://schemas.openxmlformats.org/officeDocument/2006/relationships/externalLink" Target="externalLinks/externalLink146.xml"/><Relationship Id="rId194" Type="http://schemas.openxmlformats.org/officeDocument/2006/relationships/externalLink" Target="externalLinks/externalLink167.xml"/><Relationship Id="rId208" Type="http://schemas.openxmlformats.org/officeDocument/2006/relationships/externalLink" Target="externalLinks/externalLink181.xml"/><Relationship Id="rId14" Type="http://schemas.openxmlformats.org/officeDocument/2006/relationships/worksheet" Target="worksheets/sheet14.xml"/><Relationship Id="rId35" Type="http://schemas.openxmlformats.org/officeDocument/2006/relationships/externalLink" Target="externalLinks/externalLink8.xml"/><Relationship Id="rId56" Type="http://schemas.openxmlformats.org/officeDocument/2006/relationships/externalLink" Target="externalLinks/externalLink29.xml"/><Relationship Id="rId77" Type="http://schemas.openxmlformats.org/officeDocument/2006/relationships/externalLink" Target="externalLinks/externalLink50.xml"/><Relationship Id="rId100" Type="http://schemas.openxmlformats.org/officeDocument/2006/relationships/externalLink" Target="externalLinks/externalLink73.xml"/><Relationship Id="rId8" Type="http://schemas.openxmlformats.org/officeDocument/2006/relationships/worksheet" Target="worksheets/sheet8.xml"/><Relationship Id="rId98" Type="http://schemas.openxmlformats.org/officeDocument/2006/relationships/externalLink" Target="externalLinks/externalLink71.xml"/><Relationship Id="rId121" Type="http://schemas.openxmlformats.org/officeDocument/2006/relationships/externalLink" Target="externalLinks/externalLink94.xml"/><Relationship Id="rId142" Type="http://schemas.openxmlformats.org/officeDocument/2006/relationships/externalLink" Target="externalLinks/externalLink115.xml"/><Relationship Id="rId163" Type="http://schemas.openxmlformats.org/officeDocument/2006/relationships/externalLink" Target="externalLinks/externalLink136.xml"/><Relationship Id="rId184" Type="http://schemas.openxmlformats.org/officeDocument/2006/relationships/externalLink" Target="externalLinks/externalLink157.xml"/><Relationship Id="rId219" Type="http://schemas.openxmlformats.org/officeDocument/2006/relationships/externalLink" Target="externalLinks/externalLink192.xml"/><Relationship Id="rId3" Type="http://schemas.openxmlformats.org/officeDocument/2006/relationships/worksheet" Target="worksheets/sheet3.xml"/><Relationship Id="rId214" Type="http://schemas.openxmlformats.org/officeDocument/2006/relationships/externalLink" Target="externalLinks/externalLink187.xml"/><Relationship Id="rId25" Type="http://schemas.openxmlformats.org/officeDocument/2006/relationships/worksheet" Target="worksheets/sheet25.xml"/><Relationship Id="rId46" Type="http://schemas.openxmlformats.org/officeDocument/2006/relationships/externalLink" Target="externalLinks/externalLink19.xml"/><Relationship Id="rId67" Type="http://schemas.openxmlformats.org/officeDocument/2006/relationships/externalLink" Target="externalLinks/externalLink40.xml"/><Relationship Id="rId116" Type="http://schemas.openxmlformats.org/officeDocument/2006/relationships/externalLink" Target="externalLinks/externalLink89.xml"/><Relationship Id="rId137" Type="http://schemas.openxmlformats.org/officeDocument/2006/relationships/externalLink" Target="externalLinks/externalLink110.xml"/><Relationship Id="rId158" Type="http://schemas.openxmlformats.org/officeDocument/2006/relationships/externalLink" Target="externalLinks/externalLink131.xml"/><Relationship Id="rId20" Type="http://schemas.openxmlformats.org/officeDocument/2006/relationships/worksheet" Target="worksheets/sheet20.xml"/><Relationship Id="rId41" Type="http://schemas.openxmlformats.org/officeDocument/2006/relationships/externalLink" Target="externalLinks/externalLink14.xml"/><Relationship Id="rId62" Type="http://schemas.openxmlformats.org/officeDocument/2006/relationships/externalLink" Target="externalLinks/externalLink35.xml"/><Relationship Id="rId83" Type="http://schemas.openxmlformats.org/officeDocument/2006/relationships/externalLink" Target="externalLinks/externalLink56.xml"/><Relationship Id="rId88" Type="http://schemas.openxmlformats.org/officeDocument/2006/relationships/externalLink" Target="externalLinks/externalLink61.xml"/><Relationship Id="rId111" Type="http://schemas.openxmlformats.org/officeDocument/2006/relationships/externalLink" Target="externalLinks/externalLink84.xml"/><Relationship Id="rId132" Type="http://schemas.openxmlformats.org/officeDocument/2006/relationships/externalLink" Target="externalLinks/externalLink105.xml"/><Relationship Id="rId153" Type="http://schemas.openxmlformats.org/officeDocument/2006/relationships/externalLink" Target="externalLinks/externalLink126.xml"/><Relationship Id="rId174" Type="http://schemas.openxmlformats.org/officeDocument/2006/relationships/externalLink" Target="externalLinks/externalLink147.xml"/><Relationship Id="rId179" Type="http://schemas.openxmlformats.org/officeDocument/2006/relationships/externalLink" Target="externalLinks/externalLink152.xml"/><Relationship Id="rId195" Type="http://schemas.openxmlformats.org/officeDocument/2006/relationships/externalLink" Target="externalLinks/externalLink168.xml"/><Relationship Id="rId209" Type="http://schemas.openxmlformats.org/officeDocument/2006/relationships/externalLink" Target="externalLinks/externalLink182.xml"/><Relationship Id="rId190" Type="http://schemas.openxmlformats.org/officeDocument/2006/relationships/externalLink" Target="externalLinks/externalLink163.xml"/><Relationship Id="rId204" Type="http://schemas.openxmlformats.org/officeDocument/2006/relationships/externalLink" Target="externalLinks/externalLink177.xml"/><Relationship Id="rId220" Type="http://schemas.openxmlformats.org/officeDocument/2006/relationships/externalLink" Target="externalLinks/externalLink193.xml"/><Relationship Id="rId225" Type="http://schemas.openxmlformats.org/officeDocument/2006/relationships/theme" Target="theme/theme1.xml"/><Relationship Id="rId15" Type="http://schemas.openxmlformats.org/officeDocument/2006/relationships/worksheet" Target="worksheets/sheet15.xml"/><Relationship Id="rId36" Type="http://schemas.openxmlformats.org/officeDocument/2006/relationships/externalLink" Target="externalLinks/externalLink9.xml"/><Relationship Id="rId57" Type="http://schemas.openxmlformats.org/officeDocument/2006/relationships/externalLink" Target="externalLinks/externalLink30.xml"/><Relationship Id="rId106" Type="http://schemas.openxmlformats.org/officeDocument/2006/relationships/externalLink" Target="externalLinks/externalLink79.xml"/><Relationship Id="rId127" Type="http://schemas.openxmlformats.org/officeDocument/2006/relationships/externalLink" Target="externalLinks/externalLink100.xml"/><Relationship Id="rId10" Type="http://schemas.openxmlformats.org/officeDocument/2006/relationships/worksheet" Target="worksheets/sheet10.xml"/><Relationship Id="rId31" Type="http://schemas.openxmlformats.org/officeDocument/2006/relationships/externalLink" Target="externalLinks/externalLink4.xml"/><Relationship Id="rId52" Type="http://schemas.openxmlformats.org/officeDocument/2006/relationships/externalLink" Target="externalLinks/externalLink25.xml"/><Relationship Id="rId73" Type="http://schemas.openxmlformats.org/officeDocument/2006/relationships/externalLink" Target="externalLinks/externalLink46.xml"/><Relationship Id="rId78" Type="http://schemas.openxmlformats.org/officeDocument/2006/relationships/externalLink" Target="externalLinks/externalLink51.xml"/><Relationship Id="rId94" Type="http://schemas.openxmlformats.org/officeDocument/2006/relationships/externalLink" Target="externalLinks/externalLink67.xml"/><Relationship Id="rId99" Type="http://schemas.openxmlformats.org/officeDocument/2006/relationships/externalLink" Target="externalLinks/externalLink72.xml"/><Relationship Id="rId101" Type="http://schemas.openxmlformats.org/officeDocument/2006/relationships/externalLink" Target="externalLinks/externalLink74.xml"/><Relationship Id="rId122" Type="http://schemas.openxmlformats.org/officeDocument/2006/relationships/externalLink" Target="externalLinks/externalLink95.xml"/><Relationship Id="rId143" Type="http://schemas.openxmlformats.org/officeDocument/2006/relationships/externalLink" Target="externalLinks/externalLink116.xml"/><Relationship Id="rId148" Type="http://schemas.openxmlformats.org/officeDocument/2006/relationships/externalLink" Target="externalLinks/externalLink121.xml"/><Relationship Id="rId164" Type="http://schemas.openxmlformats.org/officeDocument/2006/relationships/externalLink" Target="externalLinks/externalLink137.xml"/><Relationship Id="rId169" Type="http://schemas.openxmlformats.org/officeDocument/2006/relationships/externalLink" Target="externalLinks/externalLink142.xml"/><Relationship Id="rId185" Type="http://schemas.openxmlformats.org/officeDocument/2006/relationships/externalLink" Target="externalLinks/externalLink158.xml"/><Relationship Id="rId4" Type="http://schemas.openxmlformats.org/officeDocument/2006/relationships/worksheet" Target="worksheets/sheet4.xml"/><Relationship Id="rId9" Type="http://schemas.openxmlformats.org/officeDocument/2006/relationships/worksheet" Target="worksheets/sheet9.xml"/><Relationship Id="rId180" Type="http://schemas.openxmlformats.org/officeDocument/2006/relationships/externalLink" Target="externalLinks/externalLink153.xml"/><Relationship Id="rId210" Type="http://schemas.openxmlformats.org/officeDocument/2006/relationships/externalLink" Target="externalLinks/externalLink183.xml"/><Relationship Id="rId215" Type="http://schemas.openxmlformats.org/officeDocument/2006/relationships/externalLink" Target="externalLinks/externalLink188.xml"/><Relationship Id="rId26" Type="http://schemas.openxmlformats.org/officeDocument/2006/relationships/worksheet" Target="worksheets/sheet26.xml"/><Relationship Id="rId47" Type="http://schemas.openxmlformats.org/officeDocument/2006/relationships/externalLink" Target="externalLinks/externalLink20.xml"/><Relationship Id="rId68" Type="http://schemas.openxmlformats.org/officeDocument/2006/relationships/externalLink" Target="externalLinks/externalLink41.xml"/><Relationship Id="rId89" Type="http://schemas.openxmlformats.org/officeDocument/2006/relationships/externalLink" Target="externalLinks/externalLink62.xml"/><Relationship Id="rId112" Type="http://schemas.openxmlformats.org/officeDocument/2006/relationships/externalLink" Target="externalLinks/externalLink85.xml"/><Relationship Id="rId133" Type="http://schemas.openxmlformats.org/officeDocument/2006/relationships/externalLink" Target="externalLinks/externalLink106.xml"/><Relationship Id="rId154" Type="http://schemas.openxmlformats.org/officeDocument/2006/relationships/externalLink" Target="externalLinks/externalLink127.xml"/><Relationship Id="rId175" Type="http://schemas.openxmlformats.org/officeDocument/2006/relationships/externalLink" Target="externalLinks/externalLink148.xml"/><Relationship Id="rId196" Type="http://schemas.openxmlformats.org/officeDocument/2006/relationships/externalLink" Target="externalLinks/externalLink169.xml"/><Relationship Id="rId200" Type="http://schemas.openxmlformats.org/officeDocument/2006/relationships/externalLink" Target="externalLinks/externalLink173.xml"/><Relationship Id="rId16" Type="http://schemas.openxmlformats.org/officeDocument/2006/relationships/worksheet" Target="worksheets/sheet16.xml"/><Relationship Id="rId221" Type="http://schemas.openxmlformats.org/officeDocument/2006/relationships/externalLink" Target="externalLinks/externalLink194.xml"/><Relationship Id="rId37" Type="http://schemas.openxmlformats.org/officeDocument/2006/relationships/externalLink" Target="externalLinks/externalLink10.xml"/><Relationship Id="rId58" Type="http://schemas.openxmlformats.org/officeDocument/2006/relationships/externalLink" Target="externalLinks/externalLink31.xml"/><Relationship Id="rId79" Type="http://schemas.openxmlformats.org/officeDocument/2006/relationships/externalLink" Target="externalLinks/externalLink52.xml"/><Relationship Id="rId102" Type="http://schemas.openxmlformats.org/officeDocument/2006/relationships/externalLink" Target="externalLinks/externalLink75.xml"/><Relationship Id="rId123" Type="http://schemas.openxmlformats.org/officeDocument/2006/relationships/externalLink" Target="externalLinks/externalLink96.xml"/><Relationship Id="rId144" Type="http://schemas.openxmlformats.org/officeDocument/2006/relationships/externalLink" Target="externalLinks/externalLink117.xml"/><Relationship Id="rId90" Type="http://schemas.openxmlformats.org/officeDocument/2006/relationships/externalLink" Target="externalLinks/externalLink63.xml"/><Relationship Id="rId165" Type="http://schemas.openxmlformats.org/officeDocument/2006/relationships/externalLink" Target="externalLinks/externalLink138.xml"/><Relationship Id="rId186" Type="http://schemas.openxmlformats.org/officeDocument/2006/relationships/externalLink" Target="externalLinks/externalLink159.xml"/><Relationship Id="rId211" Type="http://schemas.openxmlformats.org/officeDocument/2006/relationships/externalLink" Target="externalLinks/externalLink184.xml"/><Relationship Id="rId27" Type="http://schemas.openxmlformats.org/officeDocument/2006/relationships/worksheet" Target="worksheets/sheet27.xml"/><Relationship Id="rId48" Type="http://schemas.openxmlformats.org/officeDocument/2006/relationships/externalLink" Target="externalLinks/externalLink21.xml"/><Relationship Id="rId69" Type="http://schemas.openxmlformats.org/officeDocument/2006/relationships/externalLink" Target="externalLinks/externalLink42.xml"/><Relationship Id="rId113" Type="http://schemas.openxmlformats.org/officeDocument/2006/relationships/externalLink" Target="externalLinks/externalLink86.xml"/><Relationship Id="rId134" Type="http://schemas.openxmlformats.org/officeDocument/2006/relationships/externalLink" Target="externalLinks/externalLink107.xml"/><Relationship Id="rId80" Type="http://schemas.openxmlformats.org/officeDocument/2006/relationships/externalLink" Target="externalLinks/externalLink53.xml"/><Relationship Id="rId155" Type="http://schemas.openxmlformats.org/officeDocument/2006/relationships/externalLink" Target="externalLinks/externalLink128.xml"/><Relationship Id="rId176" Type="http://schemas.openxmlformats.org/officeDocument/2006/relationships/externalLink" Target="externalLinks/externalLink149.xml"/><Relationship Id="rId197" Type="http://schemas.openxmlformats.org/officeDocument/2006/relationships/externalLink" Target="externalLinks/externalLink170.xml"/><Relationship Id="rId201" Type="http://schemas.openxmlformats.org/officeDocument/2006/relationships/externalLink" Target="externalLinks/externalLink174.xml"/><Relationship Id="rId222" Type="http://schemas.openxmlformats.org/officeDocument/2006/relationships/externalLink" Target="externalLinks/externalLink195.xml"/><Relationship Id="rId17" Type="http://schemas.openxmlformats.org/officeDocument/2006/relationships/worksheet" Target="worksheets/sheet17.xml"/><Relationship Id="rId38" Type="http://schemas.openxmlformats.org/officeDocument/2006/relationships/externalLink" Target="externalLinks/externalLink11.xml"/><Relationship Id="rId59" Type="http://schemas.openxmlformats.org/officeDocument/2006/relationships/externalLink" Target="externalLinks/externalLink32.xml"/><Relationship Id="rId103" Type="http://schemas.openxmlformats.org/officeDocument/2006/relationships/externalLink" Target="externalLinks/externalLink76.xml"/><Relationship Id="rId124" Type="http://schemas.openxmlformats.org/officeDocument/2006/relationships/externalLink" Target="externalLinks/externalLink97.xml"/><Relationship Id="rId70" Type="http://schemas.openxmlformats.org/officeDocument/2006/relationships/externalLink" Target="externalLinks/externalLink43.xml"/><Relationship Id="rId91" Type="http://schemas.openxmlformats.org/officeDocument/2006/relationships/externalLink" Target="externalLinks/externalLink64.xml"/><Relationship Id="rId145" Type="http://schemas.openxmlformats.org/officeDocument/2006/relationships/externalLink" Target="externalLinks/externalLink118.xml"/><Relationship Id="rId166" Type="http://schemas.openxmlformats.org/officeDocument/2006/relationships/externalLink" Target="externalLinks/externalLink139.xml"/><Relationship Id="rId187" Type="http://schemas.openxmlformats.org/officeDocument/2006/relationships/externalLink" Target="externalLinks/externalLink160.xml"/><Relationship Id="rId1" Type="http://schemas.openxmlformats.org/officeDocument/2006/relationships/worksheet" Target="worksheets/sheet1.xml"/><Relationship Id="rId212" Type="http://schemas.openxmlformats.org/officeDocument/2006/relationships/externalLink" Target="externalLinks/externalLink185.xml"/><Relationship Id="rId28" Type="http://schemas.openxmlformats.org/officeDocument/2006/relationships/externalLink" Target="externalLinks/externalLink1.xml"/><Relationship Id="rId49" Type="http://schemas.openxmlformats.org/officeDocument/2006/relationships/externalLink" Target="externalLinks/externalLink22.xml"/><Relationship Id="rId114" Type="http://schemas.openxmlformats.org/officeDocument/2006/relationships/externalLink" Target="externalLinks/externalLink87.xml"/><Relationship Id="rId60" Type="http://schemas.openxmlformats.org/officeDocument/2006/relationships/externalLink" Target="externalLinks/externalLink33.xml"/><Relationship Id="rId81" Type="http://schemas.openxmlformats.org/officeDocument/2006/relationships/externalLink" Target="externalLinks/externalLink54.xml"/><Relationship Id="rId135" Type="http://schemas.openxmlformats.org/officeDocument/2006/relationships/externalLink" Target="externalLinks/externalLink108.xml"/><Relationship Id="rId156" Type="http://schemas.openxmlformats.org/officeDocument/2006/relationships/externalLink" Target="externalLinks/externalLink129.xml"/><Relationship Id="rId177" Type="http://schemas.openxmlformats.org/officeDocument/2006/relationships/externalLink" Target="externalLinks/externalLink150.xml"/><Relationship Id="rId198" Type="http://schemas.openxmlformats.org/officeDocument/2006/relationships/externalLink" Target="externalLinks/externalLink171.xml"/><Relationship Id="rId202" Type="http://schemas.openxmlformats.org/officeDocument/2006/relationships/externalLink" Target="externalLinks/externalLink175.xml"/><Relationship Id="rId223" Type="http://schemas.openxmlformats.org/officeDocument/2006/relationships/externalLink" Target="externalLinks/externalLink196.xml"/><Relationship Id="rId18" Type="http://schemas.openxmlformats.org/officeDocument/2006/relationships/worksheet" Target="worksheets/sheet18.xml"/><Relationship Id="rId39" Type="http://schemas.openxmlformats.org/officeDocument/2006/relationships/externalLink" Target="externalLinks/externalLink12.xml"/><Relationship Id="rId50" Type="http://schemas.openxmlformats.org/officeDocument/2006/relationships/externalLink" Target="externalLinks/externalLink23.xml"/><Relationship Id="rId104" Type="http://schemas.openxmlformats.org/officeDocument/2006/relationships/externalLink" Target="externalLinks/externalLink77.xml"/><Relationship Id="rId125" Type="http://schemas.openxmlformats.org/officeDocument/2006/relationships/externalLink" Target="externalLinks/externalLink98.xml"/><Relationship Id="rId146" Type="http://schemas.openxmlformats.org/officeDocument/2006/relationships/externalLink" Target="externalLinks/externalLink119.xml"/><Relationship Id="rId167" Type="http://schemas.openxmlformats.org/officeDocument/2006/relationships/externalLink" Target="externalLinks/externalLink140.xml"/><Relationship Id="rId188" Type="http://schemas.openxmlformats.org/officeDocument/2006/relationships/externalLink" Target="externalLinks/externalLink161.xml"/><Relationship Id="rId71" Type="http://schemas.openxmlformats.org/officeDocument/2006/relationships/externalLink" Target="externalLinks/externalLink44.xml"/><Relationship Id="rId92" Type="http://schemas.openxmlformats.org/officeDocument/2006/relationships/externalLink" Target="externalLinks/externalLink65.xml"/><Relationship Id="rId213" Type="http://schemas.openxmlformats.org/officeDocument/2006/relationships/externalLink" Target="externalLinks/externalLink186.xml"/><Relationship Id="rId2" Type="http://schemas.openxmlformats.org/officeDocument/2006/relationships/worksheet" Target="worksheets/sheet2.xml"/><Relationship Id="rId29" Type="http://schemas.openxmlformats.org/officeDocument/2006/relationships/externalLink" Target="externalLinks/externalLink2.xml"/><Relationship Id="rId40" Type="http://schemas.openxmlformats.org/officeDocument/2006/relationships/externalLink" Target="externalLinks/externalLink13.xml"/><Relationship Id="rId115" Type="http://schemas.openxmlformats.org/officeDocument/2006/relationships/externalLink" Target="externalLinks/externalLink88.xml"/><Relationship Id="rId136" Type="http://schemas.openxmlformats.org/officeDocument/2006/relationships/externalLink" Target="externalLinks/externalLink109.xml"/><Relationship Id="rId157" Type="http://schemas.openxmlformats.org/officeDocument/2006/relationships/externalLink" Target="externalLinks/externalLink130.xml"/><Relationship Id="rId178" Type="http://schemas.openxmlformats.org/officeDocument/2006/relationships/externalLink" Target="externalLinks/externalLink151.xml"/><Relationship Id="rId61" Type="http://schemas.openxmlformats.org/officeDocument/2006/relationships/externalLink" Target="externalLinks/externalLink34.xml"/><Relationship Id="rId82" Type="http://schemas.openxmlformats.org/officeDocument/2006/relationships/externalLink" Target="externalLinks/externalLink55.xml"/><Relationship Id="rId199" Type="http://schemas.openxmlformats.org/officeDocument/2006/relationships/externalLink" Target="externalLinks/externalLink172.xml"/><Relationship Id="rId203" Type="http://schemas.openxmlformats.org/officeDocument/2006/relationships/externalLink" Target="externalLinks/externalLink176.xml"/><Relationship Id="rId19" Type="http://schemas.openxmlformats.org/officeDocument/2006/relationships/worksheet" Target="worksheets/sheet19.xml"/><Relationship Id="rId224" Type="http://schemas.openxmlformats.org/officeDocument/2006/relationships/externalLink" Target="externalLinks/externalLink197.xml"/><Relationship Id="rId30" Type="http://schemas.openxmlformats.org/officeDocument/2006/relationships/externalLink" Target="externalLinks/externalLink3.xml"/><Relationship Id="rId105" Type="http://schemas.openxmlformats.org/officeDocument/2006/relationships/externalLink" Target="externalLinks/externalLink78.xml"/><Relationship Id="rId126" Type="http://schemas.openxmlformats.org/officeDocument/2006/relationships/externalLink" Target="externalLinks/externalLink99.xml"/><Relationship Id="rId147" Type="http://schemas.openxmlformats.org/officeDocument/2006/relationships/externalLink" Target="externalLinks/externalLink120.xml"/><Relationship Id="rId168" Type="http://schemas.openxmlformats.org/officeDocument/2006/relationships/externalLink" Target="externalLinks/externalLink141.xml"/><Relationship Id="rId51" Type="http://schemas.openxmlformats.org/officeDocument/2006/relationships/externalLink" Target="externalLinks/externalLink24.xml"/><Relationship Id="rId72" Type="http://schemas.openxmlformats.org/officeDocument/2006/relationships/externalLink" Target="externalLinks/externalLink45.xml"/><Relationship Id="rId93" Type="http://schemas.openxmlformats.org/officeDocument/2006/relationships/externalLink" Target="externalLinks/externalLink66.xml"/><Relationship Id="rId189" Type="http://schemas.openxmlformats.org/officeDocument/2006/relationships/externalLink" Target="externalLinks/externalLink162.xml"/></Relationships>
</file>

<file path=xl/drawings/_rels/drawing1.xml.rels><?xml version="1.0" encoding="UTF-8" standalone="yes"?>
<Relationships xmlns="http://schemas.openxmlformats.org/package/2006/relationships"><Relationship Id="rId3" Type="http://schemas.openxmlformats.org/officeDocument/2006/relationships/image" Target="../media/image3.emf"/><Relationship Id="rId2" Type="http://schemas.openxmlformats.org/officeDocument/2006/relationships/image" Target="../media/image2.emf"/><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3" Type="http://schemas.openxmlformats.org/officeDocument/2006/relationships/image" Target="../media/image9.png"/><Relationship Id="rId2" Type="http://schemas.openxmlformats.org/officeDocument/2006/relationships/image" Target="../media/image8.png"/><Relationship Id="rId1" Type="http://schemas.openxmlformats.org/officeDocument/2006/relationships/image" Target="../media/image7.png"/></Relationships>
</file>

<file path=xl/drawings/_rels/drawing3.xml.rels><?xml version="1.0" encoding="UTF-8" standalone="yes"?>
<Relationships xmlns="http://schemas.openxmlformats.org/package/2006/relationships"><Relationship Id="rId2" Type="http://schemas.openxmlformats.org/officeDocument/2006/relationships/image" Target="../media/image8.png"/><Relationship Id="rId1" Type="http://schemas.openxmlformats.org/officeDocument/2006/relationships/image" Target="../media/image7.png"/></Relationships>
</file>

<file path=xl/drawings/_rels/drawing4.xml.rels><?xml version="1.0" encoding="UTF-8" standalone="yes"?>
<Relationships xmlns="http://schemas.openxmlformats.org/package/2006/relationships"><Relationship Id="rId1" Type="http://schemas.openxmlformats.org/officeDocument/2006/relationships/image" Target="../media/image10.emf"/></Relationships>
</file>

<file path=xl/drawings/_rels/vmlDrawing1.vml.rels><?xml version="1.0" encoding="UTF-8" standalone="yes"?>
<Relationships xmlns="http://schemas.openxmlformats.org/package/2006/relationships"><Relationship Id="rId3" Type="http://schemas.openxmlformats.org/officeDocument/2006/relationships/image" Target="../media/image6.emf"/><Relationship Id="rId2" Type="http://schemas.openxmlformats.org/officeDocument/2006/relationships/image" Target="../media/image5.emf"/><Relationship Id="rId1" Type="http://schemas.openxmlformats.org/officeDocument/2006/relationships/image" Target="../media/image4.emf"/></Relationships>
</file>

<file path=xl/drawings/_rels/vmlDrawing2.vml.rels><?xml version="1.0" encoding="UTF-8" standalone="yes"?>
<Relationships xmlns="http://schemas.openxmlformats.org/package/2006/relationships"><Relationship Id="rId1" Type="http://schemas.openxmlformats.org/officeDocument/2006/relationships/image" Target="../media/image11.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xdr:col>
          <xdr:colOff>1576</xdr:colOff>
          <xdr:row>35</xdr:row>
          <xdr:rowOff>89645</xdr:rowOff>
        </xdr:from>
        <xdr:to>
          <xdr:col>7</xdr:col>
          <xdr:colOff>23034</xdr:colOff>
          <xdr:row>52</xdr:row>
          <xdr:rowOff>67235</xdr:rowOff>
        </xdr:to>
        <xdr:pic>
          <xdr:nvPicPr>
            <xdr:cNvPr id="2" name="그림 1">
              <a:extLst>
                <a:ext uri="{FF2B5EF4-FFF2-40B4-BE49-F238E27FC236}">
                  <a16:creationId xmlns:a16="http://schemas.microsoft.com/office/drawing/2014/main" id="{D9F5A331-E004-47F5-ACC4-D0AD7695E21B}"/>
                </a:ext>
              </a:extLst>
            </xdr:cNvPr>
            <xdr:cNvPicPr>
              <a:picLocks noChangeAspect="1" noChangeArrowheads="1"/>
              <a:extLst>
                <a:ext uri="{84589F7E-364E-4C9E-8A38-B11213B215E9}">
                  <a14:cameraTool cellRange="$N$63:$Q$77" spid="_x0000_s562901"/>
                </a:ext>
              </a:extLst>
            </xdr:cNvPicPr>
          </xdr:nvPicPr>
          <xdr:blipFill>
            <a:blip xmlns:r="http://schemas.openxmlformats.org/officeDocument/2006/relationships" r:embed="rId1"/>
            <a:srcRect/>
            <a:stretch>
              <a:fillRect/>
            </a:stretch>
          </xdr:blipFill>
          <xdr:spPr bwMode="auto">
            <a:xfrm>
              <a:off x="203282" y="6095998"/>
              <a:ext cx="7518193" cy="2644590"/>
            </a:xfrm>
            <a:prstGeom prst="rect">
              <a:avLst/>
            </a:prstGeom>
            <a:solidFill>
              <a:srgbClr val="FFFFFF" mc:Ignorable="a14" a14:legacySpreadsheetColorIndex="9"/>
            </a:solidFill>
            <a:ln w="9525">
              <a:noFill/>
              <a:miter lim="800000"/>
              <a:headEnd/>
              <a:tailEnd/>
            </a:ln>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1353</xdr:colOff>
          <xdr:row>52</xdr:row>
          <xdr:rowOff>151012</xdr:rowOff>
        </xdr:from>
        <xdr:to>
          <xdr:col>7</xdr:col>
          <xdr:colOff>21418</xdr:colOff>
          <xdr:row>58</xdr:row>
          <xdr:rowOff>123430</xdr:rowOff>
        </xdr:to>
        <xdr:pic>
          <xdr:nvPicPr>
            <xdr:cNvPr id="3" name="그림 2">
              <a:extLst>
                <a:ext uri="{FF2B5EF4-FFF2-40B4-BE49-F238E27FC236}">
                  <a16:creationId xmlns:a16="http://schemas.microsoft.com/office/drawing/2014/main" id="{C633B050-FEF8-4AC9-B210-10AD50BA6ECE}"/>
                </a:ext>
              </a:extLst>
            </xdr:cNvPr>
            <xdr:cNvPicPr>
              <a:picLocks noChangeAspect="1" noChangeArrowheads="1"/>
              <a:extLst>
                <a:ext uri="{84589F7E-364E-4C9E-8A38-B11213B215E9}">
                  <a14:cameraTool cellRange="$S$63:$V$67" spid="_x0000_s562902"/>
                </a:ext>
              </a:extLst>
            </xdr:cNvPicPr>
          </xdr:nvPicPr>
          <xdr:blipFill>
            <a:blip xmlns:r="http://schemas.openxmlformats.org/officeDocument/2006/relationships" r:embed="rId2"/>
            <a:srcRect/>
            <a:stretch>
              <a:fillRect/>
            </a:stretch>
          </xdr:blipFill>
          <xdr:spPr bwMode="auto">
            <a:xfrm>
              <a:off x="203059" y="8824365"/>
              <a:ext cx="7516800" cy="913712"/>
            </a:xfrm>
            <a:prstGeom prst="rect">
              <a:avLst/>
            </a:prstGeom>
            <a:solidFill>
              <a:srgbClr val="FFFFFF" mc:Ignorable="a14" a14:legacySpreadsheetColorIndex="9"/>
            </a:solidFill>
            <a:ln w="9525">
              <a:noFill/>
              <a:miter lim="800000"/>
              <a:headEnd/>
              <a:tailEnd/>
            </a:ln>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176442</xdr:colOff>
          <xdr:row>2</xdr:row>
          <xdr:rowOff>3789</xdr:rowOff>
        </xdr:from>
        <xdr:to>
          <xdr:col>12</xdr:col>
          <xdr:colOff>714324</xdr:colOff>
          <xdr:row>93</xdr:row>
          <xdr:rowOff>82230</xdr:rowOff>
        </xdr:to>
        <xdr:pic>
          <xdr:nvPicPr>
            <xdr:cNvPr id="4" name="그림 3">
              <a:extLst>
                <a:ext uri="{FF2B5EF4-FFF2-40B4-BE49-F238E27FC236}">
                  <a16:creationId xmlns:a16="http://schemas.microsoft.com/office/drawing/2014/main" id="{CF51F137-1B64-4262-8EB3-96BB92CD84A2}"/>
                </a:ext>
              </a:extLst>
            </xdr:cNvPr>
            <xdr:cNvPicPr>
              <a:picLocks noChangeAspect="1" noChangeArrowheads="1"/>
              <a:extLst>
                <a:ext uri="{84589F7E-364E-4C9E-8A38-B11213B215E9}">
                  <a14:cameraTool cellRange="$Y$88:$AF$176" spid="_x0000_s562903"/>
                </a:ext>
              </a:extLst>
            </xdr:cNvPicPr>
          </xdr:nvPicPr>
          <xdr:blipFill>
            <a:blip xmlns:r="http://schemas.openxmlformats.org/officeDocument/2006/relationships" r:embed="rId3"/>
            <a:srcRect/>
            <a:stretch>
              <a:fillRect/>
            </a:stretch>
          </xdr:blipFill>
          <xdr:spPr bwMode="auto">
            <a:xfrm>
              <a:off x="7897295" y="631318"/>
              <a:ext cx="6813176" cy="14959853"/>
            </a:xfrm>
            <a:prstGeom prst="rect">
              <a:avLst/>
            </a:prstGeom>
            <a:solidFill>
              <a:srgbClr val="FFFFFF" mc:Ignorable="a14" a14:legacySpreadsheetColorIndex="9"/>
            </a:solidFill>
            <a:ln w="9525">
              <a:noFill/>
              <a:miter lim="800000"/>
              <a:headEnd/>
              <a:tailEnd/>
            </a:ln>
          </xdr:spPr>
        </xdr:pic>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editAs="oneCell">
    <xdr:from>
      <xdr:col>28</xdr:col>
      <xdr:colOff>3393</xdr:colOff>
      <xdr:row>10</xdr:row>
      <xdr:rowOff>4071</xdr:rowOff>
    </xdr:from>
    <xdr:to>
      <xdr:col>34</xdr:col>
      <xdr:colOff>622420</xdr:colOff>
      <xdr:row>21</xdr:row>
      <xdr:rowOff>51912</xdr:rowOff>
    </xdr:to>
    <xdr:pic>
      <xdr:nvPicPr>
        <xdr:cNvPr id="2" name="그림 1">
          <a:extLst>
            <a:ext uri="{FF2B5EF4-FFF2-40B4-BE49-F238E27FC236}">
              <a16:creationId xmlns:a16="http://schemas.microsoft.com/office/drawing/2014/main" id="{1028901A-9A8E-4FDD-8EA6-D29A600C83FB}"/>
            </a:ext>
          </a:extLst>
        </xdr:cNvPr>
        <xdr:cNvPicPr>
          <a:picLocks noChangeAspect="1"/>
        </xdr:cNvPicPr>
      </xdr:nvPicPr>
      <xdr:blipFill>
        <a:blip xmlns:r="http://schemas.openxmlformats.org/officeDocument/2006/relationships" r:embed="rId1"/>
        <a:stretch>
          <a:fillRect/>
        </a:stretch>
      </xdr:blipFill>
      <xdr:spPr>
        <a:xfrm>
          <a:off x="16672143" y="3160928"/>
          <a:ext cx="6252384" cy="3789805"/>
        </a:xfrm>
        <a:prstGeom prst="rect">
          <a:avLst/>
        </a:prstGeom>
      </xdr:spPr>
    </xdr:pic>
    <xdr:clientData/>
  </xdr:twoCellAnchor>
  <xdr:twoCellAnchor editAs="oneCell">
    <xdr:from>
      <xdr:col>28</xdr:col>
      <xdr:colOff>2346</xdr:colOff>
      <xdr:row>21</xdr:row>
      <xdr:rowOff>208931</xdr:rowOff>
    </xdr:from>
    <xdr:to>
      <xdr:col>33</xdr:col>
      <xdr:colOff>346875</xdr:colOff>
      <xdr:row>27</xdr:row>
      <xdr:rowOff>2277</xdr:rowOff>
    </xdr:to>
    <xdr:pic>
      <xdr:nvPicPr>
        <xdr:cNvPr id="3" name="그림 2">
          <a:extLst>
            <a:ext uri="{FF2B5EF4-FFF2-40B4-BE49-F238E27FC236}">
              <a16:creationId xmlns:a16="http://schemas.microsoft.com/office/drawing/2014/main" id="{E088DF4F-375C-4BEC-A7CE-8ABEC1679D67}"/>
            </a:ext>
          </a:extLst>
        </xdr:cNvPr>
        <xdr:cNvPicPr>
          <a:picLocks noChangeAspect="1"/>
        </xdr:cNvPicPr>
      </xdr:nvPicPr>
      <xdr:blipFill>
        <a:blip xmlns:r="http://schemas.openxmlformats.org/officeDocument/2006/relationships" r:embed="rId2"/>
        <a:stretch>
          <a:fillRect/>
        </a:stretch>
      </xdr:blipFill>
      <xdr:spPr>
        <a:xfrm>
          <a:off x="16671096" y="7107752"/>
          <a:ext cx="5107029" cy="1834418"/>
        </a:xfrm>
        <a:prstGeom prst="rect">
          <a:avLst/>
        </a:prstGeom>
      </xdr:spPr>
    </xdr:pic>
    <xdr:clientData/>
  </xdr:twoCellAnchor>
  <xdr:twoCellAnchor editAs="oneCell">
    <xdr:from>
      <xdr:col>28</xdr:col>
      <xdr:colOff>0</xdr:colOff>
      <xdr:row>27</xdr:row>
      <xdr:rowOff>126541</xdr:rowOff>
    </xdr:from>
    <xdr:to>
      <xdr:col>32</xdr:col>
      <xdr:colOff>814364</xdr:colOff>
      <xdr:row>30</xdr:row>
      <xdr:rowOff>296795</xdr:rowOff>
    </xdr:to>
    <xdr:pic>
      <xdr:nvPicPr>
        <xdr:cNvPr id="4" name="그림 3">
          <a:extLst>
            <a:ext uri="{FF2B5EF4-FFF2-40B4-BE49-F238E27FC236}">
              <a16:creationId xmlns:a16="http://schemas.microsoft.com/office/drawing/2014/main" id="{9C4607AF-44E5-4A58-A597-A4D77E5A373F}"/>
            </a:ext>
          </a:extLst>
        </xdr:cNvPr>
        <xdr:cNvPicPr>
          <a:picLocks noChangeAspect="1"/>
        </xdr:cNvPicPr>
      </xdr:nvPicPr>
      <xdr:blipFill>
        <a:blip xmlns:r="http://schemas.openxmlformats.org/officeDocument/2006/relationships" r:embed="rId3"/>
        <a:stretch>
          <a:fillRect/>
        </a:stretch>
      </xdr:blipFill>
      <xdr:spPr>
        <a:xfrm>
          <a:off x="16940893" y="9066434"/>
          <a:ext cx="4706007" cy="119079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15</xdr:col>
      <xdr:colOff>132523</xdr:colOff>
      <xdr:row>43</xdr:row>
      <xdr:rowOff>198782</xdr:rowOff>
    </xdr:from>
    <xdr:to>
      <xdr:col>23</xdr:col>
      <xdr:colOff>81799</xdr:colOff>
      <xdr:row>61</xdr:row>
      <xdr:rowOff>113033</xdr:rowOff>
    </xdr:to>
    <xdr:pic>
      <xdr:nvPicPr>
        <xdr:cNvPr id="2" name="그림 1">
          <a:extLst>
            <a:ext uri="{FF2B5EF4-FFF2-40B4-BE49-F238E27FC236}">
              <a16:creationId xmlns:a16="http://schemas.microsoft.com/office/drawing/2014/main" id="{E1C21B44-4336-4784-92D1-65D51E3379E4}"/>
            </a:ext>
          </a:extLst>
        </xdr:cNvPr>
        <xdr:cNvPicPr>
          <a:picLocks noChangeAspect="1"/>
        </xdr:cNvPicPr>
      </xdr:nvPicPr>
      <xdr:blipFill>
        <a:blip xmlns:r="http://schemas.openxmlformats.org/officeDocument/2006/relationships" r:embed="rId1"/>
        <a:stretch>
          <a:fillRect/>
        </a:stretch>
      </xdr:blipFill>
      <xdr:spPr>
        <a:xfrm>
          <a:off x="10427806" y="9127434"/>
          <a:ext cx="6304472" cy="3682838"/>
        </a:xfrm>
        <a:prstGeom prst="rect">
          <a:avLst/>
        </a:prstGeom>
      </xdr:spPr>
    </xdr:pic>
    <xdr:clientData/>
  </xdr:twoCellAnchor>
  <xdr:twoCellAnchor editAs="oneCell">
    <xdr:from>
      <xdr:col>15</xdr:col>
      <xdr:colOff>132522</xdr:colOff>
      <xdr:row>61</xdr:row>
      <xdr:rowOff>190501</xdr:rowOff>
    </xdr:from>
    <xdr:to>
      <xdr:col>21</xdr:col>
      <xdr:colOff>313765</xdr:colOff>
      <xdr:row>70</xdr:row>
      <xdr:rowOff>108713</xdr:rowOff>
    </xdr:to>
    <xdr:pic>
      <xdr:nvPicPr>
        <xdr:cNvPr id="4" name="그림 3">
          <a:extLst>
            <a:ext uri="{FF2B5EF4-FFF2-40B4-BE49-F238E27FC236}">
              <a16:creationId xmlns:a16="http://schemas.microsoft.com/office/drawing/2014/main" id="{1E063605-1D3F-49A5-83C4-2CE9B78651C1}"/>
            </a:ext>
          </a:extLst>
        </xdr:cNvPr>
        <xdr:cNvPicPr>
          <a:picLocks noChangeAspect="1"/>
        </xdr:cNvPicPr>
      </xdr:nvPicPr>
      <xdr:blipFill>
        <a:blip xmlns:r="http://schemas.openxmlformats.org/officeDocument/2006/relationships" r:embed="rId2"/>
        <a:stretch>
          <a:fillRect/>
        </a:stretch>
      </xdr:blipFill>
      <xdr:spPr>
        <a:xfrm>
          <a:off x="10385904" y="13200530"/>
          <a:ext cx="5134243" cy="1834418"/>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22</xdr:row>
          <xdr:rowOff>19594</xdr:rowOff>
        </xdr:from>
        <xdr:to>
          <xdr:col>21</xdr:col>
          <xdr:colOff>350520</xdr:colOff>
          <xdr:row>79</xdr:row>
          <xdr:rowOff>47795</xdr:rowOff>
        </xdr:to>
        <xdr:pic>
          <xdr:nvPicPr>
            <xdr:cNvPr id="2" name="그림 1">
              <a:extLst>
                <a:ext uri="{FF2B5EF4-FFF2-40B4-BE49-F238E27FC236}">
                  <a16:creationId xmlns:a16="http://schemas.microsoft.com/office/drawing/2014/main" id="{00000000-0008-0000-0C00-000002000000}"/>
                </a:ext>
              </a:extLst>
            </xdr:cNvPr>
            <xdr:cNvPicPr>
              <a:picLocks noChangeAspect="1" noChangeArrowheads="1"/>
              <a:extLst>
                <a:ext uri="{84589F7E-364E-4C9E-8A38-B11213B215E9}">
                  <a14:cameraTool cellRange="$AT$38:$BK$96" spid="_x0000_s592952"/>
                </a:ext>
              </a:extLst>
            </xdr:cNvPicPr>
          </xdr:nvPicPr>
          <xdr:blipFill>
            <a:blip xmlns:r="http://schemas.openxmlformats.org/officeDocument/2006/relationships" r:embed="rId1"/>
            <a:srcRect/>
            <a:stretch>
              <a:fillRect/>
            </a:stretch>
          </xdr:blipFill>
          <xdr:spPr bwMode="auto">
            <a:xfrm>
              <a:off x="0" y="4330337"/>
              <a:ext cx="16635549" cy="12111344"/>
            </a:xfrm>
            <a:prstGeom prst="rect">
              <a:avLst/>
            </a:prstGeom>
            <a:solidFill>
              <a:srgbClr val="FFFFFF" mc:Ignorable="a14" a14:legacySpreadsheetColorIndex="9"/>
            </a:solidFill>
            <a:ln w="9525">
              <a:noFill/>
              <a:miter lim="800000"/>
              <a:headEnd/>
              <a:tailEnd/>
            </a:ln>
          </xdr:spPr>
        </xdr:pic>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HDFILE\HAUS\&#44204;&#51201;&#49892;\&#44592;&#51456;\&#45800;&#44032;&#51088;&#47308;\&#50808;&#51452;&#44204;&#51201;\&#51473;&#44592;.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WEZO&#44396;&#51116;&#55148;\2001%2001%20&#48376;&#48512;\&#45236;&#49436;&#47448;&#44032;&#48169;\9901&#44277;&#49324;&#54788;&#54889;\leejmn9904\REPORT07.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H:\1.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Srva020\atyrau$\Documents%20and%20Settings\A0731\Desktop\Jacob\Haradh\PlanData\Planning&amp;reporting.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http://www.die.gov.tr/netbul/den/CPI2010.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Sta035\dfs\Costruzioni\Preventivi%20Costruzione\prevcost\6863%20-%20JCPC%20-%20Al%20Jubail\Technical%20Offer\6853%20-%20Curve%20Cliente.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192.168.100.16\kaynarca%20karasu\HAKED&#304;&#350;LER\TCK%20Hakedi&#351;ler\netbul\den\CPI2010.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51060;&#48512;&#51109;&#45784;\C\My%20Documents\&#44277;&#49324;&#49436;&#47448;\SCH\BID-97\BID\QT003-SSY-&#52384;&#44264;3.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Main\group\&#51340;&#49849;&#54801;_B1%20Project\&#48376;&#49324;&#44540;&#47924;_0401\&#44277;&#49324;&#54016;%20&#44288;&#47144;&#51088;&#47308;%20for%20B-1\&#51340;&#49849;&#54801;\CBE%20for%20construction\&#44033;%20&#44277;&#51333;&#48324;%20&#48708;&#44368;&#54364;\&#53664;&#44148;030404_ISBL_Case1.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H3813\my%20documents\&#44277;&#50976;\abc.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DODO\&#48149;&#49849;&#48373;\My%20Docu%20&#51068;\code\IETip.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E:\&#45236;&#49436;&#47448;&#44032;&#48169;\9901&#44277;&#49324;&#54788;&#54889;\leejmn9904\REPORT07.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Z:\&#45236;&#49436;&#47448;&#44032;&#48169;\9901&#44277;&#49324;&#54788;&#54889;\leejmn9904\REPORT07.XLS" TargetMode="External"/></Relationships>
</file>

<file path=xl/externalLinks/_rels/externalLink14.xml.rels><?xml version="1.0" encoding="UTF-8" standalone="yes"?>
<Relationships xmlns="http://schemas.openxmlformats.org/package/2006/relationships"><Relationship Id="rId1" Type="http://schemas.microsoft.com/office/2006/relationships/xlExternalLinkPath/xlPathMissing" Target="&#50976;&#47548;&#44264;&#51312;"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HDEDMS\Mepss\&#44204;&#51201;&#49892;\&#44592;&#53440;\&#44060;&#51064;\4.&#45824;&#47532;\&#51060;&#49457;&#54616;\FILE\&#44277;&#53685;&#48708;F\&#45432;&#50516;&#44277;&#53685;.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51060;&#52384;&#54868;\&#51068;&#50948;&#45824;&#44032;\&#50672;&#46028;&#45236;&#50669;&#51068;&#50948;.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JKKIM\&#44277;&#49324;&#54788;&#54889;\&#45236;&#49436;&#47448;&#44032;&#48169;\9901&#44277;&#49324;&#54788;&#54889;\leejmn9904\REPORT07.XLS" TargetMode="External"/></Relationships>
</file>

<file path=xl/externalLinks/_rels/externalLink18.xml.rels><?xml version="1.0" encoding="UTF-8" standalone="yes"?>
<Relationships xmlns="http://schemas.openxmlformats.org/package/2006/relationships"><Relationship Id="rId2" Type="http://schemas.openxmlformats.org/officeDocument/2006/relationships/externalLinkPath" Target="../../&#45236;&#49436;&#47448;&#44032;&#48169;/9901&#44277;&#49324;&#54788;&#54889;/leejmn9904/REPORT07.XLS" TargetMode="External"/><Relationship Id="rId1" Type="http://schemas.openxmlformats.org/officeDocument/2006/relationships/externalLinkPath" Target="/&#45236;&#49436;&#47448;&#44032;&#48169;/9901&#44277;&#49324;&#54788;&#54889;/leejmn9904/REPORT07.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51076;&#49688;&#47564;\D\My%20Documents\JOB\FORM\&#46020;&#44553;&#49892;&#54665;.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h:\WekaWeku\&#44208;&#49328;\KIJO\97&#44221;&#50689;&#48516;&#49437;\A&#49324;&#50629;&#44228;&#54925;\02&#45800;%20%20%20&#44592;\98&#51116;&#49688;&#47549;&#49688;&#51221;\&#51333;&#44592;&#49892;&#51228;&#52636;\&#49688;&#51221;&#50577;&#49885;.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A:\QQQ\QQQ\VARIETY\CEMENT.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ile:///\\&#51060;&#51025;&#44033;\&#51452;&#49345;&#48373;&#54633;\WINDOWS\TEMP\&#52380;&#54840;&#46041;(99.9&#50900;).xls"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file:///\\Sta035\dfs\Windows\Desktop\6865_CWP_2.xls"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file:///h:\HDLAN\HDEC30\CACHE\WekaWeku\&#44208;&#49328;\KIJO\97&#44221;&#50689;&#48516;&#49437;\A&#49324;&#50629;&#44228;&#54925;\02&#45800;%20%20%20&#44592;\98&#51116;&#49688;&#47549;&#49688;&#51221;\&#51333;&#44592;&#49892;&#51228;&#52636;\&#49688;&#51221;&#50577;&#49885;.XLS"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file:///\\&#51453;&#51204;8&#52264;1\C\&#51453;&#51204;8&#52264;\&#52265;&#49688;&#44208;&#51032;\&#44204;&#51201;&#49892;\&#44592;&#53440;\&#44060;&#51064;\4.&#45824;&#47532;\&#51060;&#49457;&#54616;\FILE\&#50696;&#49328;F\&#50500;&#54028;&#53944;F\&#44368;&#46041;&#54788;&#51109;.xl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file:///h:\INSAKIHO\TASA\&#44277;&#53685;\SUDANG\&#49340;&#49457;&#52488;&#51076;.XLS"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file:///\\WEKA&#51060;&#51064;&#48176;\C\DATA\IQ\&#51221;971IQ.XLS"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file:///\\&#54728;&#50689;\12&#50900;&#51648;&#48520;&#51089;&#50629;\&#51648;&#44553;\My%20Documents\&#52572;&#52632;&#49457;\&#48149;&#46041;&#54616;\&#49892;&#53468;\My%20Documents\&#50808;&#51452;&#54788;&#54889;.WQ1"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file:///\\192.168.100.16\Jku\Projects%20Data\HCC\HO%20HCC\Data\Approved%20budgets\Hydro\Vizag\VIZAG-Project%20Budget%2008-09%20Approved-0.xls" TargetMode="External"/></Relationships>
</file>

<file path=xl/externalLinks/_rels/externalLink30.xml.rels><?xml version="1.0" encoding="UTF-8" standalone="yes"?>
<Relationships xmlns="http://schemas.openxmlformats.org/package/2006/relationships"><Relationship Id="rId2" Type="http://schemas.openxmlformats.org/officeDocument/2006/relationships/externalLinkPath" Target="../../1-1WORK/2&#49688;&#50896;&#48124;&#51088;&#50669;&#49324;2/&#51068;&#48152;&#53664;&#47785;&#44148;&#52629;/&#52509;&#44292;&#50896;&#44032;&#44228;&#49328;&#49436;1.xls" TargetMode="External"/><Relationship Id="rId1" Type="http://schemas.openxmlformats.org/officeDocument/2006/relationships/externalLinkPath" Target="/1-1WORK/2&#49688;&#50896;&#48124;&#51088;&#50669;&#49324;2/&#51068;&#48152;&#53664;&#47785;&#44148;&#52629;/&#52509;&#44292;&#50896;&#44032;&#44228;&#49328;&#49436;1.xls"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file:///F:\KIJO\&#48176;&#48512;9901.xls"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http://ep.hec.co.kr/My%20Documents/Pha%20Lai/HVAC/North%20HVAC%20Drawings/North%20Submittals%20to%20Boston/PL2-BP-NO-SW-100014/PHALAIDUCT%20.xls"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file:///F:\Documents%20and%20Settings\&#304;LKAY%20Z&#304;HN&#304;\Belgelerim\ASF%20PROT\B&#252;lb&#252;lo&#287;lu-Trabzon1999-2.xls"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file:///h:\WekaWeku\&#44208;&#49328;\9624\&#49324;&#50629;&#52628;&#51221;.XLS"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file:///B:\FORM\96&#44208;&#49328;.XLS"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file:///h:\HDLAN\HDEC30\CACHE\WekaWeku\&#44208;&#49328;\9624\&#49324;&#50629;&#52628;&#51221;.XLS" TargetMode="External"/></Relationships>
</file>

<file path=xl/externalLinks/_rels/externalLink37.xml.rels><?xml version="1.0" encoding="UTF-8" standalone="yes"?>
<Relationships xmlns="http://schemas.openxmlformats.org/package/2006/relationships"><Relationship Id="rId1" Type="http://schemas.openxmlformats.org/officeDocument/2006/relationships/externalLinkPath" Target="file:///h:\HDLAN\HDEC30\CACHE\WekaWeku\&#44208;&#49328;\97SAUPCU.XLS" TargetMode="External"/></Relationships>
</file>

<file path=xl/externalLinks/_rels/externalLink38.xml.rels><?xml version="1.0" encoding="UTF-8" standalone="yes"?>
<Relationships xmlns="http://schemas.openxmlformats.org/package/2006/relationships"><Relationship Id="rId1" Type="http://schemas.openxmlformats.org/officeDocument/2006/relationships/externalLinkPath" Target="file:///h:\HDLAN\HDEC30\CACHE\MONTH\&#49324;&#50629;&#52628;09.XLS" TargetMode="External"/></Relationships>
</file>

<file path=xl/externalLinks/_rels/externalLink39.xml.rels><?xml version="1.0" encoding="UTF-8" standalone="yes"?>
<Relationships xmlns="http://schemas.openxmlformats.org/package/2006/relationships"><Relationship Id="rId1" Type="http://schemas.openxmlformats.org/officeDocument/2006/relationships/externalLinkPath" Target="file:///B:\&#54217;&#44512;&#51064;&#50896;.95" TargetMode="External"/></Relationships>
</file>

<file path=xl/externalLinks/_rels/externalLink40.xml.rels><?xml version="1.0" encoding="UTF-8" standalone="yes"?>
<Relationships xmlns="http://schemas.openxmlformats.org/package/2006/relationships"><Relationship Id="rId1" Type="http://schemas.openxmlformats.org/officeDocument/2006/relationships/externalLinkPath" Target="file:///h:\KIJO\&#48176;&#48512;9901.xls" TargetMode="External"/></Relationships>
</file>

<file path=xl/externalLinks/_rels/externalLink41.xml.rels><?xml version="1.0" encoding="UTF-8" standalone="yes"?>
<Relationships xmlns="http://schemas.openxmlformats.org/package/2006/relationships"><Relationship Id="rId1" Type="http://schemas.openxmlformats.org/officeDocument/2006/relationships/externalLinkPath" Target="file:///\\&#44608;&#54788;&#52380;\&#44608;&#54788;&#52380;\&#44204;&#51201;\&#49340;&#49457;&#47932;&#49328;\adnoc\Part2.xls" TargetMode="External"/></Relationships>
</file>

<file path=xl/externalLinks/_rels/externalLink42.xml.rels><?xml version="1.0" encoding="UTF-8" standalone="yes"?>
<Relationships xmlns="http://schemas.openxmlformats.org/package/2006/relationships"><Relationship Id="rId1" Type="http://schemas.openxmlformats.org/officeDocument/2006/relationships/externalLinkPath" Target="file:///\\&#54620;&#45224;&#54788;\OXY&#49892;&#54665;&#45236;&#50669;\My%20Documents\project\CA%20PJT\&#44204;&#51201;&#45236;&#50669;&#49436;\&#44204;&#51201;3&#52264;\Cost_total_&#48176;&#44288;-3&#52264;_&#54620;&#45224;&#54788;.xls" TargetMode="External"/></Relationships>
</file>

<file path=xl/externalLinks/_rels/externalLink43.xml.rels><?xml version="1.0" encoding="UTF-8" standalone="yes"?>
<Relationships xmlns="http://schemas.openxmlformats.org/package/2006/relationships"><Relationship Id="rId2" Type="http://schemas.openxmlformats.org/officeDocument/2006/relationships/externalLinkPath" Target="../../Overseas_tech/01-Infra1%20&#54016;/1000-&#51089;&#50629;/A.&#44277;&#53685;/510-&#49324;&#50629;&#44228;&#54925;/&#49324;&#50629;&#44228;&#54925;(2012&#45380;)/PROJECT/SKT&#49457;&#49688;&#46041;/0107&#53664;&#44277;&#49324;/&#49892;&#54665;/&#53664;&#47785;&#52628;&#51221;&#45236;&#50669;.xls" TargetMode="External"/><Relationship Id="rId1" Type="http://schemas.openxmlformats.org/officeDocument/2006/relationships/externalLinkPath" Target="/Overseas_tech/01-Infra1%20&#54016;/1000-&#51089;&#50629;/A.&#44277;&#53685;/510-&#49324;&#50629;&#44228;&#54925;/&#49324;&#50629;&#44228;&#54925;(2012&#45380;)/PROJECT/SKT&#49457;&#49688;&#46041;/0107&#53664;&#44277;&#49324;/&#49892;&#54665;/&#53664;&#47785;&#52628;&#51221;&#45236;&#50669;.xls" TargetMode="External"/></Relationships>
</file>

<file path=xl/externalLinks/_rels/externalLink44.xml.rels><?xml version="1.0" encoding="UTF-8" standalone="yes"?>
<Relationships xmlns="http://schemas.openxmlformats.org/package/2006/relationships"><Relationship Id="rId1" Type="http://schemas.openxmlformats.org/officeDocument/2006/relationships/externalLinkPath" Target="file:///\\Teknikofis\c\K-A-M-&#304;-L\TA&#350;-ER-ON\Denge\DENGEHK10.xls" TargetMode="External"/></Relationships>
</file>

<file path=xl/externalLinks/_rels/externalLink45.xml.rels><?xml version="1.0" encoding="UTF-8" standalone="yes"?>
<Relationships xmlns="http://schemas.openxmlformats.org/package/2006/relationships"><Relationship Id="rId1" Type="http://schemas.openxmlformats.org/officeDocument/2006/relationships/externalLinkPath" Target="file:///G:\&#45236;&#49436;&#47448;&#44032;&#48169;\9901&#44277;&#49324;&#54788;&#54889;\leejmn9904\REPORT07.XLS" TargetMode="External"/></Relationships>
</file>

<file path=xl/externalLinks/_rels/externalLink46.xml.rels><?xml version="1.0" encoding="UTF-8" standalone="yes"?>
<Relationships xmlns="http://schemas.openxmlformats.org/package/2006/relationships"><Relationship Id="rId1" Type="http://schemas.openxmlformats.org/officeDocument/2006/relationships/externalLinkPath" Target="file:///C:\My%20Document\SS-382\VO\&#50696;&#49328;%200619\CO%20No1_Backup%20Data_070619.xls" TargetMode="External"/></Relationships>
</file>

<file path=xl/externalLinks/_rels/externalLink47.xml.rels><?xml version="1.0" encoding="UTF-8" standalone="yes"?>
<Relationships xmlns="http://schemas.openxmlformats.org/package/2006/relationships"><Relationship Id="rId1" Type="http://schemas.openxmlformats.org/officeDocument/2006/relationships/externalLinkPath" Target="file:///\\PIPG(E)-&#49888;&#49440;&#48120;\ATTAHADDY\&#44060;&#51064;&#47928;&#49436;\qnix\valve_code.xls" TargetMode="External"/></Relationships>
</file>

<file path=xl/externalLinks/_rels/externalLink48.xml.rels><?xml version="1.0" encoding="UTF-8" standalone="yes"?>
<Relationships xmlns="http://schemas.openxmlformats.org/package/2006/relationships"><Relationship Id="rId2" Type="http://schemas.openxmlformats.org/officeDocument/2006/relationships/externalLinkPath" Target="../../Documents%20and%20Settings/9802293/Local%20Settings/Temporary%20Internet%20Files/Content.Outlook/H3PWF2C9/PROJECT/KINGDOM%20OF%20SAUDI%20ARABIA/JERP_PKG3/03)%20COMMERCIAL%20PROPOSAL/02_Indirect%20Cost/JERP3_Indirect_Cost_Final.xlsx" TargetMode="External"/><Relationship Id="rId1" Type="http://schemas.openxmlformats.org/officeDocument/2006/relationships/externalLinkPath" Target="/Documents%20and%20Settings/9802293/Local%20Settings/Temporary%20Internet%20Files/Content.Outlook/H3PWF2C9/PROJECT/KINGDOM%20OF%20SAUDI%20ARABIA/JERP_PKG3/03)%20COMMERCIAL%20PROPOSAL/02_Indirect%20Cost/JERP3_Indirect_Cost_Final.xlsx" TargetMode="External"/></Relationships>
</file>

<file path=xl/externalLinks/_rels/externalLink49.xml.rels><?xml version="1.0" encoding="UTF-8" standalone="yes"?>
<Relationships xmlns="http://schemas.openxmlformats.org/package/2006/relationships"><Relationship Id="rId1" Type="http://schemas.openxmlformats.org/officeDocument/2006/relationships/externalLinkPath" Target="file:///F:\SE6380\TOP1\MISS_&#49688;\ORIGINAL\&#49688;_01.XLS" TargetMode="External"/></Relationships>
</file>

<file path=xl/externalLinks/_rels/externalLink50.xml.rels><?xml version="1.0" encoding="UTF-8" standalone="yes"?>
<Relationships xmlns="http://schemas.openxmlformats.org/package/2006/relationships"><Relationship Id="rId1" Type="http://schemas.openxmlformats.org/officeDocument/2006/relationships/externalLinkPath" Target="file:///h:\KIJO\KIJOB\SSUK\96CONF.XLS" TargetMode="External"/></Relationships>
</file>

<file path=xl/externalLinks/_rels/externalLink51.xml.rels><?xml version="1.0" encoding="UTF-8" standalone="yes"?>
<Relationships xmlns="http://schemas.openxmlformats.org/package/2006/relationships"><Relationship Id="rId1" Type="http://schemas.openxmlformats.org/officeDocument/2006/relationships/externalLinkPath" Target="file:///\\66.12.116.175\common%20folder\WINDOWS\TEMP\Output\Estimation\PC1127_BQ_MainOffice.xls" TargetMode="External"/></Relationships>
</file>

<file path=xl/externalLinks/_rels/externalLink52.xml.rels><?xml version="1.0" encoding="UTF-8" standalone="yes"?>
<Relationships xmlns="http://schemas.openxmlformats.org/package/2006/relationships"><Relationship Id="rId1" Type="http://schemas.openxmlformats.org/officeDocument/2006/relationships/externalLinkPath" Target="file:///\\&#51060;&#52285;&#49688;\&#44277;&#50976;\Cost_total_&#48176;&#44288;-&#51060;&#52285;&#49688;2&#52264;.xls" TargetMode="External"/></Relationships>
</file>

<file path=xl/externalLinks/_rels/externalLink53.xml.rels><?xml version="1.0" encoding="UTF-8" standalone="yes"?>
<Relationships xmlns="http://schemas.openxmlformats.org/package/2006/relationships"><Relationship Id="rId1" Type="http://schemas.openxmlformats.org/officeDocument/2006/relationships/externalLinkPath" Target="file:///C:\Users\ESLee\Documents\00%20MANIS\CB16%20Yesan%20Payment\DB16-2%20SHYS%20Backup\&#49884;&#54665;&#50696;&#49328;&#49436;\200911\MANIS%20&#49884;&#54665;&#50696;&#49328;&#49436;(&#50504;)_OOK%20n%20IK_091125.xls" TargetMode="External"/></Relationships>
</file>

<file path=xl/externalLinks/_rels/externalLink54.xml.rels><?xml version="1.0" encoding="UTF-8" standalone="yes"?>
<Relationships xmlns="http://schemas.openxmlformats.org/package/2006/relationships"><Relationship Id="rId1" Type="http://schemas.openxmlformats.org/officeDocument/2006/relationships/externalLinkPath" Target="file:///A:\payment%20to%20wahteck.xls" TargetMode="External"/></Relationships>
</file>

<file path=xl/externalLinks/_rels/externalLink55.xml.rels><?xml version="1.0" encoding="UTF-8" standalone="yes"?>
<Relationships xmlns="http://schemas.openxmlformats.org/package/2006/relationships"><Relationship Id="rId1" Type="http://schemas.openxmlformats.org/officeDocument/2006/relationships/externalLinkPath" Target="file:///\\&#44608;&#51068;&#54788;\&#49324;&#50864;&#46356;\K71772\GEN\COVER.XLS" TargetMode="External"/></Relationships>
</file>

<file path=xl/externalLinks/_rels/externalLink56.xml.rels><?xml version="1.0" encoding="UTF-8" standalone="yes"?>
<Relationships xmlns="http://schemas.openxmlformats.org/package/2006/relationships"><Relationship Id="rId2" Type="http://schemas.openxmlformats.org/officeDocument/2006/relationships/externalLinkPath" Target="../../DEP.DEPGAS/A%20020%20075%20-%20Costa%20Azul%20Terminal/04%20-%20DEP/06%20-%20PMT%20-%20CMT/A020075%20-%20PMT%20SMT%20Costa%20Azul%20Terminal%20-%20rev4%20(FINAL).xls" TargetMode="External"/><Relationship Id="rId1" Type="http://schemas.openxmlformats.org/officeDocument/2006/relationships/externalLinkPath" Target="/DEP.DEPGAS/A%20020%20075%20-%20Costa%20Azul%20Terminal/04%20-%20DEP/06%20-%20PMT%20-%20CMT/A020075%20-%20PMT%20SMT%20Costa%20Azul%20Terminal%20-%20rev4%20(FINAL).xls" TargetMode="External"/></Relationships>
</file>

<file path=xl/externalLinks/_rels/externalLink57.xml.rels><?xml version="1.0" encoding="UTF-8" standalone="yes"?>
<Relationships xmlns="http://schemas.openxmlformats.org/package/2006/relationships"><Relationship Id="rId1" Type="http://schemas.openxmlformats.org/officeDocument/2006/relationships/externalLinkPath" Target="file:///C:\&#51060;&#52380;&#50864;\&#49324;&#50629;&#50696;&#49328;&#49892;\UPON\02%20&#50696;&#49328;\&#44277;&#53685;&#48708;\UPON_&#44277;&#53685;&#48708;%20&#50696;&#49328;%20&#54200;&#49457;_130430.xlsx" TargetMode="External"/></Relationships>
</file>

<file path=xl/externalLinks/_rels/externalLink58.xml.rels><?xml version="1.0" encoding="UTF-8" standalone="yes"?>
<Relationships xmlns="http://schemas.openxmlformats.org/package/2006/relationships"><Relationship Id="rId1" Type="http://schemas.openxmlformats.org/officeDocument/2006/relationships/externalLinkPath" Target="file:///h:\My%20document\&#49892;&#54665;&#50696;&#49328;\&#54217;&#44512;&#51064;&#50896;.95" TargetMode="External"/></Relationships>
</file>

<file path=xl/externalLinks/_rels/externalLink59.xml.rels><?xml version="1.0" encoding="UTF-8" standalone="yes"?>
<Relationships xmlns="http://schemas.openxmlformats.org/package/2006/relationships"><Relationship Id="rId2" Type="http://schemas.openxmlformats.org/officeDocument/2006/relationships/externalLinkPath" Target="../../Documents%20and%20Settings/0801296/&#48148;&#53461;%20&#54868;&#47732;/PROJECT/JERP/03)%20COMMERCIAL%20PROPOSAL/INDIRECT%20COST/JERP3%20Project%20-%20Indirect%20Cost%20_%20Rev.%2000.xlsx" TargetMode="External"/><Relationship Id="rId1" Type="http://schemas.openxmlformats.org/officeDocument/2006/relationships/externalLinkPath" Target="/Documents%20and%20Settings/0801296/&#48148;&#53461;%20&#54868;&#47732;/PROJECT/JERP/03)%20COMMERCIAL%20PROPOSAL/INDIRECT%20COST/JERP3%20Project%20-%20Indirect%20Cost%20_%20Rev.%2000.xlsx" TargetMode="External"/></Relationships>
</file>

<file path=xl/externalLinks/_rels/externalLink60.xml.rels><?xml version="1.0" encoding="UTF-8" standalone="yes"?>
<Relationships xmlns="http://schemas.openxmlformats.org/package/2006/relationships"><Relationship Id="rId1" Type="http://schemas.openxmlformats.org/officeDocument/2006/relationships/externalLinkPath" Target="file:///\\66.12.116.175\common%20folder\2001&#45380;%20works\proposal\make%20BQ\makeBQ2.xls" TargetMode="External"/></Relationships>
</file>

<file path=xl/externalLinks/_rels/externalLink61.xml.rels><?xml version="1.0" encoding="UTF-8" standalone="yes"?>
<Relationships xmlns="http://schemas.openxmlformats.org/package/2006/relationships"><Relationship Id="rId1" Type="http://schemas.openxmlformats.org/officeDocument/2006/relationships/externalLinkPath" Target="file:///\\Jskang\ko_drn\Data_Work\HCT9\Work\Subcon\Sub_Master.xls" TargetMode="External"/></Relationships>
</file>

<file path=xl/externalLinks/_rels/externalLink62.xml.rels><?xml version="1.0" encoding="UTF-8" standalone="yes"?>
<Relationships xmlns="http://schemas.openxmlformats.org/package/2006/relationships"><Relationship Id="rId1" Type="http://schemas.openxmlformats.org/officeDocument/2006/relationships/externalLinkPath" Target="file:///\\Srva033\haw-com$\My%20Documents\est.xls" TargetMode="External"/></Relationships>
</file>

<file path=xl/externalLinks/_rels/externalLink63.xml.rels><?xml version="1.0" encoding="UTF-8" standalone="yes"?>
<Relationships xmlns="http://schemas.openxmlformats.org/package/2006/relationships"><Relationship Id="rId1" Type="http://schemas.openxmlformats.org/officeDocument/2006/relationships/externalLinkPath" Target="file:///C:\00.%20UPON%20(2013.02.01~)\01.%20&#44277;&#47924;\01.%20&#50696;&#49328;\4.%20&#49892;&#54665;&#50696;&#49328;&#54408;&#51032;\2.%20&#44036;&#51217;&#48708;\UPON_&#44277;&#53685;&#48708;%20&#50696;&#49328;%20&#54200;&#49457;_130715.xlsx" TargetMode="External"/></Relationships>
</file>

<file path=xl/externalLinks/_rels/externalLink64.xml.rels><?xml version="1.0" encoding="UTF-8" standalone="yes"?>
<Relationships xmlns="http://schemas.openxmlformats.org/package/2006/relationships"><Relationship Id="rId1" Type="http://schemas.openxmlformats.org/officeDocument/2006/relationships/externalLinkPath" Target="file:///F:\KIJO\KIJOB\SSUK\96CONF.XLS" TargetMode="External"/></Relationships>
</file>

<file path=xl/externalLinks/_rels/externalLink65.xml.rels><?xml version="1.0" encoding="UTF-8" standalone="yes"?>
<Relationships xmlns="http://schemas.openxmlformats.org/package/2006/relationships"><Relationship Id="rId2" Type="http://schemas.openxmlformats.org/officeDocument/2006/relationships/externalLinkPath" Target="../../Documents%20and%20Settings/0701001/My%20Documents/1.%20WASIT/&#51064;&#50896;&#46041;&#50896;/WASIT-&#44592;&#45733;&#44277;&#51064;&#50896;&#46041;&#50896;&#44228;&#54925;%20&#52712;&#54633;%201019%20Inspector%20&#54252;&#54632;.xlsx" TargetMode="External"/><Relationship Id="rId1" Type="http://schemas.openxmlformats.org/officeDocument/2006/relationships/externalLinkPath" Target="/Documents%20and%20Settings/0701001/My%20Documents/1.%20WASIT/&#51064;&#50896;&#46041;&#50896;/WASIT-&#44592;&#45733;&#44277;&#51064;&#50896;&#46041;&#50896;&#44228;&#54925;%20&#52712;&#54633;%201019%20Inspector%20&#54252;&#54632;.xlsx" TargetMode="External"/></Relationships>
</file>

<file path=xl/externalLinks/_rels/externalLink66.xml.rels><?xml version="1.0" encoding="UTF-8" standalone="yes"?>
<Relationships xmlns="http://schemas.openxmlformats.org/package/2006/relationships"><Relationship Id="rId1" Type="http://schemas.openxmlformats.org/officeDocument/2006/relationships/externalLinkPath" Target="file:///h:\WekaWeku\&#44208;&#49328;\97SAUPCU.XLS" TargetMode="External"/></Relationships>
</file>

<file path=xl/externalLinks/_rels/externalLink67.xml.rels><?xml version="1.0" encoding="UTF-8" standalone="yes"?>
<Relationships xmlns="http://schemas.openxmlformats.org/package/2006/relationships"><Relationship Id="rId1" Type="http://schemas.microsoft.com/office/2006/relationships/xlExternalLinkPath/xlPathMissing" Target="Book29" TargetMode="External"/></Relationships>
</file>

<file path=xl/externalLinks/_rels/externalLink68.xml.rels><?xml version="1.0" encoding="UTF-8" standalone="yes"?>
<Relationships xmlns="http://schemas.openxmlformats.org/package/2006/relationships"><Relationship Id="rId1" Type="http://schemas.openxmlformats.org/officeDocument/2006/relationships/externalLinkPath" Target="file:///\\Hdedms\Mepss\&#51648;&#54840;Docu\1.&#44592;&#53440;\2.&#50577;&#49885;\9.&#44592;&#53440;\001%20&#50672;&#44208;&#45130;&#44592;&#50857;(&#45236;&#50857;&#50630;&#51020;).xls" TargetMode="External"/></Relationships>
</file>

<file path=xl/externalLinks/_rels/externalLink69.xml.rels><?xml version="1.0" encoding="UTF-8" standalone="yes"?>
<Relationships xmlns="http://schemas.openxmlformats.org/package/2006/relationships"><Relationship Id="rId1" Type="http://schemas.openxmlformats.org/officeDocument/2006/relationships/externalLinkPath" Target="file:///O:\My%20Documents\SKKIM\Work1999\&#54840;&#45224;&#49437;&#50976;\&#49892;&#54665;BM\YUKONG\PROPOSAL\SEOUL\PROPOSAL.XLS" TargetMode="External"/></Relationships>
</file>

<file path=xl/externalLinks/_rels/externalLink70.xml.rels><?xml version="1.0" encoding="UTF-8" standalone="yes"?>
<Relationships xmlns="http://schemas.openxmlformats.org/package/2006/relationships"><Relationship Id="rId1" Type="http://schemas.openxmlformats.org/officeDocument/2006/relationships/externalLinkPath" Target="http://ep.hec.co.kr/&#44060;&#48156;program/fdn_bm_pro.xls" TargetMode="External"/></Relationships>
</file>

<file path=xl/externalLinks/_rels/externalLink71.xml.rels><?xml version="1.0" encoding="UTF-8" standalone="yes"?>
<Relationships xmlns="http://schemas.openxmlformats.org/package/2006/relationships"><Relationship Id="rId2" Type="http://schemas.openxmlformats.org/officeDocument/2006/relationships/externalLinkPath" Target="../../A1/To%20Project/Final/&#51109;&#48708;&#48708;-&#44288;&#49464;+&#50868;&#48152;&#48708;+&#44032;&#49444;&#48156;&#51204;-&#46041;&#50896;&#44228;&#54925;.xls" TargetMode="External"/><Relationship Id="rId1" Type="http://schemas.openxmlformats.org/officeDocument/2006/relationships/externalLinkPath" Target="/A1/To%20Project/Final/&#51109;&#48708;&#48708;-&#44288;&#49464;+&#50868;&#48152;&#48708;+&#44032;&#49444;&#48156;&#51204;-&#46041;&#50896;&#44228;&#54925;.xls" TargetMode="External"/></Relationships>
</file>

<file path=xl/externalLinks/_rels/externalLink72.xml.rels><?xml version="1.0" encoding="UTF-8" standalone="yes"?>
<Relationships xmlns="http://schemas.openxmlformats.org/package/2006/relationships"><Relationship Id="rId1" Type="http://schemas.openxmlformats.org/officeDocument/2006/relationships/externalLinkPath" Target="file:///F:\WekaWeku\&#44208;&#49328;\97SAUPCU.XLS" TargetMode="External"/></Relationships>
</file>

<file path=xl/externalLinks/_rels/externalLink73.xml.rels><?xml version="1.0" encoding="UTF-8" standalone="yes"?>
<Relationships xmlns="http://schemas.openxmlformats.org/package/2006/relationships"><Relationship Id="rId1" Type="http://schemas.openxmlformats.org/officeDocument/2006/relationships/externalLinkPath" Target="file:///\\&#52264;&#44221;&#46041;\NC-41\&#44060;&#48156;program\fdn_bm_pro.xls" TargetMode="External"/></Relationships>
</file>

<file path=xl/externalLinks/_rels/externalLink74.xml.rels><?xml version="1.0" encoding="UTF-8" standalone="yes"?>
<Relationships xmlns="http://schemas.openxmlformats.org/package/2006/relationships"><Relationship Id="rId1" Type="http://schemas.openxmlformats.org/officeDocument/2006/relationships/externalLinkPath" Target="file:///\\100.200.31.32\mech\Documents%20and%20Settings\1001061\Local%20Settings\Temporary%20Internet%20Files\Content.Outlook\ZV2IOE0X\Wasit-&#44277;&#53685;-&#44592;&#44228;&#51088;&#51116;&#48708;-(10&#50900;20&#51068;-4&#52264;-Final)-Tank&#49884;&#44277;&#51228;&#50808;-Option&#48708;&#52628;&#44032;&#54252;&#54632;%20Total.xls" TargetMode="External"/></Relationships>
</file>

<file path=xl/externalLinks/_rels/externalLink75.xml.rels><?xml version="1.0" encoding="UTF-8" standalone="yes"?>
<Relationships xmlns="http://schemas.openxmlformats.org/package/2006/relationships"><Relationship Id="rId1" Type="http://schemas.openxmlformats.org/officeDocument/2006/relationships/externalLinkPath" Target="file:///F:\WekaWeku\&#44208;&#49328;\exceldata\&#48176;&#48512;\98&#45380;\&#48176;&#48512;981.xls" TargetMode="External"/></Relationships>
</file>

<file path=xl/externalLinks/_rels/externalLink76.xml.rels><?xml version="1.0" encoding="UTF-8" standalone="yes"?>
<Relationships xmlns="http://schemas.openxmlformats.org/package/2006/relationships"><Relationship Id="rId1" Type="http://schemas.openxmlformats.org/officeDocument/2006/relationships/externalLinkPath" Target="file:///C:\Documents%20and%20Settings\0801660\Application%20Data\Microsoft\Excel\pulau%20final\WINDOWS\Desktop\New%20Folder\Qo-1585.xls" TargetMode="External"/></Relationships>
</file>

<file path=xl/externalLinks/_rels/externalLink77.xml.rels><?xml version="1.0" encoding="UTF-8" standalone="yes"?>
<Relationships xmlns="http://schemas.openxmlformats.org/package/2006/relationships"><Relationship Id="rId1" Type="http://schemas.openxmlformats.org/officeDocument/2006/relationships/externalLinkPath" Target="file:///\\66.12.116.175\common%20folder\&#51340;&#49849;&#54801;_SEI%20Tower\Proposal\make%20BQ\makeBQ2.xls" TargetMode="External"/></Relationships>
</file>

<file path=xl/externalLinks/_rels/externalLink78.xml.rels><?xml version="1.0" encoding="UTF-8" standalone="yes"?>
<Relationships xmlns="http://schemas.openxmlformats.org/package/2006/relationships"><Relationship Id="rId1" Type="http://schemas.openxmlformats.org/officeDocument/2006/relationships/externalLinkPath" Target="file:///h:\WekaWeku\&#44208;&#49328;\exceldata\&#48176;&#48512;\98&#45380;\&#48176;&#48512;981.xls" TargetMode="External"/></Relationships>
</file>

<file path=xl/externalLinks/_rels/externalLink79.xml.rels><?xml version="1.0" encoding="UTF-8" standalone="yes"?>
<Relationships xmlns="http://schemas.openxmlformats.org/package/2006/relationships"><Relationship Id="rId1" Type="http://schemas.openxmlformats.org/officeDocument/2006/relationships/externalLinkPath" Target="http://ep.hec.co.kr/PJT/BID/TIDCO/USER/PROPOSAL/PHC/BM/ACTIVITY.xls" TargetMode="External"/></Relationships>
</file>

<file path=xl/externalLinks/_rels/externalLink80.xml.rels><?xml version="1.0" encoding="UTF-8" standalone="yes"?>
<Relationships xmlns="http://schemas.openxmlformats.org/package/2006/relationships"><Relationship Id="rId1" Type="http://schemas.openxmlformats.org/officeDocument/2006/relationships/externalLinkPath" Target="file:///A:\JO9707.XLS" TargetMode="External"/></Relationships>
</file>

<file path=xl/externalLinks/_rels/externalLink81.xml.rels><?xml version="1.0" encoding="UTF-8" standalone="yes"?>
<Relationships xmlns="http://schemas.openxmlformats.org/package/2006/relationships"><Relationship Id="rId1" Type="http://schemas.openxmlformats.org/officeDocument/2006/relationships/externalLinkPath" Target="file:///C:\06.AZITO\03.&#50696;&#49328;\03.&#49892;&#54665;&#50696;&#49328;\&#44277;&#53685;&#48708;(&#44608;&#44592;&#50756;GJN)\&#44036;&#51217;&#48708;%20&#50696;&#49328;(&#44160;&#53664;,&#52572;&#51333;)_130628\Azito_&#44277;&#53685;&#48708;_&#50696;&#49328;_&#54200;&#49457;(&#54364;&#51456;&#54868;_&#49688;&#49885;)_&#54200;&#51665;_r.5(&#51649;&#51217;&#51064;&#50896;&#51228;&#50808;).xlsx" TargetMode="External"/></Relationships>
</file>

<file path=xl/externalLinks/_rels/externalLink82.xml.rels><?xml version="1.0" encoding="UTF-8" standalone="yes"?>
<Relationships xmlns="http://schemas.openxmlformats.org/package/2006/relationships"><Relationship Id="rId1" Type="http://schemas.openxmlformats.org/officeDocument/2006/relationships/externalLinkPath" Target="file:///\\192.168.100.16\Documents%20and%20Settings\adana\Belgelerim\TOPRAKKALE-&#304;SKENDERUN(89+200-108+400)\HAK-T&#304;D(2.KISIM)\netbul\den\CPI2010.xls" TargetMode="External"/></Relationships>
</file>

<file path=xl/externalLinks/_rels/externalLink83.xml.rels><?xml version="1.0" encoding="UTF-8" standalone="yes"?>
<Relationships xmlns="http://schemas.openxmlformats.org/package/2006/relationships"><Relationship Id="rId1" Type="http://schemas.openxmlformats.org/officeDocument/2006/relationships/externalLinkPath" Target="file:///\\Z8j7j0\hc2\HOFFICE\TMP\~TMP2494.$$$\pump.xls" TargetMode="External"/></Relationships>
</file>

<file path=xl/externalLinks/_rels/externalLink84.xml.rels><?xml version="1.0" encoding="UTF-8" standalone="yes"?>
<Relationships xmlns="http://schemas.openxmlformats.org/package/2006/relationships"><Relationship Id="rId1" Type="http://schemas.openxmlformats.org/officeDocument/2006/relationships/externalLinkPath" Target="file:///\\wezo\ms275\CB06%20Bid\TNBDISK\P_ELEC.XLS" TargetMode="External"/></Relationships>
</file>

<file path=xl/externalLinks/_rels/externalLink85.xml.rels><?xml version="1.0" encoding="UTF-8" standalone="yes"?>
<Relationships xmlns="http://schemas.openxmlformats.org/package/2006/relationships"><Relationship Id="rId1" Type="http://schemas.microsoft.com/office/2006/relationships/xlExternalLinkPath/xlPathMissing" Target="&#44277;&#49324;&#48708;%20&#45236;&#50669;%20(&#44032;)" TargetMode="External"/></Relationships>
</file>

<file path=xl/externalLinks/_rels/externalLink86.xml.rels><?xml version="1.0" encoding="UTF-8" standalone="yes"?>
<Relationships xmlns="http://schemas.openxmlformats.org/package/2006/relationships"><Relationship Id="rId1" Type="http://schemas.openxmlformats.org/officeDocument/2006/relationships/externalLinkPath" Target="file:///E:\My%20Documents\DATA\BATAAN\&#44036;&#51217;&#48708;\&#49324;&#50629;&#44228;&#54925;.XLS" TargetMode="External"/></Relationships>
</file>

<file path=xl/externalLinks/_rels/externalLink87.xml.rels><?xml version="1.0" encoding="UTF-8" standalone="yes"?>
<Relationships xmlns="http://schemas.openxmlformats.org/package/2006/relationships"><Relationship Id="rId1" Type="http://schemas.openxmlformats.org/officeDocument/2006/relationships/externalLinkPath" Target="file:///E:\HDLAN\HDEC30\CACHE\EXCEL\&#44036;&#51217;&#48708;Z.XLS" TargetMode="External"/></Relationships>
</file>

<file path=xl/externalLinks/_rels/externalLink88.xml.rels><?xml version="1.0" encoding="UTF-8" standalone="yes"?>
<Relationships xmlns="http://schemas.openxmlformats.org/package/2006/relationships"><Relationship Id="rId1" Type="http://schemas.openxmlformats.org/officeDocument/2006/relationships/externalLinkPath" Target="file:///A:\HDECGTY-HO.xls" TargetMode="External"/></Relationships>
</file>

<file path=xl/externalLinks/_rels/externalLink89.xml.rels><?xml version="1.0" encoding="UTF-8" standalone="yes"?>
<Relationships xmlns="http://schemas.openxmlformats.org/package/2006/relationships"><Relationship Id="rId1" Type="http://schemas.openxmlformats.org/officeDocument/2006/relationships/externalLinkPath" Target="file:///C:\Documents%20and%20Settings\0801660\Application%20Data\Microsoft\Excel\HDec\iraq-power\price\IRAQ%20Gas%20Turbine\&#51077;&#52272;_0401\&#52509;&#44292;&#54364;\&#44036;&#51217;&#48708;T4.xls" TargetMode="External"/></Relationships>
</file>

<file path=xl/externalLinks/_rels/externalLink90.xml.rels><?xml version="1.0" encoding="UTF-8" standalone="yes"?>
<Relationships xmlns="http://schemas.openxmlformats.org/package/2006/relationships"><Relationship Id="rId2" Type="http://schemas.openxmlformats.org/officeDocument/2006/relationships/externalLinkPath" Target="../../Project/New%20Ethane-Kuwait/From%20HEC/1105-01/KNPC-1105-CV-&#50808;&#48512;BOQ.xls" TargetMode="External"/><Relationship Id="rId1" Type="http://schemas.openxmlformats.org/officeDocument/2006/relationships/externalLinkPath" Target="/Project/New%20Ethane-Kuwait/From%20HEC/1105-01/KNPC-1105-CV-&#50808;&#48512;BOQ.xls" TargetMode="External"/></Relationships>
</file>

<file path=xl/externalLinks/_rels/externalLink91.xml.rels><?xml version="1.0" encoding="UTF-8" standalone="yes"?>
<Relationships xmlns="http://schemas.openxmlformats.org/package/2006/relationships"><Relationship Id="rId1" Type="http://schemas.openxmlformats.org/officeDocument/2006/relationships/externalLinkPath" Target="file:///A:\My%20Documents\1999&#45380;\&#50696;&#49328;-&#45236;&#50669;&#49436;\&#50696;&#49328;&#44288;&#47144;&#49436;&#47448;\99-04-19-&#49436;&#50872;&#45824;&#44288;&#47144;\99-04-19-&#49436;&#50872;&#45824;&#44288;&#47144;(&#49688;&#51221;&#51473;).xls" TargetMode="External"/></Relationships>
</file>

<file path=xl/externalLinks/_rels/externalLink92.xml.rels><?xml version="1.0" encoding="UTF-8" standalone="yes"?>
<Relationships xmlns="http://schemas.openxmlformats.org/package/2006/relationships"><Relationship Id="rId2" Type="http://schemas.openxmlformats.org/officeDocument/2006/relationships/externalLinkPath" Target="../../Project/New%20Ethane-Kuwait/Cost/Ali%20Alghanim(General)/1101/Annex%203%20-%20Price%20Tables(OSBL_Pipeline_Civil_Bldg)%20REV3.xls" TargetMode="External"/><Relationship Id="rId1" Type="http://schemas.openxmlformats.org/officeDocument/2006/relationships/externalLinkPath" Target="/Project/New%20Ethane-Kuwait/Cost/Ali%20Alghanim(General)/1101/Annex%203%20-%20Price%20Tables(OSBL_Pipeline_Civil_Bldg)%20REV3.xls" TargetMode="External"/></Relationships>
</file>

<file path=xl/externalLinks/_rels/externalLink93.xml.rels><?xml version="1.0" encoding="UTF-8" standalone="yes"?>
<Relationships xmlns="http://schemas.openxmlformats.org/package/2006/relationships"><Relationship Id="rId2" Type="http://schemas.openxmlformats.org/officeDocument/2006/relationships/externalLinkPath" Target="../../Project/New%20Ethane-Kuwait/Cost/00%20Cost%20Evaluation/Final/General%20Civil/Al%20Bahar%20Cost.xls" TargetMode="External"/><Relationship Id="rId1" Type="http://schemas.openxmlformats.org/officeDocument/2006/relationships/externalLinkPath" Target="/Project/New%20Ethane-Kuwait/Cost/00%20Cost%20Evaluation/Final/General%20Civil/Al%20Bahar%20Cost.xls" TargetMode="External"/></Relationships>
</file>

<file path=xl/externalLinks/_rels/externalLink94.xml.rels><?xml version="1.0" encoding="UTF-8" standalone="yes"?>
<Relationships xmlns="http://schemas.openxmlformats.org/package/2006/relationships"><Relationship Id="rId2" Type="http://schemas.openxmlformats.org/officeDocument/2006/relationships/externalLinkPath" Target="../../Project/New%20Ethane-Kuwait/Cost/Al%20Hamra(Pipeline&#51228;&#50808;)/Al%20Hamra.xls" TargetMode="External"/><Relationship Id="rId1" Type="http://schemas.openxmlformats.org/officeDocument/2006/relationships/externalLinkPath" Target="/Project/New%20Ethane-Kuwait/Cost/Al%20Hamra(Pipeline&#51228;&#50808;)/Al%20Hamra.xls" TargetMode="External"/></Relationships>
</file>

<file path=xl/externalLinks/_rels/externalLink95.xml.rels><?xml version="1.0" encoding="UTF-8" standalone="yes"?>
<Relationships xmlns="http://schemas.openxmlformats.org/package/2006/relationships"><Relationship Id="rId2" Type="http://schemas.openxmlformats.org/officeDocument/2006/relationships/externalLinkPath" Target="../../Project/New%20Ethane-Kuwait/Cost/Mushrif%20Trading%20&amp;%20Contracting%20Co/Annex%203%20-%20Price%20Tables(OSBL_Pipeline_Civil_Bldg)%20-Email(USD).xls" TargetMode="External"/><Relationship Id="rId1" Type="http://schemas.openxmlformats.org/officeDocument/2006/relationships/externalLinkPath" Target="/Project/New%20Ethane-Kuwait/Cost/Mushrif%20Trading%20&amp;%20Contracting%20Co/Annex%203%20-%20Price%20Tables(OSBL_Pipeline_Civil_Bldg)%20-Email(USD).xls" TargetMode="External"/></Relationships>
</file>

<file path=xl/externalLinks/_rels/externalLink96.xml.rels><?xml version="1.0" encoding="UTF-8" standalone="yes"?>
<Relationships xmlns="http://schemas.openxmlformats.org/package/2006/relationships"><Relationship Id="rId2" Type="http://schemas.openxmlformats.org/officeDocument/2006/relationships/externalLinkPath" Target="../../Project/New%20Ethane-Kuwait/Cost/NBTC/HYUNDAI%20Annex%203%20-%20Price%20Tables(OSBL_Civil_Bldg).xls" TargetMode="External"/><Relationship Id="rId1" Type="http://schemas.openxmlformats.org/officeDocument/2006/relationships/externalLinkPath" Target="/Project/New%20Ethane-Kuwait/Cost/NBTC/HYUNDAI%20Annex%203%20-%20Price%20Tables(OSBL_Civil_Bldg).xls" TargetMode="External"/></Relationships>
</file>

<file path=xl/externalLinks/_rels/externalLink97.xml.rels><?xml version="1.0" encoding="UTF-8" standalone="yes"?>
<Relationships xmlns="http://schemas.openxmlformats.org/package/2006/relationships"><Relationship Id="rId2" Type="http://schemas.openxmlformats.org/officeDocument/2006/relationships/externalLinkPath" Target="../../Project/New%20Ethane-Kuwait/Cost/00%20Cost%20Evaluation/Final/Dem%20and%20Siteprep/Khalifa%20Daij.xls" TargetMode="External"/><Relationship Id="rId1" Type="http://schemas.openxmlformats.org/officeDocument/2006/relationships/externalLinkPath" Target="/Project/New%20Ethane-Kuwait/Cost/00%20Cost%20Evaluation/Final/Dem%20and%20Siteprep/Khalifa%20Daij.xls" TargetMode="External"/></Relationships>
</file>

<file path=xl/externalLinks/_rels/externalLink98.xml.rels><?xml version="1.0" encoding="UTF-8" standalone="yes"?>
<Relationships xmlns="http://schemas.openxmlformats.org/package/2006/relationships"><Relationship Id="rId1" Type="http://schemas.openxmlformats.org/officeDocument/2006/relationships/externalLinkPath" Target="file:///A:\My%20Documents\1999&#45380;\&#50696;&#49328;-&#45236;&#50669;&#49436;\&#50696;&#49328;&#44288;&#47144;&#49436;&#47448;\99-05-&#49436;&#50872;&#45824;&#45236;&#50669;&#49436;\&#52572;&#51333;&#54028;&#51068;\1.&#47609;&#50516;&#44144;&#44288;&#47144;.xls" TargetMode="External"/></Relationships>
</file>

<file path=xl/externalLinks/_rels/externalLink99.xml.rels><?xml version="1.0" encoding="UTF-8" standalone="yes"?>
<Relationships xmlns="http://schemas.openxmlformats.org/package/2006/relationships"><Relationship Id="rId1" Type="http://schemas.openxmlformats.org/officeDocument/2006/relationships/externalLinkPath" Target="file:///\\SJMBNW04\DATA\MC_KI\E_MAIL\WK16.XLS" TargetMode="External"/></Relationships>
</file>

<file path=xl/externalLinks/_rels/externalLink100.xml.rels><?xml version="1.0" encoding="UTF-8" standalone="yes"?>
<Relationships xmlns="http://schemas.openxmlformats.org/package/2006/relationships"><Relationship Id="rId2" Type="http://schemas.openxmlformats.org/officeDocument/2006/relationships/externalLinkPath" Target="../../Documents%20and%20Settings/1000850/Local%20Settings/Temporary%20Internet%20Files/Content.Outlook/S968B007/RSHT%232_Material%20Cost%20Rev%200_100621%20(2).xls" TargetMode="External"/><Relationship Id="rId1" Type="http://schemas.openxmlformats.org/officeDocument/2006/relationships/externalLinkPath" Target="/Documents%20and%20Settings/1000850/Local%20Settings/Temporary%20Internet%20Files/Content.Outlook/S968B007/RSHT%232_Material%20Cost%20Rev%200_100621%20(2).xls" TargetMode="External"/></Relationships>
</file>

<file path=xl/externalLinks/_rels/externalLink101.xml.rels><?xml version="1.0" encoding="UTF-8" standalone="yes"?>
<Relationships xmlns="http://schemas.openxmlformats.org/package/2006/relationships"><Relationship Id="rId1" Type="http://schemas.openxmlformats.org/officeDocument/2006/relationships/externalLinkPath" Target="file:///\\Teknikofis\c\K-A-M-&#304;-L\TA&#350;-ER-ON\Denge\DENGEHK9.xls" TargetMode="External"/></Relationships>
</file>

<file path=xl/externalLinks/_rels/externalLink102.xml.rels><?xml version="1.0" encoding="UTF-8" standalone="yes"?>
<Relationships xmlns="http://schemas.openxmlformats.org/package/2006/relationships"><Relationship Id="rId1" Type="http://schemas.openxmlformats.org/officeDocument/2006/relationships/externalLinkPath" Target="file:///\\192.168.100.16\Documents%20and%20Settings\adana\Belgelerim\&#199;UKURK&#214;PR&#220;-KAD&#304;RL&#304;%20YOLU\HAKED&#304;&#350;(&#199;UKURK&#214;PR&#220;)\netbul\den\CPI2010.xls" TargetMode="External"/></Relationships>
</file>

<file path=xl/externalLinks/_rels/externalLink103.xml.rels><?xml version="1.0" encoding="UTF-8" standalone="yes"?>
<Relationships xmlns="http://schemas.openxmlformats.org/package/2006/relationships"><Relationship Id="rId1" Type="http://schemas.openxmlformats.org/officeDocument/2006/relationships/externalLinkPath" Target="file:///E:\HDLAN\HDEC30\CACHE\&#44036;&#51217;&#48708;\phillip\&#51649;&#50896;&#46041;&#50896;.xls" TargetMode="External"/></Relationships>
</file>

<file path=xl/externalLinks/_rels/externalLink104.xml.rels><?xml version="1.0" encoding="UTF-8" standalone="yes"?>
<Relationships xmlns="http://schemas.openxmlformats.org/package/2006/relationships"><Relationship Id="rId1" Type="http://schemas.openxmlformats.org/officeDocument/2006/relationships/externalLinkPath" Target="file:///\\11cpm&#52572;&#51221;&#50864;\EM&#44368;&#50977;\&#51077;&#52272;&#54408;&#51032;&#49436;\LBO\LBO%20PROJECT_201005014(&#49324;&#51109;&#45784;&#44208;&#51228;&#48376;).xlsm" TargetMode="External"/></Relationships>
</file>

<file path=xl/externalLinks/_rels/externalLink105.xml.rels><?xml version="1.0" encoding="UTF-8" standalone="yes"?>
<Relationships xmlns="http://schemas.openxmlformats.org/package/2006/relationships"><Relationship Id="rId1" Type="http://schemas.openxmlformats.org/officeDocument/2006/relationships/externalLinkPath" Target="file:///W:\WDATA\MIKEL\FOXTROT\RC1.XLS" TargetMode="External"/></Relationships>
</file>

<file path=xl/externalLinks/_rels/externalLink106.xml.rels><?xml version="1.0" encoding="UTF-8" standalone="yes"?>
<Relationships xmlns="http://schemas.openxmlformats.org/package/2006/relationships"><Relationship Id="rId1" Type="http://schemas.openxmlformats.org/officeDocument/2006/relationships/externalLinkPath" Target="file:///W:\MIKEL\TCHIBOUE\STD59_1.XLS" TargetMode="External"/></Relationships>
</file>

<file path=xl/externalLinks/_rels/externalLink107.xml.rels><?xml version="1.0" encoding="UTF-8" standalone="yes"?>
<Relationships xmlns="http://schemas.openxmlformats.org/package/2006/relationships"><Relationship Id="rId2" Type="http://schemas.openxmlformats.org/officeDocument/2006/relationships/externalLinkPath" Target="../../Project/New%20Ethane-Kuwait/From%20HEC/1105/OSBL-1105.xls" TargetMode="External"/><Relationship Id="rId1" Type="http://schemas.openxmlformats.org/officeDocument/2006/relationships/externalLinkPath" Target="/Project/New%20Ethane-Kuwait/From%20HEC/1105/OSBL-1105.xls" TargetMode="External"/></Relationships>
</file>

<file path=xl/externalLinks/_rels/externalLink108.xml.rels><?xml version="1.0" encoding="UTF-8" standalone="yes"?>
<Relationships xmlns="http://schemas.openxmlformats.org/package/2006/relationships"><Relationship Id="rId1" Type="http://schemas.openxmlformats.org/officeDocument/2006/relationships/externalLinkPath" Target="http://ep.hec.co.kr/PJT/BID/TIDCO/LHC/BM/ACTIVITY.xls" TargetMode="External"/></Relationships>
</file>

<file path=xl/externalLinks/_rels/externalLink109.xml.rels><?xml version="1.0" encoding="UTF-8" standalone="yes"?>
<Relationships xmlns="http://schemas.openxmlformats.org/package/2006/relationships"><Relationship Id="rId1" Type="http://schemas.openxmlformats.org/officeDocument/2006/relationships/externalLinkPath" Target="file:///C:\05_DUQM\03.%20General\00.%20&#51077;&#52272;&#54408;&#51032;&#49436;\&#51077;&#52272;&#54408;&#51032;&#49436;_Duqm_R6.xlsm" TargetMode="External"/></Relationships>
</file>

<file path=xl/externalLinks/_rels/externalLink110.xml.rels><?xml version="1.0" encoding="UTF-8" standalone="yes"?>
<Relationships xmlns="http://schemas.openxmlformats.org/package/2006/relationships"><Relationship Id="rId1" Type="http://schemas.openxmlformats.org/officeDocument/2006/relationships/externalLinkPath" Target="file:///\\Hdest\Mepss\ESTIMATE\&#44592;&#51456;\&#44060;&#47029;&#44204;&#51201;\APTDATA\&#44396;&#51032;33&#44256;.XLS" TargetMode="External"/></Relationships>
</file>

<file path=xl/externalLinks/_rels/externalLink111.xml.rels><?xml version="1.0" encoding="UTF-8" standalone="yes"?>
<Relationships xmlns="http://schemas.openxmlformats.org/package/2006/relationships"><Relationship Id="rId1" Type="http://schemas.openxmlformats.org/officeDocument/2006/relationships/externalLinkPath" Target="file:///\\192.168.100.16\Documents%20and%20Settings\adana\Belgelerim\TOPRAKKALE-&#304;SKENDERUN(108+400-125+400)\HAKED&#304;&#350;(AYC-3.KISIM)\netbul\den\CPI2010.xls" TargetMode="External"/></Relationships>
</file>

<file path=xl/externalLinks/_rels/externalLink112.xml.rels><?xml version="1.0" encoding="UTF-8" standalone="yes"?>
<Relationships xmlns="http://schemas.openxmlformats.org/package/2006/relationships"><Relationship Id="rId2" Type="http://schemas.openxmlformats.org/officeDocument/2006/relationships/externalLinkPath" Target="../../Project/New%20Ethane-Kuwait/Cost/00%20Cost%20Evaluation/Final/Dem%20and%20Siteprep/Associated%20Const.xls" TargetMode="External"/><Relationship Id="rId1" Type="http://schemas.openxmlformats.org/officeDocument/2006/relationships/externalLinkPath" Target="/Project/New%20Ethane-Kuwait/Cost/00%20Cost%20Evaluation/Final/Dem%20and%20Siteprep/Associated%20Const.xls" TargetMode="External"/></Relationships>
</file>

<file path=xl/externalLinks/_rels/externalLink113.xml.rels><?xml version="1.0" encoding="UTF-8" standalone="yes"?>
<Relationships xmlns="http://schemas.openxmlformats.org/package/2006/relationships"><Relationship Id="rId2" Type="http://schemas.openxmlformats.org/officeDocument/2006/relationships/externalLinkPath" Target="../../Project/New%20Ethane-Kuwait/Cost/00%20Cost%20Evaluation/Final/Al%20Bahar%20Cost.xls" TargetMode="External"/><Relationship Id="rId1" Type="http://schemas.openxmlformats.org/officeDocument/2006/relationships/externalLinkPath" Target="/Project/New%20Ethane-Kuwait/Cost/00%20Cost%20Evaluation/Final/Al%20Bahar%20Cost.xls" TargetMode="External"/></Relationships>
</file>

<file path=xl/externalLinks/_rels/externalLink114.xml.rels><?xml version="1.0" encoding="UTF-8" standalone="yes"?>
<Relationships xmlns="http://schemas.openxmlformats.org/package/2006/relationships"><Relationship Id="rId1" Type="http://schemas.openxmlformats.org/officeDocument/2006/relationships/externalLinkPath" Target="file:///\\&#48177;&#54868;&#49440;\D\project\pc0840\SPEC\BM-PC0840.xls" TargetMode="External"/></Relationships>
</file>

<file path=xl/externalLinks/_rels/externalLink115.xml.rels><?xml version="1.0" encoding="UTF-8" standalone="yes"?>
<Relationships xmlns="http://schemas.openxmlformats.org/package/2006/relationships"><Relationship Id="rId1" Type="http://schemas.openxmlformats.org/officeDocument/2006/relationships/externalLinkPath" Target="file:///\\Srva033\haw-com$\DOCUME~1\radawieh\LOCALS~1\Temp\BQ_FWBS6000_GrA%20Temp.xls" TargetMode="External"/></Relationships>
</file>

<file path=xl/externalLinks/_rels/externalLink116.xml.rels><?xml version="1.0" encoding="UTF-8" standalone="yes"?>
<Relationships xmlns="http://schemas.openxmlformats.org/package/2006/relationships"><Relationship Id="rId1" Type="http://schemas.openxmlformats.org/officeDocument/2006/relationships/externalLinkPath" Target="file:///\\Techoff_02\C\My%20Documents\DOCS\ACTIVE-P\Suez%20Gulf\Suez%20steel\OHF~1.XLS" TargetMode="External"/></Relationships>
</file>

<file path=xl/externalLinks/_rels/externalLink117.xml.rels><?xml version="1.0" encoding="UTF-8" standalone="yes"?>
<Relationships xmlns="http://schemas.openxmlformats.org/package/2006/relationships"><Relationship Id="rId1" Type="http://schemas.openxmlformats.org/officeDocument/2006/relationships/externalLinkPath" Target="file:///\\&#44608;&#54788;&#52380;\&#44608;&#54788;&#52380;\My%20Documents\Estimation%20Information\&#47932;&#47049;&#49328;&#52636;%20&#48143;%20&#44204;&#51201;&#51088;&#47308;\BQ%20Calc%20Sheet(Pipe).xls" TargetMode="External"/></Relationships>
</file>

<file path=xl/externalLinks/_rels/externalLink118.xml.rels><?xml version="1.0" encoding="UTF-8" standalone="yes"?>
<Relationships xmlns="http://schemas.openxmlformats.org/package/2006/relationships"><Relationship Id="rId1" Type="http://schemas.openxmlformats.org/officeDocument/2006/relationships/externalLinkPath" Target="file:///\\Plnt&#44277;&#50857;333\Plnt-Mech\1.%20&#51077;&#52272;%20&#54532;&#47196;&#51229;&#53944;\03.%20Ruwais%20Refinery%20Expansion%20Project,%20UAE\02.%20&#51088;&#51116;&#48708;\A)%20&#44288;&#47144;&#51088;&#47308;\Equipment%20List\RREPKG1%20-%20Equipment%20List_YJ.xls" TargetMode="External"/></Relationships>
</file>

<file path=xl/externalLinks/_rels/externalLink119.xml.rels><?xml version="1.0" encoding="UTF-8" standalone="yes"?>
<Relationships xmlns="http://schemas.openxmlformats.org/package/2006/relationships"><Relationship Id="rId2" Type="http://schemas.openxmlformats.org/officeDocument/2006/relationships/externalLinkPath" Target="../../ydj/&#48376;&#49324;&#44204;&#51201;/&#46748;&#47476;&#45124;/&#51105;&#46041;&#49324;&#45768;/&#49884;&#54665;&#44552;&#50529;.xls" TargetMode="External"/><Relationship Id="rId1" Type="http://schemas.openxmlformats.org/officeDocument/2006/relationships/externalLinkPath" Target="/ydj/&#48376;&#49324;&#44204;&#51201;/&#46748;&#47476;&#45124;/&#51105;&#46041;&#49324;&#45768;/&#49884;&#54665;&#44552;&#50529;.xls" TargetMode="External"/></Relationships>
</file>

<file path=xl/externalLinks/_rels/externalLink120.xml.rels><?xml version="1.0" encoding="UTF-8" standalone="yes"?>
<Relationships xmlns="http://schemas.openxmlformats.org/package/2006/relationships"><Relationship Id="rId1" Type="http://schemas.openxmlformats.org/officeDocument/2006/relationships/externalLinkPath" Target="file:///F:\HDLAN\97&#49324;&#50629;&#44228;.XLS" TargetMode="External"/></Relationships>
</file>

<file path=xl/externalLinks/_rels/externalLink121.xml.rels><?xml version="1.0" encoding="UTF-8" standalone="yes"?>
<Relationships xmlns="http://schemas.openxmlformats.org/package/2006/relationships"><Relationship Id="rId1" Type="http://schemas.openxmlformats.org/officeDocument/2006/relationships/externalLinkPath" Target="file:///h:\HDLAN\97&#49324;&#50629;&#44228;.XLS" TargetMode="External"/></Relationships>
</file>

<file path=xl/externalLinks/_rels/externalLink122.xml.rels><?xml version="1.0" encoding="UTF-8" standalone="yes"?>
<Relationships xmlns="http://schemas.openxmlformats.org/package/2006/relationships"><Relationship Id="rId1" Type="http://schemas.openxmlformats.org/officeDocument/2006/relationships/externalLinkPath" Target="file:///\\Hwserver\project\T9602\XLS\INCHON.XLS" TargetMode="External"/></Relationships>
</file>

<file path=xl/externalLinks/_rels/externalLink123.xml.rels><?xml version="1.0" encoding="UTF-8" standalone="yes"?>
<Relationships xmlns="http://schemas.openxmlformats.org/package/2006/relationships"><Relationship Id="rId1" Type="http://schemas.openxmlformats.org/officeDocument/2006/relationships/externalLinkPath" Target="file:///A:\MATT\VC1&amp;2%20C5248D%209.98.xls" TargetMode="External"/></Relationships>
</file>

<file path=xl/externalLinks/_rels/externalLink124.xml.rels><?xml version="1.0" encoding="UTF-8" standalone="yes"?>
<Relationships xmlns="http://schemas.openxmlformats.org/package/2006/relationships"><Relationship Id="rId1" Type="http://schemas.openxmlformats.org/officeDocument/2006/relationships/externalLinkPath" Target="file:///\\Main\group\Sohar%20Refinery%20Proposal\sbdg2002.XLS" TargetMode="External"/></Relationships>
</file>

<file path=xl/externalLinks/_rels/externalLink125.xml.rels><?xml version="1.0" encoding="UTF-8" standalone="yes"?>
<Relationships xmlns="http://schemas.openxmlformats.org/package/2006/relationships"><Relationship Id="rId1" Type="http://schemas.openxmlformats.org/officeDocument/2006/relationships/externalLinkPath" Target="file:///A:\MSOFFICE\EXCEL\CUCCHI\PTF_SEA.XLS" TargetMode="External"/></Relationships>
</file>

<file path=xl/externalLinks/_rels/externalLink126.xml.rels><?xml version="1.0" encoding="UTF-8" standalone="yes"?>
<Relationships xmlns="http://schemas.openxmlformats.org/package/2006/relationships"><Relationship Id="rId1" Type="http://schemas.openxmlformats.org/officeDocument/2006/relationships/externalLinkPath" Target="file:///\\11my&#50577;&#51652;&#49437;\Vietnam%20PP\Q_ACE_&#50629;&#47924;\WBS\Engineering_WBS_em&#49900;&#54868;&#44284;&#51221;&#49569;&#48512;&#50857;_&#49688;&#51221;.xls" TargetMode="External"/></Relationships>
</file>

<file path=xl/externalLinks/_rels/externalLink127.xml.rels><?xml version="1.0" encoding="UTF-8" standalone="yes"?>
<Relationships xmlns="http://schemas.openxmlformats.org/package/2006/relationships"><Relationship Id="rId1" Type="http://schemas.openxmlformats.org/officeDocument/2006/relationships/externalLinkPath" Target="file:///A:\SS-232%20&#50696;&#49328;&#49436;(USD)(Rev.2)(12.11).xls" TargetMode="External"/></Relationships>
</file>

<file path=xl/externalLinks/_rels/externalLink128.xml.rels><?xml version="1.0" encoding="UTF-8" standalone="yes"?>
<Relationships xmlns="http://schemas.openxmlformats.org/package/2006/relationships"><Relationship Id="rId2" Type="http://schemas.openxmlformats.org/officeDocument/2006/relationships/externalLinkPath" Target="../../Documents%20and%20Settings/0701001/My%20Documents/1.%20WASIT/&#51109;&#48708;/WASIT-&#51109;&#48708;&#45800;&#44032;%20rev.5.xlsx" TargetMode="External"/><Relationship Id="rId1" Type="http://schemas.openxmlformats.org/officeDocument/2006/relationships/externalLinkPath" Target="/Documents%20and%20Settings/0701001/My%20Documents/1.%20WASIT/&#51109;&#48708;/WASIT-&#51109;&#48708;&#45800;&#44032;%20rev.5.xlsx" TargetMode="External"/></Relationships>
</file>

<file path=xl/externalLinks/_rels/externalLink129.xml.rels><?xml version="1.0" encoding="UTF-8" standalone="yes"?>
<Relationships xmlns="http://schemas.openxmlformats.org/package/2006/relationships"><Relationship Id="rId2" Type="http://schemas.openxmlformats.org/officeDocument/2006/relationships/externalLinkPath" Target="../../4th%20LPG/&#44036;&#51217;&#48708;,wagerate,&#51109;&#48708;&#48708;/CDU%20&#44036;&#51217;&#48708;/RRE%20-%20CDU%20&#44036;&#51217;&#48708;%20rev.1.xls" TargetMode="External"/><Relationship Id="rId1" Type="http://schemas.openxmlformats.org/officeDocument/2006/relationships/externalLinkPath" Target="/4th%20LPG/&#44036;&#51217;&#48708;,wagerate,&#51109;&#48708;&#48708;/CDU%20&#44036;&#51217;&#48708;/RRE%20-%20CDU%20&#44036;&#51217;&#48708;%20rev.1.xls" TargetMode="External"/></Relationships>
</file>

<file path=xl/externalLinks/_rels/externalLink130.xml.rels><?xml version="1.0" encoding="UTF-8" standalone="yes"?>
<Relationships xmlns="http://schemas.openxmlformats.org/package/2006/relationships"><Relationship Id="rId1" Type="http://schemas.openxmlformats.org/officeDocument/2006/relationships/externalLinkPath" Target="file:///F:\LEEBK\JBL%20K-BOQ-piping.xls" TargetMode="External"/></Relationships>
</file>

<file path=xl/externalLinks/_rels/externalLink131.xml.rels><?xml version="1.0" encoding="UTF-8" standalone="yes"?>
<Relationships xmlns="http://schemas.openxmlformats.org/package/2006/relationships"><Relationship Id="rId1" Type="http://schemas.openxmlformats.org/officeDocument/2006/relationships/externalLinkPath" Target="file:///\\Hdfile\weka\JYC\&#50756;&#44277;&#48120;&#53664;.XLS" TargetMode="External"/></Relationships>
</file>

<file path=xl/externalLinks/_rels/externalLink132.xml.rels><?xml version="1.0" encoding="UTF-8" standalone="yes"?>
<Relationships xmlns="http://schemas.openxmlformats.org/package/2006/relationships"><Relationship Id="rId1" Type="http://schemas.openxmlformats.org/officeDocument/2006/relationships/externalLinkPath" Target="file:///Z:\DEP.PEARL%20GTL_C5_LPU_ETUDE\20.PRT-%20OES\0A%20-%20GENERAL\01%20-%20TCC%20&amp;%20TCT\Quotation%20Summary%20Analysis-EQP02b.xls" TargetMode="External"/></Relationships>
</file>

<file path=xl/externalLinks/_rels/externalLink133.xml.rels><?xml version="1.0" encoding="UTF-8" standalone="yes"?>
<Relationships xmlns="http://schemas.openxmlformats.org/package/2006/relationships"><Relationship Id="rId2" Type="http://schemas.openxmlformats.org/officeDocument/2006/relationships/externalLinkPath" Target="../../Documents%20and%20Settings/1000850/&#48148;&#53461;%20&#54868;&#47732;/&#48373;&#49324;&#48376;%20NSRP-MSR-Rotating.xls" TargetMode="External"/><Relationship Id="rId1" Type="http://schemas.openxmlformats.org/officeDocument/2006/relationships/externalLinkPath" Target="/Documents%20and%20Settings/1000850/&#48148;&#53461;%20&#54868;&#47732;/&#48373;&#49324;&#48376;%20NSRP-MSR-Rotating.xls" TargetMode="External"/></Relationships>
</file>

<file path=xl/externalLinks/_rels/externalLink134.xml.rels><?xml version="1.0" encoding="UTF-8" standalone="yes"?>
<Relationships xmlns="http://schemas.openxmlformats.org/package/2006/relationships"><Relationship Id="rId1" Type="http://schemas.openxmlformats.org/officeDocument/2006/relationships/externalLinkPath" Target="file:///E:\Data\Insa\&#44277;&#47928;\YJSB\1997\TEST\seacobud.xls" TargetMode="External"/></Relationships>
</file>

<file path=xl/externalLinks/_rels/externalLink135.xml.rels><?xml version="1.0" encoding="UTF-8" standalone="yes"?>
<Relationships xmlns="http://schemas.openxmlformats.org/package/2006/relationships"><Relationship Id="rId1" Type="http://schemas.openxmlformats.org/officeDocument/2006/relationships/externalLinkPath" Target="file:///E:\ACCT\YJSB\YJSB1997\BUDGET%20FY%2098.xls" TargetMode="External"/></Relationships>
</file>

<file path=xl/externalLinks/_rels/externalLink136.xml.rels><?xml version="1.0" encoding="UTF-8" standalone="yes"?>
<Relationships xmlns="http://schemas.openxmlformats.org/package/2006/relationships"><Relationship Id="rId1" Type="http://schemas.openxmlformats.org/officeDocument/2006/relationships/externalLinkPath" Target="file:///A:\TAX%20TABEL.XLS" TargetMode="External"/></Relationships>
</file>

<file path=xl/externalLinks/_rels/externalLink137.xml.rels><?xml version="1.0" encoding="UTF-8" standalone="yes"?>
<Relationships xmlns="http://schemas.openxmlformats.org/package/2006/relationships"><Relationship Id="rId1" Type="http://schemas.openxmlformats.org/officeDocument/2006/relationships/externalLinkPath" Target="file:///\\&#51060;&#49569;\REHMAT\My%20Documents\Pha%20Lai\HVAC\North%20HVAC%20Drawings\North%20Submittals%20to%20Boston\PL2-BP-NO-SW-100014\PHALAIDUCT%20.xls" TargetMode="External"/></Relationships>
</file>

<file path=xl/externalLinks/_rels/externalLink138.xml.rels><?xml version="1.0" encoding="UTF-8" standalone="yes"?>
<Relationships xmlns="http://schemas.openxmlformats.org/package/2006/relationships"><Relationship Id="rId1" Type="http://schemas.openxmlformats.org/officeDocument/2006/relationships/externalLinkPath" Target="file:///h:\JABON&#52628;&#44032;&#50857;&#50669;\Betara&#51077;&#52272;&#44204;&#51201;&#49436;_&#50896;&#48376;.xls" TargetMode="External"/></Relationships>
</file>

<file path=xl/externalLinks/_rels/externalLink139.xml.rels><?xml version="1.0" encoding="UTF-8" standalone="yes"?>
<Relationships xmlns="http://schemas.openxmlformats.org/package/2006/relationships"><Relationship Id="rId1" Type="http://schemas.openxmlformats.org/officeDocument/2006/relationships/externalLinkPath" Target="file:///\\192.168.100.16\4subat\belgeler\YAKLA&#350;IK%20MALYT\2008\KAHRAMANMARA&#350;\KAHRAMANMARA&#350;%20G&#214;KSUN%20YOLU\netbul\den\CPI2010.xls" TargetMode="External"/></Relationships>
</file>

<file path=xl/externalLinks/_rels/externalLink140.xml.rels><?xml version="1.0" encoding="UTF-8" standalone="yes"?>
<Relationships xmlns="http://schemas.openxmlformats.org/package/2006/relationships"><Relationship Id="rId1" Type="http://schemas.openxmlformats.org/officeDocument/2006/relationships/externalLinkPath" Target="file:///\\192.168.100.16\Documents%20and%20Settings\adana\Belgelerim\FEKE-H&#304;MMETL&#304;K&#214;Y-SA&#304;MBEYL&#304;\HAKED&#304;&#350;-FHS(T&#220;MAZ%20&#304;N&#350;)\netbul\den\CPI2010.xls" TargetMode="External"/></Relationships>
</file>

<file path=xl/externalLinks/_rels/externalLink141.xml.rels><?xml version="1.0" encoding="UTF-8" standalone="yes"?>
<Relationships xmlns="http://schemas.openxmlformats.org/package/2006/relationships"><Relationship Id="rId2" Type="http://schemas.openxmlformats.org/officeDocument/2006/relationships/externalLinkPath" Target="../../SOUTH/C4B/ABAD%20CIVIL%20C4B%20-3%20%20Ver.2.xls" TargetMode="External"/><Relationship Id="rId1" Type="http://schemas.openxmlformats.org/officeDocument/2006/relationships/externalLinkPath" Target="/SOUTH/C4B/ABAD%20CIVIL%20C4B%20-3%20%20Ver.2.xls" TargetMode="External"/></Relationships>
</file>

<file path=xl/externalLinks/_rels/externalLink142.xml.rels><?xml version="1.0" encoding="UTF-8" standalone="yes"?>
<Relationships xmlns="http://schemas.openxmlformats.org/package/2006/relationships"><Relationship Id="rId1" Type="http://schemas.openxmlformats.org/officeDocument/2006/relationships/externalLinkPath" Target="file:///\\192.168.100.16\Documents%20and%20Settings\Administrator\Belgelerim\suhan\vasita%20hakedi&#351;\netbul\den\CPI2010.xls" TargetMode="External"/></Relationships>
</file>

<file path=xl/externalLinks/_rels/externalLink143.xml.rels><?xml version="1.0" encoding="UTF-8" standalone="yes"?>
<Relationships xmlns="http://schemas.openxmlformats.org/package/2006/relationships"><Relationship Id="rId2" Type="http://schemas.openxmlformats.org/officeDocument/2006/relationships/externalLinkPath" Target="../../users-data/saf002016/My%20Documents/Mes%20Fichiers/Etudes/SAISA05330%20Ogbainbiri%20Tebidaba%20Up%20Grade/001%20-%20ETUDE/FDM%20Ogbainbiri%20&amp;%20Tebidaba%20Rev%208.xls" TargetMode="External"/><Relationship Id="rId1" Type="http://schemas.openxmlformats.org/officeDocument/2006/relationships/externalLinkPath" Target="/users-data/saf002016/My%20Documents/Mes%20Fichiers/Etudes/SAISA05330%20Ogbainbiri%20Tebidaba%20Up%20Grade/001%20-%20ETUDE/FDM%20Ogbainbiri%20&amp;%20Tebidaba%20Rev%208.xls" TargetMode="External"/></Relationships>
</file>

<file path=xl/externalLinks/_rels/externalLink144.xml.rels><?xml version="1.0" encoding="UTF-8" standalone="yes"?>
<Relationships xmlns="http://schemas.openxmlformats.org/package/2006/relationships"><Relationship Id="rId2" Type="http://schemas.openxmlformats.org/officeDocument/2006/relationships/externalLinkPath" Target="../../Project/NC41/&#45800;&#44032;&#49328;&#51221;/costing/SC1&amp;2&amp;3%20BASE.xls" TargetMode="External"/><Relationship Id="rId1" Type="http://schemas.openxmlformats.org/officeDocument/2006/relationships/externalLinkPath" Target="/Project/NC41/&#45800;&#44032;&#49328;&#51221;/costing/SC1&amp;2&amp;3%20BASE.xls" TargetMode="External"/></Relationships>
</file>

<file path=xl/externalLinks/_rels/externalLink145.xml.rels><?xml version="1.0" encoding="UTF-8" standalone="yes"?>
<Relationships xmlns="http://schemas.openxmlformats.org/package/2006/relationships"><Relationship Id="rId1" Type="http://schemas.openxmlformats.org/officeDocument/2006/relationships/externalLinkPath" Target="file:///A:\MIKEL\ARGO\ETUDEPC3.XLS" TargetMode="External"/></Relationships>
</file>

<file path=xl/externalLinks/_rels/externalLink146.xml.rels><?xml version="1.0" encoding="UTF-8" standalone="yes"?>
<Relationships xmlns="http://schemas.openxmlformats.org/package/2006/relationships"><Relationship Id="rId2" Type="http://schemas.openxmlformats.org/officeDocument/2006/relationships/externalLinkPath" Target="../../HDEC/PLNT/PROJECT/Middle_East/QATAR/QPMP/03)_Commercial%20Proposal/B)_Indirect%20Cost/02_Indirect%20Cost%20PKG_Subcontractor/Modified%20Manning%20Plan/QPMP_Indirect%20Cost_Subcon_Summary_Final.xlsx" TargetMode="External"/><Relationship Id="rId1" Type="http://schemas.openxmlformats.org/officeDocument/2006/relationships/externalLinkPath" Target="/HDEC/PLNT/PROJECT/Middle_East/QATAR/QPMP/03)_Commercial%20Proposal/B)_Indirect%20Cost/02_Indirect%20Cost%20PKG_Subcontractor/Modified%20Manning%20Plan/QPMP_Indirect%20Cost_Subcon_Summary_Final.xlsx" TargetMode="External"/></Relationships>
</file>

<file path=xl/externalLinks/_rels/externalLink147.xml.rels><?xml version="1.0" encoding="UTF-8" standalone="yes"?>
<Relationships xmlns="http://schemas.openxmlformats.org/package/2006/relationships"><Relationship Id="rId1" Type="http://schemas.openxmlformats.org/officeDocument/2006/relationships/externalLinkPath" Target="file:///\\Wezo-ss\&#51473;&#46041;&#51648;&#50669;\HDLAN\97&#49324;&#50629;&#44228;.XLS" TargetMode="External"/></Relationships>
</file>

<file path=xl/externalLinks/_rels/externalLink148.xml.rels><?xml version="1.0" encoding="UTF-8" standalone="yes"?>
<Relationships xmlns="http://schemas.openxmlformats.org/package/2006/relationships"><Relationship Id="rId1" Type="http://schemas.openxmlformats.org/officeDocument/2006/relationships/externalLinkPath" Target="file:///A:\MATT\VC1&amp;2%20C5248D%208.98.xls" TargetMode="External"/></Relationships>
</file>

<file path=xl/externalLinks/_rels/externalLink149.xml.rels><?xml version="1.0" encoding="UTF-8" standalone="yes"?>
<Relationships xmlns="http://schemas.openxmlformats.org/package/2006/relationships"><Relationship Id="rId2" Type="http://schemas.openxmlformats.org/officeDocument/2006/relationships/externalLinkPath" Target="../../4th%20LPG/&#44036;&#51217;&#48708;,wagerate,&#51109;&#48708;&#48708;/LPG4%20&#44036;&#51217;&#48708;/LPG4_Indirect%20Cost_REV.6.xlsx" TargetMode="External"/><Relationship Id="rId1" Type="http://schemas.openxmlformats.org/officeDocument/2006/relationships/externalLinkPath" Target="/4th%20LPG/&#44036;&#51217;&#48708;,wagerate,&#51109;&#48708;&#48708;/LPG4%20&#44036;&#51217;&#48708;/LPG4_Indirect%20Cost_REV.6.xlsx" TargetMode="External"/></Relationships>
</file>

<file path=xl/externalLinks/_rels/externalLink150.xml.rels><?xml version="1.0" encoding="UTF-8" standalone="yes"?>
<Relationships xmlns="http://schemas.openxmlformats.org/package/2006/relationships"><Relationship Id="rId1" Type="http://schemas.openxmlformats.org/officeDocument/2006/relationships/externalLinkPath" Target="file:///A:\97STD\&#47928;&#49436;&#50577;&#49885;.XLS" TargetMode="External"/></Relationships>
</file>

<file path=xl/externalLinks/_rels/externalLink151.xml.rels><?xml version="1.0" encoding="UTF-8" standalone="yes"?>
<Relationships xmlns="http://schemas.openxmlformats.org/package/2006/relationships"><Relationship Id="rId1" Type="http://schemas.openxmlformats.org/officeDocument/2006/relationships/externalLinkPath" Target="file:///G:\Aone(&#51077;&#52272;)\&#49324;&#50629;&#44228;&#54925;\&#49324;&#50629;&#44228;&#54925;REV1.xls" TargetMode="External"/></Relationships>
</file>

<file path=xl/externalLinks/_rels/externalLink152.xml.rels><?xml version="1.0" encoding="UTF-8" standalone="yes"?>
<Relationships xmlns="http://schemas.openxmlformats.org/package/2006/relationships"><Relationship Id="rId1" Type="http://schemas.openxmlformats.org/officeDocument/2006/relationships/externalLinkPath" Target="file:///h:\01045\BOQ\ITB%20&#49688;&#51221;%20&#52572;&#51333;\ITB.xls" TargetMode="External"/></Relationships>
</file>

<file path=xl/externalLinks/_rels/externalLink153.xml.rels><?xml version="1.0" encoding="UTF-8" standalone="yes"?>
<Relationships xmlns="http://schemas.openxmlformats.org/package/2006/relationships"><Relationship Id="rId1" Type="http://schemas.openxmlformats.org/officeDocument/2006/relationships/externalLinkPath" Target="file:///F:\KIJO\&#44221;&#50689;&#48516;&#49437;\F&#51068;&#48152;&#44288;&#47532;\01&#50696;&#49328;&#54200;&#49457;\99&#50696;&#49328;\&#50896;&#45800;&#50948;&#51088;&#47308;2xls.xls" TargetMode="External"/></Relationships>
</file>

<file path=xl/externalLinks/_rels/externalLink154.xml.rels><?xml version="1.0" encoding="UTF-8" standalone="yes"?>
<Relationships xmlns="http://schemas.openxmlformats.org/package/2006/relationships"><Relationship Id="rId1" Type="http://schemas.openxmlformats.org/officeDocument/2006/relationships/externalLinkPath" Target="file:///h:\KIJO\&#44221;&#50689;&#48516;&#49437;\F&#51068;&#48152;&#44288;&#47532;\01&#50696;&#49328;&#54200;&#49457;\99&#50696;&#49328;\&#50896;&#45800;&#50948;&#51088;&#47308;2xls.xls" TargetMode="External"/></Relationships>
</file>

<file path=xl/externalLinks/_rels/externalLink155.xml.rels><?xml version="1.0" encoding="UTF-8" standalone="yes"?>
<Relationships xmlns="http://schemas.openxmlformats.org/package/2006/relationships"><Relationship Id="rId1" Type="http://schemas.openxmlformats.org/officeDocument/2006/relationships/externalLinkPath" Target="file:///\\11cpm&#52572;&#51221;&#50864;\Documents%20and%20Settings\user\&#48148;&#53461;%20&#54868;&#47732;\&#50629;&#47924;\IRPC\&#54408;&#51032;&#49436;\IRPC_a39.xlsm" TargetMode="External"/></Relationships>
</file>

<file path=xl/externalLinks/_rels/externalLink156.xml.rels><?xml version="1.0" encoding="UTF-8" standalone="yes"?>
<Relationships xmlns="http://schemas.openxmlformats.org/package/2006/relationships"><Relationship Id="rId1" Type="http://schemas.openxmlformats.org/officeDocument/2006/relationships/externalLinkPath" Target="file:///\\CIVIL_EST\EST\My%20Documents\&#51077;&#52272;\&#48264;&#50689;&#47196;\&#47924;&#50504;&#54616;&#49688;\&#49892;&#54665;(1)\&#45236;&#50669;&#49436;(1).xls" TargetMode="External"/></Relationships>
</file>

<file path=xl/externalLinks/_rels/externalLink157.xml.rels><?xml version="1.0" encoding="UTF-8" standalone="yes"?>
<Relationships xmlns="http://schemas.openxmlformats.org/package/2006/relationships"><Relationship Id="rId2" Type="http://schemas.openxmlformats.org/officeDocument/2006/relationships/externalLinkPath" Target="../../Documents%20and%20Settings/1101275/Application%20Data/Microsoft/Excel/ZOFD/000.ZOFD_FINAL_KS/&#44036;&#51217;&#48708;/ZOFD_&#44036;&#51217;&#48708;_NORTH_RP_rev.1%20FINAL.xlsx" TargetMode="External"/><Relationship Id="rId1" Type="http://schemas.openxmlformats.org/officeDocument/2006/relationships/externalLinkPath" Target="/Documents%20and%20Settings/1101275/Application%20Data/Microsoft/Excel/ZOFD/000.ZOFD_FINAL_KS/&#44036;&#51217;&#48708;/ZOFD_&#44036;&#51217;&#48708;_NORTH_RP_rev.1%20FINAL.xlsx" TargetMode="External"/></Relationships>
</file>

<file path=xl/externalLinks/_rels/externalLink158.xml.rels><?xml version="1.0" encoding="UTF-8" standalone="yes"?>
<Relationships xmlns="http://schemas.openxmlformats.org/package/2006/relationships"><Relationship Id="rId1" Type="http://schemas.openxmlformats.org/officeDocument/2006/relationships/externalLinkPath" Target="file:///C:\Documents%20and%20Settings\0801660\Application%20Data\Microsoft\Excel\HDEC\Mozambique\&#51077;&#52272;\&#44036;&#51217;&#48708;\&#53440;&#44277;&#49324;%20&#51088;&#47308;\&#48373;&#49324;&#48376;%20&#44036;&#51217;&#48708;%20CP-004.xls" TargetMode="External"/></Relationships>
</file>

<file path=xl/externalLinks/_rels/externalLink159.xml.rels><?xml version="1.0" encoding="UTF-8" standalone="yes"?>
<Relationships xmlns="http://schemas.openxmlformats.org/package/2006/relationships"><Relationship Id="rId1" Type="http://schemas.openxmlformats.org/officeDocument/2006/relationships/externalLinkPath" Target="file:///G:\1\&#50629;&#47924;\&#50629;&#47924;\&#44592;&#53440;&#50629;&#47924;\&#48372;&#44256;\2001%20&#49373;&#49328;&#49457;\&#44284;&#45380;&#46020;%20&#54788;&#51109;&#48324;%20&#49373;&#49328;&#49457;%20finish.xls" TargetMode="External"/></Relationships>
</file>

<file path=xl/externalLinks/_rels/externalLink160.xml.rels><?xml version="1.0" encoding="UTF-8" standalone="yes"?>
<Relationships xmlns="http://schemas.openxmlformats.org/package/2006/relationships"><Relationship Id="rId1" Type="http://schemas.openxmlformats.org/officeDocument/2006/relationships/externalLinkPath" Target="file:///C:\Users\0200682\AppData\Local\Microsoft\Windows\Temporary%20Internet%20Files\Content.Outlook\2COYJ0ZL\140419%20&#49892;&#54665;&#50696;&#49328;\01%20&#51064;&#47141;&#46041;&#50896;&#44228;&#54925;\00%20&#53440;&#54788;&#51109;&#49368;&#54540;\TIPO%20&#44032;&#49444;&#50696;&#49328;_&#49345;&#49464;%20&#45236;&#50669;_20140710.xlsx" TargetMode="External"/></Relationships>
</file>

<file path=xl/externalLinks/_rels/externalLink161.xml.rels><?xml version="1.0" encoding="UTF-8" standalone="yes"?>
<Relationships xmlns="http://schemas.openxmlformats.org/package/2006/relationships"><Relationship Id="rId1" Type="http://schemas.openxmlformats.org/officeDocument/2006/relationships/externalLinkPath" Target="file:///C:\Users\HelpDesk\Desktop\&#51064;&#44148;&#48708;%20&#52280;&#44256;%20&#51088;&#47308;\&#44540;&#47196;&#49884;&#44036;%20&#54872;&#49328;%20&#44228;&#49328;&#44592;\Wage_Hours_Culuration.xls" TargetMode="External"/></Relationships>
</file>

<file path=xl/externalLinks/_rels/externalLink162.xml.rels><?xml version="1.0" encoding="UTF-8" standalone="yes"?>
<Relationships xmlns="http://schemas.openxmlformats.org/package/2006/relationships"><Relationship Id="rId2" Type="http://schemas.openxmlformats.org/officeDocument/2006/relationships/externalLinkPath" Target="../../Users/HelpDesk/Desktop/&#51064;&#44148;&#48708;%20&#52280;&#44256;%20&#51088;&#47308;/&#44540;&#47196;&#49884;&#44036;%20&#54872;&#49328;%20&#44228;&#49328;&#44592;/Wage_Hours_Culuration.xls" TargetMode="External"/><Relationship Id="rId1" Type="http://schemas.openxmlformats.org/officeDocument/2006/relationships/externalLinkPath" Target="/Users/HelpDesk/Desktop/&#51064;&#44148;&#48708;%20&#52280;&#44256;%20&#51088;&#47308;/&#44540;&#47196;&#49884;&#44036;%20&#54872;&#49328;%20&#44228;&#49328;&#44592;/Wage_Hours_Culuration.xls" TargetMode="External"/></Relationships>
</file>

<file path=xl/externalLinks/_rels/externalLink163.xml.rels><?xml version="1.0" encoding="UTF-8" standalone="yes"?>
<Relationships xmlns="http://schemas.openxmlformats.org/package/2006/relationships"><Relationship Id="rId1" Type="http://schemas.openxmlformats.org/officeDocument/2006/relationships/externalLinkPath" Target="file:///\\Dscljh\c\EXCEL\&#49688;&#51452;\&#49324;&#50629;&#49457;~1\96\&#49552;&#51061;&#44592;01.XLS" TargetMode="External"/></Relationships>
</file>

<file path=xl/externalLinks/_rels/externalLink164.xml.rels><?xml version="1.0" encoding="UTF-8" standalone="yes"?>
<Relationships xmlns="http://schemas.openxmlformats.org/package/2006/relationships"><Relationship Id="rId1" Type="http://schemas.openxmlformats.org/officeDocument/2006/relationships/externalLinkPath" Target="file:///h:\exceldata\&#48176;&#48512;\96&#45380;\&#48176;&#48512;961.XLS" TargetMode="External"/></Relationships>
</file>

<file path=xl/externalLinks/_rels/externalLink165.xml.rels><?xml version="1.0" encoding="UTF-8" standalone="yes"?>
<Relationships xmlns="http://schemas.openxmlformats.org/package/2006/relationships"><Relationship Id="rId1" Type="http://schemas.openxmlformats.org/officeDocument/2006/relationships/externalLinkPath" Target="file:///\\WEZO\plan\9624\&#49324;&#50629;&#52628;&#51221;.XLS" TargetMode="External"/></Relationships>
</file>

<file path=xl/externalLinks/_rels/externalLink166.xml.rels><?xml version="1.0" encoding="UTF-8" standalone="yes"?>
<Relationships xmlns="http://schemas.openxmlformats.org/package/2006/relationships"><Relationship Id="rId1" Type="http://schemas.openxmlformats.org/officeDocument/2006/relationships/externalLinkPath" Target="file:///\\Mainofc018\My%20Documents\DATA\XLS\&#44256;&#51221;&#51088;&#49328;\&#44208;&#49328;\9744\&#44277;&#47928;9712.XLS" TargetMode="External"/></Relationships>
</file>

<file path=xl/externalLinks/_rels/externalLink167.xml.rels><?xml version="1.0" encoding="UTF-8" standalone="yes"?>
<Relationships xmlns="http://schemas.openxmlformats.org/package/2006/relationships"><Relationship Id="rId1" Type="http://schemas.openxmlformats.org/officeDocument/2006/relationships/externalLinkPath" Target="file:///A:\WINDOWS\TEMP\NC8376C5.xls" TargetMode="External"/></Relationships>
</file>

<file path=xl/externalLinks/_rels/externalLink168.xml.rels><?xml version="1.0" encoding="UTF-8" standalone="yes"?>
<Relationships xmlns="http://schemas.openxmlformats.org/package/2006/relationships"><Relationship Id="rId1" Type="http://schemas.openxmlformats.org/officeDocument/2006/relationships/externalLinkPath" Target="file:///\\9071037\c\WINDOWS\&#48148;&#53461;%20&#54868;&#47732;\&#45236;%20&#49436;&#47448;%20&#44032;&#48169;\97&#44368;&#50977;&#44228;&#54925;.xls" TargetMode="External"/></Relationships>
</file>

<file path=xl/externalLinks/_rels/externalLink169.xml.rels><?xml version="1.0" encoding="UTF-8" standalone="yes"?>
<Relationships xmlns="http://schemas.openxmlformats.org/package/2006/relationships"><Relationship Id="rId1" Type="http://schemas.openxmlformats.org/officeDocument/2006/relationships/externalLinkPath" Target="file:///\\MIGA&#44608;&#44305;&#49688;\&#49340;&#49457;%20TOWER%20P\KBLEE\&#44592;&#53440;\&#54364;&#51456;\1.xls" TargetMode="External"/></Relationships>
</file>

<file path=xl/externalLinks/_rels/externalLink170.xml.rels><?xml version="1.0" encoding="UTF-8" standalone="yes"?>
<Relationships xmlns="http://schemas.openxmlformats.org/package/2006/relationships"><Relationship Id="rId1" Type="http://schemas.openxmlformats.org/officeDocument/2006/relationships/externalLinkPath" Target="file:///C:\CHLEE\&#51060;&#52824;&#54732;\MR.&#44608;&#49437;&#52384;\&#44396;&#51312;&#47932;&#52397;&#49328;&#47932;&#47049;&#51221;&#47532;.xls" TargetMode="External"/></Relationships>
</file>

<file path=xl/externalLinks/_rels/externalLink171.xml.rels><?xml version="1.0" encoding="UTF-8" standalone="yes"?>
<Relationships xmlns="http://schemas.openxmlformats.org/package/2006/relationships"><Relationship Id="rId1" Type="http://schemas.openxmlformats.org/officeDocument/2006/relationships/externalLinkPath" Target="file:///h:\exceldata\&#48176;&#48512;\97&#45380;\&#48176;&#48512;97121.xls" TargetMode="External"/></Relationships>
</file>

<file path=xl/externalLinks/_rels/externalLink172.xml.rels><?xml version="1.0" encoding="UTF-8" standalone="yes"?>
<Relationships xmlns="http://schemas.openxmlformats.org/package/2006/relationships"><Relationship Id="rId1" Type="http://schemas.openxmlformats.org/officeDocument/2006/relationships/externalLinkPath" Target="file:///\\NGL-4&#44600;&#52285;&#50857;\PJT%20CONTROL\phalai\&#44036;&#51217;&#48708;\EXCEL\&#44036;&#51217;&#48708;Z.XLS" TargetMode="External"/></Relationships>
</file>

<file path=xl/externalLinks/_rels/externalLink173.xml.rels><?xml version="1.0" encoding="UTF-8" standalone="yes"?>
<Relationships xmlns="http://schemas.openxmlformats.org/package/2006/relationships"><Relationship Id="rId2" Type="http://schemas.openxmlformats.org/officeDocument/2006/relationships/externalLinkPath" Target="../../Overseas_tech/01-Infra1%20&#54016;/1000-&#51089;&#50629;/A.&#44277;&#53685;/510-&#49324;&#50629;&#44228;&#54925;/&#49324;&#50629;&#44228;&#54925;(2012&#45380;)/WIN95/TEMP/&#48512;&#45824;&#49436;&#47448;.XLS" TargetMode="External"/><Relationship Id="rId1" Type="http://schemas.openxmlformats.org/officeDocument/2006/relationships/externalLinkPath" Target="/Overseas_tech/01-Infra1%20&#54016;/1000-&#51089;&#50629;/A.&#44277;&#53685;/510-&#49324;&#50629;&#44228;&#54925;/&#49324;&#50629;&#44228;&#54925;(2012&#45380;)/WIN95/TEMP/&#48512;&#45824;&#49436;&#47448;.XLS" TargetMode="External"/></Relationships>
</file>

<file path=xl/externalLinks/_rels/externalLink174.xml.rels><?xml version="1.0" encoding="UTF-8" standalone="yes"?>
<Relationships xmlns="http://schemas.openxmlformats.org/package/2006/relationships"><Relationship Id="rId2" Type="http://schemas.openxmlformats.org/officeDocument/2006/relationships/externalLinkPath" Target="../../Documents%20and%20Settings/1111842/Local%20Settings/Temporary%20Internet%20Files/Content.Outlook/WUTHO5V9/&#45380;&#47568;&#51064;&#49324;&#51088;&#47308;/01.2012&#45380;&#47568;&#51064;&#49324;%20(2013&#45380;&#46020;%20&#51312;&#51649;%20&#48143;%20&#51076;&#51649;&#50896;%20&#51064;&#49324;)/03.&#9733;&#48372;&#44256;&#49436;%20&#51089;&#49457;/7&#52264;%20&#51089;&#50629;/03.&#51064;&#49324;&#48156;&#47161;&#51648;,%20&#48372;&#51649;&#51076;&#47732;%20&#54408;&#51032;,%20&#51076;&#50896;&#50672;&#48393;%20&#51088;&#47308;%20&#51089;&#49457;/&#51076;&#50896;&#54788;&#54889;(&#51064;&#49324;&#48156;&#47161;&#51648;,%20&#54788;&#54889;,%20&#50672;&#48393;).xlsx" TargetMode="External"/><Relationship Id="rId1" Type="http://schemas.openxmlformats.org/officeDocument/2006/relationships/externalLinkPath" Target="/Documents%20and%20Settings/1111842/Local%20Settings/Temporary%20Internet%20Files/Content.Outlook/WUTHO5V9/&#45380;&#47568;&#51064;&#49324;&#51088;&#47308;/01.2012&#45380;&#47568;&#51064;&#49324;%20(2013&#45380;&#46020;%20&#51312;&#51649;%20&#48143;%20&#51076;&#51649;&#50896;%20&#51064;&#49324;)/03.&#9733;&#48372;&#44256;&#49436;%20&#51089;&#49457;/7&#52264;%20&#51089;&#50629;/03.&#51064;&#49324;&#48156;&#47161;&#51648;,%20&#48372;&#51649;&#51076;&#47732;%20&#54408;&#51032;,%20&#51076;&#50896;&#50672;&#48393;%20&#51088;&#47308;%20&#51089;&#49457;/&#51076;&#50896;&#54788;&#54889;(&#51064;&#49324;&#48156;&#47161;&#51648;,%20&#54788;&#54889;,%20&#50672;&#48393;).xlsx" TargetMode="External"/></Relationships>
</file>

<file path=xl/externalLinks/_rels/externalLink175.xml.rels><?xml version="1.0" encoding="UTF-8" standalone="yes"?>
<Relationships xmlns="http://schemas.openxmlformats.org/package/2006/relationships"><Relationship Id="rId1" Type="http://schemas.openxmlformats.org/officeDocument/2006/relationships/externalLinkPath" Target="file:///E:\ACCT\YJSB\YJSB2000\2000&#45380;&#50696;&#49328;.xls" TargetMode="External"/></Relationships>
</file>

<file path=xl/externalLinks/_rels/externalLink176.xml.rels><?xml version="1.0" encoding="UTF-8" standalone="yes"?>
<Relationships xmlns="http://schemas.openxmlformats.org/package/2006/relationships"><Relationship Id="rId1" Type="http://schemas.openxmlformats.org/officeDocument/2006/relationships/externalLinkPath" Target="file:///C:\Documents%20and%20Settings\0801660\Application%20Data\Microsoft\Excel\HDEC\Mozambique\&#51077;&#52272;\&#44036;&#51217;&#48708;\&#51088;&#47308;\&#48373;&#49324;&#48376;%20&#44036;&#51217;&#48708;%20CP-004.xls" TargetMode="External"/></Relationships>
</file>

<file path=xl/externalLinks/_rels/externalLink177.xml.rels><?xml version="1.0" encoding="UTF-8" standalone="yes"?>
<Relationships xmlns="http://schemas.openxmlformats.org/package/2006/relationships"><Relationship Id="rId1" Type="http://schemas.openxmlformats.org/officeDocument/2006/relationships/externalLinkPath" Target="file:///\\&#52572;&#50689;&#51452;\2000\007&#44277;&#44277;&#44592;&#44288;&#51452;&#48320;&#45433;&#54868;&#49324;&#50629;\&#45225;&#54408;&#46020;&#49436;1129\&#45433;&#54868;&#49324;&#50629;-&#49884;&#47549;&#48149;&#47932;&#44288;.xls" TargetMode="External"/></Relationships>
</file>

<file path=xl/externalLinks/_rels/externalLink178.xml.rels><?xml version="1.0" encoding="UTF-8" standalone="yes"?>
<Relationships xmlns="http://schemas.openxmlformats.org/package/2006/relationships"><Relationship Id="rId2" Type="http://schemas.openxmlformats.org/officeDocument/2006/relationships/externalLinkPath" Target="../../Overseas_tech/01-Infra1%20&#54016;/1000-&#51089;&#50629;/A.&#44277;&#53685;/510-&#49324;&#50629;&#44228;&#54925;/&#49324;&#50629;&#44228;&#54925;(2012&#45380;)/&#48149;&#51648;&#50896;&#51089;&#50629;/PROJECT/&#49324;&#51204;&#44277;&#49324;/&#48516;&#45817;&#50556;&#53457;/1&#52264;&#44208;&#51116;/PJW/FORM/APT/SUM-PLT.XLS" TargetMode="External"/><Relationship Id="rId1" Type="http://schemas.openxmlformats.org/officeDocument/2006/relationships/externalLinkPath" Target="/Overseas_tech/01-Infra1%20&#54016;/1000-&#51089;&#50629;/A.&#44277;&#53685;/510-&#49324;&#50629;&#44228;&#54925;/&#49324;&#50629;&#44228;&#54925;(2012&#45380;)/&#48149;&#51648;&#50896;&#51089;&#50629;/PROJECT/&#49324;&#51204;&#44277;&#49324;/&#48516;&#45817;&#50556;&#53457;/1&#52264;&#44208;&#51116;/PJW/FORM/APT/SUM-PLT.XLS" TargetMode="External"/></Relationships>
</file>

<file path=xl/externalLinks/_rels/externalLink179.xml.rels><?xml version="1.0" encoding="UTF-8" standalone="yes"?>
<Relationships xmlns="http://schemas.openxmlformats.org/package/2006/relationships"><Relationship Id="rId2" Type="http://schemas.openxmlformats.org/officeDocument/2006/relationships/externalLinkPath" Target="../../&#9675;%20&#44228;&#50676;&#49324;%20HR/80.%20&#51221;&#44592;&#51076;&#50896;&#51064;&#49324;/08&#45380;%20&#51076;&#50896;&#51064;&#49324;%20&#51088;&#47308;/08&#45380;%20&#44228;&#50676;&#49324;%20&#51076;&#50896;&#51064;&#49324;&#51088;&#47308;/3.%20&#49849;&#51652;%20&#52628;&#52380;&#49436;%20&#52712;&#54633;/jerry/&#50629;&#47924;&#44060;&#49440;/&#44036;&#51217;&#47581;/&#44144;&#51216;&#44288;&#47532;/&#44053;&#50896;&#44428;/&#52632;&#52380;&#44160;&#53664;.xls" TargetMode="External"/><Relationship Id="rId1" Type="http://schemas.openxmlformats.org/officeDocument/2006/relationships/externalLinkPath" Target="/&#9675;%20&#44228;&#50676;&#49324;%20HR/80.%20&#51221;&#44592;&#51076;&#50896;&#51064;&#49324;/08&#45380;%20&#51076;&#50896;&#51064;&#49324;%20&#51088;&#47308;/08&#45380;%20&#44228;&#50676;&#49324;%20&#51076;&#50896;&#51064;&#49324;&#51088;&#47308;/3.%20&#49849;&#51652;%20&#52628;&#52380;&#49436;%20&#52712;&#54633;/jerry/&#50629;&#47924;&#44060;&#49440;/&#44036;&#51217;&#47581;/&#44144;&#51216;&#44288;&#47532;/&#44053;&#50896;&#44428;/&#52632;&#52380;&#44160;&#53664;.xls" TargetMode="External"/></Relationships>
</file>

<file path=xl/externalLinks/_rels/externalLink180.xml.rels><?xml version="1.0" encoding="UTF-8" standalone="yes"?>
<Relationships xmlns="http://schemas.openxmlformats.org/package/2006/relationships"><Relationship Id="rId1" Type="http://schemas.openxmlformats.org/officeDocument/2006/relationships/externalLinkPath" Target="file:///\\STBS&#51221;&#50896;&#50689;\C\My%20Documents\KHDATA\&#44288;&#47532;&#52397;\&#50896;&#45224;-&#50872;&#51652;\&#50896;&#45224;&#50872;&#51652;&#45209;&#52272;&#45236;&#50669;(99.4.13%20&#48512;&#49328;&#52397;).xls" TargetMode="External"/></Relationships>
</file>

<file path=xl/externalLinks/_rels/externalLink181.xml.rels><?xml version="1.0" encoding="UTF-8" standalone="yes"?>
<Relationships xmlns="http://schemas.openxmlformats.org/package/2006/relationships"><Relationship Id="rId1" Type="http://schemas.openxmlformats.org/officeDocument/2006/relationships/externalLinkPath" Target="file:///\\&#54889;&#54805;&#44540;\MY%20DOCUMENTS\UNIWIN98\DOWN\&#45817;&#51652;&#54868;&#47141;1.2&#51204;&#49440;&#44288;&#51217;&#51648;4&#52264;&#44277;&#49324;&#45236;&#50669;&#49436;(&#44049;).xls" TargetMode="External"/></Relationships>
</file>

<file path=xl/externalLinks/_rels/externalLink182.xml.rels><?xml version="1.0" encoding="UTF-8" standalone="yes"?>
<Relationships xmlns="http://schemas.openxmlformats.org/package/2006/relationships"><Relationship Id="rId1" Type="http://schemas.openxmlformats.org/officeDocument/2006/relationships/externalLinkPath" Target="file:///h:\&#50641;&#49472;%20DATA\97&#50696;&#49328;\&#50896;&#45800;&#50948;&#51088;&#47308;\&#51064;&#50896;.XLS" TargetMode="External"/></Relationships>
</file>

<file path=xl/externalLinks/_rels/externalLink183.xml.rels><?xml version="1.0" encoding="UTF-8" standalone="yes"?>
<Relationships xmlns="http://schemas.openxmlformats.org/package/2006/relationships"><Relationship Id="rId1" Type="http://schemas.openxmlformats.org/officeDocument/2006/relationships/externalLinkPath" Target="http://ep.hec.co.kr/upload/mail/199932259_20030714124030/DATA/&#51333;&#44592;&#49892;/&#50900;&#48324;&#49892;&#51201;/97&#44208;&#49328;.xls" TargetMode="External"/></Relationships>
</file>

<file path=xl/externalLinks/_rels/externalLink184.xml.rels><?xml version="1.0" encoding="UTF-8" standalone="yes"?>
<Relationships xmlns="http://schemas.openxmlformats.org/package/2006/relationships"><Relationship Id="rId1" Type="http://schemas.openxmlformats.org/officeDocument/2006/relationships/externalLinkPath" Target="file:///\\kizo&#54861;&#54788;&#49457;d\&#53664;&#47785;&#44277;&#50976;\Documents%20and%20Settings\9900546\Local%20Settings\Temp\_AZTMP1_\a_bidboland\a_dolphin\BOQ\0712_&#52572;&#51333;_DolphinBOQ\a_Salman\REVsalman&#45236;&#48512;civilBOQ(1208)\REVsalman&#45236;&#48512;civilBOQ(1208).xls" TargetMode="External"/></Relationships>
</file>

<file path=xl/externalLinks/_rels/externalLink185.xml.rels><?xml version="1.0" encoding="UTF-8" standalone="yes"?>
<Relationships xmlns="http://schemas.openxmlformats.org/package/2006/relationships"><Relationship Id="rId1" Type="http://schemas.openxmlformats.org/officeDocument/2006/relationships/externalLinkPath" Target="file:///\\66.12.116.175\common%20folder\&#44277;&#49324;%20&#50504;&#48373;&#51456;\PROPOSAL&#50629;&#47924;\QATARPJT\&#53664;.&#44148;.&#52384;.&#44277;&#49324;&#48708;&#49328;&#52636;\PC1127&#52509;&#44277;&#49324;&#48708;\&#49892;&#51228;&#51077;&#47141;\PC1127%20&#52509;&#44277;&#49324;&#48708;_040423_Rev.0_&#51204;&#44277;&#51333;.xls" TargetMode="External"/></Relationships>
</file>

<file path=xl/externalLinks/_rels/externalLink186.xml.rels><?xml version="1.0" encoding="UTF-8" standalone="yes"?>
<Relationships xmlns="http://schemas.openxmlformats.org/package/2006/relationships"><Relationship Id="rId1" Type="http://schemas.openxmlformats.org/officeDocument/2006/relationships/externalLinkPath" Target="file:///\\66.12.116.175\common%20folder\&#44277;&#50976;\abc.xls" TargetMode="External"/></Relationships>
</file>

<file path=xl/externalLinks/_rels/externalLink187.xml.rels><?xml version="1.0" encoding="UTF-8" standalone="yes"?>
<Relationships xmlns="http://schemas.openxmlformats.org/package/2006/relationships"><Relationship Id="rId1" Type="http://schemas.openxmlformats.org/officeDocument/2006/relationships/externalLinkPath" Target="http://notes.skec.co.kr/&#44053;&#46041;&#54785;/&#44148;&#52629;/&#52392;&#45800;&#50672;&#44396;&#46041;/PROPOSAL/ELEC/345KV/EULJOO/EUL.XLS" TargetMode="External"/></Relationships>
</file>

<file path=xl/externalLinks/_rels/externalLink188.xml.rels><?xml version="1.0" encoding="UTF-8" standalone="yes"?>
<Relationships xmlns="http://schemas.openxmlformats.org/package/2006/relationships"><Relationship Id="rId1" Type="http://schemas.openxmlformats.org/officeDocument/2006/relationships/externalLinkPath" Target="file:///\\ZOKI&#51076;&#44221;&#52292;\C\&#51089;&#50629;&#51109;\99&#45380;&#49324;&#50629;&#44228;&#54925;\6&#50900;\99&#45380;&#54616;&#48152;&#44592;&#49688;&#51452;&#44228;&#54925;.xls" TargetMode="External"/></Relationships>
</file>

<file path=xl/externalLinks/_rels/externalLink189.xml.rels><?xml version="1.0" encoding="UTF-8" standalone="yes"?>
<Relationships xmlns="http://schemas.openxmlformats.org/package/2006/relationships"><Relationship Id="rId2" Type="http://schemas.openxmlformats.org/officeDocument/2006/relationships/externalLinkPath" Target="../../&#9675;%20&#44228;&#50676;&#49324;%20HR/80.%20&#51221;&#44592;&#51076;&#50896;&#51064;&#49324;/08&#45380;%20&#51076;&#50896;&#51064;&#49324;%20&#51088;&#47308;/08&#45380;%20&#44228;&#50676;&#49324;%20&#51076;&#50896;&#51064;&#49324;&#51088;&#47308;/3.%20&#49849;&#51652;%20&#52628;&#52380;&#49436;%20&#52712;&#54633;/1~ing/1&#54788;&#51116;%20&#51652;&#54665;&#51473;/0&#44553;&#50668;&#44288;&#47144;/&#48372;&#44256;&#51088;&#47308;/&#51076;&#44552;&#54788;&#54889;&#50577;&#49885;/1&#51076;&#44552;&#54788;&#54889;&#50577;&#49885;(&#50896;&#48376;)010610.xls" TargetMode="External"/><Relationship Id="rId1" Type="http://schemas.openxmlformats.org/officeDocument/2006/relationships/externalLinkPath" Target="/&#9675;%20&#44228;&#50676;&#49324;%20HR/80.%20&#51221;&#44592;&#51076;&#50896;&#51064;&#49324;/08&#45380;%20&#51076;&#50896;&#51064;&#49324;%20&#51088;&#47308;/08&#45380;%20&#44228;&#50676;&#49324;%20&#51076;&#50896;&#51064;&#49324;&#51088;&#47308;/3.%20&#49849;&#51652;%20&#52628;&#52380;&#49436;%20&#52712;&#54633;/1~ing/1&#54788;&#51116;%20&#51652;&#54665;&#51473;/0&#44553;&#50668;&#44288;&#47144;/&#48372;&#44256;&#51088;&#47308;/&#51076;&#44552;&#54788;&#54889;&#50577;&#49885;/1&#51076;&#44552;&#54788;&#54889;&#50577;&#49885;(&#50896;&#48376;)010610.xls" TargetMode="External"/></Relationships>
</file>

<file path=xl/externalLinks/_rels/externalLink190.xml.rels><?xml version="1.0" encoding="UTF-8" standalone="yes"?>
<Relationships xmlns="http://schemas.openxmlformats.org/package/2006/relationships"><Relationship Id="rId1" Type="http://schemas.openxmlformats.org/officeDocument/2006/relationships/externalLinkPath" Target="file:///G:\WINDOWS\TEMP\&#44036;&#51217;&#48708;_REV1.xls" TargetMode="External"/></Relationships>
</file>

<file path=xl/externalLinks/_rels/externalLink191.xml.rels><?xml version="1.0" encoding="UTF-8" standalone="yes"?>
<Relationships xmlns="http://schemas.openxmlformats.org/package/2006/relationships"><Relationship Id="rId2" Type="http://schemas.openxmlformats.org/officeDocument/2006/relationships/externalLinkPath" Target="../../14.Malaysia/1405.RAPID%232_Post/04.Cost%20Summary/&#44036;&#51217;&#48708;/Old/0.&#49340;&#49457;&#50577;&#49885;/(PO0217)%20Field%20Running%20Cost.xlsx" TargetMode="External"/><Relationship Id="rId1" Type="http://schemas.openxmlformats.org/officeDocument/2006/relationships/externalLinkPath" Target="/14.Malaysia/1405.RAPID%232_Post/04.Cost%20Summary/&#44036;&#51217;&#48708;/Old/0.&#49340;&#49457;&#50577;&#49885;/(PO0217)%20Field%20Running%20Cost.xlsx" TargetMode="External"/></Relationships>
</file>

<file path=xl/externalLinks/_rels/externalLink192.xml.rels><?xml version="1.0" encoding="UTF-8" standalone="yes"?>
<Relationships xmlns="http://schemas.openxmlformats.org/package/2006/relationships"><Relationship Id="rId1" Type="http://schemas.openxmlformats.org/officeDocument/2006/relationships/externalLinkPath" Target="file:///\\&#48149;&#51333;&#52384;1\A_PJC\KIA\&#50868;&#50689;&#50504;\&#44396;&#47588;&#44228;&#54925;\&#50868;&#50689;&#50504;\&#44396;&#47588;&#44228;&#54925;\WINDOWS\TEMP\&#54540;&#47116;\9711\LTD96\&#51060;&#51061;.XLS" TargetMode="External"/></Relationships>
</file>

<file path=xl/externalLinks/_rels/externalLink193.xml.rels><?xml version="1.0" encoding="UTF-8" standalone="yes"?>
<Relationships xmlns="http://schemas.openxmlformats.org/package/2006/relationships"><Relationship Id="rId1" Type="http://schemas.openxmlformats.org/officeDocument/2006/relationships/externalLinkPath" Target="file:///\\DWFS11\SYS\work98\&#49552;&#51061;\&#49552;&#51061;9801.xls" TargetMode="External"/></Relationships>
</file>

<file path=xl/externalLinks/_rels/externalLink194.xml.rels><?xml version="1.0" encoding="UTF-8" standalone="yes"?>
<Relationships xmlns="http://schemas.openxmlformats.org/package/2006/relationships"><Relationship Id="rId1" Type="http://schemas.openxmlformats.org/officeDocument/2006/relationships/externalLinkPath" Target="file:///\\SKEC_EB1\EB_1\1KON\YANGSIK\GAEYOXLS.XLS" TargetMode="External"/></Relationships>
</file>

<file path=xl/externalLinks/_rels/externalLink195.xml.rels><?xml version="1.0" encoding="UTF-8" standalone="yes"?>
<Relationships xmlns="http://schemas.openxmlformats.org/package/2006/relationships"><Relationship Id="rId1" Type="http://schemas.openxmlformats.org/officeDocument/2006/relationships/externalLinkPath" Target="file:///B:\&#51077;&#52272;&#49436;&#51064;.XLS" TargetMode="External"/></Relationships>
</file>

<file path=xl/externalLinks/_rels/externalLink196.xml.rels><?xml version="1.0" encoding="UTF-8" standalone="yes"?>
<Relationships xmlns="http://schemas.openxmlformats.org/package/2006/relationships"><Relationship Id="rId1" Type="http://schemas.openxmlformats.org/officeDocument/2006/relationships/externalLinkPath" Target="file:///A:\&#54217;&#44512;&#51064;&#50896;.95" TargetMode="External"/></Relationships>
</file>

<file path=xl/externalLinks/_rels/externalLink197.xml.rels><?xml version="1.0" encoding="UTF-8" standalone="yes"?>
<Relationships xmlns="http://schemas.openxmlformats.org/package/2006/relationships"><Relationship Id="rId1" Type="http://schemas.openxmlformats.org/officeDocument/2006/relationships/externalLinkPath" Target="file:///C:\Documents%20and%20Settings\0801660\Application%20Data\Microsoft\Excel\HDEC\Mozambique\&#51077;&#52272;\&#44036;&#51217;&#48708;\&#44036;&#51217;&#48708;_&#44032;&#49444;,&#48512;&#45824;&#44277;&#53685;(mozam0906).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WER 10TON"/>
      <sheetName val="TOWER 12TON"/>
      <sheetName val="JIB CRANE,HOIST"/>
      <sheetName val="유림골조"/>
      <sheetName val="공통부대비"/>
      <sheetName val="#REF"/>
      <sheetName val="견적의뢰서"/>
      <sheetName val="공사비대비표"/>
      <sheetName val="품의서"/>
      <sheetName val="건축"/>
      <sheetName val="34평형"/>
      <sheetName val="옵션대비"/>
      <sheetName val="파일공사(아파트)"/>
      <sheetName val="HOIST"/>
      <sheetName val="부대건축"/>
      <sheetName val="주차장(지하1층)"/>
      <sheetName val="파일공사(부대동)"/>
      <sheetName val="토목"/>
      <sheetName val="옥외"/>
      <sheetName val="Sheet6"/>
      <sheetName val="죽전2차공통비ALT-3"/>
      <sheetName val="JIB-CRANE,HOIST"/>
      <sheetName val="Sheet4"/>
      <sheetName val="Sheet5"/>
      <sheetName val="Sheet2"/>
      <sheetName val="Sheet3"/>
      <sheetName val="정부노임단가"/>
      <sheetName val="JIB CRANE_HOIST"/>
      <sheetName val="내역서"/>
      <sheetName val="입찰"/>
      <sheetName val="현경"/>
      <sheetName val="산출근거"/>
      <sheetName val="단가"/>
      <sheetName val="현장별 손익자료"/>
      <sheetName val="양식4-1)현장손익(월별)"/>
      <sheetName val="간선계산"/>
      <sheetName val="실행철강하도"/>
      <sheetName val="가로등"/>
      <sheetName val="산출내역서집계표"/>
      <sheetName val="DATA"/>
      <sheetName val="현장관리비 산출내역"/>
      <sheetName val="급여상승분석"/>
      <sheetName val="예산 대 실투입(안전제외)"/>
      <sheetName val="급여 상승현황"/>
      <sheetName val="중기"/>
      <sheetName val="주요공사"/>
      <sheetName val="수입"/>
      <sheetName val="공통비총괄표"/>
      <sheetName val="금융비용"/>
      <sheetName val="건축내역"/>
      <sheetName val="총괄"/>
      <sheetName val="TOWER_10TON1"/>
      <sheetName val="TOWER_12TON1"/>
      <sheetName val="JIB_CRANE,HOIST1"/>
      <sheetName val="JIB_CRANE_HOIST1"/>
      <sheetName val="현장별_손익자료"/>
      <sheetName val="TOWER_10TON"/>
      <sheetName val="TOWER_12TON"/>
      <sheetName val="JIB_CRANE,HOIST"/>
      <sheetName val="JIB_CRANE_HOIST"/>
      <sheetName val="VXXXXXXX"/>
      <sheetName val="1월"/>
      <sheetName val="5월"/>
      <sheetName val="AP1"/>
      <sheetName val="Sheet1"/>
      <sheetName val="TOWER_10TON2"/>
      <sheetName val="TOWER_12TON2"/>
      <sheetName val="JIB_CRANE,HOIST2"/>
      <sheetName val="JIB_CRANE_HOIST2"/>
      <sheetName val="현장별_손익자료1"/>
      <sheetName val="TOWER_10TON3"/>
      <sheetName val="TOWER_12TON3"/>
      <sheetName val="JIB_CRANE,HOIST3"/>
      <sheetName val="JIB_CRANE_HOIST3"/>
      <sheetName val="부산제일극장"/>
      <sheetName val="손익차9월2"/>
      <sheetName val="UnitList"/>
      <sheetName val="현장관리비_산출내역"/>
      <sheetName val="유림콘도"/>
      <sheetName val="M-EQPT-Z"/>
      <sheetName val="COST"/>
      <sheetName val="와동25-3(변경)"/>
      <sheetName val="공통비(전체)"/>
      <sheetName val="토목공사"/>
      <sheetName val="새공통(96임금인상기준)"/>
      <sheetName val="구의33고"/>
      <sheetName val="비교1"/>
      <sheetName val="유림총괄"/>
      <sheetName val="단가표"/>
      <sheetName val="내역표지"/>
      <sheetName val="견적의뢰"/>
      <sheetName val="SG"/>
      <sheetName val="보할"/>
      <sheetName val="공문"/>
      <sheetName val="cp-e1"/>
      <sheetName val="예가표"/>
      <sheetName val="프랜트면허"/>
      <sheetName val="단위가격"/>
      <sheetName val="목표세부명세"/>
      <sheetName val="차수"/>
      <sheetName val="복지비카메라"/>
      <sheetName val="Variables"/>
      <sheetName val="시장성초안camera"/>
      <sheetName val="경비2내역"/>
      <sheetName val="201동 산출근거"/>
      <sheetName val="철거산출근거"/>
      <sheetName val="노임이"/>
      <sheetName val="jobhist"/>
      <sheetName val="변경집계표"/>
      <sheetName val="설계조건"/>
      <sheetName val="3.공종별투자분석(천원)"/>
      <sheetName val="0226"/>
      <sheetName val="토목검측서"/>
      <sheetName val="4.2유효폭의 계산"/>
      <sheetName val="토사(PE)"/>
      <sheetName val="대로근거"/>
      <sheetName val="품셈TABLE"/>
      <sheetName val="교각계산"/>
      <sheetName val="★도급내역"/>
      <sheetName val="입찰안"/>
      <sheetName val="투입"/>
      <sheetName val="6PILE  (돌출)"/>
      <sheetName val="7.PILE  (돌출)"/>
      <sheetName val="현장배치"/>
      <sheetName val="밸브설치"/>
      <sheetName val="금액내역서"/>
      <sheetName val="CTEMCOST"/>
      <sheetName val="일위대가"/>
      <sheetName val="집계표"/>
      <sheetName val="assign"/>
      <sheetName val="Currency"/>
      <sheetName val="손익분석"/>
      <sheetName val="카"/>
      <sheetName val="P.M 별"/>
      <sheetName val="인력(현장,직원)"/>
      <sheetName val="데이타"/>
      <sheetName val="기준"/>
      <sheetName val="BQMPALOC"/>
      <sheetName val="회사99"/>
      <sheetName val="입찰내역 발주처 양식"/>
      <sheetName val="우수공"/>
      <sheetName val="총괄원가계산서"/>
      <sheetName val="TOWER_10TON4"/>
      <sheetName val="TOWER_12TON4"/>
      <sheetName val="JIB_CRANE,HOIST4"/>
      <sheetName val="JIB_CRANE_HOIST4"/>
      <sheetName val="현장별_손익자료2"/>
      <sheetName val="현장관리비_산출내역1"/>
      <sheetName val="예산_대_실투입(안전제외)"/>
      <sheetName val="급여_상승현황"/>
      <sheetName val="3_공종별투자분석(천원)"/>
      <sheetName val="4_2유효폭의_계산"/>
      <sheetName val="Eq. Mobilization"/>
      <sheetName val="부서 Code"/>
      <sheetName val="구간별관경"/>
      <sheetName val="9902"/>
      <sheetName val="수목표준대가"/>
      <sheetName val="DHEQSUPT"/>
      <sheetName val="대전-교대(A1-A2)"/>
      <sheetName val="공사기초자료"/>
      <sheetName val="회사기초자료"/>
      <sheetName val="DB"/>
      <sheetName val="물량표S"/>
      <sheetName val="Recap"/>
      <sheetName val="집계"/>
      <sheetName val="Macro7"/>
      <sheetName val="소비자가"/>
      <sheetName val="1TL종점(1)"/>
      <sheetName val="일위대가표"/>
      <sheetName val="냉천부속동"/>
      <sheetName val="2000년 공정표"/>
      <sheetName val="을지-내역서"/>
      <sheetName val="울산시산표"/>
      <sheetName val="loading"/>
      <sheetName val="화전내"/>
      <sheetName val="노무비"/>
      <sheetName val="RE9604"/>
      <sheetName val="코드표"/>
      <sheetName val="구분자"/>
      <sheetName val="INPUT"/>
      <sheetName val="입고현황(전체)"/>
      <sheetName val="건축내역서"/>
      <sheetName val="업무처리전"/>
      <sheetName val="부대tu"/>
      <sheetName val="검토내역(갑)"/>
      <sheetName val="형틀공사"/>
      <sheetName val="노임단가"/>
      <sheetName val="실행(표지,갑,을)"/>
      <sheetName val="연돌일위집계"/>
      <sheetName val="도급실행(본관-주차장)"/>
      <sheetName val="울산자동제어"/>
      <sheetName val="견적서"/>
      <sheetName val="수리결과"/>
      <sheetName val="일반부표"/>
      <sheetName val="UNIT-QT"/>
      <sheetName val="3-1.건축공사(내역서)"/>
      <sheetName val="코드"/>
      <sheetName val="6호기"/>
      <sheetName val="Assumption"/>
      <sheetName val="Sheet17"/>
      <sheetName val=""/>
      <sheetName val="사업수지"/>
      <sheetName val="적심사표"/>
      <sheetName val="청산공사"/>
      <sheetName val="지적항목분류"/>
      <sheetName val="B"/>
      <sheetName val="을"/>
      <sheetName val="24"/>
      <sheetName val="25"/>
      <sheetName val="26"/>
      <sheetName val="27"/>
      <sheetName val="28"/>
      <sheetName val="가시설흙막이"/>
      <sheetName val="정공공사"/>
      <sheetName val="간접경상비"/>
      <sheetName val="전기변내역"/>
      <sheetName val="D분개장데이타"/>
      <sheetName val="대운산출"/>
      <sheetName val="토목주소"/>
      <sheetName val="실행"/>
      <sheetName val="CAL1"/>
      <sheetName val="drum"/>
      <sheetName val="설계내역서"/>
      <sheetName val="철근단면적"/>
      <sheetName val="플랜트 설치"/>
      <sheetName val="PAINT"/>
      <sheetName val="(C)원내역"/>
      <sheetName val="갑지(추정)"/>
      <sheetName val="주관사업"/>
      <sheetName val="98지급계획"/>
      <sheetName val="병-2(PS)"/>
      <sheetName val="병-3(현장경비)"/>
      <sheetName val="Noname 1"/>
      <sheetName val="Noname 2"/>
      <sheetName val="Noname 3"/>
      <sheetName val="Noname 4"/>
      <sheetName val="Noname 5"/>
      <sheetName val="Noname 6"/>
      <sheetName val="Noname 7"/>
      <sheetName val="Noname 8"/>
      <sheetName val="Noname 9"/>
      <sheetName val="Noname 10"/>
      <sheetName val="Noname 11"/>
      <sheetName val="Noname 12"/>
      <sheetName val="Noname 13"/>
      <sheetName val="Noname 14"/>
      <sheetName val="Noname 15"/>
      <sheetName val="Noname 16"/>
      <sheetName val="Noname 17"/>
      <sheetName val="Noname 18"/>
      <sheetName val="Noname 19"/>
      <sheetName val="Noname 20"/>
      <sheetName val="Noname 21"/>
      <sheetName val="Noname 22"/>
      <sheetName val="Noname 23"/>
      <sheetName val="특수선일위대가"/>
      <sheetName val="시산표"/>
      <sheetName val="직접인건비"/>
      <sheetName val="공비대비"/>
      <sheetName val="직접경비"/>
      <sheetName val="배수내역"/>
      <sheetName val="RD제품개발투자비(매가)"/>
      <sheetName val="명부"/>
      <sheetName val="1062-X방향 "/>
      <sheetName val="자재단가"/>
      <sheetName val="9.품셈"/>
      <sheetName val="COVER"/>
      <sheetName val="Tenants"/>
      <sheetName val="갑지"/>
      <sheetName val="설산1.나"/>
      <sheetName val="본사S"/>
      <sheetName val="총괄표"/>
      <sheetName val="14 장비소요계획"/>
      <sheetName val="공사비증감"/>
      <sheetName val="01"/>
      <sheetName val="Macro(차단기)"/>
      <sheetName val="FAB별"/>
      <sheetName val="골조"/>
      <sheetName val="결과조달"/>
      <sheetName val="횡배수관집현황(2공구)"/>
      <sheetName val="간접비총괄"/>
      <sheetName val="총물량"/>
      <sheetName val="관리,공감"/>
      <sheetName val="대비표"/>
      <sheetName val="산근"/>
      <sheetName val="간접비"/>
      <sheetName val="은행"/>
      <sheetName val="기성내역"/>
      <sheetName val="chitimc"/>
      <sheetName val="dongia (2)"/>
      <sheetName val="LKVL-CK-HT-GD1"/>
      <sheetName val="giathanh1"/>
      <sheetName val="THPDMoi  (2)"/>
      <sheetName val="gtrinh"/>
      <sheetName val="phuluc1"/>
      <sheetName val="TONG HOP VL-NC"/>
      <sheetName val="lam-moi"/>
      <sheetName val="chitiet"/>
      <sheetName val="TONGKE3p "/>
      <sheetName val="Du_lieu"/>
      <sheetName val="TH VL, NC, DDHT Thanhphuoc"/>
      <sheetName val="DONGIA"/>
      <sheetName val="thao-go"/>
      <sheetName val="DON GIA"/>
      <sheetName val="TONGKE-HT"/>
      <sheetName val="DG"/>
      <sheetName val="dtxl"/>
      <sheetName val="t-h HA THE"/>
      <sheetName val="CHITIET VL-NC-TT -1p"/>
      <sheetName val="TONG HOP VL-NC TT"/>
      <sheetName val="TNHCHINH"/>
      <sheetName val="TH XL"/>
      <sheetName val="CHITIET VL-NC"/>
      <sheetName val="VC"/>
      <sheetName val="Tiepdia"/>
      <sheetName val="CHITIET VL-NC-TT-3p"/>
      <sheetName val="TDTKP"/>
      <sheetName val="TDTKP1"/>
      <sheetName val="KPVC-BD "/>
      <sheetName val="VCV-BE-TONG"/>
      <sheetName val="전선 및 전선관"/>
      <sheetName val="Quantity"/>
      <sheetName val="송부용"/>
      <sheetName val="분전함신설"/>
      <sheetName val="접지1종"/>
      <sheetName val="TOWER_10TON5"/>
      <sheetName val="TOWER_12TON5"/>
      <sheetName val="JIB_CRANE,HOIST5"/>
      <sheetName val="JIB_CRANE_HOIST5"/>
      <sheetName val="현장별_손익자료3"/>
      <sheetName val="현장관리비_산출내역2"/>
      <sheetName val="예산_대_실투입(안전제외)1"/>
      <sheetName val="급여_상승현황1"/>
      <sheetName val="3_공종별투자분석(천원)1"/>
      <sheetName val="4_2유효폭의_계산1"/>
      <sheetName val="입찰내역_발주처_양식"/>
      <sheetName val="201동_산출근거"/>
      <sheetName val="6PILE__(돌출)"/>
      <sheetName val="부서_Code"/>
      <sheetName val="7_PILE__(돌출)"/>
      <sheetName val="P_M_별"/>
      <sheetName val="Eq__Mobilization"/>
      <sheetName val="2000년_공정표"/>
      <sheetName val="3-1_건축공사(내역서)"/>
      <sheetName val="Noname_1"/>
      <sheetName val="Noname_2"/>
      <sheetName val="Noname_3"/>
      <sheetName val="Noname_4"/>
      <sheetName val="Noname_5"/>
      <sheetName val="Noname_6"/>
      <sheetName val="Noname_7"/>
      <sheetName val="Noname_8"/>
      <sheetName val="Noname_9"/>
      <sheetName val="Noname_10"/>
      <sheetName val="Noname_11"/>
      <sheetName val="Noname_12"/>
      <sheetName val="Noname_13"/>
      <sheetName val="Noname_14"/>
      <sheetName val="Noname_15"/>
      <sheetName val="Noname_16"/>
      <sheetName val="Noname_17"/>
      <sheetName val="Noname_18"/>
      <sheetName val="Noname_19"/>
      <sheetName val="Noname_20"/>
      <sheetName val="Noname_21"/>
      <sheetName val="Noname_22"/>
      <sheetName val="Noname_23"/>
      <sheetName val="1062-X방향_"/>
      <sheetName val="플랜트_설치"/>
      <sheetName val="9_품셈"/>
      <sheetName val="TOWER_10TON6"/>
      <sheetName val="TOWER_12TON6"/>
      <sheetName val="JIB_CRANE,HOIST6"/>
      <sheetName val="JIB_CRANE_HOIST6"/>
      <sheetName val="현장별_손익자료4"/>
      <sheetName val="현장관리비_산출내역3"/>
      <sheetName val="예산_대_실투입(안전제외)2"/>
      <sheetName val="급여_상승현황2"/>
      <sheetName val="3_공종별투자분석(천원)2"/>
      <sheetName val="4_2유효폭의_계산2"/>
      <sheetName val="입찰내역_발주처_양식1"/>
      <sheetName val="201동_산출근거1"/>
      <sheetName val="6PILE__(돌출)1"/>
      <sheetName val="부서_Code1"/>
      <sheetName val="7_PILE__(돌출)1"/>
      <sheetName val="P_M_별1"/>
      <sheetName val="Eq__Mobilization1"/>
      <sheetName val="2000년_공정표1"/>
      <sheetName val="3-1_건축공사(내역서)1"/>
      <sheetName val="Noname_110"/>
      <sheetName val="Noname_24"/>
      <sheetName val="Noname_31"/>
      <sheetName val="Noname_41"/>
      <sheetName val="Noname_51"/>
      <sheetName val="Noname_61"/>
      <sheetName val="Noname_71"/>
      <sheetName val="Noname_81"/>
      <sheetName val="Noname_91"/>
      <sheetName val="Noname_101"/>
      <sheetName val="Noname_111"/>
      <sheetName val="Noname_121"/>
      <sheetName val="Noname_131"/>
      <sheetName val="Noname_141"/>
      <sheetName val="Noname_151"/>
      <sheetName val="Noname_161"/>
      <sheetName val="Noname_171"/>
      <sheetName val="Noname_181"/>
      <sheetName val="Noname_191"/>
      <sheetName val="Noname_201"/>
      <sheetName val="Noname_211"/>
      <sheetName val="Noname_221"/>
      <sheetName val="Noname_231"/>
      <sheetName val="1062-X방향_1"/>
      <sheetName val="플랜트_설치1"/>
      <sheetName val="9_품셈1"/>
      <sheetName val="설산1_나"/>
      <sheetName val="TOWER_10TON7"/>
      <sheetName val="TOWER_12TON7"/>
      <sheetName val="JIB_CRANE,HOIST7"/>
      <sheetName val="JIB_CRANE_HOIST7"/>
      <sheetName val="현장별_손익자료5"/>
      <sheetName val="현장관리비_산출내역4"/>
      <sheetName val="예산_대_실투입(안전제외)3"/>
      <sheetName val="급여_상승현황3"/>
      <sheetName val="3_공종별투자분석(천원)3"/>
      <sheetName val="4_2유효폭의_계산3"/>
      <sheetName val="입찰내역_발주처_양식2"/>
      <sheetName val="201동_산출근거2"/>
      <sheetName val="6PILE__(돌출)2"/>
      <sheetName val="부서_Code2"/>
      <sheetName val="7_PILE__(돌출)2"/>
      <sheetName val="P_M_별2"/>
      <sheetName val="Eq__Mobilization2"/>
      <sheetName val="2000년_공정표2"/>
      <sheetName val="3-1_건축공사(내역서)2"/>
      <sheetName val="Noname_112"/>
      <sheetName val="Noname_25"/>
      <sheetName val="Noname_32"/>
      <sheetName val="Noname_42"/>
      <sheetName val="Noname_52"/>
      <sheetName val="Noname_62"/>
      <sheetName val="Noname_72"/>
      <sheetName val="Noname_82"/>
      <sheetName val="Noname_92"/>
      <sheetName val="Noname_102"/>
      <sheetName val="Noname_113"/>
      <sheetName val="Noname_122"/>
      <sheetName val="Noname_132"/>
      <sheetName val="Noname_142"/>
      <sheetName val="Noname_152"/>
      <sheetName val="Noname_162"/>
      <sheetName val="Noname_172"/>
      <sheetName val="Noname_182"/>
      <sheetName val="Noname_192"/>
      <sheetName val="Noname_202"/>
      <sheetName val="Noname_212"/>
      <sheetName val="Noname_222"/>
      <sheetName val="Noname_232"/>
      <sheetName val="1062-X방향_2"/>
      <sheetName val="플랜트_설치2"/>
      <sheetName val="9_품셈2"/>
      <sheetName val="설산1_나1"/>
      <sheetName val="공사비예산서(토목분)"/>
      <sheetName val="4-10"/>
      <sheetName val="설계명세"/>
      <sheetName val="감가상각비등 명세"/>
      <sheetName val="00건설추정대차대조표"/>
      <sheetName val="k-103경고문"/>
      <sheetName val="guard(mac)"/>
      <sheetName val="하수급견적대비"/>
      <sheetName val="적용기준"/>
      <sheetName val="개산공사비"/>
      <sheetName val="부안일위"/>
      <sheetName val="N賃率-職"/>
      <sheetName val="공정"/>
      <sheetName val="지급어음(일별)"/>
      <sheetName val="기타"/>
      <sheetName val="기준자"/>
      <sheetName val="관리항목"/>
      <sheetName val="조견표"/>
      <sheetName val="Items"/>
      <sheetName val="Results from Nov 98"/>
      <sheetName val="관리"/>
      <sheetName val="manage"/>
      <sheetName val="마감사양"/>
      <sheetName val="12CGOU"/>
      <sheetName val="가격조사서"/>
      <sheetName val="정보"/>
      <sheetName val="pc가격"/>
      <sheetName val="경비"/>
      <sheetName val="유효성 목록"/>
      <sheetName val="회사정보"/>
      <sheetName val="토지"/>
      <sheetName val="Baby일위대가"/>
      <sheetName val="A.PCS"/>
      <sheetName val="견적 (2)"/>
      <sheetName val="부하계산서"/>
      <sheetName val="내역"/>
      <sheetName val="INFO"/>
      <sheetName val="시설장비"/>
      <sheetName val="미지급금"/>
      <sheetName val="조명시설"/>
      <sheetName val="금융"/>
      <sheetName val="침하계"/>
      <sheetName val="단가조사"/>
      <sheetName val="ENE-CAL"/>
      <sheetName val="일위대가(여기까지)"/>
      <sheetName val="집계표(OPTION)"/>
      <sheetName val="하도급 변경"/>
      <sheetName val="대비표(전체서우)"/>
      <sheetName val="대비표(외주)"/>
      <sheetName val="하도급대비표"/>
      <sheetName val="15100"/>
      <sheetName val="수량산출"/>
      <sheetName val="Nona_x0000__x0000__x0000__x0000__x0000_"/>
      <sheetName val="골조시행"/>
      <sheetName val="사업계획(97년)"/>
      <sheetName val="라"/>
      <sheetName val="정렬"/>
      <sheetName val="Earthwork"/>
      <sheetName val="Processing_NoDelete_NoHide"/>
      <sheetName val="변경내역대비표(2)"/>
      <sheetName val="예산실적전체당월"/>
      <sheetName val="EQUIP LIST"/>
      <sheetName val="날개벽수량표"/>
      <sheetName val="제조원가(확인)"/>
      <sheetName val="List"/>
      <sheetName val="운반"/>
      <sheetName val="14_장비소요계획"/>
      <sheetName val="1"/>
      <sheetName val="득점현황"/>
      <sheetName val="TOWER_10TON8"/>
      <sheetName val="TOWER_12TON8"/>
      <sheetName val="JIB_CRANE,HOIST8"/>
      <sheetName val="JIB_CRANE_HOIST8"/>
      <sheetName val="현장별_손익자료6"/>
      <sheetName val="현장관리비_산출내역5"/>
      <sheetName val="예산_대_실투입(안전제외)4"/>
      <sheetName val="급여_상승현황4"/>
      <sheetName val="3_공종별투자분석(천원)4"/>
      <sheetName val="4_2유효폭의_계산4"/>
      <sheetName val="입찰내역_발주처_양식3"/>
      <sheetName val="201동_산출근거3"/>
      <sheetName val="6PILE__(돌출)3"/>
      <sheetName val="7_PILE__(돌출)3"/>
      <sheetName val="P_M_별3"/>
      <sheetName val="부서_Code3"/>
      <sheetName val="Eq__Mobilization3"/>
      <sheetName val="3-1_건축공사(내역서)3"/>
      <sheetName val="2000년_공정표3"/>
      <sheetName val="Noname_114"/>
      <sheetName val="Noname_26"/>
      <sheetName val="Noname_33"/>
      <sheetName val="Noname_43"/>
      <sheetName val="Noname_53"/>
      <sheetName val="Noname_63"/>
      <sheetName val="Noname_73"/>
      <sheetName val="Noname_83"/>
      <sheetName val="Noname_93"/>
      <sheetName val="Noname_103"/>
      <sheetName val="Noname_115"/>
      <sheetName val="Noname_123"/>
      <sheetName val="Noname_133"/>
      <sheetName val="Noname_143"/>
      <sheetName val="Noname_153"/>
      <sheetName val="Noname_163"/>
      <sheetName val="Noname_173"/>
      <sheetName val="Noname_183"/>
      <sheetName val="Noname_193"/>
      <sheetName val="Noname_203"/>
      <sheetName val="Noname_213"/>
      <sheetName val="Noname_223"/>
      <sheetName val="Noname_233"/>
      <sheetName val="1062-X방향_3"/>
      <sheetName val="플랜트_설치3"/>
      <sheetName val="9_품셈3"/>
      <sheetName val="설산1_나2"/>
      <sheetName val="dongia_(2)"/>
      <sheetName val="THPDMoi__(2)"/>
      <sheetName val="TONG_HOP_VL-NC"/>
      <sheetName val="TONGKE3p_"/>
      <sheetName val="TH_VL,_NC,_DDHT_Thanhphuoc"/>
      <sheetName val="DON_GIA"/>
      <sheetName val="t-h_HA_THE"/>
      <sheetName val="CHITIET_VL-NC-TT_-1p"/>
      <sheetName val="TONG_HOP_VL-NC_TT"/>
      <sheetName val="TH_XL"/>
      <sheetName val="CHITIET_VL-NC"/>
      <sheetName val="CHITIET_VL-NC-TT-3p"/>
      <sheetName val="KPVC-BD_"/>
      <sheetName val="전선_및_전선관"/>
      <sheetName val="감가상각비등_명세"/>
      <sheetName val="Results_from_Nov_98"/>
      <sheetName val="CAT_5"/>
      <sheetName val="F4-F7"/>
      <sheetName val="EQT-ESTN"/>
      <sheetName val="GRDBS"/>
      <sheetName val="정산ISSUE(T)"/>
      <sheetName val="Foglio_Lavoro"/>
      <sheetName val="입찰품의서"/>
      <sheetName val="TTL"/>
      <sheetName val="물량표"/>
      <sheetName val="공조기"/>
      <sheetName val="아파트 기성내역서"/>
      <sheetName val="CONCRETE"/>
      <sheetName val="콘크리트타설집계표"/>
      <sheetName val="ELECTRIC"/>
      <sheetName val="2공구산출내역"/>
      <sheetName val="Total"/>
      <sheetName val="Sheet9"/>
      <sheetName val="Sheet10"/>
      <sheetName val="Sheet14"/>
      <sheetName val="전기자료"/>
      <sheetName val="Sheet13"/>
      <sheetName val="월간공정"/>
      <sheetName val="주간공정"/>
      <sheetName val="Cash2"/>
      <sheetName val="Z"/>
      <sheetName val="checklist"/>
      <sheetName val="맨홀"/>
      <sheetName val="M&amp;A"/>
      <sheetName val="예정(3)"/>
      <sheetName val="정화조동내역"/>
      <sheetName val="당초"/>
      <sheetName val="범례"/>
      <sheetName val="바차트"/>
      <sheetName val="Sheet1 (2)"/>
      <sheetName val="주재료비"/>
      <sheetName val="A"/>
      <sheetName val="Noname_Ê_x0000_Ԁ"/>
      <sheetName val="Noname_Ê渀Ç"/>
      <sheetName val="he so"/>
      <sheetName val="SUMMARY"/>
      <sheetName val="Assumptions"/>
      <sheetName val="Scenarios"/>
      <sheetName val="수성페인트도장 내역서"/>
      <sheetName val="금액"/>
      <sheetName val="OtherKPI"/>
      <sheetName val="추정99"/>
      <sheetName val="설계"/>
      <sheetName val="Price Summary (1)"/>
      <sheetName val="Price Summary (2)"/>
      <sheetName val="DERIVE"/>
      <sheetName val="gvl"/>
      <sheetName val="지급자재"/>
      <sheetName val="직노"/>
      <sheetName val="WELDING POINT 단가"/>
      <sheetName val="Nonameo_x0000_Ԁ_x0000_"/>
      <sheetName val="사업성분석"/>
      <sheetName val="Perhit.Alat"/>
      <sheetName val="PO Header Entry"/>
      <sheetName val="Eng_Hrs (HO)"/>
      <sheetName val="EE-PROP"/>
      <sheetName val="뜃맟뭁돽띿맟?-BLDG"/>
      <sheetName val="LOB"/>
      <sheetName val="동력"/>
      <sheetName val="변압기"/>
      <sheetName val="95삼성급(본사)"/>
      <sheetName val="표지"/>
      <sheetName val="인사자료총집계"/>
      <sheetName val="SCHEDULE"/>
      <sheetName val="유효성_목록"/>
      <sheetName val="EQUIP_LIST"/>
      <sheetName val="A_PCS"/>
      <sheetName val="견적_(2)"/>
      <sheetName val="하도급_변경"/>
      <sheetName val="합천내역"/>
      <sheetName val="CD-실적"/>
      <sheetName val="Training"/>
      <sheetName val="Facility Information"/>
      <sheetName val="General"/>
      <sheetName val="Instructions"/>
      <sheetName val="People"/>
      <sheetName val="Quality"/>
      <sheetName val="Risk"/>
      <sheetName val="작성기준"/>
      <sheetName val="입찰내역"/>
      <sheetName val="건내"/>
      <sheetName val="채권세부"/>
      <sheetName val="입상내역"/>
      <sheetName val="내역서(확장형)_2024적용"/>
      <sheetName val="Register"/>
      <sheetName val="방배동내역(리라)"/>
      <sheetName val="실행내역"/>
      <sheetName val="경비실"/>
      <sheetName val="단면 (2)"/>
      <sheetName val="교각1"/>
      <sheetName val="CODE"/>
      <sheetName val="COPING"/>
      <sheetName val="기초공"/>
      <sheetName val="MOTOR"/>
      <sheetName val="기둥(원형)"/>
      <sheetName val="안산기계장치"/>
      <sheetName val="가설공사비"/>
      <sheetName val="Trans"/>
      <sheetName val="VS P-Q"/>
      <sheetName val="최적단면"/>
      <sheetName val="FS"/>
      <sheetName val="본사공가현황"/>
      <sheetName val="할증 "/>
      <sheetName val="예총"/>
      <sheetName val="산출(설비_공량)"/>
      <sheetName val="Noname_Ê"/>
      <sheetName val="일위_파일"/>
      <sheetName val="Noname_x0000__x0000_Ɨ_x0000_"/>
      <sheetName val="공용1(3%)"/>
      <sheetName val="공용2(3%)"/>
      <sheetName val="공용3(1%)"/>
      <sheetName val="천안"/>
      <sheetName val="설계서"/>
      <sheetName val="수원공사비"/>
      <sheetName val="돈암사업"/>
      <sheetName val="중로근거"/>
      <sheetName val="공사내역"/>
      <sheetName val="L-type"/>
      <sheetName val="30신설일위대가"/>
      <sheetName val="30집계표"/>
      <sheetName val="개인별 품목현황"/>
      <sheetName val="총괄원가"/>
      <sheetName val="실행(ALT1)"/>
      <sheetName val="인원"/>
      <sheetName val="(원)기흥상갈"/>
      <sheetName val="공사비집계"/>
      <sheetName val="Nonameo"/>
      <sheetName val="FOL - Bar"/>
      <sheetName val="Sch.6"/>
      <sheetName val="From Arup"/>
      <sheetName val="Dunrobin - detail"/>
      <sheetName val="Option"/>
      <sheetName val="AN-01"/>
      <sheetName val="96수표어음"/>
      <sheetName val="수액원료"/>
      <sheetName val="PROJECT BRIEF"/>
      <sheetName val="EP0618"/>
      <sheetName val="연결관암거"/>
      <sheetName val="입력시트"/>
      <sheetName val="石炭性状"/>
      <sheetName val="4차원가계산서"/>
      <sheetName val="BM"/>
      <sheetName val="예산작성기준(전기)"/>
      <sheetName val="식재인부"/>
      <sheetName val="THISWORKSHEET"/>
      <sheetName val="기계경비(시간당)"/>
      <sheetName val="램머"/>
      <sheetName val="Forecast"/>
      <sheetName val="BM DATA SHEET"/>
      <sheetName val="120"/>
      <sheetName val="130"/>
      <sheetName val="100"/>
      <sheetName val="101"/>
      <sheetName val="102"/>
      <sheetName val="103"/>
      <sheetName val="106"/>
      <sheetName val="108"/>
      <sheetName val="109"/>
      <sheetName val="131"/>
      <sheetName val="110"/>
      <sheetName val="111"/>
      <sheetName val="114"/>
      <sheetName val="116"/>
      <sheetName val="132"/>
      <sheetName val="140"/>
      <sheetName val="141"/>
      <sheetName val="142"/>
      <sheetName val="143"/>
      <sheetName val="144"/>
      <sheetName val="145"/>
      <sheetName val="146"/>
      <sheetName val="121"/>
      <sheetName val="147"/>
      <sheetName val="148"/>
      <sheetName val="160"/>
      <sheetName val="164"/>
      <sheetName val="Flaer Area"/>
      <sheetName val="123"/>
      <sheetName val="124"/>
      <sheetName val="125"/>
      <sheetName val="126"/>
      <sheetName val="127"/>
      <sheetName val="128"/>
      <sheetName val="129"/>
      <sheetName val="8.PILE  (돌출)"/>
      <sheetName val="JTLOAD"/>
      <sheetName val="QUOTATION"/>
      <sheetName val="Bin"/>
      <sheetName val="eqpmt"/>
      <sheetName val="BOQ segment2 (PartB)"/>
      <sheetName val="Worksheet"/>
      <sheetName val="RCF CLAIMED"/>
      <sheetName val="영업소실적"/>
      <sheetName val="ﾄﾞﾊﾞｲFUEL GAS追見"/>
      <sheetName val="Inputs"/>
      <sheetName val="BD"/>
      <sheetName val="X17-TOTAL"/>
      <sheetName val="HaulErctionLH-Binga"/>
      <sheetName val="DATE"/>
      <sheetName val="내역(100%)"/>
      <sheetName val="97 사업추정(WEKI)"/>
      <sheetName val="materials"/>
      <sheetName val="일위대가 (Part C,D,E,G,H)"/>
      <sheetName val="Vari by Trade"/>
      <sheetName val="REBAR"/>
      <sheetName val="1999-2000 MONTHLY CASHFLOW"/>
      <sheetName val="table"/>
      <sheetName val="상반기손익차2총괄"/>
      <sheetName val="U_A Input"/>
      <sheetName val="INDENTIFICATION"/>
      <sheetName val="MAT_N048"/>
      <sheetName val="1.설계조건"/>
      <sheetName val="도기류"/>
      <sheetName val="세금자료"/>
      <sheetName val="환율"/>
      <sheetName val="직원동원SCH"/>
      <sheetName val="lookups"/>
      <sheetName val="Others"/>
      <sheetName val="ref"/>
      <sheetName val="sum mdc"/>
      <sheetName val="Source"/>
      <sheetName val="차액보증"/>
      <sheetName val="인원계획"/>
      <sheetName val="VC2 8.98"/>
      <sheetName val="계수시트"/>
      <sheetName val="rates"/>
      <sheetName val="SHL"/>
      <sheetName val="Tension"/>
      <sheetName val="BREAKDOWN(철거설치)"/>
      <sheetName val="性能取り纏め"/>
      <sheetName val="Factor"/>
      <sheetName val="Vari by Vendor"/>
      <sheetName val="Codes,..."/>
      <sheetName val="Cost Calc"/>
      <sheetName val="PH 5"/>
      <sheetName val="Lookup"/>
      <sheetName val="GAE8'97"/>
      <sheetName val="MTO"/>
      <sheetName val="Equipment_Database"/>
      <sheetName val="INNER TANK"/>
      <sheetName val="Material_Database"/>
      <sheetName val="IPE"/>
      <sheetName val="Wts"/>
      <sheetName val="BTRP-230kV.wts"/>
      <sheetName val="중기조종사 단위단가"/>
      <sheetName val="자재단가조사표-수목"/>
      <sheetName val="10현장조직"/>
      <sheetName val="공사비_NDE"/>
      <sheetName val="실행예산-변경분"/>
      <sheetName val="현장관리비"/>
      <sheetName val=" 갑지"/>
      <sheetName val="조명율표"/>
      <sheetName val="환산표"/>
      <sheetName val="slipsumpR"/>
      <sheetName val="LABOR"/>
      <sheetName val="EQUIPT"/>
      <sheetName val="DESBASTE"/>
      <sheetName val="ASCEandUBC"/>
      <sheetName val="schbhn"/>
      <sheetName val="schalt"/>
      <sheetName val="schtng"/>
      <sheetName val="mechanical"/>
      <sheetName val="4-Lane bridge"/>
      <sheetName val="Existing PC Pavement"/>
      <sheetName val="Subgrade"/>
      <sheetName val="소화실적"/>
      <sheetName val="예산"/>
      <sheetName val="단가결정"/>
      <sheetName val="백분율"/>
      <sheetName val="REINF."/>
      <sheetName val="SKETCH"/>
      <sheetName val="LOADS"/>
      <sheetName val="품"/>
      <sheetName val="수정시산표"/>
      <sheetName val="TOWER_10TON9"/>
      <sheetName val="TOWER_12TON9"/>
      <sheetName val="JIB_CRANE,HOIST9"/>
      <sheetName val="JIB_CRANE_HOIST9"/>
      <sheetName val="현장별_손익자료7"/>
      <sheetName val="현장관리비_산출내역6"/>
      <sheetName val="예산_대_실투입(안전제외)5"/>
      <sheetName val="급여_상승현황5"/>
      <sheetName val="3_공종별투자분석(천원)5"/>
      <sheetName val="4_2유효폭의_계산5"/>
      <sheetName val="입찰내역_발주처_양식4"/>
      <sheetName val="6PILE__(돌출)4"/>
      <sheetName val="부서_Code4"/>
      <sheetName val="201동_산출근거4"/>
      <sheetName val="7_PILE__(돌출)4"/>
      <sheetName val="P_M_별4"/>
      <sheetName val="Eq__Mobilization4"/>
      <sheetName val="3-1_건축공사(내역서)4"/>
      <sheetName val="2000년_공정표4"/>
      <sheetName val="Noname_116"/>
      <sheetName val="Noname_27"/>
      <sheetName val="Noname_34"/>
      <sheetName val="Noname_44"/>
      <sheetName val="Noname_54"/>
      <sheetName val="Noname_64"/>
      <sheetName val="Noname_74"/>
      <sheetName val="Noname_84"/>
      <sheetName val="Noname_94"/>
      <sheetName val="Noname_104"/>
      <sheetName val="Noname_117"/>
      <sheetName val="Noname_124"/>
      <sheetName val="Noname_134"/>
      <sheetName val="Noname_144"/>
      <sheetName val="Noname_154"/>
      <sheetName val="Noname_164"/>
      <sheetName val="Noname_174"/>
      <sheetName val="Noname_184"/>
      <sheetName val="Noname_194"/>
      <sheetName val="Noname_204"/>
      <sheetName val="Noname_214"/>
      <sheetName val="Noname_224"/>
      <sheetName val="Noname_234"/>
      <sheetName val="1062-X방향_4"/>
      <sheetName val="플랜트_설치4"/>
      <sheetName val="9_품셈4"/>
      <sheetName val="설산1_나3"/>
      <sheetName val="14_장비소요계획1"/>
      <sheetName val="dongia_(2)1"/>
      <sheetName val="THPDMoi__(2)1"/>
      <sheetName val="TONG_HOP_VL-NC1"/>
      <sheetName val="TONGKE3p_1"/>
      <sheetName val="TH_VL,_NC,_DDHT_Thanhphuoc1"/>
      <sheetName val="DON_GIA1"/>
      <sheetName val="t-h_HA_THE1"/>
      <sheetName val="CHITIET_VL-NC-TT_-1p1"/>
      <sheetName val="TONG_HOP_VL-NC_TT1"/>
      <sheetName val="TH_XL1"/>
      <sheetName val="CHITIET_VL-NC1"/>
      <sheetName val="CHITIET_VL-NC-TT-3p1"/>
      <sheetName val="KPVC-BD_1"/>
      <sheetName val="전선_및_전선관1"/>
      <sheetName val="감가상각비등_명세1"/>
      <sheetName val="Results_from_Nov_981"/>
      <sheetName val="Cashflow Analysis"/>
      <sheetName val="초기화면"/>
      <sheetName val="단중표"/>
      <sheetName val="bsd (2)"/>
      <sheetName val="상가지급현황"/>
      <sheetName val="토목내역서집계"/>
      <sheetName val="규격표"/>
      <sheetName val="설계명세서"/>
      <sheetName val="리비아전체장비200306"/>
      <sheetName val="II손익관리"/>
      <sheetName val="일위대가(계측기설치)"/>
      <sheetName val="Rate"/>
      <sheetName val="부대공"/>
      <sheetName val="토공"/>
      <sheetName val="포장공"/>
      <sheetName val="전체집계표(일반)"/>
      <sheetName val="전체집계표(개산급)"/>
      <sheetName val="전체내역서"/>
      <sheetName val="제잡비(금회)"/>
      <sheetName val="관리비현황"/>
      <sheetName val="투찰"/>
      <sheetName val="단위수량"/>
      <sheetName val="Noname"/>
      <sheetName val="요율"/>
      <sheetName val="단가산출"/>
      <sheetName val="98수문일위"/>
      <sheetName val="지급제한자"/>
      <sheetName val="A_PCS1"/>
      <sheetName val="견적_(2)1"/>
      <sheetName val="유효성_목록1"/>
      <sheetName val="하도급_변경1"/>
      <sheetName val="EQUIP_LIST1"/>
      <sheetName val="아파트_기성내역서"/>
      <sheetName val="Sheet1_(2)"/>
      <sheetName val="he_so"/>
      <sheetName val="WELDING_POINT_단가"/>
      <sheetName val="수성페인트도장_내역서"/>
      <sheetName val="Price_Summary_(1)"/>
      <sheetName val="Price_Summary_(2)"/>
      <sheetName val="PO_Header_Entry"/>
      <sheetName val="Perhit_Alat"/>
      <sheetName val="Eng_Hrs_(HO)"/>
      <sheetName val="Facility_Information"/>
      <sheetName val="단면_(2)"/>
      <sheetName val="VS_P-Q"/>
      <sheetName val="할증_"/>
      <sheetName val="개인별_품목현황"/>
      <sheetName val="5사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sheetData sheetId="134" refreshError="1"/>
      <sheetData sheetId="135"/>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row r="58">
          <cell r="A58" t="str">
            <v>첨     부 :</v>
          </cell>
        </row>
      </sheetData>
      <sheetData sheetId="251"/>
      <sheetData sheetId="252"/>
      <sheetData sheetId="253">
        <row r="58">
          <cell r="A58" t="str">
            <v>첨     부 :</v>
          </cell>
        </row>
      </sheetData>
      <sheetData sheetId="254"/>
      <sheetData sheetId="255" refreshError="1"/>
      <sheetData sheetId="256" refreshError="1"/>
      <sheetData sheetId="257" refreshError="1"/>
      <sheetData sheetId="258" refreshError="1"/>
      <sheetData sheetId="259" refreshError="1"/>
      <sheetData sheetId="260" refreshError="1"/>
      <sheetData sheetId="261" refreshError="1"/>
      <sheetData sheetId="262">
        <row r="58">
          <cell r="A58" t="str">
            <v>첨     부 :</v>
          </cell>
        </row>
      </sheetData>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ow r="58">
          <cell r="A58" t="str">
            <v>첨     부 :</v>
          </cell>
        </row>
      </sheetData>
      <sheetData sheetId="326">
        <row r="58">
          <cell r="A58" t="str">
            <v>첨     부 :</v>
          </cell>
        </row>
      </sheetData>
      <sheetData sheetId="327">
        <row r="58">
          <cell r="A58" t="str">
            <v>첨     부 :</v>
          </cell>
        </row>
      </sheetData>
      <sheetData sheetId="328">
        <row r="58">
          <cell r="A58" t="str">
            <v>첨     부 :</v>
          </cell>
        </row>
      </sheetData>
      <sheetData sheetId="329">
        <row r="58">
          <cell r="A58" t="str">
            <v>첨     부 :</v>
          </cell>
        </row>
      </sheetData>
      <sheetData sheetId="330">
        <row r="58">
          <cell r="A58" t="str">
            <v>첨     부 :</v>
          </cell>
        </row>
      </sheetData>
      <sheetData sheetId="331">
        <row r="58">
          <cell r="A58" t="str">
            <v>첨     부 :</v>
          </cell>
        </row>
      </sheetData>
      <sheetData sheetId="332">
        <row r="58">
          <cell r="A58" t="str">
            <v>첨     부 :</v>
          </cell>
        </row>
      </sheetData>
      <sheetData sheetId="333">
        <row r="58">
          <cell r="A58" t="str">
            <v>첨     부 :</v>
          </cell>
        </row>
      </sheetData>
      <sheetData sheetId="334">
        <row r="58">
          <cell r="A58" t="str">
            <v>첨     부 :</v>
          </cell>
        </row>
      </sheetData>
      <sheetData sheetId="335">
        <row r="58">
          <cell r="A58" t="str">
            <v>첨     부 :</v>
          </cell>
        </row>
      </sheetData>
      <sheetData sheetId="336">
        <row r="58">
          <cell r="A58" t="str">
            <v>첨     부 :</v>
          </cell>
        </row>
      </sheetData>
      <sheetData sheetId="337">
        <row r="58">
          <cell r="A58" t="str">
            <v>첨     부 :</v>
          </cell>
        </row>
      </sheetData>
      <sheetData sheetId="338">
        <row r="58">
          <cell r="A58" t="str">
            <v>첨     부 :</v>
          </cell>
        </row>
      </sheetData>
      <sheetData sheetId="339">
        <row r="58">
          <cell r="A58" t="str">
            <v>첨     부 :</v>
          </cell>
        </row>
      </sheetData>
      <sheetData sheetId="340">
        <row r="58">
          <cell r="A58" t="str">
            <v>첨     부 :</v>
          </cell>
        </row>
      </sheetData>
      <sheetData sheetId="341">
        <row r="58">
          <cell r="A58" t="str">
            <v>첨     부 :</v>
          </cell>
        </row>
      </sheetData>
      <sheetData sheetId="342">
        <row r="58">
          <cell r="A58" t="str">
            <v>첨     부 :</v>
          </cell>
        </row>
      </sheetData>
      <sheetData sheetId="343">
        <row r="58">
          <cell r="A58" t="str">
            <v>첨     부 :</v>
          </cell>
        </row>
      </sheetData>
      <sheetData sheetId="344">
        <row r="58">
          <cell r="A58" t="str">
            <v>첨     부 :</v>
          </cell>
        </row>
      </sheetData>
      <sheetData sheetId="345">
        <row r="58">
          <cell r="A58" t="str">
            <v>첨     부 :</v>
          </cell>
        </row>
      </sheetData>
      <sheetData sheetId="346">
        <row r="58">
          <cell r="A58" t="str">
            <v>첨     부 :</v>
          </cell>
        </row>
      </sheetData>
      <sheetData sheetId="347">
        <row r="58">
          <cell r="A58" t="str">
            <v>첨     부 :</v>
          </cell>
        </row>
      </sheetData>
      <sheetData sheetId="348">
        <row r="58">
          <cell r="A58" t="str">
            <v>첨     부 :</v>
          </cell>
        </row>
      </sheetData>
      <sheetData sheetId="349">
        <row r="58">
          <cell r="A58" t="str">
            <v>첨     부 :</v>
          </cell>
        </row>
      </sheetData>
      <sheetData sheetId="350">
        <row r="58">
          <cell r="A58" t="str">
            <v>첨     부 :</v>
          </cell>
        </row>
      </sheetData>
      <sheetData sheetId="351">
        <row r="58">
          <cell r="A58" t="str">
            <v>첨     부 :</v>
          </cell>
        </row>
      </sheetData>
      <sheetData sheetId="352">
        <row r="58">
          <cell r="A58" t="str">
            <v>첨     부 :</v>
          </cell>
        </row>
      </sheetData>
      <sheetData sheetId="353">
        <row r="58">
          <cell r="A58" t="str">
            <v>첨     부 :</v>
          </cell>
        </row>
      </sheetData>
      <sheetData sheetId="354">
        <row r="58">
          <cell r="A58" t="str">
            <v>첨     부 :</v>
          </cell>
        </row>
      </sheetData>
      <sheetData sheetId="355">
        <row r="58">
          <cell r="A58" t="str">
            <v>첨     부 :</v>
          </cell>
        </row>
      </sheetData>
      <sheetData sheetId="356">
        <row r="58">
          <cell r="A58" t="str">
            <v>첨     부 :</v>
          </cell>
        </row>
      </sheetData>
      <sheetData sheetId="357">
        <row r="58">
          <cell r="A58" t="str">
            <v>첨     부 :</v>
          </cell>
        </row>
      </sheetData>
      <sheetData sheetId="358">
        <row r="58">
          <cell r="A58" t="str">
            <v>첨     부 :</v>
          </cell>
        </row>
      </sheetData>
      <sheetData sheetId="359">
        <row r="58">
          <cell r="A58" t="str">
            <v>첨     부 :</v>
          </cell>
        </row>
      </sheetData>
      <sheetData sheetId="360">
        <row r="58">
          <cell r="A58" t="str">
            <v>첨     부 :</v>
          </cell>
        </row>
      </sheetData>
      <sheetData sheetId="361">
        <row r="58">
          <cell r="A58" t="str">
            <v>첨     부 :</v>
          </cell>
        </row>
      </sheetData>
      <sheetData sheetId="362">
        <row r="58">
          <cell r="A58" t="str">
            <v>첨     부 :</v>
          </cell>
        </row>
      </sheetData>
      <sheetData sheetId="363">
        <row r="58">
          <cell r="A58" t="str">
            <v>첨     부 :</v>
          </cell>
        </row>
      </sheetData>
      <sheetData sheetId="364">
        <row r="58">
          <cell r="A58" t="str">
            <v>첨     부 :</v>
          </cell>
        </row>
      </sheetData>
      <sheetData sheetId="365">
        <row r="58">
          <cell r="A58" t="str">
            <v>첨     부 :</v>
          </cell>
        </row>
      </sheetData>
      <sheetData sheetId="366">
        <row r="58">
          <cell r="A58" t="str">
            <v>첨     부 :</v>
          </cell>
        </row>
      </sheetData>
      <sheetData sheetId="367">
        <row r="58">
          <cell r="A58" t="str">
            <v>첨     부 :</v>
          </cell>
        </row>
      </sheetData>
      <sheetData sheetId="368">
        <row r="58">
          <cell r="A58" t="str">
            <v>첨     부 :</v>
          </cell>
        </row>
      </sheetData>
      <sheetData sheetId="369">
        <row r="58">
          <cell r="A58" t="str">
            <v>첨     부 :</v>
          </cell>
        </row>
      </sheetData>
      <sheetData sheetId="370">
        <row r="58">
          <cell r="A58" t="str">
            <v>첨     부 :</v>
          </cell>
        </row>
      </sheetData>
      <sheetData sheetId="371">
        <row r="58">
          <cell r="A58" t="str">
            <v>첨     부 :</v>
          </cell>
        </row>
      </sheetData>
      <sheetData sheetId="372">
        <row r="58">
          <cell r="A58" t="str">
            <v>첨     부 :</v>
          </cell>
        </row>
      </sheetData>
      <sheetData sheetId="373">
        <row r="58">
          <cell r="A58" t="str">
            <v>첨     부 :</v>
          </cell>
        </row>
      </sheetData>
      <sheetData sheetId="374">
        <row r="58">
          <cell r="A58" t="str">
            <v>첨     부 :</v>
          </cell>
        </row>
      </sheetData>
      <sheetData sheetId="375">
        <row r="58">
          <cell r="A58" t="str">
            <v>첨     부 :</v>
          </cell>
        </row>
      </sheetData>
      <sheetData sheetId="376">
        <row r="58">
          <cell r="A58" t="str">
            <v>첨     부 :</v>
          </cell>
        </row>
      </sheetData>
      <sheetData sheetId="377">
        <row r="58">
          <cell r="A58" t="str">
            <v>첨     부 :</v>
          </cell>
        </row>
      </sheetData>
      <sheetData sheetId="378">
        <row r="58">
          <cell r="A58" t="str">
            <v>첨     부 :</v>
          </cell>
        </row>
      </sheetData>
      <sheetData sheetId="379">
        <row r="58">
          <cell r="A58" t="str">
            <v>첨     부 :</v>
          </cell>
        </row>
      </sheetData>
      <sheetData sheetId="380">
        <row r="58">
          <cell r="A58" t="str">
            <v>첨     부 :</v>
          </cell>
        </row>
      </sheetData>
      <sheetData sheetId="381">
        <row r="58">
          <cell r="A58" t="str">
            <v>첨     부 :</v>
          </cell>
        </row>
      </sheetData>
      <sheetData sheetId="382">
        <row r="58">
          <cell r="A58" t="str">
            <v>첨     부 :</v>
          </cell>
        </row>
      </sheetData>
      <sheetData sheetId="383">
        <row r="58">
          <cell r="A58" t="str">
            <v>첨     부 :</v>
          </cell>
        </row>
      </sheetData>
      <sheetData sheetId="384">
        <row r="58">
          <cell r="A58" t="str">
            <v>첨     부 :</v>
          </cell>
        </row>
      </sheetData>
      <sheetData sheetId="385">
        <row r="58">
          <cell r="A58" t="str">
            <v>첨     부 :</v>
          </cell>
        </row>
      </sheetData>
      <sheetData sheetId="386">
        <row r="58">
          <cell r="A58" t="str">
            <v>첨     부 :</v>
          </cell>
        </row>
      </sheetData>
      <sheetData sheetId="387">
        <row r="58">
          <cell r="A58" t="str">
            <v>첨     부 :</v>
          </cell>
        </row>
      </sheetData>
      <sheetData sheetId="388">
        <row r="58">
          <cell r="A58" t="str">
            <v>첨     부 :</v>
          </cell>
        </row>
      </sheetData>
      <sheetData sheetId="389">
        <row r="58">
          <cell r="A58" t="str">
            <v>첨     부 :</v>
          </cell>
        </row>
      </sheetData>
      <sheetData sheetId="390">
        <row r="58">
          <cell r="A58" t="str">
            <v>첨     부 :</v>
          </cell>
        </row>
      </sheetData>
      <sheetData sheetId="391">
        <row r="58">
          <cell r="A58" t="str">
            <v>첨     부 :</v>
          </cell>
        </row>
      </sheetData>
      <sheetData sheetId="392">
        <row r="58">
          <cell r="A58" t="str">
            <v>첨     부 :</v>
          </cell>
        </row>
      </sheetData>
      <sheetData sheetId="393">
        <row r="58">
          <cell r="A58" t="str">
            <v>첨     부 :</v>
          </cell>
        </row>
      </sheetData>
      <sheetData sheetId="394">
        <row r="58">
          <cell r="A58" t="str">
            <v>첨     부 :</v>
          </cell>
        </row>
      </sheetData>
      <sheetData sheetId="395">
        <row r="58">
          <cell r="A58" t="str">
            <v>첨     부 :</v>
          </cell>
        </row>
      </sheetData>
      <sheetData sheetId="396">
        <row r="58">
          <cell r="A58" t="str">
            <v>첨     부 :</v>
          </cell>
        </row>
      </sheetData>
      <sheetData sheetId="397">
        <row r="58">
          <cell r="A58" t="str">
            <v>첨     부 :</v>
          </cell>
        </row>
      </sheetData>
      <sheetData sheetId="398">
        <row r="58">
          <cell r="A58" t="str">
            <v>첨     부 :</v>
          </cell>
        </row>
      </sheetData>
      <sheetData sheetId="399">
        <row r="58">
          <cell r="A58" t="str">
            <v>첨     부 :</v>
          </cell>
        </row>
      </sheetData>
      <sheetData sheetId="400">
        <row r="58">
          <cell r="A58" t="str">
            <v>첨     부 :</v>
          </cell>
        </row>
      </sheetData>
      <sheetData sheetId="401">
        <row r="58">
          <cell r="A58" t="str">
            <v>첨     부 :</v>
          </cell>
        </row>
      </sheetData>
      <sheetData sheetId="402">
        <row r="58">
          <cell r="A58" t="str">
            <v>첨     부 :</v>
          </cell>
        </row>
      </sheetData>
      <sheetData sheetId="403">
        <row r="58">
          <cell r="A58" t="str">
            <v>첨     부 :</v>
          </cell>
        </row>
      </sheetData>
      <sheetData sheetId="404">
        <row r="58">
          <cell r="A58" t="str">
            <v>첨     부 :</v>
          </cell>
        </row>
      </sheetData>
      <sheetData sheetId="405">
        <row r="58">
          <cell r="A58" t="str">
            <v>첨     부 :</v>
          </cell>
        </row>
      </sheetData>
      <sheetData sheetId="406">
        <row r="58">
          <cell r="A58" t="str">
            <v>첨     부 :</v>
          </cell>
        </row>
      </sheetData>
      <sheetData sheetId="407">
        <row r="58">
          <cell r="A58" t="str">
            <v>첨     부 :</v>
          </cell>
        </row>
      </sheetData>
      <sheetData sheetId="408">
        <row r="58">
          <cell r="A58" t="str">
            <v>첨     부 :</v>
          </cell>
        </row>
      </sheetData>
      <sheetData sheetId="409">
        <row r="58">
          <cell r="A58" t="str">
            <v>첨     부 :</v>
          </cell>
        </row>
      </sheetData>
      <sheetData sheetId="410">
        <row r="58">
          <cell r="A58" t="str">
            <v>첨     부 :</v>
          </cell>
        </row>
      </sheetData>
      <sheetData sheetId="411">
        <row r="58">
          <cell r="A58" t="str">
            <v>첨     부 :</v>
          </cell>
        </row>
      </sheetData>
      <sheetData sheetId="412">
        <row r="58">
          <cell r="A58" t="str">
            <v>첨     부 :</v>
          </cell>
        </row>
      </sheetData>
      <sheetData sheetId="413">
        <row r="58">
          <cell r="A58" t="str">
            <v>첨     부 :</v>
          </cell>
        </row>
      </sheetData>
      <sheetData sheetId="414">
        <row r="58">
          <cell r="A58" t="str">
            <v>첨     부 :</v>
          </cell>
        </row>
      </sheetData>
      <sheetData sheetId="415">
        <row r="58">
          <cell r="A58" t="str">
            <v>첨     부 :</v>
          </cell>
        </row>
      </sheetData>
      <sheetData sheetId="416">
        <row r="58">
          <cell r="A58" t="str">
            <v>첨     부 :</v>
          </cell>
        </row>
      </sheetData>
      <sheetData sheetId="417">
        <row r="58">
          <cell r="A58" t="str">
            <v>첨     부 :</v>
          </cell>
        </row>
      </sheetData>
      <sheetData sheetId="418">
        <row r="58">
          <cell r="A58" t="str">
            <v>첨     부 :</v>
          </cell>
        </row>
      </sheetData>
      <sheetData sheetId="419">
        <row r="58">
          <cell r="A58" t="str">
            <v>첨     부 :</v>
          </cell>
        </row>
      </sheetData>
      <sheetData sheetId="420">
        <row r="58">
          <cell r="A58" t="str">
            <v>첨     부 :</v>
          </cell>
        </row>
      </sheetData>
      <sheetData sheetId="421">
        <row r="58">
          <cell r="A58" t="str">
            <v>첨     부 :</v>
          </cell>
        </row>
      </sheetData>
      <sheetData sheetId="422">
        <row r="58">
          <cell r="A58" t="str">
            <v>첨     부 :</v>
          </cell>
        </row>
      </sheetData>
      <sheetData sheetId="423">
        <row r="58">
          <cell r="A58" t="str">
            <v>첨     부 :</v>
          </cell>
        </row>
      </sheetData>
      <sheetData sheetId="424">
        <row r="58">
          <cell r="A58" t="str">
            <v>첨     부 :</v>
          </cell>
        </row>
      </sheetData>
      <sheetData sheetId="425">
        <row r="58">
          <cell r="A58" t="str">
            <v>첨     부 :</v>
          </cell>
        </row>
      </sheetData>
      <sheetData sheetId="426">
        <row r="58">
          <cell r="A58" t="str">
            <v>첨     부 :</v>
          </cell>
        </row>
      </sheetData>
      <sheetData sheetId="427">
        <row r="58">
          <cell r="A58" t="str">
            <v>첨     부 :</v>
          </cell>
        </row>
      </sheetData>
      <sheetData sheetId="428">
        <row r="58">
          <cell r="A58" t="str">
            <v>첨     부 :</v>
          </cell>
        </row>
      </sheetData>
      <sheetData sheetId="429">
        <row r="58">
          <cell r="A58" t="str">
            <v>첨     부 :</v>
          </cell>
        </row>
      </sheetData>
      <sheetData sheetId="430">
        <row r="58">
          <cell r="A58" t="str">
            <v>첨     부 :</v>
          </cell>
        </row>
      </sheetData>
      <sheetData sheetId="431">
        <row r="58">
          <cell r="A58" t="str">
            <v>첨     부 :</v>
          </cell>
        </row>
      </sheetData>
      <sheetData sheetId="432">
        <row r="58">
          <cell r="A58" t="str">
            <v>첨     부 :</v>
          </cell>
        </row>
      </sheetData>
      <sheetData sheetId="433">
        <row r="58">
          <cell r="A58" t="str">
            <v>첨     부 :</v>
          </cell>
        </row>
      </sheetData>
      <sheetData sheetId="434">
        <row r="58">
          <cell r="A58" t="str">
            <v>첨     부 :</v>
          </cell>
        </row>
      </sheetData>
      <sheetData sheetId="435">
        <row r="58">
          <cell r="A58" t="str">
            <v>첨     부 :</v>
          </cell>
        </row>
      </sheetData>
      <sheetData sheetId="436">
        <row r="58">
          <cell r="A58" t="str">
            <v>첨     부 :</v>
          </cell>
        </row>
      </sheetData>
      <sheetData sheetId="437">
        <row r="58">
          <cell r="A58" t="str">
            <v>첨     부 :</v>
          </cell>
        </row>
      </sheetData>
      <sheetData sheetId="438">
        <row r="58">
          <cell r="A58" t="str">
            <v>첨     부 :</v>
          </cell>
        </row>
      </sheetData>
      <sheetData sheetId="439">
        <row r="58">
          <cell r="A58" t="str">
            <v>첨     부 :</v>
          </cell>
        </row>
      </sheetData>
      <sheetData sheetId="440">
        <row r="58">
          <cell r="A58" t="str">
            <v>첨     부 :</v>
          </cell>
        </row>
      </sheetData>
      <sheetData sheetId="441">
        <row r="58">
          <cell r="A58" t="str">
            <v>첨     부 :</v>
          </cell>
        </row>
      </sheetData>
      <sheetData sheetId="442">
        <row r="58">
          <cell r="A58" t="str">
            <v>첨     부 :</v>
          </cell>
        </row>
      </sheetData>
      <sheetData sheetId="443">
        <row r="58">
          <cell r="A58" t="str">
            <v>첨     부 :</v>
          </cell>
        </row>
      </sheetData>
      <sheetData sheetId="444">
        <row r="58">
          <cell r="A58" t="str">
            <v>첨     부 :</v>
          </cell>
        </row>
      </sheetData>
      <sheetData sheetId="445">
        <row r="58">
          <cell r="A58" t="str">
            <v>첨     부 :</v>
          </cell>
        </row>
      </sheetData>
      <sheetData sheetId="446">
        <row r="58">
          <cell r="A58" t="str">
            <v>첨     부 :</v>
          </cell>
        </row>
      </sheetData>
      <sheetData sheetId="447">
        <row r="58">
          <cell r="A58" t="str">
            <v>첨     부 :</v>
          </cell>
        </row>
      </sheetData>
      <sheetData sheetId="448">
        <row r="58">
          <cell r="A58" t="str">
            <v>첨     부 :</v>
          </cell>
        </row>
      </sheetData>
      <sheetData sheetId="449">
        <row r="58">
          <cell r="A58" t="str">
            <v>첨     부 :</v>
          </cell>
        </row>
      </sheetData>
      <sheetData sheetId="450">
        <row r="58">
          <cell r="A58" t="str">
            <v>첨     부 :</v>
          </cell>
        </row>
      </sheetData>
      <sheetData sheetId="451">
        <row r="58">
          <cell r="A58" t="str">
            <v>첨     부 :</v>
          </cell>
        </row>
      </sheetData>
      <sheetData sheetId="452">
        <row r="58">
          <cell r="A58" t="str">
            <v>첨     부 :</v>
          </cell>
        </row>
      </sheetData>
      <sheetData sheetId="453">
        <row r="58">
          <cell r="A58" t="str">
            <v>첨     부 :</v>
          </cell>
        </row>
      </sheetData>
      <sheetData sheetId="454">
        <row r="58">
          <cell r="A58" t="str">
            <v>첨     부 :</v>
          </cell>
        </row>
      </sheetData>
      <sheetData sheetId="455">
        <row r="58">
          <cell r="A58" t="str">
            <v>첨     부 :</v>
          </cell>
        </row>
      </sheetData>
      <sheetData sheetId="456">
        <row r="58">
          <cell r="A58" t="str">
            <v>첨     부 :</v>
          </cell>
        </row>
      </sheetData>
      <sheetData sheetId="457">
        <row r="58">
          <cell r="A58" t="str">
            <v>첨     부 :</v>
          </cell>
        </row>
      </sheetData>
      <sheetData sheetId="458">
        <row r="58">
          <cell r="A58" t="str">
            <v>첨     부 :</v>
          </cell>
        </row>
      </sheetData>
      <sheetData sheetId="459">
        <row r="58">
          <cell r="A58" t="str">
            <v>첨     부 :</v>
          </cell>
        </row>
      </sheetData>
      <sheetData sheetId="460">
        <row r="58">
          <cell r="A58" t="str">
            <v>첨     부 :</v>
          </cell>
        </row>
      </sheetData>
      <sheetData sheetId="461">
        <row r="58">
          <cell r="A58" t="str">
            <v>첨     부 :</v>
          </cell>
        </row>
      </sheetData>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ow r="58">
          <cell r="A58" t="str">
            <v>첨     부 :</v>
          </cell>
        </row>
      </sheetData>
      <sheetData sheetId="509">
        <row r="58">
          <cell r="A58" t="str">
            <v>첨     부 :</v>
          </cell>
        </row>
      </sheetData>
      <sheetData sheetId="510">
        <row r="58">
          <cell r="A58" t="str">
            <v>첨     부 :</v>
          </cell>
        </row>
      </sheetData>
      <sheetData sheetId="511">
        <row r="58">
          <cell r="A58" t="str">
            <v>첨     부 :</v>
          </cell>
        </row>
      </sheetData>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ow r="58">
          <cell r="A58">
            <v>0</v>
          </cell>
        </row>
      </sheetData>
      <sheetData sheetId="529" refreshError="1"/>
      <sheetData sheetId="530" refreshError="1"/>
      <sheetData sheetId="531">
        <row r="58">
          <cell r="A58">
            <v>0</v>
          </cell>
        </row>
      </sheetData>
      <sheetData sheetId="532">
        <row r="58">
          <cell r="A58">
            <v>0</v>
          </cell>
        </row>
      </sheetData>
      <sheetData sheetId="533">
        <row r="58">
          <cell r="A58">
            <v>0</v>
          </cell>
        </row>
      </sheetData>
      <sheetData sheetId="534">
        <row r="58">
          <cell r="A58">
            <v>0</v>
          </cell>
        </row>
      </sheetData>
      <sheetData sheetId="535">
        <row r="58">
          <cell r="A58">
            <v>0</v>
          </cell>
        </row>
      </sheetData>
      <sheetData sheetId="536">
        <row r="58">
          <cell r="A58">
            <v>0</v>
          </cell>
        </row>
      </sheetData>
      <sheetData sheetId="537">
        <row r="58">
          <cell r="A58">
            <v>0</v>
          </cell>
        </row>
      </sheetData>
      <sheetData sheetId="538">
        <row r="58">
          <cell r="A58">
            <v>0</v>
          </cell>
        </row>
      </sheetData>
      <sheetData sheetId="539">
        <row r="58">
          <cell r="A58" t="str">
            <v>첨     부 :</v>
          </cell>
        </row>
      </sheetData>
      <sheetData sheetId="540">
        <row r="58">
          <cell r="A58">
            <v>0</v>
          </cell>
        </row>
      </sheetData>
      <sheetData sheetId="541">
        <row r="58">
          <cell r="A58">
            <v>0</v>
          </cell>
        </row>
      </sheetData>
      <sheetData sheetId="542">
        <row r="58">
          <cell r="A58" t="str">
            <v>첨     부 :</v>
          </cell>
        </row>
      </sheetData>
      <sheetData sheetId="543">
        <row r="58">
          <cell r="A58">
            <v>0</v>
          </cell>
        </row>
      </sheetData>
      <sheetData sheetId="544">
        <row r="58">
          <cell r="A58" t="str">
            <v>첨     부 :</v>
          </cell>
        </row>
      </sheetData>
      <sheetData sheetId="545">
        <row r="58">
          <cell r="A58" t="str">
            <v>첨     부 :</v>
          </cell>
        </row>
      </sheetData>
      <sheetData sheetId="546">
        <row r="58">
          <cell r="A58">
            <v>0</v>
          </cell>
        </row>
      </sheetData>
      <sheetData sheetId="547">
        <row r="58">
          <cell r="A58">
            <v>0</v>
          </cell>
        </row>
      </sheetData>
      <sheetData sheetId="548">
        <row r="58">
          <cell r="A58">
            <v>0</v>
          </cell>
        </row>
      </sheetData>
      <sheetData sheetId="549">
        <row r="58">
          <cell r="A58" t="str">
            <v>첨     부 :</v>
          </cell>
        </row>
      </sheetData>
      <sheetData sheetId="550">
        <row r="58">
          <cell r="A58">
            <v>0</v>
          </cell>
        </row>
      </sheetData>
      <sheetData sheetId="551">
        <row r="58">
          <cell r="A58" t="str">
            <v>첨     부 :</v>
          </cell>
        </row>
      </sheetData>
      <sheetData sheetId="552">
        <row r="58">
          <cell r="A58" t="str">
            <v>첨     부 :</v>
          </cell>
        </row>
      </sheetData>
      <sheetData sheetId="553">
        <row r="58">
          <cell r="A58">
            <v>0</v>
          </cell>
        </row>
      </sheetData>
      <sheetData sheetId="554">
        <row r="58">
          <cell r="A58" t="str">
            <v>첨     부 :</v>
          </cell>
        </row>
      </sheetData>
      <sheetData sheetId="555">
        <row r="58">
          <cell r="A58" t="str">
            <v>첨     부 :</v>
          </cell>
        </row>
      </sheetData>
      <sheetData sheetId="556">
        <row r="58">
          <cell r="A58" t="str">
            <v>첨     부 :</v>
          </cell>
        </row>
      </sheetData>
      <sheetData sheetId="557">
        <row r="58">
          <cell r="A58" t="str">
            <v>첨     부 :</v>
          </cell>
        </row>
      </sheetData>
      <sheetData sheetId="558">
        <row r="58">
          <cell r="A58" t="str">
            <v>첨     부 :</v>
          </cell>
        </row>
      </sheetData>
      <sheetData sheetId="559">
        <row r="58">
          <cell r="A58" t="str">
            <v>첨     부 :</v>
          </cell>
        </row>
      </sheetData>
      <sheetData sheetId="560">
        <row r="58">
          <cell r="A58" t="str">
            <v>첨     부 :</v>
          </cell>
        </row>
      </sheetData>
      <sheetData sheetId="561">
        <row r="58">
          <cell r="A58" t="str">
            <v>첨     부 :</v>
          </cell>
        </row>
      </sheetData>
      <sheetData sheetId="562">
        <row r="58">
          <cell r="A58" t="str">
            <v>첨     부 :</v>
          </cell>
        </row>
      </sheetData>
      <sheetData sheetId="563">
        <row r="58">
          <cell r="A58" t="str">
            <v>첨     부 :</v>
          </cell>
        </row>
      </sheetData>
      <sheetData sheetId="564">
        <row r="58">
          <cell r="A58" t="str">
            <v>첨     부 :</v>
          </cell>
        </row>
      </sheetData>
      <sheetData sheetId="565">
        <row r="58">
          <cell r="A58" t="str">
            <v>첨     부 :</v>
          </cell>
        </row>
      </sheetData>
      <sheetData sheetId="566">
        <row r="58">
          <cell r="A58" t="str">
            <v>첨     부 :</v>
          </cell>
        </row>
      </sheetData>
      <sheetData sheetId="567">
        <row r="58">
          <cell r="A58" t="str">
            <v>첨     부 :</v>
          </cell>
        </row>
      </sheetData>
      <sheetData sheetId="568">
        <row r="58">
          <cell r="A58" t="str">
            <v>첨     부 :</v>
          </cell>
        </row>
      </sheetData>
      <sheetData sheetId="569">
        <row r="58">
          <cell r="A58" t="str">
            <v>첨     부 :</v>
          </cell>
        </row>
      </sheetData>
      <sheetData sheetId="570">
        <row r="58">
          <cell r="A58">
            <v>0</v>
          </cell>
        </row>
      </sheetData>
      <sheetData sheetId="571">
        <row r="58">
          <cell r="A58" t="str">
            <v>첨     부 :</v>
          </cell>
        </row>
      </sheetData>
      <sheetData sheetId="572">
        <row r="58">
          <cell r="A58" t="str">
            <v>첨     부 :</v>
          </cell>
        </row>
      </sheetData>
      <sheetData sheetId="573">
        <row r="58">
          <cell r="A58" t="str">
            <v>첨     부 :</v>
          </cell>
        </row>
      </sheetData>
      <sheetData sheetId="574">
        <row r="58">
          <cell r="A58" t="str">
            <v>첨     부 :</v>
          </cell>
        </row>
      </sheetData>
      <sheetData sheetId="575">
        <row r="58">
          <cell r="A58" t="str">
            <v>첨     부 :</v>
          </cell>
        </row>
      </sheetData>
      <sheetData sheetId="576">
        <row r="58">
          <cell r="A58" t="str">
            <v>첨     부 :</v>
          </cell>
        </row>
      </sheetData>
      <sheetData sheetId="577">
        <row r="58">
          <cell r="A58">
            <v>0</v>
          </cell>
        </row>
      </sheetData>
      <sheetData sheetId="578">
        <row r="58">
          <cell r="A58">
            <v>0</v>
          </cell>
        </row>
      </sheetData>
      <sheetData sheetId="579">
        <row r="58">
          <cell r="A58" t="str">
            <v>첨     부 :</v>
          </cell>
        </row>
      </sheetData>
      <sheetData sheetId="580">
        <row r="58">
          <cell r="A58" t="str">
            <v>첨     부 :</v>
          </cell>
        </row>
      </sheetData>
      <sheetData sheetId="581">
        <row r="58">
          <cell r="A58">
            <v>0</v>
          </cell>
        </row>
      </sheetData>
      <sheetData sheetId="582">
        <row r="58">
          <cell r="A58" t="str">
            <v>첨     부 :</v>
          </cell>
        </row>
      </sheetData>
      <sheetData sheetId="583">
        <row r="58">
          <cell r="A58">
            <v>0</v>
          </cell>
        </row>
      </sheetData>
      <sheetData sheetId="584">
        <row r="58">
          <cell r="A58">
            <v>0</v>
          </cell>
        </row>
      </sheetData>
      <sheetData sheetId="585">
        <row r="58">
          <cell r="A58">
            <v>0</v>
          </cell>
        </row>
      </sheetData>
      <sheetData sheetId="586">
        <row r="58">
          <cell r="A58">
            <v>0</v>
          </cell>
        </row>
      </sheetData>
      <sheetData sheetId="587">
        <row r="58">
          <cell r="A58">
            <v>0</v>
          </cell>
        </row>
      </sheetData>
      <sheetData sheetId="588">
        <row r="58">
          <cell r="A58">
            <v>0</v>
          </cell>
        </row>
      </sheetData>
      <sheetData sheetId="589">
        <row r="58">
          <cell r="A58">
            <v>0</v>
          </cell>
        </row>
      </sheetData>
      <sheetData sheetId="590">
        <row r="58">
          <cell r="A58">
            <v>0</v>
          </cell>
        </row>
      </sheetData>
      <sheetData sheetId="591">
        <row r="58">
          <cell r="A58">
            <v>0</v>
          </cell>
        </row>
      </sheetData>
      <sheetData sheetId="592">
        <row r="58">
          <cell r="A58">
            <v>0</v>
          </cell>
        </row>
      </sheetData>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sheetData sheetId="662"/>
      <sheetData sheetId="663"/>
      <sheetData sheetId="664"/>
      <sheetData sheetId="665">
        <row r="58">
          <cell r="A58" t="str">
            <v>첨     부 :</v>
          </cell>
        </row>
      </sheetData>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sheetData sheetId="716"/>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row r="58">
          <cell r="A58" t="str">
            <v>첨     부 :</v>
          </cell>
        </row>
      </sheetData>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sheetData sheetId="962"/>
      <sheetData sheetId="963"/>
      <sheetData sheetId="964">
        <row r="58">
          <cell r="A58" t="str">
            <v>첨     부 :</v>
          </cell>
        </row>
      </sheetData>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
      <sheetName val="Content"/>
      <sheetName val="Project Outline"/>
      <sheetName val="주요공사"/>
      <sheetName val="Contractual Amount"/>
      <sheetName val="시헹예산"/>
      <sheetName val="TENDER vs BUDGET"/>
      <sheetName val="직영 vs 하청 - 2"/>
      <sheetName val="96 당초Schedule"/>
      <sheetName val="96 Performance"/>
      <sheetName val="소화-투입 분석표"/>
      <sheetName val="STF ORG(K)"/>
      <sheetName val="Staff Org. Chart"/>
      <sheetName val="Scope of Work"/>
      <sheetName val="Design Status"/>
      <sheetName val="DWG Status"/>
      <sheetName val="MAT'L Status"/>
      <sheetName val="장비동원"/>
      <sheetName val="근로자동원"/>
      <sheetName val="Install Status"/>
      <sheetName val="Staff Mob. Plan"/>
      <sheetName val="M.P Mob. Plan"/>
      <sheetName val="Eq. Mobilization"/>
      <sheetName val="Eq_ Mobilization"/>
      <sheetName val="수입"/>
      <sheetName val="유림골조"/>
      <sheetName val="Sheet1"/>
      <sheetName val="VC2 9.98"/>
      <sheetName val="공통비총괄표"/>
      <sheetName val="11월 실적"/>
      <sheetName val="내역서"/>
      <sheetName val="h-013211-2"/>
      <sheetName val="slipsumpR"/>
      <sheetName val="TUAS"/>
      <sheetName val="STAND20"/>
      <sheetName val="직원동원SCH"/>
      <sheetName val="#REF"/>
      <sheetName val="Cash2"/>
      <sheetName val="Z"/>
      <sheetName val="간접비 총괄표"/>
      <sheetName val="잡비계산"/>
      <sheetName val="손익차9월2"/>
      <sheetName val="VC2 8.98"/>
      <sheetName val="가제당공사비"/>
      <sheetName val="기초처리공사비"/>
      <sheetName val="복통공사비"/>
      <sheetName val="본제당공사비"/>
      <sheetName val="시험비"/>
      <sheetName val="자재대"/>
      <sheetName val="중기운반비"/>
      <sheetName val="진입도로공사비"/>
      <sheetName val="취수탑공사비"/>
      <sheetName val="토취장복구"/>
      <sheetName val="Sheet2"/>
      <sheetName val="기구조직"/>
      <sheetName val="데이타"/>
      <sheetName val="식재인부"/>
      <sheetName val="집계표(육상)"/>
      <sheetName val="지급자재"/>
      <sheetName val="집계표"/>
      <sheetName val="P.M 별"/>
      <sheetName val="개시전표"/>
      <sheetName val="공사집계"/>
      <sheetName val="카메라"/>
      <sheetName val="BM"/>
      <sheetName val="TOWER 12TON"/>
      <sheetName val="TOWER 10TON"/>
      <sheetName val="JIB CRANE,HOIST"/>
      <sheetName val="사업부배부A"/>
      <sheetName val="청산공사"/>
      <sheetName val="금액내역서"/>
      <sheetName val="8.PILE  (돌출)"/>
      <sheetName val="6PILE  (돌출)"/>
      <sheetName val="예정(3)"/>
      <sheetName val="기준"/>
      <sheetName val="PRO_DCI"/>
      <sheetName val="ELEC_DCI"/>
      <sheetName val="INST_DCI"/>
      <sheetName val="2000.11월설계내역"/>
      <sheetName val="발주코드"/>
      <sheetName val="주관사업"/>
      <sheetName val="수주추진리스트"/>
      <sheetName val="TK판매비impact"/>
      <sheetName val="TK판매비"/>
      <sheetName val="수주집계"/>
      <sheetName val="TK외판매비impact"/>
      <sheetName val="Vendors"/>
      <sheetName val="운반"/>
      <sheetName val="단중"/>
      <sheetName val="품셈표"/>
      <sheetName val="을지"/>
      <sheetName val="안전장치"/>
      <sheetName val="HKDSUMM"/>
      <sheetName val="산거각호표"/>
      <sheetName val="Sheet4"/>
      <sheetName val="2.1.2예정공정율(칼라)"/>
      <sheetName val="D-623D"/>
      <sheetName val="TTL"/>
      <sheetName val="산근"/>
      <sheetName val="연돌일위집계"/>
      <sheetName val="업체별SV단가"/>
      <sheetName val="ITC현황"/>
      <sheetName val="ITC 현황"/>
      <sheetName val="일위대가"/>
      <sheetName val="가격조사서"/>
      <sheetName val="대비표(실행)"/>
      <sheetName val="현장관리비증감내역"/>
      <sheetName val="부대공사비(실행)"/>
      <sheetName val="내역서(ITC)"/>
      <sheetName val="1.1 Overall Progress"/>
      <sheetName val="Cover_Sheet"/>
      <sheetName val="Project_Outline"/>
      <sheetName val="Contractual_Amount"/>
      <sheetName val="TENDER_vs_BUDGET"/>
      <sheetName val="직영_vs_하청_-_2"/>
      <sheetName val="96_당초Schedule"/>
      <sheetName val="96_Performance"/>
      <sheetName val="소화-투입_분석표"/>
      <sheetName val="STF_ORG(K)"/>
      <sheetName val="Staff_Org__Chart"/>
      <sheetName val="Scope_of_Work"/>
      <sheetName val="Design_Status"/>
      <sheetName val="DWG_Status"/>
      <sheetName val="MAT'L_Status"/>
      <sheetName val="Install_Status"/>
      <sheetName val="Staff_Mob__Plan"/>
      <sheetName val="M_P_Mob__Plan"/>
      <sheetName val="Eq__Mobilization"/>
      <sheetName val="Eq__Mobilization1"/>
      <sheetName val="VC2_9_98"/>
      <sheetName val="11월_실적"/>
      <sheetName val="간접비_총괄표"/>
      <sheetName val="VC2_8_98"/>
      <sheetName val="TOWER_12TON"/>
      <sheetName val="TOWER_10TON"/>
      <sheetName val="JIB_CRANE,HOIST"/>
      <sheetName val="4.0 (2)"/>
      <sheetName val="대비표"/>
      <sheetName val="집계표(OPTION)"/>
      <sheetName val="당초"/>
      <sheetName val="예가표"/>
      <sheetName val="지급제한자"/>
      <sheetName val="부대집계표(목표반영)"/>
      <sheetName val="단가대비표"/>
      <sheetName val="일위대가(가설)"/>
      <sheetName val="노임단가"/>
      <sheetName val="개요"/>
      <sheetName val="배수내역"/>
      <sheetName val="BQMPALOC"/>
      <sheetName val="15 문제점"/>
      <sheetName val="공사비집계"/>
      <sheetName val="_"/>
      <sheetName val="M-EQPT-Z"/>
      <sheetName val="B"/>
      <sheetName val="찍기"/>
      <sheetName val="REPORT07"/>
      <sheetName val="소화실적"/>
      <sheetName val="단가비교"/>
      <sheetName val="99년하반기"/>
      <sheetName val="매각(6)"/>
      <sheetName val="공문"/>
      <sheetName val="상반기손익차2총괄"/>
      <sheetName val="과제정의서"/>
      <sheetName val="Sheet7"/>
      <sheetName val="노동부"/>
      <sheetName val="5사남"/>
      <sheetName val="드롭다운"/>
      <sheetName val="BQMP"/>
      <sheetName val="Rate Analysis"/>
      <sheetName val="산출근거"/>
      <sheetName val="Disc WF (최종)"/>
      <sheetName val="Weekly WV %"/>
      <sheetName val="등급기준"/>
      <sheetName val="구분정의"/>
      <sheetName val="수지계산"/>
      <sheetName val="안산기계장치"/>
      <sheetName val="95삼성급(본사)"/>
      <sheetName val="차트 (2)"/>
      <sheetName val=""/>
      <sheetName val="업무분장"/>
      <sheetName val="Work Trade Code"/>
      <sheetName val="Sheet3"/>
      <sheetName val="목록 &amp; 환율표"/>
      <sheetName val="DHEQSUPT"/>
      <sheetName val="건설기계"/>
      <sheetName val="노임"/>
      <sheetName val="단가산출"/>
      <sheetName val="사급자재"/>
      <sheetName val="SHEET"/>
      <sheetName val="표지"/>
      <sheetName val="Cover_Sheet1"/>
      <sheetName val="Project_Outline1"/>
      <sheetName val="Contractual_Amount1"/>
      <sheetName val="TENDER_vs_BUDGET1"/>
      <sheetName val="직영_vs_하청_-_21"/>
      <sheetName val="96_당초Schedule1"/>
      <sheetName val="96_Performance1"/>
      <sheetName val="소화-투입_분석표1"/>
      <sheetName val="STF_ORG(K)1"/>
      <sheetName val="Staff_Org__Chart1"/>
      <sheetName val="Scope_of_Work1"/>
      <sheetName val="Design_Status1"/>
      <sheetName val="DWG_Status1"/>
      <sheetName val="MAT'L_Status1"/>
      <sheetName val="Install_Status1"/>
      <sheetName val="Staff_Mob__Plan1"/>
      <sheetName val="M_P_Mob__Plan1"/>
      <sheetName val="Eq__Mobilization2"/>
      <sheetName val="Eq__Mobilization3"/>
      <sheetName val="VC2_9_981"/>
      <sheetName val="11월_실적1"/>
      <sheetName val="간접비_총괄표1"/>
      <sheetName val="VC2_8_981"/>
      <sheetName val="TOWER_12TON1"/>
      <sheetName val="TOWER_10TON1"/>
      <sheetName val="JIB_CRANE,HOIST1"/>
      <sheetName val="P_M_별"/>
      <sheetName val="8_PILE__(돌출)"/>
      <sheetName val="6PILE__(돌출)"/>
      <sheetName val="2000_11월설계내역"/>
      <sheetName val="2_1_2예정공정율(칼라)"/>
      <sheetName val="1_1_Overall_Progress"/>
      <sheetName val="ITC_현황"/>
      <sheetName val="4_0_(2)"/>
      <sheetName val="토목"/>
      <sheetName val="인원계획"/>
      <sheetName val="연수원"/>
      <sheetName val="97년 SEACO예산"/>
      <sheetName val="영업소실적"/>
      <sheetName val="MEED"/>
      <sheetName val="목록"/>
      <sheetName val="DRUM"/>
      <sheetName val="4.3물량INDEX검토"/>
      <sheetName val="명부(최종)"/>
      <sheetName val="조합원세부항목(작업)"/>
      <sheetName val="50%"/>
      <sheetName val="명부"/>
      <sheetName val="공통부대비"/>
      <sheetName val="선택목록"/>
      <sheetName val="인력(현장,직원)"/>
      <sheetName val="실행내역"/>
      <sheetName val="제출계산서"/>
      <sheetName val="12CGOU"/>
      <sheetName val="Embank"/>
      <sheetName val="1.설계조건"/>
      <sheetName val="G.R300경비"/>
      <sheetName val="A-4"/>
      <sheetName val="8-31-98"/>
      <sheetName val="worksheet inchican"/>
      <sheetName val="combined 9-30"/>
      <sheetName val="입찰내역 발주처 양식"/>
      <sheetName val="0.간접비기준"/>
      <sheetName val="Lumpsum-1"/>
      <sheetName val="Lumpsum-3"/>
      <sheetName val="간접비(1)"/>
      <sheetName val="종후자산호수별가격"/>
      <sheetName val="경영현황"/>
      <sheetName val="내역"/>
      <sheetName val="BOJUNGGM"/>
      <sheetName val="A"/>
      <sheetName val="AC"/>
      <sheetName val="정형의견"/>
      <sheetName val="은행"/>
      <sheetName val="실행철강하도"/>
      <sheetName val="상 부"/>
      <sheetName val="목표세부명세"/>
      <sheetName val="수주현황2월"/>
      <sheetName val="환율"/>
      <sheetName val="4KEB"/>
      <sheetName val="4. 해외출장비"/>
      <sheetName val="p&amp;m"/>
      <sheetName val="1"/>
      <sheetName val="FitOutConfCentre"/>
      <sheetName val="BOQ"/>
      <sheetName val="PROGRAM"/>
      <sheetName val="CASHFLOW"/>
      <sheetName val="Perm. Test"/>
      <sheetName val="Daftar Sewa"/>
      <sheetName val="Peralatan"/>
      <sheetName val="Peralatan (2)"/>
      <sheetName val="Analisa Alat"/>
      <sheetName val="Option"/>
      <sheetName val="97 사업추정(WEKI)"/>
      <sheetName val="통합"/>
      <sheetName val="7.4 유가 변동 예비비"/>
      <sheetName val="공사비총괄표"/>
      <sheetName val="inter"/>
      <sheetName val="Parameter"/>
      <sheetName val="piedathot"/>
      <sheetName val="projcasflo"/>
      <sheetName val="금융"/>
      <sheetName val="jadw"/>
      <sheetName val="Dropdown"/>
      <sheetName val="Database"/>
      <sheetName val="Rate_Analysis"/>
      <sheetName val="15_문제점"/>
      <sheetName val="ESCON"/>
      <sheetName val="EE-PROP"/>
      <sheetName val="SG"/>
      <sheetName val="조도"/>
      <sheetName val="Grf"/>
      <sheetName val="1-Schedule"/>
      <sheetName val="0-Quantity"/>
      <sheetName val="실행예산SHEET도장재검토"/>
      <sheetName val="성광벤드"/>
      <sheetName val="GRP PIPING"/>
      <sheetName val="현장지지물물량"/>
      <sheetName val="Summary"/>
      <sheetName val="견적기준"/>
      <sheetName val="P-LIST"/>
      <sheetName val="물가자료"/>
      <sheetName val="2000년1차"/>
      <sheetName val="단가집"/>
      <sheetName val="전열면적"/>
      <sheetName val="SEPARATOR"/>
      <sheetName val="BM "/>
      <sheetName val="DWG LIST"/>
      <sheetName val="자격 땡겨오기"/>
      <sheetName val="VAE264_VALVES"/>
      <sheetName val="5.소재"/>
      <sheetName val="B101"/>
      <sheetName val="COA-17"/>
      <sheetName val="C-18"/>
      <sheetName val="MOB-MAN1"/>
      <sheetName val="예제"/>
      <sheetName val="기준표"/>
      <sheetName val="규격"/>
      <sheetName val="노점수분"/>
      <sheetName val="자재사용현황"/>
      <sheetName val="w't table"/>
      <sheetName val="INDEX"/>
      <sheetName val="DI-ESTI"/>
      <sheetName val="KH-Q1,Q2,01"/>
      <sheetName val="NYS"/>
      <sheetName val="CAT_5"/>
      <sheetName val="kich thuoc"/>
      <sheetName val="DTHH"/>
      <sheetName val="WE'T"/>
      <sheetName val="REDUCER"/>
      <sheetName val="임율 Data"/>
      <sheetName val="Lists"/>
      <sheetName val="REV 4"/>
      <sheetName val="COL"/>
      <sheetName val="Sheet5"/>
      <sheetName val="BEND LOSS"/>
      <sheetName val="CI "/>
      <sheetName val="CI"/>
      <sheetName val="FM"/>
      <sheetName val="추가예산"/>
      <sheetName val="Cover_Sheet2"/>
      <sheetName val="Project_Outline2"/>
      <sheetName val="Contractual_Amount2"/>
      <sheetName val="TENDER_vs_BUDGET2"/>
      <sheetName val="직영_vs_하청_-_22"/>
      <sheetName val="96_당초Schedule2"/>
      <sheetName val="96_Performance2"/>
      <sheetName val="소화-투입_분석표2"/>
      <sheetName val="STF_ORG(K)2"/>
      <sheetName val="Staff_Org__Chart2"/>
      <sheetName val="Scope_of_Work2"/>
      <sheetName val="Design_Status2"/>
      <sheetName val="DWG_Status2"/>
      <sheetName val="MAT'L_Status2"/>
      <sheetName val="Install_Status2"/>
      <sheetName val="Staff_Mob__Plan2"/>
      <sheetName val="M_P_Mob__Plan2"/>
      <sheetName val="Eq__Mobilization4"/>
      <sheetName val="Eq__Mobilization5"/>
      <sheetName val="VC2_9_982"/>
      <sheetName val="11월_실적2"/>
      <sheetName val="간접비_총괄표2"/>
      <sheetName val="VC2_8_982"/>
      <sheetName val="TOWER_12TON2"/>
      <sheetName val="TOWER_10TON2"/>
      <sheetName val="JIB_CRANE,HOIST2"/>
      <sheetName val="P_M_별1"/>
      <sheetName val="8_PILE__(돌출)1"/>
      <sheetName val="6PILE__(돌출)1"/>
      <sheetName val="2000_11월설계내역1"/>
      <sheetName val="2_1_2예정공정율(칼라)1"/>
      <sheetName val="1_1_Overall_Progress1"/>
      <sheetName val="ITC_현황1"/>
      <sheetName val="4_0_(2)1"/>
      <sheetName val="TRUCK HAUL CYCLE-waste"/>
      <sheetName val="Land Dev't. Ph-1"/>
      <sheetName val="Shut down"/>
      <sheetName val="Building"/>
      <sheetName val="Schedule S-Curve Revision#3"/>
      <sheetName val="Table"/>
      <sheetName val="Parameters"/>
      <sheetName val="0000"/>
      <sheetName val="GAE8'97"/>
      <sheetName val="03"/>
      <sheetName val="DESIGN"/>
      <sheetName val="DESBASTE"/>
      <sheetName val="Code 07"/>
      <sheetName val="1-G1"/>
      <sheetName val="CTEMCOST"/>
      <sheetName val="자바라1"/>
      <sheetName val="해외 연수비용 계산-삭제"/>
      <sheetName val="Wind Load(3.1) (2)"/>
      <sheetName val="Wind Load(3.2)"/>
      <sheetName val="Wind Load(3.4)"/>
      <sheetName val="Ord"/>
      <sheetName val="Key Data"/>
      <sheetName val="금융비용"/>
      <sheetName val="교각계산"/>
      <sheetName val="INPUT"/>
      <sheetName val="터파기및재료"/>
      <sheetName val="수안보-MBR1"/>
      <sheetName val="2.2 띠장의 설계"/>
      <sheetName val="시산표"/>
      <sheetName val="간지"/>
      <sheetName val="1_설계조건"/>
      <sheetName val="Disc_WF_(최종)"/>
      <sheetName val="Weekly_WV_%"/>
      <sheetName val="차트_(2)"/>
      <sheetName val="Work_Trade_Code"/>
      <sheetName val="목록_&amp;_환율표"/>
      <sheetName val="97년_SEACO예산"/>
      <sheetName val="상_부"/>
      <sheetName val="4_3물량INDEX검토"/>
      <sheetName val="G_R300경비"/>
      <sheetName val="worksheet_inchican"/>
      <sheetName val="combined_9-30"/>
      <sheetName val="입찰내역_발주처_양식"/>
      <sheetName val="0_간접비기준"/>
      <sheetName val="Labour"/>
      <sheetName val="Material"/>
      <sheetName val="Plant &amp;  Machinery"/>
      <sheetName val="_REF"/>
      <sheetName val="갑지"/>
      <sheetName val="Курсы"/>
      <sheetName val="Power &amp; control cables"/>
      <sheetName val="Earthing Cables "/>
      <sheetName val="tabulation of deductions"/>
      <sheetName val="Civilwks.Deriv"/>
      <sheetName val="Str.Deriv"/>
      <sheetName val="Existing PC Pavement"/>
      <sheetName val="Subgrade"/>
      <sheetName val="data"/>
      <sheetName val="2.223M_due to adj profit"/>
      <sheetName val="PROCURE"/>
      <sheetName val="Dico"/>
      <sheetName val="Cover"/>
      <sheetName val="Beams"/>
      <sheetName val="CABLE DATA"/>
      <sheetName val="laborrates"/>
      <sheetName val="100(4)"/>
      <sheetName val="GESTION FICHE"/>
      <sheetName val="TRADUCTION LISTES"/>
      <sheetName val="PSV2701F"/>
      <sheetName val="Costi di prod. E1 02"/>
      <sheetName val="breakdown"/>
      <sheetName val="RefG"/>
      <sheetName val="IRR sponsor"/>
      <sheetName val="CFA"/>
      <sheetName val="Material Price"/>
      <sheetName val="REBAR"/>
      <sheetName val="Assump (Time) - Project Co."/>
      <sheetName val="Arch"/>
      <sheetName val="Benchmark"/>
      <sheetName val="MOS"/>
      <sheetName val="지원시설 내역서(154kV)"/>
      <sheetName val="카5"/>
      <sheetName val="ELECTRIC"/>
      <sheetName val="page 6"/>
      <sheetName val="INSTR"/>
      <sheetName val="Piping Design Data"/>
      <sheetName val="Soil Parameter"/>
      <sheetName val="PCV"/>
      <sheetName val="Register"/>
      <sheetName val="Cashflow Analysis"/>
      <sheetName val="BILL"/>
      <sheetName val="DAF-4"/>
      <sheetName val="DHS AC"/>
      <sheetName val="DAF-5"/>
      <sheetName val="iTEM hARSAT"/>
      <sheetName val="analis standar(20m)"/>
      <sheetName val="ANAL BETON"/>
      <sheetName val="Pipe"/>
      <sheetName val="DESCRIPTION"/>
      <sheetName val="BM DATA SHEET"/>
      <sheetName val="BAG-III"/>
      <sheetName val="DATA PROYEK"/>
      <sheetName val="rab"/>
      <sheetName val="BA Evaluasi"/>
      <sheetName val="Permhnan CCO"/>
      <sheetName val="Persetujuan CCO"/>
      <sheetName val="Rekap MC"/>
      <sheetName val="Penyampaian Evaluasi"/>
      <sheetName val="R. RapatCCO"/>
      <sheetName val="DAFTAR HARGA"/>
      <sheetName val="Fill this out first..."/>
      <sheetName val="21"/>
      <sheetName val="analisa"/>
      <sheetName val="Master 1.0"/>
      <sheetName val="Bahan"/>
      <sheetName val="Code"/>
      <sheetName val="Default"/>
      <sheetName val="Rekap Addendum"/>
      <sheetName val="4-MVAC"/>
      <sheetName val="H.Satuan"/>
      <sheetName val="SEX"/>
      <sheetName val="7. Comparison of Asphalt etc"/>
      <sheetName val="harsat"/>
      <sheetName val="Div2"/>
      <sheetName val="Exterior"/>
      <sheetName val="Analisa Harga Satuan"/>
      <sheetName val="Hit Vol Str Jambi"/>
      <sheetName val="PE-F-33 Rev 02 Basic Proj.Info"/>
      <sheetName val="PE-F-31 Rev 01 Coversheet"/>
      <sheetName val=" PE-F-42 MR 9 Manpower"/>
      <sheetName val="AT 2"/>
      <sheetName val="615E101AB(CASE85F)"/>
      <sheetName val="BL"/>
      <sheetName val="FINAL"/>
      <sheetName val="RESUME"/>
      <sheetName val="DAPRO"/>
      <sheetName val="Mob"/>
      <sheetName val="DAFTAR ISI"/>
      <sheetName val="SUMMARY (2)"/>
      <sheetName val="CIVIL"/>
      <sheetName val="MEP"/>
      <sheetName val="QUOTATION"/>
      <sheetName val="石炭性状"/>
      <sheetName val="Takeoff"/>
      <sheetName val="N賃率-職"/>
      <sheetName val="Analisa (me)"/>
      <sheetName val="pro ra op"/>
      <sheetName val="grafik"/>
      <sheetName val="Indirect"/>
      <sheetName val="Rekap (2)"/>
      <sheetName val="Analisa Transport"/>
      <sheetName val="electrical Work Price List (2)"/>
      <sheetName val="ANALISA CABLE"/>
      <sheetName val="갑지(추정)"/>
      <sheetName val="조명시설"/>
      <sheetName val="TB"/>
      <sheetName val="BS"/>
      <sheetName val="부산제일극장"/>
      <sheetName val="Cover_Sheet3"/>
      <sheetName val="Project_Outline3"/>
      <sheetName val="Contractual_Amount3"/>
      <sheetName val="TENDER_vs_BUDGET3"/>
      <sheetName val="직영_vs_하청_-_23"/>
      <sheetName val="96_당초Schedule3"/>
      <sheetName val="96_Performance3"/>
      <sheetName val="소화-투입_분석표3"/>
      <sheetName val="STF_ORG(K)3"/>
      <sheetName val="Staff_Org__Chart3"/>
      <sheetName val="Scope_of_Work3"/>
      <sheetName val="Design_Status3"/>
      <sheetName val="DWG_Status3"/>
      <sheetName val="MAT'L_Status3"/>
      <sheetName val="Install_Status3"/>
      <sheetName val="Staff_Mob__Plan3"/>
      <sheetName val="M_P_Mob__Plan3"/>
      <sheetName val="Eq__Mobilization6"/>
      <sheetName val="Eq__Mobilization7"/>
      <sheetName val="VC2_9_983"/>
      <sheetName val="11월_실적3"/>
      <sheetName val="간접비_총괄표3"/>
      <sheetName val="VC2_8_983"/>
      <sheetName val="ITC_현황2"/>
      <sheetName val="TOWER_12TON3"/>
      <sheetName val="TOWER_10TON3"/>
      <sheetName val="P_M_별2"/>
      <sheetName val="JIB_CRANE,HOIST3"/>
      <sheetName val="8_PILE__(돌출)2"/>
      <sheetName val="6PILE__(돌출)2"/>
      <sheetName val="1_설계조건1"/>
      <sheetName val="2000_11월설계내역2"/>
      <sheetName val="2_1_2예정공정율(칼라)2"/>
      <sheetName val="1_1_Overall_Progress2"/>
      <sheetName val="4_0_(2)2"/>
      <sheetName val="15_문제점1"/>
      <sheetName val="Rate_Analysis1"/>
      <sheetName val="Disc_WF_(최종)1"/>
      <sheetName val="Weekly_WV_%1"/>
      <sheetName val="차트_(2)1"/>
      <sheetName val="Work_Trade_Code1"/>
      <sheetName val="목록_&amp;_환율표1"/>
      <sheetName val="97년_SEACO예산1"/>
      <sheetName val="4_3물량INDEX검토1"/>
      <sheetName val="G_R300경비1"/>
      <sheetName val="worksheet_inchican1"/>
      <sheetName val="combined_9-301"/>
      <sheetName val="입찰내역_발주처_양식1"/>
      <sheetName val="0_간접비기준1"/>
      <sheetName val="4__해외출장비"/>
      <sheetName val="상_부1"/>
      <sheetName val="Perm__Test"/>
      <sheetName val="Daftar_Sewa"/>
      <sheetName val="Peralatan_(2)"/>
      <sheetName val="Analisa_Alat"/>
      <sheetName val="97_사업추정(WEKI)"/>
      <sheetName val="7_4_유가_변동_예비비"/>
      <sheetName val="GRP_PIPING"/>
      <sheetName val="BM_"/>
      <sheetName val="DWG_LIST"/>
      <sheetName val="자격_땡겨오기"/>
      <sheetName val="5_소재"/>
      <sheetName val="w't_table"/>
      <sheetName val="kich_thuoc"/>
      <sheetName val="임율_Data"/>
      <sheetName val="REV_4"/>
      <sheetName val="BEND_LOSS"/>
      <sheetName val="CI_"/>
      <sheetName val="TRUCK_HAUL_CYCLE-waste"/>
      <sheetName val="Land_Dev't__Ph-1"/>
      <sheetName val="Shut_down"/>
      <sheetName val="Schedule_S-Curve_Revision#3"/>
      <sheetName val="Code_07"/>
      <sheetName val="해외_연수비용_계산-삭제"/>
      <sheetName val="Wind_Load(3_1)_(2)"/>
      <sheetName val="Wind_Load(3_2)"/>
      <sheetName val="Wind_Load(3_4)"/>
      <sheetName val="Key_Data"/>
      <sheetName val="2_2_띠장의_설계"/>
      <sheetName val="(110919)부산정관집단에너지사업차환현안검토.xlsx"/>
      <sheetName val="코드"/>
      <sheetName val="조정사유"/>
      <sheetName val="1-1"/>
      <sheetName val="Trade Summary"/>
      <sheetName val="BUR "/>
      <sheetName val="TSA"/>
      <sheetName val="15.Rd"/>
      <sheetName val="본선 토공 분배표"/>
      <sheetName val="Power_&amp;_control_cables"/>
      <sheetName val="Earthing_Cables_"/>
      <sheetName val="tabulation_of_deductions"/>
      <sheetName val="Civilwks_Deriv"/>
      <sheetName val="Str_Deriv"/>
      <sheetName val="Existing_PC_Pavement"/>
      <sheetName val="2_223M_due_to_adj_profit"/>
      <sheetName val="CABLE_DATA"/>
      <sheetName val="GESTION_FICHE"/>
      <sheetName val="TRADUCTION_LISTES"/>
      <sheetName val="Costi_di_prod__E1_02"/>
      <sheetName val="IRR_sponsor"/>
      <sheetName val="Material_Price"/>
      <sheetName val="Assump_(Time)_-_Project_Co_"/>
      <sheetName val="지원시설_내역서(154kV)"/>
      <sheetName val="F4-F7"/>
      <sheetName val="Cost Summary"/>
      <sheetName val="Sheet179"/>
      <sheetName val="지가변동률계산(2021.07"/>
      <sheetName val="FAB별"/>
      <sheetName val="수급집계"/>
      <sheetName val="전선봉양3호"/>
      <sheetName val="본사운영비"/>
      <sheetName val="2. 계정별 집계표"/>
      <sheetName val="Existing PC Pavem¬_x0000_Ԁ"/>
      <sheetName val="4_3물량INDEX검_x0000_"/>
      <sheetName val="단면 (2)"/>
      <sheetName val="Status by Codes"/>
      <sheetName val="MHRS"/>
      <sheetName val="UPH,BHN,ALT"/>
      <sheetName val="Analis harga"/>
      <sheetName val="UNIT 3"/>
      <sheetName val="Utility and Fire flange"/>
      <sheetName val="intr stool brkup"/>
      <sheetName val="대로근거"/>
      <sheetName val="중로근거"/>
      <sheetName val="1,2,3,4,5단위수량"/>
      <sheetName val="변경내역대비표(2)"/>
      <sheetName val="유림콘도"/>
      <sheetName val="Trans"/>
      <sheetName val="Raw Data"/>
      <sheetName val="cash budget"/>
      <sheetName val="Referencias"/>
      <sheetName val="OCT"/>
      <sheetName val="Material Selections"/>
      <sheetName val="Rates"/>
      <sheetName val="전기 BM_revA('090624).xls"/>
      <sheetName val="表二"/>
      <sheetName val="실행"/>
      <sheetName val="Sheet17"/>
      <sheetName val="PI"/>
      <sheetName val="Settings"/>
      <sheetName val="DWTables"/>
      <sheetName val="백분율"/>
      <sheetName val="D-3109"/>
      <sheetName val="4-Lane bridge"/>
      <sheetName val="(10) Other Costs5"/>
      <sheetName val="热力"/>
      <sheetName val="Cash Out Table"/>
      <sheetName val="Net Cash Table"/>
      <sheetName val="Item#9.3"/>
      <sheetName val="Item#1.9"/>
      <sheetName val="Item#6.7"/>
      <sheetName val="Item#2.6"/>
      <sheetName val="Item#4.10"/>
      <sheetName val="Item#5.8"/>
      <sheetName val="Item#7.21"/>
      <sheetName val="Item#3.8"/>
      <sheetName val="Item#8.7"/>
      <sheetName val="Equipt Rental"/>
      <sheetName val="05. VO Log (Master Data)"/>
      <sheetName val="마감물량"/>
      <sheetName val="BOQ segment3 (Part C-H)"/>
      <sheetName val="BOQ segment3 (PartB)"/>
      <sheetName val="eqpmt"/>
      <sheetName val="UPA(Part C,D,E,G,H)"/>
      <sheetName val="UPA(Part F)"/>
      <sheetName val="Materials"/>
      <sheetName val="일위대가 (Part C,D,E,G,H)"/>
      <sheetName val="float&amp;bear"/>
      <sheetName val="Kfracture"/>
      <sheetName val="worksheet"/>
      <sheetName val="268"/>
      <sheetName val="SUM"/>
      <sheetName val="HaulingLine hardware"/>
      <sheetName val="References"/>
      <sheetName val="품셈"/>
      <sheetName val="MP"/>
      <sheetName val="WTB-STAR CINEMA"/>
      <sheetName val="HSBC"/>
      <sheetName val="VC2 10.99"/>
      <sheetName val="personnel loading"/>
      <sheetName val="공사비SUM"/>
      <sheetName val="Insulation_Utl_Off"/>
      <sheetName val="Note_Piping"/>
      <sheetName val="Dir-Conc "/>
      <sheetName val="ﾄﾞﾊﾞｲFUEL GAS追見"/>
      <sheetName val="CapitalMetrics"/>
      <sheetName val="MATERIAL'S PRICE"/>
      <sheetName val="4300 UTILITY BLDG (2)"/>
      <sheetName val="Assumptions"/>
      <sheetName val="Others"/>
      <sheetName val="sum mdc"/>
      <sheetName val="Division 3000"/>
      <sheetName val="見管ＧＴ"/>
      <sheetName val="ABSTRACT"/>
      <sheetName val="CAL"/>
      <sheetName val="Report"/>
      <sheetName val="Price Summary (1)"/>
      <sheetName val="Price Summary (2)"/>
      <sheetName val="Résultats"/>
      <sheetName val="schbhn"/>
      <sheetName val="GKP"/>
      <sheetName val="schalt"/>
      <sheetName val="schtng"/>
      <sheetName val="costing_ESDV"/>
      <sheetName val="CashFlwProjections"/>
      <sheetName val="costing_Misc"/>
      <sheetName val="costing_MOV"/>
      <sheetName val="costing_Press"/>
      <sheetName val="경비2내역"/>
      <sheetName val="2.내역서"/>
      <sheetName val="REQ_REMARKS"/>
      <sheetName val="SPARE PART"/>
      <sheetName val="연환"/>
      <sheetName val="부서코드표"/>
      <sheetName val="ﾀｰﾋﾞﾝ"/>
      <sheetName val="Setup"/>
      <sheetName val="WXY"/>
      <sheetName val="입찰안"/>
      <sheetName val="도"/>
      <sheetName val="A7"/>
      <sheetName val="HFeed"/>
      <sheetName val="CAUDIT"/>
      <sheetName val="http___www35_daum_net_WIN98_T_2"/>
      <sheetName val="손익차총괄2"/>
      <sheetName val="기성내역"/>
      <sheetName val="Bill summary of cost"/>
      <sheetName val="DL"/>
      <sheetName val="RFP002"/>
      <sheetName val="분석"/>
      <sheetName val="ENE-CAL"/>
      <sheetName val="CAL1"/>
      <sheetName val="단면치수"/>
      <sheetName val="Sheet13"/>
      <sheetName val="A3"/>
      <sheetName val="Sheet14"/>
      <sheetName val="P-J"/>
      <sheetName val="Plant_&amp;__Machinery"/>
      <sheetName val="A.O.R."/>
      <sheetName val="U-RATE"/>
      <sheetName val="Cover_Sheet4"/>
      <sheetName val="Project_Outline4"/>
      <sheetName val="Contractual_Amount4"/>
      <sheetName val="TENDER_vs_BUDGET4"/>
      <sheetName val="직영_vs_하청_-_24"/>
      <sheetName val="96_당초Schedule4"/>
      <sheetName val="96_Performance4"/>
      <sheetName val="소화-투입_분석표4"/>
      <sheetName val="STF_ORG(K)4"/>
      <sheetName val="Staff_Org__Chart4"/>
      <sheetName val="Scope_of_Work4"/>
      <sheetName val="Design_Status4"/>
      <sheetName val="DWG_Status4"/>
      <sheetName val="MAT'L_Status4"/>
      <sheetName val="Install_Status4"/>
      <sheetName val="Staff_Mob__Plan4"/>
      <sheetName val="M_P_Mob__Plan4"/>
      <sheetName val="Eq__Mobilization8"/>
      <sheetName val="Eq__Mobilization9"/>
      <sheetName val="VC2_9_984"/>
      <sheetName val="11월_실적4"/>
      <sheetName val="간접비_총괄표4"/>
      <sheetName val="VC2_8_984"/>
      <sheetName val="P_M_별3"/>
      <sheetName val="TOWER_12TON4"/>
      <sheetName val="TOWER_10TON4"/>
      <sheetName val="JIB_CRANE,HOIST4"/>
      <sheetName val="8_PILE__(돌출)3"/>
      <sheetName val="6PILE__(돌출)3"/>
      <sheetName val="2000_11월설계내역3"/>
      <sheetName val="2_1_2예정공정율(칼라)3"/>
      <sheetName val="1_1_Overall_Progress3"/>
      <sheetName val="ITC_현황3"/>
      <sheetName val="4_0_(2)3"/>
      <sheetName val="15_문제점2"/>
      <sheetName val="Rate_Analysis2"/>
      <sheetName val="Disc_WF_(최종)2"/>
      <sheetName val="Weekly_WV_%2"/>
      <sheetName val="차트_(2)2"/>
      <sheetName val="Work_Trade_Code2"/>
      <sheetName val="목록_&amp;_환율표2"/>
      <sheetName val="97년_SEACO예산2"/>
      <sheetName val="4_3물량INDEX검토2"/>
      <sheetName val="G_R300경비2"/>
      <sheetName val="1_설계조건2"/>
      <sheetName val="worksheet_inchican2"/>
      <sheetName val="combined_9-302"/>
      <sheetName val="입찰내역_발주처_양식2"/>
      <sheetName val="0_간접비기준2"/>
      <sheetName val="상_부2"/>
      <sheetName val="4__해외출장비1"/>
      <sheetName val="Perm__Test1"/>
      <sheetName val="Daftar_Sewa1"/>
      <sheetName val="Peralatan_(2)1"/>
      <sheetName val="Analisa_Alat1"/>
      <sheetName val="97_사업추정(WEKI)1"/>
      <sheetName val="7_4_유가_변동_예비비1"/>
      <sheetName val="GRP_PIPING1"/>
      <sheetName val="BM_1"/>
      <sheetName val="DWG_LIST1"/>
      <sheetName val="자격_땡겨오기1"/>
      <sheetName val="5_소재1"/>
      <sheetName val="w't_table1"/>
      <sheetName val="kich_thuoc1"/>
      <sheetName val="임율_Data1"/>
      <sheetName val="REV_41"/>
      <sheetName val="BEND_LOSS1"/>
      <sheetName val="CI_1"/>
      <sheetName val="TRUCK_HAUL_CYCLE-waste1"/>
      <sheetName val="Land_Dev't__Ph-11"/>
      <sheetName val="Shut_down1"/>
      <sheetName val="Schedule_S-Curve_Revision#31"/>
      <sheetName val="Code_071"/>
      <sheetName val="해외_연수비용_계산-삭제1"/>
      <sheetName val="Wind_Load(3_1)_(2)1"/>
      <sheetName val="Wind_Load(3_2)1"/>
      <sheetName val="Wind_Load(3_4)1"/>
      <sheetName val="Key_Data1"/>
      <sheetName val="2_2_띠장의_설계1"/>
      <sheetName val="Power_&amp;_control_cables1"/>
      <sheetName val="Earthing_Cables_1"/>
      <sheetName val="tabulation_of_deductions1"/>
      <sheetName val="Civilwks_Deriv1"/>
      <sheetName val="Str_Deriv1"/>
      <sheetName val="Existing_PC_Pavement1"/>
      <sheetName val="2_223M_due_to_adj_profit1"/>
      <sheetName val="CABLE_DATA1"/>
      <sheetName val="GESTION_FICHE1"/>
      <sheetName val="TRADUCTION_LISTES1"/>
      <sheetName val="Costi_di_prod__E1_021"/>
      <sheetName val="IRR_sponsor1"/>
      <sheetName val="Material_Price1"/>
      <sheetName val="Assump_(Time)_-_Project_Co_1"/>
      <sheetName val="지원시설_내역서(154kV)1"/>
      <sheetName val="page_6"/>
      <sheetName val="Piping_Design_Data"/>
      <sheetName val="Soil_Parameter"/>
      <sheetName val="Cashflow_Analysis"/>
      <sheetName val="DHS_AC"/>
      <sheetName val="iTEM_hARSAT"/>
      <sheetName val="analis_standar(20m)"/>
      <sheetName val="ANAL_BETON"/>
      <sheetName val="BM_DATA_SHEET"/>
      <sheetName val="DATA_PROYEK"/>
      <sheetName val="BA_Evaluasi"/>
      <sheetName val="Permhnan_CCO"/>
      <sheetName val="Persetujuan_CCO"/>
      <sheetName val="Rekap_MC"/>
      <sheetName val="Penyampaian_Evaluasi"/>
      <sheetName val="R__RapatCCO"/>
      <sheetName val="DAFTAR_HARGA"/>
      <sheetName val="Fill_this_out_first___"/>
      <sheetName val="Master_1_0"/>
      <sheetName val="Rekap_Addendum"/>
      <sheetName val="H_Satuan"/>
      <sheetName val="7__Comparison_of_Asphalt_etc"/>
      <sheetName val="Analisa_Harga_Satuan"/>
      <sheetName val="Hit_Vol_Str_Jambi"/>
      <sheetName val="PE-F-33_Rev_02_Basic_Proj_Info"/>
      <sheetName val="PE-F-31_Rev_01_Coversheet"/>
      <sheetName val="_PE-F-42_MR_9_Manpower"/>
      <sheetName val="AT_2"/>
      <sheetName val="DAFTAR_ISI"/>
      <sheetName val="SUMMARY_(2)"/>
      <sheetName val="Analisa_(me)"/>
      <sheetName val="pro_ra_op"/>
      <sheetName val="Rekap_(2)"/>
      <sheetName val="Analisa_Transport"/>
      <sheetName val="electrical_Work_Price_List_(2)"/>
      <sheetName val="ANALISA_CABLE"/>
      <sheetName val="(110919)부산정관집단에너지사업차환현안검토_xlsx"/>
      <sheetName val="본선_토공_분배표"/>
      <sheetName val="Trade_Summary"/>
      <sheetName val="BUR_"/>
      <sheetName val="15_Rd"/>
      <sheetName val="Cost_Summary"/>
      <sheetName val="2__계정별_집계표"/>
      <sheetName val="지가변동률계산(2021_07"/>
      <sheetName val="단면_(2)"/>
      <sheetName val="Existing_PC_Pavem¬Ԁ"/>
      <sheetName val="Status_by_Codes"/>
      <sheetName val="Analis_harga"/>
      <sheetName val="UNIT_3"/>
      <sheetName val="Utility_and_Fire_flange"/>
      <sheetName val="intr_stool_brkup"/>
      <sheetName val="L3 -13FF (2)"/>
      <sheetName val="개시대사 (2)"/>
      <sheetName val="BALAN1"/>
      <sheetName val="electrical"/>
      <sheetName val="골조시행"/>
      <sheetName val="Budget"/>
      <sheetName val="UTILITIES"/>
      <sheetName val="wrksht"/>
      <sheetName val="Hac.Lots"/>
      <sheetName val="Res.Lots"/>
      <sheetName val="Spine Road"/>
      <sheetName val="excav"/>
      <sheetName val="formul"/>
      <sheetName val="STATUS REPORT"/>
      <sheetName val="5-Digit"/>
      <sheetName val="Cost-Buildup"/>
      <sheetName val="UC"/>
      <sheetName val="Rate"/>
      <sheetName val="schedule"/>
      <sheetName val="BD"/>
      <sheetName val="Resource Summary"/>
      <sheetName val="CONCRETE"/>
      <sheetName val="Cash Flow bulanan"/>
      <sheetName val="BOQp4"/>
      <sheetName val="Quantity"/>
      <sheetName val="단가"/>
      <sheetName val="집계"/>
      <sheetName val="전 기"/>
      <sheetName val="간접비계산"/>
      <sheetName val="총괄내역서"/>
      <sheetName val="4334-Summary"/>
      <sheetName val="II손익관리"/>
      <sheetName val="0226"/>
      <sheetName val="Wind Load(3.1) (_x0000__x0000_"/>
      <sheetName val="프랜트면허"/>
      <sheetName val="토목주소"/>
      <sheetName val="4_3물량INDE_x0000__x0000_Ԁ"/>
      <sheetName val="Existing PC Pavem¬"/>
      <sheetName val="공사비예산서(토목분)"/>
      <sheetName val="10"/>
      <sheetName val="5"/>
      <sheetName val="Sheet472"/>
      <sheetName val="Wall1"/>
      <sheetName val="포설list원본"/>
      <sheetName val="화전내"/>
      <sheetName val="design load"/>
      <sheetName val="working load at the btm ft."/>
      <sheetName val="stability check"/>
      <sheetName val="design criteria"/>
      <sheetName val="plan&amp;section of foundation"/>
      <sheetName val="기계내역서"/>
      <sheetName val="건축내역"/>
      <sheetName val="물량표"/>
      <sheetName val="MAIN GATE HOUSE"/>
      <sheetName val="CT Thang Mo"/>
      <sheetName val="CT  PL"/>
      <sheetName val="Memb Schd"/>
      <sheetName val="소방사항"/>
      <sheetName val="간접비"/>
      <sheetName val="카드채권(대출포함)"/>
      <sheetName val="Overall"/>
      <sheetName val="4_3물량I刀_x0010__x0000__x0000__x0000__x0000_"/>
      <sheetName val="월별사업계획_조정"/>
      <sheetName val="설비2차"/>
      <sheetName val="대공종"/>
      <sheetName val="EQT-ESTN"/>
      <sheetName val="DUT-BAT1"/>
      <sheetName val="Existing PC Pavem刀_x0010__x0000_"/>
      <sheetName val="소일위대가코드표"/>
      <sheetName val="cash_budget"/>
      <sheetName val="Material_Selections"/>
      <sheetName val="전기_BM_revA('090624)_xls"/>
      <sheetName val="Raw_Data"/>
      <sheetName val="2_내역서"/>
      <sheetName val="4-Lane_bridge"/>
      <sheetName val="(10)_Other_Costs5"/>
      <sheetName val="Cash_Out_Table"/>
      <sheetName val="Net_Cash_Table"/>
      <sheetName val="Item#9_3"/>
      <sheetName val="Item#1_9"/>
      <sheetName val="Item#6_7"/>
      <sheetName val="Item#2_6"/>
      <sheetName val="Item#4_10"/>
      <sheetName val="Item#5_8"/>
      <sheetName val="Item#7_21"/>
      <sheetName val="Item#3_8"/>
      <sheetName val="Item#8_7"/>
      <sheetName val="Equipt_Rental"/>
      <sheetName val="05__VO_Log_(Master_Data)"/>
      <sheetName val="BOQ_segment3_(Part_C-H)"/>
      <sheetName val="BOQ_segment3_(PartB)"/>
      <sheetName val="UPA(Part_C,D,E,G,H)"/>
      <sheetName val="UPA(Part_F)"/>
      <sheetName val="일위대가_(Part_C,D,E,G,H)"/>
      <sheetName val="HaulingLine_hardware"/>
      <sheetName val="WTB-STAR_CINEMA"/>
      <sheetName val="VC2_10_99"/>
      <sheetName val="personnel_loading"/>
      <sheetName val="Dir-Conc_"/>
      <sheetName val="ﾄﾞﾊﾞｲFUEL_GAS追見"/>
      <sheetName val="MATERIAL'S_PRICE"/>
      <sheetName val="4300_UTILITY_BLDG_(2)"/>
      <sheetName val="sum_mdc"/>
      <sheetName val="Division_3000"/>
      <sheetName val="Price_Summary_(1)"/>
      <sheetName val="Price_Summary_(2)"/>
      <sheetName val="4_3물량INDE"/>
      <sheetName val="CMTD"/>
      <sheetName val="2.집계표"/>
      <sheetName val="2.집계표_본사"/>
      <sheetName val="CivilwkÀ_x0000_最_x0002__x0000__x0000__x0000_"/>
      <sheetName val="노임이"/>
      <sheetName val="Total"/>
      <sheetName val="SPT vs PHI"/>
      <sheetName val="1062-X방향 "/>
      <sheetName val="공사개요"/>
      <sheetName val="국내사업실 상세 (2)"/>
      <sheetName val="bi-mnthly rep Villa"/>
      <sheetName val="SD_ELECTRICAL MH1"/>
      <sheetName val="OCC"/>
      <sheetName val="Personnel"/>
      <sheetName val="해외 기술훈련비 (합계)"/>
      <sheetName val="직간접비 집계표"/>
      <sheetName val="RCF CLAIMED"/>
      <sheetName val="Analysis"/>
      <sheetName val="MAY 00-Bobbins"/>
      <sheetName val="TOSHIBA-Structure"/>
      <sheetName val="Computed Floor Area"/>
      <sheetName val="Ex-Rate"/>
      <sheetName val="DESBAST"/>
      <sheetName val="Bill 3 -BPO1"/>
      <sheetName val="Bill 3 -BPO2"/>
      <sheetName val="Bill 2 -RETAIL"/>
      <sheetName val="Basis"/>
      <sheetName val="CIM"/>
      <sheetName val="단면가정"/>
      <sheetName val="설계조건"/>
      <sheetName val="CONTRACT-SUM"/>
      <sheetName val="mat'ls"/>
      <sheetName val="hauling"/>
      <sheetName val="N-CRAM"/>
      <sheetName val="Other"/>
      <sheetName val="TABLES"/>
      <sheetName val="공사내역"/>
      <sheetName val="Candy ee"/>
      <sheetName val="ind'l cp"/>
      <sheetName val="C_E"/>
      <sheetName val="DataSheet"/>
      <sheetName val="(실사조정)총괄"/>
      <sheetName val="Cover_Sheet5"/>
      <sheetName val="Project_Outline5"/>
      <sheetName val="Contractual_Amount5"/>
      <sheetName val="TENDER_vs_BUDGET5"/>
      <sheetName val="직영_vs_하청_-_25"/>
      <sheetName val="96_당초Schedule5"/>
      <sheetName val="96_Performance5"/>
      <sheetName val="소화-투입_분석표5"/>
      <sheetName val="STF_ORG(K)5"/>
      <sheetName val="Staff_Org__Chart5"/>
      <sheetName val="Scope_of_Work5"/>
      <sheetName val="Design_Status5"/>
      <sheetName val="DWG_Status5"/>
      <sheetName val="MAT'L_Status5"/>
      <sheetName val="Install_Status5"/>
      <sheetName val="Staff_Mob__Plan5"/>
      <sheetName val="M_P_Mob__Plan5"/>
      <sheetName val="Eq__Mobilization10"/>
      <sheetName val="Eq__Mobilization11"/>
      <sheetName val="VC2_9_985"/>
      <sheetName val="11월_실적5"/>
      <sheetName val="간접비_총괄표5"/>
      <sheetName val="VC2_8_985"/>
      <sheetName val="P_M_별4"/>
      <sheetName val="TOWER_12TON5"/>
      <sheetName val="TOWER_10TON5"/>
      <sheetName val="JIB_CRANE,HOIST5"/>
      <sheetName val="8_PILE__(돌출)4"/>
      <sheetName val="6PILE__(돌출)4"/>
      <sheetName val="2000_11월설계내역4"/>
      <sheetName val="2_1_2예정공정율(칼라)4"/>
      <sheetName val="ITC_현황4"/>
      <sheetName val="1_1_Overall_Progress4"/>
      <sheetName val="4_0_(2)4"/>
      <sheetName val="15_문제점3"/>
      <sheetName val="Rate_Analysis3"/>
      <sheetName val="Disc_WF_(최종)3"/>
      <sheetName val="Weekly_WV_%3"/>
      <sheetName val="차트_(2)3"/>
      <sheetName val="Work_Trade_Code3"/>
      <sheetName val="목록_&amp;_환율표3"/>
      <sheetName val="1_설계조건3"/>
      <sheetName val="97년_SEACO예산3"/>
      <sheetName val="4_3물량INDEX검토3"/>
      <sheetName val="G_R300경비3"/>
      <sheetName val="worksheet_inchican3"/>
      <sheetName val="combined_9-303"/>
      <sheetName val="입찰내역_발주처_양식3"/>
      <sheetName val="0_간접비기준3"/>
      <sheetName val="상_부3"/>
      <sheetName val="4__해외출장비2"/>
      <sheetName val="Perm__Test2"/>
      <sheetName val="Daftar_Sewa2"/>
      <sheetName val="Peralatan_(2)2"/>
      <sheetName val="Analisa_Alat2"/>
      <sheetName val="97_사업추정(WEKI)2"/>
      <sheetName val="7_4_유가_변동_예비비2"/>
      <sheetName val="GRP_PIPING2"/>
      <sheetName val="BM_2"/>
      <sheetName val="DWG_LIST2"/>
      <sheetName val="자격_땡겨오기2"/>
      <sheetName val="5_소재2"/>
      <sheetName val="w't_table2"/>
      <sheetName val="kich_thuoc2"/>
      <sheetName val="임율_Data2"/>
      <sheetName val="REV_42"/>
      <sheetName val="BEND_LOSS2"/>
      <sheetName val="CI_2"/>
      <sheetName val="TRUCK_HAUL_CYCLE-waste2"/>
      <sheetName val="Land_Dev't__Ph-12"/>
      <sheetName val="Shut_down2"/>
      <sheetName val="Schedule_S-Curve_Revision#32"/>
      <sheetName val="Code_072"/>
      <sheetName val="해외_연수비용_계산-삭제2"/>
      <sheetName val="Wind_Load(3_1)_(2)2"/>
      <sheetName val="Wind_Load(3_2)2"/>
      <sheetName val="Wind_Load(3_4)2"/>
      <sheetName val="Key_Data2"/>
      <sheetName val="2_2_띠장의_설계2"/>
      <sheetName val="Plant_&amp;__Machinery1"/>
      <sheetName val="Power_&amp;_control_cables2"/>
      <sheetName val="Earthing_Cables_2"/>
      <sheetName val="tabulation_of_deductions2"/>
      <sheetName val="Civilwks_Deriv2"/>
      <sheetName val="Str_Deriv2"/>
      <sheetName val="Existing_PC_Pavement2"/>
      <sheetName val="2_223M_due_to_adj_profit2"/>
      <sheetName val="CABLE_DATA2"/>
      <sheetName val="GESTION_FICHE2"/>
      <sheetName val="TRADUCTION_LISTES2"/>
      <sheetName val="Costi_di_prod__E1_022"/>
      <sheetName val="IRR_sponsor2"/>
      <sheetName val="Material_Price2"/>
      <sheetName val="Assump_(Time)_-_Project_Co_2"/>
      <sheetName val="지원시설_내역서(154kV)2"/>
      <sheetName val="page_61"/>
      <sheetName val="Piping_Design_Data1"/>
      <sheetName val="Soil_Parameter1"/>
      <sheetName val="Cashflow_Analysis1"/>
      <sheetName val="DHS_AC1"/>
      <sheetName val="iTEM_hARSAT1"/>
      <sheetName val="analis_standar(20m)1"/>
      <sheetName val="ANAL_BETON1"/>
      <sheetName val="BM_DATA_SHEET1"/>
      <sheetName val="DATA_PROYEK1"/>
      <sheetName val="BA_Evaluasi1"/>
      <sheetName val="Permhnan_CCO1"/>
      <sheetName val="Persetujuan_CCO1"/>
      <sheetName val="Rekap_MC1"/>
      <sheetName val="Penyampaian_Evaluasi1"/>
      <sheetName val="R__RapatCCO1"/>
      <sheetName val="DAFTAR_HARGA1"/>
      <sheetName val="Fill_this_out_first___1"/>
      <sheetName val="Master_1_01"/>
      <sheetName val="Rekap_Addendum1"/>
      <sheetName val="H_Satuan1"/>
      <sheetName val="7__Comparison_of_Asphalt_etc1"/>
      <sheetName val="Analisa_Harga_Satuan1"/>
      <sheetName val="Hit_Vol_Str_Jambi1"/>
      <sheetName val="PE-F-33_Rev_02_Basic_Proj_Info1"/>
      <sheetName val="PE-F-31_Rev_01_Coversheet1"/>
      <sheetName val="_PE-F-42_MR_9_Manpower1"/>
      <sheetName val="AT_21"/>
      <sheetName val="DAFTAR_ISI1"/>
      <sheetName val="SUMMARY_(2)1"/>
      <sheetName val="Analisa_(me)1"/>
      <sheetName val="pro_ra_op1"/>
      <sheetName val="Rekap_(2)1"/>
      <sheetName val="Analisa_Transport1"/>
      <sheetName val="electrical_Work_Price_List_(2)1"/>
      <sheetName val="ANALISA_CABLE1"/>
      <sheetName val="(110919)부산정관집단에너지사업차환현안검토_xlsx1"/>
      <sheetName val="Cost_Summary1"/>
      <sheetName val="Trade_Summary1"/>
      <sheetName val="BUR_1"/>
      <sheetName val="15_Rd1"/>
      <sheetName val="본선_토공_분배표1"/>
      <sheetName val="지가변동률계산(2021_071"/>
      <sheetName val="2__계정별_집계표1"/>
      <sheetName val="단면_(2)1"/>
      <sheetName val="Status_by_Codes1"/>
      <sheetName val="Analis_harga1"/>
      <sheetName val="UNIT_31"/>
      <sheetName val="Utility_and_Fire_flange1"/>
      <sheetName val="intr_stool_brkup1"/>
      <sheetName val="Bill_summary_of_cost"/>
      <sheetName val="SPARE_PART"/>
      <sheetName val="A_O_R_"/>
      <sheetName val="L3_-13FF_(2)"/>
      <sheetName val="Wind_Load(3_1)_("/>
      <sheetName val="Existing_PC_Pavem¬"/>
      <sheetName val="개시대사_(2)"/>
      <sheetName val="Hac_Lots"/>
      <sheetName val="Res_Lots"/>
      <sheetName val="Spine_Road"/>
      <sheetName val="STATUS_REPORT"/>
      <sheetName val="Resource_Summary"/>
      <sheetName val="Cash_Flow_bulanan"/>
      <sheetName val="전_기"/>
      <sheetName val="design_load"/>
      <sheetName val="working_load_at_the_btm_ft_"/>
      <sheetName val="stability_check"/>
      <sheetName val="design_criteria"/>
      <sheetName val="plan&amp;section_of_foundation"/>
      <sheetName val="MAIN_GATE_HOUSE"/>
      <sheetName val="CT_Thang_Mo"/>
      <sheetName val="CT__PL"/>
      <sheetName val="Memb_Schd"/>
      <sheetName val="author_spending"/>
      <sheetName val="MATL"/>
      <sheetName val="BOQ(검토용)"/>
      <sheetName val="UPA"/>
      <sheetName val="EQUI"/>
      <sheetName val="LABOR"/>
      <sheetName val="Tabulation "/>
      <sheetName val="reinforce"/>
      <sheetName val="材料マスタ"/>
      <sheetName val="バルブ材質選定データ"/>
      <sheetName val="as boq list up"/>
      <sheetName val="Named Range"/>
      <sheetName val="Summary of Cost"/>
      <sheetName val="ML"/>
      <sheetName val="(COV)"/>
      <sheetName val="co-no.2"/>
      <sheetName val="LOADDAT"/>
      <sheetName val="sort"/>
      <sheetName val="SANBAISU"/>
      <sheetName val="SANTOGO"/>
      <sheetName val="Progress Tables"/>
      <sheetName val="MTO REV.2(ARMOR)"/>
      <sheetName val="LLEGADA"/>
      <sheetName val="GRSummary"/>
      <sheetName val="RFP Codes"/>
      <sheetName val="revised#1"/>
      <sheetName val="Library"/>
      <sheetName val="DPA3A-1"/>
      <sheetName val="ref"/>
      <sheetName val="세금자료"/>
      <sheetName val="비품"/>
      <sheetName val="choose"/>
      <sheetName val="Schedule S-Curve (new scheme)"/>
      <sheetName val="120"/>
      <sheetName val="130"/>
      <sheetName val="100"/>
      <sheetName val="101"/>
      <sheetName val="102"/>
      <sheetName val="103"/>
      <sheetName val="106"/>
      <sheetName val="108"/>
      <sheetName val="109"/>
      <sheetName val="131"/>
      <sheetName val="110"/>
      <sheetName val="111"/>
      <sheetName val="114"/>
      <sheetName val="116"/>
      <sheetName val="132"/>
      <sheetName val="140"/>
      <sheetName val="141"/>
      <sheetName val="142"/>
      <sheetName val="143"/>
      <sheetName val="144"/>
      <sheetName val="145"/>
      <sheetName val="146"/>
      <sheetName val="121"/>
      <sheetName val="147"/>
      <sheetName val="148"/>
      <sheetName val="160"/>
      <sheetName val="164"/>
      <sheetName val="Flaer Area"/>
      <sheetName val="123"/>
      <sheetName val="124"/>
      <sheetName val="125"/>
      <sheetName val="126"/>
      <sheetName val="127"/>
      <sheetName val="128"/>
      <sheetName val="129"/>
      <sheetName val="Bin"/>
      <sheetName val="3.현장배치"/>
      <sheetName val="prelims"/>
      <sheetName val="EquipList"/>
      <sheetName val="GenReq"/>
      <sheetName val="CWDerivation"/>
      <sheetName val="IS033106"/>
      <sheetName val="SITE-E"/>
      <sheetName val="Cash-Flow"/>
      <sheetName val="ATD"/>
      <sheetName val="性能取り纏め"/>
      <sheetName val="CONPRIS"/>
      <sheetName val="dervstruc"/>
      <sheetName val="MANHOLE"/>
      <sheetName val="Progress Curve"/>
      <sheetName val="SUM-AIR-Submit"/>
      <sheetName val="IBASE"/>
      <sheetName val="TYPE-A"/>
      <sheetName val="LOADS"/>
      <sheetName val="Testing"/>
      <sheetName val="Electrical Pricelist"/>
      <sheetName val="prod-rates2"/>
      <sheetName val="6MONTHS"/>
      <sheetName val="FINANCIAL (FLR)"/>
      <sheetName val="Derive"/>
      <sheetName val="SC Cost FEB 03"/>
      <sheetName val="HRG BAHAN &amp; UPAH okk"/>
      <sheetName val="Analisa SNI STANDART "/>
      <sheetName val="Analis Kusen okk"/>
      <sheetName val="Direct Labor Cost"/>
      <sheetName val="GC-2"/>
      <sheetName val="D-3503"/>
      <sheetName val="anal.P"/>
      <sheetName val="4-Basic Price"/>
      <sheetName val="5-ALAT(1)"/>
      <sheetName val="bq"/>
      <sheetName val="STR"/>
      <sheetName val="harga"/>
      <sheetName val="upah"/>
      <sheetName val="Rupiah"/>
      <sheetName val="Harga Dasar"/>
      <sheetName val="Alat (1)"/>
      <sheetName val="Direct Labor"/>
      <sheetName val="Basic Price"/>
      <sheetName val="Tunnel ( 8,0 x 4,6 )"/>
      <sheetName val="Harga material_1"/>
      <sheetName val="Ana. PU"/>
      <sheetName val="3 Organisasi"/>
      <sheetName val="구의33고"/>
      <sheetName val="Air Cooler-E"/>
      <sheetName val="STAND98"/>
      <sheetName val="간접비내역-1"/>
      <sheetName val="Final Certificate"/>
      <sheetName val="CivilwkÀ"/>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sheetData sheetId="522"/>
      <sheetData sheetId="523"/>
      <sheetData sheetId="524"/>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refreshError="1"/>
      <sheetData sheetId="645" refreshError="1"/>
      <sheetData sheetId="646"/>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sheetData sheetId="778" refreshError="1"/>
      <sheetData sheetId="779" refreshError="1"/>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Sheet2"/>
      <sheetName val="Sheet3"/>
      <sheetName val="Sheet4"/>
      <sheetName val="Sheet5"/>
      <sheetName val="1"/>
      <sheetName val="#REF"/>
      <sheetName val="참고용"/>
      <sheetName val="참고용 (2)"/>
      <sheetName val="COMPARISON TABLE"/>
      <sheetName val="Eq. Mobilization"/>
      <sheetName val="_x0000_"/>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DEX"/>
      <sheetName val="PLANT"/>
      <sheetName val="SUM FSBLT"/>
      <sheetName val="VOLSUM"/>
      <sheetName val="WPSUM"/>
      <sheetName val="PCWBS_MAP"/>
      <sheetName val="WKFRM1"/>
      <sheetName val="WKFRM2"/>
      <sheetName val="SQNC-1"/>
      <sheetName val="SQNC-2"/>
      <sheetName val="SQNC-3"/>
      <sheetName val="MILSTN"/>
      <sheetName val="MASTSCH"/>
      <sheetName val="MOBALL"/>
      <sheetName val="BQMPALOC"/>
      <sheetName val="CRDIDX"/>
      <sheetName val="PROGALL"/>
      <sheetName val="2538M"/>
      <sheetName val="ORGZN"/>
      <sheetName val="STAFSCH"/>
      <sheetName val="SUB_Map"/>
      <sheetName val="PERFEVA"/>
      <sheetName val="PIPE50%A"/>
      <sheetName val="PIPE50%B"/>
      <sheetName val="STFMHANZ"/>
      <sheetName val="CMHANZ"/>
      <sheetName val="MPDATA1000"/>
      <sheetName val="MPDATA2000"/>
      <sheetName val="MPDATA3000"/>
      <sheetName val="MPDATA4000"/>
      <sheetName val="MPDATA5000"/>
      <sheetName val="MPDATA6000"/>
      <sheetName val="MPDATA7000"/>
      <sheetName val="MPDATA8000"/>
      <sheetName val="MPDATA9_A_B"/>
      <sheetName val="BQCONV"/>
      <sheetName val="SCINF1"/>
      <sheetName val="SCINF2"/>
      <sheetName val="KNOWHOW_MEMO"/>
      <sheetName val="EQUIPMOB"/>
      <sheetName val="TEMP_FAC"/>
      <sheetName val="7000(rev)"/>
      <sheetName val="SUMMARY"/>
      <sheetName val="3000-A"/>
      <sheetName val="5000-A"/>
      <sheetName val="6000-A"/>
      <sheetName val="9000-A"/>
      <sheetName val="管道资料"/>
      <sheetName val="9DATA"/>
      <sheetName val="A000-A"/>
      <sheetName val="0DATA"/>
      <sheetName val="9管道资料"/>
      <sheetName val="FWBS 9000"/>
      <sheetName val="Overall Project"/>
      <sheetName val="Overall Process"/>
      <sheetName val="Overall Utility"/>
      <sheetName val="1000"/>
      <sheetName val="FWBS 1000"/>
      <sheetName val="2000"/>
      <sheetName val="FWBS 2000"/>
      <sheetName val="3000"/>
      <sheetName val="FWBS 3000"/>
      <sheetName val="5000"/>
      <sheetName val="FWBS 5000"/>
      <sheetName val="6000"/>
      <sheetName val="FWBS 6000"/>
      <sheetName val="7000"/>
      <sheetName val="FWBS 7000"/>
      <sheetName val="8000"/>
      <sheetName val="FWBS 8000"/>
      <sheetName val="9000"/>
      <sheetName val="A000"/>
      <sheetName val="FWBS A000"/>
      <sheetName val="B000"/>
      <sheetName val="FWBS B000"/>
      <sheetName val="Z000"/>
      <sheetName val="FWBS Z000"/>
      <sheetName val="TYPE-A"/>
      <sheetName val="Final(1)summary"/>
      <sheetName val="12CGOU"/>
      <sheetName val="Chart"/>
      <sheetName val="B"/>
      <sheetName val="COA-17"/>
      <sheetName val="C-18"/>
      <sheetName val="95신규호표"/>
      <sheetName val="SALA-002"/>
      <sheetName val="SUM_FSBLT"/>
      <sheetName val="FWBS_9000"/>
      <sheetName val="Overall_Project"/>
      <sheetName val="Overall_Process"/>
      <sheetName val="Overall_Utility"/>
      <sheetName val="FWBS_1000"/>
      <sheetName val="FWBS_2000"/>
      <sheetName val="FWBS_3000"/>
      <sheetName val="FWBS_5000"/>
      <sheetName val="FWBS_6000"/>
      <sheetName val="FWBS_7000"/>
      <sheetName val="FWBS_8000"/>
      <sheetName val="FWBS_A000"/>
      <sheetName val="FWBS_B000"/>
      <sheetName val="FWBS_Z000"/>
      <sheetName val="A"/>
      <sheetName val="Cash2"/>
      <sheetName val="Z"/>
      <sheetName val="산근"/>
      <sheetName val="PNTEXT"/>
      <sheetName val="EE-PROP"/>
      <sheetName val="Planning&amp;reporting"/>
      <sheetName val="DRUM"/>
      <sheetName val="Onerous Terms"/>
      <sheetName val="집계표"/>
      <sheetName val="INVOICE_CERT EIV'S"/>
      <sheetName val="0000"/>
      <sheetName val="EQUIPMENT"/>
      <sheetName val="자금운영"/>
      <sheetName val="도"/>
      <sheetName val="Basic"/>
      <sheetName val="Building BD"/>
      <sheetName val="jobhist"/>
      <sheetName val=" Sum"/>
      <sheetName val="TTL"/>
      <sheetName val="MTP"/>
      <sheetName val="INSTR"/>
      <sheetName val="실제 도면출도"/>
      <sheetName val="SOHAR(2nd)"/>
      <sheetName val="공사비 내역 (가)"/>
      <sheetName val="嗔5喸5"/>
      <sheetName val="ENE-CAL"/>
      <sheetName val="plan&amp;section of foundation"/>
      <sheetName val="design criteria"/>
      <sheetName val="CAL"/>
      <sheetName val="#REF"/>
      <sheetName val="대비표"/>
      <sheetName val="w't table"/>
      <sheetName val="BQMP"/>
      <sheetName val="DESCRIPTION"/>
      <sheetName val="BM DATA SHEET"/>
      <sheetName val="Eq. Mobilization"/>
      <sheetName val="당초"/>
      <sheetName val="표지"/>
      <sheetName val="D-623D"/>
      <sheetName val="33628-Rev. A"/>
      <sheetName val="Progress Tab"/>
      <sheetName val="BATCH"/>
      <sheetName val="具志川H社"/>
      <sheetName val="SUM_FSBLT1"/>
      <sheetName val="FWBS_90001"/>
      <sheetName val="Overall_Project1"/>
      <sheetName val="Overall_Process1"/>
      <sheetName val="Overall_Utility1"/>
      <sheetName val="FWBS_10001"/>
      <sheetName val="FWBS_20001"/>
      <sheetName val="FWBS_30001"/>
      <sheetName val="FWBS_50001"/>
      <sheetName val="FWBS_60001"/>
      <sheetName val="FWBS_70001"/>
      <sheetName val="FWBS_80001"/>
      <sheetName val="FWBS_A0001"/>
      <sheetName val="FWBS_B0001"/>
      <sheetName val="FWBS_Z0001"/>
      <sheetName val="ORIGINAL"/>
      <sheetName val="입찰내역 발주처 양식"/>
      <sheetName val="기계내역서"/>
      <sheetName val="CASH"/>
      <sheetName val=""/>
      <sheetName val="BM"/>
      <sheetName val="집계표(OPTION)"/>
      <sheetName val="Sheet1"/>
      <sheetName val="合成単価作成表-BLDG"/>
      <sheetName val="Kuan&amp;Har(PT)"/>
      <sheetName val="Alat"/>
      <sheetName val="WIP"/>
      <sheetName val="AC"/>
      <sheetName val="LinerWt"/>
      <sheetName val="Sheet4"/>
      <sheetName val="M 11"/>
      <sheetName val="PIPING"/>
      <sheetName val="기둥(원형)"/>
      <sheetName val="목표세부명세"/>
      <sheetName val="member design"/>
      <sheetName val="Sheet13"/>
      <sheetName val="Sheet14"/>
      <sheetName val="공사비SUM"/>
      <sheetName val="PC CATCH PIT 1X1X1.2M"/>
      <sheetName val="PC CATCH PIT .6X.6X1.0M"/>
      <sheetName val="PC COVER 100MM THK .95x.3"/>
      <sheetName val="PC COVER 250MM THK 2.2x.3"/>
      <sheetName val="PRO_DCI"/>
      <sheetName val="INST_DCI"/>
      <sheetName val="HVAC_DCI"/>
      <sheetName val="PIPE_DCI"/>
      <sheetName val="기성내역"/>
      <sheetName val="INVOICE_CERT_EIV'S"/>
      <sheetName val="REINF."/>
      <sheetName val="SKETCH"/>
      <sheetName val="3. GROUNDING SYSTEM"/>
      <sheetName val="7102"/>
      <sheetName val="Running compatibility check _x0000_A_x0000_"/>
      <sheetName val="상반기손익차2총괄"/>
      <sheetName val="Adjusted Bids"/>
      <sheetName val="working load at the btm ft."/>
      <sheetName val="soil bearing check"/>
      <sheetName val="Chiet tinh dz35"/>
      <sheetName val="Proposal"/>
      <sheetName val="EQT-ESTN"/>
      <sheetName val="List"/>
      <sheetName val="Concept Offshore"/>
      <sheetName val="SUM_FSBLT2"/>
      <sheetName val="Overall_Project2"/>
      <sheetName val="Overall_Process2"/>
      <sheetName val="Overall_Utility2"/>
      <sheetName val="FWBS_10002"/>
      <sheetName val="FWBS_20002"/>
      <sheetName val="FWBS_30002"/>
      <sheetName val="FWBS_50002"/>
      <sheetName val="FWBS_60002"/>
      <sheetName val="FWBS_70002"/>
      <sheetName val="FWBS_80002"/>
      <sheetName val="FWBS_90002"/>
      <sheetName val="FWBS_A0002"/>
      <sheetName val="FWBS_B0002"/>
      <sheetName val="FWBS_Z0002"/>
      <sheetName val="Onerous_Terms"/>
      <sheetName val="Building_BD"/>
      <sheetName val="_Sum"/>
      <sheetName val="실제_도면출도"/>
      <sheetName val="공사비_내역_(가)"/>
      <sheetName val="33628-Rev__A"/>
      <sheetName val="plan&amp;section_of_foundation"/>
      <sheetName val="design_criteria"/>
      <sheetName val="w't_table"/>
      <sheetName val="BM_DATA_SHEET"/>
      <sheetName val="Eq__Mobilization"/>
      <sheetName val="Progress_Tab"/>
      <sheetName val="입찰내역_발주처_양식"/>
      <sheetName val="INVOICE_CERT_EIV'S1"/>
      <sheetName val="M_11"/>
      <sheetName val="REINF_"/>
      <sheetName val="Hoja1"/>
      <sheetName val="Auxi"/>
      <sheetName val="Building_BD1"/>
      <sheetName val="Onerous_Terms1"/>
      <sheetName val="_Sum1"/>
      <sheetName val="설비"/>
      <sheetName val="공문"/>
      <sheetName val="A(Rev.3)"/>
      <sheetName val="뜃맟뭁돽띿맟?-BLDG"/>
      <sheetName val="Running compatibility check "/>
      <sheetName val="Running_compatibility_check_A"/>
      <sheetName val="3__GROUNDING_SYSTEM"/>
      <sheetName val="基数"/>
      <sheetName val="SUM_FSBLT3"/>
      <sheetName val="FWBS_90003"/>
      <sheetName val="Overall_Project3"/>
      <sheetName val="Overall_Process3"/>
      <sheetName val="Overall_Utility3"/>
      <sheetName val="FWBS_10003"/>
      <sheetName val="FWBS_20003"/>
      <sheetName val="FWBS_30003"/>
      <sheetName val="FWBS_50003"/>
      <sheetName val="FWBS_60003"/>
      <sheetName val="FWBS_70003"/>
      <sheetName val="FWBS_80003"/>
      <sheetName val="FWBS_A0003"/>
      <sheetName val="FWBS_B0003"/>
      <sheetName val="FWBS_Z0003"/>
      <sheetName val="실제_도면출도1"/>
      <sheetName val="INVOICE_CERT_EIV'S2"/>
      <sheetName val="공사비_내역_(가)1"/>
      <sheetName val="plan&amp;section_of_foundation1"/>
      <sheetName val="design_criteria1"/>
      <sheetName val="w't_table1"/>
      <sheetName val="Eq__Mobilization1"/>
      <sheetName val="BM_DATA_SHEET1"/>
      <sheetName val="33628-Rev__A1"/>
      <sheetName val="Progress_Tab1"/>
      <sheetName val="입찰내역_발주처_양식1"/>
      <sheetName val="M_111"/>
      <sheetName val="REINF_1"/>
      <sheetName val="PC_CATCH_PIT_1X1X1_2M"/>
      <sheetName val="PC_CATCH_PIT__6X_6X1_0M"/>
      <sheetName val="PC_COVER_100MM_THK__95x_3"/>
      <sheetName val="PC_COVER_250MM_THK_2_2x_3"/>
      <sheetName val="Adjusted_Bids"/>
      <sheetName val="member_design"/>
      <sheetName val="Concept_Offshore"/>
      <sheetName val="working_load_at_the_btm_ft_"/>
      <sheetName val="soil_bearing_check"/>
      <sheetName val="Chiet_tinh_dz35"/>
      <sheetName val="Breakdown-1"/>
      <sheetName val="Pipe"/>
      <sheetName val="Add"/>
      <sheetName val="산출내역서"/>
      <sheetName val="MCCSUM"/>
      <sheetName val="Onerous_Terms2"/>
      <sheetName val="Building_BD2"/>
      <sheetName val="_Sum2"/>
      <sheetName val="실제_도면출도2"/>
      <sheetName val="공사비_내역_(가)2"/>
      <sheetName val="plan&amp;section_of_foundation2"/>
      <sheetName val="design_criteria2"/>
      <sheetName val="w't_table2"/>
      <sheetName val="BM_DATA_SHEET2"/>
      <sheetName val="Progress_Tab2"/>
      <sheetName val="Eq__Mobilization2"/>
      <sheetName val="33628-Rev__A2"/>
      <sheetName val="입찰내역_발주처_양식2"/>
      <sheetName val="M_112"/>
      <sheetName val="SUM_FSBLT4"/>
      <sheetName val="Overall_Project4"/>
      <sheetName val="Overall_Process4"/>
      <sheetName val="Overall_Utility4"/>
      <sheetName val="FWBS_10004"/>
      <sheetName val="FWBS_20004"/>
      <sheetName val="FWBS_30004"/>
      <sheetName val="FWBS_50004"/>
      <sheetName val="FWBS_60004"/>
      <sheetName val="FWBS_70004"/>
      <sheetName val="FWBS_80004"/>
      <sheetName val="FWBS_90004"/>
      <sheetName val="FWBS_A0004"/>
      <sheetName val="FWBS_B0004"/>
      <sheetName val="FWBS_Z0004"/>
      <sheetName val="INVOICE_CERT_EIV'S3"/>
      <sheetName val="Onerous_Terms3"/>
      <sheetName val="Building_BD3"/>
      <sheetName val="_Sum3"/>
      <sheetName val="실제_도면출도3"/>
      <sheetName val="공사비_내역_(가)3"/>
      <sheetName val="plan&amp;section_of_foundation3"/>
      <sheetName val="design_criteria3"/>
      <sheetName val="w't_table3"/>
      <sheetName val="BM_DATA_SHEET3"/>
      <sheetName val="Progress_Tab3"/>
      <sheetName val="Eq__Mobilization3"/>
      <sheetName val="33628-Rev__A3"/>
      <sheetName val="입찰내역_발주처_양식3"/>
      <sheetName val="M_113"/>
      <sheetName val="코드"/>
      <sheetName val="자바라1"/>
      <sheetName val="FitOutConfCentre"/>
      <sheetName val="[Planning&amp;reporting.xlsM9000-A"/>
      <sheetName val="Running compatibility check _x0"/>
      <sheetName val="RFP002"/>
      <sheetName val="A (2)"/>
      <sheetName val="1100"/>
      <sheetName val="datasheet"/>
      <sheetName val="C,E"/>
      <sheetName val="CALCULATION"/>
      <sheetName val="설계내역서"/>
      <sheetName val="List of WorkPacks"/>
      <sheetName val="List of Dates"/>
      <sheetName val="Database"/>
      <sheetName val="Masterfile"/>
      <sheetName val="FWBS codes"/>
      <sheetName val="STANDARD DESCRIPTION"/>
      <sheetName val="STANDARD DESCRIPTION - 20150519"/>
      <sheetName val="Drawings Summary"/>
      <sheetName val="Instr Drawing List"/>
      <sheetName val="INDEX-Areas B000,C000,D000,E000"/>
      <sheetName val="STANDARD DESCRIPTION 20150715"/>
      <sheetName val="Sheet2"/>
      <sheetName val="DropDown Selections"/>
      <sheetName val="Running compatibility check ?A?"/>
      <sheetName val="salary"/>
      <sheetName val="Cashflow Analysis"/>
      <sheetName val="Running compatibility check _A_"/>
      <sheetName val="Sheet"/>
      <sheetName val="Backup"/>
      <sheetName val="MTO"/>
      <sheetName val="Direct Prices"/>
      <sheetName val="Лист1"/>
      <sheetName val="뜃맟뭁돽띿맟_-BLDG"/>
      <sheetName val="3__GROUNDING_SYSTEM1"/>
      <sheetName val="Running_compatibility_check_"/>
      <sheetName val="A(Rev_3)"/>
      <sheetName val="REINF_2"/>
      <sheetName val="3__GROUNDING_SYSTEM2"/>
      <sheetName val="member_design1"/>
      <sheetName val="Adjusted_Bids1"/>
      <sheetName val="PC_CATCH_PIT_1X1X1_2M1"/>
      <sheetName val="PC_CATCH_PIT__6X_6X1_0M1"/>
      <sheetName val="PC_COVER_100MM_THK__95x_31"/>
      <sheetName val="PC_COVER_250MM_THK_2_2x_31"/>
      <sheetName val="working_load_at_the_btm_ft_1"/>
      <sheetName val="soil_bearing_check1"/>
      <sheetName val="Concept_Offshore1"/>
      <sheetName val="Chiet_tinh_dz351"/>
      <sheetName val="Running_compatibility_check_1"/>
      <sheetName val="A(Rev_3)1"/>
      <sheetName val="SUM_FSBLT5"/>
      <sheetName val="Overall_Project5"/>
      <sheetName val="Overall_Process5"/>
      <sheetName val="Overall_Utility5"/>
      <sheetName val="FWBS_10005"/>
      <sheetName val="FWBS_20005"/>
      <sheetName val="FWBS_30005"/>
      <sheetName val="FWBS_50005"/>
      <sheetName val="FWBS_60005"/>
      <sheetName val="FWBS_70005"/>
      <sheetName val="FWBS_80005"/>
      <sheetName val="FWBS_90005"/>
      <sheetName val="FWBS_A0005"/>
      <sheetName val="FWBS_B0005"/>
      <sheetName val="FWBS_Z0005"/>
      <sheetName val="INVOICE_CERT_EIV'S4"/>
      <sheetName val="Onerous_Terms4"/>
      <sheetName val="Building_BD4"/>
      <sheetName val="_Sum4"/>
      <sheetName val="REINF_3"/>
      <sheetName val="3__GROUNDING_SYSTEM3"/>
      <sheetName val="member_design2"/>
      <sheetName val="Adjusted_Bids2"/>
      <sheetName val="PC_CATCH_PIT_1X1X1_2M2"/>
      <sheetName val="PC_CATCH_PIT__6X_6X1_0M2"/>
      <sheetName val="PC_COVER_100MM_THK__95x_32"/>
      <sheetName val="PC_COVER_250MM_THK_2_2x_32"/>
      <sheetName val="working_load_at_the_btm_ft_2"/>
      <sheetName val="soil_bearing_check2"/>
      <sheetName val="Concept_Offshore2"/>
      <sheetName val="Chiet_tinh_dz352"/>
      <sheetName val="Running_compatibility_check_2"/>
      <sheetName val="A(Rev_3)2"/>
      <sheetName val="SUM_FSBLT6"/>
      <sheetName val="Overall_Project6"/>
      <sheetName val="Overall_Process6"/>
      <sheetName val="Overall_Utility6"/>
      <sheetName val="FWBS_10006"/>
      <sheetName val="FWBS_20006"/>
      <sheetName val="FWBS_30006"/>
      <sheetName val="FWBS_50006"/>
      <sheetName val="FWBS_60006"/>
      <sheetName val="FWBS_70006"/>
      <sheetName val="FWBS_80006"/>
      <sheetName val="FWBS_90006"/>
      <sheetName val="FWBS_A0006"/>
      <sheetName val="FWBS_B0006"/>
      <sheetName val="FWBS_Z0006"/>
      <sheetName val="INVOICE_CERT_EIV'S5"/>
      <sheetName val="Onerous_Terms5"/>
      <sheetName val="Building_BD5"/>
      <sheetName val="_Sum5"/>
      <sheetName val="plan&amp;section_of_foundation4"/>
      <sheetName val="design_criteria4"/>
      <sheetName val="실제_도면출도4"/>
      <sheetName val="공사비_내역_(가)4"/>
      <sheetName val="BM_DATA_SHEET4"/>
      <sheetName val="Progress_Tab4"/>
      <sheetName val="w't_table4"/>
      <sheetName val="Eq__Mobilization4"/>
      <sheetName val="33628-Rev__A4"/>
      <sheetName val="입찰내역_발주처_양식4"/>
      <sheetName val="M_114"/>
      <sheetName val="REINF_4"/>
      <sheetName val="3__GROUNDING_SYSTEM4"/>
      <sheetName val="member_design3"/>
      <sheetName val="Adjusted_Bids3"/>
      <sheetName val="PC_CATCH_PIT_1X1X1_2M3"/>
      <sheetName val="PC_CATCH_PIT__6X_6X1_0M3"/>
      <sheetName val="PC_COVER_100MM_THK__95x_33"/>
      <sheetName val="PC_COVER_250MM_THK_2_2x_33"/>
      <sheetName val="working_load_at_the_btm_ft_3"/>
      <sheetName val="soil_bearing_check3"/>
      <sheetName val="Concept_Offshore3"/>
      <sheetName val="Chiet_tinh_dz353"/>
      <sheetName val="Running_compatibility_check_3"/>
      <sheetName val="A(Rev_3)3"/>
      <sheetName val="SUM_FSBLT7"/>
      <sheetName val="Overall_Project7"/>
      <sheetName val="Overall_Process7"/>
      <sheetName val="Overall_Utility7"/>
      <sheetName val="FWBS_10007"/>
      <sheetName val="FWBS_20007"/>
      <sheetName val="FWBS_30007"/>
      <sheetName val="FWBS_50007"/>
      <sheetName val="FWBS_60007"/>
      <sheetName val="FWBS_70007"/>
      <sheetName val="FWBS_80007"/>
      <sheetName val="FWBS_90007"/>
      <sheetName val="FWBS_A0007"/>
      <sheetName val="FWBS_B0007"/>
      <sheetName val="FWBS_Z0007"/>
      <sheetName val="INVOICE_CERT_EIV'S6"/>
      <sheetName val="Onerous_Terms6"/>
      <sheetName val="Building_BD6"/>
      <sheetName val="_Sum6"/>
      <sheetName val="plan&amp;section_of_foundation5"/>
      <sheetName val="design_criteria5"/>
      <sheetName val="실제_도면출도5"/>
      <sheetName val="공사비_내역_(가)5"/>
      <sheetName val="BM_DATA_SHEET5"/>
      <sheetName val="Progress_Tab5"/>
      <sheetName val="w't_table5"/>
      <sheetName val="Eq__Mobilization5"/>
      <sheetName val="33628-Rev__A5"/>
      <sheetName val="입찰내역_발주처_양식5"/>
      <sheetName val="M_115"/>
      <sheetName val="REINF_5"/>
      <sheetName val="3__GROUNDING_SYSTEM5"/>
      <sheetName val="member_design4"/>
      <sheetName val="Adjusted_Bids4"/>
      <sheetName val="PC_CATCH_PIT_1X1X1_2M4"/>
      <sheetName val="PC_CATCH_PIT__6X_6X1_0M4"/>
      <sheetName val="PC_COVER_100MM_THK__95x_34"/>
      <sheetName val="PC_COVER_250MM_THK_2_2x_34"/>
      <sheetName val="working_load_at_the_btm_ft_4"/>
      <sheetName val="soil_bearing_check4"/>
      <sheetName val="Concept_Offshore4"/>
      <sheetName val="Chiet_tinh_dz354"/>
      <sheetName val="Running_compatibility_check_4"/>
      <sheetName val="A(Rev_3)4"/>
      <sheetName val="00-Summary Information-ABB"/>
      <sheetName val="DO NOT Delete"/>
      <sheetName val="WORKSHEET CS"/>
      <sheetName val="DATA"/>
      <sheetName val="Petty"/>
      <sheetName val="page 6"/>
      <sheetName val="_Planning&amp;reporting.xlsM9000-A"/>
      <sheetName val="CODE"/>
      <sheetName val="J"/>
      <sheetName val="DATOS"/>
      <sheetName val="BAG-2"/>
      <sheetName val="[Planning&amp;reporting_xlsM9000-A"/>
      <sheetName val="Running_compatibility_check_?A?"/>
      <sheetName val="Running_compatibility_check__A_"/>
      <sheetName val="Running_compatibility_check__x0"/>
      <sheetName val="BID"/>
      <sheetName val="Cashflow_Analysis"/>
      <sheetName val="List_of_WorkPacks"/>
      <sheetName val="List_of_Dates"/>
      <sheetName val="FWBS_codes"/>
      <sheetName val="STANDARD_DESCRIPTION"/>
      <sheetName val="STANDARD_DESCRIPTION_-_20150519"/>
      <sheetName val="Drawings_Summary"/>
      <sheetName val="Instr_Drawing_List"/>
      <sheetName val="INDEX-Areas_B000,C000,D000,E000"/>
      <sheetName val="STANDARD_DESCRIPTION_20150715"/>
      <sheetName val="DropDown_Selections"/>
      <sheetName val="A_(2)"/>
      <sheetName val="P-Ins &amp; Bonds"/>
      <sheetName val="P-Site fac"/>
      <sheetName val="P-Clients fac"/>
      <sheetName val="P Staff fac"/>
      <sheetName val="factor "/>
      <sheetName val="CASHFLOWS"/>
      <sheetName val="Structural Comp"/>
      <sheetName val="차액보증"/>
      <sheetName val="19.05.2010"/>
      <sheetName val="Earthworks ERP"/>
      <sheetName val="24.06.2010"/>
      <sheetName val="Small Structures ERP"/>
      <sheetName val="Large Structures ERP"/>
      <sheetName val="Tunnelling ERP"/>
      <sheetName val="0124"/>
      <sheetName val="vlookup - do not print"/>
      <sheetName val="Notes"/>
      <sheetName val="Structural_Comp"/>
      <sheetName val="Orçamento"/>
      <sheetName val="SUM_FSBLT8"/>
      <sheetName val="Overall_Project8"/>
      <sheetName val="Overall_Process8"/>
      <sheetName val="Overall_Utility8"/>
      <sheetName val="FWBS_10008"/>
      <sheetName val="FWBS_20008"/>
      <sheetName val="FWBS_30008"/>
      <sheetName val="FWBS_50008"/>
      <sheetName val="FWBS_60008"/>
      <sheetName val="FWBS_70008"/>
      <sheetName val="FWBS_80008"/>
      <sheetName val="FWBS_90008"/>
      <sheetName val="FWBS_A0008"/>
      <sheetName val="FWBS_B0008"/>
      <sheetName val="FWBS_Z0008"/>
      <sheetName val="INVOICE_CERT_EIV'S7"/>
      <sheetName val="Onerous_Terms7"/>
      <sheetName val="Building_BD7"/>
      <sheetName val="_Sum7"/>
      <sheetName val="실제_도면출도6"/>
      <sheetName val="공사비_내역_(가)6"/>
      <sheetName val="plan&amp;section_of_foundation6"/>
      <sheetName val="design_criteria6"/>
      <sheetName val="Eq__Mobilization6"/>
      <sheetName val="w't_table6"/>
      <sheetName val="BM_DATA_SHEET6"/>
      <sheetName val="33628-Rev__A6"/>
      <sheetName val="입찰내역_발주처_양식6"/>
      <sheetName val="Progress_Tab6"/>
      <sheetName val="M_116"/>
      <sheetName val="REINF_6"/>
      <sheetName val="3__GROUNDING_SYSTEM6"/>
      <sheetName val="member_design5"/>
      <sheetName val="PC_CATCH_PIT_1X1X1_2M5"/>
      <sheetName val="PC_CATCH_PIT__6X_6X1_0M5"/>
      <sheetName val="PC_COVER_100MM_THK__95x_35"/>
      <sheetName val="PC_COVER_250MM_THK_2_2x_35"/>
      <sheetName val="Adjusted_Bids5"/>
      <sheetName val="working_load_at_the_btm_ft_5"/>
      <sheetName val="soil_bearing_check5"/>
      <sheetName val="Concept_Offshore5"/>
      <sheetName val="Chiet_tinh_dz355"/>
      <sheetName val="Running_compatibility_check_5"/>
      <sheetName val="A(Rev_3)5"/>
      <sheetName val="Calendar"/>
      <sheetName val="Rate Analysis"/>
      <sheetName val="COMPLEXALL"/>
      <sheetName val="EmpList"/>
      <sheetName val="Personnel"/>
      <sheetName val="Lists"/>
      <sheetName val="Time Rates "/>
      <sheetName val="Depreciation"/>
      <sheetName val="_Planning&amp;reporting_xlsM9000-A"/>
      <sheetName val="Pricing Summary"/>
      <sheetName val="Net Cost - Final Base"/>
      <sheetName val="7.6Net Cost Agreed on Dec-04 R1"/>
      <sheetName val="Net Cost Agreed on Dec-04 Rev1"/>
      <sheetName val="7.6 Net Cost Agreed on Dec-04"/>
      <sheetName val="Net Cost Agreed on Dec-04"/>
      <sheetName val="Total for Check"/>
      <sheetName val="ITB COST"/>
      <sheetName val="Civil Weekly"/>
      <sheetName val="유림콘도"/>
      <sheetName val="inter"/>
      <sheetName val="예산M11A"/>
      <sheetName val="drop down"/>
      <sheetName val="Sheet16"/>
      <sheetName val="CAPEX Categories"/>
      <sheetName val=" N Finansal Eğri"/>
      <sheetName val="1"/>
      <sheetName val="손익차9월2"/>
      <sheetName val="Menu"/>
      <sheetName val="Source Data"/>
      <sheetName val="0.0 Cover"/>
      <sheetName val="Hoja 3"/>
      <sheetName val="Cutoff"/>
      <sheetName val="MOS"/>
      <sheetName val="총괄"/>
      <sheetName val="pg.4"/>
      <sheetName val="Subcon A"/>
      <sheetName val="갑지"/>
      <sheetName val="도급양식"/>
      <sheetName val="예산"/>
      <sheetName val="pg_4"/>
      <sheetName val="Subcon_A"/>
      <sheetName val="bill 2"/>
      <sheetName val="insulation"/>
      <sheetName val="MATERIAL'S PRICE"/>
      <sheetName val="pg_41"/>
      <sheetName val="Subcon_A1"/>
      <sheetName val="bill_2"/>
      <sheetName val="MATERIAL'S_PRICE"/>
      <sheetName val="sum"/>
      <sheetName val="Benchmark"/>
      <sheetName val="견적서표지0204-2 (2)"/>
      <sheetName val="Piping Spool"/>
      <sheetName val="Cost Definition"/>
      <sheetName val="견적 원가 "/>
      <sheetName val="부산제일극장"/>
      <sheetName val="유림골조"/>
      <sheetName val="FAB별"/>
      <sheetName val="Settings"/>
      <sheetName val="Sand"/>
      <sheetName val="Geotextile for geotube"/>
      <sheetName val="Geotube"/>
      <sheetName val="Hohlquader"/>
      <sheetName val="RD01"/>
      <sheetName val="WORKSHEET_CS"/>
      <sheetName val="JK Price sheet"/>
      <sheetName val="TP Price sheet"/>
      <sheetName val="Phase 1 JK UTSE"/>
      <sheetName val="Phase 2 JK UTSE"/>
      <sheetName val="Phase 1 and 2 JK UTSE"/>
      <sheetName val="Phase 1 TP UTSE"/>
      <sheetName val="Phase 2 TP UTSE"/>
      <sheetName val="Phase 1 and 2 TP UTSE"/>
      <sheetName val="Cash Flow (BL)"/>
      <sheetName val="Cash Flow (UTSE)"/>
      <sheetName val="Estimation"/>
      <sheetName val="스케즐"/>
      <sheetName val="S3-Costing"/>
      <sheetName val="S4-Costing"/>
      <sheetName val="Indirect"/>
      <sheetName val="Schedule "/>
      <sheetName val="Loading Struc"/>
      <sheetName val="Loading Pip"/>
      <sheetName val="Loading Overall (BASE Proposal)"/>
      <sheetName val="SCaffold"/>
      <sheetName val="Steel Structure"/>
      <sheetName val="UR"/>
      <sheetName val="Ref-Str"/>
      <sheetName val="PIPING AG-UG_NEW UNITS"/>
      <sheetName val="MEC_PIPING PREFABR"/>
      <sheetName val="Ref-Pip"/>
      <sheetName val="Working File-Pip"/>
      <sheetName val="Consumables"/>
      <sheetName val="NDT"/>
      <sheetName val="VALVES"/>
      <sheetName val="Supports"/>
      <sheetName val="Miscellaneous"/>
      <sheetName val="Equip_ISBL &amp; OSBL "/>
      <sheetName val="Painting"/>
      <sheetName val="INS-Piping"/>
      <sheetName val="INS-Equipment"/>
      <sheetName val="ELECTRICITY"/>
      <sheetName val="INSTRUMENTATION"/>
      <sheetName val="Direct_Prices"/>
      <sheetName val="page_6"/>
      <sheetName val="DO_NOT_Delete"/>
      <sheetName val="00-Summary_Information-ABB"/>
      <sheetName val="1.INV"/>
      <sheetName val="2.Calculation Sheet"/>
      <sheetName val="Price Sheet"/>
      <sheetName val="3. Progress"/>
      <sheetName val="4. EDR"/>
      <sheetName val="sheet6"/>
      <sheetName val="DATA-DEP.(13-17)"/>
      <sheetName val="DATA-KBPL(17-25)"/>
      <sheetName val="DATA-GCC(25-34.7)"/>
      <sheetName val="St.-Con(0-17)"/>
      <sheetName val="St.-Con.(17-34)"/>
      <sheetName val="Cover"/>
      <sheetName val="Total Staff"/>
      <sheetName val="0. SUMMARY"/>
      <sheetName val="1. Engineering"/>
      <sheetName val="2. Check point"/>
      <sheetName val="II Changes 1"/>
      <sheetName val="III Changes 2"/>
      <sheetName val="Qty."/>
      <sheetName val="MP"/>
      <sheetName val="EQP"/>
      <sheetName val="OQC Summary"/>
      <sheetName val="6.Unit Rates"/>
      <sheetName val="2.04"/>
      <sheetName val="2.05"/>
      <sheetName val="2.07 &amp; 2.08"/>
      <sheetName val="3.01"/>
      <sheetName val="3.02"/>
      <sheetName val="3.03"/>
      <sheetName val="ratios"/>
      <sheetName val="ecart Personnel"/>
      <sheetName val="Ecart Others"/>
      <sheetName val="Other costs"/>
      <sheetName val="3000 Steel str"/>
      <sheetName val="5000 Equipments"/>
      <sheetName val="6000 Piping"/>
      <sheetName val="7000 Instrumentation"/>
      <sheetName val="8000 Electrical"/>
      <sheetName val="per supplier"/>
      <sheetName val="Pivot ledger"/>
      <sheetName val="Ledger"/>
      <sheetName val="Pivot ENT"/>
      <sheetName val="ENT"/>
      <sheetName val="Pivot MAD"/>
      <sheetName val="MAD"/>
      <sheetName val="Prod"/>
      <sheetName val="Summary (3)"/>
      <sheetName val="RRW Scaff"/>
      <sheetName val="RRW Oct-2019-1st Lot-13-10-19"/>
      <sheetName val="RRW Oct-2019-2st Lot-15-10-19"/>
      <sheetName val="GRAPH_DATA"/>
      <sheetName val="PERHITUNGAN  KEEKONOMIAN"/>
      <sheetName val="SENSITIVITAS"/>
      <sheetName val="RFP003_Building - B"/>
      <sheetName val="RFP005"/>
      <sheetName val="RFP006"/>
      <sheetName val="RFP012"/>
      <sheetName val="RFP009"/>
      <sheetName val="RFP004"/>
      <sheetName val="Salary 2013"/>
      <sheetName val="Overall MTO - 20191001 (old)"/>
      <sheetName val="MTO for BMBQ"/>
      <sheetName val="PCWBS Map"/>
      <sheetName val="Paint&amp;Ins"/>
      <sheetName val="reff"/>
      <sheetName val="Valve"/>
      <sheetName val="BQ Reff"/>
      <sheetName val="Sum of Comparison-20191007"/>
      <sheetName val="NPS"/>
      <sheetName val="Joint No."/>
      <sheetName val="Unit Weight"/>
      <sheetName val="Detail PMC"/>
      <sheetName val="Detail PMC (for full desc)"/>
      <sheetName val="Bolt Size"/>
      <sheetName val="NDE Req"/>
      <sheetName val="DB-FILM"/>
      <sheetName val="DB-EQV"/>
      <sheetName val="MLCL"/>
      <sheetName val="DB-Weight"/>
      <sheetName val="DB-EQL"/>
      <sheetName val="DB-BOLT SIZE"/>
      <sheetName val="REQ LIST"/>
      <sheetName val="DESC NEW PMC"/>
      <sheetName val="MTO_2020.03.11"/>
      <sheetName val="BM_PIVOT"/>
      <sheetName val="BQ_2020.03.03"/>
      <sheetName val="MTO_2020.03.03 (VDR)"/>
      <sheetName val="BQ_2020.03.03 (VDR)"/>
      <sheetName val="WEIGHT &amp; PAINT"/>
      <sheetName val="FW JGC"/>
      <sheetName val="FW VENDOR"/>
      <sheetName val="BQ_2020.02.25"/>
      <sheetName val="BM_PIPE,FITTING&amp;FLG"/>
      <sheetName val="BM_GASKET"/>
      <sheetName val="BM_BOLT &amp; NUT"/>
      <sheetName val="RT TABLE"/>
      <sheetName val="BRANCH &amp; REDUCING TABLE"/>
      <sheetName val="DESC OLD PMC"/>
      <sheetName val="PMC-OLD"/>
      <sheetName val="PMC-MLCL"/>
      <sheetName val="SHORT CODE LIST"/>
      <sheetName val="S"/>
      <sheetName val="Tgh JGC-Inv I clp"/>
      <sheetName val="PCS "/>
      <sheetName val="Progress Statement-SI"/>
      <sheetName val="Progress Payment-3110"/>
      <sheetName val="EQUI"/>
      <sheetName val="PROGRAM"/>
      <sheetName val="CASHFLOW"/>
      <sheetName val="[Planning&amp;reporting_xlsM9000-A1"/>
      <sheetName val="Cashflow_Analysis1"/>
      <sheetName val="Running_compatibility_check__x1"/>
      <sheetName val="List_of_WorkPacks1"/>
      <sheetName val="List_of_Dates1"/>
      <sheetName val="FWBS_codes1"/>
      <sheetName val="STANDARD_DESCRIPTION1"/>
      <sheetName val="STANDARD_DESCRIPTION_-_20150511"/>
      <sheetName val="Drawings_Summary1"/>
      <sheetName val="Instr_Drawing_List1"/>
      <sheetName val="INDEX-Areas_B000,C000,D000,E001"/>
      <sheetName val="STANDARD_DESCRIPTION_201507151"/>
      <sheetName val="DropDown_Selections1"/>
      <sheetName val="Running_compatibility_check_?A1"/>
      <sheetName val="Running_compatibility_check__A1"/>
      <sheetName val="A_(2)1"/>
      <sheetName val="Finansal tamamlanma Eğrisi"/>
      <sheetName val="INDIRECT OH&amp;P "/>
      <sheetName val="Hoja2"/>
      <sheetName val="Horas"/>
      <sheetName val="ABBR"/>
      <sheetName val="SUM_FSBLT9"/>
      <sheetName val="Overall_Project9"/>
      <sheetName val="Overall_Process9"/>
      <sheetName val="Overall_Utility9"/>
      <sheetName val="FWBS_10009"/>
      <sheetName val="FWBS_20009"/>
      <sheetName val="FWBS_30009"/>
      <sheetName val="FWBS_50009"/>
      <sheetName val="FWBS_60009"/>
      <sheetName val="FWBS_70009"/>
      <sheetName val="FWBS_80009"/>
      <sheetName val="FWBS_90009"/>
      <sheetName val="FWBS_A0009"/>
      <sheetName val="FWBS_B0009"/>
      <sheetName val="FWBS_Z0009"/>
      <sheetName val="실제_도면출도7"/>
      <sheetName val="INVOICE_CERT_EIV'S8"/>
      <sheetName val="Building_BD8"/>
      <sheetName val="Onerous_Terms8"/>
      <sheetName val="_Sum8"/>
      <sheetName val="plan&amp;section_of_foundation7"/>
      <sheetName val="design_criteria7"/>
      <sheetName val="공사비_내역_(가)7"/>
      <sheetName val="33628-Rev__A7"/>
      <sheetName val="w't_table7"/>
      <sheetName val="BM_DATA_SHEET7"/>
      <sheetName val="Progress_Tab7"/>
      <sheetName val="Eq__Mobilization7"/>
      <sheetName val="입찰내역_발주처_양식7"/>
      <sheetName val="REINF_7"/>
      <sheetName val="M_117"/>
      <sheetName val="PC_CATCH_PIT_1X1X1_2M6"/>
      <sheetName val="PC_CATCH_PIT__6X_6X1_0M6"/>
      <sheetName val="PC_COVER_100MM_THK__95x_36"/>
      <sheetName val="PC_COVER_250MM_THK_2_2x_36"/>
      <sheetName val="Chiet_tinh_dz356"/>
      <sheetName val="member_design6"/>
      <sheetName val="working_load_at_the_btm_ft_6"/>
      <sheetName val="soil_bearing_check6"/>
      <sheetName val="3__GROUNDING_SYSTEM7"/>
      <sheetName val="Structural_Comp2"/>
      <sheetName val="Adjusted_Bids6"/>
      <sheetName val="Concept_Offshore6"/>
      <sheetName val="Running_compatibility_check_6"/>
      <sheetName val="FWBS_codes2"/>
      <sheetName val="STANDARD_DESCRIPTION2"/>
      <sheetName val="STANDARD_DESCRIPTION_-_20150512"/>
      <sheetName val="Drawings_Summary2"/>
      <sheetName val="Instr_Drawing_List2"/>
      <sheetName val="INDEX-Areas_B000,C000,D000,E002"/>
      <sheetName val="STANDARD_DESCRIPTION_201507152"/>
      <sheetName val="DropDown_Selections2"/>
      <sheetName val="A(Rev_3)6"/>
      <sheetName val="[Planning&amp;reporting_xlsM9000-A2"/>
      <sheetName val="Cashflow_Analysis2"/>
      <sheetName val="Direct_Prices1"/>
      <sheetName val="WORKSHEET_CS1"/>
      <sheetName val="_Planning&amp;reporting_xlsM9000-A1"/>
      <sheetName val="00-Summary_Information-ABB1"/>
      <sheetName val="DO_NOT_DELETE1"/>
      <sheetName val="Time_Rates_1"/>
      <sheetName val="Structural_Comp1"/>
      <sheetName val="Time_Rates_"/>
      <sheetName val="목록박스"/>
      <sheetName val="Specs"/>
      <sheetName val="PROJ_INFO"/>
      <sheetName val="FOREX"/>
      <sheetName val="AEROGEL CAL"/>
      <sheetName val="CRYG THKMM"/>
      <sheetName val="QUOTES"/>
      <sheetName val="PVBF"/>
      <sheetName val="SCAFF"/>
      <sheetName val="INDIRECTS"/>
      <sheetName val="LABBASIS"/>
      <sheetName val="MATBASIS"/>
      <sheetName val="TKOFF"/>
      <sheetName val="PSUM"/>
      <sheetName val="ANALYSIS"/>
      <sheetName val="ITB REVIEW"/>
      <sheetName val="SPCS SUMM."/>
      <sheetName val="ESTI. SUMM."/>
      <sheetName val="Price Summary"/>
      <sheetName val="BOQ_Insulation_Piping"/>
      <sheetName val="BOQ_Insulation_Equipment"/>
      <sheetName val="Acc Stock-INSUL"/>
      <sheetName val="97 사업추정(WEKI)"/>
      <sheetName val="BOM SUM"/>
      <sheetName val="Eng. Boq -1"/>
      <sheetName val="PFP,TIE COAT &amp; TOP FLG PAINTED"/>
      <sheetName val="Shop Modifications"/>
      <sheetName val="JI-2036 - Preservation"/>
      <sheetName val="Re-Application "/>
      <sheetName val="Sheet3"/>
      <sheetName val="L-FRAMES"/>
      <sheetName val="MM"/>
      <sheetName val="OLD (2)"/>
      <sheetName val="회사99"/>
      <sheetName val="Cable Schedule"/>
      <sheetName val="배5월출고"/>
      <sheetName val="Report Wizard"/>
      <sheetName val="Initial Plan"/>
      <sheetName val="Progress"/>
      <sheetName val="7422CW00"/>
      <sheetName val="LOADDAT"/>
      <sheetName val="개시대사 (2)"/>
      <sheetName val="BLDG_DCI"/>
      <sheetName val="BLDG_MCI"/>
      <sheetName val="P-산#1-1(WOWA1)"/>
      <sheetName val="부하계산서"/>
      <sheetName val="BQ-E20-02(Rp)"/>
      <sheetName val="DIV-03"/>
      <sheetName val="Sal"/>
      <sheetName val="Harsat"/>
      <sheetName val="Equiv.Length"/>
      <sheetName val="S-Curve (Weekly)"/>
      <sheetName val="Price Summary (1)"/>
      <sheetName val="Price Summary (2)"/>
      <sheetName val="DESBASTE"/>
      <sheetName val="Item#9.3"/>
      <sheetName val="Item#1.9"/>
      <sheetName val="Item#2.6"/>
      <sheetName val="Item#3.8"/>
      <sheetName val="Item#4.10"/>
      <sheetName val="Item#5.8"/>
      <sheetName val="Item#6.7"/>
      <sheetName val="Item#7.21"/>
      <sheetName val="Item#8.7"/>
      <sheetName val="8-31-98"/>
      <sheetName val="worksheet inchican"/>
      <sheetName val="REBAR"/>
      <sheetName val="Arch"/>
      <sheetName val="DESBAST"/>
      <sheetName val="チューブ仕様"/>
      <sheetName val="LLEGADA"/>
      <sheetName val="GAE8'97"/>
      <sheetName val="2.2 띠장의 설계"/>
      <sheetName val="2.223M_due to adj profit"/>
      <sheetName val="Land Dev't. Ph-1"/>
      <sheetName val="INTERIOR WALLS"/>
      <sheetName val="CPA_EQP"/>
      <sheetName val="S-Curve"/>
      <sheetName val="5-Digit"/>
      <sheetName val="CFA"/>
      <sheetName val="Material Price"/>
      <sheetName val="combined 9-30"/>
      <sheetName val="Ex-Rate"/>
      <sheetName val="Budget"/>
      <sheetName val="GESTION FICHE"/>
      <sheetName val="TRADUCTION LISTES"/>
      <sheetName val="12 - MAT'L CLASSIFIC. FACTORS"/>
      <sheetName val="1 - PREFAB STR STEEL"/>
      <sheetName val="8 - SKIDS, VESSELS &amp; EQPT"/>
      <sheetName val="5 - STG PLANT - MISC  ITEMS"/>
      <sheetName val="14 - HEIGHT FACTORS"/>
      <sheetName val="10 - STEAM TURBINE PUMPS"/>
      <sheetName val="16 - ASTM CS PIPE ERECT"/>
      <sheetName val="15 - ASTM CS PIPE FAB"/>
      <sheetName val="7 - SAND BLAST &amp; PAINT"/>
      <sheetName val="Part"/>
      <sheetName val="Setup"/>
      <sheetName val="BOQ LIST"/>
      <sheetName val="17安"/>
      <sheetName val="P-Ins_&amp;_Bonds"/>
      <sheetName val="P-Site_fac"/>
      <sheetName val="P-Clients_fac"/>
      <sheetName val="P_Staff_fac"/>
      <sheetName val="factor_"/>
      <sheetName val="vlookup_-_do_not_print"/>
      <sheetName val="19_05_2010"/>
      <sheetName val="Earthworks_ERP"/>
      <sheetName val="24_06_2010"/>
      <sheetName val="Small_Structures_ERP"/>
      <sheetName val="Large_Structures_ERP"/>
      <sheetName val="Tunnelling_ERP"/>
      <sheetName val="Pricing_Summary"/>
      <sheetName val="Net_Cost_-_Final_Base"/>
      <sheetName val="7_6Net_Cost_Agreed_on_Dec-04_R1"/>
      <sheetName val="Net_Cost_Agreed_on_Dec-04_Rev1"/>
      <sheetName val="7_6_Net_Cost_Agreed_on_Dec-04"/>
      <sheetName val="Net_Cost_Agreed_on_Dec-04"/>
      <sheetName val="Total_for_Check"/>
      <sheetName val="Rate_Analysis"/>
      <sheetName val="ITB_COST"/>
      <sheetName val="Civil_Weekly"/>
      <sheetName val="견적서표지0204-2_(2)"/>
      <sheetName val="Piping_Spool"/>
      <sheetName val="Cost_Definition"/>
      <sheetName val="견적_원가_"/>
      <sheetName val="pg_42"/>
      <sheetName val="Subcon_A2"/>
      <sheetName val="bill_21"/>
      <sheetName val="MATERIAL'S_PRICE1"/>
      <sheetName val="_N_Finansal_Eğri"/>
      <sheetName val="2_04"/>
      <sheetName val="2_05"/>
      <sheetName val="2_07_&amp;_2_08"/>
      <sheetName val="3_01"/>
      <sheetName val="3_02"/>
      <sheetName val="3_03"/>
      <sheetName val="ecart_Personnel"/>
      <sheetName val="Ecart_Others"/>
      <sheetName val="Other_costs"/>
      <sheetName val="3000_Steel_str"/>
      <sheetName val="5000_Equipments"/>
      <sheetName val="6000_Piping"/>
      <sheetName val="7000_Instrumentation"/>
      <sheetName val="8000_Electrical"/>
      <sheetName val="per_supplier"/>
      <sheetName val="Pivot_ledger"/>
      <sheetName val="Pivot_ENT"/>
      <sheetName val="Pivot_MAD"/>
      <sheetName val="SOS_PLC &amp; Panel"/>
      <sheetName val="2000년_#1_HB"/>
      <sheetName val="INSULATION R1"/>
      <sheetName val="L V Separator"/>
      <sheetName val="TACE"/>
      <sheetName val="MIBK원단위"/>
      <sheetName val="BAND(200)"/>
      <sheetName val="OUTER AREA(겹침없음)"/>
      <sheetName val="EG-09"/>
      <sheetName val="conta_rapor"/>
      <sheetName val="sonuç"/>
      <sheetName val="Follow-up"/>
      <sheetName val="Sayfa1"/>
      <sheetName val="Insulatıon_status"/>
      <sheetName val="APP-9"/>
      <sheetName val="MAPP"/>
      <sheetName val="rek det 1-3"/>
      <sheetName val="BP"/>
      <sheetName val="Inert Balls"/>
      <sheetName val="Fig 4-14"/>
      <sheetName val="Fig 5-17"/>
      <sheetName val="전체계좌"/>
      <sheetName val="8104"/>
      <sheetName val="1771"/>
      <sheetName val="Manpower List-1"/>
      <sheetName val="DAILY"/>
      <sheetName val="SUMMARY FOR DPR"/>
      <sheetName val="Index Daily Alloaction"/>
      <sheetName val="Manpower List"/>
      <sheetName val="A &amp; B"/>
      <sheetName val="breakdown"/>
      <sheetName val="마감물량"/>
      <sheetName val="Substation Column"/>
      <sheetName val="laborrates"/>
      <sheetName val="100(4)"/>
      <sheetName val="合成単価作成表_BLDG"/>
      <sheetName val="RefG"/>
      <sheetName val="IRR sponsor"/>
      <sheetName val="SG"/>
      <sheetName val="SPT vs PHI"/>
      <sheetName val="01-D.PERS"/>
      <sheetName val="Comp equip"/>
      <sheetName val="Mach &amp; equip"/>
      <sheetName val="STR"/>
      <sheetName val="NP"/>
      <sheetName val="BILL"/>
      <sheetName val="Komponen Upah"/>
      <sheetName val="Inkindo 2015"/>
      <sheetName val="노임이"/>
      <sheetName val="Estimate"/>
      <sheetName val="뜃맟뭁돽띿맟_r_x0000_蠀擿㤁"/>
      <sheetName val="뜃맟뭁돽띿맟_r_x0000_蠀䛿㤂"/>
      <sheetName val="뜃맟뭁돽띿맟_㥲ꖄ쐀㬣ꠂ"/>
      <sheetName val="뜃맟뭁돽띿맟_衲裿㤁䲄쐀"/>
      <sheetName val="노임단가"/>
      <sheetName val="교량대비"/>
      <sheetName val="내역서"/>
      <sheetName val="COLUMNS"/>
      <sheetName val="VESSELS "/>
      <sheetName val="95삼성급(본사)"/>
      <sheetName val="CASH-FLOW"/>
      <sheetName val="Table_Rates Data"/>
      <sheetName val="IMPULSE"/>
      <sheetName val="PDS U-1400"/>
      <sheetName val="Planilla CND"/>
      <sheetName val="Restricted"/>
      <sheetName val="Prec.OTS"/>
      <sheetName val="SUM_FSBLT10"/>
      <sheetName val="Overall_Project10"/>
      <sheetName val="Overall_Process10"/>
      <sheetName val="Overall_Utility10"/>
      <sheetName val="FWBS_100010"/>
      <sheetName val="FWBS_200010"/>
      <sheetName val="FWBS_300010"/>
      <sheetName val="FWBS_500010"/>
      <sheetName val="FWBS_600010"/>
      <sheetName val="FWBS_700010"/>
      <sheetName val="FWBS_800010"/>
      <sheetName val="FWBS_900010"/>
      <sheetName val="FWBS_A00010"/>
      <sheetName val="FWBS_B00010"/>
      <sheetName val="FWBS_Z00010"/>
      <sheetName val="member_design7"/>
      <sheetName val="Onerous_Terms9"/>
      <sheetName val="Building_BD9"/>
      <sheetName val="INVOICE_CERT_EIV'S9"/>
      <sheetName val="실제_도면출도8"/>
      <sheetName val="_Sum9"/>
      <sheetName val="plan&amp;section_of_foundation8"/>
      <sheetName val="design_criteria8"/>
      <sheetName val="공사비_내역_(가)8"/>
      <sheetName val="33628-Rev__A8"/>
      <sheetName val="w't_table8"/>
      <sheetName val="Eq__Mobilization8"/>
      <sheetName val="BM_DATA_SHEET8"/>
      <sheetName val="Progress_Tab8"/>
      <sheetName val="입찰내역_발주처_양식8"/>
      <sheetName val="REINF_8"/>
      <sheetName val="working_load_at_the_btm_ft_7"/>
      <sheetName val="soil_bearing_check7"/>
      <sheetName val="M_118"/>
      <sheetName val="PC_CATCH_PIT_1X1X1_2M7"/>
      <sheetName val="PC_CATCH_PIT__6X_6X1_0M7"/>
      <sheetName val="PC_COVER_100MM_THK__95x_37"/>
      <sheetName val="PC_COVER_250MM_THK_2_2x_37"/>
      <sheetName val="Adjusted_Bids7"/>
      <sheetName val="Running_compatibility_check_7"/>
      <sheetName val="Concept_Offshore7"/>
      <sheetName val="3__GROUNDING_SYSTEM8"/>
      <sheetName val="Chiet_tinh_dz357"/>
      <sheetName val="A(Rev_3)7"/>
      <sheetName val="[Planning&amp;reporting_xlsM9000-A3"/>
      <sheetName val="Running_compatibility_check__x2"/>
      <sheetName val="List_of_WorkPacks2"/>
      <sheetName val="List_of_Dates2"/>
      <sheetName val="FWBS_codes3"/>
      <sheetName val="STANDARD_DESCRIPTION3"/>
      <sheetName val="STANDARD_DESCRIPTION_-_20150513"/>
      <sheetName val="Drawings_Summary3"/>
      <sheetName val="Instr_Drawing_List3"/>
      <sheetName val="INDEX-Areas_B000,C000,D000,E003"/>
      <sheetName val="STANDARD_DESCRIPTION_201507153"/>
      <sheetName val="DropDown_Selections3"/>
      <sheetName val="Running_compatibility_check_?A2"/>
      <sheetName val="Cashflow_Analysis3"/>
      <sheetName val="A_(2)2"/>
      <sheetName val="Running_compatibility_check__A2"/>
      <sheetName val="_Planning&amp;reporting_xlsM9000-A2"/>
      <sheetName val="WORKSHEET_CS2"/>
      <sheetName val="Direct_Prices2"/>
      <sheetName val="00-Summary_Information-ABB2"/>
      <sheetName val="page_61"/>
      <sheetName val="Structural_Comp3"/>
      <sheetName val="Time_Rates_2"/>
      <sheetName val="PERHITUNGAN__KEEKONOMIAN"/>
      <sheetName val="RFP003_Building_-_B"/>
      <sheetName val="Total_Staff"/>
      <sheetName val="0__SUMMARY"/>
      <sheetName val="1__Engineering"/>
      <sheetName val="2__Check_point"/>
      <sheetName val="II_Changes_1"/>
      <sheetName val="III_Changes_2"/>
      <sheetName val="Qty_"/>
      <sheetName val="OQC_Summary"/>
      <sheetName val="6_Unit_Rates"/>
      <sheetName val="AEROGEL_CAL"/>
      <sheetName val="CRYG_THKMM"/>
      <sheetName val="ITB_REVIEW"/>
      <sheetName val="SPCS_SUMM_"/>
      <sheetName val="ESTI__SUMM_"/>
      <sheetName val="Price_Summary"/>
      <sheetName val="Acc_Stock-INSUL"/>
      <sheetName val="97_사업추정(WEKI)"/>
      <sheetName val="Drop_Down"/>
      <sheetName val="Source_Data"/>
      <sheetName val="Overall_MTO_-_20191001_(old)"/>
      <sheetName val="MTO_for_BMBQ"/>
      <sheetName val="BQ_Reff"/>
      <sheetName val="Sum_of_Comparison-20191007"/>
      <sheetName val="Joint_No_"/>
      <sheetName val="Unit_Weight"/>
      <sheetName val="Detail_PMC"/>
      <sheetName val="Detail_PMC_(for_full_desc)"/>
      <sheetName val="Bolt_Size"/>
      <sheetName val="NDE_Req"/>
      <sheetName val="Tgh_JGC-Inv_I_clp"/>
      <sheetName val="PCS_"/>
      <sheetName val="Progress_Statement-SI"/>
      <sheetName val="Progress_Payment-3110"/>
      <sheetName val="0_0_Cover"/>
      <sheetName val="Hoja_3"/>
      <sheetName val="Schedule_"/>
      <sheetName val="Loading_Struc"/>
      <sheetName val="Loading_Pip"/>
      <sheetName val="Loading_Overall_(BASE_Proposal)"/>
      <sheetName val="Steel_Structure"/>
      <sheetName val="PIPING_AG-UG_NEW_UNITS"/>
      <sheetName val="MEC_PIPING_PREFABR"/>
      <sheetName val="Working_File-Pip"/>
      <sheetName val="Equip_ISBL_&amp;_OSBL_"/>
      <sheetName val="CAPEX_Categories"/>
      <sheetName val="Cable_Schedule"/>
      <sheetName val="INDIRECT_OH&amp;P_"/>
      <sheetName val="JK_Price_sheet"/>
      <sheetName val="TP_Price_sheet"/>
      <sheetName val="Phase_1_JK_UTSE"/>
      <sheetName val="Phase_2_JK_UTSE"/>
      <sheetName val="Phase_1_and_2_JK_UTSE"/>
      <sheetName val="Phase_1_TP_UTSE"/>
      <sheetName val="Phase_2_TP_UTSE"/>
      <sheetName val="Phase_1_and_2_TP_UTSE"/>
      <sheetName val="Cash_Flow_(BL)"/>
      <sheetName val="Cash_Flow_(UTSE)"/>
      <sheetName val="Summary_(3)"/>
      <sheetName val="RRW_Scaff"/>
      <sheetName val="RRW_Oct-2019-1st_Lot-13-10-19"/>
      <sheetName val="RRW_Oct-2019-2st_Lot-15-10-19"/>
      <sheetName val="Report_Wizard"/>
      <sheetName val="Initial_Plan"/>
      <sheetName val="DB-BOLT_SIZE"/>
      <sheetName val="REQ_LIST"/>
      <sheetName val="DESC_NEW_PMC"/>
      <sheetName val="MTO_2020_03_11"/>
      <sheetName val="BQ_2020_03_03"/>
      <sheetName val="MTO_2020_03_03_(VDR)"/>
      <sheetName val="BQ_2020_03_03_(VDR)"/>
      <sheetName val="WEIGHT_&amp;_PAINT"/>
      <sheetName val="FW_JGC"/>
      <sheetName val="FW_VENDOR"/>
      <sheetName val="BQ_2020_02_25"/>
      <sheetName val="BM_BOLT_&amp;_NUT"/>
      <sheetName val="RT_TABLE"/>
      <sheetName val="BRANCH_&amp;_REDUCING_TABLE"/>
      <sheetName val="DESC_OLD_PMC"/>
      <sheetName val="SHORT_CODE_LIST"/>
      <sheetName val="Geotextile_for_geotube"/>
      <sheetName val="Salary_2013"/>
      <sheetName val="Finansal_tamamlanma_Eğrisi"/>
      <sheetName val="1_INV"/>
      <sheetName val="2_Calculation_Sheet"/>
      <sheetName val="Price_Sheet"/>
      <sheetName val="3__Progress"/>
      <sheetName val="4__EDR"/>
      <sheetName val="BOM_SUM"/>
      <sheetName val="Eng__Boq_-1"/>
      <sheetName val="PFP,TIE_COAT_&amp;_TOP_FLG_PAINTED"/>
      <sheetName val="Shop_Modifications"/>
      <sheetName val="JI-2036_-_Preservation"/>
      <sheetName val="Re-Application_"/>
      <sheetName val="OLD_(2)"/>
      <sheetName val="DATA-DEP_(13-17)"/>
      <sheetName val="DATA-GCC(25-34_7)"/>
      <sheetName val="St_-Con(0-17)"/>
      <sheetName val="St_-Con_(17-34)"/>
      <sheetName val="개시대사_(2)"/>
      <sheetName val="Equiv_Length"/>
      <sheetName val="S-Curve_(Weekly)"/>
      <sheetName val="Price_Summary_(1)"/>
      <sheetName val="Price_Summary_(2)"/>
      <sheetName val="Item#9_3"/>
      <sheetName val="Item#1_9"/>
      <sheetName val="Item#2_6"/>
      <sheetName val="Item#3_8"/>
      <sheetName val="Item#4_10"/>
      <sheetName val="Item#5_8"/>
      <sheetName val="Item#6_7"/>
      <sheetName val="Item#7_21"/>
      <sheetName val="Item#8_7"/>
      <sheetName val="worksheet_inchican"/>
      <sheetName val="2_2_띠장의_설계"/>
      <sheetName val="2_223M_due_to_adj_profit"/>
      <sheetName val="Land_Dev't__Ph-1"/>
      <sheetName val="INTERIOR_WALLS"/>
      <sheetName val="Material_Price"/>
      <sheetName val="combined_9-30"/>
      <sheetName val="GESTION_FICHE"/>
      <sheetName val="TRADUCTION_LISTES"/>
      <sheetName val="Inert_Balls"/>
      <sheetName val="Prec_OTS"/>
      <sheetName val="INSULATION_R1"/>
      <sheetName val="pw&amp;shs"/>
      <sheetName val="주관사업"/>
      <sheetName val="SEX"/>
      <sheetName val="351BQMCN"/>
      <sheetName val="DAF-4"/>
      <sheetName val="Hrg Satuan"/>
      <sheetName val="analisa"/>
      <sheetName val="schbhn"/>
      <sheetName val="schalt"/>
      <sheetName val="schtng"/>
      <sheetName val="Bill rekap"/>
      <sheetName val="ESCON"/>
      <sheetName val="Div2"/>
      <sheetName val="ANALIS.2"/>
      <sheetName val="ANALIS.1"/>
      <sheetName val="Harga Satuan"/>
      <sheetName val="BHN"/>
      <sheetName val="ALT"/>
      <sheetName val="SUB"/>
      <sheetName val="UPH"/>
      <sheetName val="Aggr"/>
      <sheetName val="analis standar(8m)"/>
      <sheetName val="DAF-3"/>
      <sheetName val="REQDELTA"/>
      <sheetName val="bhn "/>
      <sheetName val="Testing"/>
      <sheetName val="BAG-III"/>
      <sheetName val="I_KAMAR"/>
      <sheetName val="D-3109"/>
      <sheetName val="Mall"/>
      <sheetName val="AHS"/>
      <sheetName val="PLSt 03  "/>
      <sheetName val="П 7 курс аванса"/>
      <sheetName val="견적의뢰"/>
      <sheetName val="Price Schedule"/>
      <sheetName val="Working Materials"/>
      <sheetName val="Working sheet"/>
      <sheetName val="Table_Rates_Data"/>
      <sheetName val="DO_NOT_Delete2"/>
      <sheetName val="page_62"/>
      <sheetName val="P-Ins_&amp;_Bonds1"/>
      <sheetName val="P-Site_fac1"/>
      <sheetName val="P-Clients_fac1"/>
      <sheetName val="P_Staff_fac1"/>
      <sheetName val="factor_1"/>
      <sheetName val="vlookup_-_do_not_print1"/>
      <sheetName val="Rate_Analysis1"/>
      <sheetName val="ITB_COST1"/>
      <sheetName val="19_05_20101"/>
      <sheetName val="Earthworks_ERP1"/>
      <sheetName val="24_06_20101"/>
      <sheetName val="Small_Structures_ERP1"/>
      <sheetName val="Large_Structures_ERP1"/>
      <sheetName val="Tunnelling_ERP1"/>
      <sheetName val="Civil_Weekly1"/>
      <sheetName val="Pricing_Summary1"/>
      <sheetName val="Net_Cost_-_Final_Base1"/>
      <sheetName val="7_6Net_Cost_Agreed_on_Dec-04_R2"/>
      <sheetName val="Net_Cost_Agreed_on_Dec-04_Rev11"/>
      <sheetName val="7_6_Net_Cost_Agreed_on_Dec-041"/>
      <sheetName val="Net_Cost_Agreed_on_Dec-041"/>
      <sheetName val="Total_for_Check1"/>
      <sheetName val="_N_Finansal_Eğri1"/>
      <sheetName val="0_0_Cover1"/>
      <sheetName val="Hoja_31"/>
      <sheetName val="Drop_Down1"/>
      <sheetName val="Source_Data1"/>
      <sheetName val="CAPEX_Categories1"/>
      <sheetName val="RFP003_Building_-_B1"/>
      <sheetName val="pg_43"/>
      <sheetName val="Subcon_A3"/>
      <sheetName val="bill_22"/>
      <sheetName val="MATERIAL'S_PRICE2"/>
      <sheetName val="Schedule_1"/>
      <sheetName val="Loading_Struc1"/>
      <sheetName val="Loading_Pip1"/>
      <sheetName val="Loading_Overall_(BASE_Proposal1"/>
      <sheetName val="Steel_Structure1"/>
      <sheetName val="PIPING_AG-UG_NEW_UNITS1"/>
      <sheetName val="MEC_PIPING_PREFABR1"/>
      <sheetName val="Working_File-Pip1"/>
      <sheetName val="Equip_ISBL_&amp;_OSBL_1"/>
      <sheetName val="견적서표지0204-2_(2)1"/>
      <sheetName val="Piping_Spool1"/>
      <sheetName val="Cost_Definition1"/>
      <sheetName val="견적_원가_1"/>
      <sheetName val="SUM_FSBLT11"/>
      <sheetName val="FWBS_900011"/>
      <sheetName val="Overall_Project11"/>
      <sheetName val="Overall_Process11"/>
      <sheetName val="Overall_Utility11"/>
      <sheetName val="FWBS_100011"/>
      <sheetName val="FWBS_200011"/>
      <sheetName val="FWBS_300011"/>
      <sheetName val="FWBS_500011"/>
      <sheetName val="FWBS_600011"/>
      <sheetName val="FWBS_700011"/>
      <sheetName val="FWBS_800011"/>
      <sheetName val="FWBS_A00011"/>
      <sheetName val="FWBS_B00011"/>
      <sheetName val="FWBS_Z00011"/>
      <sheetName val="INVOICE_CERT_EIV'S10"/>
      <sheetName val="Onerous_Terms10"/>
      <sheetName val="Building_BD10"/>
      <sheetName val="_Sum10"/>
      <sheetName val="실제_도면출도9"/>
      <sheetName val="공사비_내역_(가)9"/>
      <sheetName val="plan&amp;section_of_foundation9"/>
      <sheetName val="design_criteria9"/>
      <sheetName val="w't_table9"/>
      <sheetName val="33628-Rev__A9"/>
      <sheetName val="Progress_Tab9"/>
      <sheetName val="BM_DATA_SHEET9"/>
      <sheetName val="Eq__Mobilization9"/>
      <sheetName val="입찰내역_발주처_양식9"/>
      <sheetName val="M_119"/>
      <sheetName val="REINF_9"/>
      <sheetName val="PC_CATCH_PIT_1X1X1_2M8"/>
      <sheetName val="PC_CATCH_PIT__6X_6X1_0M8"/>
      <sheetName val="PC_COVER_100MM_THK__95x_38"/>
      <sheetName val="PC_COVER_250MM_THK_2_2x_38"/>
      <sheetName val="Chiet_tinh_dz358"/>
      <sheetName val="member_design8"/>
      <sheetName val="3__GROUNDING_SYSTEM9"/>
      <sheetName val="working_load_at_the_btm_ft_8"/>
      <sheetName val="soil_bearing_check8"/>
      <sheetName val="Adjusted_Bids8"/>
      <sheetName val="Concept_Offshore8"/>
      <sheetName val="A(Rev_3)8"/>
      <sheetName val="Running_compatibility_check_8"/>
      <sheetName val="Running_compatibility_check__x3"/>
      <sheetName val="Running_compatibility_check_?A3"/>
      <sheetName val="Running_compatibility_check__A3"/>
      <sheetName val="List_of_WorkPacks3"/>
      <sheetName val="List_of_Dates3"/>
      <sheetName val="A_(2)3"/>
      <sheetName val="WORKSHEET_CS3"/>
      <sheetName val="DO_NOT_Delete3"/>
      <sheetName val="00-Summary_Information-ABB3"/>
      <sheetName val="Direct_Prices3"/>
      <sheetName val="_Planning&amp;reporting_xlsM9000-A3"/>
      <sheetName val="page_63"/>
      <sheetName val="P-Ins_&amp;_Bonds2"/>
      <sheetName val="P-Site_fac2"/>
      <sheetName val="P-Clients_fac2"/>
      <sheetName val="P_Staff_fac2"/>
      <sheetName val="factor_2"/>
      <sheetName val="vlookup_-_do_not_print2"/>
      <sheetName val="Rate_Analysis2"/>
      <sheetName val="ITB_COST2"/>
      <sheetName val="19_05_20102"/>
      <sheetName val="Earthworks_ERP2"/>
      <sheetName val="24_06_20102"/>
      <sheetName val="Small_Structures_ERP2"/>
      <sheetName val="Large_Structures_ERP2"/>
      <sheetName val="Tunnelling_ERP2"/>
      <sheetName val="Civil_Weekly2"/>
      <sheetName val="Pricing_Summary2"/>
      <sheetName val="Net_Cost_-_Final_Base2"/>
      <sheetName val="7_6Net_Cost_Agreed_on_Dec-04_R3"/>
      <sheetName val="Net_Cost_Agreed_on_Dec-04_Rev12"/>
      <sheetName val="7_6_Net_Cost_Agreed_on_Dec-042"/>
      <sheetName val="Net_Cost_Agreed_on_Dec-042"/>
      <sheetName val="Total_for_Check2"/>
      <sheetName val="_N_Finansal_Eğri2"/>
      <sheetName val="0_0_Cover2"/>
      <sheetName val="Hoja_32"/>
      <sheetName val="Drop_Down2"/>
      <sheetName val="Source_Data2"/>
      <sheetName val="CAPEX_Categories2"/>
      <sheetName val="RFP003_Building_-_B2"/>
      <sheetName val="pg_44"/>
      <sheetName val="Subcon_A4"/>
      <sheetName val="bill_23"/>
      <sheetName val="MATERIAL'S_PRICE3"/>
      <sheetName val="Schedule_2"/>
      <sheetName val="Loading_Struc2"/>
      <sheetName val="Loading_Pip2"/>
      <sheetName val="Loading_Overall_(BASE_Proposal2"/>
      <sheetName val="Steel_Structure2"/>
      <sheetName val="PIPING_AG-UG_NEW_UNITS2"/>
      <sheetName val="MEC_PIPING_PREFABR2"/>
      <sheetName val="Working_File-Pip2"/>
      <sheetName val="Equip_ISBL_&amp;_OSBL_2"/>
      <sheetName val="견적서표지0204-2_(2)2"/>
      <sheetName val="Piping_Spool2"/>
      <sheetName val="Cost_Definition2"/>
      <sheetName val="견적_원가_2"/>
      <sheetName val="SUM_FSBLT12"/>
      <sheetName val="FWBS_900012"/>
      <sheetName val="Overall_Project12"/>
      <sheetName val="Overall_Process12"/>
      <sheetName val="Overall_Utility12"/>
      <sheetName val="FWBS_100012"/>
      <sheetName val="FWBS_200012"/>
      <sheetName val="FWBS_300012"/>
      <sheetName val="FWBS_500012"/>
      <sheetName val="FWBS_600012"/>
      <sheetName val="FWBS_700012"/>
      <sheetName val="FWBS_800012"/>
      <sheetName val="FWBS_A00012"/>
      <sheetName val="FWBS_B00012"/>
      <sheetName val="FWBS_Z00012"/>
      <sheetName val="INVOICE_CERT_EIV'S11"/>
      <sheetName val="Onerous_Terms11"/>
      <sheetName val="Building_BD11"/>
      <sheetName val="_Sum11"/>
      <sheetName val="실제_도면출도10"/>
      <sheetName val="공사비_내역_(가)10"/>
      <sheetName val="plan&amp;section_of_foundation10"/>
      <sheetName val="design_criteria10"/>
      <sheetName val="w't_table10"/>
      <sheetName val="33628-Rev__A10"/>
      <sheetName val="Progress_Tab10"/>
      <sheetName val="BM_DATA_SHEET10"/>
      <sheetName val="Eq__Mobilization10"/>
      <sheetName val="입찰내역_발주처_양식10"/>
      <sheetName val="M_1110"/>
      <sheetName val="REINF_10"/>
      <sheetName val="PC_CATCH_PIT_1X1X1_2M9"/>
      <sheetName val="PC_CATCH_PIT__6X_6X1_0M9"/>
      <sheetName val="PC_COVER_100MM_THK__95x_39"/>
      <sheetName val="PC_COVER_250MM_THK_2_2x_39"/>
      <sheetName val="Chiet_tinh_dz359"/>
      <sheetName val="member_design9"/>
      <sheetName val="3__GROUNDING_SYSTEM10"/>
      <sheetName val="working_load_at_the_btm_ft_9"/>
      <sheetName val="soil_bearing_check9"/>
      <sheetName val="Adjusted_Bids9"/>
      <sheetName val="Concept_Offshore9"/>
      <sheetName val="A(Rev_3)9"/>
      <sheetName val="Running_compatibility_check_9"/>
      <sheetName val="[Planning&amp;reporting_xlsM9000-A4"/>
      <sheetName val="Cashflow_Analysis4"/>
      <sheetName val="Running_compatibility_check__x4"/>
      <sheetName val="Running_compatibility_check_?A4"/>
      <sheetName val="Running_compatibility_check__A4"/>
      <sheetName val="List_of_WorkPacks4"/>
      <sheetName val="List_of_Dates4"/>
      <sheetName val="FWBS_codes4"/>
      <sheetName val="STANDARD_DESCRIPTION4"/>
      <sheetName val="STANDARD_DESCRIPTION_-_20150514"/>
      <sheetName val="Drawings_Summary4"/>
      <sheetName val="Instr_Drawing_List4"/>
      <sheetName val="INDEX-Areas_B000,C000,D000,E004"/>
      <sheetName val="STANDARD_DESCRIPTION_201507154"/>
      <sheetName val="DropDown_Selections4"/>
      <sheetName val="A_(2)4"/>
      <sheetName val="WORKSHEET_CS4"/>
      <sheetName val="DO_NOT_Delete4"/>
      <sheetName val="00-Summary_Information-ABB4"/>
      <sheetName val="Direct_Prices4"/>
      <sheetName val="_Planning&amp;reporting_xlsM9000-A4"/>
      <sheetName val="page_64"/>
      <sheetName val="P-Ins_&amp;_Bonds3"/>
      <sheetName val="P-Site_fac3"/>
      <sheetName val="P-Clients_fac3"/>
      <sheetName val="P_Staff_fac3"/>
      <sheetName val="factor_3"/>
      <sheetName val="vlookup_-_do_not_print3"/>
      <sheetName val="Structural_Comp4"/>
      <sheetName val="Time_Rates_3"/>
      <sheetName val="Rate_Analysis3"/>
      <sheetName val="ITB_COST3"/>
      <sheetName val="19_05_20103"/>
      <sheetName val="Earthworks_ERP3"/>
      <sheetName val="24_06_20103"/>
      <sheetName val="Small_Structures_ERP3"/>
      <sheetName val="Large_Structures_ERP3"/>
      <sheetName val="Tunnelling_ERP3"/>
      <sheetName val="Civil_Weekly3"/>
      <sheetName val="Pricing_Summary3"/>
      <sheetName val="Net_Cost_-_Final_Base3"/>
      <sheetName val="7_6Net_Cost_Agreed_on_Dec-04_R4"/>
      <sheetName val="Net_Cost_Agreed_on_Dec-04_Rev13"/>
      <sheetName val="7_6_Net_Cost_Agreed_on_Dec-043"/>
      <sheetName val="Net_Cost_Agreed_on_Dec-043"/>
      <sheetName val="Total_for_Check3"/>
      <sheetName val="_N_Finansal_Eğri3"/>
      <sheetName val="0_0_Cover3"/>
      <sheetName val="Hoja_33"/>
      <sheetName val="Drop_Down3"/>
      <sheetName val="Source_Data3"/>
      <sheetName val="CAPEX_Categories3"/>
      <sheetName val="RFP003_Building_-_B3"/>
      <sheetName val="pg_45"/>
      <sheetName val="Subcon_A5"/>
      <sheetName val="bill_24"/>
      <sheetName val="MATERIAL'S_PRICE4"/>
      <sheetName val="Schedule_3"/>
      <sheetName val="Loading_Struc3"/>
      <sheetName val="Loading_Pip3"/>
      <sheetName val="Loading_Overall_(BASE_Proposal3"/>
      <sheetName val="Steel_Structure3"/>
      <sheetName val="PIPING_AG-UG_NEW_UNITS3"/>
      <sheetName val="MEC_PIPING_PREFABR3"/>
      <sheetName val="Working_File-Pip3"/>
      <sheetName val="Equip_ISBL_&amp;_OSBL_3"/>
      <sheetName val="견적서표지0204-2_(2)3"/>
      <sheetName val="Piping_Spool3"/>
      <sheetName val="Cost_Definition3"/>
      <sheetName val="견적_원가_3"/>
      <sheetName val="PERHITUNGAN__KEEKONOMIAN1"/>
      <sheetName val="Total_Staff1"/>
      <sheetName val="0__SUMMARY1"/>
      <sheetName val="1__Engineering1"/>
      <sheetName val="2__Check_point1"/>
      <sheetName val="II_Changes_11"/>
      <sheetName val="III_Changes_21"/>
      <sheetName val="Qty_1"/>
      <sheetName val="OQC_Summary1"/>
      <sheetName val="6_Unit_Rates1"/>
      <sheetName val="AEROGEL_CAL1"/>
      <sheetName val="CRYG_THKMM1"/>
      <sheetName val="ITB_REVIEW1"/>
      <sheetName val="SPCS_SUMM_1"/>
      <sheetName val="ESTI__SUMM_1"/>
      <sheetName val="Price_Summary1"/>
      <sheetName val="Acc_Stock-INSUL1"/>
      <sheetName val="97_사업추정(WEKI)1"/>
      <sheetName val="Overall_MTO_-_20191001_(old)1"/>
      <sheetName val="MTO_for_BMBQ1"/>
      <sheetName val="BQ_Reff1"/>
      <sheetName val="Sum_of_Comparison-201910071"/>
      <sheetName val="Joint_No_1"/>
      <sheetName val="Unit_Weight1"/>
      <sheetName val="Detail_PMC1"/>
      <sheetName val="Detail_PMC_(for_full_desc)1"/>
      <sheetName val="Bolt_Size1"/>
      <sheetName val="NDE_Req1"/>
      <sheetName val="Tgh_JGC-Inv_I_clp1"/>
      <sheetName val="PCS_1"/>
      <sheetName val="Progress_Statement-SI1"/>
      <sheetName val="Progress_Payment-31101"/>
      <sheetName val="2_041"/>
      <sheetName val="2_051"/>
      <sheetName val="2_07_&amp;_2_081"/>
      <sheetName val="3_011"/>
      <sheetName val="3_021"/>
      <sheetName val="3_031"/>
      <sheetName val="ecart_Personnel1"/>
      <sheetName val="Ecart_Others1"/>
      <sheetName val="Other_costs1"/>
      <sheetName val="3000_Steel_str1"/>
      <sheetName val="5000_Equipments1"/>
      <sheetName val="6000_Piping1"/>
      <sheetName val="7000_Instrumentation1"/>
      <sheetName val="8000_Electrical1"/>
      <sheetName val="per_supplier1"/>
      <sheetName val="Pivot_ledger1"/>
      <sheetName val="Pivot_ENT1"/>
      <sheetName val="Pivot_MAD1"/>
      <sheetName val="JK_Price_sheet1"/>
      <sheetName val="TP_Price_sheet1"/>
      <sheetName val="Phase_1_JK_UTSE1"/>
      <sheetName val="Phase_2_JK_UTSE1"/>
      <sheetName val="Phase_1_and_2_JK_UTSE1"/>
      <sheetName val="Phase_1_TP_UTSE1"/>
      <sheetName val="Phase_2_TP_UTSE1"/>
      <sheetName val="Phase_1_and_2_TP_UTSE1"/>
      <sheetName val="Cash_Flow_(BL)1"/>
      <sheetName val="Cash_Flow_(UTSE)1"/>
      <sheetName val="INDIRECT_OH&amp;P_1"/>
      <sheetName val="Salary_20131"/>
      <sheetName val="Summary_(3)1"/>
      <sheetName val="RRW_Scaff1"/>
      <sheetName val="RRW_Oct-2019-1st_Lot-13-10-191"/>
      <sheetName val="RRW_Oct-2019-2st_Lot-15-10-191"/>
      <sheetName val="Cable_Schedule1"/>
      <sheetName val="Report_Wizard1"/>
      <sheetName val="Initial_Plan1"/>
      <sheetName val="Table"/>
      <sheetName val="Riesgos y Oportunidades"/>
      <sheetName val="6PILE  (돌출)"/>
      <sheetName val="0.품의서(전체)"/>
      <sheetName val="LAST UPDATE"/>
      <sheetName val="Process"/>
      <sheetName val="Manpower_List-1"/>
      <sheetName val="SUMMARY_FOR_DPR"/>
      <sheetName val="Index_Daily_Alloaction"/>
      <sheetName val="Manpower_List"/>
      <sheetName val="A_&amp;_B"/>
      <sheetName val="Manpower_List-11"/>
      <sheetName val="SUMMARY_FOR_DPR1"/>
      <sheetName val="Index_Daily_Alloaction1"/>
      <sheetName val="Manpower_List1"/>
      <sheetName val="A_&amp;_B1"/>
      <sheetName val="单价"/>
      <sheetName val="eqpmad2"/>
      <sheetName val="Financ. Overview"/>
      <sheetName val="Toolbox"/>
      <sheetName val="최적단면"/>
      <sheetName val="单价分析表2"/>
      <sheetName val="MECHANICAL（水处理厂2)"/>
      <sheetName val="XLR_NoRangeSheet"/>
      <sheetName val="内河船舶单价"/>
      <sheetName val="待摊费"/>
      <sheetName val="人工费"/>
      <sheetName val="quant"/>
      <sheetName val="材料"/>
      <sheetName val="4 代码列表"/>
      <sheetName val="人工SDP.2"/>
      <sheetName val="参数"/>
      <sheetName val="材料SDP.1"/>
      <sheetName val="Vaccari  EST INQ-Stat. Summ "/>
      <sheetName val="SALES"/>
      <sheetName val="Page 1"/>
      <sheetName val="301A"/>
      <sheetName val="301B"/>
      <sheetName val="301C"/>
      <sheetName val="VS P-Q"/>
      <sheetName val="VS curve"/>
      <sheetName val="CS P_Q"/>
      <sheetName val="ENE-SAV"/>
      <sheetName val="PAYBACK"/>
      <sheetName val="ga801abd"/>
      <sheetName val="절감"/>
      <sheetName val="효율표"/>
      <sheetName val="절감식"/>
      <sheetName val="페인트"/>
      <sheetName val="을"/>
      <sheetName val="Foglio_Lavoro"/>
      <sheetName val="OUTER_AREA(겹침없음)"/>
      <sheetName val="Prog-Chart"/>
      <sheetName val="GeneralFeedDevices_Labels"/>
      <sheetName val="CalmingSection_Labels"/>
      <sheetName val="Welcome"/>
      <sheetName val="tifico"/>
      <sheetName val="QMS Rev 3"/>
      <sheetName val="QMS Rev 2"/>
      <sheetName val="Rebar Assembly Progress"/>
      <sheetName val="GI Steps Progress Final"/>
      <sheetName val="QW Trench"/>
      <sheetName val="MC-1"/>
      <sheetName val="Retaining wall &amp; Top Up"/>
      <sheetName val="매립"/>
      <sheetName val="CIM"/>
      <sheetName val="4 Annex 1 Basic rate"/>
      <sheetName val="Intro"/>
      <sheetName val="운반"/>
      <sheetName val="kalibrasi-Tank"/>
      <sheetName val="뜃맟뭁돽띿맟_r"/>
      <sheetName val="Rekapitulasi"/>
      <sheetName val="TOTAL SCHEDULE"/>
      <sheetName val="INFO UMUM"/>
      <sheetName val="DET 1"/>
      <sheetName val="DET 2"/>
      <sheetName val="BASIC PRICE"/>
      <sheetName val="QUARRY"/>
      <sheetName val=" GULF"/>
      <sheetName val="ENG-101"/>
      <sheetName val="DIV.1"/>
      <sheetName val="Fig_4-14"/>
      <sheetName val="Fig_5-17"/>
      <sheetName val="HRG BAHAN &amp; UPAH okk"/>
      <sheetName val="Analis Kusen okk"/>
      <sheetName val="Inputs_Sens"/>
      <sheetName val="IS_Sum_CM"/>
      <sheetName val="RAB"/>
      <sheetName val="Bahan"/>
      <sheetName val="BUL"/>
      <sheetName val="U_A Input"/>
      <sheetName val="Equipt Rental"/>
      <sheetName val="personnel loading"/>
      <sheetName val="MAY 00-Bobbins"/>
      <sheetName val="Activity(new)"/>
      <sheetName val="Total(new)"/>
      <sheetName val="UPA(Part C,D,E,G,H)"/>
      <sheetName val="UPA(Part F)"/>
      <sheetName val="Materials"/>
      <sheetName val="일위대가 (Part C,D,E,G,H)"/>
      <sheetName val="실행철강하도"/>
      <sheetName val="손익차총괄2"/>
      <sheetName val="BOQ건축"/>
      <sheetName val="Parameters"/>
      <sheetName val="h-013211-2"/>
      <sheetName val="단면가정"/>
      <sheetName val="CABLE DATA"/>
      <sheetName val="설계조건"/>
      <sheetName val="Raw Data"/>
      <sheetName val="AOP Summary-2"/>
      <sheetName val="Summary_(3)2"/>
      <sheetName val="RRW_Scaff2"/>
      <sheetName val="RRW_Oct-2019-1st_Lot-13-10-192"/>
      <sheetName val="RRW_Oct-2019-2st_Lot-15-10-192"/>
      <sheetName val="JK_Price_sheet2"/>
      <sheetName val="TP_Price_sheet2"/>
      <sheetName val="Phase_1_JK_UTSE2"/>
      <sheetName val="Phase_2_JK_UTSE2"/>
      <sheetName val="Phase_1_and_2_JK_UTSE2"/>
      <sheetName val="Phase_1_TP_UTSE2"/>
      <sheetName val="Phase_2_TP_UTSE2"/>
      <sheetName val="Phase_1_and_2_TP_UTSE2"/>
      <sheetName val="Cash_Flow_(BL)2"/>
      <sheetName val="Cash_Flow_(UTSE)2"/>
      <sheetName val="2_042"/>
      <sheetName val="2_052"/>
      <sheetName val="2_07_&amp;_2_082"/>
      <sheetName val="3_012"/>
      <sheetName val="3_022"/>
      <sheetName val="3_032"/>
      <sheetName val="ecart_Personnel2"/>
      <sheetName val="Ecart_Others2"/>
      <sheetName val="Other_costs2"/>
      <sheetName val="3000_Steel_str2"/>
      <sheetName val="5000_Equipments2"/>
      <sheetName val="6000_Piping2"/>
      <sheetName val="7000_Instrumentation2"/>
      <sheetName val="8000_Electrical2"/>
      <sheetName val="per_supplier2"/>
      <sheetName val="Pivot_ledger2"/>
      <sheetName val="Pivot_ENT2"/>
      <sheetName val="Pivot_MAD2"/>
      <sheetName val="PERHITUNGAN__KEEKONOMIAN2"/>
      <sheetName val="Total_Staff2"/>
      <sheetName val="0__SUMMARY2"/>
      <sheetName val="1__Engineering2"/>
      <sheetName val="2__Check_point2"/>
      <sheetName val="II_Changes_12"/>
      <sheetName val="III_Changes_22"/>
      <sheetName val="Qty_2"/>
      <sheetName val="OQC_Summary2"/>
      <sheetName val="6_Unit_Rates2"/>
      <sheetName val="AEROGEL_CAL2"/>
      <sheetName val="CRYG_THKMM2"/>
      <sheetName val="ITB_REVIEW2"/>
      <sheetName val="SPCS_SUMM_2"/>
      <sheetName val="ESTI__SUMM_2"/>
      <sheetName val="Price_Summary2"/>
      <sheetName val="Acc_Stock-INSUL2"/>
      <sheetName val="97_사업추정(WEKI)2"/>
      <sheetName val="Overall_MTO_-_20191001_(old)2"/>
      <sheetName val="MTO_for_BMBQ2"/>
      <sheetName val="BQ_Reff2"/>
      <sheetName val="Sum_of_Comparison-201910072"/>
      <sheetName val="Joint_No_2"/>
      <sheetName val="Unit_Weight2"/>
      <sheetName val="Detail_PMC2"/>
      <sheetName val="Detail_PMC_(for_full_desc)2"/>
      <sheetName val="Bolt_Size2"/>
      <sheetName val="NDE_Req2"/>
      <sheetName val="Tgh_JGC-Inv_I_clp2"/>
      <sheetName val="PCS_2"/>
      <sheetName val="Progress_Statement-SI2"/>
      <sheetName val="Progress_Payment-31102"/>
      <sheetName val="Manpower_List-12"/>
      <sheetName val="SUMMARY_FOR_DPR2"/>
      <sheetName val="Index_Daily_Alloaction2"/>
      <sheetName val="Manpower_List2"/>
      <sheetName val="A_&amp;_B2"/>
      <sheetName val="ANX3A65"/>
      <sheetName val="石炭性状"/>
      <sheetName val="MEASURE LIST"/>
      <sheetName val="실행"/>
      <sheetName val="F1.4"/>
      <sheetName val="MAT&amp;LABOR"/>
      <sheetName val="Section_by_layers_old"/>
      <sheetName val="Iuran Nopember 2002"/>
      <sheetName val="H.Satuan"/>
      <sheetName val="ocean voyage"/>
      <sheetName val="SAT-BHN"/>
      <sheetName val="SAP"/>
      <sheetName val="Perm. Test"/>
      <sheetName val="Cash Flow bulanan"/>
      <sheetName val="VA_code"/>
      <sheetName val="7. Comparison of Asphalt etc"/>
      <sheetName val="Du_lieu"/>
      <sheetName val="CTEMCOST"/>
      <sheetName val="토목주소"/>
      <sheetName val="프랜트면허"/>
      <sheetName val="은행"/>
      <sheetName val="MPR"/>
      <sheetName val="Factor"/>
      <sheetName val="WKFRM"/>
      <sheetName val="뜃맟뭁돽띿맟_ఀ⻵렀♈$"/>
      <sheetName val="뜃맟뭁돽띿맟_怀ᭋက얀ం"/>
      <sheetName val="뜃맟뭁돽띿맟_ꀀ땏ကం"/>
      <sheetName val="BOQ for HRSG &amp; BOP-mech."/>
      <sheetName val="Detail Eng"/>
      <sheetName val="DOCSTAT"/>
      <sheetName val="Urai _Resap pengikat"/>
      <sheetName val="Scope"/>
      <sheetName val="Rates"/>
      <sheetName val="FlujoTJ"/>
      <sheetName val="BD_LL"/>
      <sheetName val="Daily Forwards"/>
      <sheetName val="调价系数"/>
      <sheetName val="Condicion"/>
      <sheetName val="13-List"/>
      <sheetName val="total1"/>
      <sheetName val="sis.xlm"/>
      <sheetName val="Tipo de Cambio"/>
      <sheetName val="VESSELS_"/>
      <sheetName val="NozzleData"/>
      <sheetName val="[Planning&amp;reporting_xlsM9000-A5"/>
      <sheetName val="Running_compatibility_check_?A5"/>
      <sheetName val="Running_compatibility_check__A5"/>
      <sheetName val="Running_compatibility_check__x5"/>
      <sheetName val="List_of_WorkPacks5"/>
      <sheetName val="List_of_Dates5"/>
      <sheetName val="FWBS_codes5"/>
      <sheetName val="STANDARD_DESCRIPTION5"/>
      <sheetName val="STANDARD_DESCRIPTION_-_20150515"/>
      <sheetName val="Drawings_Summary5"/>
      <sheetName val="Instr_Drawing_List5"/>
      <sheetName val="INDEX-Areas_B000,C000,D000,E005"/>
      <sheetName val="STANDARD_DESCRIPTION_201507155"/>
      <sheetName val="DropDown_Selections5"/>
      <sheetName val="A_(2)5"/>
      <sheetName val="Cashflow_Analysis5"/>
      <sheetName val="Structural_Comp5"/>
      <sheetName val="Time_Rates_4"/>
      <sheetName val="Summary_(3)3"/>
      <sheetName val="RRW_Scaff3"/>
      <sheetName val="RRW_Oct-2019-1st_Lot-13-10-193"/>
      <sheetName val="RRW_Oct-2019-2st_Lot-15-10-193"/>
      <sheetName val="JK_Price_sheet3"/>
      <sheetName val="TP_Price_sheet3"/>
      <sheetName val="Phase_1_JK_UTSE3"/>
      <sheetName val="Phase_2_JK_UTSE3"/>
      <sheetName val="Phase_1_and_2_JK_UTSE3"/>
      <sheetName val="Phase_1_TP_UTSE3"/>
      <sheetName val="Phase_2_TP_UTSE3"/>
      <sheetName val="Phase_1_and_2_TP_UTSE3"/>
      <sheetName val="Cash_Flow_(BL)3"/>
      <sheetName val="Cash_Flow_(UTSE)3"/>
      <sheetName val="2_043"/>
      <sheetName val="2_053"/>
      <sheetName val="2_07_&amp;_2_083"/>
      <sheetName val="3_013"/>
      <sheetName val="3_023"/>
      <sheetName val="3_033"/>
      <sheetName val="ecart_Personnel3"/>
      <sheetName val="Ecart_Others3"/>
      <sheetName val="Other_costs3"/>
      <sheetName val="3000_Steel_str3"/>
      <sheetName val="5000_Equipments3"/>
      <sheetName val="6000_Piping3"/>
      <sheetName val="7000_Instrumentation3"/>
      <sheetName val="8000_Electrical3"/>
      <sheetName val="per_supplier3"/>
      <sheetName val="Pivot_ledger3"/>
      <sheetName val="Pivot_ENT3"/>
      <sheetName val="Pivot_MAD3"/>
      <sheetName val="PERHITUNGAN__KEEKONOMIAN3"/>
      <sheetName val="Total_Staff3"/>
      <sheetName val="0__SUMMARY3"/>
      <sheetName val="1__Engineering3"/>
      <sheetName val="2__Check_point3"/>
      <sheetName val="II_Changes_13"/>
      <sheetName val="III_Changes_23"/>
      <sheetName val="Qty_3"/>
      <sheetName val="OQC_Summary3"/>
      <sheetName val="6_Unit_Rates3"/>
      <sheetName val="AEROGEL_CAL3"/>
      <sheetName val="CRYG_THKMM3"/>
      <sheetName val="ITB_REVIEW3"/>
      <sheetName val="SPCS_SUMM_3"/>
      <sheetName val="ESTI__SUMM_3"/>
      <sheetName val="Price_Summary3"/>
      <sheetName val="Acc_Stock-INSUL3"/>
      <sheetName val="97_사업추정(WEKI)3"/>
      <sheetName val="Overall_MTO_-_20191001_(old)3"/>
      <sheetName val="MTO_for_BMBQ3"/>
      <sheetName val="BQ_Reff3"/>
      <sheetName val="Sum_of_Comparison-201910073"/>
      <sheetName val="Joint_No_3"/>
      <sheetName val="Unit_Weight3"/>
      <sheetName val="Detail_PMC3"/>
      <sheetName val="Detail_PMC_(for_full_desc)3"/>
      <sheetName val="Bolt_Size3"/>
      <sheetName val="NDE_Req3"/>
      <sheetName val="Tgh_JGC-Inv_I_clp3"/>
      <sheetName val="PCS_3"/>
      <sheetName val="Progress_Statement-SI3"/>
      <sheetName val="Progress_Payment-31103"/>
      <sheetName val="Manpower_List-13"/>
      <sheetName val="SUMMARY_FOR_DPR3"/>
      <sheetName val="Index_Daily_Alloaction3"/>
      <sheetName val="Manpower_List3"/>
      <sheetName val="A_&amp;_B3"/>
      <sheetName val="Salary_20132"/>
      <sheetName val="INDIRECT_OH&amp;P_2"/>
      <sheetName val="Cable_Schedule2"/>
      <sheetName val="Report_Wizard2"/>
      <sheetName val="Initial_Plan2"/>
      <sheetName val="1_INV1"/>
      <sheetName val="2_Calculation_Sheet1"/>
      <sheetName val="Price_Sheet1"/>
      <sheetName val="3__Progress1"/>
      <sheetName val="4__EDR1"/>
      <sheetName val="DATA-DEP_(13-17)1"/>
      <sheetName val="DATA-GCC(25-34_7)1"/>
      <sheetName val="St_-Con(0-17)1"/>
      <sheetName val="St_-Con_(17-34)1"/>
      <sheetName val="Finansal_tamamlanma_Eğrisi1"/>
      <sheetName val="BOM_SUM1"/>
      <sheetName val="Eng__Boq_-11"/>
      <sheetName val="PFP,TIE_COAT_&amp;_TOP_FLG_PAINTED1"/>
      <sheetName val="Shop_Modifications1"/>
      <sheetName val="JI-2036_-_Preservation1"/>
      <sheetName val="Re-Application_1"/>
      <sheetName val="OLD_(2)1"/>
      <sheetName val="Geotextile_for_geotube1"/>
      <sheetName val="DB-BOLT_SIZE1"/>
      <sheetName val="REQ_LIST1"/>
      <sheetName val="DESC_NEW_PMC1"/>
      <sheetName val="MTO_2020_03_111"/>
      <sheetName val="BQ_2020_03_031"/>
      <sheetName val="MTO_2020_03_03_(VDR)1"/>
      <sheetName val="BQ_2020_03_03_(VDR)1"/>
      <sheetName val="WEIGHT_&amp;_PAINT1"/>
      <sheetName val="FW_JGC1"/>
      <sheetName val="FW_VENDOR1"/>
      <sheetName val="BQ_2020_02_251"/>
      <sheetName val="BM_BOLT_&amp;_NUT1"/>
      <sheetName val="RT_TABLE1"/>
      <sheetName val="BRANCH_&amp;_REDUCING_TABLE1"/>
      <sheetName val="DESC_OLD_PMC1"/>
      <sheetName val="SHORT_CODE_LIST1"/>
      <sheetName val="12_-_MAT'L_CLASSIFIC__FACTORS"/>
      <sheetName val="1_-_PREFAB_STR_STEEL"/>
      <sheetName val="8_-_SKIDS,_VESSELS_&amp;_EQPT"/>
      <sheetName val="5_-_STG_PLANT_-_MISC__ITEMS"/>
      <sheetName val="14_-_HEIGHT_FACTORS"/>
      <sheetName val="10_-_STEAM_TURBINE_PUMPS"/>
      <sheetName val="16_-_ASTM_CS_PIPE_ERECT"/>
      <sheetName val="15_-_ASTM_CS_PIPE_FAB"/>
      <sheetName val="7_-_SAND_BLAST_&amp;_PAINT"/>
      <sheetName val="BOQ_LIST"/>
      <sheetName val="SPT_vs_PHI"/>
      <sheetName val="01-D_PERS"/>
      <sheetName val="L_V_Separator"/>
      <sheetName val="SUM_FSBLT13"/>
      <sheetName val="Overall_Project13"/>
      <sheetName val="Overall_Process13"/>
      <sheetName val="Overall_Utility13"/>
      <sheetName val="FWBS_100013"/>
      <sheetName val="FWBS_200013"/>
      <sheetName val="FWBS_300013"/>
      <sheetName val="FWBS_500013"/>
      <sheetName val="FWBS_600013"/>
      <sheetName val="FWBS_700013"/>
      <sheetName val="FWBS_800013"/>
      <sheetName val="FWBS_900013"/>
      <sheetName val="FWBS_A00013"/>
      <sheetName val="FWBS_B00013"/>
      <sheetName val="FWBS_Z00013"/>
      <sheetName val="Onerous_Terms12"/>
      <sheetName val="INVOICE_CERT_EIV'S12"/>
      <sheetName val="Building_BD12"/>
      <sheetName val="_Sum12"/>
      <sheetName val="실제_도면출도11"/>
      <sheetName val="공사비_내역_(가)11"/>
      <sheetName val="33628-Rev__A11"/>
      <sheetName val="plan&amp;section_of_foundation11"/>
      <sheetName val="design_criteria11"/>
      <sheetName val="w't_table11"/>
      <sheetName val="Progress_Tab11"/>
      <sheetName val="BM_DATA_SHEET11"/>
      <sheetName val="Eq__Mobilization11"/>
      <sheetName val="입찰내역_발주처_양식11"/>
      <sheetName val="REINF_11"/>
      <sheetName val="M_1111"/>
      <sheetName val="PC_CATCH_PIT_1X1X1_2M10"/>
      <sheetName val="PC_CATCH_PIT__6X_6X1_0M10"/>
      <sheetName val="PC_COVER_100MM_THK__95x_310"/>
      <sheetName val="PC_COVER_250MM_THK_2_2x_310"/>
      <sheetName val="member_design10"/>
      <sheetName val="working_load_at_the_btm_ft_10"/>
      <sheetName val="soil_bearing_check10"/>
      <sheetName val="3__GROUNDING_SYSTEM11"/>
      <sheetName val="Concept_Offshore10"/>
      <sheetName val="Chiet_tinh_dz3510"/>
      <sheetName val="Adjusted_Bids10"/>
      <sheetName val="A(Rev_3)10"/>
      <sheetName val="Running_compatibility_check_10"/>
      <sheetName val="[Planning&amp;reporting_xlsM9000-A6"/>
      <sheetName val="Running_compatibility_check_?A6"/>
      <sheetName val="Running_compatibility_check__A6"/>
      <sheetName val="Running_compatibility_check__x6"/>
      <sheetName val="List_of_WorkPacks6"/>
      <sheetName val="List_of_Dates6"/>
      <sheetName val="FWBS_codes6"/>
      <sheetName val="STANDARD_DESCRIPTION6"/>
      <sheetName val="STANDARD_DESCRIPTION_-_20150516"/>
      <sheetName val="Drawings_Summary6"/>
      <sheetName val="Instr_Drawing_List6"/>
      <sheetName val="INDEX-Areas_B000,C000,D000,E006"/>
      <sheetName val="STANDARD_DESCRIPTION_201507156"/>
      <sheetName val="DropDown_Selections6"/>
      <sheetName val="A_(2)6"/>
      <sheetName val="Cashflow_Analysis6"/>
      <sheetName val="WORKSHEET_CS5"/>
      <sheetName val="00-Summary_Information-ABB5"/>
      <sheetName val="Direct_Prices5"/>
      <sheetName val="_Planning&amp;reporting_xlsM9000-A5"/>
      <sheetName val="page_65"/>
      <sheetName val="P-Ins_&amp;_Bonds4"/>
      <sheetName val="P-Site_fac4"/>
      <sheetName val="P-Clients_fac4"/>
      <sheetName val="P_Staff_fac4"/>
      <sheetName val="factor_4"/>
      <sheetName val="Structural_Comp6"/>
      <sheetName val="Rate_Analysis4"/>
      <sheetName val="ITB_COST4"/>
      <sheetName val="19_05_20104"/>
      <sheetName val="Earthworks_ERP4"/>
      <sheetName val="24_06_20104"/>
      <sheetName val="Small_Structures_ERP4"/>
      <sheetName val="Large_Structures_ERP4"/>
      <sheetName val="Tunnelling_ERP4"/>
      <sheetName val="vlookup_-_do_not_print4"/>
      <sheetName val="Civil_Weekly4"/>
      <sheetName val="Time_Rates_5"/>
      <sheetName val="_N_Finansal_Eğri4"/>
      <sheetName val="Pricing_Summary4"/>
      <sheetName val="Net_Cost_-_Final_Base4"/>
      <sheetName val="7_6Net_Cost_Agreed_on_Dec-04_R5"/>
      <sheetName val="Net_Cost_Agreed_on_Dec-04_Rev14"/>
      <sheetName val="7_6_Net_Cost_Agreed_on_Dec-044"/>
      <sheetName val="Net_Cost_Agreed_on_Dec-044"/>
      <sheetName val="Total_for_Check4"/>
      <sheetName val="0_0_Cover4"/>
      <sheetName val="Hoja_34"/>
      <sheetName val="Drop_Down4"/>
      <sheetName val="Source_Data4"/>
      <sheetName val="CAPEX_Categories4"/>
      <sheetName val="Summary_(3)4"/>
      <sheetName val="RRW_Scaff4"/>
      <sheetName val="RRW_Oct-2019-1st_Lot-13-10-194"/>
      <sheetName val="RRW_Oct-2019-2st_Lot-15-10-194"/>
      <sheetName val="Schedule_4"/>
      <sheetName val="Loading_Struc4"/>
      <sheetName val="Loading_Pip4"/>
      <sheetName val="Loading_Overall_(BASE_Proposal4"/>
      <sheetName val="Steel_Structure4"/>
      <sheetName val="PIPING_AG-UG_NEW_UNITS4"/>
      <sheetName val="MEC_PIPING_PREFABR4"/>
      <sheetName val="Working_File-Pip4"/>
      <sheetName val="Equip_ISBL_&amp;_OSBL_4"/>
      <sheetName val="pg_46"/>
      <sheetName val="Subcon_A6"/>
      <sheetName val="bill_25"/>
      <sheetName val="MATERIAL'S_PRICE5"/>
      <sheetName val="JK_Price_sheet4"/>
      <sheetName val="TP_Price_sheet4"/>
      <sheetName val="Phase_1_JK_UTSE4"/>
      <sheetName val="Phase_2_JK_UTSE4"/>
      <sheetName val="Phase_1_and_2_JK_UTSE4"/>
      <sheetName val="Phase_1_TP_UTSE4"/>
      <sheetName val="Phase_2_TP_UTSE4"/>
      <sheetName val="Phase_1_and_2_TP_UTSE4"/>
      <sheetName val="Cash_Flow_(BL)4"/>
      <sheetName val="Cash_Flow_(UTSE)4"/>
      <sheetName val="견적서표지0204-2_(2)4"/>
      <sheetName val="Piping_Spool4"/>
      <sheetName val="Cost_Definition4"/>
      <sheetName val="견적_원가_4"/>
      <sheetName val="2_044"/>
      <sheetName val="2_054"/>
      <sheetName val="2_07_&amp;_2_084"/>
      <sheetName val="3_014"/>
      <sheetName val="3_024"/>
      <sheetName val="3_034"/>
      <sheetName val="ecart_Personnel4"/>
      <sheetName val="Ecart_Others4"/>
      <sheetName val="Other_costs4"/>
      <sheetName val="3000_Steel_str4"/>
      <sheetName val="5000_Equipments4"/>
      <sheetName val="6000_Piping4"/>
      <sheetName val="7000_Instrumentation4"/>
      <sheetName val="8000_Electrical4"/>
      <sheetName val="per_supplier4"/>
      <sheetName val="Pivot_ledger4"/>
      <sheetName val="Pivot_ENT4"/>
      <sheetName val="Pivot_MAD4"/>
      <sheetName val="RFP003_Building_-_B4"/>
      <sheetName val="PERHITUNGAN__KEEKONOMIAN4"/>
      <sheetName val="Total_Staff4"/>
      <sheetName val="0__SUMMARY4"/>
      <sheetName val="1__Engineering4"/>
      <sheetName val="2__Check_point4"/>
      <sheetName val="II_Changes_14"/>
      <sheetName val="III_Changes_24"/>
      <sheetName val="Qty_4"/>
      <sheetName val="OQC_Summary4"/>
      <sheetName val="6_Unit_Rates4"/>
      <sheetName val="AEROGEL_CAL4"/>
      <sheetName val="CRYG_THKMM4"/>
      <sheetName val="ITB_REVIEW4"/>
      <sheetName val="SPCS_SUMM_4"/>
      <sheetName val="ESTI__SUMM_4"/>
      <sheetName val="Price_Summary4"/>
      <sheetName val="Acc_Stock-INSUL4"/>
      <sheetName val="97_사업추정(WEKI)4"/>
      <sheetName val="Overall_MTO_-_20191001_(old)4"/>
      <sheetName val="MTO_for_BMBQ4"/>
      <sheetName val="BQ_Reff4"/>
      <sheetName val="Sum_of_Comparison-201910074"/>
      <sheetName val="Joint_No_4"/>
      <sheetName val="Unit_Weight4"/>
      <sheetName val="Detail_PMC4"/>
      <sheetName val="Detail_PMC_(for_full_desc)4"/>
      <sheetName val="Bolt_Size4"/>
      <sheetName val="NDE_Req4"/>
      <sheetName val="Tgh_JGC-Inv_I_clp4"/>
      <sheetName val="PCS_4"/>
      <sheetName val="Progress_Statement-SI4"/>
      <sheetName val="Progress_Payment-31104"/>
      <sheetName val="Manpower_List-14"/>
      <sheetName val="SUMMARY_FOR_DPR4"/>
      <sheetName val="Index_Daily_Alloaction4"/>
      <sheetName val="Manpower_List4"/>
      <sheetName val="A_&amp;_B4"/>
      <sheetName val="Salary_20133"/>
      <sheetName val="INDIRECT_OH&amp;P_3"/>
      <sheetName val="Cable_Schedule3"/>
      <sheetName val="Report_Wizard3"/>
      <sheetName val="Initial_Plan3"/>
      <sheetName val="1_INV2"/>
      <sheetName val="2_Calculation_Sheet2"/>
      <sheetName val="Price_Sheet2"/>
      <sheetName val="3__Progress2"/>
      <sheetName val="4__EDR2"/>
      <sheetName val="DATA-DEP_(13-17)2"/>
      <sheetName val="DATA-GCC(25-34_7)2"/>
      <sheetName val="St_-Con(0-17)2"/>
      <sheetName val="St_-Con_(17-34)2"/>
      <sheetName val="Finansal_tamamlanma_Eğrisi2"/>
      <sheetName val="BOM_SUM2"/>
      <sheetName val="Eng__Boq_-12"/>
      <sheetName val="PFP,TIE_COAT_&amp;_TOP_FLG_PAINTED2"/>
      <sheetName val="Shop_Modifications2"/>
      <sheetName val="JI-2036_-_Preservation2"/>
      <sheetName val="Re-Application_2"/>
      <sheetName val="OLD_(2)2"/>
      <sheetName val="Geotextile_for_geotube2"/>
      <sheetName val="DB-BOLT_SIZE2"/>
      <sheetName val="REQ_LIST2"/>
      <sheetName val="DESC_NEW_PMC2"/>
      <sheetName val="MTO_2020_03_112"/>
      <sheetName val="BQ_2020_03_032"/>
      <sheetName val="MTO_2020_03_03_(VDR)2"/>
      <sheetName val="BQ_2020_03_03_(VDR)2"/>
      <sheetName val="WEIGHT_&amp;_PAINT2"/>
      <sheetName val="FW_JGC2"/>
      <sheetName val="FW_VENDOR2"/>
      <sheetName val="BQ_2020_02_252"/>
      <sheetName val="BM_BOLT_&amp;_NUT2"/>
      <sheetName val="RT_TABLE2"/>
      <sheetName val="BRANCH_&amp;_REDUCING_TABLE2"/>
      <sheetName val="DESC_OLD_PMC2"/>
      <sheetName val="SHORT_CODE_LIST2"/>
      <sheetName val="개시대사_(2)1"/>
      <sheetName val="Equiv_Length1"/>
      <sheetName val="S-Curve_(Weekly)1"/>
      <sheetName val="Price_Summary_(1)1"/>
      <sheetName val="Price_Summary_(2)1"/>
      <sheetName val="Item#9_31"/>
      <sheetName val="Item#1_91"/>
      <sheetName val="Item#2_61"/>
      <sheetName val="Item#3_81"/>
      <sheetName val="Item#4_101"/>
      <sheetName val="Item#5_81"/>
      <sheetName val="Item#6_71"/>
      <sheetName val="Item#7_211"/>
      <sheetName val="Item#8_71"/>
      <sheetName val="worksheet_inchican1"/>
      <sheetName val="2_2_띠장의_설계1"/>
      <sheetName val="2_223M_due_to_adj_profit1"/>
      <sheetName val="Land_Dev't__Ph-11"/>
      <sheetName val="INTERIOR_WALLS1"/>
      <sheetName val="Material_Price1"/>
      <sheetName val="combined_9-301"/>
      <sheetName val="GESTION_FICHE1"/>
      <sheetName val="TRADUCTION_LISTES1"/>
      <sheetName val="12_-_MAT'L_CLASSIFIC__FACTORS1"/>
      <sheetName val="1_-_PREFAB_STR_STEEL1"/>
      <sheetName val="8_-_SKIDS,_VESSELS_&amp;_EQPT1"/>
      <sheetName val="5_-_STG_PLANT_-_MISC__ITEMS1"/>
      <sheetName val="14_-_HEIGHT_FACTORS1"/>
      <sheetName val="10_-_STEAM_TURBINE_PUMPS1"/>
      <sheetName val="16_-_ASTM_CS_PIPE_ERECT1"/>
      <sheetName val="15_-_ASTM_CS_PIPE_FAB1"/>
      <sheetName val="7_-_SAND_BLAST_&amp;_PAINT1"/>
      <sheetName val="BOQ_LIST1"/>
      <sheetName val="INSULATION_R11"/>
      <sheetName val="SPT_vs_PHI1"/>
      <sheetName val="01-D_PERS1"/>
      <sheetName val="Fig_4-141"/>
      <sheetName val="Fig_5-171"/>
      <sheetName val="OUTER_AREA(겹침없음)1"/>
      <sheetName val="VESSELS_1"/>
      <sheetName val="Table_Rates_Data1"/>
      <sheetName val="L_V_Separator1"/>
      <sheetName val="Prec_OTS1"/>
      <sheetName val="Inert_Balls1"/>
      <sheetName val="Substation_Column"/>
      <sheetName val="IRR_sponsor"/>
      <sheetName val="SOS_PLC_&amp;_Panel"/>
      <sheetName val="Raw_Data"/>
      <sheetName val="Titles"/>
      <sheetName val="Proforma"/>
      <sheetName val="Legend"/>
      <sheetName val="hrg_sat"/>
      <sheetName val="Har-mat"/>
      <sheetName val="Jadwal"/>
      <sheetName val="4-Basic Price"/>
      <sheetName val="Material"/>
      <sheetName val="Kuantitas &amp; Harga"/>
      <sheetName val="L-4a,b"/>
      <sheetName val="DIV.3"/>
      <sheetName val="BoQ"/>
      <sheetName val="HARGA DASAR"/>
      <sheetName val="Rekap"/>
      <sheetName val="hrg sat1"/>
      <sheetName val="Data basic price jgan diprint"/>
      <sheetName val="PPC"/>
      <sheetName val="Analisa Upah &amp; Bahan Plum"/>
      <sheetName val="Sch"/>
      <sheetName val="Daftar Sewa"/>
      <sheetName val="Peralatan"/>
      <sheetName val="Peralatan (2)"/>
      <sheetName val="Analisa Alat"/>
      <sheetName val="Analisa SNI STANDART "/>
      <sheetName val="PAD-F"/>
      <sheetName val="Register"/>
      <sheetName val="Task Force Coding Abbreviations"/>
      <sheetName val="Memb Schd"/>
      <sheetName val="7-2"/>
      <sheetName val="15100"/>
      <sheetName val="DAFTAR ISI"/>
      <sheetName val="인사자료총집계"/>
      <sheetName val="UNIT 3"/>
      <sheetName val="DATASHT"/>
      <sheetName val="1.2"/>
      <sheetName val="HARGA-UPAH"/>
      <sheetName val="Conveyors"/>
      <sheetName val="INPUT"/>
      <sheetName val="5-ALAT(1)"/>
      <sheetName val="磨煤加压"/>
      <sheetName val="空分"/>
      <sheetName val="List - Components"/>
      <sheetName val="List - Equipment"/>
      <sheetName val="G2TempSheet"/>
      <sheetName val="(1)Internal Cost Report"/>
      <sheetName val="2007"/>
      <sheetName val="PSM Monthly"/>
      <sheetName val="Por"/>
      <sheetName val="非金属管道"/>
      <sheetName val="Rekap Addendum"/>
      <sheetName val="SCHEDULE"/>
      <sheetName val="HD ALAT"/>
      <sheetName val="HD BAHAN"/>
      <sheetName val="HD UPAH"/>
      <sheetName val="GAEYO"/>
      <sheetName val="음료실행"/>
      <sheetName val="rek_det_1-3"/>
      <sheetName val="Komponen_Upah"/>
      <sheetName val="Inkindo_2015"/>
      <sheetName val="Comp_equip"/>
      <sheetName val="Mach_&amp;_equip"/>
      <sheetName val="Hrg_Satuan"/>
      <sheetName val="Bill_rekap"/>
      <sheetName val="ANALIS_2"/>
      <sheetName val="ANALIS_1"/>
      <sheetName val="Harga_Satuan"/>
      <sheetName val="analis_standar(8m)"/>
      <sheetName val="bhn_"/>
      <sheetName val="DWTables"/>
      <sheetName val="Calc"/>
      <sheetName val="材料基价"/>
      <sheetName val="机械台时"/>
      <sheetName val="方案1表二"/>
      <sheetName val="HIOS 93 thru 96"/>
      <sheetName val="Assumptions"/>
      <sheetName val="LTM"/>
      <sheetName val="CREDIT STATS"/>
      <sheetName val="DropZone"/>
      <sheetName val="MAIN"/>
      <sheetName val="CAP-120mm2"/>
      <sheetName val="EXTRA"/>
      <sheetName val="1999 BUDGET"/>
      <sheetName val="PTR-Consolidated"/>
      <sheetName val="OIL SYST DATA SHTS"/>
      <sheetName val="0.INDIRECTS"/>
      <sheetName val="1. Civil Works"/>
      <sheetName val="2. Struct. Steel_SST"/>
      <sheetName val="3. Fireproofing_SST"/>
      <sheetName val="4.2. Fireproofing_EQU"/>
      <sheetName val="4.1. Equipment"/>
      <sheetName val="4.1. Equipment (Tag)"/>
      <sheetName val="BoQ Equipment"/>
      <sheetName val="4.3. Insulation for Equip"/>
      <sheetName val="4.4. Structural Steel_EQU"/>
      <sheetName val="4.5. Heavy Lifting"/>
      <sheetName val="5.1. AG PIPING"/>
      <sheetName val="1A.AG PIPING_PREFABRICATION"/>
      <sheetName val="5.2.UG PIPING"/>
      <sheetName val="5.3a.VALVES"/>
      <sheetName val="5.3b.INLINE INST."/>
      <sheetName val="5.3c.FLANGE BOLTED JOINTS"/>
      <sheetName val="5.4. SUPPORTS"/>
      <sheetName val="5.5. WRAPPING"/>
      <sheetName val="5.6. PAINT"/>
      <sheetName val="5.7. INSULATION"/>
      <sheetName val="5.8. NDT"/>
      <sheetName val="5.9. PWHT"/>
      <sheetName val="5.10.TIE-INS"/>
      <sheetName val="6. Pipeline Works"/>
      <sheetName val="7.1. Cathodic Protection Erec"/>
      <sheetName val="7.2. CP Auxiliary Prices"/>
      <sheetName val="8.1. Electrical Erection"/>
      <sheetName val="8.2. Instruments Erection"/>
      <sheetName val="8.3. Telecom Erection"/>
      <sheetName val="9.1. HSE - Inside Bldg"/>
      <sheetName val="9.2. HSE - Outside Bldg"/>
      <sheetName val="21. MODIFICATION PRICES"/>
      <sheetName val="2. CHANGES-1"/>
      <sheetName val="3. CHANGES-2"/>
      <sheetName val="5. CHANGES-4"/>
      <sheetName val=" "/>
      <sheetName val="AnalInfo"/>
      <sheetName val="Tut 1"/>
      <sheetName val="C1 (calcolo)"/>
      <sheetName val="FIT-AREA"/>
      <sheetName val="SUM_FSBLT14"/>
      <sheetName val="Overall_Project14"/>
      <sheetName val="Overall_Process14"/>
      <sheetName val="Overall_Utility14"/>
      <sheetName val="FWBS_100014"/>
      <sheetName val="FWBS_200014"/>
      <sheetName val="FWBS_300014"/>
      <sheetName val="FWBS_500014"/>
      <sheetName val="FWBS_600014"/>
      <sheetName val="FWBS_700014"/>
      <sheetName val="FWBS_800014"/>
      <sheetName val="FWBS_900014"/>
      <sheetName val="FWBS_A00014"/>
      <sheetName val="FWBS_B00014"/>
      <sheetName val="FWBS_Z00014"/>
      <sheetName val="Onerous_Terms13"/>
      <sheetName val="INVOICE_CERT_EIV'S13"/>
      <sheetName val="Building_BD13"/>
      <sheetName val="_Sum13"/>
      <sheetName val="실제_도면출도12"/>
      <sheetName val="공사비_내역_(가)12"/>
      <sheetName val="33628-Rev__A12"/>
      <sheetName val="plan&amp;section_of_foundation12"/>
      <sheetName val="design_criteria12"/>
      <sheetName val="w't_table12"/>
      <sheetName val="Progress_Tab12"/>
      <sheetName val="BM_DATA_SHEET12"/>
      <sheetName val="Eq__Mobilization12"/>
      <sheetName val="입찰내역_발주처_양식12"/>
      <sheetName val="REINF_12"/>
      <sheetName val="M_1112"/>
      <sheetName val="PC_CATCH_PIT_1X1X1_2M11"/>
      <sheetName val="PC_CATCH_PIT__6X_6X1_0M11"/>
      <sheetName val="PC_COVER_100MM_THK__95x_311"/>
      <sheetName val="PC_COVER_250MM_THK_2_2x_311"/>
      <sheetName val="member_design11"/>
      <sheetName val="working_load_at_the_btm_ft_11"/>
      <sheetName val="soil_bearing_check11"/>
      <sheetName val="3__GROUNDING_SYSTEM12"/>
      <sheetName val="Concept_Offshore11"/>
      <sheetName val="Chiet_tinh_dz3511"/>
      <sheetName val="Adjusted_Bids11"/>
      <sheetName val="A(Rev_3)11"/>
      <sheetName val="Running_compatibility_check_11"/>
      <sheetName val="[Planning&amp;reporting_xlsM9000-A7"/>
      <sheetName val="Running_compatibility_check_?A7"/>
      <sheetName val="Running_compatibility_check__A7"/>
      <sheetName val="Running_compatibility_check__x7"/>
      <sheetName val="List_of_WorkPacks7"/>
      <sheetName val="List_of_Dates7"/>
      <sheetName val="FWBS_codes7"/>
      <sheetName val="STANDARD_DESCRIPTION7"/>
      <sheetName val="STANDARD_DESCRIPTION_-_20150517"/>
      <sheetName val="Drawings_Summary7"/>
      <sheetName val="Instr_Drawing_List7"/>
      <sheetName val="INDEX-Areas_B000,C000,D000,E007"/>
      <sheetName val="STANDARD_DESCRIPTION_201507157"/>
      <sheetName val="DropDown_Selections7"/>
      <sheetName val="A_(2)7"/>
      <sheetName val="Cashflow_Analysis7"/>
      <sheetName val="WORKSHEET_CS6"/>
      <sheetName val="00-Summary_Information-ABB6"/>
      <sheetName val="Direct_Prices6"/>
      <sheetName val="_Planning&amp;reporting_xlsM9000-A6"/>
      <sheetName val="page_66"/>
      <sheetName val="P-Ins_&amp;_Bonds5"/>
      <sheetName val="P-Site_fac5"/>
      <sheetName val="P-Clients_fac5"/>
      <sheetName val="P_Staff_fac5"/>
      <sheetName val="factor_5"/>
      <sheetName val="Structural_Comp7"/>
      <sheetName val="Rate_Analysis5"/>
      <sheetName val="ITB_COST5"/>
      <sheetName val="19_05_20105"/>
      <sheetName val="Earthworks_ERP5"/>
      <sheetName val="24_06_20105"/>
      <sheetName val="Small_Structures_ERP5"/>
      <sheetName val="Large_Structures_ERP5"/>
      <sheetName val="Tunnelling_ERP5"/>
      <sheetName val="vlookup_-_do_not_print5"/>
      <sheetName val="Civil_Weekly5"/>
      <sheetName val="Time_Rates_6"/>
      <sheetName val="_N_Finansal_Eğri5"/>
      <sheetName val="Pricing_Summary5"/>
      <sheetName val="Net_Cost_-_Final_Base5"/>
      <sheetName val="7_6Net_Cost_Agreed_on_Dec-04_R6"/>
      <sheetName val="Net_Cost_Agreed_on_Dec-04_Rev15"/>
      <sheetName val="7_6_Net_Cost_Agreed_on_Dec-045"/>
      <sheetName val="Net_Cost_Agreed_on_Dec-045"/>
      <sheetName val="Total_for_Check5"/>
      <sheetName val="0_0_Cover5"/>
      <sheetName val="Hoja_35"/>
      <sheetName val="Drop_Down5"/>
      <sheetName val="Source_Data5"/>
      <sheetName val="CAPEX_Categories5"/>
      <sheetName val="Summary_(3)5"/>
      <sheetName val="RRW_Scaff5"/>
      <sheetName val="RRW_Oct-2019-1st_Lot-13-10-195"/>
      <sheetName val="RRW_Oct-2019-2st_Lot-15-10-195"/>
      <sheetName val="Schedule_5"/>
      <sheetName val="Loading_Struc5"/>
      <sheetName val="Loading_Pip5"/>
      <sheetName val="Loading_Overall_(BASE_Proposal5"/>
      <sheetName val="Steel_Structure5"/>
      <sheetName val="PIPING_AG-UG_NEW_UNITS5"/>
      <sheetName val="MEC_PIPING_PREFABR5"/>
      <sheetName val="Working_File-Pip5"/>
      <sheetName val="Equip_ISBL_&amp;_OSBL_5"/>
      <sheetName val="pg_47"/>
      <sheetName val="Subcon_A7"/>
      <sheetName val="bill_26"/>
      <sheetName val="MATERIAL'S_PRICE6"/>
      <sheetName val="JK_Price_sheet5"/>
      <sheetName val="TP_Price_sheet5"/>
      <sheetName val="Phase_1_JK_UTSE5"/>
      <sheetName val="Phase_2_JK_UTSE5"/>
      <sheetName val="Phase_1_and_2_JK_UTSE5"/>
      <sheetName val="Phase_1_TP_UTSE5"/>
      <sheetName val="Phase_2_TP_UTSE5"/>
      <sheetName val="Phase_1_and_2_TP_UTSE5"/>
      <sheetName val="Cash_Flow_(BL)5"/>
      <sheetName val="Cash_Flow_(UTSE)5"/>
      <sheetName val="견적서표지0204-2_(2)5"/>
      <sheetName val="Piping_Spool5"/>
      <sheetName val="Cost_Definition5"/>
      <sheetName val="견적_원가_5"/>
      <sheetName val="2_045"/>
      <sheetName val="2_055"/>
      <sheetName val="2_07_&amp;_2_085"/>
      <sheetName val="3_015"/>
      <sheetName val="3_025"/>
      <sheetName val="3_035"/>
      <sheetName val="ecart_Personnel5"/>
      <sheetName val="Ecart_Others5"/>
      <sheetName val="Other_costs5"/>
      <sheetName val="3000_Steel_str5"/>
      <sheetName val="5000_Equipments5"/>
      <sheetName val="6000_Piping5"/>
      <sheetName val="7000_Instrumentation5"/>
      <sheetName val="8000_Electrical5"/>
      <sheetName val="per_supplier5"/>
      <sheetName val="Pivot_ledger5"/>
      <sheetName val="Pivot_ENT5"/>
      <sheetName val="Pivot_MAD5"/>
      <sheetName val="RFP003_Building_-_B5"/>
      <sheetName val="PERHITUNGAN__KEEKONOMIAN5"/>
      <sheetName val="Total_Staff5"/>
      <sheetName val="0__SUMMARY5"/>
      <sheetName val="1__Engineering5"/>
      <sheetName val="2__Check_point5"/>
      <sheetName val="II_Changes_15"/>
      <sheetName val="III_Changes_25"/>
      <sheetName val="Qty_5"/>
      <sheetName val="OQC_Summary5"/>
      <sheetName val="6_Unit_Rates5"/>
      <sheetName val="AEROGEL_CAL5"/>
      <sheetName val="CRYG_THKMM5"/>
      <sheetName val="ITB_REVIEW5"/>
      <sheetName val="SPCS_SUMM_5"/>
      <sheetName val="ESTI__SUMM_5"/>
      <sheetName val="Price_Summary5"/>
      <sheetName val="Acc_Stock-INSUL5"/>
      <sheetName val="97_사업추정(WEKI)5"/>
      <sheetName val="Overall_MTO_-_20191001_(old)5"/>
      <sheetName val="MTO_for_BMBQ5"/>
      <sheetName val="BQ_Reff5"/>
      <sheetName val="Sum_of_Comparison-201910075"/>
      <sheetName val="Joint_No_5"/>
      <sheetName val="Unit_Weight5"/>
      <sheetName val="Detail_PMC5"/>
      <sheetName val="Detail_PMC_(for_full_desc)5"/>
      <sheetName val="Bolt_Size5"/>
      <sheetName val="NDE_Req5"/>
      <sheetName val="Tgh_JGC-Inv_I_clp5"/>
      <sheetName val="PCS_5"/>
      <sheetName val="Progress_Statement-SI5"/>
      <sheetName val="Progress_Payment-31105"/>
      <sheetName val="Manpower_List-15"/>
      <sheetName val="SUMMARY_FOR_DPR5"/>
      <sheetName val="Index_Daily_Alloaction5"/>
      <sheetName val="Manpower_List5"/>
      <sheetName val="A_&amp;_B5"/>
      <sheetName val="Salary_20134"/>
      <sheetName val="INDIRECT_OH&amp;P_4"/>
      <sheetName val="Cable_Schedule4"/>
      <sheetName val="Report_Wizard4"/>
      <sheetName val="Initial_Plan4"/>
      <sheetName val="1_INV3"/>
      <sheetName val="2_Calculation_Sheet3"/>
      <sheetName val="Price_Sheet3"/>
      <sheetName val="3__Progress3"/>
      <sheetName val="4__EDR3"/>
      <sheetName val="DATA-DEP_(13-17)3"/>
      <sheetName val="DATA-GCC(25-34_7)3"/>
      <sheetName val="St_-Con(0-17)3"/>
      <sheetName val="St_-Con_(17-34)3"/>
      <sheetName val="Finansal_tamamlanma_Eğrisi3"/>
      <sheetName val="BOM_SUM3"/>
      <sheetName val="Eng__Boq_-13"/>
      <sheetName val="PFP,TIE_COAT_&amp;_TOP_FLG_PAINTED3"/>
      <sheetName val="Shop_Modifications3"/>
      <sheetName val="JI-2036_-_Preservation3"/>
      <sheetName val="Re-Application_3"/>
      <sheetName val="OLD_(2)3"/>
      <sheetName val="Geotextile_for_geotube3"/>
      <sheetName val="DB-BOLT_SIZE3"/>
      <sheetName val="REQ_LIST3"/>
      <sheetName val="DESC_NEW_PMC3"/>
      <sheetName val="MTO_2020_03_113"/>
      <sheetName val="BQ_2020_03_033"/>
      <sheetName val="MTO_2020_03_03_(VDR)3"/>
      <sheetName val="BQ_2020_03_03_(VDR)3"/>
      <sheetName val="WEIGHT_&amp;_PAINT3"/>
      <sheetName val="FW_JGC3"/>
      <sheetName val="FW_VENDOR3"/>
      <sheetName val="BQ_2020_02_253"/>
      <sheetName val="BM_BOLT_&amp;_NUT3"/>
      <sheetName val="RT_TABLE3"/>
      <sheetName val="BRANCH_&amp;_REDUCING_TABLE3"/>
      <sheetName val="DESC_OLD_PMC3"/>
      <sheetName val="SHORT_CODE_LIST3"/>
      <sheetName val="개시대사_(2)2"/>
      <sheetName val="Equiv_Length2"/>
      <sheetName val="S-Curve_(Weekly)2"/>
      <sheetName val="Price_Summary_(1)2"/>
      <sheetName val="Price_Summary_(2)2"/>
      <sheetName val="Item#9_32"/>
      <sheetName val="Item#1_92"/>
      <sheetName val="Item#2_62"/>
      <sheetName val="Item#3_82"/>
      <sheetName val="Item#4_102"/>
      <sheetName val="Item#5_82"/>
      <sheetName val="Item#6_72"/>
      <sheetName val="Item#7_212"/>
      <sheetName val="Item#8_72"/>
      <sheetName val="worksheet_inchican2"/>
      <sheetName val="2_2_띠장의_설계2"/>
      <sheetName val="2_223M_due_to_adj_profit2"/>
      <sheetName val="Land_Dev't__Ph-12"/>
      <sheetName val="INTERIOR_WALLS2"/>
      <sheetName val="Material_Price2"/>
      <sheetName val="combined_9-302"/>
      <sheetName val="GESTION_FICHE2"/>
      <sheetName val="TRADUCTION_LISTES2"/>
      <sheetName val="12_-_MAT'L_CLASSIFIC__FACTORS2"/>
      <sheetName val="1_-_PREFAB_STR_STEEL2"/>
      <sheetName val="8_-_SKIDS,_VESSELS_&amp;_EQPT2"/>
      <sheetName val="5_-_STG_PLANT_-_MISC__ITEMS2"/>
      <sheetName val="14_-_HEIGHT_FACTORS2"/>
      <sheetName val="10_-_STEAM_TURBINE_PUMPS2"/>
      <sheetName val="16_-_ASTM_CS_PIPE_ERECT2"/>
      <sheetName val="15_-_ASTM_CS_PIPE_FAB2"/>
      <sheetName val="7_-_SAND_BLAST_&amp;_PAINT2"/>
      <sheetName val="BOQ_LIST2"/>
      <sheetName val="INSULATION_R12"/>
      <sheetName val="SPT_vs_PHI2"/>
      <sheetName val="01-D_PERS2"/>
      <sheetName val="Fig_4-142"/>
      <sheetName val="Fig_5-172"/>
      <sheetName val="OUTER_AREA(겹침없음)2"/>
      <sheetName val="VESSELS_2"/>
      <sheetName val="Table_Rates_Data2"/>
      <sheetName val="L_V_Separator2"/>
      <sheetName val="Prec_OTS2"/>
      <sheetName val="Inert_Balls2"/>
      <sheetName val="Substation_Column1"/>
      <sheetName val="IRR_sponsor1"/>
      <sheetName val="SOS_PLC_&amp;_Panel1"/>
      <sheetName val="Raw_Data1"/>
      <sheetName val="QMS_Rev_3"/>
      <sheetName val="QMS_Rev_2"/>
      <sheetName val="Rebar_Assembly_Progress"/>
      <sheetName val="GI_Steps_Progress_Final"/>
      <sheetName val="QW_Trench"/>
      <sheetName val="Planilla_CND"/>
      <sheetName val="PDS_U-1400"/>
      <sheetName val="Riesgos_y_Oportunidades"/>
      <sheetName val="6PILE__(돌출)"/>
      <sheetName val="0_품의서(전체)"/>
      <sheetName val="LAST_UPDATE"/>
      <sheetName val="Financ__Overview"/>
      <sheetName val="4_代码列表"/>
      <sheetName val="人工SDP_2"/>
      <sheetName val="材料SDP_1"/>
      <sheetName val="Vaccari__EST_INQ-Stat__Summ_"/>
      <sheetName val="TOTAL_SCHEDULE"/>
      <sheetName val="AOP_Summary-2"/>
      <sheetName val="SUM_FSBLT15"/>
      <sheetName val="Overall_Project15"/>
      <sheetName val="Overall_Process15"/>
      <sheetName val="Overall_Utility15"/>
      <sheetName val="FWBS_100015"/>
      <sheetName val="FWBS_200015"/>
      <sheetName val="FWBS_300015"/>
      <sheetName val="FWBS_500015"/>
      <sheetName val="FWBS_600015"/>
      <sheetName val="FWBS_700015"/>
      <sheetName val="FWBS_800015"/>
      <sheetName val="FWBS_900015"/>
      <sheetName val="FWBS_A00015"/>
      <sheetName val="FWBS_B00015"/>
      <sheetName val="FWBS_Z00015"/>
      <sheetName val="Onerous_Terms14"/>
      <sheetName val="INVOICE_CERT_EIV'S14"/>
      <sheetName val="Building_BD14"/>
      <sheetName val="_Sum14"/>
      <sheetName val="실제_도면출도13"/>
      <sheetName val="공사비_내역_(가)13"/>
      <sheetName val="33628-Rev__A13"/>
      <sheetName val="plan&amp;section_of_foundation13"/>
      <sheetName val="design_criteria13"/>
      <sheetName val="w't_table13"/>
      <sheetName val="Progress_Tab13"/>
      <sheetName val="BM_DATA_SHEET13"/>
      <sheetName val="Eq__Mobilization13"/>
      <sheetName val="입찰내역_발주처_양식13"/>
      <sheetName val="REINF_13"/>
      <sheetName val="M_1113"/>
      <sheetName val="PC_CATCH_PIT_1X1X1_2M12"/>
      <sheetName val="PC_CATCH_PIT__6X_6X1_0M12"/>
      <sheetName val="PC_COVER_100MM_THK__95x_312"/>
      <sheetName val="PC_COVER_250MM_THK_2_2x_312"/>
      <sheetName val="member_design12"/>
      <sheetName val="working_load_at_the_btm_ft_12"/>
      <sheetName val="soil_bearing_check12"/>
      <sheetName val="3__GROUNDING_SYSTEM13"/>
      <sheetName val="Concept_Offshore12"/>
      <sheetName val="Chiet_tinh_dz3512"/>
      <sheetName val="Adjusted_Bids12"/>
      <sheetName val="A(Rev_3)12"/>
      <sheetName val="Running_compatibility_check_12"/>
      <sheetName val="[Planning&amp;reporting_xlsM9000-A8"/>
      <sheetName val="Running_compatibility_check_?A8"/>
      <sheetName val="Running_compatibility_check__A8"/>
      <sheetName val="Running_compatibility_check__x8"/>
      <sheetName val="List_of_WorkPacks8"/>
      <sheetName val="List_of_Dates8"/>
      <sheetName val="FWBS_codes8"/>
      <sheetName val="STANDARD_DESCRIPTION8"/>
      <sheetName val="STANDARD_DESCRIPTION_-_20150518"/>
      <sheetName val="Drawings_Summary8"/>
      <sheetName val="Instr_Drawing_List8"/>
      <sheetName val="INDEX-Areas_B000,C000,D000,E008"/>
      <sheetName val="STANDARD_DESCRIPTION_201507158"/>
      <sheetName val="DropDown_Selections8"/>
      <sheetName val="A_(2)8"/>
      <sheetName val="Cashflow_Analysis8"/>
      <sheetName val="WORKSHEET_CS7"/>
      <sheetName val="00-Summary_Information-ABB7"/>
      <sheetName val="Direct_Prices7"/>
      <sheetName val="_Planning&amp;reporting_xlsM9000-A7"/>
      <sheetName val="page_67"/>
      <sheetName val="P-Ins_&amp;_Bonds6"/>
      <sheetName val="P-Site_fac6"/>
      <sheetName val="P-Clients_fac6"/>
      <sheetName val="P_Staff_fac6"/>
      <sheetName val="factor_6"/>
      <sheetName val="Structural_Comp8"/>
      <sheetName val="Rate_Analysis6"/>
      <sheetName val="ITB_COST6"/>
      <sheetName val="19_05_20106"/>
      <sheetName val="Earthworks_ERP6"/>
      <sheetName val="24_06_20106"/>
      <sheetName val="Small_Structures_ERP6"/>
      <sheetName val="Large_Structures_ERP6"/>
      <sheetName val="Tunnelling_ERP6"/>
      <sheetName val="vlookup_-_do_not_print6"/>
      <sheetName val="Civil_Weekly6"/>
      <sheetName val="Time_Rates_7"/>
      <sheetName val="_N_Finansal_Eğri6"/>
      <sheetName val="Pricing_Summary6"/>
      <sheetName val="Net_Cost_-_Final_Base6"/>
      <sheetName val="7_6Net_Cost_Agreed_on_Dec-04_R7"/>
      <sheetName val="Net_Cost_Agreed_on_Dec-04_Rev16"/>
      <sheetName val="7_6_Net_Cost_Agreed_on_Dec-046"/>
      <sheetName val="Net_Cost_Agreed_on_Dec-046"/>
      <sheetName val="Total_for_Check6"/>
      <sheetName val="0_0_Cover6"/>
      <sheetName val="Hoja_36"/>
      <sheetName val="Drop_Down6"/>
      <sheetName val="Source_Data6"/>
      <sheetName val="CAPEX_Categories6"/>
      <sheetName val="Summary_(3)6"/>
      <sheetName val="RRW_Scaff6"/>
      <sheetName val="RRW_Oct-2019-1st_Lot-13-10-196"/>
      <sheetName val="RRW_Oct-2019-2st_Lot-15-10-196"/>
      <sheetName val="Schedule_6"/>
      <sheetName val="Loading_Struc6"/>
      <sheetName val="Loading_Pip6"/>
      <sheetName val="Loading_Overall_(BASE_Proposal6"/>
      <sheetName val="Steel_Structure6"/>
      <sheetName val="PIPING_AG-UG_NEW_UNITS6"/>
      <sheetName val="MEC_PIPING_PREFABR6"/>
      <sheetName val="Working_File-Pip6"/>
      <sheetName val="Equip_ISBL_&amp;_OSBL_6"/>
      <sheetName val="pg_48"/>
      <sheetName val="Subcon_A8"/>
      <sheetName val="bill_27"/>
      <sheetName val="MATERIAL'S_PRICE7"/>
      <sheetName val="JK_Price_sheet6"/>
      <sheetName val="TP_Price_sheet6"/>
      <sheetName val="Phase_1_JK_UTSE6"/>
      <sheetName val="Phase_2_JK_UTSE6"/>
      <sheetName val="Phase_1_and_2_JK_UTSE6"/>
      <sheetName val="Phase_1_TP_UTSE6"/>
      <sheetName val="Phase_2_TP_UTSE6"/>
      <sheetName val="Phase_1_and_2_TP_UTSE6"/>
      <sheetName val="Cash_Flow_(BL)6"/>
      <sheetName val="Cash_Flow_(UTSE)6"/>
      <sheetName val="견적서표지0204-2_(2)6"/>
      <sheetName val="Piping_Spool6"/>
      <sheetName val="Cost_Definition6"/>
      <sheetName val="견적_원가_6"/>
      <sheetName val="2_046"/>
      <sheetName val="2_056"/>
      <sheetName val="2_07_&amp;_2_086"/>
      <sheetName val="3_016"/>
      <sheetName val="3_026"/>
      <sheetName val="3_036"/>
      <sheetName val="ecart_Personnel6"/>
      <sheetName val="Ecart_Others6"/>
      <sheetName val="Other_costs6"/>
      <sheetName val="3000_Steel_str6"/>
      <sheetName val="5000_Equipments6"/>
      <sheetName val="6000_Piping6"/>
      <sheetName val="7000_Instrumentation6"/>
      <sheetName val="8000_Electrical6"/>
      <sheetName val="per_supplier6"/>
      <sheetName val="Pivot_ledger6"/>
      <sheetName val="Pivot_ENT6"/>
      <sheetName val="Pivot_MAD6"/>
      <sheetName val="RFP003_Building_-_B6"/>
      <sheetName val="PERHITUNGAN__KEEKONOMIAN6"/>
      <sheetName val="Total_Staff6"/>
      <sheetName val="0__SUMMARY6"/>
      <sheetName val="1__Engineering6"/>
      <sheetName val="2__Check_point6"/>
      <sheetName val="II_Changes_16"/>
      <sheetName val="III_Changes_26"/>
      <sheetName val="Qty_6"/>
      <sheetName val="OQC_Summary6"/>
      <sheetName val="6_Unit_Rates6"/>
      <sheetName val="AEROGEL_CAL6"/>
      <sheetName val="CRYG_THKMM6"/>
      <sheetName val="ITB_REVIEW6"/>
      <sheetName val="SPCS_SUMM_6"/>
      <sheetName val="ESTI__SUMM_6"/>
      <sheetName val="Price_Summary6"/>
      <sheetName val="Acc_Stock-INSUL6"/>
      <sheetName val="97_사업추정(WEKI)6"/>
      <sheetName val="Overall_MTO_-_20191001_(old)6"/>
      <sheetName val="MTO_for_BMBQ6"/>
      <sheetName val="BQ_Reff6"/>
      <sheetName val="Sum_of_Comparison-201910076"/>
      <sheetName val="Joint_No_6"/>
      <sheetName val="Unit_Weight6"/>
      <sheetName val="Detail_PMC6"/>
      <sheetName val="Detail_PMC_(for_full_desc)6"/>
      <sheetName val="Bolt_Size6"/>
      <sheetName val="NDE_Req6"/>
      <sheetName val="Tgh_JGC-Inv_I_clp6"/>
      <sheetName val="PCS_6"/>
      <sheetName val="Progress_Statement-SI6"/>
      <sheetName val="Progress_Payment-31106"/>
      <sheetName val="Manpower_List-16"/>
      <sheetName val="SUMMARY_FOR_DPR6"/>
      <sheetName val="Index_Daily_Alloaction6"/>
      <sheetName val="Manpower_List6"/>
      <sheetName val="A_&amp;_B6"/>
      <sheetName val="Salary_20135"/>
      <sheetName val="INDIRECT_OH&amp;P_5"/>
      <sheetName val="Cable_Schedule5"/>
      <sheetName val="Report_Wizard5"/>
      <sheetName val="Initial_Plan5"/>
      <sheetName val="1_INV4"/>
      <sheetName val="2_Calculation_Sheet4"/>
      <sheetName val="Price_Sheet4"/>
      <sheetName val="3__Progress4"/>
      <sheetName val="4__EDR4"/>
      <sheetName val="DATA-DEP_(13-17)4"/>
      <sheetName val="DATA-GCC(25-34_7)4"/>
      <sheetName val="St_-Con(0-17)4"/>
      <sheetName val="St_-Con_(17-34)4"/>
      <sheetName val="Finansal_tamamlanma_Eğrisi4"/>
      <sheetName val="BOM_SUM4"/>
      <sheetName val="Eng__Boq_-14"/>
      <sheetName val="PFP,TIE_COAT_&amp;_TOP_FLG_PAINTED4"/>
      <sheetName val="Shop_Modifications4"/>
      <sheetName val="JI-2036_-_Preservation4"/>
      <sheetName val="Re-Application_4"/>
      <sheetName val="OLD_(2)4"/>
      <sheetName val="Geotextile_for_geotube4"/>
      <sheetName val="DB-BOLT_SIZE4"/>
      <sheetName val="REQ_LIST4"/>
      <sheetName val="DESC_NEW_PMC4"/>
      <sheetName val="MTO_2020_03_114"/>
      <sheetName val="BQ_2020_03_034"/>
      <sheetName val="MTO_2020_03_03_(VDR)4"/>
      <sheetName val="BQ_2020_03_03_(VDR)4"/>
      <sheetName val="WEIGHT_&amp;_PAINT4"/>
      <sheetName val="FW_JGC4"/>
      <sheetName val="FW_VENDOR4"/>
      <sheetName val="BQ_2020_02_254"/>
      <sheetName val="BM_BOLT_&amp;_NUT4"/>
      <sheetName val="RT_TABLE4"/>
      <sheetName val="BRANCH_&amp;_REDUCING_TABLE4"/>
      <sheetName val="DESC_OLD_PMC4"/>
      <sheetName val="SHORT_CODE_LIST4"/>
      <sheetName val="개시대사_(2)3"/>
      <sheetName val="Equiv_Length3"/>
      <sheetName val="S-Curve_(Weekly)3"/>
      <sheetName val="Price_Summary_(1)3"/>
      <sheetName val="Price_Summary_(2)3"/>
      <sheetName val="Item#9_33"/>
      <sheetName val="Item#1_93"/>
      <sheetName val="Item#2_63"/>
      <sheetName val="Item#3_83"/>
      <sheetName val="Item#4_103"/>
      <sheetName val="Item#5_83"/>
      <sheetName val="Item#6_73"/>
      <sheetName val="Item#7_213"/>
      <sheetName val="Item#8_73"/>
      <sheetName val="worksheet_inchican3"/>
      <sheetName val="2_2_띠장의_설계3"/>
      <sheetName val="2_223M_due_to_adj_profit3"/>
      <sheetName val="Land_Dev't__Ph-13"/>
      <sheetName val="INTERIOR_WALLS3"/>
      <sheetName val="Material_Price3"/>
      <sheetName val="combined_9-303"/>
      <sheetName val="GESTION_FICHE3"/>
      <sheetName val="TRADUCTION_LISTES3"/>
      <sheetName val="12_-_MAT'L_CLASSIFIC__FACTORS3"/>
      <sheetName val="1_-_PREFAB_STR_STEEL3"/>
      <sheetName val="8_-_SKIDS,_VESSELS_&amp;_EQPT3"/>
      <sheetName val="5_-_STG_PLANT_-_MISC__ITEMS3"/>
      <sheetName val="14_-_HEIGHT_FACTORS3"/>
      <sheetName val="10_-_STEAM_TURBINE_PUMPS3"/>
      <sheetName val="16_-_ASTM_CS_PIPE_ERECT3"/>
      <sheetName val="15_-_ASTM_CS_PIPE_FAB3"/>
      <sheetName val="7_-_SAND_BLAST_&amp;_PAINT3"/>
      <sheetName val="BOQ_LIST3"/>
      <sheetName val="INSULATION_R13"/>
      <sheetName val="SPT_vs_PHI3"/>
      <sheetName val="01-D_PERS3"/>
      <sheetName val="Fig_4-143"/>
      <sheetName val="Fig_5-173"/>
      <sheetName val="OUTER_AREA(겹침없음)3"/>
      <sheetName val="VESSELS_3"/>
      <sheetName val="Table_Rates_Data3"/>
      <sheetName val="L_V_Separator3"/>
      <sheetName val="Prec_OTS3"/>
      <sheetName val="Inert_Balls3"/>
      <sheetName val="Substation_Column2"/>
      <sheetName val="IRR_sponsor2"/>
      <sheetName val="SOS_PLC_&amp;_Panel2"/>
      <sheetName val="Raw_Data2"/>
      <sheetName val="QMS_Rev_31"/>
      <sheetName val="QMS_Rev_21"/>
      <sheetName val="Rebar_Assembly_Progress1"/>
      <sheetName val="GI_Steps_Progress_Final1"/>
      <sheetName val="QW_Trench1"/>
      <sheetName val="rek_det_1-31"/>
      <sheetName val="Comp_equip1"/>
      <sheetName val="Mach_&amp;_equip1"/>
      <sheetName val="Planilla_CND1"/>
      <sheetName val="PDS_U-14001"/>
      <sheetName val="Riesgos_y_Oportunidades1"/>
      <sheetName val="Hrg_Satuan1"/>
      <sheetName val="Bill_rekap1"/>
      <sheetName val="ANALIS_21"/>
      <sheetName val="ANALIS_11"/>
      <sheetName val="Harga_Satuan1"/>
      <sheetName val="analis_standar(8m)1"/>
      <sheetName val="bhn_1"/>
      <sheetName val="6PILE__(돌출)1"/>
      <sheetName val="0_품의서(전체)1"/>
      <sheetName val="LAST_UPDATE1"/>
      <sheetName val="Financ__Overview1"/>
      <sheetName val="4_代码列表1"/>
      <sheetName val="人工SDP_21"/>
      <sheetName val="材料SDP_11"/>
      <sheetName val="Vaccari__EST_INQ-Stat__Summ_1"/>
      <sheetName val="TOTAL_SCHEDULE1"/>
      <sheetName val="AOP_Summary-21"/>
      <sheetName val="Galian 1"/>
      <sheetName val="Rencana Anggaran Biaya"/>
      <sheetName val="Vibro_Roller"/>
      <sheetName val="IPL_SCHEDULE"/>
      <sheetName val="Daf Harga"/>
      <sheetName val="Rekap Bill"/>
      <sheetName val="An_ Harga"/>
      <sheetName val="BREAKDOWN(철거설치)"/>
      <sheetName val="1062-X방향 "/>
      <sheetName val="Sheet9"/>
      <sheetName val="전기자료"/>
      <sheetName val="Sheet10"/>
      <sheetName val="0226"/>
      <sheetName val="List of WorkPack_x0000_"/>
      <sheetName val="PNT-QUOT-#3"/>
      <sheetName val="COAT&amp;WRAP-QIOT-#3"/>
      <sheetName val="ALLOWANCE"/>
      <sheetName val="MH RATE"/>
      <sheetName val="PK1-1630"/>
      <sheetName val="PK2-1630"/>
      <sheetName val="analis standar(20m)"/>
      <sheetName val="ANAL BETON"/>
      <sheetName val="II손익관리"/>
      <sheetName val="품셈표"/>
      <sheetName val="단중"/>
      <sheetName val="SCHE"/>
      <sheetName val="UPRI"/>
      <sheetName val="COSTOMAT.XLS"/>
      <sheetName val="COSTOMAT_XLS"/>
      <sheetName val="Limit_ACC_A"/>
      <sheetName val="07"/>
      <sheetName val="Carat"/>
      <sheetName val="Coversheet"/>
      <sheetName val="Sumption Summary"/>
      <sheetName val="Cost Summary"/>
      <sheetName val="A-1Construction Breakdown"/>
      <sheetName val="A-2 Equipment Breakdown"/>
      <sheetName val="1-HVAC Sumption"/>
      <sheetName val="2-Fire&amp; Plumb Sumption"/>
      <sheetName val="3-Utility Sumption"/>
      <sheetName val="4-Engineering Sumption"/>
      <sheetName val="B2 Project Mangement"/>
      <sheetName val="B8 Permitting"/>
      <sheetName val="SC Cost FEB 03"/>
      <sheetName val="CONTROL"/>
      <sheetName val="POM"/>
      <sheetName val="Drilling sequence"/>
      <sheetName val="Wells"/>
      <sheetName val="Active Wells"/>
      <sheetName val="String time"/>
      <sheetName val="Type curves (bbl)"/>
      <sheetName val="Well fcst."/>
      <sheetName val="Oil prod"/>
      <sheetName val="Water prod"/>
      <sheetName val="Water inj"/>
      <sheetName val="Liquid prod"/>
      <sheetName val="Gas prod"/>
      <sheetName val="Ullage check"/>
      <sheetName val="Well CAPEX"/>
      <sheetName val="Hook Up"/>
      <sheetName val="WRM"/>
      <sheetName val="Subsurface Studies"/>
      <sheetName val="Facilities"/>
      <sheetName val="Pipelines"/>
      <sheetName val="OHL"/>
      <sheetName val="Maintenance"/>
      <sheetName val="Operations"/>
      <sheetName val="Trucking"/>
      <sheetName val="Power"/>
      <sheetName val="Fuel"/>
      <sheetName val="Camp operation"/>
      <sheetName val="Software &amp; IT"/>
      <sheetName val="Coastal Overheads"/>
      <sheetName val="Actuals"/>
      <sheetName val="2019 budget"/>
      <sheetName val="Assumptions monthly"/>
      <sheetName val="Assumptions comparison"/>
      <sheetName val="Rewards"/>
      <sheetName val="Economics (monhtly)"/>
      <sheetName val="Economics Summary"/>
      <sheetName val="Budget DELTA"/>
      <sheetName val="2019-20 Budget "/>
      <sheetName val="Budget Overview"/>
      <sheetName val="Reserves"/>
      <sheetName val="WU"/>
      <sheetName val="DTI"/>
      <sheetName val="ICV"/>
      <sheetName val="OUTPUT"/>
      <sheetName val="独资部分-10-12"/>
      <sheetName val="Task_Force_Coding_Abbreviations"/>
      <sheetName val="Task_Force_Coding_Abbreviation1"/>
      <sheetName val="PROJECT TITLE"/>
      <sheetName val="Foglio1"/>
      <sheetName val="Page_1"/>
      <sheetName val="PLSt_03__"/>
      <sheetName val="П_7_курс_аванса"/>
      <sheetName val="INFO_UMUM"/>
      <sheetName val="DET_1"/>
      <sheetName val="DET_2"/>
      <sheetName val="BASIC_PRICE"/>
      <sheetName val="_GULF"/>
      <sheetName val="DIV_1"/>
      <sheetName val="TABLA"/>
      <sheetName val="PLSt_03__1"/>
      <sheetName val="П_7_курс_аванса1"/>
      <sheetName val="Komponen_Upah1"/>
      <sheetName val="Inkindo_20151"/>
      <sheetName val="Page_11"/>
      <sheetName val="INFO_UMUM1"/>
      <sheetName val="DET_11"/>
      <sheetName val="DET_21"/>
      <sheetName val="BASIC_PRICE1"/>
      <sheetName val="_GULF1"/>
      <sheetName val="DIV_11"/>
      <sheetName val="Retaining_wall_&amp;_Top_Up"/>
      <sheetName val="U_A_Input"/>
      <sheetName val="Equipt_Rental"/>
      <sheetName val="personnel_loading"/>
      <sheetName val="MAY_00-Bobbins"/>
      <sheetName val="UPA(Part_C,D,E,G,H)"/>
      <sheetName val="UPA(Part_F)"/>
      <sheetName val="일위대가_(Part_C,D,E,G,H)"/>
      <sheetName val="CABLE_DATA"/>
      <sheetName val="Price_Schedule"/>
      <sheetName val="Working_Materials"/>
      <sheetName val="Working_sheet"/>
      <sheetName val="VS_P-Q"/>
      <sheetName val="VS_curve"/>
      <sheetName val="CS_P_Q"/>
      <sheetName val="HRG_BAHAN_&amp;_UPAH_okk"/>
      <sheetName val="Analis_Kusen_okk"/>
      <sheetName val="4_Annex_1_Basic_rate"/>
      <sheetName val="F1_4"/>
      <sheetName val="Iuran_Nopember_2002"/>
      <sheetName val="H_Satuan"/>
      <sheetName val="ocean_voyage"/>
      <sheetName val="Perm__Test"/>
      <sheetName val="Cash_Flow_bulanan"/>
      <sheetName val="7__Comparison_of_Asphalt_etc"/>
      <sheetName val="MEASURE_LIST"/>
      <sheetName val="OIL_SYST_DATA_SHTS"/>
      <sheetName val="List_-_Components"/>
      <sheetName val="List_-_Equipment"/>
      <sheetName val="BOQ_for_HRSG_&amp;_BOP-mech_"/>
      <sheetName val="Detail_Eng"/>
      <sheetName val="0_INDIRECTS"/>
      <sheetName val="1__Civil_Works"/>
      <sheetName val="2__Struct__Steel_SST"/>
      <sheetName val="3__Fireproofing_SST"/>
      <sheetName val="4_2__Fireproofing_EQU"/>
      <sheetName val="4_1__Equipment"/>
      <sheetName val="4_1__Equipment_(Tag)"/>
      <sheetName val="BoQ_Equipment"/>
      <sheetName val="4_3__Insulation_for_Equip"/>
      <sheetName val="4_4__Structural_Steel_EQU"/>
      <sheetName val="4_5__Heavy_Lifting"/>
      <sheetName val="5_1__AG_PIPING"/>
      <sheetName val="1A_AG_PIPING_PREFABRICATION"/>
      <sheetName val="5_2_UG_PIPING"/>
      <sheetName val="5_3a_VALVES"/>
      <sheetName val="5_3b_INLINE_INST_"/>
      <sheetName val="5_3c_FLANGE_BOLTED_JOINTS"/>
      <sheetName val="5_4__SUPPORTS"/>
      <sheetName val="5_5__WRAPPING"/>
      <sheetName val="5_6__PAINT"/>
      <sheetName val="5_7__INSULATION"/>
      <sheetName val="5_8__NDT"/>
      <sheetName val="5_9__PWHT"/>
      <sheetName val="5_10_TIE-INS"/>
      <sheetName val="6__Pipeline_Works"/>
      <sheetName val="7_1__Cathodic_Protection_Erec"/>
      <sheetName val="7_2__CP_Auxiliary_Prices"/>
      <sheetName val="8_1__Electrical_Erection"/>
      <sheetName val="8_2__Instruments_Erection"/>
      <sheetName val="8_3__Telecom_Erection"/>
      <sheetName val="9_1__HSE_-_Inside_Bldg"/>
      <sheetName val="9_2__HSE_-_Outside_Bldg"/>
      <sheetName val="21__MODIFICATION_PRICES"/>
      <sheetName val="2__CHANGES-1"/>
      <sheetName val="3__CHANGES-2"/>
      <sheetName val="5__CHANGES-4"/>
      <sheetName val="4-Basic_Price"/>
      <sheetName val="Kuantitas_&amp;_Harga"/>
      <sheetName val="DIV_3"/>
      <sheetName val="HARGA_DASAR"/>
      <sheetName val="hrg_sat1"/>
      <sheetName val="Data_basic_price_jgan_diprint"/>
      <sheetName val="Urai__Resap_pengikat"/>
      <sheetName val="Daily_Forwards"/>
      <sheetName val="sis_xlm"/>
      <sheetName val="Tipo_de_Cambio"/>
      <sheetName val="Analisa_Upah_&amp;_Bahan_Plum"/>
      <sheetName val="Daftar_Sewa"/>
      <sheetName val="Peralatan_(2)"/>
      <sheetName val="Analisa_Alat"/>
      <sheetName val="Analisa_SNI_STANDART_"/>
      <sheetName val="DAFTAR_ISI"/>
      <sheetName val="UNIT_3"/>
      <sheetName val="1_2"/>
      <sheetName val="(1)Internal_Cost_Report"/>
      <sheetName val="PSM_Monthly"/>
      <sheetName val="Memb_Schd"/>
      <sheetName val="Section"/>
      <sheetName val="Dynamic Query"/>
      <sheetName val="SC_Cost_FEB_03"/>
      <sheetName val="mplpro"/>
      <sheetName val="C.ALS-STR-PDS"/>
      <sheetName val="analisa GRC"/>
      <sheetName val="Q.ALS-saluran+BK"/>
      <sheetName val="조명시설"/>
      <sheetName val="TPS Performance Model"/>
      <sheetName val="PI"/>
      <sheetName val="제출계산서"/>
      <sheetName val="PointNo.5"/>
      <sheetName val="PCV"/>
      <sheetName val="Ragama"/>
      <sheetName val="Mobilisasi div-1"/>
      <sheetName val="EQUIPOS"/>
      <sheetName val="CAPEX"/>
      <sheetName val="PV.00001"/>
      <sheetName val="U.S ILD"/>
      <sheetName val="Projekt4"/>
      <sheetName val="081387T_BoM_detail "/>
      <sheetName val="P2A Execute Detailed Profile"/>
      <sheetName val="Administrative Prices"/>
      <sheetName val="XZLC003_PART1"/>
      <sheetName val="热力"/>
      <sheetName val="Shut down"/>
      <sheetName val="Building"/>
      <sheetName val="Basic Rate"/>
      <sheetName val="derive"/>
      <sheetName val="VC2 10.99"/>
      <sheetName val="UC"/>
      <sheetName val="COMPARATIVE SUMMARY"/>
      <sheetName val="BOQ (typ-accent)"/>
      <sheetName val="RecoveredExternalLink1"/>
      <sheetName val="float&amp;bear"/>
      <sheetName val="Kfracture"/>
      <sheetName val="Named Range"/>
      <sheetName val="RFP Codes"/>
      <sheetName val="Other"/>
      <sheetName val="Dico"/>
      <sheetName val="co-no.2"/>
      <sheetName val="TOSHIBA-Structure"/>
      <sheetName val="BOQp4"/>
      <sheetName val="SOBRETIEMPO"/>
      <sheetName val="HaulingLine hardware"/>
      <sheetName val="Direct Cost Summary"/>
      <sheetName val="일위대가"/>
      <sheetName val="MTO REV.2(ARMOR)"/>
      <sheetName val="4-Lane bridge"/>
      <sheetName val="Hac.Lots"/>
      <sheetName val="Res.Lots"/>
      <sheetName val="Spine Road"/>
      <sheetName val="Inputs"/>
      <sheetName val="BD"/>
      <sheetName val="다이꾸"/>
      <sheetName val="tabulation of deductions"/>
      <sheetName val="DUPA-22-NAGSAAG SS"/>
      <sheetName val="Résultats"/>
      <sheetName val="Code 07"/>
      <sheetName val="Schedule 2 and 3"/>
      <sheetName val="DATE"/>
      <sheetName val="비품"/>
      <sheetName val="choose"/>
      <sheetName val="Detail"/>
      <sheetName val="THISWORKSHEET"/>
      <sheetName val="struktur tdk dipakai"/>
      <sheetName val="sumoflaborates"/>
      <sheetName val="비계 수량산출서"/>
      <sheetName val="금융비용"/>
      <sheetName val="임차보증금"/>
      <sheetName val="ANX3A11"/>
      <sheetName val="부대내역"/>
      <sheetName val="GEN"/>
      <sheetName val="가공사"/>
      <sheetName val="의왕F사"/>
      <sheetName val="견적대비표"/>
      <sheetName val="XZLC004_PART2"/>
      <sheetName val="BQ"/>
      <sheetName val="CAT_5"/>
      <sheetName val="AILC004"/>
      <sheetName val="PBS"/>
      <sheetName val="간접비내역-1"/>
      <sheetName val="예산M12A"/>
      <sheetName val="Graph (LGEN)"/>
      <sheetName val="out_prog"/>
      <sheetName val="Piping Design Data"/>
      <sheetName val="선적schedule (2)"/>
      <sheetName val="X17-TOTAL"/>
      <sheetName val="견적을지"/>
      <sheetName val=" 갑지"/>
      <sheetName val="SHL"/>
      <sheetName val="spc 배관견적"/>
      <sheetName val="Weight"/>
      <sheetName val="RFP007"/>
      <sheetName val="Log-Log"/>
      <sheetName val="SAT-DAS"/>
      <sheetName val="HRG BHN"/>
      <sheetName val="struktur"/>
      <sheetName val="Rates Increase &amp; Loading"/>
      <sheetName val="REKAP A BESAR"/>
      <sheetName val="MTL$-INTER"/>
      <sheetName val="Sheet5"/>
      <sheetName val="Proj Cost Sumry"/>
      <sheetName val="물량 집계표"/>
      <sheetName val="비계수정작업집계"/>
      <sheetName val="안전감시자공수집계"/>
      <sheetName val="Curves"/>
      <sheetName val="Note"/>
      <sheetName val="Tables"/>
      <sheetName val="Activity Form"/>
      <sheetName val="PIPING LINE LIST"/>
      <sheetName val="coastal"/>
      <sheetName val="AN-01"/>
      <sheetName val="Angkatan Mewah"/>
      <sheetName val="Day work"/>
      <sheetName val="New Rates"/>
      <sheetName val="Period -Worksheet"/>
      <sheetName val="01"/>
      <sheetName val="02"/>
      <sheetName val="03"/>
      <sheetName val="04"/>
      <sheetName val="수량산출"/>
      <sheetName val="Sum-Solvay DOW-AIE "/>
      <sheetName val="ใบนำส่งเอกสาร ออก Invoiced"/>
      <sheetName val="SMY PG"/>
      <sheetName val="รอ"/>
      <sheetName val="PO Blanket Status"/>
      <sheetName val="UnitRate"/>
      <sheetName val="New Rate"/>
      <sheetName val="PID"/>
      <sheetName val=" 배관자재비-SKEC구매분"/>
      <sheetName val="보온자재단가표"/>
      <sheetName val="FLANGE"/>
      <sheetName val="steam table"/>
      <sheetName val="INSTLIST 1"/>
      <sheetName val="VUOTO"/>
      <sheetName val="studbolt no."/>
      <sheetName val="studbolt size"/>
      <sheetName val="item sort no"/>
      <sheetName val="Price Schedule(Piping)"/>
      <sheetName val="General Data"/>
      <sheetName val="금융"/>
      <sheetName val="IMPEADENCE MAP 취수장"/>
      <sheetName val="CB"/>
      <sheetName val="기기리스트"/>
      <sheetName val="LINE_LIST"/>
      <sheetName val="Takeoff"/>
      <sheetName val="BQ List"/>
      <sheetName val="QT003-SSY-철골3"/>
      <sheetName val="CAST INT T-S"/>
      <sheetName val="매출 현황 (본사)"/>
      <sheetName val="기타"/>
      <sheetName val="U.D.电槽运行状况 "/>
      <sheetName val="生产现况(总累计)"/>
      <sheetName val="原材料单耗(现状况)"/>
      <sheetName val="BJ电解槽运行状况 "/>
      <sheetName val="울산이전 Schedule(초안)"/>
      <sheetName val="LOADS"/>
      <sheetName val="trf(36%)"/>
      <sheetName val="Report_OOK"/>
      <sheetName val="Att1.Home Office Cost"/>
      <sheetName val="EQUIP"/>
      <sheetName val="토목 Utility Schedule (2)"/>
      <sheetName val="1. 총괄"/>
      <sheetName val="E 3367 Estimate"/>
      <sheetName val="2-Conc"/>
      <sheetName val="85m3 bulk 비교"/>
      <sheetName val="120m3 bulk 비교"/>
      <sheetName val="Ni BJ bulk 비교"/>
      <sheetName val="Back Data"/>
      <sheetName val="_배관자재비-SKEC구매분"/>
      <sheetName val="INSTLIST_1"/>
      <sheetName val="steam_table"/>
      <sheetName val="Price_Schedule(Piping)"/>
      <sheetName val="studbolt_no_"/>
      <sheetName val="studbolt_size"/>
      <sheetName val="item_sort_no"/>
      <sheetName val="TABLE-A"/>
      <sheetName val="General_Data"/>
      <sheetName val="BQ_List"/>
      <sheetName val="Project MP Plan (Home Office)"/>
      <sheetName val="CAST_INT_T-S"/>
      <sheetName val="IMPEADENCE_MAP_취수장"/>
      <sheetName val="보고서용"/>
      <sheetName val="CAL1"/>
      <sheetName val="Preise"/>
      <sheetName val="공사내역"/>
      <sheetName val="찍기"/>
      <sheetName val="토목_Utility_Schedule_(2)"/>
      <sheetName val="1__총괄"/>
      <sheetName val="매출_현황_(본사)"/>
      <sheetName val="_배관자재비-SKEC구매분1"/>
      <sheetName val="INSTLIST_11"/>
      <sheetName val="steam_table1"/>
      <sheetName val="studbolt_no_1"/>
      <sheetName val="studbolt_size1"/>
      <sheetName val="item_sort_no1"/>
      <sheetName val="Price_Schedule(Piping)1"/>
      <sheetName val="General_Data1"/>
      <sheetName val="BQ_List1"/>
      <sheetName val="CAST_INT_T-S1"/>
      <sheetName val="IMPEADENCE_MAP_취수장1"/>
      <sheetName val="E_3367_Estimate"/>
      <sheetName val="U_D_电槽运行状况_"/>
      <sheetName val="BJ电解槽运行状况_"/>
      <sheetName val="울산이전_Schedule(초안)"/>
      <sheetName val="Project_MP_Plan_(Home_Office)"/>
      <sheetName val="Att1_Home_Office_Cost"/>
      <sheetName val="_배관자재비-SKEC구매분2"/>
      <sheetName val="studbolt_no_2"/>
      <sheetName val="studbolt_size2"/>
      <sheetName val="item_sort_no2"/>
      <sheetName val="INSTLIST_12"/>
      <sheetName val="steam_table2"/>
      <sheetName val="Price_Schedule(Piping)2"/>
      <sheetName val="General_Data2"/>
      <sheetName val="매출_현황_(본사)1"/>
      <sheetName val="BQ_List2"/>
      <sheetName val="U_D_电槽运行状况_1"/>
      <sheetName val="BJ电解槽运行状况_1"/>
      <sheetName val="울산이전_Schedule(초안)1"/>
      <sheetName val="CAST_INT_T-S2"/>
      <sheetName val="IMPEADENCE_MAP_취수장2"/>
      <sheetName val="1__총괄1"/>
      <sheetName val="토목_Utility_Schedule_(2)1"/>
      <sheetName val="E_3367_Estimate1"/>
      <sheetName val="Project_MP_Plan_(Home_Office)1"/>
      <sheetName val="Att1_Home_Office_Cost1"/>
      <sheetName val="HO ENG MH CAL"/>
      <sheetName val="Schedule S-Curve Revision#3"/>
      <sheetName val="HO_ENG_MH_CAL"/>
      <sheetName val="Schedule_S-Curve_Revision#3"/>
      <sheetName val="MC-01"/>
      <sheetName val="90EL JACKET"/>
      <sheetName val="보온재"/>
      <sheetName val="Y-WORK"/>
      <sheetName val="품의"/>
      <sheetName val="TESİSAT"/>
      <sheetName val="Graph.Data"/>
      <sheetName val="G.G"/>
      <sheetName val="산출근거#2-3"/>
      <sheetName val="1062-X방향_"/>
      <sheetName val="KA6"/>
      <sheetName val="Previous Week"/>
      <sheetName val="Loop Test"/>
      <sheetName val="Weekly Quantity"/>
      <sheetName val="Static Equipment"/>
      <sheetName val="Solo Run"/>
      <sheetName val="name"/>
      <sheetName val="Insts"/>
      <sheetName val="M-EQPT-Z"/>
      <sheetName val="설계예산서"/>
      <sheetName val="조건표"/>
      <sheetName val="결과조달"/>
      <sheetName val="3.공통공사대비"/>
      <sheetName val="금액내역서"/>
      <sheetName val="장비"/>
      <sheetName val="대비"/>
      <sheetName val="전기"/>
      <sheetName val="약품공급2"/>
      <sheetName val="서∼군(2)"/>
      <sheetName val="입찰안"/>
      <sheetName val="간선계산"/>
      <sheetName val="1단계"/>
      <sheetName val="수량집계표"/>
      <sheetName val="일반공사"/>
      <sheetName val="MOTOR"/>
      <sheetName val="노무"/>
      <sheetName val="자압"/>
      <sheetName val="5.전사투자계획종함안"/>
      <sheetName val="자재"/>
      <sheetName val="2000전체분"/>
      <sheetName val="현장관리비 산출내역"/>
      <sheetName val="실행대비"/>
      <sheetName val="청천내"/>
      <sheetName val="요율"/>
      <sheetName val="노임"/>
      <sheetName val="연결임시"/>
      <sheetName val="구조물공"/>
      <sheetName val="내역"/>
      <sheetName val="2000년1차"/>
      <sheetName val="노무비"/>
      <sheetName val="산근1"/>
      <sheetName val="부대공"/>
      <sheetName val="★도급내역"/>
      <sheetName val="설계"/>
      <sheetName val="저"/>
      <sheetName val="45,46"/>
      <sheetName val="지급자재"/>
      <sheetName val="단가"/>
      <sheetName val="배수공"/>
      <sheetName val="관리,공감"/>
      <sheetName val="입찰"/>
      <sheetName val="토목"/>
      <sheetName val="원가계산서"/>
      <sheetName val="자재대"/>
      <sheetName val="200"/>
      <sheetName val="토공"/>
      <sheetName val="도급"/>
      <sheetName val="포장공"/>
      <sheetName val="현경"/>
      <sheetName val="소야공정계획표"/>
      <sheetName val=" X-2 PJT 기성내역서.xlsx"/>
      <sheetName val="TOWER 12TON"/>
      <sheetName val="TOWER 10TON"/>
      <sheetName val="_배관자재비-SKEC구매분3"/>
      <sheetName val="INSTLIST_13"/>
      <sheetName val="steam_table3"/>
      <sheetName val="studbolt_no_3"/>
      <sheetName val="studbolt_size3"/>
      <sheetName val="item_sort_no3"/>
      <sheetName val="Price_Schedule(Piping)3"/>
      <sheetName val="General_Data3"/>
      <sheetName val="BQ_List3"/>
      <sheetName val="CAST_INT_T-S3"/>
      <sheetName val="IMPEADENCE_MAP_취수장3"/>
      <sheetName val="토목_Utility_Schedule_(2)2"/>
      <sheetName val="1__총괄2"/>
      <sheetName val="E_3367_Estimate2"/>
      <sheetName val="매출_현황_(본사)2"/>
      <sheetName val="U_D_电槽运行状况_2"/>
      <sheetName val="BJ电解槽运行状况_2"/>
      <sheetName val="울산이전_Schedule(초안)2"/>
      <sheetName val="Project_MP_Plan_(Home_Office)2"/>
      <sheetName val="Att1_Home_Office_Cost2"/>
      <sheetName val="85m3_bulk_비교"/>
      <sheetName val="120m3_bulk_비교"/>
      <sheetName val="Ni_BJ_bulk_비교"/>
      <sheetName val="Back_Data"/>
      <sheetName val="90EL_JACKET"/>
      <sheetName val="HO_ENG_MH_CAL1"/>
      <sheetName val="Schedule_S-Curve_Revision#31"/>
      <sheetName val="G_G"/>
      <sheetName val="TAB &amp; Exch Rate"/>
      <sheetName val="References"/>
      <sheetName val="Vessel"/>
      <sheetName val="Exchanger"/>
      <sheetName val="Fired Heaters"/>
      <sheetName val="Air Cooler"/>
      <sheetName val="Compressors"/>
      <sheetName val="Pumps"/>
      <sheetName val="Fans"/>
      <sheetName val="Desuperheaters &amp; Silencers"/>
      <sheetName val="Packages"/>
      <sheetName val="Miscellanea"/>
      <sheetName val="_REF"/>
      <sheetName val="영동(D)"/>
      <sheetName val="수입"/>
      <sheetName val="영업소실적"/>
      <sheetName val="수주현황2월"/>
      <sheetName val="예총"/>
      <sheetName val="10현장조직"/>
      <sheetName val="인원계획"/>
      <sheetName val="할증 "/>
      <sheetName val="연돌일위집계"/>
      <sheetName val="TRNS-C1"/>
      <sheetName val="PROCURE"/>
      <sheetName val="lookup"/>
      <sheetName val="사업인력(프로포잘)"/>
      <sheetName val="물가정보"/>
      <sheetName val="정부노임"/>
      <sheetName val="9609추"/>
      <sheetName val="F4-F7"/>
      <sheetName val="COST"/>
      <sheetName val="Recovered_Sheet3"/>
      <sheetName val="Recovered_Sheet2"/>
      <sheetName val="Recovered_Sheet7"/>
      <sheetName val="Recovered_Sheet4"/>
      <sheetName val="Recovered_Sheet9"/>
      <sheetName val="Recovered_Sheet14"/>
      <sheetName val="Recovered_Sheet5"/>
      <sheetName val="Recovered_Sheet10"/>
      <sheetName val="Recovered_Sheet8"/>
      <sheetName val="Recovered_Sheet11"/>
      <sheetName val="#3_일위대가목록"/>
      <sheetName val="FM"/>
      <sheetName val="당진1,2호기전선관설치및접지4차공사내역서-을지"/>
      <sheetName val="월별생산"/>
      <sheetName val="실행(1)"/>
      <sheetName val="입상내역"/>
      <sheetName val="FC-101"/>
      <sheetName val="11월내역"/>
      <sheetName val="데이타"/>
      <sheetName val="수량산출서"/>
      <sheetName val="조명율표"/>
      <sheetName val="원가"/>
      <sheetName val="#2_일위대가목록"/>
      <sheetName val="물량입력"/>
      <sheetName val="CM 1"/>
      <sheetName val="영창26"/>
      <sheetName val="기계공사비집계(원안)"/>
      <sheetName val="2.대외공문"/>
      <sheetName val="연봉표"/>
      <sheetName val="판매브리핑"/>
      <sheetName val="LD TX"/>
      <sheetName val="조경일람"/>
      <sheetName val="101동"/>
      <sheetName val="증감내역서"/>
      <sheetName val="기준정보"/>
      <sheetName val="도기류"/>
      <sheetName val="빌딩 안내"/>
      <sheetName val="주beam"/>
      <sheetName val="계측기"/>
      <sheetName val="실행내역서(DCU)"/>
      <sheetName val="경상"/>
      <sheetName val="투입실적"/>
      <sheetName val="가설"/>
      <sheetName val="주_부자재"/>
      <sheetName val="용선 C.L"/>
      <sheetName val="실행내역서 "/>
      <sheetName val="발주내역"/>
      <sheetName val="내역_ver1.0"/>
      <sheetName val="controll"/>
      <sheetName val="기준원단위"/>
      <sheetName val="1996"/>
      <sheetName val="공량예산"/>
      <sheetName val="내역전기"/>
      <sheetName val="Weld, NDE (Pipe)"/>
      <sheetName val="附表6"/>
      <sheetName val="图形"/>
      <sheetName val="敏感性"/>
      <sheetName val="config"/>
      <sheetName val="分析"/>
      <sheetName val="综合表"/>
      <sheetName val="土建"/>
      <sheetName val="Precios"/>
      <sheetName val="Utility and Fire flange"/>
      <sheetName val="합벽,옹벽"/>
      <sheetName val="뜃맟뭁돽띿맟-BLDG"/>
      <sheetName val="Planning&amp;reporting.xlsM9000-A"/>
      <sheetName val="Planning&amp;reporting_xlsM9000-A"/>
      <sheetName val="Planning&amp;reporting_xlsM9000-A1"/>
      <sheetName val="Running_compatibility_check_A1"/>
      <sheetName val="Planning&amp;reporting_xlsM9000-A2"/>
      <sheetName val="배수내역"/>
      <sheetName val="Pump"/>
      <sheetName val="Basicrates"/>
      <sheetName val="PROG."/>
      <sheetName val="TPAD"/>
      <sheetName val="tabel berat"/>
      <sheetName val="L 1"/>
      <sheetName val="_Planning&amp;reporting_xlsM9000-A8"/>
      <sheetName val="ETHYLENE-Production"/>
      <sheetName val="budget summary"/>
      <sheetName val="BS"/>
      <sheetName val="ELM"/>
      <sheetName val="CSR Regions"/>
      <sheetName val="transf"/>
      <sheetName val="Daftar BOQ"/>
      <sheetName val="Reference"/>
      <sheetName val="Met_Pas Batu"/>
      <sheetName val="Met_ Minor"/>
      <sheetName val="10"/>
      <sheetName val="5"/>
      <sheetName val="Working_Materials1"/>
      <sheetName val="Working_sheet1"/>
      <sheetName val="SC_Cost_FEB_031"/>
      <sheetName val="Drilling_sequence"/>
      <sheetName val="Active_Wells"/>
      <sheetName val="String_time"/>
      <sheetName val="Type_curves_(bbl)"/>
      <sheetName val="Well_fcst_"/>
      <sheetName val="Oil_prod"/>
      <sheetName val="Water_prod"/>
      <sheetName val="Water_inj"/>
      <sheetName val="Liquid_prod"/>
      <sheetName val="Gas_prod"/>
      <sheetName val="Ullage_check"/>
      <sheetName val="Well_CAPEX"/>
      <sheetName val="Hook_Up"/>
      <sheetName val="Subsurface_Studies"/>
      <sheetName val="Camp_operation"/>
      <sheetName val="Software_&amp;_IT"/>
      <sheetName val="Coastal_Overheads"/>
      <sheetName val="2019_budget"/>
      <sheetName val="Assumptions_monthly"/>
      <sheetName val="Assumptions_comparison"/>
      <sheetName val="Economics_(monhtly)"/>
      <sheetName val="Economics_Summary"/>
      <sheetName val="Budget_DELTA"/>
      <sheetName val="2019-20_Budget_"/>
      <sheetName val="Budget_Overview"/>
      <sheetName val="Sumption_Summary"/>
      <sheetName val="Cost_Summary"/>
      <sheetName val="A-1Construction_Breakdown"/>
      <sheetName val="A-2_Equipment_Breakdown"/>
      <sheetName val="1-HVAC_Sumption"/>
      <sheetName val="2-Fire&amp;_Plumb_Sumption"/>
      <sheetName val="3-Utility_Sumption"/>
      <sheetName val="4-Engineering_Sumption"/>
      <sheetName val="B2_Project_Mangement"/>
      <sheetName val="B8_Permitting"/>
      <sheetName val="HIOS_93_thru_96"/>
      <sheetName val="CREDIT_STATS"/>
      <sheetName val="1999_BUDGET"/>
      <sheetName val="Rekap_Addendum"/>
      <sheetName val="Dynamic_Query"/>
      <sheetName val="REQ_REMARKS"/>
      <sheetName val="Project data"/>
      <sheetName val="PriceSummary"/>
      <sheetName val="TIE-INS"/>
      <sheetName val="COSTOMAT_XLS1"/>
      <sheetName val="QMS_Rev_32"/>
      <sheetName val="QMS_Rev_22"/>
      <sheetName val="Rebar_Assembly_Progress2"/>
      <sheetName val="GI_Steps_Progress_Final2"/>
      <sheetName val="QW_Trench2"/>
      <sheetName val="HRG_BAHAN_&amp;_UPAH_okk1"/>
      <sheetName val="Analis_Kusen_okk1"/>
      <sheetName val="4_Annex_1_Basic_rate1"/>
      <sheetName val="VS_P-Q1"/>
      <sheetName val="VS_curve1"/>
      <sheetName val="CS_P_Q1"/>
      <sheetName val="Retaining_wall_&amp;_Top_Up1"/>
      <sheetName val="personnel_loading1"/>
      <sheetName val="MAY_00-Bobbins1"/>
      <sheetName val="U_A_Input1"/>
      <sheetName val="Equipt_Rental1"/>
      <sheetName val="UPA(Part_C,D,E,G,H)1"/>
      <sheetName val="UPA(Part_F)1"/>
      <sheetName val="일위대가_(Part_C,D,E,G,H)1"/>
      <sheetName val="AOP_Summary-22"/>
      <sheetName val="Price_Schedule1"/>
      <sheetName val="OIL_SYST_DATA_SHTS1"/>
      <sheetName val="Working_Materials2"/>
      <sheetName val="Working_sheet2"/>
      <sheetName val="MEASURE_LIST1"/>
      <sheetName val="CABLE_DATA1"/>
      <sheetName val="F1_41"/>
      <sheetName val="Iuran_Nopember_20021"/>
      <sheetName val="H_Satuan1"/>
      <sheetName val="ocean_voyage1"/>
      <sheetName val="Perm__Test1"/>
      <sheetName val="Cash_Flow_bulanan1"/>
      <sheetName val="7__Comparison_of_Asphalt_etc1"/>
      <sheetName val="List_-_Components1"/>
      <sheetName val="List_-_Equipment1"/>
      <sheetName val="0_INDIRECTS1"/>
      <sheetName val="1__Civil_Works1"/>
      <sheetName val="2__Struct__Steel_SST1"/>
      <sheetName val="3__Fireproofing_SST1"/>
      <sheetName val="4_2__Fireproofing_EQU1"/>
      <sheetName val="4_1__Equipment1"/>
      <sheetName val="4_1__Equipment_(Tag)1"/>
      <sheetName val="BoQ_Equipment1"/>
      <sheetName val="4_3__Insulation_for_Equip1"/>
      <sheetName val="4_4__Structural_Steel_EQU1"/>
      <sheetName val="4_5__Heavy_Lifting1"/>
      <sheetName val="5_1__AG_PIPING1"/>
      <sheetName val="1A_AG_PIPING_PREFABRICATION1"/>
      <sheetName val="5_2_UG_PIPING1"/>
      <sheetName val="5_3a_VALVES1"/>
      <sheetName val="5_3b_INLINE_INST_1"/>
      <sheetName val="5_3c_FLANGE_BOLTED_JOINTS1"/>
      <sheetName val="5_4__SUPPORTS1"/>
      <sheetName val="5_5__WRAPPING1"/>
      <sheetName val="5_6__PAINT1"/>
      <sheetName val="5_7__INSULATION1"/>
      <sheetName val="5_8__NDT1"/>
      <sheetName val="5_9__PWHT1"/>
      <sheetName val="5_10_TIE-INS1"/>
      <sheetName val="6__Pipeline_Works1"/>
      <sheetName val="7_1__Cathodic_Protection_Erec1"/>
      <sheetName val="7_2__CP_Auxiliary_Prices1"/>
      <sheetName val="8_1__Electrical_Erection1"/>
      <sheetName val="8_2__Instruments_Erection1"/>
      <sheetName val="8_3__Telecom_Erection1"/>
      <sheetName val="9_1__HSE_-_Inside_Bldg1"/>
      <sheetName val="9_2__HSE_-_Outside_Bldg1"/>
      <sheetName val="21__MODIFICATION_PRICES1"/>
      <sheetName val="2__CHANGES-11"/>
      <sheetName val="3__CHANGES-21"/>
      <sheetName val="5__CHANGES-41"/>
      <sheetName val="BOQ_for_HRSG_&amp;_BOP-mech_1"/>
      <sheetName val="COSTOMAT_XLS2"/>
      <sheetName val="Tipo_de_Cambio1"/>
      <sheetName val="Detail_Eng1"/>
      <sheetName val="SC_Cost_FEB_032"/>
      <sheetName val="Dynamic_Query1"/>
      <sheetName val="4-Basic_Price1"/>
      <sheetName val="Kuantitas_&amp;_Harga1"/>
      <sheetName val="DIV_31"/>
      <sheetName val="HARGA_DASAR1"/>
      <sheetName val="hrg_sat11"/>
      <sheetName val="Data_basic_price_jgan_diprint1"/>
      <sheetName val="Urai__Resap_pengikat1"/>
      <sheetName val="Daily_Forwards1"/>
      <sheetName val="sis_xlm1"/>
      <sheetName val="Analisa_Upah_&amp;_Bahan_Plum1"/>
      <sheetName val="Daftar_Sewa1"/>
      <sheetName val="Peralatan_(2)1"/>
      <sheetName val="Analisa_Alat1"/>
      <sheetName val="Analisa_SNI_STANDART_1"/>
      <sheetName val="DAFTAR_ISI1"/>
      <sheetName val="UNIT_31"/>
      <sheetName val="1_21"/>
      <sheetName val="(1)Internal_Cost_Report1"/>
      <sheetName val="PSM_Monthly1"/>
      <sheetName val="HIOS_93_thru_961"/>
      <sheetName val="CREDIT_STATS1"/>
      <sheetName val="1999_BUDGET1"/>
      <sheetName val="listes"/>
      <sheetName val="三材价差限额"/>
      <sheetName val="Physical % (By Phase)"/>
      <sheetName val="Physical (by Portion)"/>
      <sheetName val="Level-1"/>
      <sheetName val="Level-2"/>
      <sheetName val="Level-3"/>
      <sheetName val="Level-4"/>
      <sheetName val="Overall"/>
      <sheetName val="Construction"/>
      <sheetName val="Procurement"/>
      <sheetName val="Welding-Curve"/>
      <sheetName val="Welding"/>
      <sheetName val="Corr-Pit"/>
      <sheetName val="SVS"/>
      <sheetName val="Pipeline"/>
      <sheetName val="CP"/>
      <sheetName val="Trenchless-Addl"/>
      <sheetName val="Trenchless"/>
      <sheetName val="Open Cut"/>
      <sheetName val="SVS-Conc."/>
      <sheetName val="SVS-Curve"/>
      <sheetName val="SVS-%"/>
      <sheetName val="Coating"/>
      <sheetName val="SVS-Summary"/>
      <sheetName val="Road-X'sing"/>
      <sheetName val="SVS-Breakdown"/>
      <sheetName val="Sheet1 (2)"/>
      <sheetName val="FOC"/>
      <sheetName val="Budgeted Cost -Orig"/>
      <sheetName val="RATE TABLE"/>
      <sheetName val="SUM_FSBLT16"/>
      <sheetName val="Overall_Project16"/>
      <sheetName val="Overall_Process16"/>
      <sheetName val="Overall_Utility16"/>
      <sheetName val="FWBS_100016"/>
      <sheetName val="FWBS_200016"/>
      <sheetName val="FWBS_300016"/>
      <sheetName val="FWBS_500016"/>
      <sheetName val="FWBS_600016"/>
      <sheetName val="FWBS_700016"/>
      <sheetName val="FWBS_800016"/>
      <sheetName val="FWBS_900016"/>
      <sheetName val="FWBS_A00016"/>
      <sheetName val="FWBS_B00016"/>
      <sheetName val="FWBS_Z00016"/>
      <sheetName val="Onerous_Terms15"/>
      <sheetName val="INVOICE_CERT_EIV'S15"/>
      <sheetName val="Building_BD15"/>
      <sheetName val="_Sum15"/>
      <sheetName val="실제_도면출도14"/>
      <sheetName val="공사비_내역_(가)14"/>
      <sheetName val="33628-Rev__A14"/>
      <sheetName val="plan&amp;section_of_foundation14"/>
      <sheetName val="design_criteria14"/>
      <sheetName val="w't_table14"/>
      <sheetName val="BM_DATA_SHEET14"/>
      <sheetName val="Eq__Mobilization14"/>
      <sheetName val="Progress_Tab14"/>
      <sheetName val="입찰내역_발주처_양식14"/>
      <sheetName val="M_1114"/>
      <sheetName val="PC_CATCH_PIT_1X1X1_2M13"/>
      <sheetName val="PC_CATCH_PIT__6X_6X1_0M13"/>
      <sheetName val="PC_COVER_100MM_THK__95x_313"/>
      <sheetName val="PC_COVER_250MM_THK_2_2x_313"/>
      <sheetName val="REINF_14"/>
      <sheetName val="Adjusted_Bids13"/>
      <sheetName val="member_design13"/>
      <sheetName val="working_load_at_the_btm_ft_13"/>
      <sheetName val="soil_bearing_check13"/>
      <sheetName val="3__GROUNDING_SYSTEM14"/>
      <sheetName val="Chiet_tinh_dz3513"/>
      <sheetName val="Concept_Offshore13"/>
      <sheetName val="A(Rev_3)13"/>
      <sheetName val="Running_compatibility_check_13"/>
      <sheetName val="[Planning&amp;reporting_xlsM9000-A9"/>
      <sheetName val="Running_compatibility_check__x9"/>
      <sheetName val="List_of_WorkPacks9"/>
      <sheetName val="List_of_Dates9"/>
      <sheetName val="FWBS_codes9"/>
      <sheetName val="STANDARD_DESCRIPTION9"/>
      <sheetName val="STANDARD_DESCRIPTION_-_20150510"/>
      <sheetName val="Drawings_Summary9"/>
      <sheetName val="Instr_Drawing_List9"/>
      <sheetName val="INDEX-Areas_B000,C000,D000,E009"/>
      <sheetName val="STANDARD_DESCRIPTION_201507159"/>
      <sheetName val="DropDown_Selections9"/>
      <sheetName val="Running_compatibility_check_?A9"/>
      <sheetName val="Cashflow_Analysis9"/>
      <sheetName val="A_(2)9"/>
      <sheetName val="Running_compatibility_check__A9"/>
      <sheetName val="Structural_Comp9"/>
      <sheetName val="WORKSHEET_CS8"/>
      <sheetName val="Direct_Prices8"/>
      <sheetName val="00-Summary_Information-ABB8"/>
      <sheetName val="page_68"/>
      <sheetName val="P-Ins_&amp;_Bonds7"/>
      <sheetName val="P-Site_fac7"/>
      <sheetName val="P-Clients_fac7"/>
      <sheetName val="P_Staff_fac7"/>
      <sheetName val="factor_7"/>
      <sheetName val="vlookup_-_do_not_print7"/>
      <sheetName val="Acc_Stock-INSUL7"/>
      <sheetName val="AEROGEL_CAL7"/>
      <sheetName val="CRYG_THKMM7"/>
      <sheetName val="ITB_REVIEW7"/>
      <sheetName val="SPCS_SUMM_7"/>
      <sheetName val="ESTI__SUMM_7"/>
      <sheetName val="Price_Summary7"/>
      <sheetName val="Rate_Analysis7"/>
      <sheetName val="19_05_20107"/>
      <sheetName val="Earthworks_ERP7"/>
      <sheetName val="24_06_20107"/>
      <sheetName val="Small_Structures_ERP7"/>
      <sheetName val="Large_Structures_ERP7"/>
      <sheetName val="Tunnelling_ERP7"/>
      <sheetName val="Pricing_Summary7"/>
      <sheetName val="Net_Cost_-_Final_Base7"/>
      <sheetName val="7_6Net_Cost_Agreed_on_Dec-04_R8"/>
      <sheetName val="Net_Cost_Agreed_on_Dec-04_Rev17"/>
      <sheetName val="7_6_Net_Cost_Agreed_on_Dec-047"/>
      <sheetName val="Net_Cost_Agreed_on_Dec-047"/>
      <sheetName val="Total_for_Check7"/>
      <sheetName val="Time_Rates_8"/>
      <sheetName val="ITB_COST7"/>
      <sheetName val="Civil_Weekly7"/>
      <sheetName val="_N_Finansal_Eğri7"/>
      <sheetName val="Cable_Schedule6"/>
      <sheetName val="견적서표지0204-2_(2)7"/>
      <sheetName val="Piping_Spool7"/>
      <sheetName val="Cost_Definition7"/>
      <sheetName val="견적_원가_7"/>
      <sheetName val="Geotextile_for_geotube5"/>
      <sheetName val="JK_Price_sheet7"/>
      <sheetName val="TP_Price_sheet7"/>
      <sheetName val="Phase_1_JK_UTSE7"/>
      <sheetName val="Phase_2_JK_UTSE7"/>
      <sheetName val="Phase_1_and_2_JK_UTSE7"/>
      <sheetName val="Phase_1_TP_UTSE7"/>
      <sheetName val="Phase_2_TP_UTSE7"/>
      <sheetName val="Phase_1_and_2_TP_UTSE7"/>
      <sheetName val="Cash_Flow_(BL)7"/>
      <sheetName val="Cash_Flow_(UTSE)7"/>
      <sheetName val="0_0_Cover7"/>
      <sheetName val="Hoja_37"/>
      <sheetName val="Schedule_7"/>
      <sheetName val="Loading_Struc7"/>
      <sheetName val="Loading_Pip7"/>
      <sheetName val="Loading_Overall_(BASE_Proposal7"/>
      <sheetName val="Steel_Structure7"/>
      <sheetName val="PIPING_AG-UG_NEW_UNITS7"/>
      <sheetName val="MEC_PIPING_PREFABR7"/>
      <sheetName val="Working_File-Pip7"/>
      <sheetName val="Equip_ISBL_&amp;_OSBL_7"/>
      <sheetName val="pg_49"/>
      <sheetName val="Subcon_A9"/>
      <sheetName val="bill_28"/>
      <sheetName val="MATERIAL'S_PRICE8"/>
      <sheetName val="RFP003_Building_-_B7"/>
      <sheetName val="Drop_Down7"/>
      <sheetName val="Source_Data7"/>
      <sheetName val="Total_Staff7"/>
      <sheetName val="0__SUMMARY7"/>
      <sheetName val="1__Engineering7"/>
      <sheetName val="2__Check_point7"/>
      <sheetName val="II_Changes_17"/>
      <sheetName val="III_Changes_27"/>
      <sheetName val="Qty_7"/>
      <sheetName val="OQC_Summary7"/>
      <sheetName val="6_Unit_Rates7"/>
      <sheetName val="INDIRECT_OH&amp;P_6"/>
      <sheetName val="2_047"/>
      <sheetName val="2_057"/>
      <sheetName val="2_07_&amp;_2_087"/>
      <sheetName val="3_017"/>
      <sheetName val="3_027"/>
      <sheetName val="3_037"/>
      <sheetName val="ecart_Personnel7"/>
      <sheetName val="Ecart_Others7"/>
      <sheetName val="Other_costs7"/>
      <sheetName val="3000_Steel_str7"/>
      <sheetName val="5000_Equipments7"/>
      <sheetName val="6000_Piping7"/>
      <sheetName val="7000_Instrumentation7"/>
      <sheetName val="8000_Electrical7"/>
      <sheetName val="per_supplier7"/>
      <sheetName val="Pivot_ledger7"/>
      <sheetName val="Pivot_ENT7"/>
      <sheetName val="Pivot_MAD7"/>
      <sheetName val="Salary_20136"/>
      <sheetName val="CAPEX_Categories7"/>
      <sheetName val="PERHITUNGAN__KEEKONOMIAN7"/>
      <sheetName val="97_사업추정(WEKI)7"/>
      <sheetName val="Overall_MTO_-_20191001_(old)7"/>
      <sheetName val="MTO_for_BMBQ7"/>
      <sheetName val="BQ_Reff7"/>
      <sheetName val="Sum_of_Comparison-201910077"/>
      <sheetName val="Joint_No_7"/>
      <sheetName val="Unit_Weight7"/>
      <sheetName val="Detail_PMC7"/>
      <sheetName val="Detail_PMC_(for_full_desc)7"/>
      <sheetName val="Bolt_Size7"/>
      <sheetName val="NDE_Req7"/>
      <sheetName val="Tgh_JGC-Inv_I_clp7"/>
      <sheetName val="PCS_7"/>
      <sheetName val="Progress_Statement-SI7"/>
      <sheetName val="Progress_Payment-31107"/>
      <sheetName val="Summary_(3)7"/>
      <sheetName val="RRW_Scaff7"/>
      <sheetName val="RRW_Oct-2019-1st_Lot-13-10-197"/>
      <sheetName val="RRW_Oct-2019-2st_Lot-15-10-197"/>
      <sheetName val="Report_Wizard6"/>
      <sheetName val="Initial_Plan6"/>
      <sheetName val="Finansal_tamamlanma_Eğrisi5"/>
      <sheetName val="1_INV5"/>
      <sheetName val="2_Calculation_Sheet5"/>
      <sheetName val="Price_Sheet5"/>
      <sheetName val="3__Progress5"/>
      <sheetName val="4__EDR5"/>
      <sheetName val="BOM_SUM5"/>
      <sheetName val="Eng__Boq_-15"/>
      <sheetName val="PFP,TIE_COAT_&amp;_TOP_FLG_PAINTED5"/>
      <sheetName val="Shop_Modifications5"/>
      <sheetName val="JI-2036_-_Preservation5"/>
      <sheetName val="Re-Application_5"/>
      <sheetName val="OLD_(2)5"/>
      <sheetName val="DB-BOLT_SIZE5"/>
      <sheetName val="REQ_LIST5"/>
      <sheetName val="DESC_NEW_PMC5"/>
      <sheetName val="MTO_2020_03_115"/>
      <sheetName val="BQ_2020_03_035"/>
      <sheetName val="MTO_2020_03_03_(VDR)5"/>
      <sheetName val="BQ_2020_03_03_(VDR)5"/>
      <sheetName val="WEIGHT_&amp;_PAINT5"/>
      <sheetName val="FW_JGC5"/>
      <sheetName val="FW_VENDOR5"/>
      <sheetName val="BQ_2020_02_255"/>
      <sheetName val="BM_BOLT_&amp;_NUT5"/>
      <sheetName val="RT_TABLE5"/>
      <sheetName val="BRANCH_&amp;_REDUCING_TABLE5"/>
      <sheetName val="DESC_OLD_PMC5"/>
      <sheetName val="SHORT_CODE_LIST5"/>
      <sheetName val="Inert_Balls4"/>
      <sheetName val="OUTER_AREA(겹침없음)4"/>
      <sheetName val="DATA-DEP_(13-17)5"/>
      <sheetName val="DATA-GCC(25-34_7)5"/>
      <sheetName val="St_-Con(0-17)5"/>
      <sheetName val="St_-Con_(17-34)5"/>
      <sheetName val="개시대사_(2)4"/>
      <sheetName val="Equiv_Length4"/>
      <sheetName val="S-Curve_(Weekly)4"/>
      <sheetName val="Price_Summary_(1)4"/>
      <sheetName val="Price_Summary_(2)4"/>
      <sheetName val="Item#9_34"/>
      <sheetName val="Item#1_94"/>
      <sheetName val="Item#2_64"/>
      <sheetName val="Item#3_84"/>
      <sheetName val="Item#4_104"/>
      <sheetName val="Item#5_84"/>
      <sheetName val="Item#6_74"/>
      <sheetName val="Item#7_214"/>
      <sheetName val="Item#8_74"/>
      <sheetName val="worksheet_inchican4"/>
      <sheetName val="2_2_띠장의_설계4"/>
      <sheetName val="2_223M_due_to_adj_profit4"/>
      <sheetName val="Land_Dev't__Ph-14"/>
      <sheetName val="INTERIOR_WALLS4"/>
      <sheetName val="Material_Price4"/>
      <sheetName val="combined_9-304"/>
      <sheetName val="GESTION_FICHE4"/>
      <sheetName val="TRADUCTION_LISTES4"/>
      <sheetName val="L_V_Separator4"/>
      <sheetName val="BOQ_LIST4"/>
      <sheetName val="12_-_MAT'L_CLASSIFIC__FACTORS4"/>
      <sheetName val="1_-_PREFAB_STR_STEEL4"/>
      <sheetName val="8_-_SKIDS,_VESSELS_&amp;_EQPT4"/>
      <sheetName val="5_-_STG_PLANT_-_MISC__ITEMS4"/>
      <sheetName val="14_-_HEIGHT_FACTORS4"/>
      <sheetName val="10_-_STEAM_TURBINE_PUMPS4"/>
      <sheetName val="16_-_ASTM_CS_PIPE_ERECT4"/>
      <sheetName val="15_-_ASTM_CS_PIPE_FAB4"/>
      <sheetName val="7_-_SAND_BLAST_&amp;_PAINT4"/>
      <sheetName val="Manpower_List-17"/>
      <sheetName val="SUMMARY_FOR_DPR7"/>
      <sheetName val="Index_Daily_Alloaction7"/>
      <sheetName val="Manpower_List7"/>
      <sheetName val="A_&amp;_B7"/>
      <sheetName val="Table_Rates_Data4"/>
      <sheetName val="INSULATION_R14"/>
      <sheetName val="SOS_PLC_&amp;_Panel3"/>
      <sheetName val="Planilla_CND2"/>
      <sheetName val="Fig_4-144"/>
      <sheetName val="Fig_5-174"/>
      <sheetName val="SPT_vs_PHI4"/>
      <sheetName val="01-D_PERS4"/>
      <sheetName val="PDS_U-14002"/>
      <sheetName val="VESSELS_4"/>
      <sheetName val="Prec_OTS4"/>
      <sheetName val="Financ__Overview2"/>
      <sheetName val="4_代码列表2"/>
      <sheetName val="人工SDP_22"/>
      <sheetName val="材料SDP_12"/>
      <sheetName val="rek_det_1-32"/>
      <sheetName val="Comp_equip2"/>
      <sheetName val="Mach_&amp;_equip2"/>
      <sheetName val="TOTAL_SCHEDULE2"/>
      <sheetName val="Substation_Column3"/>
      <sheetName val="IRR_sponsor3"/>
      <sheetName val="Hrg_Satuan2"/>
      <sheetName val="Bill_rekap2"/>
      <sheetName val="ANALIS_22"/>
      <sheetName val="ANALIS_12"/>
      <sheetName val="Harga_Satuan2"/>
      <sheetName val="analis_standar(8m)2"/>
      <sheetName val="bhn_2"/>
      <sheetName val="6PILE__(돌출)2"/>
      <sheetName val="0_품의서(전체)2"/>
      <sheetName val="LAST_UPDATE2"/>
      <sheetName val="Vaccari__EST_INQ-Stat__Summ_2"/>
      <sheetName val="Riesgos_y_Oportunidades2"/>
      <sheetName val="Raw_Data3"/>
      <sheetName val="Task_Force_Coding_Abbreviation2"/>
      <sheetName val="_"/>
      <sheetName val="Tut_1"/>
      <sheetName val="C1_(calcolo)"/>
      <sheetName val="HD_ALAT"/>
      <sheetName val="HD_BAHAN"/>
      <sheetName val="HD_UPAH"/>
      <sheetName val="MH_RATE"/>
      <sheetName val="List_of_WorkPack"/>
      <sheetName val="analis_standar(20m)"/>
      <sheetName val="ANAL_BETON"/>
      <sheetName val="Galian_1"/>
      <sheetName val="Rencana_Anggaran_Biaya"/>
      <sheetName val="Daf_Harga"/>
      <sheetName val="Rekap_Bill"/>
      <sheetName val="An__Harga"/>
      <sheetName val="DRILLING ONLY"/>
      <sheetName val="CONSOLIDATED FULL REPORT"/>
      <sheetName val="Relief Well Shallow Hazard Stud"/>
      <sheetName val="Page 1 of 5"/>
      <sheetName val="Sheet 14"/>
      <sheetName val="Joints"/>
      <sheetName val="UNIT"/>
      <sheetName val="CASE 10"/>
      <sheetName val="CASE 11"/>
      <sheetName val="CASE 9"/>
      <sheetName val="Machine Data"/>
      <sheetName val="Data Iranian"/>
      <sheetName val="Misc Data"/>
      <sheetName val="Frederick&amp;ENKA Partner"/>
      <sheetName val="Quantity"/>
      <sheetName val="中山低值"/>
      <sheetName val="Cash Flow"/>
      <sheetName val="Wellhrs"/>
      <sheetName val="D"/>
      <sheetName val="Manpower &amp; Manhours"/>
      <sheetName val="Calc A"/>
      <sheetName val="Duties Code"/>
      <sheetName val="EL"/>
      <sheetName val="HYDROTEST DIAGRAM"/>
      <sheetName val="Sheet168"/>
      <sheetName val="FAC"/>
      <sheetName val="QTF (2)"/>
      <sheetName val="WC"/>
      <sheetName val="ADJUST"/>
      <sheetName val="BS1"/>
      <sheetName val="First"/>
      <sheetName val="giathanh1"/>
      <sheetName val="经评"/>
      <sheetName val="S-Curve Weekly"/>
      <sheetName val="Electrikal"/>
      <sheetName val="Elektronik"/>
      <sheetName val="Plumbing"/>
      <sheetName val="Fire_Fighting"/>
      <sheetName val="Fire Fighting"/>
      <sheetName val="Item_Kompensasi"/>
      <sheetName val="Item Kompensasi"/>
      <sheetName val="UP_an"/>
      <sheetName val="Tunnel ( 8,0 x 4,6 )"/>
      <sheetName val="Div 9 - Harian"/>
      <sheetName val="ah sanitary"/>
      <sheetName val="harga"/>
      <sheetName val="upah"/>
      <sheetName val="JAD-PEL"/>
      <sheetName val="PkRp"/>
      <sheetName val="PESANTREN"/>
      <sheetName val="G"/>
      <sheetName val="Analisa Gabungan"/>
      <sheetName val="Sat Bah &amp; Up"/>
      <sheetName val="MU"/>
      <sheetName val="I-KAMAR"/>
      <sheetName val="ARSITEKTUR"/>
      <sheetName val="Curup"/>
      <sheetName val="Prabu"/>
      <sheetName val="TABEL BAJA"/>
      <sheetName val="PE-F-33 Rev 02 Basic Proj.Info"/>
      <sheetName val="PE-F-31 Rev 01 Coversheet"/>
      <sheetName val=" PE-F-42 MR 9 Manpower"/>
      <sheetName val="Koordinat"/>
      <sheetName val="Earthwork"/>
      <sheetName val="TRAFFIC"/>
      <sheetName val="Contingency"/>
      <sheetName val="Details"/>
      <sheetName val="Cash Flow Data"/>
      <sheetName val="Cover (sh 1)"/>
      <sheetName val="Units"/>
      <sheetName val="Instructions"/>
      <sheetName val="BMS 제어공사 (금회계약분)"/>
      <sheetName val="Slide 6 - Returns &amp; NWC"/>
      <sheetName val="U_S_ILD"/>
      <sheetName val="PV_00001"/>
      <sheetName val="PROJECT_TITLE"/>
      <sheetName val="081387T_BoM_detail_"/>
      <sheetName val="Administrative_Prices"/>
      <sheetName val="P2A_Execute_Detailed_Profile"/>
      <sheetName val="PIPING_LINE_LIST"/>
      <sheetName val="Shut_down"/>
      <sheetName val="Basic_Rate"/>
      <sheetName val="VC2_10_99"/>
      <sheetName val="COMPARATIVE_SUMMARY"/>
      <sheetName val="BOQ_(typ-accent)"/>
      <sheetName val="Named_Range"/>
      <sheetName val="RFP_Codes"/>
      <sheetName val="co-no_2"/>
      <sheetName val="M-work"/>
      <sheetName val="WORK"/>
      <sheetName val="2Piling"/>
      <sheetName val="Assessment"/>
      <sheetName val="Certificate "/>
      <sheetName val="Prelim"/>
      <sheetName val="Sub con"/>
      <sheetName val="D&amp;W"/>
      <sheetName val="ac_data"/>
      <sheetName val="W251"/>
      <sheetName val="Rate"/>
      <sheetName val="CPA33-34"/>
      <sheetName val="SFA"/>
      <sheetName val="SOURCE"/>
      <sheetName val="마감LIST-1"/>
      <sheetName val="GRSummary"/>
      <sheetName val="DC MATRIX"/>
      <sheetName val="TASK"/>
      <sheetName val="USERDATA"/>
      <sheetName val="#¡REF"/>
      <sheetName val="Page 5 of 7"/>
      <sheetName val="Кедровский"/>
      <sheetName val="Piping Spool "/>
      <sheetName val="Gaji-Bag"/>
      <sheetName val="Am III.B Complete Building"/>
      <sheetName val="USGC"/>
      <sheetName val="1-G1"/>
      <sheetName val="SUM_FSBLT17"/>
      <sheetName val="FWBS_900017"/>
      <sheetName val="Overall_Project17"/>
      <sheetName val="Overall_Process17"/>
      <sheetName val="Overall_Utility17"/>
      <sheetName val="FWBS_100017"/>
      <sheetName val="FWBS_200017"/>
      <sheetName val="FWBS_300017"/>
      <sheetName val="FWBS_500017"/>
      <sheetName val="FWBS_600017"/>
      <sheetName val="FWBS_700017"/>
      <sheetName val="FWBS_800017"/>
      <sheetName val="FWBS_A00017"/>
      <sheetName val="FWBS_B00017"/>
      <sheetName val="FWBS_Z00017"/>
      <sheetName val="INVOICE_CERT_EIV'S16"/>
      <sheetName val="Onerous_Terms16"/>
      <sheetName val="w't_table15"/>
      <sheetName val="실제_도면출도15"/>
      <sheetName val="plan&amp;section_of_foundation15"/>
      <sheetName val="design_criteria15"/>
      <sheetName val="Building_BD16"/>
      <sheetName val="_Sum16"/>
      <sheetName val="공사비_내역_(가)15"/>
      <sheetName val="입찰내역_발주처_양식15"/>
      <sheetName val="BM_DATA_SHEET15"/>
      <sheetName val="33628-Rev__A15"/>
      <sheetName val="Eq__Mobilization15"/>
      <sheetName val="M_1115"/>
      <sheetName val="Progress_Tab15"/>
      <sheetName val="member_design14"/>
      <sheetName val="PC_CATCH_PIT_1X1X1_2M14"/>
      <sheetName val="PC_CATCH_PIT__6X_6X1_0M14"/>
      <sheetName val="PC_COVER_100MM_THK__95x_314"/>
      <sheetName val="PC_COVER_250MM_THK_2_2x_314"/>
      <sheetName val="REINF_15"/>
      <sheetName val="working_load_at_the_btm_ft_14"/>
      <sheetName val="soil_bearing_check14"/>
      <sheetName val="Chiet_tinh_dz3514"/>
      <sheetName val="3__GROUNDING_SYSTEM15"/>
      <sheetName val="Adjusted_Bids14"/>
      <sheetName val="Concept_Offshore14"/>
      <sheetName val="Running_compatibility_check_14"/>
      <sheetName val="A(Rev_3)14"/>
      <sheetName val="WORKSHEET_CS9"/>
      <sheetName val="00-Summary_Information-ABB9"/>
      <sheetName val="Direct_Prices9"/>
      <sheetName val="_Planning&amp;reporting_xlsM9000-A9"/>
      <sheetName val="page_69"/>
      <sheetName val="P-Ins_&amp;_Bonds8"/>
      <sheetName val="P-Site_fac8"/>
      <sheetName val="P-Clients_fac8"/>
      <sheetName val="P_Staff_fac8"/>
      <sheetName val="factor_8"/>
      <sheetName val="vlookup_-_do_not_print8"/>
      <sheetName val="Rate_Analysis8"/>
      <sheetName val="ITB_COST8"/>
      <sheetName val="19_05_20108"/>
      <sheetName val="Earthworks_ERP8"/>
      <sheetName val="24_06_20108"/>
      <sheetName val="Small_Structures_ERP8"/>
      <sheetName val="Large_Structures_ERP8"/>
      <sheetName val="Tunnelling_ERP8"/>
      <sheetName val="Civil_Weekly8"/>
      <sheetName val="견적서표지0204-2_(2)8"/>
      <sheetName val="Piping_Spool8"/>
      <sheetName val="Cost_Definition8"/>
      <sheetName val="견적_원가_8"/>
      <sheetName val="Pricing_Summary8"/>
      <sheetName val="Net_Cost_-_Final_Base8"/>
      <sheetName val="7_6Net_Cost_Agreed_on_Dec-04_R9"/>
      <sheetName val="Net_Cost_Agreed_on_Dec-04_Rev18"/>
      <sheetName val="7_6_Net_Cost_Agreed_on_Dec-048"/>
      <sheetName val="Net_Cost_Agreed_on_Dec-048"/>
      <sheetName val="Total_for_Check8"/>
      <sheetName val="_N_Finansal_Eğri8"/>
      <sheetName val="pg_410"/>
      <sheetName val="Subcon_A10"/>
      <sheetName val="bill_29"/>
      <sheetName val="MATERIAL'S_PRICE9"/>
      <sheetName val="0_0_Cover8"/>
      <sheetName val="Hoja_38"/>
      <sheetName val="Schedule_8"/>
      <sheetName val="Loading_Struc8"/>
      <sheetName val="Loading_Pip8"/>
      <sheetName val="Loading_Overall_(BASE_Proposal8"/>
      <sheetName val="Steel_Structure8"/>
      <sheetName val="PIPING_AG-UG_NEW_UNITS8"/>
      <sheetName val="MEC_PIPING_PREFABR8"/>
      <sheetName val="Working_File-Pip8"/>
      <sheetName val="Equip_ISBL_&amp;_OSBL_8"/>
      <sheetName val="RFP003_Building_-_B8"/>
      <sheetName val="Source_Data8"/>
      <sheetName val="CAPEX_Categories8"/>
      <sheetName val="Item#9_35"/>
      <sheetName val="Item#1_95"/>
      <sheetName val="Item#2_65"/>
      <sheetName val="Item#3_85"/>
      <sheetName val="Item#4_105"/>
      <sheetName val="Item#5_85"/>
      <sheetName val="Item#6_75"/>
      <sheetName val="Item#7_215"/>
      <sheetName val="Item#8_75"/>
      <sheetName val="worksheet_inchican5"/>
      <sheetName val="INTERIOR_WALLS5"/>
      <sheetName val="2_2_띠장의_설계5"/>
      <sheetName val="2_223M_due_to_adj_profit5"/>
      <sheetName val="Land_Dev't__Ph-15"/>
      <sheetName val="Material_Price5"/>
      <sheetName val="combined_9-305"/>
      <sheetName val="GESTION_FICHE5"/>
      <sheetName val="TRADUCTION_LISTES5"/>
      <sheetName val="개시대사_(2)5"/>
      <sheetName val="Equiv_Length5"/>
      <sheetName val="S-Curve_(Weekly)5"/>
      <sheetName val="Price_Summary_(1)5"/>
      <sheetName val="Price_Summary_(2)5"/>
      <sheetName val="INSULATION_R15"/>
      <sheetName val="SOS_PLC_&amp;_Panel4"/>
      <sheetName val="Inert_Balls5"/>
      <sheetName val="rek_det_1-34"/>
      <sheetName val="PDS_U-14004"/>
      <sheetName val="Planilla_CND4"/>
      <sheetName val="Prec_OTS5"/>
      <sheetName val="Substation_Column4"/>
      <sheetName val="IRR_sponsor4"/>
      <sheetName val="Comp_equip4"/>
      <sheetName val="Mach_&amp;_equip4"/>
      <sheetName val="Komponen_Upah2"/>
      <sheetName val="Inkindo_20152"/>
      <sheetName val="HRG_BAHAN_&amp;_UPAH_okk2"/>
      <sheetName val="Analis_Kusen_okk2"/>
      <sheetName val="Page_12"/>
      <sheetName val="VS_P-Q2"/>
      <sheetName val="VS_curve2"/>
      <sheetName val="CS_P_Q2"/>
      <sheetName val="PLSt_03__2"/>
      <sheetName val="П_7_курс_аванса2"/>
      <sheetName val="Retaining_wall_&amp;_Top_Up2"/>
      <sheetName val="INFO_UMUM2"/>
      <sheetName val="DET_12"/>
      <sheetName val="DET_22"/>
      <sheetName val="BASIC_PRICE2"/>
      <sheetName val="_GULF2"/>
      <sheetName val="DIV_12"/>
      <sheetName val="4_Annex_1_Basic_rate2"/>
      <sheetName val="Price_Schedule2"/>
      <sheetName val="MEASURE_LIST2"/>
      <sheetName val="personnel_loading2"/>
      <sheetName val="MAY_00-Bobbins2"/>
      <sheetName val="U_A_Input2"/>
      <sheetName val="Equipt_Rental2"/>
      <sheetName val="UPA(Part_C,D,E,G,H)2"/>
      <sheetName val="UPA(Part_F)2"/>
      <sheetName val="일위대가_(Part_C,D,E,G,H)2"/>
      <sheetName val="CABLE_DATA2"/>
      <sheetName val="F1_42"/>
      <sheetName val="Iuran_Nopember_20022"/>
      <sheetName val="H_Satuan2"/>
      <sheetName val="ocean_voyage2"/>
      <sheetName val="Perm__Test2"/>
      <sheetName val="Cash_Flow_bulanan2"/>
      <sheetName val="7__Comparison_of_Asphalt_etc2"/>
      <sheetName val="BOQ_for_HRSG_&amp;_BOP-mech_2"/>
      <sheetName val="Detail_Eng2"/>
      <sheetName val="PSM_Monthly2"/>
      <sheetName val="Task_Force_Coding_Abbreviation4"/>
      <sheetName val="rek_det_1-33"/>
      <sheetName val="PDS_U-14003"/>
      <sheetName val="Planilla_CND3"/>
      <sheetName val="Comp_equip3"/>
      <sheetName val="Mach_&amp;_equip3"/>
      <sheetName val="Task_Force_Coding_Abbreviation3"/>
      <sheetName val="Sum-Solvay_DOW-AIE_"/>
      <sheetName val="ใบนำส่งเอกสาร_ออก_Invoiced"/>
      <sheetName val="SMY_PG"/>
      <sheetName val="PO_Blanket_Status"/>
      <sheetName val="New_Rate"/>
      <sheetName val="Bahan "/>
      <sheetName val="HS"/>
      <sheetName val="Spin"/>
      <sheetName val="gr_val"/>
      <sheetName val="gr_sum"/>
      <sheetName val="slab"/>
      <sheetName val="LOKASI"/>
      <sheetName val="9 58&quot;_single"/>
      <sheetName val="Daf-Harga"/>
      <sheetName val="20calc"/>
      <sheetName val="958calc"/>
      <sheetName val="Masterfi|_x0000_"/>
      <sheetName val="Steel Structure(2DR0140)"/>
      <sheetName val="PW3"/>
      <sheetName val="PW4"/>
      <sheetName val="SC1"/>
      <sheetName val="DRILLING_ONLY"/>
      <sheetName val="CONSOLIDATED_FULL_REPORT"/>
      <sheetName val="Relief_Well_Shallow_Hazard_Stud"/>
      <sheetName val="WMhrs"/>
      <sheetName val="IPAMQ"/>
      <sheetName val="[Planning&amp;reporting_xlsM9000-10"/>
      <sheetName val="Running_compatibility_check_?10"/>
      <sheetName val="Running_compatibility_check__10"/>
      <sheetName val="Running_compatibility_check__11"/>
      <sheetName val="Cashflow_Analysis10"/>
      <sheetName val="List_of_WorkPacks10"/>
      <sheetName val="List_of_Dates10"/>
      <sheetName val="FWBS_codes10"/>
      <sheetName val="STANDARD_DESCRIPTION10"/>
      <sheetName val="STANDARD_DESCRIPTION_-_20150520"/>
      <sheetName val="Drawings_Summary10"/>
      <sheetName val="Instr_Drawing_List10"/>
      <sheetName val="INDEX-Areas_B000,C000,D000,E010"/>
      <sheetName val="STANDARD_DESCRIPTION_2015071510"/>
      <sheetName val="DropDown_Selections10"/>
      <sheetName val="A_(2)10"/>
      <sheetName val="Structural_Comp10"/>
      <sheetName val="Time_Rates_9"/>
      <sheetName val="Geotextile_for_geotube6"/>
      <sheetName val="JK_Price_sheet8"/>
      <sheetName val="TP_Price_sheet8"/>
      <sheetName val="Phase_1_JK_UTSE8"/>
      <sheetName val="Phase_2_JK_UTSE8"/>
      <sheetName val="Phase_1_and_2_JK_UTSE8"/>
      <sheetName val="Phase_1_TP_UTSE8"/>
      <sheetName val="Phase_2_TP_UTSE8"/>
      <sheetName val="Phase_1_and_2_TP_UTSE8"/>
      <sheetName val="Cash_Flow_(BL)8"/>
      <sheetName val="Cash_Flow_(UTSE)8"/>
      <sheetName val="PERHITUNGAN__KEEKONOMIAN8"/>
      <sheetName val="Total_Staff8"/>
      <sheetName val="0__SUMMARY8"/>
      <sheetName val="1__Engineering8"/>
      <sheetName val="2__Check_point8"/>
      <sheetName val="II_Changes_18"/>
      <sheetName val="III_Changes_28"/>
      <sheetName val="Qty_8"/>
      <sheetName val="OQC_Summary8"/>
      <sheetName val="6_Unit_Rates8"/>
      <sheetName val="AEROGEL_CAL8"/>
      <sheetName val="CRYG_THKMM8"/>
      <sheetName val="ITB_REVIEW8"/>
      <sheetName val="SPCS_SUMM_8"/>
      <sheetName val="ESTI__SUMM_8"/>
      <sheetName val="Price_Summary8"/>
      <sheetName val="Acc_Stock-INSUL8"/>
      <sheetName val="97_사업추정(WEKI)8"/>
      <sheetName val="Drop_Down8"/>
      <sheetName val="Overall_MTO_-_20191001_(old)8"/>
      <sheetName val="MTO_for_BMBQ8"/>
      <sheetName val="BQ_Reff8"/>
      <sheetName val="Sum_of_Comparison-201910078"/>
      <sheetName val="Joint_No_8"/>
      <sheetName val="Unit_Weight8"/>
      <sheetName val="Detail_PMC8"/>
      <sheetName val="Detail_PMC_(for_full_desc)8"/>
      <sheetName val="Bolt_Size8"/>
      <sheetName val="NDE_Req8"/>
      <sheetName val="Tgh_JGC-Inv_I_clp8"/>
      <sheetName val="PCS_8"/>
      <sheetName val="Progress_Statement-SI8"/>
      <sheetName val="Progress_Payment-31108"/>
      <sheetName val="Cable_Schedule7"/>
      <sheetName val="2_048"/>
      <sheetName val="2_058"/>
      <sheetName val="2_07_&amp;_2_088"/>
      <sheetName val="3_018"/>
      <sheetName val="3_028"/>
      <sheetName val="3_038"/>
      <sheetName val="ecart_Personnel8"/>
      <sheetName val="Ecart_Others8"/>
      <sheetName val="Other_costs8"/>
      <sheetName val="3000_Steel_str8"/>
      <sheetName val="5000_Equipments8"/>
      <sheetName val="6000_Piping8"/>
      <sheetName val="7000_Instrumentation8"/>
      <sheetName val="8000_Electrical8"/>
      <sheetName val="per_supplier8"/>
      <sheetName val="Pivot_ledger8"/>
      <sheetName val="Pivot_ENT8"/>
      <sheetName val="Pivot_MAD8"/>
      <sheetName val="INDIRECT_OH&amp;P_7"/>
      <sheetName val="Summary_(3)8"/>
      <sheetName val="RRW_Scaff8"/>
      <sheetName val="RRW_Oct-2019-1st_Lot-13-10-198"/>
      <sheetName val="RRW_Oct-2019-2st_Lot-15-10-198"/>
      <sheetName val="Report_Wizard7"/>
      <sheetName val="Initial_Plan7"/>
      <sheetName val="Finansal_tamamlanma_Eğrisi6"/>
      <sheetName val="1_INV6"/>
      <sheetName val="2_Calculation_Sheet6"/>
      <sheetName val="Price_Sheet6"/>
      <sheetName val="3__Progress6"/>
      <sheetName val="4__EDR6"/>
      <sheetName val="Salary_20137"/>
      <sheetName val="DB-BOLT_SIZE6"/>
      <sheetName val="REQ_LIST6"/>
      <sheetName val="DESC_NEW_PMC6"/>
      <sheetName val="MTO_2020_03_116"/>
      <sheetName val="BQ_2020_03_036"/>
      <sheetName val="MTO_2020_03_03_(VDR)6"/>
      <sheetName val="BQ_2020_03_03_(VDR)6"/>
      <sheetName val="WEIGHT_&amp;_PAINT6"/>
      <sheetName val="FW_JGC6"/>
      <sheetName val="FW_VENDOR6"/>
      <sheetName val="BQ_2020_02_256"/>
      <sheetName val="BM_BOLT_&amp;_NUT6"/>
      <sheetName val="RT_TABLE6"/>
      <sheetName val="BRANCH_&amp;_REDUCING_TABLE6"/>
      <sheetName val="DESC_OLD_PMC6"/>
      <sheetName val="SHORT_CODE_LIST6"/>
      <sheetName val="BOM_SUM6"/>
      <sheetName val="Eng__Boq_-16"/>
      <sheetName val="PFP,TIE_COAT_&amp;_TOP_FLG_PAINTED6"/>
      <sheetName val="Shop_Modifications6"/>
      <sheetName val="JI-2036_-_Preservation6"/>
      <sheetName val="Re-Application_6"/>
      <sheetName val="OLD_(2)6"/>
      <sheetName val="DATA-DEP_(13-17)6"/>
      <sheetName val="DATA-GCC(25-34_7)6"/>
      <sheetName val="St_-Con(0-17)6"/>
      <sheetName val="St_-Con_(17-34)6"/>
      <sheetName val="OUTER_AREA(겹침없음)5"/>
      <sheetName val="L_V_Separator5"/>
      <sheetName val="SPT_vs_PHI5"/>
      <sheetName val="01-D_PERS5"/>
      <sheetName val="Fig_4-145"/>
      <sheetName val="Fig_5-175"/>
      <sheetName val="Table_Rates_Data5"/>
      <sheetName val="Financ__Overview3"/>
      <sheetName val="4_代码列表3"/>
      <sheetName val="人工SDP_23"/>
      <sheetName val="材料SDP_13"/>
      <sheetName val="BOQ_LIST5"/>
      <sheetName val="12_-_MAT'L_CLASSIFIC__FACTORS5"/>
      <sheetName val="1_-_PREFAB_STR_STEEL5"/>
      <sheetName val="8_-_SKIDS,_VESSELS_&amp;_EQPT5"/>
      <sheetName val="5_-_STG_PLANT_-_MISC__ITEMS5"/>
      <sheetName val="14_-_HEIGHT_FACTORS5"/>
      <sheetName val="10_-_STEAM_TURBINE_PUMPS5"/>
      <sheetName val="16_-_ASTM_CS_PIPE_ERECT5"/>
      <sheetName val="15_-_ASTM_CS_PIPE_FAB5"/>
      <sheetName val="7_-_SAND_BLAST_&amp;_PAINT5"/>
      <sheetName val="Hrg_Satuan3"/>
      <sheetName val="Bill_rekap3"/>
      <sheetName val="ANALIS_23"/>
      <sheetName val="ANALIS_13"/>
      <sheetName val="Harga_Satuan3"/>
      <sheetName val="analis_standar(8m)3"/>
      <sheetName val="bhn_3"/>
      <sheetName val="Manpower_List-18"/>
      <sheetName val="SUMMARY_FOR_DPR8"/>
      <sheetName val="Index_Daily_Alloaction8"/>
      <sheetName val="Manpower_List8"/>
      <sheetName val="A_&amp;_B8"/>
      <sheetName val="Vaccari__EST_INQ-Stat__Summ_3"/>
      <sheetName val="VESSELS_5"/>
      <sheetName val="Riesgos_y_Oportunidades3"/>
      <sheetName val="AOP_Summary-23"/>
      <sheetName val="Raw_Data4"/>
      <sheetName val="QMS_Rev_33"/>
      <sheetName val="QMS_Rev_23"/>
      <sheetName val="Rebar_Assembly_Progress3"/>
      <sheetName val="GI_Steps_Progress_Final3"/>
      <sheetName val="QW_Trench3"/>
      <sheetName val="TOTAL_SCHEDULE3"/>
      <sheetName val="6PILE__(돌출)3"/>
      <sheetName val="0_품의서(전체)3"/>
      <sheetName val="LAST_UPDATE3"/>
      <sheetName val="Memb_Schd1"/>
      <sheetName val="Rekap_Addendum1"/>
      <sheetName val="_1"/>
      <sheetName val="Tut_11"/>
      <sheetName val="C1_(calcolo)1"/>
      <sheetName val="Drilling_sequence1"/>
      <sheetName val="Active_Wells1"/>
      <sheetName val="String_time1"/>
      <sheetName val="Type_curves_(bbl)1"/>
      <sheetName val="Well_fcst_1"/>
      <sheetName val="Oil_prod1"/>
      <sheetName val="Water_prod1"/>
      <sheetName val="Water_inj1"/>
      <sheetName val="Liquid_prod1"/>
      <sheetName val="Gas_prod1"/>
      <sheetName val="Ullage_check1"/>
      <sheetName val="Well_CAPEX1"/>
      <sheetName val="Hook_Up1"/>
      <sheetName val="Subsurface_Studies1"/>
      <sheetName val="Camp_operation1"/>
      <sheetName val="Software_&amp;_IT1"/>
      <sheetName val="Coastal_Overheads1"/>
      <sheetName val="2019_budget1"/>
      <sheetName val="Assumptions_monthly1"/>
      <sheetName val="Assumptions_comparison1"/>
      <sheetName val="Economics_(monhtly)1"/>
      <sheetName val="Economics_Summary1"/>
      <sheetName val="Budget_DELTA1"/>
      <sheetName val="2019-20_Budget_1"/>
      <sheetName val="Budget_Overview1"/>
      <sheetName val="Sumption_Summary1"/>
      <sheetName val="Cost_Summary1"/>
      <sheetName val="A-1Construction_Breakdown1"/>
      <sheetName val="A-2_Equipment_Breakdown1"/>
      <sheetName val="1-HVAC_Sumption1"/>
      <sheetName val="2-Fire&amp;_Plumb_Sumption1"/>
      <sheetName val="3-Utility_Sumption1"/>
      <sheetName val="4-Engineering_Sumption1"/>
      <sheetName val="B2_Project_Mangement1"/>
      <sheetName val="B8_Permitting1"/>
      <sheetName val="HD_ALAT1"/>
      <sheetName val="HD_BAHAN1"/>
      <sheetName val="HD_UPAH1"/>
      <sheetName val="Galian_11"/>
      <sheetName val="Rencana_Anggaran_Biaya1"/>
      <sheetName val="Daf_Harga1"/>
      <sheetName val="Rekap_Bill1"/>
      <sheetName val="An__Harga1"/>
      <sheetName val="MH_RATE1"/>
      <sheetName val="1062-X방향_1"/>
      <sheetName val="analis_standar(20m)1"/>
      <sheetName val="ANAL_BETON1"/>
      <sheetName val="TPS_Performance_Model"/>
      <sheetName val="C_ALS-STR-PDS"/>
      <sheetName val="analisa_GRC"/>
      <sheetName val="Q_ALS-saluran+BK"/>
      <sheetName val="PointNo_5"/>
      <sheetName val="Period_-Worksheet"/>
      <sheetName val="Graph_(LGEN)"/>
      <sheetName val="Piping_Design_Data"/>
      <sheetName val="선적schedule_(2)"/>
      <sheetName val="_갑지"/>
      <sheetName val="spc_배관견적"/>
      <sheetName val="HaulingLine_hardware"/>
      <sheetName val="Direct_Cost_Summary"/>
      <sheetName val="MTO_REV_2(ARMOR)"/>
      <sheetName val="4-Lane_bridge"/>
      <sheetName val="Hac_Lots"/>
      <sheetName val="Res_Lots"/>
      <sheetName val="Spine_Road"/>
      <sheetName val="tabulation_of_deductions"/>
      <sheetName val="DUPA-22-NAGSAAG_SS"/>
      <sheetName val="Code_07"/>
      <sheetName val="Schedule_2_and_3"/>
      <sheetName val="struktur_tdk_dipakai"/>
      <sheetName val="Proj_Cost_Sumry"/>
      <sheetName val="물량_집계표"/>
      <sheetName val="Planning&amp;reporting_xlsM9000-A3"/>
      <sheetName val="Mobilisasi_div-1"/>
      <sheetName val="Page_1_of_5"/>
      <sheetName val="Sheet_14"/>
      <sheetName val="CASE_10"/>
      <sheetName val="CASE_11"/>
      <sheetName val="CASE_9"/>
      <sheetName val="Machine_Data"/>
      <sheetName val="Data_Iranian"/>
      <sheetName val="Misc_Data"/>
      <sheetName val="할증_"/>
      <sheetName val="Frederick&amp;ENKA_Partner"/>
      <sheetName val="KP1590_E"/>
      <sheetName val="DIEZEL動弁相場"/>
      <sheetName val="PAGE1"/>
      <sheetName val="Spec1"/>
      <sheetName val="電源計画"/>
      <sheetName val="DAF_2"/>
      <sheetName val="AnalisaSIPIL RIIL RAP"/>
      <sheetName val="TDC COA Sumry"/>
      <sheetName val="TDC Item Dets"/>
      <sheetName val="TDC Key Qty Sumry"/>
      <sheetName val="COA Sumry - Std Imp"/>
      <sheetName val="Contr TDC - Std Imp"/>
      <sheetName val="Item Sumry - Std Imp"/>
      <sheetName val="Unit Costs - Std Imp"/>
      <sheetName val="Unit MH - Std Imp"/>
      <sheetName val="Proj TIC - Std Imp"/>
      <sheetName val="New Bld"/>
      <sheetName val="Basis"/>
      <sheetName val="Sched-Structure"/>
      <sheetName val="K"/>
      <sheetName val="ASSUMPT"/>
      <sheetName val="office"/>
      <sheetName val="Lab"/>
      <sheetName val="BASIS 01"/>
      <sheetName val="AN"/>
      <sheetName val="BC - Final Templates"/>
      <sheetName val="RCBC Reinforcement"/>
      <sheetName val="@risk rents and incentives"/>
      <sheetName val="Car park lease"/>
      <sheetName val="Net rent analysis"/>
      <sheetName val="Segment"/>
      <sheetName val="Labor abs-NMR"/>
      <sheetName val="Equip Item Dets"/>
      <sheetName val="Pipe Item Dets"/>
      <sheetName val="Civil Item Dets"/>
      <sheetName val="Inst Item Dets"/>
      <sheetName val="Elec Item Dets"/>
      <sheetName val="Paint Item Dets"/>
      <sheetName val="Profile"/>
      <sheetName val="PROG_"/>
      <sheetName val="Calc_A"/>
      <sheetName val="Duties_Code"/>
      <sheetName val="HYDROTEST_DIAGRAM"/>
      <sheetName val="3EOA INDEX"/>
      <sheetName val="Activity List"/>
      <sheetName val="Sanitary"/>
      <sheetName val="Stormwater"/>
      <sheetName val="간접비내역_1"/>
      <sheetName val="현장관리비"/>
      <sheetName val="실행내역"/>
      <sheetName val="작성기준"/>
      <sheetName val="백분율"/>
      <sheetName val="DHEQSUPT"/>
      <sheetName val="基本"/>
      <sheetName val="点表"/>
      <sheetName val="GC-2"/>
      <sheetName val="PRODN"/>
      <sheetName val="Summary Sheets"/>
      <sheetName val="Precios por Administración"/>
      <sheetName val="Equipment List"/>
      <sheetName val="Q&amp;pl-V"/>
      <sheetName val="(10) Other Costs5"/>
      <sheetName val="Existing PC Pavement"/>
      <sheetName val="Subgrade"/>
      <sheetName val="ind'l cp"/>
      <sheetName val="A1-Continuous"/>
      <sheetName val="Insulation_Utl_Off"/>
      <sheetName val="Note_Piping"/>
      <sheetName val="Cash Out Table"/>
      <sheetName val="Net Cash Table"/>
      <sheetName val="Bach Dang"/>
      <sheetName val="tabulation (comparison)"/>
      <sheetName val="Summary (overall)"/>
      <sheetName val="Floor Level"/>
      <sheetName val="BOQ_C(검토용)"/>
      <sheetName val="計画用役根拠"/>
      <sheetName val="TRUCK HAUL CYCLE-waste"/>
      <sheetName val="Running_compatibility_check_A2"/>
      <sheetName val="DO_NOT_Delete5"/>
      <sheetName val="Planning&amp;reporting_xlsM9000-A4"/>
      <sheetName val="Running_compatibility_check_A3"/>
      <sheetName val="산출(설비_공량)"/>
      <sheetName val="옹벽조금수정"/>
      <sheetName val="진주방향"/>
      <sheetName val="U-TYPE(1)"/>
      <sheetName val="토공 갑지"/>
      <sheetName val="Motor Data"/>
      <sheetName val="견적서"/>
      <sheetName val="Resumen"/>
      <sheetName val="Precios Unitarios"/>
      <sheetName val="HRB"/>
      <sheetName val="ﾄﾞﾊﾞｲFUEL GAS追見"/>
      <sheetName val="MAIN GATE HOUSE"/>
      <sheetName val="pile Fabrication"/>
      <sheetName val="1) COMMON FACILITIES"/>
      <sheetName val="Activity Assignment"/>
      <sheetName val="P3472C"/>
      <sheetName val="Civil_RTIP TDI"/>
      <sheetName val="B_down"/>
      <sheetName val="Resource"/>
      <sheetName val="Trans"/>
      <sheetName val="설계산출표지"/>
      <sheetName val="Comparison"/>
      <sheetName val="Comparison Final wo Total"/>
      <sheetName val="A_2"/>
      <sheetName val="FORMESTIMASI"/>
      <sheetName val="인력,장비동원계획"/>
      <sheetName val="M3-COS"/>
      <sheetName val="M4-Adm"/>
      <sheetName val="D.2"/>
      <sheetName val="Recap"/>
      <sheetName val=" ｹ-ﾌﾞﾙ"/>
      <sheetName val="rms listr."/>
      <sheetName val="CJI3"/>
      <sheetName val="P3"/>
      <sheetName val="PP-8000AB"/>
      <sheetName val="Data Input"/>
      <sheetName val=" DKM"/>
      <sheetName val="Price Allison Parts 2011"/>
      <sheetName val="MASTER"/>
      <sheetName val="Daftar Upah"/>
      <sheetName val="Eng_Hrs"/>
      <sheetName val="ABK.04.AWALR+CO+TAB.RUPS"/>
      <sheetName val="IsolatedFdn"/>
      <sheetName val="PE-F-42 Rev 01 Manpower"/>
      <sheetName val="Temp&amp;Site"/>
      <sheetName val="On Time"/>
      <sheetName val="upah_borong"/>
      <sheetName val="satuan_pek"/>
      <sheetName val="hub"/>
      <sheetName val="Sec I ML"/>
      <sheetName val="HB "/>
      <sheetName val="Analisa 2"/>
      <sheetName val="HSATUAN"/>
      <sheetName val="Concrete"/>
      <sheetName val="mob"/>
      <sheetName val="Unit Rate"/>
      <sheetName val="Lamp.2A Ana Sat Mata Pemb Ut"/>
      <sheetName val="skejul"/>
      <sheetName val="D6-1b"/>
      <sheetName val="guard(mac)"/>
      <sheetName val="기본대가"/>
      <sheetName val="Basis of Unit Price"/>
      <sheetName val="RAB AR&amp;STR"/>
      <sheetName val="Sheet166"/>
      <sheetName val="Sheet171"/>
      <sheetName val="cms-28"/>
      <sheetName val="AllInEst"/>
      <sheetName val="DivVI"/>
      <sheetName val="Struktur Gas"/>
      <sheetName val="Cement Contract $"/>
      <sheetName val="Cement-Add-Floats"/>
      <sheetName val="Panel"/>
      <sheetName val="Std Upah"/>
      <sheetName val="3"/>
      <sheetName val="ER10_Old"/>
      <sheetName val="P. control"/>
      <sheetName val="wast"/>
      <sheetName val="MP MOB"/>
      <sheetName val="RTW4"/>
      <sheetName val="Activity_Form"/>
      <sheetName val="비계_수량산출서"/>
      <sheetName val="Library"/>
      <sheetName val="DPA3A-1"/>
      <sheetName val="ref"/>
      <sheetName val="worksheet"/>
      <sheetName val="CONTRACT-SUM"/>
      <sheetName val="1.설계조건"/>
      <sheetName val="Total-Mem"/>
      <sheetName val="UTILITIES"/>
      <sheetName val="일위대가_HHEH"/>
      <sheetName val="March"/>
      <sheetName val="Bill 3 -BPO1"/>
      <sheetName val="Bill 3 -BPO2"/>
      <sheetName val="Bill 2 -RETAIL"/>
      <sheetName val="Division 3000"/>
      <sheetName val="COLUMN"/>
      <sheetName val="Material Cost"/>
      <sheetName val="120"/>
      <sheetName val="130"/>
      <sheetName val="100"/>
      <sheetName val="101"/>
      <sheetName val="102"/>
      <sheetName val="103"/>
      <sheetName val="106"/>
      <sheetName val="108"/>
      <sheetName val="109"/>
      <sheetName val="131"/>
      <sheetName val="110"/>
      <sheetName val="111"/>
      <sheetName val="114"/>
      <sheetName val="116"/>
      <sheetName val="132"/>
      <sheetName val="140"/>
      <sheetName val="141"/>
      <sheetName val="142"/>
      <sheetName val="143"/>
      <sheetName val="144"/>
      <sheetName val="145"/>
      <sheetName val="146"/>
      <sheetName val="121"/>
      <sheetName val="147"/>
      <sheetName val="148"/>
      <sheetName val="160"/>
      <sheetName val="164"/>
      <sheetName val="Flaer Area"/>
      <sheetName val="123"/>
      <sheetName val="124"/>
      <sheetName val="125"/>
      <sheetName val="126"/>
      <sheetName val="127"/>
      <sheetName val="128"/>
      <sheetName val="129"/>
      <sheetName val="GenReq"/>
      <sheetName val="5.1 Cost Report Detail"/>
      <sheetName val="取费表"/>
      <sheetName val="DLDTLN"/>
      <sheetName val="Detail_DC"/>
      <sheetName val="Detail_Switchgear"/>
      <sheetName val="Detail_LV-Transf"/>
      <sheetName val="EQT"/>
      <sheetName val="MTL"/>
      <sheetName val="Dir-Conc "/>
      <sheetName val="환율"/>
      <sheetName val="Poundage"/>
      <sheetName val="structural ratios"/>
      <sheetName val="ok slab on grade"/>
      <sheetName val="eqpmt"/>
      <sheetName val="mat'ls"/>
      <sheetName val="hauling"/>
      <sheetName val="labor"/>
      <sheetName val="Forecast"/>
      <sheetName val="Roon matrix"/>
      <sheetName val="C. letter 3rd QT"/>
      <sheetName val="P_ROBERTS"/>
      <sheetName val="REBAR BCL"/>
      <sheetName val="PM"/>
      <sheetName val="Coalmine"/>
      <sheetName val="prices"/>
      <sheetName val="Base_Data"/>
      <sheetName val="SE-611"/>
      <sheetName val="バルブ材質選定データ"/>
      <sheetName val="材料マスタ"/>
      <sheetName val="sc"/>
      <sheetName val="품셈"/>
      <sheetName val="HaulingLine hardware (2)"/>
      <sheetName val="Main Bldg."/>
      <sheetName val="IPMEQPT"/>
      <sheetName val="IPSPRS"/>
      <sheetName val="IPTTC"/>
      <sheetName val="3.현장배치"/>
      <sheetName val="GM 000"/>
      <sheetName val="ARBQ"/>
      <sheetName val="T2"/>
      <sheetName val="A2"/>
      <sheetName val="CO"/>
      <sheetName val="T1"/>
      <sheetName val="T3"/>
      <sheetName val="EXRATE"/>
      <sheetName val="Bill summary of cost"/>
      <sheetName val="PSV2701F"/>
      <sheetName val="Tabulation "/>
      <sheetName val="VC2 8.98"/>
      <sheetName val="MANHOLE"/>
      <sheetName val="Schedule S-Curve (new scheme)"/>
      <sheetName val="remaining billing"/>
      <sheetName val="CONPRIS"/>
      <sheetName val="소화실적"/>
      <sheetName val="Properties"/>
      <sheetName val="Stability Check"/>
      <sheetName val="formul"/>
      <sheetName val="STATUS REPORT"/>
      <sheetName val="RCF CLAIMED"/>
      <sheetName val="공정코드"/>
      <sheetName val="03-13 Anticipated"/>
      <sheetName val="costing_Misc"/>
      <sheetName val="BOQ-mdc"/>
      <sheetName val="Option D4"/>
      <sheetName val="Labor Rate"/>
      <sheetName val="MU1"/>
      <sheetName val="BOQ segment2 (PartB)"/>
      <sheetName val="Wage Input"/>
      <sheetName val="Labor-Equipment Rates"/>
      <sheetName val="crude.SLAB RE-bar"/>
      <sheetName val="Front Page"/>
      <sheetName val="ICA2007-BOQ-Revised (5-7-2007)"/>
      <sheetName val="Assump (Static)"/>
      <sheetName val="PipWT"/>
      <sheetName val="derivation"/>
      <sheetName val="Matls"/>
      <sheetName val="4300 UTILITY BLDG (2)"/>
      <sheetName val="DESIGN"/>
      <sheetName val="UPA-arch"/>
      <sheetName val="주식"/>
      <sheetName val="設計条件"/>
      <sheetName val="Electrical Pricelist"/>
      <sheetName val="Computed Floor Area"/>
      <sheetName val="날개벽수량표"/>
      <sheetName val="Kalk_90_H2"/>
      <sheetName val="BQ_Equip_Pipe"/>
      <sheetName val="Process Piping"/>
      <sheetName val="Progress Tables"/>
      <sheetName val="AREA"/>
      <sheetName val="220Kv (2)"/>
      <sheetName val="220Kv"/>
      <sheetName val="Final Certificate"/>
      <sheetName val="SUMMARY QUANTITIES"/>
      <sheetName val="EXR"/>
      <sheetName val="DUT-BAT1"/>
      <sheetName val="Procurement (MR PO Del) S-C (2)"/>
      <sheetName val="Procurement backup"/>
      <sheetName val="Slurry"/>
      <sheetName val="2. Steel Structural"/>
      <sheetName val="bkg"/>
      <sheetName val="cbrd460"/>
      <sheetName val="bcl"/>
      <sheetName val="BORDGC"/>
      <sheetName val="LTG-STG"/>
      <sheetName val="SEW4"/>
      <sheetName val="beam-reinft-machine rm"/>
      <sheetName val="CANDY BOQ"/>
      <sheetName val="Combined Results "/>
      <sheetName val="Set"/>
      <sheetName val="Costing"/>
      <sheetName val="hist&amp;proj"/>
      <sheetName val="Headings"/>
      <sheetName val="TB"/>
      <sheetName val="SILICATE"/>
      <sheetName val="Key Ratios"/>
      <sheetName val="Core Data"/>
      <sheetName val="Sales &amp; Prod"/>
      <sheetName val="11-hsd"/>
      <sheetName val="13-septic"/>
      <sheetName val="7-ug"/>
      <sheetName val="2-utility"/>
      <sheetName val="18-misc"/>
      <sheetName val="5-pip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sheetData sheetId="36" refreshError="1"/>
      <sheetData sheetId="37" refreshError="1"/>
      <sheetData sheetId="38" refreshError="1"/>
      <sheetData sheetId="39" refreshError="1"/>
      <sheetData sheetId="40" refreshError="1"/>
      <sheetData sheetId="41"/>
      <sheetData sheetId="42"/>
      <sheetData sheetId="43"/>
      <sheetData sheetId="44"/>
      <sheetData sheetId="45"/>
      <sheetData sheetId="46"/>
      <sheetData sheetId="47"/>
      <sheetData sheetId="48"/>
      <sheetData sheetId="49"/>
      <sheetData sheetId="50"/>
      <sheetData sheetId="5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sheetData sheetId="184"/>
      <sheetData sheetId="185"/>
      <sheetData sheetId="186"/>
      <sheetData sheetId="187"/>
      <sheetData sheetId="188"/>
      <sheetData sheetId="189"/>
      <sheetData sheetId="190"/>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sheetData sheetId="204" refreshError="1"/>
      <sheetData sheetId="205"/>
      <sheetData sheetId="206"/>
      <sheetData sheetId="207" refreshError="1"/>
      <sheetData sheetId="208" refreshError="1"/>
      <sheetData sheetId="209" refreshError="1"/>
      <sheetData sheetId="210"/>
      <sheetData sheetId="211"/>
      <sheetData sheetId="212" refreshError="1"/>
      <sheetData sheetId="213"/>
      <sheetData sheetId="214"/>
      <sheetData sheetId="215"/>
      <sheetData sheetId="216"/>
      <sheetData sheetId="217"/>
      <sheetData sheetId="218" refreshError="1"/>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refreshError="1"/>
      <sheetData sheetId="236">
        <row r="2">
          <cell r="F2" t="str">
            <v>INCH</v>
          </cell>
        </row>
      </sheetData>
      <sheetData sheetId="237">
        <row r="2">
          <cell r="F2" t="str">
            <v>INCH</v>
          </cell>
        </row>
      </sheetData>
      <sheetData sheetId="238" refreshError="1"/>
      <sheetData sheetId="239" refreshError="1"/>
      <sheetData sheetId="240"/>
      <sheetData sheetId="241"/>
      <sheetData sheetId="242" refreshError="1"/>
      <sheetData sheetId="243" refreshError="1"/>
      <sheetData sheetId="244" refreshError="1"/>
      <sheetData sheetId="245" refreshError="1"/>
      <sheetData sheetId="246"/>
      <sheetData sheetId="247" refreshError="1"/>
      <sheetData sheetId="248"/>
      <sheetData sheetId="249"/>
      <sheetData sheetId="250" refreshError="1"/>
      <sheetData sheetId="251">
        <row r="2">
          <cell r="F2" t="str">
            <v>INCH</v>
          </cell>
        </row>
      </sheetData>
      <sheetData sheetId="252">
        <row r="2">
          <cell r="F2" t="str">
            <v>INCH</v>
          </cell>
        </row>
      </sheetData>
      <sheetData sheetId="253">
        <row r="2">
          <cell r="F2" t="str">
            <v>INCH</v>
          </cell>
        </row>
      </sheetData>
      <sheetData sheetId="254">
        <row r="2">
          <cell r="F2" t="str">
            <v>INCH</v>
          </cell>
        </row>
      </sheetData>
      <sheetData sheetId="255">
        <row r="2">
          <cell r="F2" t="str">
            <v>INCH</v>
          </cell>
        </row>
      </sheetData>
      <sheetData sheetId="256">
        <row r="2">
          <cell r="F2" t="str">
            <v>INCH</v>
          </cell>
        </row>
      </sheetData>
      <sheetData sheetId="257">
        <row r="2">
          <cell r="F2" t="str">
            <v>INCH</v>
          </cell>
        </row>
      </sheetData>
      <sheetData sheetId="258">
        <row r="2">
          <cell r="F2" t="str">
            <v>INCH</v>
          </cell>
        </row>
      </sheetData>
      <sheetData sheetId="259">
        <row r="2">
          <cell r="F2" t="str">
            <v>INCH</v>
          </cell>
        </row>
      </sheetData>
      <sheetData sheetId="260">
        <row r="2">
          <cell r="F2" t="str">
            <v>INCH</v>
          </cell>
        </row>
      </sheetData>
      <sheetData sheetId="261">
        <row r="2">
          <cell r="F2" t="str">
            <v>INCH</v>
          </cell>
        </row>
      </sheetData>
      <sheetData sheetId="262">
        <row r="2">
          <cell r="F2" t="str">
            <v>INCH</v>
          </cell>
        </row>
      </sheetData>
      <sheetData sheetId="263">
        <row r="2">
          <cell r="F2" t="str">
            <v>INCH</v>
          </cell>
        </row>
      </sheetData>
      <sheetData sheetId="264">
        <row r="2">
          <cell r="F2" t="str">
            <v>INCH</v>
          </cell>
        </row>
      </sheetData>
      <sheetData sheetId="265">
        <row r="2">
          <cell r="F2" t="str">
            <v>INCH</v>
          </cell>
        </row>
      </sheetData>
      <sheetData sheetId="266">
        <row r="2">
          <cell r="F2" t="str">
            <v>INCH</v>
          </cell>
        </row>
      </sheetData>
      <sheetData sheetId="267">
        <row r="2">
          <cell r="F2" t="str">
            <v>INCH</v>
          </cell>
        </row>
      </sheetData>
      <sheetData sheetId="268">
        <row r="2">
          <cell r="F2" t="str">
            <v>INCH</v>
          </cell>
        </row>
      </sheetData>
      <sheetData sheetId="269">
        <row r="2">
          <cell r="F2" t="str">
            <v>INCH</v>
          </cell>
        </row>
      </sheetData>
      <sheetData sheetId="270">
        <row r="2">
          <cell r="F2" t="str">
            <v>INCH</v>
          </cell>
        </row>
      </sheetData>
      <sheetData sheetId="271">
        <row r="2">
          <cell r="F2" t="str">
            <v>INCH</v>
          </cell>
        </row>
      </sheetData>
      <sheetData sheetId="272">
        <row r="2">
          <cell r="F2" t="str">
            <v>INCH</v>
          </cell>
        </row>
      </sheetData>
      <sheetData sheetId="273">
        <row r="2">
          <cell r="F2" t="str">
            <v>INCH</v>
          </cell>
        </row>
      </sheetData>
      <sheetData sheetId="274">
        <row r="2">
          <cell r="F2" t="str">
            <v>INCH</v>
          </cell>
        </row>
      </sheetData>
      <sheetData sheetId="275">
        <row r="2">
          <cell r="F2" t="str">
            <v>INCH</v>
          </cell>
        </row>
      </sheetData>
      <sheetData sheetId="276">
        <row r="2">
          <cell r="F2" t="str">
            <v>INCH</v>
          </cell>
        </row>
      </sheetData>
      <sheetData sheetId="277">
        <row r="2">
          <cell r="F2" t="str">
            <v>INCH</v>
          </cell>
        </row>
      </sheetData>
      <sheetData sheetId="278">
        <row r="2">
          <cell r="F2" t="str">
            <v>INCH</v>
          </cell>
        </row>
      </sheetData>
      <sheetData sheetId="279">
        <row r="2">
          <cell r="F2" t="str">
            <v>INCH</v>
          </cell>
        </row>
      </sheetData>
      <sheetData sheetId="280">
        <row r="2">
          <cell r="F2" t="str">
            <v>INCH</v>
          </cell>
        </row>
      </sheetData>
      <sheetData sheetId="281">
        <row r="2">
          <cell r="F2" t="str">
            <v>INCH</v>
          </cell>
        </row>
      </sheetData>
      <sheetData sheetId="282">
        <row r="2">
          <cell r="F2" t="str">
            <v>INCH</v>
          </cell>
        </row>
      </sheetData>
      <sheetData sheetId="283">
        <row r="2">
          <cell r="F2" t="str">
            <v>INCH</v>
          </cell>
        </row>
      </sheetData>
      <sheetData sheetId="284">
        <row r="2">
          <cell r="F2" t="str">
            <v>INCH</v>
          </cell>
        </row>
      </sheetData>
      <sheetData sheetId="285">
        <row r="2">
          <cell r="F2" t="str">
            <v>INCH</v>
          </cell>
        </row>
      </sheetData>
      <sheetData sheetId="286"/>
      <sheetData sheetId="287"/>
      <sheetData sheetId="288"/>
      <sheetData sheetId="289" refreshError="1"/>
      <sheetData sheetId="290" refreshError="1"/>
      <sheetData sheetId="291" refreshError="1"/>
      <sheetData sheetId="292"/>
      <sheetData sheetId="293" refreshError="1"/>
      <sheetData sheetId="294">
        <row r="2">
          <cell r="F2" t="str">
            <v>INCH</v>
          </cell>
        </row>
      </sheetData>
      <sheetData sheetId="295">
        <row r="2">
          <cell r="F2" t="str">
            <v>INCH</v>
          </cell>
        </row>
      </sheetData>
      <sheetData sheetId="296">
        <row r="2">
          <cell r="F2" t="str">
            <v>INCH</v>
          </cell>
        </row>
      </sheetData>
      <sheetData sheetId="297">
        <row r="2">
          <cell r="F2" t="str">
            <v>INCH</v>
          </cell>
        </row>
      </sheetData>
      <sheetData sheetId="298">
        <row r="2">
          <cell r="F2" t="str">
            <v>INCH</v>
          </cell>
        </row>
      </sheetData>
      <sheetData sheetId="299">
        <row r="2">
          <cell r="F2" t="str">
            <v>INCH</v>
          </cell>
        </row>
      </sheetData>
      <sheetData sheetId="300"/>
      <sheetData sheetId="30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ow r="2">
          <cell r="F2" t="str">
            <v>INCH</v>
          </cell>
        </row>
      </sheetData>
      <sheetData sheetId="354">
        <row r="2">
          <cell r="F2" t="str">
            <v>INCH</v>
          </cell>
        </row>
      </sheetData>
      <sheetData sheetId="355">
        <row r="2">
          <cell r="F2" t="str">
            <v>INCH</v>
          </cell>
        </row>
      </sheetData>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ow r="2">
          <cell r="F2" t="str">
            <v>INCH</v>
          </cell>
        </row>
      </sheetData>
      <sheetData sheetId="367" refreshError="1"/>
      <sheetData sheetId="368" refreshError="1"/>
      <sheetData sheetId="369" refreshError="1"/>
      <sheetData sheetId="370" refreshError="1"/>
      <sheetData sheetId="371" refreshError="1"/>
      <sheetData sheetId="372" refreshError="1"/>
      <sheetData sheetId="373">
        <row r="2">
          <cell r="F2" t="str">
            <v>INCH</v>
          </cell>
        </row>
      </sheetData>
      <sheetData sheetId="374">
        <row r="2">
          <cell r="F2" t="str">
            <v>INCH</v>
          </cell>
        </row>
      </sheetData>
      <sheetData sheetId="375">
        <row r="2">
          <cell r="F2" t="str">
            <v>INCH</v>
          </cell>
        </row>
      </sheetData>
      <sheetData sheetId="376">
        <row r="2">
          <cell r="F2" t="str">
            <v>INCH</v>
          </cell>
        </row>
      </sheetData>
      <sheetData sheetId="377">
        <row r="2">
          <cell r="F2" t="str">
            <v>INCH</v>
          </cell>
        </row>
      </sheetData>
      <sheetData sheetId="378">
        <row r="2">
          <cell r="F2" t="str">
            <v>INCH</v>
          </cell>
        </row>
      </sheetData>
      <sheetData sheetId="379">
        <row r="2">
          <cell r="F2" t="str">
            <v>INCH</v>
          </cell>
        </row>
      </sheetData>
      <sheetData sheetId="380">
        <row r="2">
          <cell r="F2" t="str">
            <v>INCH</v>
          </cell>
        </row>
      </sheetData>
      <sheetData sheetId="381">
        <row r="2">
          <cell r="F2" t="str">
            <v>INCH</v>
          </cell>
        </row>
      </sheetData>
      <sheetData sheetId="382">
        <row r="2">
          <cell r="F2" t="str">
            <v>INCH</v>
          </cell>
        </row>
      </sheetData>
      <sheetData sheetId="383">
        <row r="2">
          <cell r="F2" t="str">
            <v>INCH</v>
          </cell>
        </row>
      </sheetData>
      <sheetData sheetId="384">
        <row r="2">
          <cell r="F2" t="str">
            <v>INCH</v>
          </cell>
        </row>
      </sheetData>
      <sheetData sheetId="385">
        <row r="2">
          <cell r="F2" t="str">
            <v>INCH</v>
          </cell>
        </row>
      </sheetData>
      <sheetData sheetId="386">
        <row r="2">
          <cell r="F2" t="str">
            <v>INCH</v>
          </cell>
        </row>
      </sheetData>
      <sheetData sheetId="387">
        <row r="2">
          <cell r="F2" t="str">
            <v>INCH</v>
          </cell>
        </row>
      </sheetData>
      <sheetData sheetId="388">
        <row r="2">
          <cell r="F2" t="str">
            <v>INCH</v>
          </cell>
        </row>
      </sheetData>
      <sheetData sheetId="389">
        <row r="2">
          <cell r="F2" t="str">
            <v>INCH</v>
          </cell>
        </row>
      </sheetData>
      <sheetData sheetId="390">
        <row r="2">
          <cell r="F2" t="str">
            <v>INCH</v>
          </cell>
        </row>
      </sheetData>
      <sheetData sheetId="391">
        <row r="2">
          <cell r="F2" t="str">
            <v>INCH</v>
          </cell>
        </row>
      </sheetData>
      <sheetData sheetId="392">
        <row r="2">
          <cell r="F2" t="str">
            <v>INCH</v>
          </cell>
        </row>
      </sheetData>
      <sheetData sheetId="393">
        <row r="2">
          <cell r="F2" t="str">
            <v>INCH</v>
          </cell>
        </row>
      </sheetData>
      <sheetData sheetId="394">
        <row r="2">
          <cell r="F2" t="str">
            <v>INCH</v>
          </cell>
        </row>
      </sheetData>
      <sheetData sheetId="395">
        <row r="2">
          <cell r="F2" t="str">
            <v>INCH</v>
          </cell>
        </row>
      </sheetData>
      <sheetData sheetId="396">
        <row r="2">
          <cell r="F2" t="str">
            <v>INCH</v>
          </cell>
        </row>
      </sheetData>
      <sheetData sheetId="397">
        <row r="2">
          <cell r="F2" t="str">
            <v>INCH</v>
          </cell>
        </row>
      </sheetData>
      <sheetData sheetId="398">
        <row r="2">
          <cell r="F2" t="str">
            <v>INCH</v>
          </cell>
        </row>
      </sheetData>
      <sheetData sheetId="399">
        <row r="2">
          <cell r="F2" t="str">
            <v>INCH</v>
          </cell>
        </row>
      </sheetData>
      <sheetData sheetId="400">
        <row r="2">
          <cell r="F2" t="str">
            <v>INCH</v>
          </cell>
        </row>
      </sheetData>
      <sheetData sheetId="401">
        <row r="2">
          <cell r="F2" t="str">
            <v>INCH</v>
          </cell>
        </row>
      </sheetData>
      <sheetData sheetId="402">
        <row r="2">
          <cell r="F2" t="str">
            <v>INCH</v>
          </cell>
        </row>
      </sheetData>
      <sheetData sheetId="403">
        <row r="2">
          <cell r="F2" t="str">
            <v>INCH</v>
          </cell>
        </row>
      </sheetData>
      <sheetData sheetId="404">
        <row r="2">
          <cell r="F2" t="str">
            <v>INCH</v>
          </cell>
        </row>
      </sheetData>
      <sheetData sheetId="405">
        <row r="2">
          <cell r="F2" t="str">
            <v>INCH</v>
          </cell>
        </row>
      </sheetData>
      <sheetData sheetId="406">
        <row r="2">
          <cell r="F2" t="str">
            <v>INCH</v>
          </cell>
        </row>
      </sheetData>
      <sheetData sheetId="407">
        <row r="2">
          <cell r="F2" t="str">
            <v>INCH</v>
          </cell>
        </row>
      </sheetData>
      <sheetData sheetId="408">
        <row r="2">
          <cell r="F2" t="str">
            <v>INCH</v>
          </cell>
        </row>
      </sheetData>
      <sheetData sheetId="409">
        <row r="2">
          <cell r="F2" t="str">
            <v>INCH</v>
          </cell>
        </row>
      </sheetData>
      <sheetData sheetId="410">
        <row r="2">
          <cell r="F2" t="str">
            <v>INCH</v>
          </cell>
        </row>
      </sheetData>
      <sheetData sheetId="411">
        <row r="2">
          <cell r="F2" t="str">
            <v>INCH</v>
          </cell>
        </row>
      </sheetData>
      <sheetData sheetId="412">
        <row r="2">
          <cell r="F2" t="str">
            <v>INCH</v>
          </cell>
        </row>
      </sheetData>
      <sheetData sheetId="413">
        <row r="2">
          <cell r="F2" t="str">
            <v>INCH</v>
          </cell>
        </row>
      </sheetData>
      <sheetData sheetId="414">
        <row r="2">
          <cell r="F2" t="str">
            <v>INCH</v>
          </cell>
        </row>
      </sheetData>
      <sheetData sheetId="415">
        <row r="2">
          <cell r="F2" t="str">
            <v>INCH</v>
          </cell>
        </row>
      </sheetData>
      <sheetData sheetId="416">
        <row r="2">
          <cell r="F2" t="str">
            <v>INCH</v>
          </cell>
        </row>
      </sheetData>
      <sheetData sheetId="417">
        <row r="2">
          <cell r="F2" t="str">
            <v>INCH</v>
          </cell>
        </row>
      </sheetData>
      <sheetData sheetId="418">
        <row r="2">
          <cell r="F2" t="str">
            <v>INCH</v>
          </cell>
        </row>
      </sheetData>
      <sheetData sheetId="419">
        <row r="2">
          <cell r="F2" t="str">
            <v>INCH</v>
          </cell>
        </row>
      </sheetData>
      <sheetData sheetId="420">
        <row r="2">
          <cell r="F2" t="str">
            <v>INCH</v>
          </cell>
        </row>
      </sheetData>
      <sheetData sheetId="421">
        <row r="2">
          <cell r="F2" t="str">
            <v>INCH</v>
          </cell>
        </row>
      </sheetData>
      <sheetData sheetId="422">
        <row r="2">
          <cell r="F2" t="str">
            <v>INCH</v>
          </cell>
        </row>
      </sheetData>
      <sheetData sheetId="423">
        <row r="2">
          <cell r="F2" t="str">
            <v>INCH</v>
          </cell>
        </row>
      </sheetData>
      <sheetData sheetId="424">
        <row r="2">
          <cell r="F2" t="str">
            <v>INCH</v>
          </cell>
        </row>
      </sheetData>
      <sheetData sheetId="425">
        <row r="2">
          <cell r="F2" t="str">
            <v>INCH</v>
          </cell>
        </row>
      </sheetData>
      <sheetData sheetId="426">
        <row r="2">
          <cell r="F2" t="str">
            <v>INCH</v>
          </cell>
        </row>
      </sheetData>
      <sheetData sheetId="427">
        <row r="2">
          <cell r="F2" t="str">
            <v>INCH</v>
          </cell>
        </row>
      </sheetData>
      <sheetData sheetId="428">
        <row r="2">
          <cell r="F2" t="str">
            <v>INCH</v>
          </cell>
        </row>
      </sheetData>
      <sheetData sheetId="429">
        <row r="2">
          <cell r="F2" t="str">
            <v>INCH</v>
          </cell>
        </row>
      </sheetData>
      <sheetData sheetId="430">
        <row r="2">
          <cell r="F2" t="str">
            <v>INCH</v>
          </cell>
        </row>
      </sheetData>
      <sheetData sheetId="431">
        <row r="2">
          <cell r="F2" t="str">
            <v>INCH</v>
          </cell>
        </row>
      </sheetData>
      <sheetData sheetId="432">
        <row r="2">
          <cell r="F2" t="str">
            <v>INCH</v>
          </cell>
        </row>
      </sheetData>
      <sheetData sheetId="433">
        <row r="2">
          <cell r="F2" t="str">
            <v>INCH</v>
          </cell>
        </row>
      </sheetData>
      <sheetData sheetId="434">
        <row r="2">
          <cell r="F2" t="str">
            <v>INCH</v>
          </cell>
        </row>
      </sheetData>
      <sheetData sheetId="435">
        <row r="2">
          <cell r="F2" t="str">
            <v>INCH</v>
          </cell>
        </row>
      </sheetData>
      <sheetData sheetId="436">
        <row r="2">
          <cell r="F2" t="str">
            <v>INCH</v>
          </cell>
        </row>
      </sheetData>
      <sheetData sheetId="437">
        <row r="2">
          <cell r="F2" t="str">
            <v>INCH</v>
          </cell>
        </row>
      </sheetData>
      <sheetData sheetId="438">
        <row r="2">
          <cell r="F2" t="str">
            <v>INCH</v>
          </cell>
        </row>
      </sheetData>
      <sheetData sheetId="439">
        <row r="2">
          <cell r="F2" t="str">
            <v>INCH</v>
          </cell>
        </row>
      </sheetData>
      <sheetData sheetId="440">
        <row r="2">
          <cell r="F2" t="str">
            <v>INCH</v>
          </cell>
        </row>
      </sheetData>
      <sheetData sheetId="441">
        <row r="2">
          <cell r="F2" t="str">
            <v>INCH</v>
          </cell>
        </row>
      </sheetData>
      <sheetData sheetId="442">
        <row r="2">
          <cell r="F2" t="str">
            <v>INCH</v>
          </cell>
        </row>
      </sheetData>
      <sheetData sheetId="443">
        <row r="2">
          <cell r="F2" t="str">
            <v>INCH</v>
          </cell>
        </row>
      </sheetData>
      <sheetData sheetId="444">
        <row r="2">
          <cell r="F2" t="str">
            <v>INCH</v>
          </cell>
        </row>
      </sheetData>
      <sheetData sheetId="445">
        <row r="2">
          <cell r="F2" t="str">
            <v>INCH</v>
          </cell>
        </row>
      </sheetData>
      <sheetData sheetId="446">
        <row r="2">
          <cell r="F2" t="str">
            <v>INCH</v>
          </cell>
        </row>
      </sheetData>
      <sheetData sheetId="447">
        <row r="2">
          <cell r="F2" t="str">
            <v>INCH</v>
          </cell>
        </row>
      </sheetData>
      <sheetData sheetId="448">
        <row r="2">
          <cell r="F2" t="str">
            <v>INCH</v>
          </cell>
        </row>
      </sheetData>
      <sheetData sheetId="449">
        <row r="2">
          <cell r="F2" t="str">
            <v>INCH</v>
          </cell>
        </row>
      </sheetData>
      <sheetData sheetId="450">
        <row r="2">
          <cell r="F2" t="str">
            <v>INCH</v>
          </cell>
        </row>
      </sheetData>
      <sheetData sheetId="451">
        <row r="2">
          <cell r="F2" t="str">
            <v>INCH</v>
          </cell>
        </row>
      </sheetData>
      <sheetData sheetId="452">
        <row r="2">
          <cell r="F2" t="str">
            <v>INCH</v>
          </cell>
        </row>
      </sheetData>
      <sheetData sheetId="453">
        <row r="2">
          <cell r="F2" t="str">
            <v>INCH</v>
          </cell>
        </row>
      </sheetData>
      <sheetData sheetId="454">
        <row r="2">
          <cell r="F2" t="str">
            <v>INCH</v>
          </cell>
        </row>
      </sheetData>
      <sheetData sheetId="455">
        <row r="2">
          <cell r="F2" t="str">
            <v>INCH</v>
          </cell>
        </row>
      </sheetData>
      <sheetData sheetId="456">
        <row r="2">
          <cell r="F2" t="str">
            <v>INCH</v>
          </cell>
        </row>
      </sheetData>
      <sheetData sheetId="457">
        <row r="2">
          <cell r="F2" t="str">
            <v>INCH</v>
          </cell>
        </row>
      </sheetData>
      <sheetData sheetId="458">
        <row r="2">
          <cell r="F2" t="str">
            <v>INCH</v>
          </cell>
        </row>
      </sheetData>
      <sheetData sheetId="459">
        <row r="2">
          <cell r="F2" t="str">
            <v>INCH</v>
          </cell>
        </row>
      </sheetData>
      <sheetData sheetId="460">
        <row r="2">
          <cell r="F2" t="str">
            <v>INCH</v>
          </cell>
        </row>
      </sheetData>
      <sheetData sheetId="461">
        <row r="2">
          <cell r="F2" t="str">
            <v>INCH</v>
          </cell>
        </row>
      </sheetData>
      <sheetData sheetId="462">
        <row r="2">
          <cell r="F2" t="str">
            <v>INCH</v>
          </cell>
        </row>
      </sheetData>
      <sheetData sheetId="463">
        <row r="2">
          <cell r="F2" t="str">
            <v>INCH</v>
          </cell>
        </row>
      </sheetData>
      <sheetData sheetId="464">
        <row r="2">
          <cell r="F2" t="str">
            <v>INCH</v>
          </cell>
        </row>
      </sheetData>
      <sheetData sheetId="465">
        <row r="2">
          <cell r="F2" t="str">
            <v>INCH</v>
          </cell>
        </row>
      </sheetData>
      <sheetData sheetId="466">
        <row r="2">
          <cell r="F2" t="str">
            <v>INCH</v>
          </cell>
        </row>
      </sheetData>
      <sheetData sheetId="467">
        <row r="2">
          <cell r="F2" t="str">
            <v>INCH</v>
          </cell>
        </row>
      </sheetData>
      <sheetData sheetId="468">
        <row r="2">
          <cell r="F2" t="str">
            <v>INCH</v>
          </cell>
        </row>
      </sheetData>
      <sheetData sheetId="469">
        <row r="2">
          <cell r="F2" t="str">
            <v>INCH</v>
          </cell>
        </row>
      </sheetData>
      <sheetData sheetId="470">
        <row r="2">
          <cell r="F2" t="str">
            <v>INCH</v>
          </cell>
        </row>
      </sheetData>
      <sheetData sheetId="471">
        <row r="2">
          <cell r="F2" t="str">
            <v>INCH</v>
          </cell>
        </row>
      </sheetData>
      <sheetData sheetId="472">
        <row r="2">
          <cell r="F2" t="str">
            <v>INCH</v>
          </cell>
        </row>
      </sheetData>
      <sheetData sheetId="473">
        <row r="2">
          <cell r="F2" t="str">
            <v>INCH</v>
          </cell>
        </row>
      </sheetData>
      <sheetData sheetId="474">
        <row r="2">
          <cell r="F2" t="str">
            <v>INCH</v>
          </cell>
        </row>
      </sheetData>
      <sheetData sheetId="475">
        <row r="2">
          <cell r="F2" t="str">
            <v>INCH</v>
          </cell>
        </row>
      </sheetData>
      <sheetData sheetId="476">
        <row r="2">
          <cell r="F2" t="str">
            <v>INCH</v>
          </cell>
        </row>
      </sheetData>
      <sheetData sheetId="477">
        <row r="2">
          <cell r="F2" t="str">
            <v>INCH</v>
          </cell>
        </row>
      </sheetData>
      <sheetData sheetId="478">
        <row r="2">
          <cell r="F2" t="str">
            <v>INCH</v>
          </cell>
        </row>
      </sheetData>
      <sheetData sheetId="479">
        <row r="2">
          <cell r="F2" t="str">
            <v>INCH</v>
          </cell>
        </row>
      </sheetData>
      <sheetData sheetId="480">
        <row r="2">
          <cell r="F2" t="str">
            <v>INCH</v>
          </cell>
        </row>
      </sheetData>
      <sheetData sheetId="481">
        <row r="2">
          <cell r="F2" t="str">
            <v>INCH</v>
          </cell>
        </row>
      </sheetData>
      <sheetData sheetId="482">
        <row r="2">
          <cell r="F2" t="str">
            <v>INCH</v>
          </cell>
        </row>
      </sheetData>
      <sheetData sheetId="483">
        <row r="2">
          <cell r="F2" t="str">
            <v>INCH</v>
          </cell>
        </row>
      </sheetData>
      <sheetData sheetId="484">
        <row r="2">
          <cell r="F2" t="str">
            <v>INCH</v>
          </cell>
        </row>
      </sheetData>
      <sheetData sheetId="485">
        <row r="2">
          <cell r="F2" t="str">
            <v>INCH</v>
          </cell>
        </row>
      </sheetData>
      <sheetData sheetId="486">
        <row r="2">
          <cell r="F2" t="str">
            <v>INCH</v>
          </cell>
        </row>
      </sheetData>
      <sheetData sheetId="487">
        <row r="2">
          <cell r="F2" t="str">
            <v>INCH</v>
          </cell>
        </row>
      </sheetData>
      <sheetData sheetId="488">
        <row r="2">
          <cell r="F2" t="str">
            <v>INCH</v>
          </cell>
        </row>
      </sheetData>
      <sheetData sheetId="489">
        <row r="2">
          <cell r="F2" t="str">
            <v>INCH</v>
          </cell>
        </row>
      </sheetData>
      <sheetData sheetId="490">
        <row r="2">
          <cell r="F2" t="str">
            <v>INCH</v>
          </cell>
        </row>
      </sheetData>
      <sheetData sheetId="491">
        <row r="2">
          <cell r="F2" t="str">
            <v>INCH</v>
          </cell>
        </row>
      </sheetData>
      <sheetData sheetId="492">
        <row r="2">
          <cell r="F2" t="str">
            <v>INCH</v>
          </cell>
        </row>
      </sheetData>
      <sheetData sheetId="493">
        <row r="2">
          <cell r="F2" t="str">
            <v>INCH</v>
          </cell>
        </row>
      </sheetData>
      <sheetData sheetId="494" refreshError="1"/>
      <sheetData sheetId="495">
        <row r="2">
          <cell r="F2" t="str">
            <v>INCH</v>
          </cell>
        </row>
      </sheetData>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sheetData sheetId="524">
        <row r="2">
          <cell r="F2" t="str">
            <v>INCH</v>
          </cell>
        </row>
      </sheetData>
      <sheetData sheetId="525">
        <row r="2">
          <cell r="F2" t="str">
            <v>INCH</v>
          </cell>
        </row>
      </sheetData>
      <sheetData sheetId="526" refreshError="1"/>
      <sheetData sheetId="527" refreshError="1"/>
      <sheetData sheetId="528" refreshError="1"/>
      <sheetData sheetId="529" refreshError="1"/>
      <sheetData sheetId="530">
        <row r="2">
          <cell r="F2" t="str">
            <v>INCH</v>
          </cell>
        </row>
      </sheetData>
      <sheetData sheetId="531">
        <row r="2">
          <cell r="F2" t="str">
            <v>INCH</v>
          </cell>
        </row>
      </sheetData>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ow r="2">
          <cell r="F2" t="str">
            <v>INCH</v>
          </cell>
        </row>
      </sheetData>
      <sheetData sheetId="557" refreshError="1"/>
      <sheetData sheetId="558">
        <row r="2">
          <cell r="F2" t="str">
            <v>INCH</v>
          </cell>
        </row>
      </sheetData>
      <sheetData sheetId="559">
        <row r="2">
          <cell r="F2" t="str">
            <v>INCH</v>
          </cell>
        </row>
      </sheetData>
      <sheetData sheetId="560">
        <row r="2">
          <cell r="F2" t="str">
            <v>INCH</v>
          </cell>
        </row>
      </sheetData>
      <sheetData sheetId="561">
        <row r="2">
          <cell r="F2" t="str">
            <v>INCH</v>
          </cell>
        </row>
      </sheetData>
      <sheetData sheetId="562">
        <row r="2">
          <cell r="F2" t="str">
            <v>INCH</v>
          </cell>
        </row>
      </sheetData>
      <sheetData sheetId="563">
        <row r="2">
          <cell r="F2" t="str">
            <v>INCH</v>
          </cell>
        </row>
      </sheetData>
      <sheetData sheetId="564">
        <row r="2">
          <cell r="F2" t="str">
            <v>INCH</v>
          </cell>
        </row>
      </sheetData>
      <sheetData sheetId="565">
        <row r="2">
          <cell r="F2" t="str">
            <v>INCH</v>
          </cell>
        </row>
      </sheetData>
      <sheetData sheetId="566">
        <row r="2">
          <cell r="F2" t="str">
            <v>INCH</v>
          </cell>
        </row>
      </sheetData>
      <sheetData sheetId="567">
        <row r="2">
          <cell r="F2" t="str">
            <v>INCH</v>
          </cell>
        </row>
      </sheetData>
      <sheetData sheetId="568">
        <row r="2">
          <cell r="F2" t="str">
            <v>INCH</v>
          </cell>
        </row>
      </sheetData>
      <sheetData sheetId="569">
        <row r="2">
          <cell r="F2" t="str">
            <v>INCH</v>
          </cell>
        </row>
      </sheetData>
      <sheetData sheetId="570">
        <row r="2">
          <cell r="F2" t="str">
            <v>INCH</v>
          </cell>
        </row>
      </sheetData>
      <sheetData sheetId="571">
        <row r="2">
          <cell r="F2" t="str">
            <v>INCH</v>
          </cell>
        </row>
      </sheetData>
      <sheetData sheetId="572">
        <row r="2">
          <cell r="F2" t="str">
            <v>INCH</v>
          </cell>
        </row>
      </sheetData>
      <sheetData sheetId="573">
        <row r="2">
          <cell r="F2" t="str">
            <v>INCH</v>
          </cell>
        </row>
      </sheetData>
      <sheetData sheetId="574">
        <row r="2">
          <cell r="F2" t="str">
            <v>INCH</v>
          </cell>
        </row>
      </sheetData>
      <sheetData sheetId="575">
        <row r="2">
          <cell r="F2" t="str">
            <v>INCH</v>
          </cell>
        </row>
      </sheetData>
      <sheetData sheetId="576">
        <row r="2">
          <cell r="F2" t="str">
            <v>INCH</v>
          </cell>
        </row>
      </sheetData>
      <sheetData sheetId="577">
        <row r="2">
          <cell r="F2" t="str">
            <v>INCH</v>
          </cell>
        </row>
      </sheetData>
      <sheetData sheetId="578">
        <row r="2">
          <cell r="F2" t="str">
            <v>INCH</v>
          </cell>
        </row>
      </sheetData>
      <sheetData sheetId="579">
        <row r="2">
          <cell r="F2" t="str">
            <v>INCH</v>
          </cell>
        </row>
      </sheetData>
      <sheetData sheetId="580">
        <row r="2">
          <cell r="F2" t="str">
            <v>INCH</v>
          </cell>
        </row>
      </sheetData>
      <sheetData sheetId="581">
        <row r="2">
          <cell r="F2" t="str">
            <v>INCH</v>
          </cell>
        </row>
      </sheetData>
      <sheetData sheetId="582">
        <row r="2">
          <cell r="F2" t="str">
            <v>INCH</v>
          </cell>
        </row>
      </sheetData>
      <sheetData sheetId="583">
        <row r="2">
          <cell r="F2" t="str">
            <v>INCH</v>
          </cell>
        </row>
      </sheetData>
      <sheetData sheetId="584">
        <row r="2">
          <cell r="F2" t="str">
            <v>INCH</v>
          </cell>
        </row>
      </sheetData>
      <sheetData sheetId="585">
        <row r="2">
          <cell r="F2" t="str">
            <v>INCH</v>
          </cell>
        </row>
      </sheetData>
      <sheetData sheetId="586">
        <row r="2">
          <cell r="F2" t="str">
            <v>INCH</v>
          </cell>
        </row>
      </sheetData>
      <sheetData sheetId="587">
        <row r="2">
          <cell r="F2" t="str">
            <v>INCH</v>
          </cell>
        </row>
      </sheetData>
      <sheetData sheetId="588">
        <row r="2">
          <cell r="F2" t="str">
            <v>INCH</v>
          </cell>
        </row>
      </sheetData>
      <sheetData sheetId="589">
        <row r="2">
          <cell r="F2" t="str">
            <v>INCH</v>
          </cell>
        </row>
      </sheetData>
      <sheetData sheetId="590">
        <row r="2">
          <cell r="F2" t="str">
            <v>INCH</v>
          </cell>
        </row>
      </sheetData>
      <sheetData sheetId="591">
        <row r="2">
          <cell r="F2" t="str">
            <v>INCH</v>
          </cell>
        </row>
      </sheetData>
      <sheetData sheetId="592">
        <row r="2">
          <cell r="F2" t="str">
            <v>INCH</v>
          </cell>
        </row>
      </sheetData>
      <sheetData sheetId="593">
        <row r="2">
          <cell r="F2" t="str">
            <v>INCH</v>
          </cell>
        </row>
      </sheetData>
      <sheetData sheetId="594">
        <row r="2">
          <cell r="F2" t="str">
            <v>INCH</v>
          </cell>
        </row>
      </sheetData>
      <sheetData sheetId="595">
        <row r="2">
          <cell r="F2" t="str">
            <v>INCH</v>
          </cell>
        </row>
      </sheetData>
      <sheetData sheetId="596">
        <row r="2">
          <cell r="F2" t="str">
            <v>INCH</v>
          </cell>
        </row>
      </sheetData>
      <sheetData sheetId="597">
        <row r="2">
          <cell r="F2" t="str">
            <v>INCH</v>
          </cell>
        </row>
      </sheetData>
      <sheetData sheetId="598">
        <row r="2">
          <cell r="F2" t="str">
            <v>INCH</v>
          </cell>
        </row>
      </sheetData>
      <sheetData sheetId="599">
        <row r="2">
          <cell r="F2" t="str">
            <v>INCH</v>
          </cell>
        </row>
      </sheetData>
      <sheetData sheetId="600">
        <row r="2">
          <cell r="F2" t="str">
            <v>INCH</v>
          </cell>
        </row>
      </sheetData>
      <sheetData sheetId="601">
        <row r="2">
          <cell r="F2" t="str">
            <v>INCH</v>
          </cell>
        </row>
      </sheetData>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sheetData sheetId="616">
        <row r="2">
          <cell r="F2" t="str">
            <v>INCH</v>
          </cell>
        </row>
      </sheetData>
      <sheetData sheetId="617"/>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sheetData sheetId="650" refreshError="1"/>
      <sheetData sheetId="651" refreshError="1"/>
      <sheetData sheetId="652" refreshError="1"/>
      <sheetData sheetId="653"/>
      <sheetData sheetId="654"/>
      <sheetData sheetId="655"/>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ow r="2">
          <cell r="F2" t="str">
            <v>INCH</v>
          </cell>
        </row>
      </sheetData>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ow r="2">
          <cell r="F2" t="str">
            <v>INCH</v>
          </cell>
        </row>
      </sheetData>
      <sheetData sheetId="681">
        <row r="2">
          <cell r="F2" t="str">
            <v>INCH</v>
          </cell>
        </row>
      </sheetData>
      <sheetData sheetId="682">
        <row r="2">
          <cell r="F2" t="str">
            <v>INCH</v>
          </cell>
        </row>
      </sheetData>
      <sheetData sheetId="683">
        <row r="2">
          <cell r="F2" t="str">
            <v>INCH</v>
          </cell>
        </row>
      </sheetData>
      <sheetData sheetId="684">
        <row r="2">
          <cell r="F2" t="str">
            <v>INCH</v>
          </cell>
        </row>
      </sheetData>
      <sheetData sheetId="685">
        <row r="2">
          <cell r="F2" t="str">
            <v>INCH</v>
          </cell>
        </row>
      </sheetData>
      <sheetData sheetId="686">
        <row r="2">
          <cell r="F2" t="str">
            <v>INCH</v>
          </cell>
        </row>
      </sheetData>
      <sheetData sheetId="687">
        <row r="2">
          <cell r="F2" t="str">
            <v>INCH</v>
          </cell>
        </row>
      </sheetData>
      <sheetData sheetId="688">
        <row r="2">
          <cell r="F2" t="str">
            <v>INCH</v>
          </cell>
        </row>
      </sheetData>
      <sheetData sheetId="689">
        <row r="2">
          <cell r="F2" t="str">
            <v>INCH</v>
          </cell>
        </row>
      </sheetData>
      <sheetData sheetId="690">
        <row r="2">
          <cell r="F2" t="str">
            <v>INCH</v>
          </cell>
        </row>
      </sheetData>
      <sheetData sheetId="691">
        <row r="2">
          <cell r="F2" t="str">
            <v>INCH</v>
          </cell>
        </row>
      </sheetData>
      <sheetData sheetId="692">
        <row r="2">
          <cell r="F2" t="str">
            <v>INCH</v>
          </cell>
        </row>
      </sheetData>
      <sheetData sheetId="693">
        <row r="2">
          <cell r="F2" t="str">
            <v>INCH</v>
          </cell>
        </row>
      </sheetData>
      <sheetData sheetId="694">
        <row r="2">
          <cell r="F2" t="str">
            <v>INCH</v>
          </cell>
        </row>
      </sheetData>
      <sheetData sheetId="695">
        <row r="2">
          <cell r="F2" t="str">
            <v>INCH</v>
          </cell>
        </row>
      </sheetData>
      <sheetData sheetId="696">
        <row r="2">
          <cell r="F2" t="str">
            <v>INCH</v>
          </cell>
        </row>
      </sheetData>
      <sheetData sheetId="697">
        <row r="2">
          <cell r="F2" t="str">
            <v>INCH</v>
          </cell>
        </row>
      </sheetData>
      <sheetData sheetId="698">
        <row r="2">
          <cell r="F2" t="str">
            <v>INCH</v>
          </cell>
        </row>
      </sheetData>
      <sheetData sheetId="699">
        <row r="2">
          <cell r="F2" t="str">
            <v>INCH</v>
          </cell>
        </row>
      </sheetData>
      <sheetData sheetId="700">
        <row r="2">
          <cell r="F2" t="str">
            <v>INCH</v>
          </cell>
        </row>
      </sheetData>
      <sheetData sheetId="701">
        <row r="2">
          <cell r="F2" t="str">
            <v>INCH</v>
          </cell>
        </row>
      </sheetData>
      <sheetData sheetId="702">
        <row r="2">
          <cell r="F2" t="str">
            <v>INCH</v>
          </cell>
        </row>
      </sheetData>
      <sheetData sheetId="703">
        <row r="2">
          <cell r="F2" t="str">
            <v>INCH</v>
          </cell>
        </row>
      </sheetData>
      <sheetData sheetId="704" refreshError="1"/>
      <sheetData sheetId="705" refreshError="1"/>
      <sheetData sheetId="706" refreshError="1"/>
      <sheetData sheetId="707" refreshError="1"/>
      <sheetData sheetId="708"/>
      <sheetData sheetId="709"/>
      <sheetData sheetId="710"/>
      <sheetData sheetId="711">
        <row r="2">
          <cell r="F2" t="str">
            <v>INCH</v>
          </cell>
        </row>
      </sheetData>
      <sheetData sheetId="712">
        <row r="2">
          <cell r="F2" t="str">
            <v>INCH</v>
          </cell>
        </row>
      </sheetData>
      <sheetData sheetId="713" refreshError="1"/>
      <sheetData sheetId="714" refreshError="1"/>
      <sheetData sheetId="715" refreshError="1"/>
      <sheetData sheetId="716" refreshError="1"/>
      <sheetData sheetId="717" refreshError="1"/>
      <sheetData sheetId="718" refreshError="1"/>
      <sheetData sheetId="719" refreshError="1"/>
      <sheetData sheetId="720">
        <row r="2">
          <cell r="F2" t="str">
            <v>INCH</v>
          </cell>
        </row>
      </sheetData>
      <sheetData sheetId="721"/>
      <sheetData sheetId="722"/>
      <sheetData sheetId="723"/>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ow r="2">
          <cell r="F2" t="str">
            <v>INCH</v>
          </cell>
        </row>
      </sheetData>
      <sheetData sheetId="733">
        <row r="2">
          <cell r="F2" t="str">
            <v>INCH</v>
          </cell>
        </row>
      </sheetData>
      <sheetData sheetId="734">
        <row r="2">
          <cell r="F2" t="str">
            <v>INCH</v>
          </cell>
        </row>
      </sheetData>
      <sheetData sheetId="735">
        <row r="2">
          <cell r="F2" t="str">
            <v>INCH</v>
          </cell>
        </row>
      </sheetData>
      <sheetData sheetId="736">
        <row r="2">
          <cell r="F2" t="str">
            <v>INCH</v>
          </cell>
        </row>
      </sheetData>
      <sheetData sheetId="737">
        <row r="2">
          <cell r="F2" t="str">
            <v>INCH</v>
          </cell>
        </row>
      </sheetData>
      <sheetData sheetId="738">
        <row r="2">
          <cell r="F2" t="str">
            <v>INCH</v>
          </cell>
        </row>
      </sheetData>
      <sheetData sheetId="739">
        <row r="2">
          <cell r="F2" t="str">
            <v>INCH</v>
          </cell>
        </row>
      </sheetData>
      <sheetData sheetId="740">
        <row r="2">
          <cell r="F2" t="str">
            <v>INCH</v>
          </cell>
        </row>
      </sheetData>
      <sheetData sheetId="741">
        <row r="2">
          <cell r="F2" t="str">
            <v>INCH</v>
          </cell>
        </row>
      </sheetData>
      <sheetData sheetId="742"/>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ow r="2">
          <cell r="F2" t="str">
            <v>INCH</v>
          </cell>
        </row>
      </sheetData>
      <sheetData sheetId="755">
        <row r="2">
          <cell r="F2" t="str">
            <v>INCH</v>
          </cell>
        </row>
      </sheetData>
      <sheetData sheetId="756">
        <row r="2">
          <cell r="F2" t="str">
            <v>INCH</v>
          </cell>
        </row>
      </sheetData>
      <sheetData sheetId="757">
        <row r="2">
          <cell r="F2" t="str">
            <v>INCH</v>
          </cell>
        </row>
      </sheetData>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ow r="2">
          <cell r="F2" t="str">
            <v>INCH</v>
          </cell>
        </row>
      </sheetData>
      <sheetData sheetId="786">
        <row r="2">
          <cell r="F2" t="str">
            <v>INCH</v>
          </cell>
        </row>
      </sheetData>
      <sheetData sheetId="787">
        <row r="2">
          <cell r="F2" t="str">
            <v>INCH</v>
          </cell>
        </row>
      </sheetData>
      <sheetData sheetId="788">
        <row r="2">
          <cell r="F2" t="str">
            <v>INCH</v>
          </cell>
        </row>
      </sheetData>
      <sheetData sheetId="789">
        <row r="2">
          <cell r="F2" t="str">
            <v>INCH</v>
          </cell>
        </row>
      </sheetData>
      <sheetData sheetId="790">
        <row r="2">
          <cell r="F2" t="str">
            <v>INCH</v>
          </cell>
        </row>
      </sheetData>
      <sheetData sheetId="791">
        <row r="2">
          <cell r="F2" t="str">
            <v>INCH</v>
          </cell>
        </row>
      </sheetData>
      <sheetData sheetId="792">
        <row r="2">
          <cell r="F2" t="str">
            <v>INCH</v>
          </cell>
        </row>
      </sheetData>
      <sheetData sheetId="793">
        <row r="2">
          <cell r="F2" t="str">
            <v>INCH</v>
          </cell>
        </row>
      </sheetData>
      <sheetData sheetId="794">
        <row r="2">
          <cell r="F2" t="str">
            <v>INCH</v>
          </cell>
        </row>
      </sheetData>
      <sheetData sheetId="795">
        <row r="2">
          <cell r="F2" t="str">
            <v>INCH</v>
          </cell>
        </row>
      </sheetData>
      <sheetData sheetId="796">
        <row r="2">
          <cell r="F2" t="str">
            <v>INCH</v>
          </cell>
        </row>
      </sheetData>
      <sheetData sheetId="797">
        <row r="2">
          <cell r="F2" t="str">
            <v>INCH</v>
          </cell>
        </row>
      </sheetData>
      <sheetData sheetId="798">
        <row r="2">
          <cell r="F2" t="str">
            <v>INCH</v>
          </cell>
        </row>
      </sheetData>
      <sheetData sheetId="799">
        <row r="2">
          <cell r="F2" t="str">
            <v>INCH</v>
          </cell>
        </row>
      </sheetData>
      <sheetData sheetId="800">
        <row r="2">
          <cell r="F2" t="str">
            <v>INCH</v>
          </cell>
        </row>
      </sheetData>
      <sheetData sheetId="801">
        <row r="2">
          <cell r="F2" t="str">
            <v>INCH</v>
          </cell>
        </row>
      </sheetData>
      <sheetData sheetId="802">
        <row r="2">
          <cell r="F2" t="str">
            <v>INCH</v>
          </cell>
        </row>
      </sheetData>
      <sheetData sheetId="803">
        <row r="2">
          <cell r="F2" t="str">
            <v>INCH</v>
          </cell>
        </row>
      </sheetData>
      <sheetData sheetId="804">
        <row r="2">
          <cell r="F2" t="str">
            <v>INCH</v>
          </cell>
        </row>
      </sheetData>
      <sheetData sheetId="805">
        <row r="2">
          <cell r="F2" t="str">
            <v>INCH</v>
          </cell>
        </row>
      </sheetData>
      <sheetData sheetId="806">
        <row r="2">
          <cell r="F2" t="str">
            <v>INCH</v>
          </cell>
        </row>
      </sheetData>
      <sheetData sheetId="807">
        <row r="2">
          <cell r="F2" t="str">
            <v>INCH</v>
          </cell>
        </row>
      </sheetData>
      <sheetData sheetId="808">
        <row r="2">
          <cell r="F2" t="str">
            <v>INCH</v>
          </cell>
        </row>
      </sheetData>
      <sheetData sheetId="809" refreshError="1"/>
      <sheetData sheetId="810" refreshError="1"/>
      <sheetData sheetId="811" refreshError="1"/>
      <sheetData sheetId="812" refreshError="1"/>
      <sheetData sheetId="813" refreshError="1"/>
      <sheetData sheetId="814"/>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ow r="2">
          <cell r="F2" t="str">
            <v>INCH</v>
          </cell>
        </row>
      </sheetData>
      <sheetData sheetId="839">
        <row r="2">
          <cell r="F2" t="str">
            <v>INCH</v>
          </cell>
        </row>
      </sheetData>
      <sheetData sheetId="840">
        <row r="2">
          <cell r="F2" t="str">
            <v>INCH</v>
          </cell>
        </row>
      </sheetData>
      <sheetData sheetId="841">
        <row r="2">
          <cell r="F2" t="str">
            <v>INCH</v>
          </cell>
        </row>
      </sheetData>
      <sheetData sheetId="842">
        <row r="2">
          <cell r="F2" t="str">
            <v>INCH</v>
          </cell>
        </row>
      </sheetData>
      <sheetData sheetId="843">
        <row r="2">
          <cell r="F2" t="str">
            <v>INCH</v>
          </cell>
        </row>
      </sheetData>
      <sheetData sheetId="844">
        <row r="2">
          <cell r="F2" t="str">
            <v>INCH</v>
          </cell>
        </row>
      </sheetData>
      <sheetData sheetId="845">
        <row r="2">
          <cell r="F2" t="str">
            <v>INCH</v>
          </cell>
        </row>
      </sheetData>
      <sheetData sheetId="846">
        <row r="2">
          <cell r="F2" t="str">
            <v>INCH</v>
          </cell>
        </row>
      </sheetData>
      <sheetData sheetId="847">
        <row r="2">
          <cell r="F2" t="str">
            <v>INCH</v>
          </cell>
        </row>
      </sheetData>
      <sheetData sheetId="848">
        <row r="2">
          <cell r="F2" t="str">
            <v>INCH</v>
          </cell>
        </row>
      </sheetData>
      <sheetData sheetId="849">
        <row r="2">
          <cell r="F2" t="str">
            <v>INCH</v>
          </cell>
        </row>
      </sheetData>
      <sheetData sheetId="850">
        <row r="2">
          <cell r="F2" t="str">
            <v>INCH</v>
          </cell>
        </row>
      </sheetData>
      <sheetData sheetId="851">
        <row r="2">
          <cell r="F2" t="str">
            <v>INCH</v>
          </cell>
        </row>
      </sheetData>
      <sheetData sheetId="852">
        <row r="2">
          <cell r="F2" t="str">
            <v>INCH</v>
          </cell>
        </row>
      </sheetData>
      <sheetData sheetId="853">
        <row r="2">
          <cell r="F2" t="str">
            <v>INCH</v>
          </cell>
        </row>
      </sheetData>
      <sheetData sheetId="854">
        <row r="2">
          <cell r="F2" t="str">
            <v>INCH</v>
          </cell>
        </row>
      </sheetData>
      <sheetData sheetId="855">
        <row r="2">
          <cell r="F2" t="str">
            <v>INCH</v>
          </cell>
        </row>
      </sheetData>
      <sheetData sheetId="856">
        <row r="2">
          <cell r="F2" t="str">
            <v>INCH</v>
          </cell>
        </row>
      </sheetData>
      <sheetData sheetId="857">
        <row r="2">
          <cell r="F2" t="str">
            <v>INCH</v>
          </cell>
        </row>
      </sheetData>
      <sheetData sheetId="858">
        <row r="2">
          <cell r="F2" t="str">
            <v>INCH</v>
          </cell>
        </row>
      </sheetData>
      <sheetData sheetId="859">
        <row r="2">
          <cell r="F2" t="str">
            <v>INCH</v>
          </cell>
        </row>
      </sheetData>
      <sheetData sheetId="860">
        <row r="2">
          <cell r="F2" t="str">
            <v>INCH</v>
          </cell>
        </row>
      </sheetData>
      <sheetData sheetId="861">
        <row r="2">
          <cell r="F2" t="str">
            <v>INCH</v>
          </cell>
        </row>
      </sheetData>
      <sheetData sheetId="862">
        <row r="2">
          <cell r="F2" t="str">
            <v>INCH</v>
          </cell>
        </row>
      </sheetData>
      <sheetData sheetId="863">
        <row r="2">
          <cell r="F2" t="str">
            <v>INCH</v>
          </cell>
        </row>
      </sheetData>
      <sheetData sheetId="864">
        <row r="2">
          <cell r="F2" t="str">
            <v>INCH</v>
          </cell>
        </row>
      </sheetData>
      <sheetData sheetId="865">
        <row r="2">
          <cell r="F2" t="str">
            <v>INCH</v>
          </cell>
        </row>
      </sheetData>
      <sheetData sheetId="866">
        <row r="2">
          <cell r="F2" t="str">
            <v>INCH</v>
          </cell>
        </row>
      </sheetData>
      <sheetData sheetId="867">
        <row r="2">
          <cell r="F2" t="str">
            <v>INCH</v>
          </cell>
        </row>
      </sheetData>
      <sheetData sheetId="868">
        <row r="2">
          <cell r="F2" t="str">
            <v>INCH</v>
          </cell>
        </row>
      </sheetData>
      <sheetData sheetId="869">
        <row r="2">
          <cell r="F2" t="str">
            <v>INCH</v>
          </cell>
        </row>
      </sheetData>
      <sheetData sheetId="870">
        <row r="2">
          <cell r="F2" t="str">
            <v>INCH</v>
          </cell>
        </row>
      </sheetData>
      <sheetData sheetId="871">
        <row r="2">
          <cell r="F2" t="str">
            <v>INCH</v>
          </cell>
        </row>
      </sheetData>
      <sheetData sheetId="872">
        <row r="2">
          <cell r="F2" t="str">
            <v>INCH</v>
          </cell>
        </row>
      </sheetData>
      <sheetData sheetId="873">
        <row r="2">
          <cell r="F2" t="str">
            <v>INCH</v>
          </cell>
        </row>
      </sheetData>
      <sheetData sheetId="874">
        <row r="2">
          <cell r="F2" t="str">
            <v>INCH</v>
          </cell>
        </row>
      </sheetData>
      <sheetData sheetId="875">
        <row r="2">
          <cell r="F2" t="str">
            <v>INCH</v>
          </cell>
        </row>
      </sheetData>
      <sheetData sheetId="876">
        <row r="2">
          <cell r="F2" t="str">
            <v>INCH</v>
          </cell>
        </row>
      </sheetData>
      <sheetData sheetId="877">
        <row r="2">
          <cell r="F2" t="str">
            <v>INCH</v>
          </cell>
        </row>
      </sheetData>
      <sheetData sheetId="878">
        <row r="2">
          <cell r="F2" t="str">
            <v>INCH</v>
          </cell>
        </row>
      </sheetData>
      <sheetData sheetId="879">
        <row r="2">
          <cell r="F2" t="str">
            <v>INCH</v>
          </cell>
        </row>
      </sheetData>
      <sheetData sheetId="880">
        <row r="2">
          <cell r="F2" t="str">
            <v>INCH</v>
          </cell>
        </row>
      </sheetData>
      <sheetData sheetId="881">
        <row r="2">
          <cell r="F2" t="str">
            <v>INCH</v>
          </cell>
        </row>
      </sheetData>
      <sheetData sheetId="882">
        <row r="2">
          <cell r="F2" t="str">
            <v>INCH</v>
          </cell>
        </row>
      </sheetData>
      <sheetData sheetId="883">
        <row r="2">
          <cell r="F2" t="str">
            <v>INCH</v>
          </cell>
        </row>
      </sheetData>
      <sheetData sheetId="884">
        <row r="2">
          <cell r="F2" t="str">
            <v>INCH</v>
          </cell>
        </row>
      </sheetData>
      <sheetData sheetId="885">
        <row r="2">
          <cell r="F2" t="str">
            <v>INCH</v>
          </cell>
        </row>
      </sheetData>
      <sheetData sheetId="886">
        <row r="2">
          <cell r="F2" t="str">
            <v>INCH</v>
          </cell>
        </row>
      </sheetData>
      <sheetData sheetId="887">
        <row r="2">
          <cell r="F2" t="str">
            <v>INCH</v>
          </cell>
        </row>
      </sheetData>
      <sheetData sheetId="888">
        <row r="2">
          <cell r="F2" t="str">
            <v>INCH</v>
          </cell>
        </row>
      </sheetData>
      <sheetData sheetId="889">
        <row r="2">
          <cell r="F2" t="str">
            <v>INCH</v>
          </cell>
        </row>
      </sheetData>
      <sheetData sheetId="890">
        <row r="2">
          <cell r="F2" t="str">
            <v>INCH</v>
          </cell>
        </row>
      </sheetData>
      <sheetData sheetId="891">
        <row r="2">
          <cell r="F2" t="str">
            <v>INCH</v>
          </cell>
        </row>
      </sheetData>
      <sheetData sheetId="892">
        <row r="2">
          <cell r="F2" t="str">
            <v>INCH</v>
          </cell>
        </row>
      </sheetData>
      <sheetData sheetId="893">
        <row r="2">
          <cell r="F2" t="str">
            <v>INCH</v>
          </cell>
        </row>
      </sheetData>
      <sheetData sheetId="894">
        <row r="2">
          <cell r="F2" t="str">
            <v>INCH</v>
          </cell>
        </row>
      </sheetData>
      <sheetData sheetId="895">
        <row r="2">
          <cell r="F2" t="str">
            <v>INCH</v>
          </cell>
        </row>
      </sheetData>
      <sheetData sheetId="896">
        <row r="2">
          <cell r="F2" t="str">
            <v>INCH</v>
          </cell>
        </row>
      </sheetData>
      <sheetData sheetId="897">
        <row r="2">
          <cell r="F2" t="str">
            <v>INCH</v>
          </cell>
        </row>
      </sheetData>
      <sheetData sheetId="898">
        <row r="2">
          <cell r="F2" t="str">
            <v>INCH</v>
          </cell>
        </row>
      </sheetData>
      <sheetData sheetId="899">
        <row r="2">
          <cell r="F2" t="str">
            <v>INCH</v>
          </cell>
        </row>
      </sheetData>
      <sheetData sheetId="900">
        <row r="2">
          <cell r="F2" t="str">
            <v>INCH</v>
          </cell>
        </row>
      </sheetData>
      <sheetData sheetId="901" refreshError="1"/>
      <sheetData sheetId="902">
        <row r="2">
          <cell r="F2" t="str">
            <v>INCH</v>
          </cell>
        </row>
      </sheetData>
      <sheetData sheetId="903">
        <row r="2">
          <cell r="F2" t="str">
            <v>INCH</v>
          </cell>
        </row>
      </sheetData>
      <sheetData sheetId="904">
        <row r="2">
          <cell r="F2" t="str">
            <v>INCH</v>
          </cell>
        </row>
      </sheetData>
      <sheetData sheetId="905">
        <row r="2">
          <cell r="F2" t="str">
            <v>INCH</v>
          </cell>
        </row>
      </sheetData>
      <sheetData sheetId="906">
        <row r="2">
          <cell r="F2" t="str">
            <v>INCH</v>
          </cell>
        </row>
      </sheetData>
      <sheetData sheetId="907">
        <row r="2">
          <cell r="F2" t="str">
            <v>INCH</v>
          </cell>
        </row>
      </sheetData>
      <sheetData sheetId="908">
        <row r="2">
          <cell r="F2" t="str">
            <v>INCH</v>
          </cell>
        </row>
      </sheetData>
      <sheetData sheetId="909">
        <row r="2">
          <cell r="F2" t="str">
            <v>INCH</v>
          </cell>
        </row>
      </sheetData>
      <sheetData sheetId="910">
        <row r="2">
          <cell r="F2" t="str">
            <v>INCH</v>
          </cell>
        </row>
      </sheetData>
      <sheetData sheetId="911">
        <row r="2">
          <cell r="F2" t="str">
            <v>INCH</v>
          </cell>
        </row>
      </sheetData>
      <sheetData sheetId="912">
        <row r="2">
          <cell r="F2" t="str">
            <v>INCH</v>
          </cell>
        </row>
      </sheetData>
      <sheetData sheetId="913">
        <row r="2">
          <cell r="F2" t="str">
            <v>INCH</v>
          </cell>
        </row>
      </sheetData>
      <sheetData sheetId="914">
        <row r="2">
          <cell r="F2" t="str">
            <v>INCH</v>
          </cell>
        </row>
      </sheetData>
      <sheetData sheetId="915">
        <row r="2">
          <cell r="F2" t="str">
            <v>INCH</v>
          </cell>
        </row>
      </sheetData>
      <sheetData sheetId="916">
        <row r="2">
          <cell r="F2" t="str">
            <v>INCH</v>
          </cell>
        </row>
      </sheetData>
      <sheetData sheetId="917">
        <row r="2">
          <cell r="F2" t="str">
            <v>INCH</v>
          </cell>
        </row>
      </sheetData>
      <sheetData sheetId="918">
        <row r="2">
          <cell r="F2" t="str">
            <v>INCH</v>
          </cell>
        </row>
      </sheetData>
      <sheetData sheetId="919">
        <row r="2">
          <cell r="F2" t="str">
            <v>INCH</v>
          </cell>
        </row>
      </sheetData>
      <sheetData sheetId="920">
        <row r="2">
          <cell r="F2" t="str">
            <v>INCH</v>
          </cell>
        </row>
      </sheetData>
      <sheetData sheetId="921">
        <row r="2">
          <cell r="F2" t="str">
            <v>INCH</v>
          </cell>
        </row>
      </sheetData>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ow r="2">
          <cell r="F2" t="str">
            <v>INCH</v>
          </cell>
        </row>
      </sheetData>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ow r="2">
          <cell r="F2" t="str">
            <v>INCH</v>
          </cell>
        </row>
      </sheetData>
      <sheetData sheetId="1001">
        <row r="2">
          <cell r="F2" t="str">
            <v>INCH</v>
          </cell>
        </row>
      </sheetData>
      <sheetData sheetId="1002">
        <row r="2">
          <cell r="F2" t="str">
            <v>INCH</v>
          </cell>
        </row>
      </sheetData>
      <sheetData sheetId="1003">
        <row r="2">
          <cell r="F2" t="str">
            <v>INCH</v>
          </cell>
        </row>
      </sheetData>
      <sheetData sheetId="1004">
        <row r="2">
          <cell r="F2" t="str">
            <v>INCH</v>
          </cell>
        </row>
      </sheetData>
      <sheetData sheetId="1005">
        <row r="2">
          <cell r="F2" t="str">
            <v>INCH</v>
          </cell>
        </row>
      </sheetData>
      <sheetData sheetId="1006">
        <row r="2">
          <cell r="F2" t="str">
            <v>INCH</v>
          </cell>
        </row>
      </sheetData>
      <sheetData sheetId="1007">
        <row r="2">
          <cell r="F2" t="str">
            <v>INCH</v>
          </cell>
        </row>
      </sheetData>
      <sheetData sheetId="1008">
        <row r="2">
          <cell r="F2" t="str">
            <v>INCH</v>
          </cell>
        </row>
      </sheetData>
      <sheetData sheetId="1009">
        <row r="2">
          <cell r="F2" t="str">
            <v>INCH</v>
          </cell>
        </row>
      </sheetData>
      <sheetData sheetId="1010">
        <row r="2">
          <cell r="F2" t="str">
            <v>INCH</v>
          </cell>
        </row>
      </sheetData>
      <sheetData sheetId="1011">
        <row r="2">
          <cell r="F2" t="str">
            <v>INCH</v>
          </cell>
        </row>
      </sheetData>
      <sheetData sheetId="1012">
        <row r="2">
          <cell r="F2" t="str">
            <v>INCH</v>
          </cell>
        </row>
      </sheetData>
      <sheetData sheetId="1013">
        <row r="2">
          <cell r="F2" t="str">
            <v>INCH</v>
          </cell>
        </row>
      </sheetData>
      <sheetData sheetId="1014">
        <row r="2">
          <cell r="F2" t="str">
            <v>INCH</v>
          </cell>
        </row>
      </sheetData>
      <sheetData sheetId="1015">
        <row r="2">
          <cell r="F2" t="str">
            <v>INCH</v>
          </cell>
        </row>
      </sheetData>
      <sheetData sheetId="1016">
        <row r="2">
          <cell r="F2" t="str">
            <v>INCH</v>
          </cell>
        </row>
      </sheetData>
      <sheetData sheetId="1017">
        <row r="2">
          <cell r="F2" t="str">
            <v>INCH</v>
          </cell>
        </row>
      </sheetData>
      <sheetData sheetId="1018">
        <row r="2">
          <cell r="F2" t="str">
            <v>INCH</v>
          </cell>
        </row>
      </sheetData>
      <sheetData sheetId="1019">
        <row r="2">
          <cell r="F2" t="str">
            <v>INCH</v>
          </cell>
        </row>
      </sheetData>
      <sheetData sheetId="1020">
        <row r="2">
          <cell r="F2" t="str">
            <v>INCH</v>
          </cell>
        </row>
      </sheetData>
      <sheetData sheetId="1021">
        <row r="2">
          <cell r="F2" t="str">
            <v>INCH</v>
          </cell>
        </row>
      </sheetData>
      <sheetData sheetId="1022">
        <row r="2">
          <cell r="F2" t="str">
            <v>INCH</v>
          </cell>
        </row>
      </sheetData>
      <sheetData sheetId="1023">
        <row r="2">
          <cell r="F2" t="str">
            <v>INCH</v>
          </cell>
        </row>
      </sheetData>
      <sheetData sheetId="1024">
        <row r="2">
          <cell r="F2" t="str">
            <v>INCH</v>
          </cell>
        </row>
      </sheetData>
      <sheetData sheetId="1025">
        <row r="2">
          <cell r="F2" t="str">
            <v>INCH</v>
          </cell>
        </row>
      </sheetData>
      <sheetData sheetId="1026">
        <row r="2">
          <cell r="F2" t="str">
            <v>INCH</v>
          </cell>
        </row>
      </sheetData>
      <sheetData sheetId="1027">
        <row r="2">
          <cell r="F2" t="str">
            <v>INCH</v>
          </cell>
        </row>
      </sheetData>
      <sheetData sheetId="1028">
        <row r="2">
          <cell r="F2" t="str">
            <v>INCH</v>
          </cell>
        </row>
      </sheetData>
      <sheetData sheetId="1029">
        <row r="2">
          <cell r="F2" t="str">
            <v>INCH</v>
          </cell>
        </row>
      </sheetData>
      <sheetData sheetId="1030">
        <row r="2">
          <cell r="F2" t="str">
            <v>INCH</v>
          </cell>
        </row>
      </sheetData>
      <sheetData sheetId="1031">
        <row r="2">
          <cell r="F2" t="str">
            <v>INCH</v>
          </cell>
        </row>
      </sheetData>
      <sheetData sheetId="1032">
        <row r="2">
          <cell r="F2" t="str">
            <v>INCH</v>
          </cell>
        </row>
      </sheetData>
      <sheetData sheetId="1033">
        <row r="2">
          <cell r="F2" t="str">
            <v>INCH</v>
          </cell>
        </row>
      </sheetData>
      <sheetData sheetId="1034">
        <row r="2">
          <cell r="F2" t="str">
            <v>INCH</v>
          </cell>
        </row>
      </sheetData>
      <sheetData sheetId="1035">
        <row r="2">
          <cell r="F2" t="str">
            <v>INCH</v>
          </cell>
        </row>
      </sheetData>
      <sheetData sheetId="1036">
        <row r="2">
          <cell r="F2" t="str">
            <v>INCH</v>
          </cell>
        </row>
      </sheetData>
      <sheetData sheetId="1037">
        <row r="2">
          <cell r="F2" t="str">
            <v>INCH</v>
          </cell>
        </row>
      </sheetData>
      <sheetData sheetId="1038">
        <row r="2">
          <cell r="F2" t="str">
            <v>INCH</v>
          </cell>
        </row>
      </sheetData>
      <sheetData sheetId="1039">
        <row r="2">
          <cell r="F2" t="str">
            <v>INCH</v>
          </cell>
        </row>
      </sheetData>
      <sheetData sheetId="1040">
        <row r="2">
          <cell r="F2" t="str">
            <v>INCH</v>
          </cell>
        </row>
      </sheetData>
      <sheetData sheetId="1041">
        <row r="2">
          <cell r="F2" t="str">
            <v>INCH</v>
          </cell>
        </row>
      </sheetData>
      <sheetData sheetId="1042">
        <row r="2">
          <cell r="F2" t="str">
            <v>INCH</v>
          </cell>
        </row>
      </sheetData>
      <sheetData sheetId="1043">
        <row r="2">
          <cell r="F2" t="str">
            <v>INCH</v>
          </cell>
        </row>
      </sheetData>
      <sheetData sheetId="1044">
        <row r="2">
          <cell r="F2" t="str">
            <v>INCH</v>
          </cell>
        </row>
      </sheetData>
      <sheetData sheetId="1045">
        <row r="2">
          <cell r="F2" t="str">
            <v>INCH</v>
          </cell>
        </row>
      </sheetData>
      <sheetData sheetId="1046">
        <row r="2">
          <cell r="F2" t="str">
            <v>INCH</v>
          </cell>
        </row>
      </sheetData>
      <sheetData sheetId="1047">
        <row r="2">
          <cell r="F2" t="str">
            <v>INCH</v>
          </cell>
        </row>
      </sheetData>
      <sheetData sheetId="1048">
        <row r="2">
          <cell r="F2" t="str">
            <v>INCH</v>
          </cell>
        </row>
      </sheetData>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ow r="2">
          <cell r="F2" t="str">
            <v>INCH</v>
          </cell>
        </row>
      </sheetData>
      <sheetData sheetId="1071">
        <row r="2">
          <cell r="F2" t="str">
            <v>INCH</v>
          </cell>
        </row>
      </sheetData>
      <sheetData sheetId="1072">
        <row r="2">
          <cell r="F2" t="str">
            <v>INCH</v>
          </cell>
        </row>
      </sheetData>
      <sheetData sheetId="1073">
        <row r="2">
          <cell r="F2" t="str">
            <v>INCH</v>
          </cell>
        </row>
      </sheetData>
      <sheetData sheetId="1074">
        <row r="2">
          <cell r="F2" t="str">
            <v>INCH</v>
          </cell>
        </row>
      </sheetData>
      <sheetData sheetId="1075">
        <row r="2">
          <cell r="F2" t="str">
            <v>INCH</v>
          </cell>
        </row>
      </sheetData>
      <sheetData sheetId="1076">
        <row r="2">
          <cell r="F2" t="str">
            <v>INCH</v>
          </cell>
        </row>
      </sheetData>
      <sheetData sheetId="1077">
        <row r="2">
          <cell r="F2" t="str">
            <v>INCH</v>
          </cell>
        </row>
      </sheetData>
      <sheetData sheetId="1078">
        <row r="2">
          <cell r="F2" t="str">
            <v>INCH</v>
          </cell>
        </row>
      </sheetData>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ow r="2">
          <cell r="F2" t="str">
            <v>INCH</v>
          </cell>
        </row>
      </sheetData>
      <sheetData sheetId="1117">
        <row r="2">
          <cell r="F2" t="str">
            <v>INCH</v>
          </cell>
        </row>
      </sheetData>
      <sheetData sheetId="1118">
        <row r="2">
          <cell r="F2" t="str">
            <v>INCH</v>
          </cell>
        </row>
      </sheetData>
      <sheetData sheetId="1119">
        <row r="2">
          <cell r="F2" t="str">
            <v>INCH</v>
          </cell>
        </row>
      </sheetData>
      <sheetData sheetId="1120">
        <row r="2">
          <cell r="F2" t="str">
            <v>INCH</v>
          </cell>
        </row>
      </sheetData>
      <sheetData sheetId="1121">
        <row r="2">
          <cell r="F2" t="str">
            <v>INCH</v>
          </cell>
        </row>
      </sheetData>
      <sheetData sheetId="1122">
        <row r="2">
          <cell r="F2" t="str">
            <v>INCH</v>
          </cell>
        </row>
      </sheetData>
      <sheetData sheetId="1123">
        <row r="2">
          <cell r="F2" t="str">
            <v>INCH</v>
          </cell>
        </row>
      </sheetData>
      <sheetData sheetId="1124">
        <row r="2">
          <cell r="F2" t="str">
            <v>INCH</v>
          </cell>
        </row>
      </sheetData>
      <sheetData sheetId="1125">
        <row r="2">
          <cell r="F2" t="str">
            <v>INCH</v>
          </cell>
        </row>
      </sheetData>
      <sheetData sheetId="1126">
        <row r="2">
          <cell r="F2" t="str">
            <v>INCH</v>
          </cell>
        </row>
      </sheetData>
      <sheetData sheetId="1127">
        <row r="2">
          <cell r="F2" t="str">
            <v>INCH</v>
          </cell>
        </row>
      </sheetData>
      <sheetData sheetId="1128">
        <row r="2">
          <cell r="F2" t="str">
            <v>INCH</v>
          </cell>
        </row>
      </sheetData>
      <sheetData sheetId="1129">
        <row r="2">
          <cell r="F2" t="str">
            <v>INCH</v>
          </cell>
        </row>
      </sheetData>
      <sheetData sheetId="1130">
        <row r="2">
          <cell r="F2" t="str">
            <v>INCH</v>
          </cell>
        </row>
      </sheetData>
      <sheetData sheetId="1131">
        <row r="2">
          <cell r="F2" t="str">
            <v>INCH</v>
          </cell>
        </row>
      </sheetData>
      <sheetData sheetId="1132">
        <row r="2">
          <cell r="F2" t="str">
            <v>INCH</v>
          </cell>
        </row>
      </sheetData>
      <sheetData sheetId="1133">
        <row r="2">
          <cell r="F2" t="str">
            <v>INCH</v>
          </cell>
        </row>
      </sheetData>
      <sheetData sheetId="1134">
        <row r="2">
          <cell r="F2" t="str">
            <v>INCH</v>
          </cell>
        </row>
      </sheetData>
      <sheetData sheetId="1135">
        <row r="2">
          <cell r="F2" t="str">
            <v>INCH</v>
          </cell>
        </row>
      </sheetData>
      <sheetData sheetId="1136">
        <row r="2">
          <cell r="F2" t="str">
            <v>INCH</v>
          </cell>
        </row>
      </sheetData>
      <sheetData sheetId="1137">
        <row r="2">
          <cell r="F2" t="str">
            <v>INCH</v>
          </cell>
        </row>
      </sheetData>
      <sheetData sheetId="1138">
        <row r="2">
          <cell r="F2" t="str">
            <v>INCH</v>
          </cell>
        </row>
      </sheetData>
      <sheetData sheetId="1139">
        <row r="2">
          <cell r="F2" t="str">
            <v>INCH</v>
          </cell>
        </row>
      </sheetData>
      <sheetData sheetId="1140">
        <row r="2">
          <cell r="F2" t="str">
            <v>INCH</v>
          </cell>
        </row>
      </sheetData>
      <sheetData sheetId="1141">
        <row r="2">
          <cell r="F2" t="str">
            <v>INCH</v>
          </cell>
        </row>
      </sheetData>
      <sheetData sheetId="1142">
        <row r="2">
          <cell r="F2" t="str">
            <v>INCH</v>
          </cell>
        </row>
      </sheetData>
      <sheetData sheetId="1143">
        <row r="2">
          <cell r="F2" t="str">
            <v>INCH</v>
          </cell>
        </row>
      </sheetData>
      <sheetData sheetId="1144">
        <row r="2">
          <cell r="F2" t="str">
            <v>INCH</v>
          </cell>
        </row>
      </sheetData>
      <sheetData sheetId="1145">
        <row r="2">
          <cell r="F2" t="str">
            <v>INCH</v>
          </cell>
        </row>
      </sheetData>
      <sheetData sheetId="1146">
        <row r="2">
          <cell r="F2" t="str">
            <v>INCH</v>
          </cell>
        </row>
      </sheetData>
      <sheetData sheetId="1147">
        <row r="2">
          <cell r="F2" t="str">
            <v>INCH</v>
          </cell>
        </row>
      </sheetData>
      <sheetData sheetId="1148">
        <row r="2">
          <cell r="F2" t="str">
            <v>INCH</v>
          </cell>
        </row>
      </sheetData>
      <sheetData sheetId="1149">
        <row r="2">
          <cell r="F2" t="str">
            <v>INCH</v>
          </cell>
        </row>
      </sheetData>
      <sheetData sheetId="1150">
        <row r="2">
          <cell r="F2" t="str">
            <v>INCH</v>
          </cell>
        </row>
      </sheetData>
      <sheetData sheetId="1151">
        <row r="2">
          <cell r="F2" t="str">
            <v>INCH</v>
          </cell>
        </row>
      </sheetData>
      <sheetData sheetId="1152">
        <row r="2">
          <cell r="F2" t="str">
            <v>INCH</v>
          </cell>
        </row>
      </sheetData>
      <sheetData sheetId="1153">
        <row r="2">
          <cell r="F2" t="str">
            <v>INCH</v>
          </cell>
        </row>
      </sheetData>
      <sheetData sheetId="1154">
        <row r="2">
          <cell r="F2" t="str">
            <v>INCH</v>
          </cell>
        </row>
      </sheetData>
      <sheetData sheetId="1155">
        <row r="2">
          <cell r="F2" t="str">
            <v>INCH</v>
          </cell>
        </row>
      </sheetData>
      <sheetData sheetId="1156">
        <row r="2">
          <cell r="F2" t="str">
            <v>INCH</v>
          </cell>
        </row>
      </sheetData>
      <sheetData sheetId="1157">
        <row r="2">
          <cell r="F2" t="str">
            <v>INCH</v>
          </cell>
        </row>
      </sheetData>
      <sheetData sheetId="1158">
        <row r="2">
          <cell r="F2" t="str">
            <v>INCH</v>
          </cell>
        </row>
      </sheetData>
      <sheetData sheetId="1159">
        <row r="2">
          <cell r="F2" t="str">
            <v>INCH</v>
          </cell>
        </row>
      </sheetData>
      <sheetData sheetId="1160">
        <row r="2">
          <cell r="F2" t="str">
            <v>INCH</v>
          </cell>
        </row>
      </sheetData>
      <sheetData sheetId="1161">
        <row r="2">
          <cell r="F2" t="str">
            <v>INCH</v>
          </cell>
        </row>
      </sheetData>
      <sheetData sheetId="1162">
        <row r="2">
          <cell r="F2" t="str">
            <v>INCH</v>
          </cell>
        </row>
      </sheetData>
      <sheetData sheetId="1163">
        <row r="2">
          <cell r="F2" t="str">
            <v>INCH</v>
          </cell>
        </row>
      </sheetData>
      <sheetData sheetId="1164">
        <row r="2">
          <cell r="F2" t="str">
            <v>INCH</v>
          </cell>
        </row>
      </sheetData>
      <sheetData sheetId="1165">
        <row r="2">
          <cell r="F2" t="str">
            <v>INCH</v>
          </cell>
        </row>
      </sheetData>
      <sheetData sheetId="1166">
        <row r="2">
          <cell r="F2" t="str">
            <v>INCH</v>
          </cell>
        </row>
      </sheetData>
      <sheetData sheetId="1167">
        <row r="2">
          <cell r="F2" t="str">
            <v>INCH</v>
          </cell>
        </row>
      </sheetData>
      <sheetData sheetId="1168">
        <row r="2">
          <cell r="F2" t="str">
            <v>INCH</v>
          </cell>
        </row>
      </sheetData>
      <sheetData sheetId="1169">
        <row r="2">
          <cell r="F2" t="str">
            <v>INCH</v>
          </cell>
        </row>
      </sheetData>
      <sheetData sheetId="1170">
        <row r="2">
          <cell r="F2" t="str">
            <v>INCH</v>
          </cell>
        </row>
      </sheetData>
      <sheetData sheetId="1171">
        <row r="2">
          <cell r="F2" t="str">
            <v>INCH</v>
          </cell>
        </row>
      </sheetData>
      <sheetData sheetId="1172">
        <row r="2">
          <cell r="F2" t="str">
            <v>INCH</v>
          </cell>
        </row>
      </sheetData>
      <sheetData sheetId="1173">
        <row r="2">
          <cell r="F2" t="str">
            <v>INCH</v>
          </cell>
        </row>
      </sheetData>
      <sheetData sheetId="1174">
        <row r="2">
          <cell r="F2" t="str">
            <v>INCH</v>
          </cell>
        </row>
      </sheetData>
      <sheetData sheetId="1175">
        <row r="2">
          <cell r="F2" t="str">
            <v>INCH</v>
          </cell>
        </row>
      </sheetData>
      <sheetData sheetId="1176">
        <row r="2">
          <cell r="F2" t="str">
            <v>INCH</v>
          </cell>
        </row>
      </sheetData>
      <sheetData sheetId="1177">
        <row r="2">
          <cell r="F2" t="str">
            <v>INCH</v>
          </cell>
        </row>
      </sheetData>
      <sheetData sheetId="1178">
        <row r="2">
          <cell r="F2" t="str">
            <v>INCH</v>
          </cell>
        </row>
      </sheetData>
      <sheetData sheetId="1179">
        <row r="2">
          <cell r="F2" t="str">
            <v>INCH</v>
          </cell>
        </row>
      </sheetData>
      <sheetData sheetId="1180">
        <row r="2">
          <cell r="F2" t="str">
            <v>INCH</v>
          </cell>
        </row>
      </sheetData>
      <sheetData sheetId="1181">
        <row r="2">
          <cell r="F2" t="str">
            <v>INCH</v>
          </cell>
        </row>
      </sheetData>
      <sheetData sheetId="1182">
        <row r="2">
          <cell r="F2" t="str">
            <v>INCH</v>
          </cell>
        </row>
      </sheetData>
      <sheetData sheetId="1183">
        <row r="2">
          <cell r="F2" t="str">
            <v>INCH</v>
          </cell>
        </row>
      </sheetData>
      <sheetData sheetId="1184">
        <row r="2">
          <cell r="F2" t="str">
            <v>INCH</v>
          </cell>
        </row>
      </sheetData>
      <sheetData sheetId="1185">
        <row r="2">
          <cell r="F2" t="str">
            <v>INCH</v>
          </cell>
        </row>
      </sheetData>
      <sheetData sheetId="1186">
        <row r="2">
          <cell r="F2" t="str">
            <v>INCH</v>
          </cell>
        </row>
      </sheetData>
      <sheetData sheetId="1187">
        <row r="2">
          <cell r="F2" t="str">
            <v>INCH</v>
          </cell>
        </row>
      </sheetData>
      <sheetData sheetId="1188">
        <row r="2">
          <cell r="F2" t="str">
            <v>INCH</v>
          </cell>
        </row>
      </sheetData>
      <sheetData sheetId="1189">
        <row r="2">
          <cell r="F2" t="str">
            <v>INCH</v>
          </cell>
        </row>
      </sheetData>
      <sheetData sheetId="1190">
        <row r="2">
          <cell r="F2" t="str">
            <v>INCH</v>
          </cell>
        </row>
      </sheetData>
      <sheetData sheetId="1191">
        <row r="2">
          <cell r="F2" t="str">
            <v>INCH</v>
          </cell>
        </row>
      </sheetData>
      <sheetData sheetId="1192">
        <row r="2">
          <cell r="F2" t="str">
            <v>INCH</v>
          </cell>
        </row>
      </sheetData>
      <sheetData sheetId="1193">
        <row r="2">
          <cell r="F2" t="str">
            <v>INCH</v>
          </cell>
        </row>
      </sheetData>
      <sheetData sheetId="1194">
        <row r="2">
          <cell r="F2" t="str">
            <v>INCH</v>
          </cell>
        </row>
      </sheetData>
      <sheetData sheetId="1195">
        <row r="2">
          <cell r="F2" t="str">
            <v>INCH</v>
          </cell>
        </row>
      </sheetData>
      <sheetData sheetId="1196">
        <row r="2">
          <cell r="F2" t="str">
            <v>INCH</v>
          </cell>
        </row>
      </sheetData>
      <sheetData sheetId="1197">
        <row r="2">
          <cell r="F2" t="str">
            <v>INCH</v>
          </cell>
        </row>
      </sheetData>
      <sheetData sheetId="1198">
        <row r="2">
          <cell r="F2" t="str">
            <v>INCH</v>
          </cell>
        </row>
      </sheetData>
      <sheetData sheetId="1199">
        <row r="2">
          <cell r="F2" t="str">
            <v>INCH</v>
          </cell>
        </row>
      </sheetData>
      <sheetData sheetId="1200">
        <row r="2">
          <cell r="F2" t="str">
            <v>INCH</v>
          </cell>
        </row>
      </sheetData>
      <sheetData sheetId="1201">
        <row r="2">
          <cell r="F2" t="str">
            <v>INCH</v>
          </cell>
        </row>
      </sheetData>
      <sheetData sheetId="1202" refreshError="1"/>
      <sheetData sheetId="1203" refreshError="1"/>
      <sheetData sheetId="1204">
        <row r="2">
          <cell r="F2" t="str">
            <v>INCH</v>
          </cell>
        </row>
      </sheetData>
      <sheetData sheetId="1205">
        <row r="2">
          <cell r="F2" t="str">
            <v>INCH</v>
          </cell>
        </row>
      </sheetData>
      <sheetData sheetId="1206">
        <row r="2">
          <cell r="F2" t="str">
            <v>INCH</v>
          </cell>
        </row>
      </sheetData>
      <sheetData sheetId="1207">
        <row r="2">
          <cell r="F2" t="str">
            <v>INCH</v>
          </cell>
        </row>
      </sheetData>
      <sheetData sheetId="1208">
        <row r="2">
          <cell r="F2" t="str">
            <v>INCH</v>
          </cell>
        </row>
      </sheetData>
      <sheetData sheetId="1209">
        <row r="2">
          <cell r="F2" t="str">
            <v>INCH</v>
          </cell>
        </row>
      </sheetData>
      <sheetData sheetId="1210">
        <row r="2">
          <cell r="F2" t="str">
            <v>INCH</v>
          </cell>
        </row>
      </sheetData>
      <sheetData sheetId="1211">
        <row r="2">
          <cell r="F2" t="str">
            <v>INCH</v>
          </cell>
        </row>
      </sheetData>
      <sheetData sheetId="1212">
        <row r="2">
          <cell r="F2" t="str">
            <v>INCH</v>
          </cell>
        </row>
      </sheetData>
      <sheetData sheetId="1213">
        <row r="2">
          <cell r="F2" t="str">
            <v>INCH</v>
          </cell>
        </row>
      </sheetData>
      <sheetData sheetId="1214">
        <row r="2">
          <cell r="F2" t="str">
            <v>INCH</v>
          </cell>
        </row>
      </sheetData>
      <sheetData sheetId="1215">
        <row r="2">
          <cell r="F2" t="str">
            <v>INCH</v>
          </cell>
        </row>
      </sheetData>
      <sheetData sheetId="1216">
        <row r="2">
          <cell r="F2" t="str">
            <v>INCH</v>
          </cell>
        </row>
      </sheetData>
      <sheetData sheetId="1217">
        <row r="2">
          <cell r="F2" t="str">
            <v>INCH</v>
          </cell>
        </row>
      </sheetData>
      <sheetData sheetId="1218">
        <row r="2">
          <cell r="F2" t="str">
            <v>INCH</v>
          </cell>
        </row>
      </sheetData>
      <sheetData sheetId="1219">
        <row r="2">
          <cell r="F2" t="str">
            <v>INCH</v>
          </cell>
        </row>
      </sheetData>
      <sheetData sheetId="1220">
        <row r="2">
          <cell r="F2" t="str">
            <v>INCH</v>
          </cell>
        </row>
      </sheetData>
      <sheetData sheetId="1221">
        <row r="2">
          <cell r="F2" t="str">
            <v>INCH</v>
          </cell>
        </row>
      </sheetData>
      <sheetData sheetId="1222">
        <row r="2">
          <cell r="F2" t="str">
            <v>INCH</v>
          </cell>
        </row>
      </sheetData>
      <sheetData sheetId="1223">
        <row r="2">
          <cell r="F2" t="str">
            <v>INCH</v>
          </cell>
        </row>
      </sheetData>
      <sheetData sheetId="1224">
        <row r="2">
          <cell r="F2" t="str">
            <v>INCH</v>
          </cell>
        </row>
      </sheetData>
      <sheetData sheetId="1225">
        <row r="2">
          <cell r="F2" t="str">
            <v>INCH</v>
          </cell>
        </row>
      </sheetData>
      <sheetData sheetId="1226">
        <row r="2">
          <cell r="F2" t="str">
            <v>INCH</v>
          </cell>
        </row>
      </sheetData>
      <sheetData sheetId="1227">
        <row r="2">
          <cell r="F2" t="str">
            <v>INCH</v>
          </cell>
        </row>
      </sheetData>
      <sheetData sheetId="1228">
        <row r="2">
          <cell r="F2" t="str">
            <v>INCH</v>
          </cell>
        </row>
      </sheetData>
      <sheetData sheetId="1229">
        <row r="2">
          <cell r="F2" t="str">
            <v>INCH</v>
          </cell>
        </row>
      </sheetData>
      <sheetData sheetId="1230">
        <row r="2">
          <cell r="F2" t="str">
            <v>INCH</v>
          </cell>
        </row>
      </sheetData>
      <sheetData sheetId="1231">
        <row r="2">
          <cell r="F2" t="str">
            <v>INCH</v>
          </cell>
        </row>
      </sheetData>
      <sheetData sheetId="1232">
        <row r="2">
          <cell r="F2" t="str">
            <v>INCH</v>
          </cell>
        </row>
      </sheetData>
      <sheetData sheetId="1233">
        <row r="2">
          <cell r="F2" t="str">
            <v>INCH</v>
          </cell>
        </row>
      </sheetData>
      <sheetData sheetId="1234">
        <row r="2">
          <cell r="F2" t="str">
            <v>INCH</v>
          </cell>
        </row>
      </sheetData>
      <sheetData sheetId="1235">
        <row r="2">
          <cell r="F2" t="str">
            <v>INCH</v>
          </cell>
        </row>
      </sheetData>
      <sheetData sheetId="1236">
        <row r="2">
          <cell r="F2" t="str">
            <v>INCH</v>
          </cell>
        </row>
      </sheetData>
      <sheetData sheetId="1237">
        <row r="2">
          <cell r="F2" t="str">
            <v>INCH</v>
          </cell>
        </row>
      </sheetData>
      <sheetData sheetId="1238">
        <row r="2">
          <cell r="F2" t="str">
            <v>INCH</v>
          </cell>
        </row>
      </sheetData>
      <sheetData sheetId="1239">
        <row r="2">
          <cell r="F2" t="str">
            <v>INCH</v>
          </cell>
        </row>
      </sheetData>
      <sheetData sheetId="1240">
        <row r="2">
          <cell r="F2" t="str">
            <v>INCH</v>
          </cell>
        </row>
      </sheetData>
      <sheetData sheetId="1241">
        <row r="2">
          <cell r="F2" t="str">
            <v>INCH</v>
          </cell>
        </row>
      </sheetData>
      <sheetData sheetId="1242">
        <row r="2">
          <cell r="F2" t="str">
            <v>INCH</v>
          </cell>
        </row>
      </sheetData>
      <sheetData sheetId="1243">
        <row r="2">
          <cell r="F2" t="str">
            <v>INCH</v>
          </cell>
        </row>
      </sheetData>
      <sheetData sheetId="1244">
        <row r="2">
          <cell r="F2" t="str">
            <v>INCH</v>
          </cell>
        </row>
      </sheetData>
      <sheetData sheetId="1245">
        <row r="2">
          <cell r="F2" t="str">
            <v>INCH</v>
          </cell>
        </row>
      </sheetData>
      <sheetData sheetId="1246">
        <row r="2">
          <cell r="F2" t="str">
            <v>INCH</v>
          </cell>
        </row>
      </sheetData>
      <sheetData sheetId="1247">
        <row r="2">
          <cell r="F2" t="str">
            <v>INCH</v>
          </cell>
        </row>
      </sheetData>
      <sheetData sheetId="1248">
        <row r="2">
          <cell r="F2" t="str">
            <v>INCH</v>
          </cell>
        </row>
      </sheetData>
      <sheetData sheetId="1249">
        <row r="2">
          <cell r="F2" t="str">
            <v>INCH</v>
          </cell>
        </row>
      </sheetData>
      <sheetData sheetId="1250">
        <row r="2">
          <cell r="F2" t="str">
            <v>INCH</v>
          </cell>
        </row>
      </sheetData>
      <sheetData sheetId="1251">
        <row r="2">
          <cell r="F2" t="str">
            <v>INCH</v>
          </cell>
        </row>
      </sheetData>
      <sheetData sheetId="1252">
        <row r="2">
          <cell r="F2" t="str">
            <v>INCH</v>
          </cell>
        </row>
      </sheetData>
      <sheetData sheetId="1253">
        <row r="2">
          <cell r="F2" t="str">
            <v>INCH</v>
          </cell>
        </row>
      </sheetData>
      <sheetData sheetId="1254">
        <row r="2">
          <cell r="F2" t="str">
            <v>INCH</v>
          </cell>
        </row>
      </sheetData>
      <sheetData sheetId="1255">
        <row r="2">
          <cell r="F2" t="str">
            <v>INCH</v>
          </cell>
        </row>
      </sheetData>
      <sheetData sheetId="1256">
        <row r="2">
          <cell r="F2" t="str">
            <v>INCH</v>
          </cell>
        </row>
      </sheetData>
      <sheetData sheetId="1257">
        <row r="2">
          <cell r="F2" t="str">
            <v>INCH</v>
          </cell>
        </row>
      </sheetData>
      <sheetData sheetId="1258">
        <row r="2">
          <cell r="F2" t="str">
            <v>INCH</v>
          </cell>
        </row>
      </sheetData>
      <sheetData sheetId="1259">
        <row r="2">
          <cell r="F2" t="str">
            <v>INCH</v>
          </cell>
        </row>
      </sheetData>
      <sheetData sheetId="1260">
        <row r="2">
          <cell r="F2" t="str">
            <v>INCH</v>
          </cell>
        </row>
      </sheetData>
      <sheetData sheetId="1261">
        <row r="2">
          <cell r="F2" t="str">
            <v>INCH</v>
          </cell>
        </row>
      </sheetData>
      <sheetData sheetId="1262">
        <row r="2">
          <cell r="F2" t="str">
            <v>INCH</v>
          </cell>
        </row>
      </sheetData>
      <sheetData sheetId="1263">
        <row r="2">
          <cell r="F2" t="str">
            <v>INCH</v>
          </cell>
        </row>
      </sheetData>
      <sheetData sheetId="1264">
        <row r="2">
          <cell r="F2" t="str">
            <v>INCH</v>
          </cell>
        </row>
      </sheetData>
      <sheetData sheetId="1265">
        <row r="2">
          <cell r="F2" t="str">
            <v>INCH</v>
          </cell>
        </row>
      </sheetData>
      <sheetData sheetId="1266">
        <row r="2">
          <cell r="F2" t="str">
            <v>INCH</v>
          </cell>
        </row>
      </sheetData>
      <sheetData sheetId="1267">
        <row r="2">
          <cell r="F2" t="str">
            <v>INCH</v>
          </cell>
        </row>
      </sheetData>
      <sheetData sheetId="1268">
        <row r="2">
          <cell r="F2" t="str">
            <v>INCH</v>
          </cell>
        </row>
      </sheetData>
      <sheetData sheetId="1269">
        <row r="2">
          <cell r="F2" t="str">
            <v>INCH</v>
          </cell>
        </row>
      </sheetData>
      <sheetData sheetId="1270">
        <row r="2">
          <cell r="F2" t="str">
            <v>INCH</v>
          </cell>
        </row>
      </sheetData>
      <sheetData sheetId="1271">
        <row r="2">
          <cell r="F2" t="str">
            <v>INCH</v>
          </cell>
        </row>
      </sheetData>
      <sheetData sheetId="1272">
        <row r="2">
          <cell r="F2" t="str">
            <v>INCH</v>
          </cell>
        </row>
      </sheetData>
      <sheetData sheetId="1273">
        <row r="2">
          <cell r="F2" t="str">
            <v>INCH</v>
          </cell>
        </row>
      </sheetData>
      <sheetData sheetId="1274">
        <row r="2">
          <cell r="F2" t="str">
            <v>INCH</v>
          </cell>
        </row>
      </sheetData>
      <sheetData sheetId="1275">
        <row r="2">
          <cell r="F2" t="str">
            <v>INCH</v>
          </cell>
        </row>
      </sheetData>
      <sheetData sheetId="1276">
        <row r="2">
          <cell r="F2" t="str">
            <v>INCH</v>
          </cell>
        </row>
      </sheetData>
      <sheetData sheetId="1277">
        <row r="2">
          <cell r="F2" t="str">
            <v>INCH</v>
          </cell>
        </row>
      </sheetData>
      <sheetData sheetId="1278">
        <row r="2">
          <cell r="F2" t="str">
            <v>INCH</v>
          </cell>
        </row>
      </sheetData>
      <sheetData sheetId="1279">
        <row r="2">
          <cell r="F2" t="str">
            <v>INCH</v>
          </cell>
        </row>
      </sheetData>
      <sheetData sheetId="1280">
        <row r="2">
          <cell r="F2" t="str">
            <v>INCH</v>
          </cell>
        </row>
      </sheetData>
      <sheetData sheetId="1281">
        <row r="2">
          <cell r="F2" t="str">
            <v>INCH</v>
          </cell>
        </row>
      </sheetData>
      <sheetData sheetId="1282">
        <row r="2">
          <cell r="F2" t="str">
            <v>INCH</v>
          </cell>
        </row>
      </sheetData>
      <sheetData sheetId="1283">
        <row r="2">
          <cell r="F2" t="str">
            <v>INCH</v>
          </cell>
        </row>
      </sheetData>
      <sheetData sheetId="1284">
        <row r="2">
          <cell r="F2" t="str">
            <v>INCH</v>
          </cell>
        </row>
      </sheetData>
      <sheetData sheetId="1285">
        <row r="2">
          <cell r="F2" t="str">
            <v>INCH</v>
          </cell>
        </row>
      </sheetData>
      <sheetData sheetId="1286">
        <row r="2">
          <cell r="F2" t="str">
            <v>INCH</v>
          </cell>
        </row>
      </sheetData>
      <sheetData sheetId="1287">
        <row r="2">
          <cell r="F2" t="str">
            <v>INCH</v>
          </cell>
        </row>
      </sheetData>
      <sheetData sheetId="1288">
        <row r="2">
          <cell r="F2" t="str">
            <v>INCH</v>
          </cell>
        </row>
      </sheetData>
      <sheetData sheetId="1289">
        <row r="2">
          <cell r="F2" t="str">
            <v>INCH</v>
          </cell>
        </row>
      </sheetData>
      <sheetData sheetId="1290">
        <row r="2">
          <cell r="F2" t="str">
            <v>INCH</v>
          </cell>
        </row>
      </sheetData>
      <sheetData sheetId="1291">
        <row r="2">
          <cell r="F2" t="str">
            <v>INCH</v>
          </cell>
        </row>
      </sheetData>
      <sheetData sheetId="1292">
        <row r="2">
          <cell r="F2" t="str">
            <v>INCH</v>
          </cell>
        </row>
      </sheetData>
      <sheetData sheetId="1293">
        <row r="2">
          <cell r="F2" t="str">
            <v>INCH</v>
          </cell>
        </row>
      </sheetData>
      <sheetData sheetId="1294">
        <row r="2">
          <cell r="F2" t="str">
            <v>INCH</v>
          </cell>
        </row>
      </sheetData>
      <sheetData sheetId="1295">
        <row r="2">
          <cell r="F2" t="str">
            <v>INCH</v>
          </cell>
        </row>
      </sheetData>
      <sheetData sheetId="1296">
        <row r="2">
          <cell r="F2" t="str">
            <v>INCH</v>
          </cell>
        </row>
      </sheetData>
      <sheetData sheetId="1297">
        <row r="2">
          <cell r="F2" t="str">
            <v>INCH</v>
          </cell>
        </row>
      </sheetData>
      <sheetData sheetId="1298">
        <row r="2">
          <cell r="F2" t="str">
            <v>INCH</v>
          </cell>
        </row>
      </sheetData>
      <sheetData sheetId="1299">
        <row r="2">
          <cell r="F2" t="str">
            <v>INCH</v>
          </cell>
        </row>
      </sheetData>
      <sheetData sheetId="1300">
        <row r="2">
          <cell r="F2" t="str">
            <v>INCH</v>
          </cell>
        </row>
      </sheetData>
      <sheetData sheetId="1301">
        <row r="2">
          <cell r="F2" t="str">
            <v>INCH</v>
          </cell>
        </row>
      </sheetData>
      <sheetData sheetId="1302">
        <row r="2">
          <cell r="F2" t="str">
            <v>INCH</v>
          </cell>
        </row>
      </sheetData>
      <sheetData sheetId="1303">
        <row r="2">
          <cell r="F2" t="str">
            <v>INCH</v>
          </cell>
        </row>
      </sheetData>
      <sheetData sheetId="1304">
        <row r="2">
          <cell r="F2" t="str">
            <v>INCH</v>
          </cell>
        </row>
      </sheetData>
      <sheetData sheetId="1305">
        <row r="2">
          <cell r="F2" t="str">
            <v>INCH</v>
          </cell>
        </row>
      </sheetData>
      <sheetData sheetId="1306">
        <row r="2">
          <cell r="F2" t="str">
            <v>INCH</v>
          </cell>
        </row>
      </sheetData>
      <sheetData sheetId="1307">
        <row r="2">
          <cell r="F2" t="str">
            <v>INCH</v>
          </cell>
        </row>
      </sheetData>
      <sheetData sheetId="1308">
        <row r="2">
          <cell r="F2" t="str">
            <v>INCH</v>
          </cell>
        </row>
      </sheetData>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ow r="2">
          <cell r="F2" t="str">
            <v>INCH</v>
          </cell>
        </row>
      </sheetData>
      <sheetData sheetId="1347">
        <row r="2">
          <cell r="F2" t="str">
            <v>INCH</v>
          </cell>
        </row>
      </sheetData>
      <sheetData sheetId="1348">
        <row r="2">
          <cell r="F2" t="str">
            <v>INCH</v>
          </cell>
        </row>
      </sheetData>
      <sheetData sheetId="1349">
        <row r="2">
          <cell r="F2" t="str">
            <v>INCH</v>
          </cell>
        </row>
      </sheetData>
      <sheetData sheetId="1350">
        <row r="2">
          <cell r="F2" t="str">
            <v>INCH</v>
          </cell>
        </row>
      </sheetData>
      <sheetData sheetId="1351">
        <row r="2">
          <cell r="F2" t="str">
            <v>INCH</v>
          </cell>
        </row>
      </sheetData>
      <sheetData sheetId="1352">
        <row r="2">
          <cell r="F2" t="str">
            <v>INCH</v>
          </cell>
        </row>
      </sheetData>
      <sheetData sheetId="1353">
        <row r="2">
          <cell r="F2" t="str">
            <v>INCH</v>
          </cell>
        </row>
      </sheetData>
      <sheetData sheetId="1354">
        <row r="2">
          <cell r="F2" t="str">
            <v>INCH</v>
          </cell>
        </row>
      </sheetData>
      <sheetData sheetId="1355">
        <row r="2">
          <cell r="F2" t="str">
            <v>INCH</v>
          </cell>
        </row>
      </sheetData>
      <sheetData sheetId="1356">
        <row r="2">
          <cell r="F2" t="str">
            <v>INCH</v>
          </cell>
        </row>
      </sheetData>
      <sheetData sheetId="1357">
        <row r="2">
          <cell r="F2" t="str">
            <v>INCH</v>
          </cell>
        </row>
      </sheetData>
      <sheetData sheetId="1358">
        <row r="2">
          <cell r="F2" t="str">
            <v>INCH</v>
          </cell>
        </row>
      </sheetData>
      <sheetData sheetId="1359">
        <row r="2">
          <cell r="F2" t="str">
            <v>INCH</v>
          </cell>
        </row>
      </sheetData>
      <sheetData sheetId="1360">
        <row r="2">
          <cell r="F2" t="str">
            <v>INCH</v>
          </cell>
        </row>
      </sheetData>
      <sheetData sheetId="1361">
        <row r="2">
          <cell r="F2" t="str">
            <v>INCH</v>
          </cell>
        </row>
      </sheetData>
      <sheetData sheetId="1362">
        <row r="2">
          <cell r="F2" t="str">
            <v>INCH</v>
          </cell>
        </row>
      </sheetData>
      <sheetData sheetId="1363">
        <row r="2">
          <cell r="F2" t="str">
            <v>INCH</v>
          </cell>
        </row>
      </sheetData>
      <sheetData sheetId="1364">
        <row r="2">
          <cell r="F2" t="str">
            <v>INCH</v>
          </cell>
        </row>
      </sheetData>
      <sheetData sheetId="1365">
        <row r="2">
          <cell r="F2" t="str">
            <v>INCH</v>
          </cell>
        </row>
      </sheetData>
      <sheetData sheetId="1366">
        <row r="2">
          <cell r="F2" t="str">
            <v>INCH</v>
          </cell>
        </row>
      </sheetData>
      <sheetData sheetId="1367">
        <row r="2">
          <cell r="F2" t="str">
            <v>INCH</v>
          </cell>
        </row>
      </sheetData>
      <sheetData sheetId="1368">
        <row r="2">
          <cell r="F2" t="str">
            <v>INCH</v>
          </cell>
        </row>
      </sheetData>
      <sheetData sheetId="1369">
        <row r="2">
          <cell r="F2" t="str">
            <v>INCH</v>
          </cell>
        </row>
      </sheetData>
      <sheetData sheetId="1370">
        <row r="2">
          <cell r="F2" t="str">
            <v>INCH</v>
          </cell>
        </row>
      </sheetData>
      <sheetData sheetId="1371">
        <row r="2">
          <cell r="F2" t="str">
            <v>INCH</v>
          </cell>
        </row>
      </sheetData>
      <sheetData sheetId="1372">
        <row r="2">
          <cell r="F2" t="str">
            <v>INCH</v>
          </cell>
        </row>
      </sheetData>
      <sheetData sheetId="1373">
        <row r="2">
          <cell r="F2" t="str">
            <v>INCH</v>
          </cell>
        </row>
      </sheetData>
      <sheetData sheetId="1374">
        <row r="2">
          <cell r="F2" t="str">
            <v>INCH</v>
          </cell>
        </row>
      </sheetData>
      <sheetData sheetId="1375">
        <row r="2">
          <cell r="F2" t="str">
            <v>INCH</v>
          </cell>
        </row>
      </sheetData>
      <sheetData sheetId="1376">
        <row r="2">
          <cell r="F2" t="str">
            <v>INCH</v>
          </cell>
        </row>
      </sheetData>
      <sheetData sheetId="1377">
        <row r="2">
          <cell r="F2" t="str">
            <v>INCH</v>
          </cell>
        </row>
      </sheetData>
      <sheetData sheetId="1378">
        <row r="2">
          <cell r="F2" t="str">
            <v>INCH</v>
          </cell>
        </row>
      </sheetData>
      <sheetData sheetId="1379">
        <row r="2">
          <cell r="F2" t="str">
            <v>INCH</v>
          </cell>
        </row>
      </sheetData>
      <sheetData sheetId="1380">
        <row r="2">
          <cell r="F2" t="str">
            <v>INCH</v>
          </cell>
        </row>
      </sheetData>
      <sheetData sheetId="1381">
        <row r="2">
          <cell r="F2" t="str">
            <v>INCH</v>
          </cell>
        </row>
      </sheetData>
      <sheetData sheetId="1382">
        <row r="2">
          <cell r="F2" t="str">
            <v>INCH</v>
          </cell>
        </row>
      </sheetData>
      <sheetData sheetId="1383">
        <row r="2">
          <cell r="F2" t="str">
            <v>INCH</v>
          </cell>
        </row>
      </sheetData>
      <sheetData sheetId="1384">
        <row r="2">
          <cell r="F2" t="str">
            <v>INCH</v>
          </cell>
        </row>
      </sheetData>
      <sheetData sheetId="1385">
        <row r="2">
          <cell r="F2" t="str">
            <v>INCH</v>
          </cell>
        </row>
      </sheetData>
      <sheetData sheetId="1386">
        <row r="2">
          <cell r="F2" t="str">
            <v>INCH</v>
          </cell>
        </row>
      </sheetData>
      <sheetData sheetId="1387">
        <row r="2">
          <cell r="F2" t="str">
            <v>INCH</v>
          </cell>
        </row>
      </sheetData>
      <sheetData sheetId="1388">
        <row r="2">
          <cell r="F2" t="str">
            <v>INCH</v>
          </cell>
        </row>
      </sheetData>
      <sheetData sheetId="1389">
        <row r="2">
          <cell r="F2" t="str">
            <v>INCH</v>
          </cell>
        </row>
      </sheetData>
      <sheetData sheetId="1390">
        <row r="2">
          <cell r="F2" t="str">
            <v>INCH</v>
          </cell>
        </row>
      </sheetData>
      <sheetData sheetId="1391">
        <row r="2">
          <cell r="F2" t="str">
            <v>INCH</v>
          </cell>
        </row>
      </sheetData>
      <sheetData sheetId="1392">
        <row r="2">
          <cell r="F2" t="str">
            <v>INCH</v>
          </cell>
        </row>
      </sheetData>
      <sheetData sheetId="1393">
        <row r="2">
          <cell r="F2" t="str">
            <v>INCH</v>
          </cell>
        </row>
      </sheetData>
      <sheetData sheetId="1394">
        <row r="2">
          <cell r="F2" t="str">
            <v>INCH</v>
          </cell>
        </row>
      </sheetData>
      <sheetData sheetId="1395">
        <row r="2">
          <cell r="F2" t="str">
            <v>INCH</v>
          </cell>
        </row>
      </sheetData>
      <sheetData sheetId="1396">
        <row r="2">
          <cell r="F2" t="str">
            <v>INCH</v>
          </cell>
        </row>
      </sheetData>
      <sheetData sheetId="1397">
        <row r="2">
          <cell r="F2" t="str">
            <v>INCH</v>
          </cell>
        </row>
      </sheetData>
      <sheetData sheetId="1398">
        <row r="2">
          <cell r="F2" t="str">
            <v>INCH</v>
          </cell>
        </row>
      </sheetData>
      <sheetData sheetId="1399">
        <row r="2">
          <cell r="F2" t="str">
            <v>INCH</v>
          </cell>
        </row>
      </sheetData>
      <sheetData sheetId="1400">
        <row r="2">
          <cell r="F2" t="str">
            <v>INCH</v>
          </cell>
        </row>
      </sheetData>
      <sheetData sheetId="1401">
        <row r="2">
          <cell r="F2" t="str">
            <v>INCH</v>
          </cell>
        </row>
      </sheetData>
      <sheetData sheetId="1402">
        <row r="2">
          <cell r="F2" t="str">
            <v>INCH</v>
          </cell>
        </row>
      </sheetData>
      <sheetData sheetId="1403">
        <row r="2">
          <cell r="F2" t="str">
            <v>INCH</v>
          </cell>
        </row>
      </sheetData>
      <sheetData sheetId="1404">
        <row r="2">
          <cell r="F2" t="str">
            <v>INCH</v>
          </cell>
        </row>
      </sheetData>
      <sheetData sheetId="1405">
        <row r="2">
          <cell r="F2" t="str">
            <v>INCH</v>
          </cell>
        </row>
      </sheetData>
      <sheetData sheetId="1406">
        <row r="2">
          <cell r="F2" t="str">
            <v>INCH</v>
          </cell>
        </row>
      </sheetData>
      <sheetData sheetId="1407">
        <row r="2">
          <cell r="F2" t="str">
            <v>INCH</v>
          </cell>
        </row>
      </sheetData>
      <sheetData sheetId="1408">
        <row r="2">
          <cell r="F2" t="str">
            <v>INCH</v>
          </cell>
        </row>
      </sheetData>
      <sheetData sheetId="1409">
        <row r="2">
          <cell r="F2" t="str">
            <v>INCH</v>
          </cell>
        </row>
      </sheetData>
      <sheetData sheetId="1410">
        <row r="2">
          <cell r="F2" t="str">
            <v>INCH</v>
          </cell>
        </row>
      </sheetData>
      <sheetData sheetId="1411">
        <row r="2">
          <cell r="F2" t="str">
            <v>INCH</v>
          </cell>
        </row>
      </sheetData>
      <sheetData sheetId="1412">
        <row r="2">
          <cell r="F2" t="str">
            <v>INCH</v>
          </cell>
        </row>
      </sheetData>
      <sheetData sheetId="1413">
        <row r="2">
          <cell r="F2" t="str">
            <v>INCH</v>
          </cell>
        </row>
      </sheetData>
      <sheetData sheetId="1414">
        <row r="2">
          <cell r="F2" t="str">
            <v>INCH</v>
          </cell>
        </row>
      </sheetData>
      <sheetData sheetId="1415">
        <row r="2">
          <cell r="F2" t="str">
            <v>INCH</v>
          </cell>
        </row>
      </sheetData>
      <sheetData sheetId="1416">
        <row r="2">
          <cell r="F2" t="str">
            <v>INCH</v>
          </cell>
        </row>
      </sheetData>
      <sheetData sheetId="1417">
        <row r="2">
          <cell r="F2" t="str">
            <v>INCH</v>
          </cell>
        </row>
      </sheetData>
      <sheetData sheetId="1418">
        <row r="2">
          <cell r="F2" t="str">
            <v>INCH</v>
          </cell>
        </row>
      </sheetData>
      <sheetData sheetId="1419">
        <row r="2">
          <cell r="F2" t="str">
            <v>INCH</v>
          </cell>
        </row>
      </sheetData>
      <sheetData sheetId="1420">
        <row r="2">
          <cell r="F2" t="str">
            <v>INCH</v>
          </cell>
        </row>
      </sheetData>
      <sheetData sheetId="1421">
        <row r="2">
          <cell r="F2" t="str">
            <v>INCH</v>
          </cell>
        </row>
      </sheetData>
      <sheetData sheetId="1422">
        <row r="2">
          <cell r="F2" t="str">
            <v>INCH</v>
          </cell>
        </row>
      </sheetData>
      <sheetData sheetId="1423">
        <row r="2">
          <cell r="F2" t="str">
            <v>INCH</v>
          </cell>
        </row>
      </sheetData>
      <sheetData sheetId="1424">
        <row r="2">
          <cell r="F2" t="str">
            <v>INCH</v>
          </cell>
        </row>
      </sheetData>
      <sheetData sheetId="1425">
        <row r="2">
          <cell r="F2" t="str">
            <v>INCH</v>
          </cell>
        </row>
      </sheetData>
      <sheetData sheetId="1426">
        <row r="2">
          <cell r="F2" t="str">
            <v>INCH</v>
          </cell>
        </row>
      </sheetData>
      <sheetData sheetId="1427">
        <row r="2">
          <cell r="F2" t="str">
            <v>INCH</v>
          </cell>
        </row>
      </sheetData>
      <sheetData sheetId="1428">
        <row r="2">
          <cell r="F2" t="str">
            <v>INCH</v>
          </cell>
        </row>
      </sheetData>
      <sheetData sheetId="1429">
        <row r="2">
          <cell r="F2" t="str">
            <v>INCH</v>
          </cell>
        </row>
      </sheetData>
      <sheetData sheetId="1430">
        <row r="2">
          <cell r="F2" t="str">
            <v>INCH</v>
          </cell>
        </row>
      </sheetData>
      <sheetData sheetId="1431">
        <row r="2">
          <cell r="F2" t="str">
            <v>INCH</v>
          </cell>
        </row>
      </sheetData>
      <sheetData sheetId="1432">
        <row r="2">
          <cell r="F2" t="str">
            <v>INCH</v>
          </cell>
        </row>
      </sheetData>
      <sheetData sheetId="1433">
        <row r="2">
          <cell r="F2" t="str">
            <v>INCH</v>
          </cell>
        </row>
      </sheetData>
      <sheetData sheetId="1434">
        <row r="2">
          <cell r="F2" t="str">
            <v>INCH</v>
          </cell>
        </row>
      </sheetData>
      <sheetData sheetId="1435">
        <row r="2">
          <cell r="F2" t="str">
            <v>INCH</v>
          </cell>
        </row>
      </sheetData>
      <sheetData sheetId="1436">
        <row r="2">
          <cell r="F2" t="str">
            <v>INCH</v>
          </cell>
        </row>
      </sheetData>
      <sheetData sheetId="1437">
        <row r="2">
          <cell r="F2" t="str">
            <v>INCH</v>
          </cell>
        </row>
      </sheetData>
      <sheetData sheetId="1438">
        <row r="2">
          <cell r="F2" t="str">
            <v>INCH</v>
          </cell>
        </row>
      </sheetData>
      <sheetData sheetId="1439">
        <row r="2">
          <cell r="F2" t="str">
            <v>INCH</v>
          </cell>
        </row>
      </sheetData>
      <sheetData sheetId="1440">
        <row r="2">
          <cell r="F2" t="str">
            <v>INCH</v>
          </cell>
        </row>
      </sheetData>
      <sheetData sheetId="1441">
        <row r="2">
          <cell r="F2" t="str">
            <v>INCH</v>
          </cell>
        </row>
      </sheetData>
      <sheetData sheetId="1442">
        <row r="2">
          <cell r="F2" t="str">
            <v>INCH</v>
          </cell>
        </row>
      </sheetData>
      <sheetData sheetId="1443">
        <row r="2">
          <cell r="F2" t="str">
            <v>INCH</v>
          </cell>
        </row>
      </sheetData>
      <sheetData sheetId="1444">
        <row r="2">
          <cell r="F2" t="str">
            <v>INCH</v>
          </cell>
        </row>
      </sheetData>
      <sheetData sheetId="1445">
        <row r="2">
          <cell r="F2" t="str">
            <v>INCH</v>
          </cell>
        </row>
      </sheetData>
      <sheetData sheetId="1446">
        <row r="2">
          <cell r="F2" t="str">
            <v>INCH</v>
          </cell>
        </row>
      </sheetData>
      <sheetData sheetId="1447">
        <row r="2">
          <cell r="F2" t="str">
            <v>INCH</v>
          </cell>
        </row>
      </sheetData>
      <sheetData sheetId="1448">
        <row r="2">
          <cell r="F2" t="str">
            <v>INCH</v>
          </cell>
        </row>
      </sheetData>
      <sheetData sheetId="1449">
        <row r="2">
          <cell r="F2" t="str">
            <v>INCH</v>
          </cell>
        </row>
      </sheetData>
      <sheetData sheetId="1450">
        <row r="2">
          <cell r="F2" t="str">
            <v>INCH</v>
          </cell>
        </row>
      </sheetData>
      <sheetData sheetId="1451">
        <row r="2">
          <cell r="F2" t="str">
            <v>INCH</v>
          </cell>
        </row>
      </sheetData>
      <sheetData sheetId="1452">
        <row r="2">
          <cell r="F2" t="str">
            <v>INCH</v>
          </cell>
        </row>
      </sheetData>
      <sheetData sheetId="1453">
        <row r="2">
          <cell r="F2" t="str">
            <v>INCH</v>
          </cell>
        </row>
      </sheetData>
      <sheetData sheetId="1454">
        <row r="2">
          <cell r="F2" t="str">
            <v>INCH</v>
          </cell>
        </row>
      </sheetData>
      <sheetData sheetId="1455">
        <row r="2">
          <cell r="F2" t="str">
            <v>INCH</v>
          </cell>
        </row>
      </sheetData>
      <sheetData sheetId="1456">
        <row r="2">
          <cell r="F2" t="str">
            <v>INCH</v>
          </cell>
        </row>
      </sheetData>
      <sheetData sheetId="1457">
        <row r="2">
          <cell r="F2" t="str">
            <v>INCH</v>
          </cell>
        </row>
      </sheetData>
      <sheetData sheetId="1458">
        <row r="2">
          <cell r="F2" t="str">
            <v>INCH</v>
          </cell>
        </row>
      </sheetData>
      <sheetData sheetId="1459">
        <row r="2">
          <cell r="F2" t="str">
            <v>INCH</v>
          </cell>
        </row>
      </sheetData>
      <sheetData sheetId="1460">
        <row r="2">
          <cell r="F2" t="str">
            <v>INCH</v>
          </cell>
        </row>
      </sheetData>
      <sheetData sheetId="1461">
        <row r="2">
          <cell r="F2" t="str">
            <v>INCH</v>
          </cell>
        </row>
      </sheetData>
      <sheetData sheetId="1462">
        <row r="2">
          <cell r="F2" t="str">
            <v>INCH</v>
          </cell>
        </row>
      </sheetData>
      <sheetData sheetId="1463">
        <row r="2">
          <cell r="F2" t="str">
            <v>INCH</v>
          </cell>
        </row>
      </sheetData>
      <sheetData sheetId="1464">
        <row r="2">
          <cell r="F2" t="str">
            <v>INCH</v>
          </cell>
        </row>
      </sheetData>
      <sheetData sheetId="1465">
        <row r="2">
          <cell r="F2" t="str">
            <v>INCH</v>
          </cell>
        </row>
      </sheetData>
      <sheetData sheetId="1466">
        <row r="2">
          <cell r="F2" t="str">
            <v>INCH</v>
          </cell>
        </row>
      </sheetData>
      <sheetData sheetId="1467">
        <row r="2">
          <cell r="F2" t="str">
            <v>INCH</v>
          </cell>
        </row>
      </sheetData>
      <sheetData sheetId="1468">
        <row r="2">
          <cell r="F2" t="str">
            <v>INCH</v>
          </cell>
        </row>
      </sheetData>
      <sheetData sheetId="1469">
        <row r="2">
          <cell r="F2" t="str">
            <v>INCH</v>
          </cell>
        </row>
      </sheetData>
      <sheetData sheetId="1470">
        <row r="2">
          <cell r="F2" t="str">
            <v>INCH</v>
          </cell>
        </row>
      </sheetData>
      <sheetData sheetId="1471">
        <row r="2">
          <cell r="F2" t="str">
            <v>INCH</v>
          </cell>
        </row>
      </sheetData>
      <sheetData sheetId="1472">
        <row r="2">
          <cell r="F2" t="str">
            <v>INCH</v>
          </cell>
        </row>
      </sheetData>
      <sheetData sheetId="1473">
        <row r="2">
          <cell r="F2" t="str">
            <v>INCH</v>
          </cell>
        </row>
      </sheetData>
      <sheetData sheetId="1474">
        <row r="2">
          <cell r="F2" t="str">
            <v>INCH</v>
          </cell>
        </row>
      </sheetData>
      <sheetData sheetId="1475">
        <row r="2">
          <cell r="F2" t="str">
            <v>INCH</v>
          </cell>
        </row>
      </sheetData>
      <sheetData sheetId="1476">
        <row r="2">
          <cell r="F2" t="str">
            <v>INCH</v>
          </cell>
        </row>
      </sheetData>
      <sheetData sheetId="1477">
        <row r="2">
          <cell r="F2" t="str">
            <v>INCH</v>
          </cell>
        </row>
      </sheetData>
      <sheetData sheetId="1478">
        <row r="2">
          <cell r="F2" t="str">
            <v>INCH</v>
          </cell>
        </row>
      </sheetData>
      <sheetData sheetId="1479">
        <row r="2">
          <cell r="F2" t="str">
            <v>INCH</v>
          </cell>
        </row>
      </sheetData>
      <sheetData sheetId="1480">
        <row r="2">
          <cell r="F2" t="str">
            <v>INCH</v>
          </cell>
        </row>
      </sheetData>
      <sheetData sheetId="1481">
        <row r="2">
          <cell r="F2" t="str">
            <v>INCH</v>
          </cell>
        </row>
      </sheetData>
      <sheetData sheetId="1482">
        <row r="2">
          <cell r="F2" t="str">
            <v>INCH</v>
          </cell>
        </row>
      </sheetData>
      <sheetData sheetId="1483">
        <row r="2">
          <cell r="F2" t="str">
            <v>INCH</v>
          </cell>
        </row>
      </sheetData>
      <sheetData sheetId="1484">
        <row r="2">
          <cell r="F2" t="str">
            <v>INCH</v>
          </cell>
        </row>
      </sheetData>
      <sheetData sheetId="1485">
        <row r="2">
          <cell r="F2" t="str">
            <v>INCH</v>
          </cell>
        </row>
      </sheetData>
      <sheetData sheetId="1486">
        <row r="2">
          <cell r="F2" t="str">
            <v>INCH</v>
          </cell>
        </row>
      </sheetData>
      <sheetData sheetId="1487">
        <row r="2">
          <cell r="F2" t="str">
            <v>INCH</v>
          </cell>
        </row>
      </sheetData>
      <sheetData sheetId="1488">
        <row r="2">
          <cell r="F2" t="str">
            <v>INCH</v>
          </cell>
        </row>
      </sheetData>
      <sheetData sheetId="1489">
        <row r="2">
          <cell r="F2" t="str">
            <v>INCH</v>
          </cell>
        </row>
      </sheetData>
      <sheetData sheetId="1490">
        <row r="2">
          <cell r="F2" t="str">
            <v>INCH</v>
          </cell>
        </row>
      </sheetData>
      <sheetData sheetId="1491">
        <row r="2">
          <cell r="F2" t="str">
            <v>INCH</v>
          </cell>
        </row>
      </sheetData>
      <sheetData sheetId="1492">
        <row r="2">
          <cell r="F2" t="str">
            <v>INCH</v>
          </cell>
        </row>
      </sheetData>
      <sheetData sheetId="1493">
        <row r="2">
          <cell r="F2" t="str">
            <v>INCH</v>
          </cell>
        </row>
      </sheetData>
      <sheetData sheetId="1494">
        <row r="2">
          <cell r="F2" t="str">
            <v>INCH</v>
          </cell>
        </row>
      </sheetData>
      <sheetData sheetId="1495">
        <row r="2">
          <cell r="F2" t="str">
            <v>INCH</v>
          </cell>
        </row>
      </sheetData>
      <sheetData sheetId="1496">
        <row r="2">
          <cell r="F2" t="str">
            <v>INCH</v>
          </cell>
        </row>
      </sheetData>
      <sheetData sheetId="1497">
        <row r="2">
          <cell r="F2" t="str">
            <v>INCH</v>
          </cell>
        </row>
      </sheetData>
      <sheetData sheetId="1498">
        <row r="2">
          <cell r="F2" t="str">
            <v>INCH</v>
          </cell>
        </row>
      </sheetData>
      <sheetData sheetId="1499">
        <row r="2">
          <cell r="F2" t="str">
            <v>INCH</v>
          </cell>
        </row>
      </sheetData>
      <sheetData sheetId="1500">
        <row r="2">
          <cell r="F2" t="str">
            <v>INCH</v>
          </cell>
        </row>
      </sheetData>
      <sheetData sheetId="1501">
        <row r="2">
          <cell r="F2" t="str">
            <v>INCH</v>
          </cell>
        </row>
      </sheetData>
      <sheetData sheetId="1502">
        <row r="2">
          <cell r="F2" t="str">
            <v>INCH</v>
          </cell>
        </row>
      </sheetData>
      <sheetData sheetId="1503">
        <row r="2">
          <cell r="F2" t="str">
            <v>INCH</v>
          </cell>
        </row>
      </sheetData>
      <sheetData sheetId="1504">
        <row r="2">
          <cell r="F2" t="str">
            <v>INCH</v>
          </cell>
        </row>
      </sheetData>
      <sheetData sheetId="1505">
        <row r="2">
          <cell r="F2" t="str">
            <v>INCH</v>
          </cell>
        </row>
      </sheetData>
      <sheetData sheetId="1506">
        <row r="2">
          <cell r="F2" t="str">
            <v>INCH</v>
          </cell>
        </row>
      </sheetData>
      <sheetData sheetId="1507">
        <row r="2">
          <cell r="F2" t="str">
            <v>INCH</v>
          </cell>
        </row>
      </sheetData>
      <sheetData sheetId="1508">
        <row r="2">
          <cell r="F2" t="str">
            <v>INCH</v>
          </cell>
        </row>
      </sheetData>
      <sheetData sheetId="1509">
        <row r="2">
          <cell r="F2" t="str">
            <v>INCH</v>
          </cell>
        </row>
      </sheetData>
      <sheetData sheetId="1510">
        <row r="2">
          <cell r="F2" t="str">
            <v>INCH</v>
          </cell>
        </row>
      </sheetData>
      <sheetData sheetId="1511">
        <row r="2">
          <cell r="F2" t="str">
            <v>INCH</v>
          </cell>
        </row>
      </sheetData>
      <sheetData sheetId="1512">
        <row r="2">
          <cell r="F2" t="str">
            <v>INCH</v>
          </cell>
        </row>
      </sheetData>
      <sheetData sheetId="1513">
        <row r="2">
          <cell r="F2" t="str">
            <v>INCH</v>
          </cell>
        </row>
      </sheetData>
      <sheetData sheetId="1514">
        <row r="2">
          <cell r="F2" t="str">
            <v>INCH</v>
          </cell>
        </row>
      </sheetData>
      <sheetData sheetId="1515">
        <row r="2">
          <cell r="F2" t="str">
            <v>INCH</v>
          </cell>
        </row>
      </sheetData>
      <sheetData sheetId="1516">
        <row r="2">
          <cell r="F2" t="str">
            <v>INCH</v>
          </cell>
        </row>
      </sheetData>
      <sheetData sheetId="1517">
        <row r="2">
          <cell r="F2" t="str">
            <v>INCH</v>
          </cell>
        </row>
      </sheetData>
      <sheetData sheetId="1518">
        <row r="2">
          <cell r="F2" t="str">
            <v>INCH</v>
          </cell>
        </row>
      </sheetData>
      <sheetData sheetId="1519">
        <row r="2">
          <cell r="F2" t="str">
            <v>INCH</v>
          </cell>
        </row>
      </sheetData>
      <sheetData sheetId="1520">
        <row r="2">
          <cell r="F2" t="str">
            <v>INCH</v>
          </cell>
        </row>
      </sheetData>
      <sheetData sheetId="1521">
        <row r="2">
          <cell r="F2" t="str">
            <v>INCH</v>
          </cell>
        </row>
      </sheetData>
      <sheetData sheetId="1522">
        <row r="2">
          <cell r="F2" t="str">
            <v>INCH</v>
          </cell>
        </row>
      </sheetData>
      <sheetData sheetId="1523">
        <row r="2">
          <cell r="F2" t="str">
            <v>INCH</v>
          </cell>
        </row>
      </sheetData>
      <sheetData sheetId="1524">
        <row r="2">
          <cell r="F2" t="str">
            <v>INCH</v>
          </cell>
        </row>
      </sheetData>
      <sheetData sheetId="1525">
        <row r="2">
          <cell r="F2" t="str">
            <v>INCH</v>
          </cell>
        </row>
      </sheetData>
      <sheetData sheetId="1526">
        <row r="2">
          <cell r="F2" t="str">
            <v>INCH</v>
          </cell>
        </row>
      </sheetData>
      <sheetData sheetId="1527">
        <row r="2">
          <cell r="F2" t="str">
            <v>INCH</v>
          </cell>
        </row>
      </sheetData>
      <sheetData sheetId="1528">
        <row r="2">
          <cell r="F2" t="str">
            <v>INCH</v>
          </cell>
        </row>
      </sheetData>
      <sheetData sheetId="1529">
        <row r="2">
          <cell r="F2" t="str">
            <v>INCH</v>
          </cell>
        </row>
      </sheetData>
      <sheetData sheetId="1530">
        <row r="2">
          <cell r="F2" t="str">
            <v>INCH</v>
          </cell>
        </row>
      </sheetData>
      <sheetData sheetId="1531">
        <row r="2">
          <cell r="F2" t="str">
            <v>INCH</v>
          </cell>
        </row>
      </sheetData>
      <sheetData sheetId="1532">
        <row r="2">
          <cell r="F2" t="str">
            <v>INCH</v>
          </cell>
        </row>
      </sheetData>
      <sheetData sheetId="1533">
        <row r="2">
          <cell r="F2" t="str">
            <v>INCH</v>
          </cell>
        </row>
      </sheetData>
      <sheetData sheetId="1534">
        <row r="2">
          <cell r="F2" t="str">
            <v>INCH</v>
          </cell>
        </row>
      </sheetData>
      <sheetData sheetId="1535">
        <row r="2">
          <cell r="F2" t="str">
            <v>INCH</v>
          </cell>
        </row>
      </sheetData>
      <sheetData sheetId="1536">
        <row r="2">
          <cell r="F2" t="str">
            <v>INCH</v>
          </cell>
        </row>
      </sheetData>
      <sheetData sheetId="1537">
        <row r="2">
          <cell r="F2" t="str">
            <v>INCH</v>
          </cell>
        </row>
      </sheetData>
      <sheetData sheetId="1538">
        <row r="2">
          <cell r="F2" t="str">
            <v>INCH</v>
          </cell>
        </row>
      </sheetData>
      <sheetData sheetId="1539">
        <row r="2">
          <cell r="F2" t="str">
            <v>INCH</v>
          </cell>
        </row>
      </sheetData>
      <sheetData sheetId="1540">
        <row r="2">
          <cell r="F2" t="str">
            <v>INCH</v>
          </cell>
        </row>
      </sheetData>
      <sheetData sheetId="1541">
        <row r="2">
          <cell r="F2" t="str">
            <v>INCH</v>
          </cell>
        </row>
      </sheetData>
      <sheetData sheetId="1542">
        <row r="2">
          <cell r="F2" t="str">
            <v>INCH</v>
          </cell>
        </row>
      </sheetData>
      <sheetData sheetId="1543">
        <row r="2">
          <cell r="F2" t="str">
            <v>INCH</v>
          </cell>
        </row>
      </sheetData>
      <sheetData sheetId="1544">
        <row r="2">
          <cell r="F2" t="str">
            <v>INCH</v>
          </cell>
        </row>
      </sheetData>
      <sheetData sheetId="1545">
        <row r="2">
          <cell r="F2" t="str">
            <v>INCH</v>
          </cell>
        </row>
      </sheetData>
      <sheetData sheetId="1546">
        <row r="2">
          <cell r="F2" t="str">
            <v>INCH</v>
          </cell>
        </row>
      </sheetData>
      <sheetData sheetId="1547">
        <row r="2">
          <cell r="F2" t="str">
            <v>INCH</v>
          </cell>
        </row>
      </sheetData>
      <sheetData sheetId="1548">
        <row r="2">
          <cell r="F2" t="str">
            <v>INCH</v>
          </cell>
        </row>
      </sheetData>
      <sheetData sheetId="1549">
        <row r="2">
          <cell r="F2" t="str">
            <v>INCH</v>
          </cell>
        </row>
      </sheetData>
      <sheetData sheetId="1550">
        <row r="2">
          <cell r="F2" t="str">
            <v>INCH</v>
          </cell>
        </row>
      </sheetData>
      <sheetData sheetId="1551">
        <row r="2">
          <cell r="F2" t="str">
            <v>INCH</v>
          </cell>
        </row>
      </sheetData>
      <sheetData sheetId="1552">
        <row r="2">
          <cell r="F2" t="str">
            <v>INCH</v>
          </cell>
        </row>
      </sheetData>
      <sheetData sheetId="1553">
        <row r="2">
          <cell r="F2" t="str">
            <v>INCH</v>
          </cell>
        </row>
      </sheetData>
      <sheetData sheetId="1554">
        <row r="2">
          <cell r="F2" t="str">
            <v>INCH</v>
          </cell>
        </row>
      </sheetData>
      <sheetData sheetId="1555">
        <row r="2">
          <cell r="F2" t="str">
            <v>INCH</v>
          </cell>
        </row>
      </sheetData>
      <sheetData sheetId="1556">
        <row r="2">
          <cell r="F2" t="str">
            <v>INCH</v>
          </cell>
        </row>
      </sheetData>
      <sheetData sheetId="1557">
        <row r="2">
          <cell r="F2" t="str">
            <v>INCH</v>
          </cell>
        </row>
      </sheetData>
      <sheetData sheetId="1558">
        <row r="2">
          <cell r="F2" t="str">
            <v>INCH</v>
          </cell>
        </row>
      </sheetData>
      <sheetData sheetId="1559">
        <row r="2">
          <cell r="F2" t="str">
            <v>INCH</v>
          </cell>
        </row>
      </sheetData>
      <sheetData sheetId="1560">
        <row r="2">
          <cell r="F2" t="str">
            <v>INCH</v>
          </cell>
        </row>
      </sheetData>
      <sheetData sheetId="1561">
        <row r="2">
          <cell r="F2" t="str">
            <v>INCH</v>
          </cell>
        </row>
      </sheetData>
      <sheetData sheetId="1562">
        <row r="2">
          <cell r="F2" t="str">
            <v>INCH</v>
          </cell>
        </row>
      </sheetData>
      <sheetData sheetId="1563">
        <row r="2">
          <cell r="F2" t="str">
            <v>INCH</v>
          </cell>
        </row>
      </sheetData>
      <sheetData sheetId="1564">
        <row r="2">
          <cell r="F2" t="str">
            <v>INCH</v>
          </cell>
        </row>
      </sheetData>
      <sheetData sheetId="1565">
        <row r="2">
          <cell r="F2" t="str">
            <v>INCH</v>
          </cell>
        </row>
      </sheetData>
      <sheetData sheetId="1566">
        <row r="2">
          <cell r="F2" t="str">
            <v>INCH</v>
          </cell>
        </row>
      </sheetData>
      <sheetData sheetId="1567">
        <row r="2">
          <cell r="F2" t="str">
            <v>INCH</v>
          </cell>
        </row>
      </sheetData>
      <sheetData sheetId="1568">
        <row r="2">
          <cell r="F2" t="str">
            <v>INCH</v>
          </cell>
        </row>
      </sheetData>
      <sheetData sheetId="1569">
        <row r="2">
          <cell r="F2" t="str">
            <v>INCH</v>
          </cell>
        </row>
      </sheetData>
      <sheetData sheetId="1570">
        <row r="2">
          <cell r="F2" t="str">
            <v>INCH</v>
          </cell>
        </row>
      </sheetData>
      <sheetData sheetId="1571">
        <row r="2">
          <cell r="F2" t="str">
            <v>INCH</v>
          </cell>
        </row>
      </sheetData>
      <sheetData sheetId="1572">
        <row r="2">
          <cell r="F2" t="str">
            <v>INCH</v>
          </cell>
        </row>
      </sheetData>
      <sheetData sheetId="1573">
        <row r="2">
          <cell r="F2" t="str">
            <v>INCH</v>
          </cell>
        </row>
      </sheetData>
      <sheetData sheetId="1574">
        <row r="2">
          <cell r="F2" t="str">
            <v>INCH</v>
          </cell>
        </row>
      </sheetData>
      <sheetData sheetId="1575">
        <row r="2">
          <cell r="F2" t="str">
            <v>INCH</v>
          </cell>
        </row>
      </sheetData>
      <sheetData sheetId="1576">
        <row r="2">
          <cell r="F2" t="str">
            <v>INCH</v>
          </cell>
        </row>
      </sheetData>
      <sheetData sheetId="1577">
        <row r="2">
          <cell r="F2" t="str">
            <v>INCH</v>
          </cell>
        </row>
      </sheetData>
      <sheetData sheetId="1578">
        <row r="2">
          <cell r="F2" t="str">
            <v>INCH</v>
          </cell>
        </row>
      </sheetData>
      <sheetData sheetId="1579">
        <row r="2">
          <cell r="F2" t="str">
            <v>INCH</v>
          </cell>
        </row>
      </sheetData>
      <sheetData sheetId="1580">
        <row r="2">
          <cell r="F2" t="str">
            <v>INCH</v>
          </cell>
        </row>
      </sheetData>
      <sheetData sheetId="1581">
        <row r="2">
          <cell r="F2" t="str">
            <v>INCH</v>
          </cell>
        </row>
      </sheetData>
      <sheetData sheetId="1582">
        <row r="2">
          <cell r="F2" t="str">
            <v>INCH</v>
          </cell>
        </row>
      </sheetData>
      <sheetData sheetId="1583">
        <row r="2">
          <cell r="F2" t="str">
            <v>INCH</v>
          </cell>
        </row>
      </sheetData>
      <sheetData sheetId="1584">
        <row r="2">
          <cell r="F2" t="str">
            <v>INCH</v>
          </cell>
        </row>
      </sheetData>
      <sheetData sheetId="1585">
        <row r="2">
          <cell r="F2" t="str">
            <v>INCH</v>
          </cell>
        </row>
      </sheetData>
      <sheetData sheetId="1586">
        <row r="2">
          <cell r="F2" t="str">
            <v>INCH</v>
          </cell>
        </row>
      </sheetData>
      <sheetData sheetId="1587">
        <row r="2">
          <cell r="F2" t="str">
            <v>INCH</v>
          </cell>
        </row>
      </sheetData>
      <sheetData sheetId="1588">
        <row r="2">
          <cell r="F2" t="str">
            <v>INCH</v>
          </cell>
        </row>
      </sheetData>
      <sheetData sheetId="1589">
        <row r="2">
          <cell r="F2" t="str">
            <v>INCH</v>
          </cell>
        </row>
      </sheetData>
      <sheetData sheetId="1590">
        <row r="2">
          <cell r="F2" t="str">
            <v>INCH</v>
          </cell>
        </row>
      </sheetData>
      <sheetData sheetId="1591">
        <row r="2">
          <cell r="F2" t="str">
            <v>INCH</v>
          </cell>
        </row>
      </sheetData>
      <sheetData sheetId="1592">
        <row r="2">
          <cell r="F2" t="str">
            <v>INCH</v>
          </cell>
        </row>
      </sheetData>
      <sheetData sheetId="1593">
        <row r="2">
          <cell r="F2" t="str">
            <v>INCH</v>
          </cell>
        </row>
      </sheetData>
      <sheetData sheetId="1594">
        <row r="2">
          <cell r="F2" t="str">
            <v>INCH</v>
          </cell>
        </row>
      </sheetData>
      <sheetData sheetId="1595">
        <row r="2">
          <cell r="F2" t="str">
            <v>INCH</v>
          </cell>
        </row>
      </sheetData>
      <sheetData sheetId="1596">
        <row r="2">
          <cell r="F2" t="str">
            <v>INCH</v>
          </cell>
        </row>
      </sheetData>
      <sheetData sheetId="1597">
        <row r="2">
          <cell r="F2" t="str">
            <v>INCH</v>
          </cell>
        </row>
      </sheetData>
      <sheetData sheetId="1598">
        <row r="2">
          <cell r="F2" t="str">
            <v>INCH</v>
          </cell>
        </row>
      </sheetData>
      <sheetData sheetId="1599">
        <row r="2">
          <cell r="F2" t="str">
            <v>INCH</v>
          </cell>
        </row>
      </sheetData>
      <sheetData sheetId="1600">
        <row r="2">
          <cell r="F2" t="str">
            <v>INCH</v>
          </cell>
        </row>
      </sheetData>
      <sheetData sheetId="1601">
        <row r="2">
          <cell r="F2" t="str">
            <v>INCH</v>
          </cell>
        </row>
      </sheetData>
      <sheetData sheetId="1602">
        <row r="2">
          <cell r="F2" t="str">
            <v>INCH</v>
          </cell>
        </row>
      </sheetData>
      <sheetData sheetId="1603">
        <row r="2">
          <cell r="F2" t="str">
            <v>INCH</v>
          </cell>
        </row>
      </sheetData>
      <sheetData sheetId="1604">
        <row r="2">
          <cell r="F2" t="str">
            <v>INCH</v>
          </cell>
        </row>
      </sheetData>
      <sheetData sheetId="1605">
        <row r="2">
          <cell r="F2" t="str">
            <v>INCH</v>
          </cell>
        </row>
      </sheetData>
      <sheetData sheetId="1606">
        <row r="2">
          <cell r="F2" t="str">
            <v>INCH</v>
          </cell>
        </row>
      </sheetData>
      <sheetData sheetId="1607">
        <row r="2">
          <cell r="F2" t="str">
            <v>INCH</v>
          </cell>
        </row>
      </sheetData>
      <sheetData sheetId="1608">
        <row r="2">
          <cell r="F2" t="str">
            <v>INCH</v>
          </cell>
        </row>
      </sheetData>
      <sheetData sheetId="1609">
        <row r="2">
          <cell r="F2" t="str">
            <v>INCH</v>
          </cell>
        </row>
      </sheetData>
      <sheetData sheetId="1610">
        <row r="2">
          <cell r="F2" t="str">
            <v>INCH</v>
          </cell>
        </row>
      </sheetData>
      <sheetData sheetId="1611">
        <row r="2">
          <cell r="F2" t="str">
            <v>INCH</v>
          </cell>
        </row>
      </sheetData>
      <sheetData sheetId="1612">
        <row r="2">
          <cell r="F2" t="str">
            <v>INCH</v>
          </cell>
        </row>
      </sheetData>
      <sheetData sheetId="1613">
        <row r="2">
          <cell r="F2" t="str">
            <v>INCH</v>
          </cell>
        </row>
      </sheetData>
      <sheetData sheetId="1614">
        <row r="2">
          <cell r="F2" t="str">
            <v>INCH</v>
          </cell>
        </row>
      </sheetData>
      <sheetData sheetId="1615">
        <row r="2">
          <cell r="F2" t="str">
            <v>INCH</v>
          </cell>
        </row>
      </sheetData>
      <sheetData sheetId="1616">
        <row r="2">
          <cell r="F2" t="str">
            <v>INCH</v>
          </cell>
        </row>
      </sheetData>
      <sheetData sheetId="1617">
        <row r="2">
          <cell r="F2" t="str">
            <v>INCH</v>
          </cell>
        </row>
      </sheetData>
      <sheetData sheetId="1618">
        <row r="2">
          <cell r="F2" t="str">
            <v>INCH</v>
          </cell>
        </row>
      </sheetData>
      <sheetData sheetId="1619">
        <row r="2">
          <cell r="F2" t="str">
            <v>INCH</v>
          </cell>
        </row>
      </sheetData>
      <sheetData sheetId="1620">
        <row r="2">
          <cell r="F2" t="str">
            <v>INCH</v>
          </cell>
        </row>
      </sheetData>
      <sheetData sheetId="1621">
        <row r="2">
          <cell r="F2" t="str">
            <v>INCH</v>
          </cell>
        </row>
      </sheetData>
      <sheetData sheetId="1622">
        <row r="2">
          <cell r="F2" t="str">
            <v>INCH</v>
          </cell>
        </row>
      </sheetData>
      <sheetData sheetId="1623">
        <row r="2">
          <cell r="F2" t="str">
            <v>INCH</v>
          </cell>
        </row>
      </sheetData>
      <sheetData sheetId="1624">
        <row r="2">
          <cell r="F2" t="str">
            <v>INCH</v>
          </cell>
        </row>
      </sheetData>
      <sheetData sheetId="1625">
        <row r="2">
          <cell r="F2" t="str">
            <v>INCH</v>
          </cell>
        </row>
      </sheetData>
      <sheetData sheetId="1626">
        <row r="2">
          <cell r="F2" t="str">
            <v>INCH</v>
          </cell>
        </row>
      </sheetData>
      <sheetData sheetId="1627">
        <row r="2">
          <cell r="F2" t="str">
            <v>INCH</v>
          </cell>
        </row>
      </sheetData>
      <sheetData sheetId="1628">
        <row r="2">
          <cell r="F2" t="str">
            <v>INCH</v>
          </cell>
        </row>
      </sheetData>
      <sheetData sheetId="1629">
        <row r="2">
          <cell r="F2" t="str">
            <v>INCH</v>
          </cell>
        </row>
      </sheetData>
      <sheetData sheetId="1630">
        <row r="2">
          <cell r="F2" t="str">
            <v>INCH</v>
          </cell>
        </row>
      </sheetData>
      <sheetData sheetId="1631">
        <row r="2">
          <cell r="F2" t="str">
            <v>INCH</v>
          </cell>
        </row>
      </sheetData>
      <sheetData sheetId="1632">
        <row r="2">
          <cell r="F2" t="str">
            <v>INCH</v>
          </cell>
        </row>
      </sheetData>
      <sheetData sheetId="1633">
        <row r="2">
          <cell r="F2" t="str">
            <v>INCH</v>
          </cell>
        </row>
      </sheetData>
      <sheetData sheetId="1634">
        <row r="2">
          <cell r="F2" t="str">
            <v>INCH</v>
          </cell>
        </row>
      </sheetData>
      <sheetData sheetId="1635">
        <row r="2">
          <cell r="F2" t="str">
            <v>INCH</v>
          </cell>
        </row>
      </sheetData>
      <sheetData sheetId="1636">
        <row r="2">
          <cell r="F2" t="str">
            <v>INCH</v>
          </cell>
        </row>
      </sheetData>
      <sheetData sheetId="1637">
        <row r="2">
          <cell r="F2" t="str">
            <v>INCH</v>
          </cell>
        </row>
      </sheetData>
      <sheetData sheetId="1638">
        <row r="2">
          <cell r="F2" t="str">
            <v>INCH</v>
          </cell>
        </row>
      </sheetData>
      <sheetData sheetId="1639">
        <row r="2">
          <cell r="F2" t="str">
            <v>INCH</v>
          </cell>
        </row>
      </sheetData>
      <sheetData sheetId="1640">
        <row r="2">
          <cell r="F2" t="str">
            <v>INCH</v>
          </cell>
        </row>
      </sheetData>
      <sheetData sheetId="1641">
        <row r="2">
          <cell r="F2" t="str">
            <v>INCH</v>
          </cell>
        </row>
      </sheetData>
      <sheetData sheetId="1642">
        <row r="2">
          <cell r="F2" t="str">
            <v>INCH</v>
          </cell>
        </row>
      </sheetData>
      <sheetData sheetId="1643">
        <row r="2">
          <cell r="F2" t="str">
            <v>INCH</v>
          </cell>
        </row>
      </sheetData>
      <sheetData sheetId="1644">
        <row r="2">
          <cell r="F2" t="str">
            <v>INCH</v>
          </cell>
        </row>
      </sheetData>
      <sheetData sheetId="1645">
        <row r="2">
          <cell r="F2" t="str">
            <v>INCH</v>
          </cell>
        </row>
      </sheetData>
      <sheetData sheetId="1646">
        <row r="2">
          <cell r="F2" t="str">
            <v>INCH</v>
          </cell>
        </row>
      </sheetData>
      <sheetData sheetId="1647">
        <row r="2">
          <cell r="F2" t="str">
            <v>INCH</v>
          </cell>
        </row>
      </sheetData>
      <sheetData sheetId="1648">
        <row r="2">
          <cell r="F2" t="str">
            <v>INCH</v>
          </cell>
        </row>
      </sheetData>
      <sheetData sheetId="1649">
        <row r="2">
          <cell r="F2" t="str">
            <v>INCH</v>
          </cell>
        </row>
      </sheetData>
      <sheetData sheetId="1650">
        <row r="2">
          <cell r="F2" t="str">
            <v>INCH</v>
          </cell>
        </row>
      </sheetData>
      <sheetData sheetId="1651">
        <row r="2">
          <cell r="F2" t="str">
            <v>INCH</v>
          </cell>
        </row>
      </sheetData>
      <sheetData sheetId="1652">
        <row r="2">
          <cell r="F2" t="str">
            <v>INCH</v>
          </cell>
        </row>
      </sheetData>
      <sheetData sheetId="1653">
        <row r="2">
          <cell r="F2" t="str">
            <v>INCH</v>
          </cell>
        </row>
      </sheetData>
      <sheetData sheetId="1654">
        <row r="2">
          <cell r="F2" t="str">
            <v>INCH</v>
          </cell>
        </row>
      </sheetData>
      <sheetData sheetId="1655">
        <row r="2">
          <cell r="F2" t="str">
            <v>INCH</v>
          </cell>
        </row>
      </sheetData>
      <sheetData sheetId="1656">
        <row r="2">
          <cell r="F2" t="str">
            <v>INCH</v>
          </cell>
        </row>
      </sheetData>
      <sheetData sheetId="1657">
        <row r="2">
          <cell r="F2" t="str">
            <v>INCH</v>
          </cell>
        </row>
      </sheetData>
      <sheetData sheetId="1658">
        <row r="2">
          <cell r="F2" t="str">
            <v>INCH</v>
          </cell>
        </row>
      </sheetData>
      <sheetData sheetId="1659">
        <row r="2">
          <cell r="F2" t="str">
            <v>INCH</v>
          </cell>
        </row>
      </sheetData>
      <sheetData sheetId="1660">
        <row r="2">
          <cell r="F2" t="str">
            <v>INCH</v>
          </cell>
        </row>
      </sheetData>
      <sheetData sheetId="1661">
        <row r="2">
          <cell r="F2" t="str">
            <v>INCH</v>
          </cell>
        </row>
      </sheetData>
      <sheetData sheetId="1662">
        <row r="2">
          <cell r="F2" t="str">
            <v>INCH</v>
          </cell>
        </row>
      </sheetData>
      <sheetData sheetId="1663">
        <row r="2">
          <cell r="F2" t="str">
            <v>INCH</v>
          </cell>
        </row>
      </sheetData>
      <sheetData sheetId="1664">
        <row r="2">
          <cell r="F2" t="str">
            <v>INCH</v>
          </cell>
        </row>
      </sheetData>
      <sheetData sheetId="1665">
        <row r="2">
          <cell r="F2" t="str">
            <v>INCH</v>
          </cell>
        </row>
      </sheetData>
      <sheetData sheetId="1666">
        <row r="2">
          <cell r="F2" t="str">
            <v>INCH</v>
          </cell>
        </row>
      </sheetData>
      <sheetData sheetId="1667">
        <row r="2">
          <cell r="F2" t="str">
            <v>INCH</v>
          </cell>
        </row>
      </sheetData>
      <sheetData sheetId="1668">
        <row r="2">
          <cell r="F2" t="str">
            <v>INCH</v>
          </cell>
        </row>
      </sheetData>
      <sheetData sheetId="1669">
        <row r="2">
          <cell r="F2" t="str">
            <v>INCH</v>
          </cell>
        </row>
      </sheetData>
      <sheetData sheetId="1670">
        <row r="2">
          <cell r="F2" t="str">
            <v>INCH</v>
          </cell>
        </row>
      </sheetData>
      <sheetData sheetId="1671">
        <row r="2">
          <cell r="F2" t="str">
            <v>INCH</v>
          </cell>
        </row>
      </sheetData>
      <sheetData sheetId="1672">
        <row r="2">
          <cell r="F2" t="str">
            <v>INCH</v>
          </cell>
        </row>
      </sheetData>
      <sheetData sheetId="1673">
        <row r="2">
          <cell r="F2" t="str">
            <v>INCH</v>
          </cell>
        </row>
      </sheetData>
      <sheetData sheetId="1674">
        <row r="2">
          <cell r="F2" t="str">
            <v>INCH</v>
          </cell>
        </row>
      </sheetData>
      <sheetData sheetId="1675">
        <row r="2">
          <cell r="F2" t="str">
            <v>INCH</v>
          </cell>
        </row>
      </sheetData>
      <sheetData sheetId="1676">
        <row r="2">
          <cell r="F2" t="str">
            <v>INCH</v>
          </cell>
        </row>
      </sheetData>
      <sheetData sheetId="1677">
        <row r="2">
          <cell r="F2" t="str">
            <v>INCH</v>
          </cell>
        </row>
      </sheetData>
      <sheetData sheetId="1678">
        <row r="2">
          <cell r="F2" t="str">
            <v>INCH</v>
          </cell>
        </row>
      </sheetData>
      <sheetData sheetId="1679">
        <row r="2">
          <cell r="F2" t="str">
            <v>INCH</v>
          </cell>
        </row>
      </sheetData>
      <sheetData sheetId="1680" refreshError="1"/>
      <sheetData sheetId="1681" refreshError="1"/>
      <sheetData sheetId="1682" refreshError="1"/>
      <sheetData sheetId="1683" refreshError="1"/>
      <sheetData sheetId="1684" refreshError="1"/>
      <sheetData sheetId="1685" refreshError="1"/>
      <sheetData sheetId="1686">
        <row r="2">
          <cell r="F2" t="str">
            <v>INCH</v>
          </cell>
        </row>
      </sheetData>
      <sheetData sheetId="1687">
        <row r="2">
          <cell r="F2" t="str">
            <v>INCH</v>
          </cell>
        </row>
      </sheetData>
      <sheetData sheetId="1688">
        <row r="2">
          <cell r="F2" t="str">
            <v>INCH</v>
          </cell>
        </row>
      </sheetData>
      <sheetData sheetId="1689">
        <row r="2">
          <cell r="F2" t="str">
            <v>INCH</v>
          </cell>
        </row>
      </sheetData>
      <sheetData sheetId="1690">
        <row r="2">
          <cell r="F2" t="str">
            <v>INCH</v>
          </cell>
        </row>
      </sheetData>
      <sheetData sheetId="1691">
        <row r="2">
          <cell r="F2" t="str">
            <v>INCH</v>
          </cell>
        </row>
      </sheetData>
      <sheetData sheetId="1692">
        <row r="2">
          <cell r="F2" t="str">
            <v>INCH</v>
          </cell>
        </row>
      </sheetData>
      <sheetData sheetId="1693">
        <row r="2">
          <cell r="F2" t="str">
            <v>INCH</v>
          </cell>
        </row>
      </sheetData>
      <sheetData sheetId="1694">
        <row r="2">
          <cell r="F2" t="str">
            <v>INCH</v>
          </cell>
        </row>
      </sheetData>
      <sheetData sheetId="1695">
        <row r="2">
          <cell r="F2" t="str">
            <v>INCH</v>
          </cell>
        </row>
      </sheetData>
      <sheetData sheetId="1696" refreshError="1"/>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ow r="2">
          <cell r="F2" t="str">
            <v>INCH</v>
          </cell>
        </row>
      </sheetData>
      <sheetData sheetId="1714" refreshError="1"/>
      <sheetData sheetId="1715" refreshError="1"/>
      <sheetData sheetId="1716" refreshError="1"/>
      <sheetData sheetId="1717" refreshError="1"/>
      <sheetData sheetId="1718" refreshError="1"/>
      <sheetData sheetId="1719">
        <row r="2">
          <cell r="F2" t="str">
            <v>INCH</v>
          </cell>
        </row>
      </sheetData>
      <sheetData sheetId="1720" refreshError="1"/>
      <sheetData sheetId="1721" refreshError="1"/>
      <sheetData sheetId="1722" refreshError="1"/>
      <sheetData sheetId="1723">
        <row r="2">
          <cell r="F2" t="str">
            <v>INCH</v>
          </cell>
        </row>
      </sheetData>
      <sheetData sheetId="1724">
        <row r="2">
          <cell r="F2" t="str">
            <v>INCH</v>
          </cell>
        </row>
      </sheetData>
      <sheetData sheetId="1725">
        <row r="2">
          <cell r="F2" t="str">
            <v>INCH</v>
          </cell>
        </row>
      </sheetData>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ow r="2">
          <cell r="F2" t="str">
            <v>INCH</v>
          </cell>
        </row>
      </sheetData>
      <sheetData sheetId="1738">
        <row r="2">
          <cell r="F2" t="str">
            <v>INCH</v>
          </cell>
        </row>
      </sheetData>
      <sheetData sheetId="1739">
        <row r="2">
          <cell r="F2" t="str">
            <v>INCH</v>
          </cell>
        </row>
      </sheetData>
      <sheetData sheetId="1740">
        <row r="2">
          <cell r="F2" t="str">
            <v>INCH</v>
          </cell>
        </row>
      </sheetData>
      <sheetData sheetId="1741">
        <row r="2">
          <cell r="F2" t="str">
            <v>INCH</v>
          </cell>
        </row>
      </sheetData>
      <sheetData sheetId="1742" refreshError="1"/>
      <sheetData sheetId="1743" refreshError="1"/>
      <sheetData sheetId="1744" refreshError="1"/>
      <sheetData sheetId="1745" refreshError="1"/>
      <sheetData sheetId="1746" refreshError="1"/>
      <sheetData sheetId="1747" refreshError="1"/>
      <sheetData sheetId="1748">
        <row r="2">
          <cell r="F2" t="str">
            <v>INCH</v>
          </cell>
        </row>
      </sheetData>
      <sheetData sheetId="1749" refreshError="1"/>
      <sheetData sheetId="1750" refreshError="1"/>
      <sheetData sheetId="1751" refreshError="1"/>
      <sheetData sheetId="1752" refreshError="1"/>
      <sheetData sheetId="1753" refreshError="1"/>
      <sheetData sheetId="1754" refreshError="1"/>
      <sheetData sheetId="1755" refreshError="1"/>
      <sheetData sheetId="1756" refreshError="1"/>
      <sheetData sheetId="1757" refreshError="1"/>
      <sheetData sheetId="1758" refreshError="1"/>
      <sheetData sheetId="1759" refreshError="1"/>
      <sheetData sheetId="1760" refreshError="1"/>
      <sheetData sheetId="1761">
        <row r="2">
          <cell r="F2" t="str">
            <v>INCH</v>
          </cell>
        </row>
      </sheetData>
      <sheetData sheetId="1762">
        <row r="2">
          <cell r="F2" t="str">
            <v>INCH</v>
          </cell>
        </row>
      </sheetData>
      <sheetData sheetId="1763" refreshError="1"/>
      <sheetData sheetId="1764" refreshError="1"/>
      <sheetData sheetId="1765" refreshError="1"/>
      <sheetData sheetId="1766" refreshError="1"/>
      <sheetData sheetId="1767" refreshError="1"/>
      <sheetData sheetId="1768" refreshError="1"/>
      <sheetData sheetId="1769" refreshError="1"/>
      <sheetData sheetId="1770" refreshError="1"/>
      <sheetData sheetId="1771" refreshError="1"/>
      <sheetData sheetId="1772" refreshError="1"/>
      <sheetData sheetId="1773" refreshError="1"/>
      <sheetData sheetId="1774" refreshError="1"/>
      <sheetData sheetId="1775" refreshError="1"/>
      <sheetData sheetId="1776" refreshError="1"/>
      <sheetData sheetId="1777" refreshError="1"/>
      <sheetData sheetId="1778" refreshError="1"/>
      <sheetData sheetId="1779" refreshError="1"/>
      <sheetData sheetId="1780" refreshError="1"/>
      <sheetData sheetId="1781" refreshError="1"/>
      <sheetData sheetId="1782" refreshError="1"/>
      <sheetData sheetId="1783" refreshError="1"/>
      <sheetData sheetId="1784" refreshError="1"/>
      <sheetData sheetId="1785" refreshError="1"/>
      <sheetData sheetId="1786" refreshError="1"/>
      <sheetData sheetId="1787" refreshError="1"/>
      <sheetData sheetId="1788" refreshError="1"/>
      <sheetData sheetId="1789" refreshError="1"/>
      <sheetData sheetId="1790">
        <row r="2">
          <cell r="F2" t="str">
            <v>INCH</v>
          </cell>
        </row>
      </sheetData>
      <sheetData sheetId="1791">
        <row r="2">
          <cell r="F2" t="str">
            <v>INCH</v>
          </cell>
        </row>
      </sheetData>
      <sheetData sheetId="1792">
        <row r="2">
          <cell r="F2" t="str">
            <v>INCH</v>
          </cell>
        </row>
      </sheetData>
      <sheetData sheetId="1793">
        <row r="2">
          <cell r="F2" t="str">
            <v>INCH</v>
          </cell>
        </row>
      </sheetData>
      <sheetData sheetId="1794">
        <row r="2">
          <cell r="F2" t="str">
            <v>INCH</v>
          </cell>
        </row>
      </sheetData>
      <sheetData sheetId="1795">
        <row r="2">
          <cell r="F2" t="str">
            <v>INCH</v>
          </cell>
        </row>
      </sheetData>
      <sheetData sheetId="1796">
        <row r="2">
          <cell r="F2" t="str">
            <v>INCH</v>
          </cell>
        </row>
      </sheetData>
      <sheetData sheetId="1797">
        <row r="2">
          <cell r="F2" t="str">
            <v>INCH</v>
          </cell>
        </row>
      </sheetData>
      <sheetData sheetId="1798">
        <row r="2">
          <cell r="F2" t="str">
            <v>INCH</v>
          </cell>
        </row>
      </sheetData>
      <sheetData sheetId="1799">
        <row r="2">
          <cell r="F2" t="str">
            <v>INCH</v>
          </cell>
        </row>
      </sheetData>
      <sheetData sheetId="1800">
        <row r="2">
          <cell r="F2" t="str">
            <v>INCH</v>
          </cell>
        </row>
      </sheetData>
      <sheetData sheetId="1801">
        <row r="2">
          <cell r="F2" t="str">
            <v>INCH</v>
          </cell>
        </row>
      </sheetData>
      <sheetData sheetId="1802">
        <row r="2">
          <cell r="F2" t="str">
            <v>INCH</v>
          </cell>
        </row>
      </sheetData>
      <sheetData sheetId="1803">
        <row r="2">
          <cell r="F2" t="str">
            <v>INCH</v>
          </cell>
        </row>
      </sheetData>
      <sheetData sheetId="1804">
        <row r="2">
          <cell r="F2" t="str">
            <v>INCH</v>
          </cell>
        </row>
      </sheetData>
      <sheetData sheetId="1805">
        <row r="2">
          <cell r="F2" t="str">
            <v>INCH</v>
          </cell>
        </row>
      </sheetData>
      <sheetData sheetId="1806">
        <row r="2">
          <cell r="F2" t="str">
            <v>INCH</v>
          </cell>
        </row>
      </sheetData>
      <sheetData sheetId="1807">
        <row r="2">
          <cell r="F2" t="str">
            <v>INCH</v>
          </cell>
        </row>
      </sheetData>
      <sheetData sheetId="1808">
        <row r="2">
          <cell r="F2" t="str">
            <v>INCH</v>
          </cell>
        </row>
      </sheetData>
      <sheetData sheetId="1809">
        <row r="2">
          <cell r="F2" t="str">
            <v>INCH</v>
          </cell>
        </row>
      </sheetData>
      <sheetData sheetId="1810">
        <row r="2">
          <cell r="F2" t="str">
            <v>INCH</v>
          </cell>
        </row>
      </sheetData>
      <sheetData sheetId="1811">
        <row r="2">
          <cell r="F2" t="str">
            <v>INCH</v>
          </cell>
        </row>
      </sheetData>
      <sheetData sheetId="1812">
        <row r="2">
          <cell r="F2" t="str">
            <v>INCH</v>
          </cell>
        </row>
      </sheetData>
      <sheetData sheetId="1813">
        <row r="2">
          <cell r="F2" t="str">
            <v>INCH</v>
          </cell>
        </row>
      </sheetData>
      <sheetData sheetId="1814">
        <row r="2">
          <cell r="F2" t="str">
            <v>INCH</v>
          </cell>
        </row>
      </sheetData>
      <sheetData sheetId="1815">
        <row r="2">
          <cell r="F2" t="str">
            <v>INCH</v>
          </cell>
        </row>
      </sheetData>
      <sheetData sheetId="1816">
        <row r="2">
          <cell r="F2" t="str">
            <v>INCH</v>
          </cell>
        </row>
      </sheetData>
      <sheetData sheetId="1817">
        <row r="2">
          <cell r="F2" t="str">
            <v>INCH</v>
          </cell>
        </row>
      </sheetData>
      <sheetData sheetId="1818">
        <row r="2">
          <cell r="F2" t="str">
            <v>INCH</v>
          </cell>
        </row>
      </sheetData>
      <sheetData sheetId="1819">
        <row r="2">
          <cell r="F2" t="str">
            <v>INCH</v>
          </cell>
        </row>
      </sheetData>
      <sheetData sheetId="1820">
        <row r="2">
          <cell r="F2" t="str">
            <v>INCH</v>
          </cell>
        </row>
      </sheetData>
      <sheetData sheetId="1821">
        <row r="2">
          <cell r="F2" t="str">
            <v>INCH</v>
          </cell>
        </row>
      </sheetData>
      <sheetData sheetId="1822">
        <row r="2">
          <cell r="F2" t="str">
            <v>INCH</v>
          </cell>
        </row>
      </sheetData>
      <sheetData sheetId="1823">
        <row r="2">
          <cell r="F2" t="str">
            <v>INCH</v>
          </cell>
        </row>
      </sheetData>
      <sheetData sheetId="1824">
        <row r="2">
          <cell r="F2" t="str">
            <v>INCH</v>
          </cell>
        </row>
      </sheetData>
      <sheetData sheetId="1825">
        <row r="2">
          <cell r="F2" t="str">
            <v>INCH</v>
          </cell>
        </row>
      </sheetData>
      <sheetData sheetId="1826">
        <row r="2">
          <cell r="F2" t="str">
            <v>INCH</v>
          </cell>
        </row>
      </sheetData>
      <sheetData sheetId="1827">
        <row r="2">
          <cell r="F2" t="str">
            <v>INCH</v>
          </cell>
        </row>
      </sheetData>
      <sheetData sheetId="1828">
        <row r="2">
          <cell r="F2" t="str">
            <v>INCH</v>
          </cell>
        </row>
      </sheetData>
      <sheetData sheetId="1829">
        <row r="2">
          <cell r="F2" t="str">
            <v>INCH</v>
          </cell>
        </row>
      </sheetData>
      <sheetData sheetId="1830">
        <row r="2">
          <cell r="F2" t="str">
            <v>INCH</v>
          </cell>
        </row>
      </sheetData>
      <sheetData sheetId="1831">
        <row r="2">
          <cell r="F2" t="str">
            <v>INCH</v>
          </cell>
        </row>
      </sheetData>
      <sheetData sheetId="1832">
        <row r="2">
          <cell r="F2" t="str">
            <v>INCH</v>
          </cell>
        </row>
      </sheetData>
      <sheetData sheetId="1833">
        <row r="2">
          <cell r="F2" t="str">
            <v>INCH</v>
          </cell>
        </row>
      </sheetData>
      <sheetData sheetId="1834">
        <row r="2">
          <cell r="F2" t="str">
            <v>INCH</v>
          </cell>
        </row>
      </sheetData>
      <sheetData sheetId="1835">
        <row r="2">
          <cell r="F2" t="str">
            <v>INCH</v>
          </cell>
        </row>
      </sheetData>
      <sheetData sheetId="1836">
        <row r="2">
          <cell r="F2" t="str">
            <v>INCH</v>
          </cell>
        </row>
      </sheetData>
      <sheetData sheetId="1837">
        <row r="2">
          <cell r="F2" t="str">
            <v>INCH</v>
          </cell>
        </row>
      </sheetData>
      <sheetData sheetId="1838">
        <row r="2">
          <cell r="F2" t="str">
            <v>INCH</v>
          </cell>
        </row>
      </sheetData>
      <sheetData sheetId="1839">
        <row r="2">
          <cell r="F2" t="str">
            <v>INCH</v>
          </cell>
        </row>
      </sheetData>
      <sheetData sheetId="1840">
        <row r="2">
          <cell r="F2" t="str">
            <v>INCH</v>
          </cell>
        </row>
      </sheetData>
      <sheetData sheetId="1841">
        <row r="2">
          <cell r="F2" t="str">
            <v>INCH</v>
          </cell>
        </row>
      </sheetData>
      <sheetData sheetId="1842">
        <row r="2">
          <cell r="F2" t="str">
            <v>INCH</v>
          </cell>
        </row>
      </sheetData>
      <sheetData sheetId="1843">
        <row r="2">
          <cell r="F2" t="str">
            <v>INCH</v>
          </cell>
        </row>
      </sheetData>
      <sheetData sheetId="1844">
        <row r="2">
          <cell r="F2" t="str">
            <v>INCH</v>
          </cell>
        </row>
      </sheetData>
      <sheetData sheetId="1845">
        <row r="2">
          <cell r="F2" t="str">
            <v>INCH</v>
          </cell>
        </row>
      </sheetData>
      <sheetData sheetId="1846">
        <row r="2">
          <cell r="F2" t="str">
            <v>INCH</v>
          </cell>
        </row>
      </sheetData>
      <sheetData sheetId="1847">
        <row r="2">
          <cell r="F2" t="str">
            <v>INCH</v>
          </cell>
        </row>
      </sheetData>
      <sheetData sheetId="1848">
        <row r="2">
          <cell r="F2" t="str">
            <v>INCH</v>
          </cell>
        </row>
      </sheetData>
      <sheetData sheetId="1849">
        <row r="2">
          <cell r="F2" t="str">
            <v>INCH</v>
          </cell>
        </row>
      </sheetData>
      <sheetData sheetId="1850">
        <row r="2">
          <cell r="F2" t="str">
            <v>INCH</v>
          </cell>
        </row>
      </sheetData>
      <sheetData sheetId="1851">
        <row r="2">
          <cell r="F2" t="str">
            <v>INCH</v>
          </cell>
        </row>
      </sheetData>
      <sheetData sheetId="1852">
        <row r="2">
          <cell r="F2" t="str">
            <v>INCH</v>
          </cell>
        </row>
      </sheetData>
      <sheetData sheetId="1853">
        <row r="2">
          <cell r="F2" t="str">
            <v>INCH</v>
          </cell>
        </row>
      </sheetData>
      <sheetData sheetId="1854">
        <row r="2">
          <cell r="F2" t="str">
            <v>INCH</v>
          </cell>
        </row>
      </sheetData>
      <sheetData sheetId="1855">
        <row r="2">
          <cell r="F2" t="str">
            <v>INCH</v>
          </cell>
        </row>
      </sheetData>
      <sheetData sheetId="1856">
        <row r="2">
          <cell r="F2" t="str">
            <v>INCH</v>
          </cell>
        </row>
      </sheetData>
      <sheetData sheetId="1857">
        <row r="2">
          <cell r="F2" t="str">
            <v>INCH</v>
          </cell>
        </row>
      </sheetData>
      <sheetData sheetId="1858">
        <row r="2">
          <cell r="F2" t="str">
            <v>INCH</v>
          </cell>
        </row>
      </sheetData>
      <sheetData sheetId="1859" refreshError="1"/>
      <sheetData sheetId="1860" refreshError="1"/>
      <sheetData sheetId="1861" refreshError="1"/>
      <sheetData sheetId="1862" refreshError="1"/>
      <sheetData sheetId="1863" refreshError="1"/>
      <sheetData sheetId="1864" refreshError="1"/>
      <sheetData sheetId="1865" refreshError="1"/>
      <sheetData sheetId="1866" refreshError="1"/>
      <sheetData sheetId="1867" refreshError="1"/>
      <sheetData sheetId="1868" refreshError="1"/>
      <sheetData sheetId="1869" refreshError="1"/>
      <sheetData sheetId="1870" refreshError="1"/>
      <sheetData sheetId="1871" refreshError="1"/>
      <sheetData sheetId="1872" refreshError="1"/>
      <sheetData sheetId="1873" refreshError="1"/>
      <sheetData sheetId="1874" refreshError="1"/>
      <sheetData sheetId="1875" refreshError="1"/>
      <sheetData sheetId="1876" refreshError="1"/>
      <sheetData sheetId="1877" refreshError="1"/>
      <sheetData sheetId="1878" refreshError="1"/>
      <sheetData sheetId="1879" refreshError="1"/>
      <sheetData sheetId="1880" refreshError="1"/>
      <sheetData sheetId="1881" refreshError="1"/>
      <sheetData sheetId="1882" refreshError="1"/>
      <sheetData sheetId="1883" refreshError="1"/>
      <sheetData sheetId="1884" refreshError="1"/>
      <sheetData sheetId="1885" refreshError="1"/>
      <sheetData sheetId="1886" refreshError="1"/>
      <sheetData sheetId="1887" refreshError="1"/>
      <sheetData sheetId="1888" refreshError="1"/>
      <sheetData sheetId="1889" refreshError="1"/>
      <sheetData sheetId="1890">
        <row r="2">
          <cell r="F2" t="str">
            <v>INCH</v>
          </cell>
        </row>
      </sheetData>
      <sheetData sheetId="1891">
        <row r="2">
          <cell r="F2" t="str">
            <v>INCH</v>
          </cell>
        </row>
      </sheetData>
      <sheetData sheetId="1892" refreshError="1"/>
      <sheetData sheetId="1893" refreshError="1"/>
      <sheetData sheetId="1894" refreshError="1"/>
      <sheetData sheetId="1895" refreshError="1"/>
      <sheetData sheetId="1896" refreshError="1"/>
      <sheetData sheetId="1897" refreshError="1"/>
      <sheetData sheetId="1898" refreshError="1"/>
      <sheetData sheetId="1899" refreshError="1"/>
      <sheetData sheetId="1900" refreshError="1"/>
      <sheetData sheetId="1901" refreshError="1"/>
      <sheetData sheetId="1902" refreshError="1"/>
      <sheetData sheetId="1903" refreshError="1"/>
      <sheetData sheetId="1904" refreshError="1"/>
      <sheetData sheetId="1905" refreshError="1"/>
      <sheetData sheetId="1906" refreshError="1"/>
      <sheetData sheetId="1907" refreshError="1"/>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refreshError="1"/>
      <sheetData sheetId="2007" refreshError="1"/>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row r="2">
          <cell r="F2" t="str">
            <v>INCH</v>
          </cell>
        </row>
      </sheetData>
      <sheetData sheetId="2043">
        <row r="2">
          <cell r="F2" t="str">
            <v>INCH</v>
          </cell>
        </row>
      </sheetData>
      <sheetData sheetId="2044">
        <row r="2">
          <cell r="F2" t="str">
            <v>INCH</v>
          </cell>
        </row>
      </sheetData>
      <sheetData sheetId="2045">
        <row r="2">
          <cell r="F2" t="str">
            <v>INCH</v>
          </cell>
        </row>
      </sheetData>
      <sheetData sheetId="2046">
        <row r="2">
          <cell r="F2" t="str">
            <v>INCH</v>
          </cell>
        </row>
      </sheetData>
      <sheetData sheetId="2047">
        <row r="2">
          <cell r="F2" t="str">
            <v>INCH</v>
          </cell>
        </row>
      </sheetData>
      <sheetData sheetId="2048">
        <row r="2">
          <cell r="F2" t="str">
            <v>INCH</v>
          </cell>
        </row>
      </sheetData>
      <sheetData sheetId="2049">
        <row r="2">
          <cell r="F2" t="str">
            <v>INCH</v>
          </cell>
        </row>
      </sheetData>
      <sheetData sheetId="2050">
        <row r="2">
          <cell r="F2" t="str">
            <v>INCH</v>
          </cell>
        </row>
      </sheetData>
      <sheetData sheetId="2051">
        <row r="2">
          <cell r="F2" t="str">
            <v>INCH</v>
          </cell>
        </row>
      </sheetData>
      <sheetData sheetId="2052">
        <row r="2">
          <cell r="F2" t="str">
            <v>INCH</v>
          </cell>
        </row>
      </sheetData>
      <sheetData sheetId="2053">
        <row r="2">
          <cell r="F2" t="str">
            <v>INCH</v>
          </cell>
        </row>
      </sheetData>
      <sheetData sheetId="2054">
        <row r="2">
          <cell r="F2" t="str">
            <v>INCH</v>
          </cell>
        </row>
      </sheetData>
      <sheetData sheetId="2055">
        <row r="2">
          <cell r="F2" t="str">
            <v>INCH</v>
          </cell>
        </row>
      </sheetData>
      <sheetData sheetId="2056">
        <row r="2">
          <cell r="F2" t="str">
            <v>INCH</v>
          </cell>
        </row>
      </sheetData>
      <sheetData sheetId="2057">
        <row r="2">
          <cell r="F2" t="str">
            <v>INCH</v>
          </cell>
        </row>
      </sheetData>
      <sheetData sheetId="2058">
        <row r="2">
          <cell r="F2" t="str">
            <v>INCH</v>
          </cell>
        </row>
      </sheetData>
      <sheetData sheetId="2059">
        <row r="2">
          <cell r="F2" t="str">
            <v>INCH</v>
          </cell>
        </row>
      </sheetData>
      <sheetData sheetId="2060">
        <row r="2">
          <cell r="F2" t="str">
            <v>INCH</v>
          </cell>
        </row>
      </sheetData>
      <sheetData sheetId="2061">
        <row r="2">
          <cell r="F2" t="str">
            <v>INCH</v>
          </cell>
        </row>
      </sheetData>
      <sheetData sheetId="2062">
        <row r="2">
          <cell r="F2" t="str">
            <v>INCH</v>
          </cell>
        </row>
      </sheetData>
      <sheetData sheetId="2063">
        <row r="2">
          <cell r="F2" t="str">
            <v>INCH</v>
          </cell>
        </row>
      </sheetData>
      <sheetData sheetId="2064">
        <row r="2">
          <cell r="F2" t="str">
            <v>INCH</v>
          </cell>
        </row>
      </sheetData>
      <sheetData sheetId="2065">
        <row r="2">
          <cell r="F2" t="str">
            <v>INCH</v>
          </cell>
        </row>
      </sheetData>
      <sheetData sheetId="2066">
        <row r="2">
          <cell r="F2" t="str">
            <v>INCH</v>
          </cell>
        </row>
      </sheetData>
      <sheetData sheetId="2067">
        <row r="2">
          <cell r="F2" t="str">
            <v>INCH</v>
          </cell>
        </row>
      </sheetData>
      <sheetData sheetId="2068">
        <row r="2">
          <cell r="F2" t="str">
            <v>INCH</v>
          </cell>
        </row>
      </sheetData>
      <sheetData sheetId="2069">
        <row r="2">
          <cell r="F2" t="str">
            <v>INCH</v>
          </cell>
        </row>
      </sheetData>
      <sheetData sheetId="2070">
        <row r="2">
          <cell r="F2" t="str">
            <v>INCH</v>
          </cell>
        </row>
      </sheetData>
      <sheetData sheetId="2071">
        <row r="2">
          <cell r="F2" t="str">
            <v>INCH</v>
          </cell>
        </row>
      </sheetData>
      <sheetData sheetId="2072">
        <row r="2">
          <cell r="F2" t="str">
            <v>INCH</v>
          </cell>
        </row>
      </sheetData>
      <sheetData sheetId="2073">
        <row r="2">
          <cell r="F2" t="str">
            <v>INCH</v>
          </cell>
        </row>
      </sheetData>
      <sheetData sheetId="2074">
        <row r="2">
          <cell r="F2" t="str">
            <v>INCH</v>
          </cell>
        </row>
      </sheetData>
      <sheetData sheetId="2075">
        <row r="2">
          <cell r="F2" t="str">
            <v>INCH</v>
          </cell>
        </row>
      </sheetData>
      <sheetData sheetId="2076">
        <row r="2">
          <cell r="F2" t="str">
            <v>INCH</v>
          </cell>
        </row>
      </sheetData>
      <sheetData sheetId="2077">
        <row r="2">
          <cell r="F2" t="str">
            <v>INCH</v>
          </cell>
        </row>
      </sheetData>
      <sheetData sheetId="2078">
        <row r="2">
          <cell r="F2" t="str">
            <v>INCH</v>
          </cell>
        </row>
      </sheetData>
      <sheetData sheetId="2079">
        <row r="2">
          <cell r="F2" t="str">
            <v>INCH</v>
          </cell>
        </row>
      </sheetData>
      <sheetData sheetId="2080">
        <row r="2">
          <cell r="F2" t="str">
            <v>INCH</v>
          </cell>
        </row>
      </sheetData>
      <sheetData sheetId="2081">
        <row r="2">
          <cell r="F2" t="str">
            <v>INCH</v>
          </cell>
        </row>
      </sheetData>
      <sheetData sheetId="2082">
        <row r="2">
          <cell r="F2" t="str">
            <v>INCH</v>
          </cell>
        </row>
      </sheetData>
      <sheetData sheetId="2083">
        <row r="2">
          <cell r="F2" t="str">
            <v>INCH</v>
          </cell>
        </row>
      </sheetData>
      <sheetData sheetId="2084">
        <row r="2">
          <cell r="F2" t="str">
            <v>INCH</v>
          </cell>
        </row>
      </sheetData>
      <sheetData sheetId="2085">
        <row r="2">
          <cell r="F2" t="str">
            <v>INCH</v>
          </cell>
        </row>
      </sheetData>
      <sheetData sheetId="2086">
        <row r="2">
          <cell r="F2" t="str">
            <v>INCH</v>
          </cell>
        </row>
      </sheetData>
      <sheetData sheetId="2087">
        <row r="2">
          <cell r="F2" t="str">
            <v>INCH</v>
          </cell>
        </row>
      </sheetData>
      <sheetData sheetId="2088">
        <row r="2">
          <cell r="F2" t="str">
            <v>INCH</v>
          </cell>
        </row>
      </sheetData>
      <sheetData sheetId="2089">
        <row r="2">
          <cell r="F2" t="str">
            <v>INCH</v>
          </cell>
        </row>
      </sheetData>
      <sheetData sheetId="2090">
        <row r="2">
          <cell r="F2" t="str">
            <v>INCH</v>
          </cell>
        </row>
      </sheetData>
      <sheetData sheetId="2091">
        <row r="2">
          <cell r="F2" t="str">
            <v>INCH</v>
          </cell>
        </row>
      </sheetData>
      <sheetData sheetId="2092">
        <row r="2">
          <cell r="F2" t="str">
            <v>INCH</v>
          </cell>
        </row>
      </sheetData>
      <sheetData sheetId="2093">
        <row r="2">
          <cell r="F2" t="str">
            <v>INCH</v>
          </cell>
        </row>
      </sheetData>
      <sheetData sheetId="2094">
        <row r="2">
          <cell r="F2" t="str">
            <v>INCH</v>
          </cell>
        </row>
      </sheetData>
      <sheetData sheetId="2095">
        <row r="2">
          <cell r="F2" t="str">
            <v>INCH</v>
          </cell>
        </row>
      </sheetData>
      <sheetData sheetId="2096">
        <row r="2">
          <cell r="F2" t="str">
            <v>INCH</v>
          </cell>
        </row>
      </sheetData>
      <sheetData sheetId="2097">
        <row r="2">
          <cell r="F2" t="str">
            <v>INCH</v>
          </cell>
        </row>
      </sheetData>
      <sheetData sheetId="2098">
        <row r="2">
          <cell r="F2" t="str">
            <v>INCH</v>
          </cell>
        </row>
      </sheetData>
      <sheetData sheetId="2099">
        <row r="2">
          <cell r="F2" t="str">
            <v>INCH</v>
          </cell>
        </row>
      </sheetData>
      <sheetData sheetId="2100">
        <row r="2">
          <cell r="F2" t="str">
            <v>INCH</v>
          </cell>
        </row>
      </sheetData>
      <sheetData sheetId="2101">
        <row r="2">
          <cell r="F2" t="str">
            <v>INCH</v>
          </cell>
        </row>
      </sheetData>
      <sheetData sheetId="2102">
        <row r="2">
          <cell r="F2" t="str">
            <v>INCH</v>
          </cell>
        </row>
      </sheetData>
      <sheetData sheetId="2103">
        <row r="2">
          <cell r="F2" t="str">
            <v>INCH</v>
          </cell>
        </row>
      </sheetData>
      <sheetData sheetId="2104">
        <row r="2">
          <cell r="F2" t="str">
            <v>INCH</v>
          </cell>
        </row>
      </sheetData>
      <sheetData sheetId="2105">
        <row r="2">
          <cell r="F2" t="str">
            <v>INCH</v>
          </cell>
        </row>
      </sheetData>
      <sheetData sheetId="2106">
        <row r="2">
          <cell r="F2" t="str">
            <v>INCH</v>
          </cell>
        </row>
      </sheetData>
      <sheetData sheetId="2107">
        <row r="2">
          <cell r="F2" t="str">
            <v>INCH</v>
          </cell>
        </row>
      </sheetData>
      <sheetData sheetId="2108">
        <row r="2">
          <cell r="F2" t="str">
            <v>INCH</v>
          </cell>
        </row>
      </sheetData>
      <sheetData sheetId="2109">
        <row r="2">
          <cell r="F2" t="str">
            <v>INCH</v>
          </cell>
        </row>
      </sheetData>
      <sheetData sheetId="2110">
        <row r="2">
          <cell r="F2" t="str">
            <v>INCH</v>
          </cell>
        </row>
      </sheetData>
      <sheetData sheetId="2111">
        <row r="2">
          <cell r="F2" t="str">
            <v>INCH</v>
          </cell>
        </row>
      </sheetData>
      <sheetData sheetId="2112">
        <row r="2">
          <cell r="F2" t="str">
            <v>INCH</v>
          </cell>
        </row>
      </sheetData>
      <sheetData sheetId="2113">
        <row r="2">
          <cell r="F2" t="str">
            <v>INCH</v>
          </cell>
        </row>
      </sheetData>
      <sheetData sheetId="2114">
        <row r="2">
          <cell r="F2" t="str">
            <v>INCH</v>
          </cell>
        </row>
      </sheetData>
      <sheetData sheetId="2115">
        <row r="2">
          <cell r="F2" t="str">
            <v>INCH</v>
          </cell>
        </row>
      </sheetData>
      <sheetData sheetId="2116">
        <row r="2">
          <cell r="F2" t="str">
            <v>INCH</v>
          </cell>
        </row>
      </sheetData>
      <sheetData sheetId="2117">
        <row r="2">
          <cell r="F2" t="str">
            <v>INCH</v>
          </cell>
        </row>
      </sheetData>
      <sheetData sheetId="2118">
        <row r="2">
          <cell r="F2" t="str">
            <v>INCH</v>
          </cell>
        </row>
      </sheetData>
      <sheetData sheetId="2119">
        <row r="2">
          <cell r="F2" t="str">
            <v>INCH</v>
          </cell>
        </row>
      </sheetData>
      <sheetData sheetId="2120">
        <row r="2">
          <cell r="F2" t="str">
            <v>INCH</v>
          </cell>
        </row>
      </sheetData>
      <sheetData sheetId="2121">
        <row r="2">
          <cell r="F2" t="str">
            <v>INCH</v>
          </cell>
        </row>
      </sheetData>
      <sheetData sheetId="2122">
        <row r="2">
          <cell r="F2" t="str">
            <v>INCH</v>
          </cell>
        </row>
      </sheetData>
      <sheetData sheetId="2123">
        <row r="2">
          <cell r="F2" t="str">
            <v>INCH</v>
          </cell>
        </row>
      </sheetData>
      <sheetData sheetId="2124">
        <row r="2">
          <cell r="F2" t="str">
            <v>INCH</v>
          </cell>
        </row>
      </sheetData>
      <sheetData sheetId="2125">
        <row r="2">
          <cell r="F2" t="str">
            <v>INCH</v>
          </cell>
        </row>
      </sheetData>
      <sheetData sheetId="2126">
        <row r="2">
          <cell r="F2" t="str">
            <v>INCH</v>
          </cell>
        </row>
      </sheetData>
      <sheetData sheetId="2127">
        <row r="2">
          <cell r="F2" t="str">
            <v>INCH</v>
          </cell>
        </row>
      </sheetData>
      <sheetData sheetId="2128">
        <row r="2">
          <cell r="F2" t="str">
            <v>INCH</v>
          </cell>
        </row>
      </sheetData>
      <sheetData sheetId="2129">
        <row r="2">
          <cell r="F2" t="str">
            <v>INCH</v>
          </cell>
        </row>
      </sheetData>
      <sheetData sheetId="2130">
        <row r="2">
          <cell r="F2" t="str">
            <v>INCH</v>
          </cell>
        </row>
      </sheetData>
      <sheetData sheetId="2131">
        <row r="2">
          <cell r="F2" t="str">
            <v>INCH</v>
          </cell>
        </row>
      </sheetData>
      <sheetData sheetId="2132">
        <row r="2">
          <cell r="F2" t="str">
            <v>INCH</v>
          </cell>
        </row>
      </sheetData>
      <sheetData sheetId="2133">
        <row r="2">
          <cell r="F2" t="str">
            <v>INCH</v>
          </cell>
        </row>
      </sheetData>
      <sheetData sheetId="2134">
        <row r="2">
          <cell r="F2" t="str">
            <v>INCH</v>
          </cell>
        </row>
      </sheetData>
      <sheetData sheetId="2135">
        <row r="2">
          <cell r="F2" t="str">
            <v>INCH</v>
          </cell>
        </row>
      </sheetData>
      <sheetData sheetId="2136">
        <row r="2">
          <cell r="F2" t="str">
            <v>INCH</v>
          </cell>
        </row>
      </sheetData>
      <sheetData sheetId="2137">
        <row r="2">
          <cell r="F2" t="str">
            <v>INCH</v>
          </cell>
        </row>
      </sheetData>
      <sheetData sheetId="2138">
        <row r="2">
          <cell r="F2" t="str">
            <v>INCH</v>
          </cell>
        </row>
      </sheetData>
      <sheetData sheetId="2139">
        <row r="2">
          <cell r="F2" t="str">
            <v>INCH</v>
          </cell>
        </row>
      </sheetData>
      <sheetData sheetId="2140">
        <row r="2">
          <cell r="F2" t="str">
            <v>INCH</v>
          </cell>
        </row>
      </sheetData>
      <sheetData sheetId="2141">
        <row r="2">
          <cell r="F2" t="str">
            <v>INCH</v>
          </cell>
        </row>
      </sheetData>
      <sheetData sheetId="2142">
        <row r="2">
          <cell r="F2" t="str">
            <v>INCH</v>
          </cell>
        </row>
      </sheetData>
      <sheetData sheetId="2143">
        <row r="2">
          <cell r="F2" t="str">
            <v>INCH</v>
          </cell>
        </row>
      </sheetData>
      <sheetData sheetId="2144">
        <row r="2">
          <cell r="F2" t="str">
            <v>INCH</v>
          </cell>
        </row>
      </sheetData>
      <sheetData sheetId="2145">
        <row r="2">
          <cell r="F2" t="str">
            <v>INCH</v>
          </cell>
        </row>
      </sheetData>
      <sheetData sheetId="2146">
        <row r="2">
          <cell r="F2" t="str">
            <v>INCH</v>
          </cell>
        </row>
      </sheetData>
      <sheetData sheetId="2147">
        <row r="2">
          <cell r="F2" t="str">
            <v>INCH</v>
          </cell>
        </row>
      </sheetData>
      <sheetData sheetId="2148">
        <row r="2">
          <cell r="F2" t="str">
            <v>INCH</v>
          </cell>
        </row>
      </sheetData>
      <sheetData sheetId="2149">
        <row r="2">
          <cell r="F2" t="str">
            <v>INCH</v>
          </cell>
        </row>
      </sheetData>
      <sheetData sheetId="2150">
        <row r="2">
          <cell r="F2" t="str">
            <v>INCH</v>
          </cell>
        </row>
      </sheetData>
      <sheetData sheetId="2151">
        <row r="2">
          <cell r="F2" t="str">
            <v>INCH</v>
          </cell>
        </row>
      </sheetData>
      <sheetData sheetId="2152">
        <row r="2">
          <cell r="F2" t="str">
            <v>INCH</v>
          </cell>
        </row>
      </sheetData>
      <sheetData sheetId="2153">
        <row r="2">
          <cell r="F2" t="str">
            <v>INCH</v>
          </cell>
        </row>
      </sheetData>
      <sheetData sheetId="2154">
        <row r="2">
          <cell r="F2" t="str">
            <v>INCH</v>
          </cell>
        </row>
      </sheetData>
      <sheetData sheetId="2155">
        <row r="2">
          <cell r="F2" t="str">
            <v>INCH</v>
          </cell>
        </row>
      </sheetData>
      <sheetData sheetId="2156">
        <row r="2">
          <cell r="F2" t="str">
            <v>INCH</v>
          </cell>
        </row>
      </sheetData>
      <sheetData sheetId="2157">
        <row r="2">
          <cell r="F2" t="str">
            <v>INCH</v>
          </cell>
        </row>
      </sheetData>
      <sheetData sheetId="2158">
        <row r="2">
          <cell r="F2" t="str">
            <v>INCH</v>
          </cell>
        </row>
      </sheetData>
      <sheetData sheetId="2159">
        <row r="2">
          <cell r="F2" t="str">
            <v>INCH</v>
          </cell>
        </row>
      </sheetData>
      <sheetData sheetId="2160">
        <row r="2">
          <cell r="F2" t="str">
            <v>INCH</v>
          </cell>
        </row>
      </sheetData>
      <sheetData sheetId="2161">
        <row r="2">
          <cell r="F2" t="str">
            <v>INCH</v>
          </cell>
        </row>
      </sheetData>
      <sheetData sheetId="2162">
        <row r="2">
          <cell r="F2" t="str">
            <v>INCH</v>
          </cell>
        </row>
      </sheetData>
      <sheetData sheetId="2163">
        <row r="2">
          <cell r="F2" t="str">
            <v>INCH</v>
          </cell>
        </row>
      </sheetData>
      <sheetData sheetId="2164">
        <row r="2">
          <cell r="F2" t="str">
            <v>INCH</v>
          </cell>
        </row>
      </sheetData>
      <sheetData sheetId="2165">
        <row r="2">
          <cell r="F2" t="str">
            <v>INCH</v>
          </cell>
        </row>
      </sheetData>
      <sheetData sheetId="2166">
        <row r="2">
          <cell r="F2" t="str">
            <v>INCH</v>
          </cell>
        </row>
      </sheetData>
      <sheetData sheetId="2167">
        <row r="2">
          <cell r="F2" t="str">
            <v>INCH</v>
          </cell>
        </row>
      </sheetData>
      <sheetData sheetId="2168">
        <row r="2">
          <cell r="F2" t="str">
            <v>INCH</v>
          </cell>
        </row>
      </sheetData>
      <sheetData sheetId="2169">
        <row r="2">
          <cell r="F2" t="str">
            <v>INCH</v>
          </cell>
        </row>
      </sheetData>
      <sheetData sheetId="2170">
        <row r="2">
          <cell r="F2" t="str">
            <v>INCH</v>
          </cell>
        </row>
      </sheetData>
      <sheetData sheetId="2171">
        <row r="2">
          <cell r="F2" t="str">
            <v>INCH</v>
          </cell>
        </row>
      </sheetData>
      <sheetData sheetId="2172">
        <row r="2">
          <cell r="F2" t="str">
            <v>INCH</v>
          </cell>
        </row>
      </sheetData>
      <sheetData sheetId="2173">
        <row r="2">
          <cell r="F2" t="str">
            <v>INCH</v>
          </cell>
        </row>
      </sheetData>
      <sheetData sheetId="2174">
        <row r="2">
          <cell r="F2" t="str">
            <v>INCH</v>
          </cell>
        </row>
      </sheetData>
      <sheetData sheetId="2175">
        <row r="2">
          <cell r="F2" t="str">
            <v>INCH</v>
          </cell>
        </row>
      </sheetData>
      <sheetData sheetId="2176">
        <row r="2">
          <cell r="F2" t="str">
            <v>INCH</v>
          </cell>
        </row>
      </sheetData>
      <sheetData sheetId="2177">
        <row r="2">
          <cell r="F2" t="str">
            <v>INCH</v>
          </cell>
        </row>
      </sheetData>
      <sheetData sheetId="2178">
        <row r="2">
          <cell r="F2" t="str">
            <v>INCH</v>
          </cell>
        </row>
      </sheetData>
      <sheetData sheetId="2179">
        <row r="2">
          <cell r="F2" t="str">
            <v>INCH</v>
          </cell>
        </row>
      </sheetData>
      <sheetData sheetId="2180">
        <row r="2">
          <cell r="F2" t="str">
            <v>INCH</v>
          </cell>
        </row>
      </sheetData>
      <sheetData sheetId="2181">
        <row r="2">
          <cell r="F2" t="str">
            <v>INCH</v>
          </cell>
        </row>
      </sheetData>
      <sheetData sheetId="2182">
        <row r="2">
          <cell r="F2" t="str">
            <v>INCH</v>
          </cell>
        </row>
      </sheetData>
      <sheetData sheetId="2183">
        <row r="2">
          <cell r="F2" t="str">
            <v>INCH</v>
          </cell>
        </row>
      </sheetData>
      <sheetData sheetId="2184">
        <row r="2">
          <cell r="F2" t="str">
            <v>INCH</v>
          </cell>
        </row>
      </sheetData>
      <sheetData sheetId="2185">
        <row r="2">
          <cell r="F2" t="str">
            <v>INCH</v>
          </cell>
        </row>
      </sheetData>
      <sheetData sheetId="2186">
        <row r="2">
          <cell r="F2" t="str">
            <v>INCH</v>
          </cell>
        </row>
      </sheetData>
      <sheetData sheetId="2187">
        <row r="2">
          <cell r="F2" t="str">
            <v>INCH</v>
          </cell>
        </row>
      </sheetData>
      <sheetData sheetId="2188">
        <row r="2">
          <cell r="F2" t="str">
            <v>INCH</v>
          </cell>
        </row>
      </sheetData>
      <sheetData sheetId="2189">
        <row r="2">
          <cell r="F2" t="str">
            <v>INCH</v>
          </cell>
        </row>
      </sheetData>
      <sheetData sheetId="2190">
        <row r="2">
          <cell r="F2" t="str">
            <v>INCH</v>
          </cell>
        </row>
      </sheetData>
      <sheetData sheetId="2191">
        <row r="2">
          <cell r="F2" t="str">
            <v>INCH</v>
          </cell>
        </row>
      </sheetData>
      <sheetData sheetId="2192">
        <row r="2">
          <cell r="F2" t="str">
            <v>INCH</v>
          </cell>
        </row>
      </sheetData>
      <sheetData sheetId="2193">
        <row r="2">
          <cell r="F2" t="str">
            <v>INCH</v>
          </cell>
        </row>
      </sheetData>
      <sheetData sheetId="2194">
        <row r="2">
          <cell r="F2" t="str">
            <v>INCH</v>
          </cell>
        </row>
      </sheetData>
      <sheetData sheetId="2195">
        <row r="2">
          <cell r="F2" t="str">
            <v>INCH</v>
          </cell>
        </row>
      </sheetData>
      <sheetData sheetId="2196">
        <row r="2">
          <cell r="F2" t="str">
            <v>INCH</v>
          </cell>
        </row>
      </sheetData>
      <sheetData sheetId="2197">
        <row r="2">
          <cell r="F2" t="str">
            <v>INCH</v>
          </cell>
        </row>
      </sheetData>
      <sheetData sheetId="2198">
        <row r="2">
          <cell r="F2" t="str">
            <v>INCH</v>
          </cell>
        </row>
      </sheetData>
      <sheetData sheetId="2199">
        <row r="2">
          <cell r="F2" t="str">
            <v>INCH</v>
          </cell>
        </row>
      </sheetData>
      <sheetData sheetId="2200">
        <row r="2">
          <cell r="F2" t="str">
            <v>INCH</v>
          </cell>
        </row>
      </sheetData>
      <sheetData sheetId="2201">
        <row r="2">
          <cell r="F2" t="str">
            <v>INCH</v>
          </cell>
        </row>
      </sheetData>
      <sheetData sheetId="2202">
        <row r="2">
          <cell r="F2" t="str">
            <v>INCH</v>
          </cell>
        </row>
      </sheetData>
      <sheetData sheetId="2203">
        <row r="2">
          <cell r="F2" t="str">
            <v>INCH</v>
          </cell>
        </row>
      </sheetData>
      <sheetData sheetId="2204">
        <row r="2">
          <cell r="F2" t="str">
            <v>INCH</v>
          </cell>
        </row>
      </sheetData>
      <sheetData sheetId="2205">
        <row r="2">
          <cell r="F2" t="str">
            <v>INCH</v>
          </cell>
        </row>
      </sheetData>
      <sheetData sheetId="2206">
        <row r="2">
          <cell r="F2" t="str">
            <v>INCH</v>
          </cell>
        </row>
      </sheetData>
      <sheetData sheetId="2207">
        <row r="2">
          <cell r="F2" t="str">
            <v>INCH</v>
          </cell>
        </row>
      </sheetData>
      <sheetData sheetId="2208">
        <row r="2">
          <cell r="F2" t="str">
            <v>INCH</v>
          </cell>
        </row>
      </sheetData>
      <sheetData sheetId="2209">
        <row r="2">
          <cell r="F2" t="str">
            <v>INCH</v>
          </cell>
        </row>
      </sheetData>
      <sheetData sheetId="2210">
        <row r="2">
          <cell r="F2" t="str">
            <v>INCH</v>
          </cell>
        </row>
      </sheetData>
      <sheetData sheetId="2211">
        <row r="2">
          <cell r="F2" t="str">
            <v>INCH</v>
          </cell>
        </row>
      </sheetData>
      <sheetData sheetId="2212">
        <row r="2">
          <cell r="F2" t="str">
            <v>INCH</v>
          </cell>
        </row>
      </sheetData>
      <sheetData sheetId="2213">
        <row r="2">
          <cell r="F2" t="str">
            <v>INCH</v>
          </cell>
        </row>
      </sheetData>
      <sheetData sheetId="2214">
        <row r="2">
          <cell r="F2" t="str">
            <v>INCH</v>
          </cell>
        </row>
      </sheetData>
      <sheetData sheetId="2215">
        <row r="2">
          <cell r="F2" t="str">
            <v>INCH</v>
          </cell>
        </row>
      </sheetData>
      <sheetData sheetId="2216">
        <row r="2">
          <cell r="F2" t="str">
            <v>INCH</v>
          </cell>
        </row>
      </sheetData>
      <sheetData sheetId="2217">
        <row r="2">
          <cell r="F2" t="str">
            <v>INCH</v>
          </cell>
        </row>
      </sheetData>
      <sheetData sheetId="2218">
        <row r="2">
          <cell r="F2" t="str">
            <v>INCH</v>
          </cell>
        </row>
      </sheetData>
      <sheetData sheetId="2219">
        <row r="2">
          <cell r="F2" t="str">
            <v>INCH</v>
          </cell>
        </row>
      </sheetData>
      <sheetData sheetId="2220">
        <row r="2">
          <cell r="F2" t="str">
            <v>INCH</v>
          </cell>
        </row>
      </sheetData>
      <sheetData sheetId="2221">
        <row r="2">
          <cell r="F2" t="str">
            <v>INCH</v>
          </cell>
        </row>
      </sheetData>
      <sheetData sheetId="2222">
        <row r="2">
          <cell r="F2" t="str">
            <v>INCH</v>
          </cell>
        </row>
      </sheetData>
      <sheetData sheetId="2223">
        <row r="2">
          <cell r="F2" t="str">
            <v>INCH</v>
          </cell>
        </row>
      </sheetData>
      <sheetData sheetId="2224">
        <row r="2">
          <cell r="F2" t="str">
            <v>INCH</v>
          </cell>
        </row>
      </sheetData>
      <sheetData sheetId="2225">
        <row r="2">
          <cell r="F2" t="str">
            <v>INCH</v>
          </cell>
        </row>
      </sheetData>
      <sheetData sheetId="2226">
        <row r="2">
          <cell r="F2" t="str">
            <v>INCH</v>
          </cell>
        </row>
      </sheetData>
      <sheetData sheetId="2227">
        <row r="2">
          <cell r="F2" t="str">
            <v>INCH</v>
          </cell>
        </row>
      </sheetData>
      <sheetData sheetId="2228">
        <row r="2">
          <cell r="F2" t="str">
            <v>INCH</v>
          </cell>
        </row>
      </sheetData>
      <sheetData sheetId="2229">
        <row r="2">
          <cell r="F2" t="str">
            <v>INCH</v>
          </cell>
        </row>
      </sheetData>
      <sheetData sheetId="2230">
        <row r="2">
          <cell r="F2" t="str">
            <v>INCH</v>
          </cell>
        </row>
      </sheetData>
      <sheetData sheetId="2231">
        <row r="2">
          <cell r="F2" t="str">
            <v>INCH</v>
          </cell>
        </row>
      </sheetData>
      <sheetData sheetId="2232">
        <row r="2">
          <cell r="F2" t="str">
            <v>INCH</v>
          </cell>
        </row>
      </sheetData>
      <sheetData sheetId="2233">
        <row r="2">
          <cell r="F2" t="str">
            <v>INCH</v>
          </cell>
        </row>
      </sheetData>
      <sheetData sheetId="2234">
        <row r="2">
          <cell r="F2" t="str">
            <v>INCH</v>
          </cell>
        </row>
      </sheetData>
      <sheetData sheetId="2235">
        <row r="2">
          <cell r="F2" t="str">
            <v>INCH</v>
          </cell>
        </row>
      </sheetData>
      <sheetData sheetId="2236">
        <row r="2">
          <cell r="F2" t="str">
            <v>INCH</v>
          </cell>
        </row>
      </sheetData>
      <sheetData sheetId="2237">
        <row r="2">
          <cell r="F2" t="str">
            <v>INCH</v>
          </cell>
        </row>
      </sheetData>
      <sheetData sheetId="2238">
        <row r="2">
          <cell r="F2" t="str">
            <v>INCH</v>
          </cell>
        </row>
      </sheetData>
      <sheetData sheetId="2239">
        <row r="2">
          <cell r="F2" t="str">
            <v>INCH</v>
          </cell>
        </row>
      </sheetData>
      <sheetData sheetId="2240">
        <row r="2">
          <cell r="F2" t="str">
            <v>INCH</v>
          </cell>
        </row>
      </sheetData>
      <sheetData sheetId="2241">
        <row r="2">
          <cell r="F2" t="str">
            <v>INCH</v>
          </cell>
        </row>
      </sheetData>
      <sheetData sheetId="2242">
        <row r="2">
          <cell r="F2" t="str">
            <v>INCH</v>
          </cell>
        </row>
      </sheetData>
      <sheetData sheetId="2243">
        <row r="2">
          <cell r="F2" t="str">
            <v>INCH</v>
          </cell>
        </row>
      </sheetData>
      <sheetData sheetId="2244">
        <row r="2">
          <cell r="F2" t="str">
            <v>INCH</v>
          </cell>
        </row>
      </sheetData>
      <sheetData sheetId="2245">
        <row r="2">
          <cell r="F2" t="str">
            <v>INCH</v>
          </cell>
        </row>
      </sheetData>
      <sheetData sheetId="2246">
        <row r="2">
          <cell r="F2" t="str">
            <v>INCH</v>
          </cell>
        </row>
      </sheetData>
      <sheetData sheetId="2247">
        <row r="2">
          <cell r="F2" t="str">
            <v>INCH</v>
          </cell>
        </row>
      </sheetData>
      <sheetData sheetId="2248">
        <row r="2">
          <cell r="F2" t="str">
            <v>INCH</v>
          </cell>
        </row>
      </sheetData>
      <sheetData sheetId="2249">
        <row r="2">
          <cell r="F2" t="str">
            <v>INCH</v>
          </cell>
        </row>
      </sheetData>
      <sheetData sheetId="2250">
        <row r="2">
          <cell r="F2" t="str">
            <v>INCH</v>
          </cell>
        </row>
      </sheetData>
      <sheetData sheetId="2251">
        <row r="2">
          <cell r="F2" t="str">
            <v>INCH</v>
          </cell>
        </row>
      </sheetData>
      <sheetData sheetId="2252">
        <row r="2">
          <cell r="F2" t="str">
            <v>INCH</v>
          </cell>
        </row>
      </sheetData>
      <sheetData sheetId="2253">
        <row r="2">
          <cell r="F2" t="str">
            <v>INCH</v>
          </cell>
        </row>
      </sheetData>
      <sheetData sheetId="2254">
        <row r="2">
          <cell r="F2" t="str">
            <v>INCH</v>
          </cell>
        </row>
      </sheetData>
      <sheetData sheetId="2255">
        <row r="2">
          <cell r="F2" t="str">
            <v>INCH</v>
          </cell>
        </row>
      </sheetData>
      <sheetData sheetId="2256">
        <row r="2">
          <cell r="F2" t="str">
            <v>INCH</v>
          </cell>
        </row>
      </sheetData>
      <sheetData sheetId="2257">
        <row r="2">
          <cell r="F2" t="str">
            <v>INCH</v>
          </cell>
        </row>
      </sheetData>
      <sheetData sheetId="2258">
        <row r="2">
          <cell r="F2" t="str">
            <v>INCH</v>
          </cell>
        </row>
      </sheetData>
      <sheetData sheetId="2259">
        <row r="2">
          <cell r="F2" t="str">
            <v>INCH</v>
          </cell>
        </row>
      </sheetData>
      <sheetData sheetId="2260">
        <row r="2">
          <cell r="F2" t="str">
            <v>INCH</v>
          </cell>
        </row>
      </sheetData>
      <sheetData sheetId="2261">
        <row r="2">
          <cell r="F2" t="str">
            <v>INCH</v>
          </cell>
        </row>
      </sheetData>
      <sheetData sheetId="2262">
        <row r="2">
          <cell r="F2" t="str">
            <v>INCH</v>
          </cell>
        </row>
      </sheetData>
      <sheetData sheetId="2263">
        <row r="2">
          <cell r="F2" t="str">
            <v>INCH</v>
          </cell>
        </row>
      </sheetData>
      <sheetData sheetId="2264">
        <row r="2">
          <cell r="F2" t="str">
            <v>INCH</v>
          </cell>
        </row>
      </sheetData>
      <sheetData sheetId="2265">
        <row r="2">
          <cell r="F2" t="str">
            <v>INCH</v>
          </cell>
        </row>
      </sheetData>
      <sheetData sheetId="2266">
        <row r="2">
          <cell r="F2" t="str">
            <v>INCH</v>
          </cell>
        </row>
      </sheetData>
      <sheetData sheetId="2267">
        <row r="2">
          <cell r="F2" t="str">
            <v>INCH</v>
          </cell>
        </row>
      </sheetData>
      <sheetData sheetId="2268">
        <row r="2">
          <cell r="F2" t="str">
            <v>INCH</v>
          </cell>
        </row>
      </sheetData>
      <sheetData sheetId="2269">
        <row r="2">
          <cell r="F2" t="str">
            <v>INCH</v>
          </cell>
        </row>
      </sheetData>
      <sheetData sheetId="2270">
        <row r="2">
          <cell r="F2" t="str">
            <v>INCH</v>
          </cell>
        </row>
      </sheetData>
      <sheetData sheetId="2271">
        <row r="2">
          <cell r="F2" t="str">
            <v>INCH</v>
          </cell>
        </row>
      </sheetData>
      <sheetData sheetId="2272">
        <row r="2">
          <cell r="F2" t="str">
            <v>INCH</v>
          </cell>
        </row>
      </sheetData>
      <sheetData sheetId="2273">
        <row r="2">
          <cell r="F2" t="str">
            <v>INCH</v>
          </cell>
        </row>
      </sheetData>
      <sheetData sheetId="2274">
        <row r="2">
          <cell r="F2" t="str">
            <v>INCH</v>
          </cell>
        </row>
      </sheetData>
      <sheetData sheetId="2275">
        <row r="2">
          <cell r="F2" t="str">
            <v>INCH</v>
          </cell>
        </row>
      </sheetData>
      <sheetData sheetId="2276">
        <row r="2">
          <cell r="F2" t="str">
            <v>INCH</v>
          </cell>
        </row>
      </sheetData>
      <sheetData sheetId="2277">
        <row r="2">
          <cell r="F2" t="str">
            <v>INCH</v>
          </cell>
        </row>
      </sheetData>
      <sheetData sheetId="2278">
        <row r="2">
          <cell r="F2" t="str">
            <v>INCH</v>
          </cell>
        </row>
      </sheetData>
      <sheetData sheetId="2279">
        <row r="2">
          <cell r="F2" t="str">
            <v>INCH</v>
          </cell>
        </row>
      </sheetData>
      <sheetData sheetId="2280">
        <row r="2">
          <cell r="F2" t="str">
            <v>INCH</v>
          </cell>
        </row>
      </sheetData>
      <sheetData sheetId="2281">
        <row r="2">
          <cell r="F2" t="str">
            <v>INCH</v>
          </cell>
        </row>
      </sheetData>
      <sheetData sheetId="2282">
        <row r="2">
          <cell r="F2" t="str">
            <v>INCH</v>
          </cell>
        </row>
      </sheetData>
      <sheetData sheetId="2283">
        <row r="2">
          <cell r="F2" t="str">
            <v>INCH</v>
          </cell>
        </row>
      </sheetData>
      <sheetData sheetId="2284">
        <row r="2">
          <cell r="F2" t="str">
            <v>INCH</v>
          </cell>
        </row>
      </sheetData>
      <sheetData sheetId="2285">
        <row r="2">
          <cell r="F2" t="str">
            <v>INCH</v>
          </cell>
        </row>
      </sheetData>
      <sheetData sheetId="2286">
        <row r="2">
          <cell r="F2" t="str">
            <v>INCH</v>
          </cell>
        </row>
      </sheetData>
      <sheetData sheetId="2287">
        <row r="2">
          <cell r="F2" t="str">
            <v>INCH</v>
          </cell>
        </row>
      </sheetData>
      <sheetData sheetId="2288">
        <row r="2">
          <cell r="F2" t="str">
            <v>INCH</v>
          </cell>
        </row>
      </sheetData>
      <sheetData sheetId="2289">
        <row r="2">
          <cell r="F2" t="str">
            <v>INCH</v>
          </cell>
        </row>
      </sheetData>
      <sheetData sheetId="2290">
        <row r="2">
          <cell r="F2" t="str">
            <v>INCH</v>
          </cell>
        </row>
      </sheetData>
      <sheetData sheetId="2291">
        <row r="2">
          <cell r="F2" t="str">
            <v>INCH</v>
          </cell>
        </row>
      </sheetData>
      <sheetData sheetId="2292">
        <row r="2">
          <cell r="F2" t="str">
            <v>INCH</v>
          </cell>
        </row>
      </sheetData>
      <sheetData sheetId="2293">
        <row r="2">
          <cell r="F2" t="str">
            <v>INCH</v>
          </cell>
        </row>
      </sheetData>
      <sheetData sheetId="2294">
        <row r="2">
          <cell r="F2" t="str">
            <v>INCH</v>
          </cell>
        </row>
      </sheetData>
      <sheetData sheetId="2295">
        <row r="2">
          <cell r="F2" t="str">
            <v>INCH</v>
          </cell>
        </row>
      </sheetData>
      <sheetData sheetId="2296">
        <row r="2">
          <cell r="F2" t="str">
            <v>INCH</v>
          </cell>
        </row>
      </sheetData>
      <sheetData sheetId="2297">
        <row r="2">
          <cell r="F2" t="str">
            <v>INCH</v>
          </cell>
        </row>
      </sheetData>
      <sheetData sheetId="2298">
        <row r="2">
          <cell r="F2" t="str">
            <v>INCH</v>
          </cell>
        </row>
      </sheetData>
      <sheetData sheetId="2299">
        <row r="2">
          <cell r="F2" t="str">
            <v>INCH</v>
          </cell>
        </row>
      </sheetData>
      <sheetData sheetId="2300">
        <row r="2">
          <cell r="F2" t="str">
            <v>INCH</v>
          </cell>
        </row>
      </sheetData>
      <sheetData sheetId="2301">
        <row r="2">
          <cell r="F2" t="str">
            <v>INCH</v>
          </cell>
        </row>
      </sheetData>
      <sheetData sheetId="2302">
        <row r="2">
          <cell r="F2" t="str">
            <v>INCH</v>
          </cell>
        </row>
      </sheetData>
      <sheetData sheetId="2303">
        <row r="2">
          <cell r="F2" t="str">
            <v>INCH</v>
          </cell>
        </row>
      </sheetData>
      <sheetData sheetId="2304">
        <row r="2">
          <cell r="F2" t="str">
            <v>INCH</v>
          </cell>
        </row>
      </sheetData>
      <sheetData sheetId="2305">
        <row r="2">
          <cell r="F2" t="str">
            <v>INCH</v>
          </cell>
        </row>
      </sheetData>
      <sheetData sheetId="2306">
        <row r="2">
          <cell r="F2" t="str">
            <v>INCH</v>
          </cell>
        </row>
      </sheetData>
      <sheetData sheetId="2307">
        <row r="2">
          <cell r="F2" t="str">
            <v>INCH</v>
          </cell>
        </row>
      </sheetData>
      <sheetData sheetId="2308">
        <row r="2">
          <cell r="F2" t="str">
            <v>INCH</v>
          </cell>
        </row>
      </sheetData>
      <sheetData sheetId="2309">
        <row r="2">
          <cell r="F2" t="str">
            <v>INCH</v>
          </cell>
        </row>
      </sheetData>
      <sheetData sheetId="2310">
        <row r="2">
          <cell r="F2" t="str">
            <v>INCH</v>
          </cell>
        </row>
      </sheetData>
      <sheetData sheetId="2311" refreshError="1"/>
      <sheetData sheetId="2312" refreshError="1"/>
      <sheetData sheetId="2313" refreshError="1"/>
      <sheetData sheetId="2314" refreshError="1"/>
      <sheetData sheetId="2315" refreshError="1"/>
      <sheetData sheetId="2316" refreshError="1"/>
      <sheetData sheetId="2317" refreshError="1"/>
      <sheetData sheetId="2318" refreshError="1"/>
      <sheetData sheetId="2319" refreshError="1"/>
      <sheetData sheetId="2320" refreshError="1"/>
      <sheetData sheetId="2321" refreshError="1"/>
      <sheetData sheetId="2322" refreshError="1"/>
      <sheetData sheetId="2323" refreshError="1"/>
      <sheetData sheetId="2324" refreshError="1"/>
      <sheetData sheetId="2325" refreshError="1"/>
      <sheetData sheetId="2326" refreshError="1"/>
      <sheetData sheetId="2327" refreshError="1"/>
      <sheetData sheetId="2328" refreshError="1"/>
      <sheetData sheetId="2329" refreshError="1"/>
      <sheetData sheetId="2330" refreshError="1"/>
      <sheetData sheetId="2331" refreshError="1"/>
      <sheetData sheetId="2332" refreshError="1"/>
      <sheetData sheetId="2333" refreshError="1"/>
      <sheetData sheetId="2334" refreshError="1"/>
      <sheetData sheetId="2335" refreshError="1"/>
      <sheetData sheetId="2336" refreshError="1"/>
      <sheetData sheetId="2337" refreshError="1"/>
      <sheetData sheetId="2338" refreshError="1"/>
      <sheetData sheetId="2339" refreshError="1"/>
      <sheetData sheetId="2340" refreshError="1"/>
      <sheetData sheetId="2341" refreshError="1"/>
      <sheetData sheetId="2342" refreshError="1"/>
      <sheetData sheetId="2343" refreshError="1"/>
      <sheetData sheetId="2344" refreshError="1"/>
      <sheetData sheetId="2345">
        <row r="2">
          <cell r="F2" t="str">
            <v>INCH</v>
          </cell>
        </row>
      </sheetData>
      <sheetData sheetId="2346" refreshError="1"/>
      <sheetData sheetId="2347" refreshError="1"/>
      <sheetData sheetId="2348" refreshError="1"/>
      <sheetData sheetId="2349" refreshError="1"/>
      <sheetData sheetId="2350" refreshError="1"/>
      <sheetData sheetId="2351" refreshError="1"/>
      <sheetData sheetId="2352" refreshError="1"/>
      <sheetData sheetId="2353" refreshError="1"/>
      <sheetData sheetId="2354" refreshError="1"/>
      <sheetData sheetId="2355" refreshError="1"/>
      <sheetData sheetId="2356" refreshError="1"/>
      <sheetData sheetId="2357" refreshError="1"/>
      <sheetData sheetId="2358" refreshError="1"/>
      <sheetData sheetId="2359" refreshError="1"/>
      <sheetData sheetId="2360" refreshError="1"/>
      <sheetData sheetId="2361" refreshError="1"/>
      <sheetData sheetId="2362" refreshError="1"/>
      <sheetData sheetId="2363" refreshError="1"/>
      <sheetData sheetId="2364" refreshError="1"/>
      <sheetData sheetId="2365" refreshError="1"/>
      <sheetData sheetId="2366" refreshError="1"/>
      <sheetData sheetId="2367">
        <row r="2">
          <cell r="F2" t="str">
            <v>INCH</v>
          </cell>
        </row>
      </sheetData>
      <sheetData sheetId="2368">
        <row r="2">
          <cell r="F2" t="str">
            <v>INCH</v>
          </cell>
        </row>
      </sheetData>
      <sheetData sheetId="2369">
        <row r="2">
          <cell r="F2" t="str">
            <v>INCH</v>
          </cell>
        </row>
      </sheetData>
      <sheetData sheetId="2370">
        <row r="2">
          <cell r="F2" t="str">
            <v>INCH</v>
          </cell>
        </row>
      </sheetData>
      <sheetData sheetId="2371">
        <row r="2">
          <cell r="F2" t="str">
            <v>INCH</v>
          </cell>
        </row>
      </sheetData>
      <sheetData sheetId="2372">
        <row r="2">
          <cell r="F2" t="str">
            <v>INCH</v>
          </cell>
        </row>
      </sheetData>
      <sheetData sheetId="2373">
        <row r="2">
          <cell r="F2" t="str">
            <v>INCH</v>
          </cell>
        </row>
      </sheetData>
      <sheetData sheetId="2374">
        <row r="2">
          <cell r="F2" t="str">
            <v>INCH</v>
          </cell>
        </row>
      </sheetData>
      <sheetData sheetId="2375">
        <row r="2">
          <cell r="F2" t="str">
            <v>INCH</v>
          </cell>
        </row>
      </sheetData>
      <sheetData sheetId="2376">
        <row r="2">
          <cell r="F2" t="str">
            <v>INCH</v>
          </cell>
        </row>
      </sheetData>
      <sheetData sheetId="2377">
        <row r="2">
          <cell r="F2" t="str">
            <v>INCH</v>
          </cell>
        </row>
      </sheetData>
      <sheetData sheetId="2378">
        <row r="2">
          <cell r="F2" t="str">
            <v>INCH</v>
          </cell>
        </row>
      </sheetData>
      <sheetData sheetId="2379" refreshError="1"/>
      <sheetData sheetId="2380" refreshError="1"/>
      <sheetData sheetId="2381" refreshError="1"/>
      <sheetData sheetId="2382" refreshError="1"/>
      <sheetData sheetId="2383" refreshError="1"/>
      <sheetData sheetId="2384" refreshError="1"/>
      <sheetData sheetId="2385" refreshError="1"/>
      <sheetData sheetId="2386" refreshError="1"/>
      <sheetData sheetId="2387" refreshError="1"/>
      <sheetData sheetId="2388" refreshError="1"/>
      <sheetData sheetId="2389" refreshError="1"/>
      <sheetData sheetId="2390" refreshError="1"/>
      <sheetData sheetId="2391" refreshError="1"/>
      <sheetData sheetId="2392" refreshError="1"/>
      <sheetData sheetId="2393" refreshError="1"/>
      <sheetData sheetId="2394" refreshError="1"/>
      <sheetData sheetId="2395">
        <row r="2">
          <cell r="F2" t="str">
            <v>INCH</v>
          </cell>
        </row>
      </sheetData>
      <sheetData sheetId="2396">
        <row r="2">
          <cell r="F2" t="str">
            <v>INCH</v>
          </cell>
        </row>
      </sheetData>
      <sheetData sheetId="2397">
        <row r="2">
          <cell r="F2" t="str">
            <v>INCH</v>
          </cell>
        </row>
      </sheetData>
      <sheetData sheetId="2398">
        <row r="2">
          <cell r="F2" t="str">
            <v>INCH</v>
          </cell>
        </row>
      </sheetData>
      <sheetData sheetId="2399">
        <row r="2">
          <cell r="F2" t="str">
            <v>INCH</v>
          </cell>
        </row>
      </sheetData>
      <sheetData sheetId="2400">
        <row r="2">
          <cell r="F2" t="str">
            <v>INCH</v>
          </cell>
        </row>
      </sheetData>
      <sheetData sheetId="2401">
        <row r="2">
          <cell r="F2" t="str">
            <v>INCH</v>
          </cell>
        </row>
      </sheetData>
      <sheetData sheetId="2402">
        <row r="2">
          <cell r="F2" t="str">
            <v>INCH</v>
          </cell>
        </row>
      </sheetData>
      <sheetData sheetId="2403">
        <row r="2">
          <cell r="F2" t="str">
            <v>INCH</v>
          </cell>
        </row>
      </sheetData>
      <sheetData sheetId="2404">
        <row r="2">
          <cell r="F2" t="str">
            <v>INCH</v>
          </cell>
        </row>
      </sheetData>
      <sheetData sheetId="2405">
        <row r="2">
          <cell r="F2" t="str">
            <v>INCH</v>
          </cell>
        </row>
      </sheetData>
      <sheetData sheetId="2406">
        <row r="2">
          <cell r="F2" t="str">
            <v>INCH</v>
          </cell>
        </row>
      </sheetData>
      <sheetData sheetId="2407">
        <row r="2">
          <cell r="F2" t="str">
            <v>INCH</v>
          </cell>
        </row>
      </sheetData>
      <sheetData sheetId="2408">
        <row r="2">
          <cell r="F2" t="str">
            <v>INCH</v>
          </cell>
        </row>
      </sheetData>
      <sheetData sheetId="2409">
        <row r="2">
          <cell r="F2" t="str">
            <v>INCH</v>
          </cell>
        </row>
      </sheetData>
      <sheetData sheetId="2410">
        <row r="2">
          <cell r="F2" t="str">
            <v>INCH</v>
          </cell>
        </row>
      </sheetData>
      <sheetData sheetId="2411">
        <row r="2">
          <cell r="F2" t="str">
            <v>INCH</v>
          </cell>
        </row>
      </sheetData>
      <sheetData sheetId="2412">
        <row r="2">
          <cell r="F2" t="str">
            <v>INCH</v>
          </cell>
        </row>
      </sheetData>
      <sheetData sheetId="2413">
        <row r="2">
          <cell r="F2" t="str">
            <v>INCH</v>
          </cell>
        </row>
      </sheetData>
      <sheetData sheetId="2414">
        <row r="2">
          <cell r="F2" t="str">
            <v>INCH</v>
          </cell>
        </row>
      </sheetData>
      <sheetData sheetId="2415">
        <row r="2">
          <cell r="F2" t="str">
            <v>INCH</v>
          </cell>
        </row>
      </sheetData>
      <sheetData sheetId="2416">
        <row r="2">
          <cell r="F2" t="str">
            <v>INCH</v>
          </cell>
        </row>
      </sheetData>
      <sheetData sheetId="2417">
        <row r="2">
          <cell r="F2" t="str">
            <v>INCH</v>
          </cell>
        </row>
      </sheetData>
      <sheetData sheetId="2418">
        <row r="2">
          <cell r="F2" t="str">
            <v>INCH</v>
          </cell>
        </row>
      </sheetData>
      <sheetData sheetId="2419">
        <row r="2">
          <cell r="F2" t="str">
            <v>INCH</v>
          </cell>
        </row>
      </sheetData>
      <sheetData sheetId="2420">
        <row r="2">
          <cell r="F2" t="str">
            <v>INCH</v>
          </cell>
        </row>
      </sheetData>
      <sheetData sheetId="2421">
        <row r="2">
          <cell r="F2" t="str">
            <v>INCH</v>
          </cell>
        </row>
      </sheetData>
      <sheetData sheetId="2422">
        <row r="2">
          <cell r="F2" t="str">
            <v>INCH</v>
          </cell>
        </row>
      </sheetData>
      <sheetData sheetId="2423">
        <row r="2">
          <cell r="F2" t="str">
            <v>INCH</v>
          </cell>
        </row>
      </sheetData>
      <sheetData sheetId="2424">
        <row r="2">
          <cell r="F2" t="str">
            <v>INCH</v>
          </cell>
        </row>
      </sheetData>
      <sheetData sheetId="2425">
        <row r="2">
          <cell r="F2" t="str">
            <v>INCH</v>
          </cell>
        </row>
      </sheetData>
      <sheetData sheetId="2426">
        <row r="2">
          <cell r="F2" t="str">
            <v>INCH</v>
          </cell>
        </row>
      </sheetData>
      <sheetData sheetId="2427">
        <row r="2">
          <cell r="F2" t="str">
            <v>INCH</v>
          </cell>
        </row>
      </sheetData>
      <sheetData sheetId="2428">
        <row r="2">
          <cell r="F2" t="str">
            <v>INCH</v>
          </cell>
        </row>
      </sheetData>
      <sheetData sheetId="2429">
        <row r="2">
          <cell r="F2" t="str">
            <v>INCH</v>
          </cell>
        </row>
      </sheetData>
      <sheetData sheetId="2430">
        <row r="2">
          <cell r="F2" t="str">
            <v>INCH</v>
          </cell>
        </row>
      </sheetData>
      <sheetData sheetId="2431" refreshError="1"/>
      <sheetData sheetId="2432" refreshError="1"/>
      <sheetData sheetId="2433" refreshError="1"/>
      <sheetData sheetId="2434" refreshError="1"/>
      <sheetData sheetId="2435" refreshError="1"/>
      <sheetData sheetId="2436">
        <row r="2">
          <cell r="F2" t="str">
            <v>INCH</v>
          </cell>
        </row>
      </sheetData>
      <sheetData sheetId="2437">
        <row r="2">
          <cell r="F2" t="str">
            <v>INCH</v>
          </cell>
        </row>
      </sheetData>
      <sheetData sheetId="2438">
        <row r="2">
          <cell r="F2" t="str">
            <v>INCH</v>
          </cell>
        </row>
      </sheetData>
      <sheetData sheetId="2439">
        <row r="2">
          <cell r="F2" t="str">
            <v>INCH</v>
          </cell>
        </row>
      </sheetData>
      <sheetData sheetId="2440">
        <row r="2">
          <cell r="F2" t="str">
            <v>INCH</v>
          </cell>
        </row>
      </sheetData>
      <sheetData sheetId="2441">
        <row r="2">
          <cell r="F2" t="str">
            <v>INCH</v>
          </cell>
        </row>
      </sheetData>
      <sheetData sheetId="2442">
        <row r="2">
          <cell r="F2" t="str">
            <v>INCH</v>
          </cell>
        </row>
      </sheetData>
      <sheetData sheetId="2443">
        <row r="2">
          <cell r="F2" t="str">
            <v>INCH</v>
          </cell>
        </row>
      </sheetData>
      <sheetData sheetId="2444">
        <row r="2">
          <cell r="F2" t="str">
            <v>INCH</v>
          </cell>
        </row>
      </sheetData>
      <sheetData sheetId="2445">
        <row r="2">
          <cell r="F2" t="str">
            <v>INCH</v>
          </cell>
        </row>
      </sheetData>
      <sheetData sheetId="2446">
        <row r="2">
          <cell r="F2" t="str">
            <v>INCH</v>
          </cell>
        </row>
      </sheetData>
      <sheetData sheetId="2447">
        <row r="2">
          <cell r="F2" t="str">
            <v>INCH</v>
          </cell>
        </row>
      </sheetData>
      <sheetData sheetId="2448">
        <row r="2">
          <cell r="F2" t="str">
            <v>INCH</v>
          </cell>
        </row>
      </sheetData>
      <sheetData sheetId="2449">
        <row r="2">
          <cell r="F2" t="str">
            <v>INCH</v>
          </cell>
        </row>
      </sheetData>
      <sheetData sheetId="2450">
        <row r="2">
          <cell r="F2" t="str">
            <v>INCH</v>
          </cell>
        </row>
      </sheetData>
      <sheetData sheetId="2451">
        <row r="2">
          <cell r="F2" t="str">
            <v>INCH</v>
          </cell>
        </row>
      </sheetData>
      <sheetData sheetId="2452">
        <row r="2">
          <cell r="F2" t="str">
            <v>INCH</v>
          </cell>
        </row>
      </sheetData>
      <sheetData sheetId="2453">
        <row r="2">
          <cell r="F2" t="str">
            <v>INCH</v>
          </cell>
        </row>
      </sheetData>
      <sheetData sheetId="2454">
        <row r="2">
          <cell r="F2" t="str">
            <v>INCH</v>
          </cell>
        </row>
      </sheetData>
      <sheetData sheetId="2455">
        <row r="2">
          <cell r="F2" t="str">
            <v>INCH</v>
          </cell>
        </row>
      </sheetData>
      <sheetData sheetId="2456">
        <row r="2">
          <cell r="F2" t="str">
            <v>INCH</v>
          </cell>
        </row>
      </sheetData>
      <sheetData sheetId="2457">
        <row r="2">
          <cell r="F2" t="str">
            <v>INCH</v>
          </cell>
        </row>
      </sheetData>
      <sheetData sheetId="2458">
        <row r="2">
          <cell r="F2" t="str">
            <v>INCH</v>
          </cell>
        </row>
      </sheetData>
      <sheetData sheetId="2459">
        <row r="2">
          <cell r="F2" t="str">
            <v>INCH</v>
          </cell>
        </row>
      </sheetData>
      <sheetData sheetId="2460">
        <row r="2">
          <cell r="F2" t="str">
            <v>INCH</v>
          </cell>
        </row>
      </sheetData>
      <sheetData sheetId="2461">
        <row r="2">
          <cell r="F2" t="str">
            <v>INCH</v>
          </cell>
        </row>
      </sheetData>
      <sheetData sheetId="2462">
        <row r="2">
          <cell r="F2" t="str">
            <v>INCH</v>
          </cell>
        </row>
      </sheetData>
      <sheetData sheetId="2463">
        <row r="2">
          <cell r="F2" t="str">
            <v>INCH</v>
          </cell>
        </row>
      </sheetData>
      <sheetData sheetId="2464">
        <row r="2">
          <cell r="F2" t="str">
            <v>INCH</v>
          </cell>
        </row>
      </sheetData>
      <sheetData sheetId="2465">
        <row r="2">
          <cell r="F2" t="str">
            <v>INCH</v>
          </cell>
        </row>
      </sheetData>
      <sheetData sheetId="2466">
        <row r="2">
          <cell r="F2" t="str">
            <v>INCH</v>
          </cell>
        </row>
      </sheetData>
      <sheetData sheetId="2467">
        <row r="2">
          <cell r="F2" t="str">
            <v>INCH</v>
          </cell>
        </row>
      </sheetData>
      <sheetData sheetId="2468">
        <row r="2">
          <cell r="F2" t="str">
            <v>INCH</v>
          </cell>
        </row>
      </sheetData>
      <sheetData sheetId="2469">
        <row r="2">
          <cell r="F2" t="str">
            <v>INCH</v>
          </cell>
        </row>
      </sheetData>
      <sheetData sheetId="2470">
        <row r="2">
          <cell r="F2" t="str">
            <v>INCH</v>
          </cell>
        </row>
      </sheetData>
      <sheetData sheetId="2471">
        <row r="2">
          <cell r="F2" t="str">
            <v>INCH</v>
          </cell>
        </row>
      </sheetData>
      <sheetData sheetId="2472">
        <row r="2">
          <cell r="F2" t="str">
            <v>INCH</v>
          </cell>
        </row>
      </sheetData>
      <sheetData sheetId="2473">
        <row r="2">
          <cell r="F2" t="str">
            <v>INCH</v>
          </cell>
        </row>
      </sheetData>
      <sheetData sheetId="2474">
        <row r="2">
          <cell r="F2" t="str">
            <v>INCH</v>
          </cell>
        </row>
      </sheetData>
      <sheetData sheetId="2475">
        <row r="2">
          <cell r="F2" t="str">
            <v>INCH</v>
          </cell>
        </row>
      </sheetData>
      <sheetData sheetId="2476">
        <row r="2">
          <cell r="F2" t="str">
            <v>INCH</v>
          </cell>
        </row>
      </sheetData>
      <sheetData sheetId="2477">
        <row r="2">
          <cell r="F2" t="str">
            <v>INCH</v>
          </cell>
        </row>
      </sheetData>
      <sheetData sheetId="2478">
        <row r="2">
          <cell r="F2" t="str">
            <v>INCH</v>
          </cell>
        </row>
      </sheetData>
      <sheetData sheetId="2479">
        <row r="2">
          <cell r="F2" t="str">
            <v>INCH</v>
          </cell>
        </row>
      </sheetData>
      <sheetData sheetId="2480">
        <row r="2">
          <cell r="F2" t="str">
            <v>INCH</v>
          </cell>
        </row>
      </sheetData>
      <sheetData sheetId="2481">
        <row r="2">
          <cell r="F2" t="str">
            <v>INCH</v>
          </cell>
        </row>
      </sheetData>
      <sheetData sheetId="2482">
        <row r="2">
          <cell r="F2" t="str">
            <v>INCH</v>
          </cell>
        </row>
      </sheetData>
      <sheetData sheetId="2483">
        <row r="2">
          <cell r="F2" t="str">
            <v>INCH</v>
          </cell>
        </row>
      </sheetData>
      <sheetData sheetId="2484">
        <row r="2">
          <cell r="F2" t="str">
            <v>INCH</v>
          </cell>
        </row>
      </sheetData>
      <sheetData sheetId="2485">
        <row r="2">
          <cell r="F2" t="str">
            <v>INCH</v>
          </cell>
        </row>
      </sheetData>
      <sheetData sheetId="2486">
        <row r="2">
          <cell r="F2" t="str">
            <v>INCH</v>
          </cell>
        </row>
      </sheetData>
      <sheetData sheetId="2487">
        <row r="2">
          <cell r="F2" t="str">
            <v>INCH</v>
          </cell>
        </row>
      </sheetData>
      <sheetData sheetId="2488">
        <row r="2">
          <cell r="F2" t="str">
            <v>INCH</v>
          </cell>
        </row>
      </sheetData>
      <sheetData sheetId="2489">
        <row r="2">
          <cell r="F2" t="str">
            <v>INCH</v>
          </cell>
        </row>
      </sheetData>
      <sheetData sheetId="2490">
        <row r="2">
          <cell r="F2" t="str">
            <v>INCH</v>
          </cell>
        </row>
      </sheetData>
      <sheetData sheetId="2491">
        <row r="2">
          <cell r="F2" t="str">
            <v>INCH</v>
          </cell>
        </row>
      </sheetData>
      <sheetData sheetId="2492">
        <row r="2">
          <cell r="F2" t="str">
            <v>INCH</v>
          </cell>
        </row>
      </sheetData>
      <sheetData sheetId="2493">
        <row r="2">
          <cell r="F2" t="str">
            <v>INCH</v>
          </cell>
        </row>
      </sheetData>
      <sheetData sheetId="2494">
        <row r="2">
          <cell r="F2" t="str">
            <v>INCH</v>
          </cell>
        </row>
      </sheetData>
      <sheetData sheetId="2495">
        <row r="2">
          <cell r="F2" t="str">
            <v>INCH</v>
          </cell>
        </row>
      </sheetData>
      <sheetData sheetId="2496">
        <row r="2">
          <cell r="F2" t="str">
            <v>INCH</v>
          </cell>
        </row>
      </sheetData>
      <sheetData sheetId="2497">
        <row r="2">
          <cell r="F2" t="str">
            <v>INCH</v>
          </cell>
        </row>
      </sheetData>
      <sheetData sheetId="2498">
        <row r="2">
          <cell r="F2" t="str">
            <v>INCH</v>
          </cell>
        </row>
      </sheetData>
      <sheetData sheetId="2499">
        <row r="2">
          <cell r="F2" t="str">
            <v>INCH</v>
          </cell>
        </row>
      </sheetData>
      <sheetData sheetId="2500">
        <row r="2">
          <cell r="F2" t="str">
            <v>INCH</v>
          </cell>
        </row>
      </sheetData>
      <sheetData sheetId="2501">
        <row r="2">
          <cell r="F2" t="str">
            <v>INCH</v>
          </cell>
        </row>
      </sheetData>
      <sheetData sheetId="2502">
        <row r="2">
          <cell r="F2" t="str">
            <v>INCH</v>
          </cell>
        </row>
      </sheetData>
      <sheetData sheetId="2503">
        <row r="2">
          <cell r="F2" t="str">
            <v>INCH</v>
          </cell>
        </row>
      </sheetData>
      <sheetData sheetId="2504">
        <row r="2">
          <cell r="F2" t="str">
            <v>INCH</v>
          </cell>
        </row>
      </sheetData>
      <sheetData sheetId="2505">
        <row r="2">
          <cell r="F2" t="str">
            <v>INCH</v>
          </cell>
        </row>
      </sheetData>
      <sheetData sheetId="2506">
        <row r="2">
          <cell r="F2" t="str">
            <v>INCH</v>
          </cell>
        </row>
      </sheetData>
      <sheetData sheetId="2507">
        <row r="2">
          <cell r="F2" t="str">
            <v>INCH</v>
          </cell>
        </row>
      </sheetData>
      <sheetData sheetId="2508">
        <row r="2">
          <cell r="F2" t="str">
            <v>INCH</v>
          </cell>
        </row>
      </sheetData>
      <sheetData sheetId="2509">
        <row r="2">
          <cell r="F2" t="str">
            <v>INCH</v>
          </cell>
        </row>
      </sheetData>
      <sheetData sheetId="2510">
        <row r="2">
          <cell r="F2" t="str">
            <v>INCH</v>
          </cell>
        </row>
      </sheetData>
      <sheetData sheetId="2511">
        <row r="2">
          <cell r="F2" t="str">
            <v>INCH</v>
          </cell>
        </row>
      </sheetData>
      <sheetData sheetId="2512">
        <row r="2">
          <cell r="F2" t="str">
            <v>INCH</v>
          </cell>
        </row>
      </sheetData>
      <sheetData sheetId="2513">
        <row r="2">
          <cell r="F2" t="str">
            <v>INCH</v>
          </cell>
        </row>
      </sheetData>
      <sheetData sheetId="2514">
        <row r="2">
          <cell r="F2" t="str">
            <v>INCH</v>
          </cell>
        </row>
      </sheetData>
      <sheetData sheetId="2515">
        <row r="2">
          <cell r="F2" t="str">
            <v>INCH</v>
          </cell>
        </row>
      </sheetData>
      <sheetData sheetId="2516">
        <row r="2">
          <cell r="F2" t="str">
            <v>INCH</v>
          </cell>
        </row>
      </sheetData>
      <sheetData sheetId="2517">
        <row r="2">
          <cell r="F2" t="str">
            <v>INCH</v>
          </cell>
        </row>
      </sheetData>
      <sheetData sheetId="2518">
        <row r="2">
          <cell r="F2" t="str">
            <v>INCH</v>
          </cell>
        </row>
      </sheetData>
      <sheetData sheetId="2519">
        <row r="2">
          <cell r="F2" t="str">
            <v>INCH</v>
          </cell>
        </row>
      </sheetData>
      <sheetData sheetId="2520">
        <row r="2">
          <cell r="F2" t="str">
            <v>INCH</v>
          </cell>
        </row>
      </sheetData>
      <sheetData sheetId="2521">
        <row r="2">
          <cell r="F2" t="str">
            <v>INCH</v>
          </cell>
        </row>
      </sheetData>
      <sheetData sheetId="2522">
        <row r="2">
          <cell r="F2" t="str">
            <v>INCH</v>
          </cell>
        </row>
      </sheetData>
      <sheetData sheetId="2523">
        <row r="2">
          <cell r="F2" t="str">
            <v>INCH</v>
          </cell>
        </row>
      </sheetData>
      <sheetData sheetId="2524">
        <row r="2">
          <cell r="F2" t="str">
            <v>INCH</v>
          </cell>
        </row>
      </sheetData>
      <sheetData sheetId="2525">
        <row r="2">
          <cell r="F2" t="str">
            <v>INCH</v>
          </cell>
        </row>
      </sheetData>
      <sheetData sheetId="2526">
        <row r="2">
          <cell r="F2" t="str">
            <v>INCH</v>
          </cell>
        </row>
      </sheetData>
      <sheetData sheetId="2527">
        <row r="2">
          <cell r="F2" t="str">
            <v>INCH</v>
          </cell>
        </row>
      </sheetData>
      <sheetData sheetId="2528">
        <row r="2">
          <cell r="F2" t="str">
            <v>INCH</v>
          </cell>
        </row>
      </sheetData>
      <sheetData sheetId="2529">
        <row r="2">
          <cell r="F2" t="str">
            <v>INCH</v>
          </cell>
        </row>
      </sheetData>
      <sheetData sheetId="2530">
        <row r="2">
          <cell r="F2" t="str">
            <v>INCH</v>
          </cell>
        </row>
      </sheetData>
      <sheetData sheetId="2531">
        <row r="2">
          <cell r="F2" t="str">
            <v>INCH</v>
          </cell>
        </row>
      </sheetData>
      <sheetData sheetId="2532">
        <row r="2">
          <cell r="F2" t="str">
            <v>INCH</v>
          </cell>
        </row>
      </sheetData>
      <sheetData sheetId="2533">
        <row r="2">
          <cell r="F2" t="str">
            <v>INCH</v>
          </cell>
        </row>
      </sheetData>
      <sheetData sheetId="2534">
        <row r="2">
          <cell r="F2" t="str">
            <v>INCH</v>
          </cell>
        </row>
      </sheetData>
      <sheetData sheetId="2535">
        <row r="2">
          <cell r="F2" t="str">
            <v>INCH</v>
          </cell>
        </row>
      </sheetData>
      <sheetData sheetId="2536">
        <row r="2">
          <cell r="F2" t="str">
            <v>INCH</v>
          </cell>
        </row>
      </sheetData>
      <sheetData sheetId="2537">
        <row r="2">
          <cell r="F2" t="str">
            <v>INCH</v>
          </cell>
        </row>
      </sheetData>
      <sheetData sheetId="2538">
        <row r="2">
          <cell r="F2" t="str">
            <v>INCH</v>
          </cell>
        </row>
      </sheetData>
      <sheetData sheetId="2539">
        <row r="2">
          <cell r="F2" t="str">
            <v>INCH</v>
          </cell>
        </row>
      </sheetData>
      <sheetData sheetId="2540">
        <row r="2">
          <cell r="F2" t="str">
            <v>INCH</v>
          </cell>
        </row>
      </sheetData>
      <sheetData sheetId="2541">
        <row r="2">
          <cell r="F2" t="str">
            <v>INCH</v>
          </cell>
        </row>
      </sheetData>
      <sheetData sheetId="2542">
        <row r="2">
          <cell r="F2" t="str">
            <v>INCH</v>
          </cell>
        </row>
      </sheetData>
      <sheetData sheetId="2543">
        <row r="2">
          <cell r="F2" t="str">
            <v>INCH</v>
          </cell>
        </row>
      </sheetData>
      <sheetData sheetId="2544">
        <row r="2">
          <cell r="F2" t="str">
            <v>INCH</v>
          </cell>
        </row>
      </sheetData>
      <sheetData sheetId="2545">
        <row r="2">
          <cell r="F2" t="str">
            <v>INCH</v>
          </cell>
        </row>
      </sheetData>
      <sheetData sheetId="2546">
        <row r="2">
          <cell r="F2" t="str">
            <v>INCH</v>
          </cell>
        </row>
      </sheetData>
      <sheetData sheetId="2547">
        <row r="2">
          <cell r="F2" t="str">
            <v>INCH</v>
          </cell>
        </row>
      </sheetData>
      <sheetData sheetId="2548">
        <row r="2">
          <cell r="F2" t="str">
            <v>INCH</v>
          </cell>
        </row>
      </sheetData>
      <sheetData sheetId="2549">
        <row r="2">
          <cell r="F2" t="str">
            <v>INCH</v>
          </cell>
        </row>
      </sheetData>
      <sheetData sheetId="2550">
        <row r="2">
          <cell r="F2" t="str">
            <v>INCH</v>
          </cell>
        </row>
      </sheetData>
      <sheetData sheetId="2551">
        <row r="2">
          <cell r="F2" t="str">
            <v>INCH</v>
          </cell>
        </row>
      </sheetData>
      <sheetData sheetId="2552">
        <row r="2">
          <cell r="F2" t="str">
            <v>INCH</v>
          </cell>
        </row>
      </sheetData>
      <sheetData sheetId="2553">
        <row r="2">
          <cell r="F2" t="str">
            <v>INCH</v>
          </cell>
        </row>
      </sheetData>
      <sheetData sheetId="2554">
        <row r="2">
          <cell r="F2" t="str">
            <v>INCH</v>
          </cell>
        </row>
      </sheetData>
      <sheetData sheetId="2555">
        <row r="2">
          <cell r="F2" t="str">
            <v>INCH</v>
          </cell>
        </row>
      </sheetData>
      <sheetData sheetId="2556">
        <row r="2">
          <cell r="F2" t="str">
            <v>INCH</v>
          </cell>
        </row>
      </sheetData>
      <sheetData sheetId="2557">
        <row r="2">
          <cell r="F2" t="str">
            <v>INCH</v>
          </cell>
        </row>
      </sheetData>
      <sheetData sheetId="2558">
        <row r="2">
          <cell r="F2" t="str">
            <v>INCH</v>
          </cell>
        </row>
      </sheetData>
      <sheetData sheetId="2559">
        <row r="2">
          <cell r="F2" t="str">
            <v>INCH</v>
          </cell>
        </row>
      </sheetData>
      <sheetData sheetId="2560">
        <row r="2">
          <cell r="F2" t="str">
            <v>INCH</v>
          </cell>
        </row>
      </sheetData>
      <sheetData sheetId="2561">
        <row r="2">
          <cell r="F2" t="str">
            <v>INCH</v>
          </cell>
        </row>
      </sheetData>
      <sheetData sheetId="2562">
        <row r="2">
          <cell r="F2" t="str">
            <v>INCH</v>
          </cell>
        </row>
      </sheetData>
      <sheetData sheetId="2563">
        <row r="2">
          <cell r="F2" t="str">
            <v>INCH</v>
          </cell>
        </row>
      </sheetData>
      <sheetData sheetId="2564">
        <row r="2">
          <cell r="F2" t="str">
            <v>INCH</v>
          </cell>
        </row>
      </sheetData>
      <sheetData sheetId="2565">
        <row r="2">
          <cell r="F2" t="str">
            <v>INCH</v>
          </cell>
        </row>
      </sheetData>
      <sheetData sheetId="2566">
        <row r="2">
          <cell r="F2" t="str">
            <v>INCH</v>
          </cell>
        </row>
      </sheetData>
      <sheetData sheetId="2567">
        <row r="2">
          <cell r="F2" t="str">
            <v>INCH</v>
          </cell>
        </row>
      </sheetData>
      <sheetData sheetId="2568">
        <row r="2">
          <cell r="F2" t="str">
            <v>INCH</v>
          </cell>
        </row>
      </sheetData>
      <sheetData sheetId="2569">
        <row r="2">
          <cell r="F2" t="str">
            <v>INCH</v>
          </cell>
        </row>
      </sheetData>
      <sheetData sheetId="2570">
        <row r="2">
          <cell r="F2" t="str">
            <v>INCH</v>
          </cell>
        </row>
      </sheetData>
      <sheetData sheetId="2571">
        <row r="2">
          <cell r="F2" t="str">
            <v>INCH</v>
          </cell>
        </row>
      </sheetData>
      <sheetData sheetId="2572">
        <row r="2">
          <cell r="F2" t="str">
            <v>INCH</v>
          </cell>
        </row>
      </sheetData>
      <sheetData sheetId="2573">
        <row r="2">
          <cell r="F2" t="str">
            <v>INCH</v>
          </cell>
        </row>
      </sheetData>
      <sheetData sheetId="2574">
        <row r="2">
          <cell r="F2" t="str">
            <v>INCH</v>
          </cell>
        </row>
      </sheetData>
      <sheetData sheetId="2575">
        <row r="2">
          <cell r="F2" t="str">
            <v>INCH</v>
          </cell>
        </row>
      </sheetData>
      <sheetData sheetId="2576">
        <row r="2">
          <cell r="F2" t="str">
            <v>INCH</v>
          </cell>
        </row>
      </sheetData>
      <sheetData sheetId="2577">
        <row r="2">
          <cell r="F2" t="str">
            <v>INCH</v>
          </cell>
        </row>
      </sheetData>
      <sheetData sheetId="2578">
        <row r="2">
          <cell r="F2" t="str">
            <v>INCH</v>
          </cell>
        </row>
      </sheetData>
      <sheetData sheetId="2579">
        <row r="2">
          <cell r="F2" t="str">
            <v>INCH</v>
          </cell>
        </row>
      </sheetData>
      <sheetData sheetId="2580">
        <row r="2">
          <cell r="F2" t="str">
            <v>INCH</v>
          </cell>
        </row>
      </sheetData>
      <sheetData sheetId="2581">
        <row r="2">
          <cell r="F2" t="str">
            <v>INCH</v>
          </cell>
        </row>
      </sheetData>
      <sheetData sheetId="2582">
        <row r="2">
          <cell r="F2" t="str">
            <v>INCH</v>
          </cell>
        </row>
      </sheetData>
      <sheetData sheetId="2583">
        <row r="2">
          <cell r="F2" t="str">
            <v>INCH</v>
          </cell>
        </row>
      </sheetData>
      <sheetData sheetId="2584">
        <row r="2">
          <cell r="F2" t="str">
            <v>INCH</v>
          </cell>
        </row>
      </sheetData>
      <sheetData sheetId="2585">
        <row r="2">
          <cell r="F2" t="str">
            <v>INCH</v>
          </cell>
        </row>
      </sheetData>
      <sheetData sheetId="2586">
        <row r="2">
          <cell r="F2" t="str">
            <v>INCH</v>
          </cell>
        </row>
      </sheetData>
      <sheetData sheetId="2587">
        <row r="2">
          <cell r="F2" t="str">
            <v>INCH</v>
          </cell>
        </row>
      </sheetData>
      <sheetData sheetId="2588">
        <row r="2">
          <cell r="F2" t="str">
            <v>INCH</v>
          </cell>
        </row>
      </sheetData>
      <sheetData sheetId="2589">
        <row r="2">
          <cell r="F2" t="str">
            <v>INCH</v>
          </cell>
        </row>
      </sheetData>
      <sheetData sheetId="2590">
        <row r="2">
          <cell r="F2" t="str">
            <v>INCH</v>
          </cell>
        </row>
      </sheetData>
      <sheetData sheetId="2591">
        <row r="2">
          <cell r="F2" t="str">
            <v>INCH</v>
          </cell>
        </row>
      </sheetData>
      <sheetData sheetId="2592">
        <row r="2">
          <cell r="F2" t="str">
            <v>INCH</v>
          </cell>
        </row>
      </sheetData>
      <sheetData sheetId="2593">
        <row r="2">
          <cell r="F2" t="str">
            <v>INCH</v>
          </cell>
        </row>
      </sheetData>
      <sheetData sheetId="2594">
        <row r="2">
          <cell r="F2" t="str">
            <v>INCH</v>
          </cell>
        </row>
      </sheetData>
      <sheetData sheetId="2595">
        <row r="2">
          <cell r="F2" t="str">
            <v>INCH</v>
          </cell>
        </row>
      </sheetData>
      <sheetData sheetId="2596">
        <row r="2">
          <cell r="F2" t="str">
            <v>INCH</v>
          </cell>
        </row>
      </sheetData>
      <sheetData sheetId="2597">
        <row r="2">
          <cell r="F2" t="str">
            <v>INCH</v>
          </cell>
        </row>
      </sheetData>
      <sheetData sheetId="2598">
        <row r="2">
          <cell r="F2" t="str">
            <v>INCH</v>
          </cell>
        </row>
      </sheetData>
      <sheetData sheetId="2599">
        <row r="2">
          <cell r="F2" t="str">
            <v>INCH</v>
          </cell>
        </row>
      </sheetData>
      <sheetData sheetId="2600">
        <row r="2">
          <cell r="F2" t="str">
            <v>INCH</v>
          </cell>
        </row>
      </sheetData>
      <sheetData sheetId="2601">
        <row r="2">
          <cell r="F2" t="str">
            <v>INCH</v>
          </cell>
        </row>
      </sheetData>
      <sheetData sheetId="2602">
        <row r="2">
          <cell r="F2" t="str">
            <v>INCH</v>
          </cell>
        </row>
      </sheetData>
      <sheetData sheetId="2603">
        <row r="2">
          <cell r="F2" t="str">
            <v>INCH</v>
          </cell>
        </row>
      </sheetData>
      <sheetData sheetId="2604">
        <row r="2">
          <cell r="F2" t="str">
            <v>INCH</v>
          </cell>
        </row>
      </sheetData>
      <sheetData sheetId="2605">
        <row r="2">
          <cell r="F2" t="str">
            <v>INCH</v>
          </cell>
        </row>
      </sheetData>
      <sheetData sheetId="2606">
        <row r="2">
          <cell r="F2" t="str">
            <v>INCH</v>
          </cell>
        </row>
      </sheetData>
      <sheetData sheetId="2607">
        <row r="2">
          <cell r="F2" t="str">
            <v>INCH</v>
          </cell>
        </row>
      </sheetData>
      <sheetData sheetId="2608">
        <row r="2">
          <cell r="F2" t="str">
            <v>INCH</v>
          </cell>
        </row>
      </sheetData>
      <sheetData sheetId="2609">
        <row r="2">
          <cell r="F2" t="str">
            <v>INCH</v>
          </cell>
        </row>
      </sheetData>
      <sheetData sheetId="2610">
        <row r="2">
          <cell r="F2" t="str">
            <v>INCH</v>
          </cell>
        </row>
      </sheetData>
      <sheetData sheetId="2611">
        <row r="2">
          <cell r="F2" t="str">
            <v>INCH</v>
          </cell>
        </row>
      </sheetData>
      <sheetData sheetId="2612">
        <row r="2">
          <cell r="F2" t="str">
            <v>INCH</v>
          </cell>
        </row>
      </sheetData>
      <sheetData sheetId="2613">
        <row r="2">
          <cell r="F2" t="str">
            <v>INCH</v>
          </cell>
        </row>
      </sheetData>
      <sheetData sheetId="2614">
        <row r="2">
          <cell r="F2" t="str">
            <v>INCH</v>
          </cell>
        </row>
      </sheetData>
      <sheetData sheetId="2615">
        <row r="2">
          <cell r="F2" t="str">
            <v>INCH</v>
          </cell>
        </row>
      </sheetData>
      <sheetData sheetId="2616">
        <row r="2">
          <cell r="F2" t="str">
            <v>INCH</v>
          </cell>
        </row>
      </sheetData>
      <sheetData sheetId="2617">
        <row r="2">
          <cell r="F2" t="str">
            <v>INCH</v>
          </cell>
        </row>
      </sheetData>
      <sheetData sheetId="2618">
        <row r="2">
          <cell r="F2" t="str">
            <v>INCH</v>
          </cell>
        </row>
      </sheetData>
      <sheetData sheetId="2619">
        <row r="2">
          <cell r="F2" t="str">
            <v>INCH</v>
          </cell>
        </row>
      </sheetData>
      <sheetData sheetId="2620">
        <row r="2">
          <cell r="F2" t="str">
            <v>INCH</v>
          </cell>
        </row>
      </sheetData>
      <sheetData sheetId="2621">
        <row r="2">
          <cell r="F2" t="str">
            <v>INCH</v>
          </cell>
        </row>
      </sheetData>
      <sheetData sheetId="2622">
        <row r="2">
          <cell r="F2" t="str">
            <v>INCH</v>
          </cell>
        </row>
      </sheetData>
      <sheetData sheetId="2623">
        <row r="2">
          <cell r="F2" t="str">
            <v>INCH</v>
          </cell>
        </row>
      </sheetData>
      <sheetData sheetId="2624">
        <row r="2">
          <cell r="F2" t="str">
            <v>INCH</v>
          </cell>
        </row>
      </sheetData>
      <sheetData sheetId="2625">
        <row r="2">
          <cell r="F2" t="str">
            <v>INCH</v>
          </cell>
        </row>
      </sheetData>
      <sheetData sheetId="2626">
        <row r="2">
          <cell r="F2" t="str">
            <v>INCH</v>
          </cell>
        </row>
      </sheetData>
      <sheetData sheetId="2627">
        <row r="2">
          <cell r="F2" t="str">
            <v>INCH</v>
          </cell>
        </row>
      </sheetData>
      <sheetData sheetId="2628">
        <row r="2">
          <cell r="F2" t="str">
            <v>INCH</v>
          </cell>
        </row>
      </sheetData>
      <sheetData sheetId="2629">
        <row r="2">
          <cell r="F2" t="str">
            <v>INCH</v>
          </cell>
        </row>
      </sheetData>
      <sheetData sheetId="2630">
        <row r="2">
          <cell r="F2" t="str">
            <v>INCH</v>
          </cell>
        </row>
      </sheetData>
      <sheetData sheetId="2631">
        <row r="2">
          <cell r="F2" t="str">
            <v>INCH</v>
          </cell>
        </row>
      </sheetData>
      <sheetData sheetId="2632">
        <row r="2">
          <cell r="F2" t="str">
            <v>INCH</v>
          </cell>
        </row>
      </sheetData>
      <sheetData sheetId="2633">
        <row r="2">
          <cell r="F2" t="str">
            <v>INCH</v>
          </cell>
        </row>
      </sheetData>
      <sheetData sheetId="2634">
        <row r="2">
          <cell r="F2" t="str">
            <v>INCH</v>
          </cell>
        </row>
      </sheetData>
      <sheetData sheetId="2635">
        <row r="2">
          <cell r="F2" t="str">
            <v>INCH</v>
          </cell>
        </row>
      </sheetData>
      <sheetData sheetId="2636">
        <row r="2">
          <cell r="F2" t="str">
            <v>INCH</v>
          </cell>
        </row>
      </sheetData>
      <sheetData sheetId="2637">
        <row r="2">
          <cell r="F2" t="str">
            <v>INCH</v>
          </cell>
        </row>
      </sheetData>
      <sheetData sheetId="2638">
        <row r="2">
          <cell r="F2" t="str">
            <v>INCH</v>
          </cell>
        </row>
      </sheetData>
      <sheetData sheetId="2639">
        <row r="2">
          <cell r="F2" t="str">
            <v>INCH</v>
          </cell>
        </row>
      </sheetData>
      <sheetData sheetId="2640">
        <row r="2">
          <cell r="F2" t="str">
            <v>INCH</v>
          </cell>
        </row>
      </sheetData>
      <sheetData sheetId="2641">
        <row r="2">
          <cell r="F2" t="str">
            <v>INCH</v>
          </cell>
        </row>
      </sheetData>
      <sheetData sheetId="2642">
        <row r="2">
          <cell r="F2" t="str">
            <v>INCH</v>
          </cell>
        </row>
      </sheetData>
      <sheetData sheetId="2643">
        <row r="2">
          <cell r="F2" t="str">
            <v>INCH</v>
          </cell>
        </row>
      </sheetData>
      <sheetData sheetId="2644">
        <row r="2">
          <cell r="F2" t="str">
            <v>INCH</v>
          </cell>
        </row>
      </sheetData>
      <sheetData sheetId="2645">
        <row r="2">
          <cell r="F2" t="str">
            <v>INCH</v>
          </cell>
        </row>
      </sheetData>
      <sheetData sheetId="2646">
        <row r="2">
          <cell r="F2" t="str">
            <v>INCH</v>
          </cell>
        </row>
      </sheetData>
      <sheetData sheetId="2647">
        <row r="2">
          <cell r="F2" t="str">
            <v>INCH</v>
          </cell>
        </row>
      </sheetData>
      <sheetData sheetId="2648">
        <row r="2">
          <cell r="F2" t="str">
            <v>INCH</v>
          </cell>
        </row>
      </sheetData>
      <sheetData sheetId="2649">
        <row r="2">
          <cell r="F2" t="str">
            <v>INCH</v>
          </cell>
        </row>
      </sheetData>
      <sheetData sheetId="2650">
        <row r="2">
          <cell r="F2" t="str">
            <v>INCH</v>
          </cell>
        </row>
      </sheetData>
      <sheetData sheetId="2651">
        <row r="2">
          <cell r="F2" t="str">
            <v>INCH</v>
          </cell>
        </row>
      </sheetData>
      <sheetData sheetId="2652">
        <row r="2">
          <cell r="F2" t="str">
            <v>INCH</v>
          </cell>
        </row>
      </sheetData>
      <sheetData sheetId="2653">
        <row r="2">
          <cell r="F2" t="str">
            <v>INCH</v>
          </cell>
        </row>
      </sheetData>
      <sheetData sheetId="2654">
        <row r="2">
          <cell r="F2" t="str">
            <v>INCH</v>
          </cell>
        </row>
      </sheetData>
      <sheetData sheetId="2655">
        <row r="2">
          <cell r="F2" t="str">
            <v>INCH</v>
          </cell>
        </row>
      </sheetData>
      <sheetData sheetId="2656">
        <row r="2">
          <cell r="F2" t="str">
            <v>INCH</v>
          </cell>
        </row>
      </sheetData>
      <sheetData sheetId="2657">
        <row r="2">
          <cell r="F2" t="str">
            <v>INCH</v>
          </cell>
        </row>
      </sheetData>
      <sheetData sheetId="2658">
        <row r="2">
          <cell r="F2" t="str">
            <v>INCH</v>
          </cell>
        </row>
      </sheetData>
      <sheetData sheetId="2659">
        <row r="2">
          <cell r="F2" t="str">
            <v>INCH</v>
          </cell>
        </row>
      </sheetData>
      <sheetData sheetId="2660">
        <row r="2">
          <cell r="F2" t="str">
            <v>INCH</v>
          </cell>
        </row>
      </sheetData>
      <sheetData sheetId="2661">
        <row r="2">
          <cell r="F2" t="str">
            <v>INCH</v>
          </cell>
        </row>
      </sheetData>
      <sheetData sheetId="2662">
        <row r="2">
          <cell r="F2" t="str">
            <v>INCH</v>
          </cell>
        </row>
      </sheetData>
      <sheetData sheetId="2663">
        <row r="2">
          <cell r="F2" t="str">
            <v>INCH</v>
          </cell>
        </row>
      </sheetData>
      <sheetData sheetId="2664">
        <row r="2">
          <cell r="F2" t="str">
            <v>INCH</v>
          </cell>
        </row>
      </sheetData>
      <sheetData sheetId="2665">
        <row r="2">
          <cell r="F2" t="str">
            <v>INCH</v>
          </cell>
        </row>
      </sheetData>
      <sheetData sheetId="2666">
        <row r="2">
          <cell r="F2" t="str">
            <v>INCH</v>
          </cell>
        </row>
      </sheetData>
      <sheetData sheetId="2667">
        <row r="2">
          <cell r="F2" t="str">
            <v>INCH</v>
          </cell>
        </row>
      </sheetData>
      <sheetData sheetId="2668">
        <row r="2">
          <cell r="F2" t="str">
            <v>INCH</v>
          </cell>
        </row>
      </sheetData>
      <sheetData sheetId="2669">
        <row r="2">
          <cell r="F2" t="str">
            <v>INCH</v>
          </cell>
        </row>
      </sheetData>
      <sheetData sheetId="2670">
        <row r="2">
          <cell r="F2" t="str">
            <v>INCH</v>
          </cell>
        </row>
      </sheetData>
      <sheetData sheetId="2671">
        <row r="2">
          <cell r="F2" t="str">
            <v>INCH</v>
          </cell>
        </row>
      </sheetData>
      <sheetData sheetId="2672">
        <row r="2">
          <cell r="F2" t="str">
            <v>INCH</v>
          </cell>
        </row>
      </sheetData>
      <sheetData sheetId="2673">
        <row r="2">
          <cell r="F2" t="str">
            <v>INCH</v>
          </cell>
        </row>
      </sheetData>
      <sheetData sheetId="2674">
        <row r="2">
          <cell r="F2" t="str">
            <v>INCH</v>
          </cell>
        </row>
      </sheetData>
      <sheetData sheetId="2675">
        <row r="2">
          <cell r="F2" t="str">
            <v>INCH</v>
          </cell>
        </row>
      </sheetData>
      <sheetData sheetId="2676">
        <row r="2">
          <cell r="F2" t="str">
            <v>INCH</v>
          </cell>
        </row>
      </sheetData>
      <sheetData sheetId="2677">
        <row r="2">
          <cell r="F2" t="str">
            <v>INCH</v>
          </cell>
        </row>
      </sheetData>
      <sheetData sheetId="2678">
        <row r="2">
          <cell r="F2" t="str">
            <v>INCH</v>
          </cell>
        </row>
      </sheetData>
      <sheetData sheetId="2679">
        <row r="2">
          <cell r="F2" t="str">
            <v>INCH</v>
          </cell>
        </row>
      </sheetData>
      <sheetData sheetId="2680">
        <row r="2">
          <cell r="F2" t="str">
            <v>INCH</v>
          </cell>
        </row>
      </sheetData>
      <sheetData sheetId="2681">
        <row r="2">
          <cell r="F2" t="str">
            <v>INCH</v>
          </cell>
        </row>
      </sheetData>
      <sheetData sheetId="2682">
        <row r="2">
          <cell r="F2" t="str">
            <v>INCH</v>
          </cell>
        </row>
      </sheetData>
      <sheetData sheetId="2683">
        <row r="2">
          <cell r="F2" t="str">
            <v>INCH</v>
          </cell>
        </row>
      </sheetData>
      <sheetData sheetId="2684">
        <row r="2">
          <cell r="F2" t="str">
            <v>INCH</v>
          </cell>
        </row>
      </sheetData>
      <sheetData sheetId="2685">
        <row r="2">
          <cell r="F2" t="str">
            <v>INCH</v>
          </cell>
        </row>
      </sheetData>
      <sheetData sheetId="2686">
        <row r="2">
          <cell r="F2" t="str">
            <v>INCH</v>
          </cell>
        </row>
      </sheetData>
      <sheetData sheetId="2687">
        <row r="2">
          <cell r="F2" t="str">
            <v>INCH</v>
          </cell>
        </row>
      </sheetData>
      <sheetData sheetId="2688">
        <row r="2">
          <cell r="F2" t="str">
            <v>INCH</v>
          </cell>
        </row>
      </sheetData>
      <sheetData sheetId="2689">
        <row r="2">
          <cell r="F2" t="str">
            <v>INCH</v>
          </cell>
        </row>
      </sheetData>
      <sheetData sheetId="2690">
        <row r="2">
          <cell r="F2" t="str">
            <v>INCH</v>
          </cell>
        </row>
      </sheetData>
      <sheetData sheetId="2691">
        <row r="2">
          <cell r="F2" t="str">
            <v>INCH</v>
          </cell>
        </row>
      </sheetData>
      <sheetData sheetId="2692">
        <row r="2">
          <cell r="F2" t="str">
            <v>INCH</v>
          </cell>
        </row>
      </sheetData>
      <sheetData sheetId="2693">
        <row r="2">
          <cell r="F2" t="str">
            <v>INCH</v>
          </cell>
        </row>
      </sheetData>
      <sheetData sheetId="2694">
        <row r="2">
          <cell r="F2" t="str">
            <v>INCH</v>
          </cell>
        </row>
      </sheetData>
      <sheetData sheetId="2695">
        <row r="2">
          <cell r="F2" t="str">
            <v>INCH</v>
          </cell>
        </row>
      </sheetData>
      <sheetData sheetId="2696">
        <row r="2">
          <cell r="F2" t="str">
            <v>INCH</v>
          </cell>
        </row>
      </sheetData>
      <sheetData sheetId="2697">
        <row r="2">
          <cell r="F2" t="str">
            <v>INCH</v>
          </cell>
        </row>
      </sheetData>
      <sheetData sheetId="2698">
        <row r="2">
          <cell r="F2" t="str">
            <v>INCH</v>
          </cell>
        </row>
      </sheetData>
      <sheetData sheetId="2699">
        <row r="2">
          <cell r="F2" t="str">
            <v>INCH</v>
          </cell>
        </row>
      </sheetData>
      <sheetData sheetId="2700">
        <row r="2">
          <cell r="F2" t="str">
            <v>INCH</v>
          </cell>
        </row>
      </sheetData>
      <sheetData sheetId="2701">
        <row r="2">
          <cell r="F2" t="str">
            <v>INCH</v>
          </cell>
        </row>
      </sheetData>
      <sheetData sheetId="2702">
        <row r="2">
          <cell r="F2" t="str">
            <v>INCH</v>
          </cell>
        </row>
      </sheetData>
      <sheetData sheetId="2703">
        <row r="2">
          <cell r="F2" t="str">
            <v>INCH</v>
          </cell>
        </row>
      </sheetData>
      <sheetData sheetId="2704">
        <row r="2">
          <cell r="F2" t="str">
            <v>INCH</v>
          </cell>
        </row>
      </sheetData>
      <sheetData sheetId="2705">
        <row r="2">
          <cell r="F2" t="str">
            <v>INCH</v>
          </cell>
        </row>
      </sheetData>
      <sheetData sheetId="2706">
        <row r="2">
          <cell r="F2" t="str">
            <v>INCH</v>
          </cell>
        </row>
      </sheetData>
      <sheetData sheetId="2707">
        <row r="2">
          <cell r="F2" t="str">
            <v>INCH</v>
          </cell>
        </row>
      </sheetData>
      <sheetData sheetId="2708">
        <row r="2">
          <cell r="F2" t="str">
            <v>INCH</v>
          </cell>
        </row>
      </sheetData>
      <sheetData sheetId="2709">
        <row r="2">
          <cell r="F2" t="str">
            <v>INCH</v>
          </cell>
        </row>
      </sheetData>
      <sheetData sheetId="2710">
        <row r="2">
          <cell r="F2" t="str">
            <v>INCH</v>
          </cell>
        </row>
      </sheetData>
      <sheetData sheetId="2711">
        <row r="2">
          <cell r="F2" t="str">
            <v>INCH</v>
          </cell>
        </row>
      </sheetData>
      <sheetData sheetId="2712">
        <row r="2">
          <cell r="F2" t="str">
            <v>INCH</v>
          </cell>
        </row>
      </sheetData>
      <sheetData sheetId="2713">
        <row r="2">
          <cell r="F2" t="str">
            <v>INCH</v>
          </cell>
        </row>
      </sheetData>
      <sheetData sheetId="2714">
        <row r="2">
          <cell r="F2" t="str">
            <v>INCH</v>
          </cell>
        </row>
      </sheetData>
      <sheetData sheetId="2715">
        <row r="2">
          <cell r="F2" t="str">
            <v>INCH</v>
          </cell>
        </row>
      </sheetData>
      <sheetData sheetId="2716">
        <row r="2">
          <cell r="F2" t="str">
            <v>INCH</v>
          </cell>
        </row>
      </sheetData>
      <sheetData sheetId="2717">
        <row r="2">
          <cell r="F2" t="str">
            <v>INCH</v>
          </cell>
        </row>
      </sheetData>
      <sheetData sheetId="2718">
        <row r="2">
          <cell r="F2" t="str">
            <v>INCH</v>
          </cell>
        </row>
      </sheetData>
      <sheetData sheetId="2719">
        <row r="2">
          <cell r="F2" t="str">
            <v>INCH</v>
          </cell>
        </row>
      </sheetData>
      <sheetData sheetId="2720">
        <row r="2">
          <cell r="F2" t="str">
            <v>INCH</v>
          </cell>
        </row>
      </sheetData>
      <sheetData sheetId="2721">
        <row r="2">
          <cell r="F2" t="str">
            <v>INCH</v>
          </cell>
        </row>
      </sheetData>
      <sheetData sheetId="2722">
        <row r="2">
          <cell r="F2" t="str">
            <v>INCH</v>
          </cell>
        </row>
      </sheetData>
      <sheetData sheetId="2723">
        <row r="2">
          <cell r="F2" t="str">
            <v>INCH</v>
          </cell>
        </row>
      </sheetData>
      <sheetData sheetId="2724">
        <row r="2">
          <cell r="F2" t="str">
            <v>INCH</v>
          </cell>
        </row>
      </sheetData>
      <sheetData sheetId="2725">
        <row r="2">
          <cell r="F2" t="str">
            <v>INCH</v>
          </cell>
        </row>
      </sheetData>
      <sheetData sheetId="2726">
        <row r="2">
          <cell r="F2" t="str">
            <v>INCH</v>
          </cell>
        </row>
      </sheetData>
      <sheetData sheetId="2727">
        <row r="2">
          <cell r="F2" t="str">
            <v>INCH</v>
          </cell>
        </row>
      </sheetData>
      <sheetData sheetId="2728">
        <row r="2">
          <cell r="F2" t="str">
            <v>INCH</v>
          </cell>
        </row>
      </sheetData>
      <sheetData sheetId="2729">
        <row r="2">
          <cell r="F2" t="str">
            <v>INCH</v>
          </cell>
        </row>
      </sheetData>
      <sheetData sheetId="2730">
        <row r="2">
          <cell r="F2" t="str">
            <v>INCH</v>
          </cell>
        </row>
      </sheetData>
      <sheetData sheetId="2731">
        <row r="2">
          <cell r="F2" t="str">
            <v>INCH</v>
          </cell>
        </row>
      </sheetData>
      <sheetData sheetId="2732">
        <row r="2">
          <cell r="F2" t="str">
            <v>INCH</v>
          </cell>
        </row>
      </sheetData>
      <sheetData sheetId="2733">
        <row r="2">
          <cell r="F2" t="str">
            <v>INCH</v>
          </cell>
        </row>
      </sheetData>
      <sheetData sheetId="2734">
        <row r="2">
          <cell r="F2" t="str">
            <v>INCH</v>
          </cell>
        </row>
      </sheetData>
      <sheetData sheetId="2735">
        <row r="2">
          <cell r="F2" t="str">
            <v>INCH</v>
          </cell>
        </row>
      </sheetData>
      <sheetData sheetId="2736">
        <row r="2">
          <cell r="F2" t="str">
            <v>INCH</v>
          </cell>
        </row>
      </sheetData>
      <sheetData sheetId="2737">
        <row r="2">
          <cell r="F2" t="str">
            <v>INCH</v>
          </cell>
        </row>
      </sheetData>
      <sheetData sheetId="2738">
        <row r="2">
          <cell r="F2" t="str">
            <v>INCH</v>
          </cell>
        </row>
      </sheetData>
      <sheetData sheetId="2739">
        <row r="2">
          <cell r="F2" t="str">
            <v>INCH</v>
          </cell>
        </row>
      </sheetData>
      <sheetData sheetId="2740">
        <row r="2">
          <cell r="F2" t="str">
            <v>INCH</v>
          </cell>
        </row>
      </sheetData>
      <sheetData sheetId="2741">
        <row r="2">
          <cell r="F2" t="str">
            <v>INCH</v>
          </cell>
        </row>
      </sheetData>
      <sheetData sheetId="2742">
        <row r="2">
          <cell r="F2" t="str">
            <v>INCH</v>
          </cell>
        </row>
      </sheetData>
      <sheetData sheetId="2743">
        <row r="2">
          <cell r="F2" t="str">
            <v>INCH</v>
          </cell>
        </row>
      </sheetData>
      <sheetData sheetId="2744">
        <row r="2">
          <cell r="F2" t="str">
            <v>INCH</v>
          </cell>
        </row>
      </sheetData>
      <sheetData sheetId="2745">
        <row r="2">
          <cell r="F2" t="str">
            <v>INCH</v>
          </cell>
        </row>
      </sheetData>
      <sheetData sheetId="2746">
        <row r="2">
          <cell r="F2" t="str">
            <v>INCH</v>
          </cell>
        </row>
      </sheetData>
      <sheetData sheetId="2747">
        <row r="2">
          <cell r="F2" t="str">
            <v>INCH</v>
          </cell>
        </row>
      </sheetData>
      <sheetData sheetId="2748">
        <row r="2">
          <cell r="F2" t="str">
            <v>INCH</v>
          </cell>
        </row>
      </sheetData>
      <sheetData sheetId="2749">
        <row r="2">
          <cell r="F2" t="str">
            <v>INCH</v>
          </cell>
        </row>
      </sheetData>
      <sheetData sheetId="2750">
        <row r="2">
          <cell r="F2" t="str">
            <v>INCH</v>
          </cell>
        </row>
      </sheetData>
      <sheetData sheetId="2751">
        <row r="2">
          <cell r="F2" t="str">
            <v>INCH</v>
          </cell>
        </row>
      </sheetData>
      <sheetData sheetId="2752">
        <row r="2">
          <cell r="F2" t="str">
            <v>INCH</v>
          </cell>
        </row>
      </sheetData>
      <sheetData sheetId="2753">
        <row r="2">
          <cell r="F2" t="str">
            <v>INCH</v>
          </cell>
        </row>
      </sheetData>
      <sheetData sheetId="2754">
        <row r="2">
          <cell r="F2" t="str">
            <v>INCH</v>
          </cell>
        </row>
      </sheetData>
      <sheetData sheetId="2755">
        <row r="2">
          <cell r="F2" t="str">
            <v>INCH</v>
          </cell>
        </row>
      </sheetData>
      <sheetData sheetId="2756">
        <row r="2">
          <cell r="F2" t="str">
            <v>INCH</v>
          </cell>
        </row>
      </sheetData>
      <sheetData sheetId="2757">
        <row r="2">
          <cell r="F2" t="str">
            <v>INCH</v>
          </cell>
        </row>
      </sheetData>
      <sheetData sheetId="2758">
        <row r="2">
          <cell r="F2" t="str">
            <v>INCH</v>
          </cell>
        </row>
      </sheetData>
      <sheetData sheetId="2759">
        <row r="2">
          <cell r="F2" t="str">
            <v>INCH</v>
          </cell>
        </row>
      </sheetData>
      <sheetData sheetId="2760">
        <row r="2">
          <cell r="F2" t="str">
            <v>INCH</v>
          </cell>
        </row>
      </sheetData>
      <sheetData sheetId="2761">
        <row r="2">
          <cell r="F2" t="str">
            <v>INCH</v>
          </cell>
        </row>
      </sheetData>
      <sheetData sheetId="2762">
        <row r="2">
          <cell r="F2" t="str">
            <v>INCH</v>
          </cell>
        </row>
      </sheetData>
      <sheetData sheetId="2763">
        <row r="2">
          <cell r="F2" t="str">
            <v>INCH</v>
          </cell>
        </row>
      </sheetData>
      <sheetData sheetId="2764">
        <row r="2">
          <cell r="F2" t="str">
            <v>INCH</v>
          </cell>
        </row>
      </sheetData>
      <sheetData sheetId="2765">
        <row r="2">
          <cell r="F2" t="str">
            <v>INCH</v>
          </cell>
        </row>
      </sheetData>
      <sheetData sheetId="2766">
        <row r="2">
          <cell r="F2" t="str">
            <v>INCH</v>
          </cell>
        </row>
      </sheetData>
      <sheetData sheetId="2767">
        <row r="2">
          <cell r="F2" t="str">
            <v>INCH</v>
          </cell>
        </row>
      </sheetData>
      <sheetData sheetId="2768">
        <row r="2">
          <cell r="F2" t="str">
            <v>INCH</v>
          </cell>
        </row>
      </sheetData>
      <sheetData sheetId="2769">
        <row r="2">
          <cell r="F2" t="str">
            <v>INCH</v>
          </cell>
        </row>
      </sheetData>
      <sheetData sheetId="2770">
        <row r="2">
          <cell r="F2" t="str">
            <v>INCH</v>
          </cell>
        </row>
      </sheetData>
      <sheetData sheetId="2771">
        <row r="2">
          <cell r="F2" t="str">
            <v>INCH</v>
          </cell>
        </row>
      </sheetData>
      <sheetData sheetId="2772">
        <row r="2">
          <cell r="F2" t="str">
            <v>INCH</v>
          </cell>
        </row>
      </sheetData>
      <sheetData sheetId="2773">
        <row r="2">
          <cell r="F2" t="str">
            <v>INCH</v>
          </cell>
        </row>
      </sheetData>
      <sheetData sheetId="2774">
        <row r="2">
          <cell r="F2" t="str">
            <v>INCH</v>
          </cell>
        </row>
      </sheetData>
      <sheetData sheetId="2775">
        <row r="2">
          <cell r="F2" t="str">
            <v>INCH</v>
          </cell>
        </row>
      </sheetData>
      <sheetData sheetId="2776">
        <row r="2">
          <cell r="F2" t="str">
            <v>INCH</v>
          </cell>
        </row>
      </sheetData>
      <sheetData sheetId="2777">
        <row r="2">
          <cell r="F2" t="str">
            <v>INCH</v>
          </cell>
        </row>
      </sheetData>
      <sheetData sheetId="2778">
        <row r="2">
          <cell r="F2" t="str">
            <v>INCH</v>
          </cell>
        </row>
      </sheetData>
      <sheetData sheetId="2779">
        <row r="2">
          <cell r="F2" t="str">
            <v>INCH</v>
          </cell>
        </row>
      </sheetData>
      <sheetData sheetId="2780">
        <row r="2">
          <cell r="F2" t="str">
            <v>INCH</v>
          </cell>
        </row>
      </sheetData>
      <sheetData sheetId="2781">
        <row r="2">
          <cell r="F2" t="str">
            <v>INCH</v>
          </cell>
        </row>
      </sheetData>
      <sheetData sheetId="2782">
        <row r="2">
          <cell r="F2" t="str">
            <v>INCH</v>
          </cell>
        </row>
      </sheetData>
      <sheetData sheetId="2783">
        <row r="2">
          <cell r="F2" t="str">
            <v>INCH</v>
          </cell>
        </row>
      </sheetData>
      <sheetData sheetId="2784">
        <row r="2">
          <cell r="F2" t="str">
            <v>INCH</v>
          </cell>
        </row>
      </sheetData>
      <sheetData sheetId="2785">
        <row r="2">
          <cell r="F2" t="str">
            <v>INCH</v>
          </cell>
        </row>
      </sheetData>
      <sheetData sheetId="2786">
        <row r="2">
          <cell r="F2" t="str">
            <v>INCH</v>
          </cell>
        </row>
      </sheetData>
      <sheetData sheetId="2787">
        <row r="2">
          <cell r="F2" t="str">
            <v>INCH</v>
          </cell>
        </row>
      </sheetData>
      <sheetData sheetId="2788">
        <row r="2">
          <cell r="F2" t="str">
            <v>INCH</v>
          </cell>
        </row>
      </sheetData>
      <sheetData sheetId="2789">
        <row r="2">
          <cell r="F2" t="str">
            <v>INCH</v>
          </cell>
        </row>
      </sheetData>
      <sheetData sheetId="2790">
        <row r="2">
          <cell r="F2" t="str">
            <v>INCH</v>
          </cell>
        </row>
      </sheetData>
      <sheetData sheetId="2791">
        <row r="2">
          <cell r="F2" t="str">
            <v>INCH</v>
          </cell>
        </row>
      </sheetData>
      <sheetData sheetId="2792">
        <row r="2">
          <cell r="F2" t="str">
            <v>INCH</v>
          </cell>
        </row>
      </sheetData>
      <sheetData sheetId="2793">
        <row r="2">
          <cell r="F2" t="str">
            <v>INCH</v>
          </cell>
        </row>
      </sheetData>
      <sheetData sheetId="2794">
        <row r="2">
          <cell r="F2" t="str">
            <v>INCH</v>
          </cell>
        </row>
      </sheetData>
      <sheetData sheetId="2795">
        <row r="2">
          <cell r="F2" t="str">
            <v>INCH</v>
          </cell>
        </row>
      </sheetData>
      <sheetData sheetId="2796">
        <row r="2">
          <cell r="F2" t="str">
            <v>INCH</v>
          </cell>
        </row>
      </sheetData>
      <sheetData sheetId="2797">
        <row r="2">
          <cell r="F2" t="str">
            <v>INCH</v>
          </cell>
        </row>
      </sheetData>
      <sheetData sheetId="2798">
        <row r="2">
          <cell r="F2" t="str">
            <v>INCH</v>
          </cell>
        </row>
      </sheetData>
      <sheetData sheetId="2799">
        <row r="2">
          <cell r="F2" t="str">
            <v>INCH</v>
          </cell>
        </row>
      </sheetData>
      <sheetData sheetId="2800">
        <row r="2">
          <cell r="F2" t="str">
            <v>INCH</v>
          </cell>
        </row>
      </sheetData>
      <sheetData sheetId="2801">
        <row r="2">
          <cell r="F2" t="str">
            <v>INCH</v>
          </cell>
        </row>
      </sheetData>
      <sheetData sheetId="2802">
        <row r="2">
          <cell r="F2" t="str">
            <v>INCH</v>
          </cell>
        </row>
      </sheetData>
      <sheetData sheetId="2803">
        <row r="2">
          <cell r="F2" t="str">
            <v>INCH</v>
          </cell>
        </row>
      </sheetData>
      <sheetData sheetId="2804">
        <row r="2">
          <cell r="F2" t="str">
            <v>INCH</v>
          </cell>
        </row>
      </sheetData>
      <sheetData sheetId="2805">
        <row r="2">
          <cell r="F2" t="str">
            <v>INCH</v>
          </cell>
        </row>
      </sheetData>
      <sheetData sheetId="2806">
        <row r="2">
          <cell r="F2" t="str">
            <v>INCH</v>
          </cell>
        </row>
      </sheetData>
      <sheetData sheetId="2807">
        <row r="2">
          <cell r="F2" t="str">
            <v>INCH</v>
          </cell>
        </row>
      </sheetData>
      <sheetData sheetId="2808">
        <row r="2">
          <cell r="F2" t="str">
            <v>INCH</v>
          </cell>
        </row>
      </sheetData>
      <sheetData sheetId="2809">
        <row r="2">
          <cell r="F2" t="str">
            <v>INCH</v>
          </cell>
        </row>
      </sheetData>
      <sheetData sheetId="2810">
        <row r="2">
          <cell r="F2" t="str">
            <v>INCH</v>
          </cell>
        </row>
      </sheetData>
      <sheetData sheetId="2811">
        <row r="2">
          <cell r="F2" t="str">
            <v>INCH</v>
          </cell>
        </row>
      </sheetData>
      <sheetData sheetId="2812">
        <row r="2">
          <cell r="F2" t="str">
            <v>INCH</v>
          </cell>
        </row>
      </sheetData>
      <sheetData sheetId="2813">
        <row r="2">
          <cell r="F2" t="str">
            <v>INCH</v>
          </cell>
        </row>
      </sheetData>
      <sheetData sheetId="2814">
        <row r="2">
          <cell r="F2" t="str">
            <v>INCH</v>
          </cell>
        </row>
      </sheetData>
      <sheetData sheetId="2815">
        <row r="2">
          <cell r="F2" t="str">
            <v>INCH</v>
          </cell>
        </row>
      </sheetData>
      <sheetData sheetId="2816">
        <row r="2">
          <cell r="F2" t="str">
            <v>INCH</v>
          </cell>
        </row>
      </sheetData>
      <sheetData sheetId="2817">
        <row r="2">
          <cell r="F2" t="str">
            <v>INCH</v>
          </cell>
        </row>
      </sheetData>
      <sheetData sheetId="2818">
        <row r="2">
          <cell r="F2" t="str">
            <v>INCH</v>
          </cell>
        </row>
      </sheetData>
      <sheetData sheetId="2819">
        <row r="2">
          <cell r="F2" t="str">
            <v>INCH</v>
          </cell>
        </row>
      </sheetData>
      <sheetData sheetId="2820">
        <row r="2">
          <cell r="F2" t="str">
            <v>INCH</v>
          </cell>
        </row>
      </sheetData>
      <sheetData sheetId="2821">
        <row r="2">
          <cell r="F2" t="str">
            <v>INCH</v>
          </cell>
        </row>
      </sheetData>
      <sheetData sheetId="2822">
        <row r="2">
          <cell r="F2" t="str">
            <v>INCH</v>
          </cell>
        </row>
      </sheetData>
      <sheetData sheetId="2823">
        <row r="2">
          <cell r="F2" t="str">
            <v>INCH</v>
          </cell>
        </row>
      </sheetData>
      <sheetData sheetId="2824">
        <row r="2">
          <cell r="F2" t="str">
            <v>INCH</v>
          </cell>
        </row>
      </sheetData>
      <sheetData sheetId="2825">
        <row r="2">
          <cell r="F2" t="str">
            <v>INCH</v>
          </cell>
        </row>
      </sheetData>
      <sheetData sheetId="2826">
        <row r="2">
          <cell r="F2" t="str">
            <v>INCH</v>
          </cell>
        </row>
      </sheetData>
      <sheetData sheetId="2827">
        <row r="2">
          <cell r="F2" t="str">
            <v>INCH</v>
          </cell>
        </row>
      </sheetData>
      <sheetData sheetId="2828">
        <row r="2">
          <cell r="F2" t="str">
            <v>INCH</v>
          </cell>
        </row>
      </sheetData>
      <sheetData sheetId="2829">
        <row r="2">
          <cell r="F2" t="str">
            <v>INCH</v>
          </cell>
        </row>
      </sheetData>
      <sheetData sheetId="2830">
        <row r="2">
          <cell r="F2" t="str">
            <v>INCH</v>
          </cell>
        </row>
      </sheetData>
      <sheetData sheetId="2831">
        <row r="2">
          <cell r="F2" t="str">
            <v>INCH</v>
          </cell>
        </row>
      </sheetData>
      <sheetData sheetId="2832">
        <row r="2">
          <cell r="F2" t="str">
            <v>INCH</v>
          </cell>
        </row>
      </sheetData>
      <sheetData sheetId="2833">
        <row r="2">
          <cell r="F2" t="str">
            <v>INCH</v>
          </cell>
        </row>
      </sheetData>
      <sheetData sheetId="2834">
        <row r="2">
          <cell r="F2" t="str">
            <v>INCH</v>
          </cell>
        </row>
      </sheetData>
      <sheetData sheetId="2835">
        <row r="2">
          <cell r="F2" t="str">
            <v>INCH</v>
          </cell>
        </row>
      </sheetData>
      <sheetData sheetId="2836">
        <row r="2">
          <cell r="F2" t="str">
            <v>INCH</v>
          </cell>
        </row>
      </sheetData>
      <sheetData sheetId="2837">
        <row r="2">
          <cell r="F2" t="str">
            <v>INCH</v>
          </cell>
        </row>
      </sheetData>
      <sheetData sheetId="2838">
        <row r="2">
          <cell r="F2" t="str">
            <v>INCH</v>
          </cell>
        </row>
      </sheetData>
      <sheetData sheetId="2839">
        <row r="2">
          <cell r="F2" t="str">
            <v>INCH</v>
          </cell>
        </row>
      </sheetData>
      <sheetData sheetId="2840">
        <row r="2">
          <cell r="F2" t="str">
            <v>INCH</v>
          </cell>
        </row>
      </sheetData>
      <sheetData sheetId="2841">
        <row r="2">
          <cell r="F2" t="str">
            <v>INCH</v>
          </cell>
        </row>
      </sheetData>
      <sheetData sheetId="2842">
        <row r="2">
          <cell r="F2" t="str">
            <v>INCH</v>
          </cell>
        </row>
      </sheetData>
      <sheetData sheetId="2843">
        <row r="2">
          <cell r="F2" t="str">
            <v>INCH</v>
          </cell>
        </row>
      </sheetData>
      <sheetData sheetId="2844">
        <row r="2">
          <cell r="F2" t="str">
            <v>INCH</v>
          </cell>
        </row>
      </sheetData>
      <sheetData sheetId="2845">
        <row r="2">
          <cell r="F2" t="str">
            <v>INCH</v>
          </cell>
        </row>
      </sheetData>
      <sheetData sheetId="2846">
        <row r="2">
          <cell r="F2" t="str">
            <v>INCH</v>
          </cell>
        </row>
      </sheetData>
      <sheetData sheetId="2847">
        <row r="2">
          <cell r="F2" t="str">
            <v>INCH</v>
          </cell>
        </row>
      </sheetData>
      <sheetData sheetId="2848">
        <row r="2">
          <cell r="F2" t="str">
            <v>INCH</v>
          </cell>
        </row>
      </sheetData>
      <sheetData sheetId="2849">
        <row r="2">
          <cell r="F2" t="str">
            <v>INCH</v>
          </cell>
        </row>
      </sheetData>
      <sheetData sheetId="2850">
        <row r="2">
          <cell r="F2" t="str">
            <v>INCH</v>
          </cell>
        </row>
      </sheetData>
      <sheetData sheetId="2851">
        <row r="2">
          <cell r="F2" t="str">
            <v>INCH</v>
          </cell>
        </row>
      </sheetData>
      <sheetData sheetId="2852">
        <row r="2">
          <cell r="F2" t="str">
            <v>INCH</v>
          </cell>
        </row>
      </sheetData>
      <sheetData sheetId="2853">
        <row r="2">
          <cell r="F2" t="str">
            <v>INCH</v>
          </cell>
        </row>
      </sheetData>
      <sheetData sheetId="2854">
        <row r="2">
          <cell r="F2" t="str">
            <v>INCH</v>
          </cell>
        </row>
      </sheetData>
      <sheetData sheetId="2855">
        <row r="2">
          <cell r="F2" t="str">
            <v>INCH</v>
          </cell>
        </row>
      </sheetData>
      <sheetData sheetId="2856">
        <row r="2">
          <cell r="F2" t="str">
            <v>INCH</v>
          </cell>
        </row>
      </sheetData>
      <sheetData sheetId="2857">
        <row r="2">
          <cell r="F2" t="str">
            <v>INCH</v>
          </cell>
        </row>
      </sheetData>
      <sheetData sheetId="2858">
        <row r="2">
          <cell r="F2" t="str">
            <v>INCH</v>
          </cell>
        </row>
      </sheetData>
      <sheetData sheetId="2859">
        <row r="2">
          <cell r="F2" t="str">
            <v>INCH</v>
          </cell>
        </row>
      </sheetData>
      <sheetData sheetId="2860">
        <row r="2">
          <cell r="F2" t="str">
            <v>INCH</v>
          </cell>
        </row>
      </sheetData>
      <sheetData sheetId="2861">
        <row r="2">
          <cell r="F2" t="str">
            <v>INCH</v>
          </cell>
        </row>
      </sheetData>
      <sheetData sheetId="2862">
        <row r="2">
          <cell r="F2" t="str">
            <v>INCH</v>
          </cell>
        </row>
      </sheetData>
      <sheetData sheetId="2863">
        <row r="2">
          <cell r="F2" t="str">
            <v>INCH</v>
          </cell>
        </row>
      </sheetData>
      <sheetData sheetId="2864">
        <row r="2">
          <cell r="F2" t="str">
            <v>INCH</v>
          </cell>
        </row>
      </sheetData>
      <sheetData sheetId="2865">
        <row r="2">
          <cell r="F2" t="str">
            <v>INCH</v>
          </cell>
        </row>
      </sheetData>
      <sheetData sheetId="2866">
        <row r="2">
          <cell r="F2" t="str">
            <v>INCH</v>
          </cell>
        </row>
      </sheetData>
      <sheetData sheetId="2867">
        <row r="2">
          <cell r="F2" t="str">
            <v>INCH</v>
          </cell>
        </row>
      </sheetData>
      <sheetData sheetId="2868">
        <row r="2">
          <cell r="F2" t="str">
            <v>INCH</v>
          </cell>
        </row>
      </sheetData>
      <sheetData sheetId="2869">
        <row r="2">
          <cell r="F2" t="str">
            <v>INCH</v>
          </cell>
        </row>
      </sheetData>
      <sheetData sheetId="2870">
        <row r="2">
          <cell r="F2" t="str">
            <v>INCH</v>
          </cell>
        </row>
      </sheetData>
      <sheetData sheetId="2871">
        <row r="2">
          <cell r="F2" t="str">
            <v>INCH</v>
          </cell>
        </row>
      </sheetData>
      <sheetData sheetId="2872">
        <row r="2">
          <cell r="F2" t="str">
            <v>INCH</v>
          </cell>
        </row>
      </sheetData>
      <sheetData sheetId="2873">
        <row r="2">
          <cell r="F2" t="str">
            <v>INCH</v>
          </cell>
        </row>
      </sheetData>
      <sheetData sheetId="2874">
        <row r="2">
          <cell r="F2" t="str">
            <v>INCH</v>
          </cell>
        </row>
      </sheetData>
      <sheetData sheetId="2875">
        <row r="2">
          <cell r="F2" t="str">
            <v>INCH</v>
          </cell>
        </row>
      </sheetData>
      <sheetData sheetId="2876">
        <row r="2">
          <cell r="F2" t="str">
            <v>INCH</v>
          </cell>
        </row>
      </sheetData>
      <sheetData sheetId="2877">
        <row r="2">
          <cell r="F2" t="str">
            <v>INCH</v>
          </cell>
        </row>
      </sheetData>
      <sheetData sheetId="2878">
        <row r="2">
          <cell r="F2" t="str">
            <v>INCH</v>
          </cell>
        </row>
      </sheetData>
      <sheetData sheetId="2879">
        <row r="2">
          <cell r="F2" t="str">
            <v>INCH</v>
          </cell>
        </row>
      </sheetData>
      <sheetData sheetId="2880">
        <row r="2">
          <cell r="F2" t="str">
            <v>INCH</v>
          </cell>
        </row>
      </sheetData>
      <sheetData sheetId="2881">
        <row r="2">
          <cell r="F2" t="str">
            <v>INCH</v>
          </cell>
        </row>
      </sheetData>
      <sheetData sheetId="2882">
        <row r="2">
          <cell r="F2" t="str">
            <v>INCH</v>
          </cell>
        </row>
      </sheetData>
      <sheetData sheetId="2883">
        <row r="2">
          <cell r="F2" t="str">
            <v>INCH</v>
          </cell>
        </row>
      </sheetData>
      <sheetData sheetId="2884">
        <row r="2">
          <cell r="F2" t="str">
            <v>INCH</v>
          </cell>
        </row>
      </sheetData>
      <sheetData sheetId="2885">
        <row r="2">
          <cell r="F2" t="str">
            <v>INCH</v>
          </cell>
        </row>
      </sheetData>
      <sheetData sheetId="2886">
        <row r="2">
          <cell r="F2" t="str">
            <v>INCH</v>
          </cell>
        </row>
      </sheetData>
      <sheetData sheetId="2887">
        <row r="2">
          <cell r="F2" t="str">
            <v>INCH</v>
          </cell>
        </row>
      </sheetData>
      <sheetData sheetId="2888">
        <row r="2">
          <cell r="F2" t="str">
            <v>INCH</v>
          </cell>
        </row>
      </sheetData>
      <sheetData sheetId="2889">
        <row r="2">
          <cell r="F2" t="str">
            <v>INCH</v>
          </cell>
        </row>
      </sheetData>
      <sheetData sheetId="2890">
        <row r="2">
          <cell r="F2" t="str">
            <v>INCH</v>
          </cell>
        </row>
      </sheetData>
      <sheetData sheetId="2891">
        <row r="2">
          <cell r="F2" t="str">
            <v>INCH</v>
          </cell>
        </row>
      </sheetData>
      <sheetData sheetId="2892">
        <row r="2">
          <cell r="F2" t="str">
            <v>INCH</v>
          </cell>
        </row>
      </sheetData>
      <sheetData sheetId="2893">
        <row r="2">
          <cell r="F2" t="str">
            <v>INCH</v>
          </cell>
        </row>
      </sheetData>
      <sheetData sheetId="2894">
        <row r="2">
          <cell r="F2" t="str">
            <v>INCH</v>
          </cell>
        </row>
      </sheetData>
      <sheetData sheetId="2895">
        <row r="2">
          <cell r="F2" t="str">
            <v>INCH</v>
          </cell>
        </row>
      </sheetData>
      <sheetData sheetId="2896">
        <row r="2">
          <cell r="F2" t="str">
            <v>INCH</v>
          </cell>
        </row>
      </sheetData>
      <sheetData sheetId="2897">
        <row r="2">
          <cell r="F2" t="str">
            <v>INCH</v>
          </cell>
        </row>
      </sheetData>
      <sheetData sheetId="2898">
        <row r="2">
          <cell r="F2" t="str">
            <v>INCH</v>
          </cell>
        </row>
      </sheetData>
      <sheetData sheetId="2899">
        <row r="2">
          <cell r="F2" t="str">
            <v>INCH</v>
          </cell>
        </row>
      </sheetData>
      <sheetData sheetId="2900">
        <row r="2">
          <cell r="F2" t="str">
            <v>INCH</v>
          </cell>
        </row>
      </sheetData>
      <sheetData sheetId="2901">
        <row r="2">
          <cell r="F2" t="str">
            <v>INCH</v>
          </cell>
        </row>
      </sheetData>
      <sheetData sheetId="2902">
        <row r="2">
          <cell r="F2" t="str">
            <v>INCH</v>
          </cell>
        </row>
      </sheetData>
      <sheetData sheetId="2903">
        <row r="2">
          <cell r="F2" t="str">
            <v>INCH</v>
          </cell>
        </row>
      </sheetData>
      <sheetData sheetId="2904">
        <row r="2">
          <cell r="F2" t="str">
            <v>INCH</v>
          </cell>
        </row>
      </sheetData>
      <sheetData sheetId="2905">
        <row r="2">
          <cell r="F2" t="str">
            <v>INCH</v>
          </cell>
        </row>
      </sheetData>
      <sheetData sheetId="2906">
        <row r="2">
          <cell r="F2" t="str">
            <v>INCH</v>
          </cell>
        </row>
      </sheetData>
      <sheetData sheetId="2907">
        <row r="2">
          <cell r="F2" t="str">
            <v>INCH</v>
          </cell>
        </row>
      </sheetData>
      <sheetData sheetId="2908">
        <row r="2">
          <cell r="F2" t="str">
            <v>INCH</v>
          </cell>
        </row>
      </sheetData>
      <sheetData sheetId="2909">
        <row r="2">
          <cell r="F2" t="str">
            <v>INCH</v>
          </cell>
        </row>
      </sheetData>
      <sheetData sheetId="2910">
        <row r="2">
          <cell r="F2" t="str">
            <v>INCH</v>
          </cell>
        </row>
      </sheetData>
      <sheetData sheetId="2911">
        <row r="2">
          <cell r="F2" t="str">
            <v>INCH</v>
          </cell>
        </row>
      </sheetData>
      <sheetData sheetId="2912">
        <row r="2">
          <cell r="F2" t="str">
            <v>INCH</v>
          </cell>
        </row>
      </sheetData>
      <sheetData sheetId="2913">
        <row r="2">
          <cell r="F2" t="str">
            <v>INCH</v>
          </cell>
        </row>
      </sheetData>
      <sheetData sheetId="2914">
        <row r="2">
          <cell r="F2" t="str">
            <v>INCH</v>
          </cell>
        </row>
      </sheetData>
      <sheetData sheetId="2915">
        <row r="2">
          <cell r="F2" t="str">
            <v>INCH</v>
          </cell>
        </row>
      </sheetData>
      <sheetData sheetId="2916">
        <row r="2">
          <cell r="F2" t="str">
            <v>INCH</v>
          </cell>
        </row>
      </sheetData>
      <sheetData sheetId="2917">
        <row r="2">
          <cell r="F2" t="str">
            <v>INCH</v>
          </cell>
        </row>
      </sheetData>
      <sheetData sheetId="2918">
        <row r="2">
          <cell r="F2" t="str">
            <v>INCH</v>
          </cell>
        </row>
      </sheetData>
      <sheetData sheetId="2919">
        <row r="2">
          <cell r="F2" t="str">
            <v>INCH</v>
          </cell>
        </row>
      </sheetData>
      <sheetData sheetId="2920">
        <row r="2">
          <cell r="F2" t="str">
            <v>INCH</v>
          </cell>
        </row>
      </sheetData>
      <sheetData sheetId="2921">
        <row r="2">
          <cell r="F2" t="str">
            <v>INCH</v>
          </cell>
        </row>
      </sheetData>
      <sheetData sheetId="2922">
        <row r="2">
          <cell r="F2" t="str">
            <v>INCH</v>
          </cell>
        </row>
      </sheetData>
      <sheetData sheetId="2923">
        <row r="2">
          <cell r="F2" t="str">
            <v>INCH</v>
          </cell>
        </row>
      </sheetData>
      <sheetData sheetId="2924">
        <row r="2">
          <cell r="F2" t="str">
            <v>INCH</v>
          </cell>
        </row>
      </sheetData>
      <sheetData sheetId="2925">
        <row r="2">
          <cell r="F2" t="str">
            <v>INCH</v>
          </cell>
        </row>
      </sheetData>
      <sheetData sheetId="2926">
        <row r="2">
          <cell r="F2" t="str">
            <v>INCH</v>
          </cell>
        </row>
      </sheetData>
      <sheetData sheetId="2927">
        <row r="2">
          <cell r="F2" t="str">
            <v>INCH</v>
          </cell>
        </row>
      </sheetData>
      <sheetData sheetId="2928">
        <row r="2">
          <cell r="F2" t="str">
            <v>INCH</v>
          </cell>
        </row>
      </sheetData>
      <sheetData sheetId="2929">
        <row r="2">
          <cell r="F2" t="str">
            <v>INCH</v>
          </cell>
        </row>
      </sheetData>
      <sheetData sheetId="2930">
        <row r="2">
          <cell r="F2" t="str">
            <v>INCH</v>
          </cell>
        </row>
      </sheetData>
      <sheetData sheetId="2931">
        <row r="2">
          <cell r="F2" t="str">
            <v>INCH</v>
          </cell>
        </row>
      </sheetData>
      <sheetData sheetId="2932">
        <row r="2">
          <cell r="F2" t="str">
            <v>INCH</v>
          </cell>
        </row>
      </sheetData>
      <sheetData sheetId="2933">
        <row r="2">
          <cell r="F2" t="str">
            <v>INCH</v>
          </cell>
        </row>
      </sheetData>
      <sheetData sheetId="2934">
        <row r="2">
          <cell r="F2" t="str">
            <v>INCH</v>
          </cell>
        </row>
      </sheetData>
      <sheetData sheetId="2935">
        <row r="2">
          <cell r="F2" t="str">
            <v>INCH</v>
          </cell>
        </row>
      </sheetData>
      <sheetData sheetId="2936">
        <row r="2">
          <cell r="F2" t="str">
            <v>INCH</v>
          </cell>
        </row>
      </sheetData>
      <sheetData sheetId="2937">
        <row r="2">
          <cell r="F2" t="str">
            <v>INCH</v>
          </cell>
        </row>
      </sheetData>
      <sheetData sheetId="2938">
        <row r="2">
          <cell r="F2" t="str">
            <v>INCH</v>
          </cell>
        </row>
      </sheetData>
      <sheetData sheetId="2939">
        <row r="2">
          <cell r="F2" t="str">
            <v>INCH</v>
          </cell>
        </row>
      </sheetData>
      <sheetData sheetId="2940">
        <row r="2">
          <cell r="F2" t="str">
            <v>INCH</v>
          </cell>
        </row>
      </sheetData>
      <sheetData sheetId="2941">
        <row r="2">
          <cell r="F2" t="str">
            <v>INCH</v>
          </cell>
        </row>
      </sheetData>
      <sheetData sheetId="2942">
        <row r="2">
          <cell r="F2" t="str">
            <v>INCH</v>
          </cell>
        </row>
      </sheetData>
      <sheetData sheetId="2943">
        <row r="2">
          <cell r="F2" t="str">
            <v>INCH</v>
          </cell>
        </row>
      </sheetData>
      <sheetData sheetId="2944">
        <row r="2">
          <cell r="F2" t="str">
            <v>INCH</v>
          </cell>
        </row>
      </sheetData>
      <sheetData sheetId="2945">
        <row r="2">
          <cell r="F2" t="str">
            <v>INCH</v>
          </cell>
        </row>
      </sheetData>
      <sheetData sheetId="2946">
        <row r="2">
          <cell r="F2" t="str">
            <v>INCH</v>
          </cell>
        </row>
      </sheetData>
      <sheetData sheetId="2947">
        <row r="2">
          <cell r="F2" t="str">
            <v>INCH</v>
          </cell>
        </row>
      </sheetData>
      <sheetData sheetId="2948">
        <row r="2">
          <cell r="F2" t="str">
            <v>INCH</v>
          </cell>
        </row>
      </sheetData>
      <sheetData sheetId="2949">
        <row r="2">
          <cell r="F2" t="str">
            <v>INCH</v>
          </cell>
        </row>
      </sheetData>
      <sheetData sheetId="2950">
        <row r="2">
          <cell r="F2" t="str">
            <v>INCH</v>
          </cell>
        </row>
      </sheetData>
      <sheetData sheetId="2951">
        <row r="2">
          <cell r="F2" t="str">
            <v>INCH</v>
          </cell>
        </row>
      </sheetData>
      <sheetData sheetId="2952">
        <row r="2">
          <cell r="F2" t="str">
            <v>INCH</v>
          </cell>
        </row>
      </sheetData>
      <sheetData sheetId="2953">
        <row r="2">
          <cell r="F2" t="str">
            <v>INCH</v>
          </cell>
        </row>
      </sheetData>
      <sheetData sheetId="2954">
        <row r="2">
          <cell r="F2" t="str">
            <v>INCH</v>
          </cell>
        </row>
      </sheetData>
      <sheetData sheetId="2955">
        <row r="2">
          <cell r="F2" t="str">
            <v>INCH</v>
          </cell>
        </row>
      </sheetData>
      <sheetData sheetId="2956">
        <row r="2">
          <cell r="F2" t="str">
            <v>INCH</v>
          </cell>
        </row>
      </sheetData>
      <sheetData sheetId="2957">
        <row r="2">
          <cell r="F2" t="str">
            <v>INCH</v>
          </cell>
        </row>
      </sheetData>
      <sheetData sheetId="2958">
        <row r="2">
          <cell r="F2" t="str">
            <v>INCH</v>
          </cell>
        </row>
      </sheetData>
      <sheetData sheetId="2959">
        <row r="2">
          <cell r="F2" t="str">
            <v>INCH</v>
          </cell>
        </row>
      </sheetData>
      <sheetData sheetId="2960">
        <row r="2">
          <cell r="F2" t="str">
            <v>INCH</v>
          </cell>
        </row>
      </sheetData>
      <sheetData sheetId="2961">
        <row r="2">
          <cell r="F2" t="str">
            <v>INCH</v>
          </cell>
        </row>
      </sheetData>
      <sheetData sheetId="2962">
        <row r="2">
          <cell r="F2" t="str">
            <v>INCH</v>
          </cell>
        </row>
      </sheetData>
      <sheetData sheetId="2963">
        <row r="2">
          <cell r="F2" t="str">
            <v>INCH</v>
          </cell>
        </row>
      </sheetData>
      <sheetData sheetId="2964">
        <row r="2">
          <cell r="F2" t="str">
            <v>INCH</v>
          </cell>
        </row>
      </sheetData>
      <sheetData sheetId="2965">
        <row r="2">
          <cell r="F2" t="str">
            <v>INCH</v>
          </cell>
        </row>
      </sheetData>
      <sheetData sheetId="2966">
        <row r="2">
          <cell r="F2" t="str">
            <v>INCH</v>
          </cell>
        </row>
      </sheetData>
      <sheetData sheetId="2967">
        <row r="2">
          <cell r="F2" t="str">
            <v>INCH</v>
          </cell>
        </row>
      </sheetData>
      <sheetData sheetId="2968">
        <row r="2">
          <cell r="F2" t="str">
            <v>INCH</v>
          </cell>
        </row>
      </sheetData>
      <sheetData sheetId="2969">
        <row r="2">
          <cell r="F2" t="str">
            <v>INCH</v>
          </cell>
        </row>
      </sheetData>
      <sheetData sheetId="2970">
        <row r="2">
          <cell r="F2" t="str">
            <v>INCH</v>
          </cell>
        </row>
      </sheetData>
      <sheetData sheetId="2971">
        <row r="2">
          <cell r="F2" t="str">
            <v>INCH</v>
          </cell>
        </row>
      </sheetData>
      <sheetData sheetId="2972">
        <row r="2">
          <cell r="F2" t="str">
            <v>INCH</v>
          </cell>
        </row>
      </sheetData>
      <sheetData sheetId="2973">
        <row r="2">
          <cell r="F2" t="str">
            <v>INCH</v>
          </cell>
        </row>
      </sheetData>
      <sheetData sheetId="2974">
        <row r="2">
          <cell r="F2" t="str">
            <v>INCH</v>
          </cell>
        </row>
      </sheetData>
      <sheetData sheetId="2975">
        <row r="2">
          <cell r="F2" t="str">
            <v>INCH</v>
          </cell>
        </row>
      </sheetData>
      <sheetData sheetId="2976">
        <row r="2">
          <cell r="F2" t="str">
            <v>INCH</v>
          </cell>
        </row>
      </sheetData>
      <sheetData sheetId="2977">
        <row r="2">
          <cell r="F2" t="str">
            <v>INCH</v>
          </cell>
        </row>
      </sheetData>
      <sheetData sheetId="2978">
        <row r="2">
          <cell r="F2" t="str">
            <v>INCH</v>
          </cell>
        </row>
      </sheetData>
      <sheetData sheetId="2979">
        <row r="2">
          <cell r="F2" t="str">
            <v>INCH</v>
          </cell>
        </row>
      </sheetData>
      <sheetData sheetId="2980">
        <row r="2">
          <cell r="F2" t="str">
            <v>INCH</v>
          </cell>
        </row>
      </sheetData>
      <sheetData sheetId="2981">
        <row r="2">
          <cell r="F2" t="str">
            <v>INCH</v>
          </cell>
        </row>
      </sheetData>
      <sheetData sheetId="2982">
        <row r="2">
          <cell r="F2" t="str">
            <v>INCH</v>
          </cell>
        </row>
      </sheetData>
      <sheetData sheetId="2983">
        <row r="2">
          <cell r="F2" t="str">
            <v>INCH</v>
          </cell>
        </row>
      </sheetData>
      <sheetData sheetId="2984">
        <row r="2">
          <cell r="F2" t="str">
            <v>INCH</v>
          </cell>
        </row>
      </sheetData>
      <sheetData sheetId="2985">
        <row r="2">
          <cell r="F2" t="str">
            <v>INCH</v>
          </cell>
        </row>
      </sheetData>
      <sheetData sheetId="2986">
        <row r="2">
          <cell r="F2" t="str">
            <v>INCH</v>
          </cell>
        </row>
      </sheetData>
      <sheetData sheetId="2987">
        <row r="2">
          <cell r="F2" t="str">
            <v>INCH</v>
          </cell>
        </row>
      </sheetData>
      <sheetData sheetId="2988">
        <row r="2">
          <cell r="F2" t="str">
            <v>INCH</v>
          </cell>
        </row>
      </sheetData>
      <sheetData sheetId="2989">
        <row r="2">
          <cell r="F2" t="str">
            <v>INCH</v>
          </cell>
        </row>
      </sheetData>
      <sheetData sheetId="2990">
        <row r="2">
          <cell r="F2" t="str">
            <v>INCH</v>
          </cell>
        </row>
      </sheetData>
      <sheetData sheetId="2991">
        <row r="2">
          <cell r="F2" t="str">
            <v>INCH</v>
          </cell>
        </row>
      </sheetData>
      <sheetData sheetId="2992">
        <row r="2">
          <cell r="F2" t="str">
            <v>INCH</v>
          </cell>
        </row>
      </sheetData>
      <sheetData sheetId="2993">
        <row r="2">
          <cell r="F2" t="str">
            <v>INCH</v>
          </cell>
        </row>
      </sheetData>
      <sheetData sheetId="2994">
        <row r="2">
          <cell r="F2" t="str">
            <v>INCH</v>
          </cell>
        </row>
      </sheetData>
      <sheetData sheetId="2995">
        <row r="2">
          <cell r="F2" t="str">
            <v>INCH</v>
          </cell>
        </row>
      </sheetData>
      <sheetData sheetId="2996">
        <row r="2">
          <cell r="F2" t="str">
            <v>INCH</v>
          </cell>
        </row>
      </sheetData>
      <sheetData sheetId="2997">
        <row r="2">
          <cell r="F2" t="str">
            <v>INCH</v>
          </cell>
        </row>
      </sheetData>
      <sheetData sheetId="2998">
        <row r="2">
          <cell r="F2" t="str">
            <v>INCH</v>
          </cell>
        </row>
      </sheetData>
      <sheetData sheetId="2999">
        <row r="2">
          <cell r="F2" t="str">
            <v>INCH</v>
          </cell>
        </row>
      </sheetData>
      <sheetData sheetId="3000">
        <row r="2">
          <cell r="F2" t="str">
            <v>INCH</v>
          </cell>
        </row>
      </sheetData>
      <sheetData sheetId="3001">
        <row r="2">
          <cell r="F2" t="str">
            <v>INCH</v>
          </cell>
        </row>
      </sheetData>
      <sheetData sheetId="3002">
        <row r="2">
          <cell r="F2" t="str">
            <v>INCH</v>
          </cell>
        </row>
      </sheetData>
      <sheetData sheetId="3003">
        <row r="2">
          <cell r="F2" t="str">
            <v>INCH</v>
          </cell>
        </row>
      </sheetData>
      <sheetData sheetId="3004">
        <row r="2">
          <cell r="F2" t="str">
            <v>INCH</v>
          </cell>
        </row>
      </sheetData>
      <sheetData sheetId="3005">
        <row r="2">
          <cell r="F2" t="str">
            <v>INCH</v>
          </cell>
        </row>
      </sheetData>
      <sheetData sheetId="3006">
        <row r="2">
          <cell r="F2" t="str">
            <v>INCH</v>
          </cell>
        </row>
      </sheetData>
      <sheetData sheetId="3007">
        <row r="2">
          <cell r="F2" t="str">
            <v>INCH</v>
          </cell>
        </row>
      </sheetData>
      <sheetData sheetId="3008">
        <row r="2">
          <cell r="F2" t="str">
            <v>INCH</v>
          </cell>
        </row>
      </sheetData>
      <sheetData sheetId="3009">
        <row r="2">
          <cell r="F2" t="str">
            <v>INCH</v>
          </cell>
        </row>
      </sheetData>
      <sheetData sheetId="3010">
        <row r="2">
          <cell r="F2" t="str">
            <v>INCH</v>
          </cell>
        </row>
      </sheetData>
      <sheetData sheetId="3011">
        <row r="2">
          <cell r="F2" t="str">
            <v>INCH</v>
          </cell>
        </row>
      </sheetData>
      <sheetData sheetId="3012">
        <row r="2">
          <cell r="F2" t="str">
            <v>INCH</v>
          </cell>
        </row>
      </sheetData>
      <sheetData sheetId="3013">
        <row r="2">
          <cell r="F2" t="str">
            <v>INCH</v>
          </cell>
        </row>
      </sheetData>
      <sheetData sheetId="3014">
        <row r="2">
          <cell r="F2" t="str">
            <v>INCH</v>
          </cell>
        </row>
      </sheetData>
      <sheetData sheetId="3015">
        <row r="2">
          <cell r="F2" t="str">
            <v>INCH</v>
          </cell>
        </row>
      </sheetData>
      <sheetData sheetId="3016">
        <row r="2">
          <cell r="F2" t="str">
            <v>INCH</v>
          </cell>
        </row>
      </sheetData>
      <sheetData sheetId="3017">
        <row r="2">
          <cell r="F2" t="str">
            <v>INCH</v>
          </cell>
        </row>
      </sheetData>
      <sheetData sheetId="3018">
        <row r="2">
          <cell r="F2" t="str">
            <v>INCH</v>
          </cell>
        </row>
      </sheetData>
      <sheetData sheetId="3019">
        <row r="2">
          <cell r="F2" t="str">
            <v>INCH</v>
          </cell>
        </row>
      </sheetData>
      <sheetData sheetId="3020" refreshError="1"/>
      <sheetData sheetId="3021" refreshError="1"/>
      <sheetData sheetId="3022" refreshError="1"/>
      <sheetData sheetId="3023" refreshError="1"/>
      <sheetData sheetId="3024" refreshError="1"/>
      <sheetData sheetId="3025" refreshError="1"/>
      <sheetData sheetId="3026" refreshError="1"/>
      <sheetData sheetId="3027" refreshError="1"/>
      <sheetData sheetId="3028" refreshError="1"/>
      <sheetData sheetId="3029" refreshError="1"/>
      <sheetData sheetId="3030" refreshError="1"/>
      <sheetData sheetId="3031" refreshError="1"/>
      <sheetData sheetId="3032" refreshError="1"/>
      <sheetData sheetId="3033" refreshError="1"/>
      <sheetData sheetId="3034" refreshError="1"/>
      <sheetData sheetId="3035" refreshError="1"/>
      <sheetData sheetId="3036" refreshError="1"/>
      <sheetData sheetId="3037" refreshError="1"/>
      <sheetData sheetId="3038" refreshError="1"/>
      <sheetData sheetId="3039" refreshError="1"/>
      <sheetData sheetId="3040" refreshError="1"/>
      <sheetData sheetId="3041" refreshError="1"/>
      <sheetData sheetId="3042" refreshError="1"/>
      <sheetData sheetId="3043" refreshError="1"/>
      <sheetData sheetId="3044" refreshError="1"/>
      <sheetData sheetId="3045" refreshError="1"/>
      <sheetData sheetId="3046" refreshError="1"/>
      <sheetData sheetId="3047" refreshError="1"/>
      <sheetData sheetId="3048">
        <row r="2">
          <cell r="F2" t="str">
            <v>INCH</v>
          </cell>
        </row>
      </sheetData>
      <sheetData sheetId="3049" refreshError="1"/>
      <sheetData sheetId="3050" refreshError="1"/>
      <sheetData sheetId="3051" refreshError="1"/>
      <sheetData sheetId="3052" refreshError="1"/>
      <sheetData sheetId="3053" refreshError="1"/>
      <sheetData sheetId="3054" refreshError="1"/>
      <sheetData sheetId="3055" refreshError="1"/>
      <sheetData sheetId="3056" refreshError="1"/>
      <sheetData sheetId="3057" refreshError="1"/>
      <sheetData sheetId="3058" refreshError="1"/>
      <sheetData sheetId="3059" refreshError="1"/>
      <sheetData sheetId="3060" refreshError="1"/>
      <sheetData sheetId="3061" refreshError="1"/>
      <sheetData sheetId="3062" refreshError="1"/>
      <sheetData sheetId="3063" refreshError="1"/>
      <sheetData sheetId="3064">
        <row r="2">
          <cell r="F2" t="str">
            <v>INCH</v>
          </cell>
        </row>
      </sheetData>
      <sheetData sheetId="3065">
        <row r="2">
          <cell r="F2" t="str">
            <v>INCH</v>
          </cell>
        </row>
      </sheetData>
      <sheetData sheetId="3066">
        <row r="2">
          <cell r="F2" t="str">
            <v>INCH</v>
          </cell>
        </row>
      </sheetData>
      <sheetData sheetId="3067">
        <row r="2">
          <cell r="F2" t="str">
            <v>INCH</v>
          </cell>
        </row>
      </sheetData>
      <sheetData sheetId="3068">
        <row r="2">
          <cell r="F2" t="str">
            <v>INCH</v>
          </cell>
        </row>
      </sheetData>
      <sheetData sheetId="3069">
        <row r="2">
          <cell r="F2" t="str">
            <v>INCH</v>
          </cell>
        </row>
      </sheetData>
      <sheetData sheetId="3070">
        <row r="2">
          <cell r="F2" t="str">
            <v>INCH</v>
          </cell>
        </row>
      </sheetData>
      <sheetData sheetId="3071">
        <row r="2">
          <cell r="F2" t="str">
            <v>INCH</v>
          </cell>
        </row>
      </sheetData>
      <sheetData sheetId="3072">
        <row r="2">
          <cell r="F2" t="str">
            <v>INCH</v>
          </cell>
        </row>
      </sheetData>
      <sheetData sheetId="3073">
        <row r="2">
          <cell r="F2" t="str">
            <v>INCH</v>
          </cell>
        </row>
      </sheetData>
      <sheetData sheetId="3074">
        <row r="2">
          <cell r="F2" t="str">
            <v>INCH</v>
          </cell>
        </row>
      </sheetData>
      <sheetData sheetId="3075">
        <row r="2">
          <cell r="F2" t="str">
            <v>INCH</v>
          </cell>
        </row>
      </sheetData>
      <sheetData sheetId="3076">
        <row r="2">
          <cell r="F2" t="str">
            <v>INCH</v>
          </cell>
        </row>
      </sheetData>
      <sheetData sheetId="3077">
        <row r="2">
          <cell r="F2" t="str">
            <v>INCH</v>
          </cell>
        </row>
      </sheetData>
      <sheetData sheetId="3078">
        <row r="2">
          <cell r="F2" t="str">
            <v>INCH</v>
          </cell>
        </row>
      </sheetData>
      <sheetData sheetId="3079">
        <row r="2">
          <cell r="F2" t="str">
            <v>INCH</v>
          </cell>
        </row>
      </sheetData>
      <sheetData sheetId="3080">
        <row r="2">
          <cell r="F2" t="str">
            <v>INCH</v>
          </cell>
        </row>
      </sheetData>
      <sheetData sheetId="3081">
        <row r="2">
          <cell r="F2" t="str">
            <v>INCH</v>
          </cell>
        </row>
      </sheetData>
      <sheetData sheetId="3082">
        <row r="2">
          <cell r="F2" t="str">
            <v>INCH</v>
          </cell>
        </row>
      </sheetData>
      <sheetData sheetId="3083">
        <row r="2">
          <cell r="F2" t="str">
            <v>INCH</v>
          </cell>
        </row>
      </sheetData>
      <sheetData sheetId="3084">
        <row r="2">
          <cell r="F2" t="str">
            <v>INCH</v>
          </cell>
        </row>
      </sheetData>
      <sheetData sheetId="3085">
        <row r="2">
          <cell r="F2" t="str">
            <v>INCH</v>
          </cell>
        </row>
      </sheetData>
      <sheetData sheetId="3086">
        <row r="2">
          <cell r="F2" t="str">
            <v>INCH</v>
          </cell>
        </row>
      </sheetData>
      <sheetData sheetId="3087">
        <row r="2">
          <cell r="F2" t="str">
            <v>INCH</v>
          </cell>
        </row>
      </sheetData>
      <sheetData sheetId="3088">
        <row r="2">
          <cell r="F2" t="str">
            <v>INCH</v>
          </cell>
        </row>
      </sheetData>
      <sheetData sheetId="3089">
        <row r="2">
          <cell r="F2" t="str">
            <v>INCH</v>
          </cell>
        </row>
      </sheetData>
      <sheetData sheetId="3090">
        <row r="2">
          <cell r="F2" t="str">
            <v>INCH</v>
          </cell>
        </row>
      </sheetData>
      <sheetData sheetId="3091">
        <row r="2">
          <cell r="F2" t="str">
            <v>INCH</v>
          </cell>
        </row>
      </sheetData>
      <sheetData sheetId="3092">
        <row r="2">
          <cell r="F2" t="str">
            <v>INCH</v>
          </cell>
        </row>
      </sheetData>
      <sheetData sheetId="3093">
        <row r="2">
          <cell r="F2" t="str">
            <v>INCH</v>
          </cell>
        </row>
      </sheetData>
      <sheetData sheetId="3094">
        <row r="2">
          <cell r="F2" t="str">
            <v>INCH</v>
          </cell>
        </row>
      </sheetData>
      <sheetData sheetId="3095">
        <row r="2">
          <cell r="F2" t="str">
            <v>INCH</v>
          </cell>
        </row>
      </sheetData>
      <sheetData sheetId="3096">
        <row r="2">
          <cell r="F2" t="str">
            <v>INCH</v>
          </cell>
        </row>
      </sheetData>
      <sheetData sheetId="3097">
        <row r="2">
          <cell r="F2" t="str">
            <v>INCH</v>
          </cell>
        </row>
      </sheetData>
      <sheetData sheetId="3098">
        <row r="2">
          <cell r="F2" t="str">
            <v>INCH</v>
          </cell>
        </row>
      </sheetData>
      <sheetData sheetId="3099">
        <row r="2">
          <cell r="F2" t="str">
            <v>INCH</v>
          </cell>
        </row>
      </sheetData>
      <sheetData sheetId="3100">
        <row r="2">
          <cell r="F2" t="str">
            <v>INCH</v>
          </cell>
        </row>
      </sheetData>
      <sheetData sheetId="3101">
        <row r="2">
          <cell r="F2" t="str">
            <v>INCH</v>
          </cell>
        </row>
      </sheetData>
      <sheetData sheetId="3102">
        <row r="2">
          <cell r="F2" t="str">
            <v>INCH</v>
          </cell>
        </row>
      </sheetData>
      <sheetData sheetId="3103">
        <row r="2">
          <cell r="F2" t="str">
            <v>INCH</v>
          </cell>
        </row>
      </sheetData>
      <sheetData sheetId="3104">
        <row r="2">
          <cell r="F2" t="str">
            <v>INCH</v>
          </cell>
        </row>
      </sheetData>
      <sheetData sheetId="3105">
        <row r="2">
          <cell r="F2" t="str">
            <v>INCH</v>
          </cell>
        </row>
      </sheetData>
      <sheetData sheetId="3106">
        <row r="2">
          <cell r="F2" t="str">
            <v>INCH</v>
          </cell>
        </row>
      </sheetData>
      <sheetData sheetId="3107">
        <row r="2">
          <cell r="F2" t="str">
            <v>INCH</v>
          </cell>
        </row>
      </sheetData>
      <sheetData sheetId="3108" refreshError="1"/>
      <sheetData sheetId="3109">
        <row r="2">
          <cell r="F2" t="str">
            <v>INCH</v>
          </cell>
        </row>
      </sheetData>
      <sheetData sheetId="3110">
        <row r="2">
          <cell r="F2" t="str">
            <v>INCH</v>
          </cell>
        </row>
      </sheetData>
      <sheetData sheetId="3111" refreshError="1"/>
      <sheetData sheetId="3112" refreshError="1"/>
      <sheetData sheetId="3113">
        <row r="2">
          <cell r="F2" t="str">
            <v>INCH</v>
          </cell>
        </row>
      </sheetData>
      <sheetData sheetId="3114">
        <row r="2">
          <cell r="F2" t="str">
            <v>INCH</v>
          </cell>
        </row>
      </sheetData>
      <sheetData sheetId="3115">
        <row r="2">
          <cell r="F2" t="str">
            <v>INCH</v>
          </cell>
        </row>
      </sheetData>
      <sheetData sheetId="3116">
        <row r="2">
          <cell r="F2" t="str">
            <v>INCH</v>
          </cell>
        </row>
      </sheetData>
      <sheetData sheetId="3117">
        <row r="2">
          <cell r="F2" t="str">
            <v>INCH</v>
          </cell>
        </row>
      </sheetData>
      <sheetData sheetId="3118">
        <row r="2">
          <cell r="F2" t="str">
            <v>INCH</v>
          </cell>
        </row>
      </sheetData>
      <sheetData sheetId="3119">
        <row r="2">
          <cell r="F2" t="str">
            <v>INCH</v>
          </cell>
        </row>
      </sheetData>
      <sheetData sheetId="3120">
        <row r="2">
          <cell r="F2" t="str">
            <v>INCH</v>
          </cell>
        </row>
      </sheetData>
      <sheetData sheetId="3121">
        <row r="2">
          <cell r="F2" t="str">
            <v>INCH</v>
          </cell>
        </row>
      </sheetData>
      <sheetData sheetId="3122" refreshError="1"/>
      <sheetData sheetId="3123">
        <row r="2">
          <cell r="F2" t="str">
            <v>INCH</v>
          </cell>
        </row>
      </sheetData>
      <sheetData sheetId="3124">
        <row r="2">
          <cell r="F2" t="str">
            <v>INCH</v>
          </cell>
        </row>
      </sheetData>
      <sheetData sheetId="3125">
        <row r="2">
          <cell r="F2" t="str">
            <v>INCH</v>
          </cell>
        </row>
      </sheetData>
      <sheetData sheetId="3126">
        <row r="2">
          <cell r="F2" t="str">
            <v>INCH</v>
          </cell>
        </row>
      </sheetData>
      <sheetData sheetId="3127">
        <row r="2">
          <cell r="F2" t="str">
            <v>INCH</v>
          </cell>
        </row>
      </sheetData>
      <sheetData sheetId="3128">
        <row r="2">
          <cell r="F2" t="str">
            <v>INCH</v>
          </cell>
        </row>
      </sheetData>
      <sheetData sheetId="3129">
        <row r="2">
          <cell r="F2" t="str">
            <v>INCH</v>
          </cell>
        </row>
      </sheetData>
      <sheetData sheetId="3130">
        <row r="2">
          <cell r="F2" t="str">
            <v>INCH</v>
          </cell>
        </row>
      </sheetData>
      <sheetData sheetId="3131">
        <row r="2">
          <cell r="F2" t="str">
            <v>INCH</v>
          </cell>
        </row>
      </sheetData>
      <sheetData sheetId="3132">
        <row r="2">
          <cell r="F2" t="str">
            <v>INCH</v>
          </cell>
        </row>
      </sheetData>
      <sheetData sheetId="3133">
        <row r="2">
          <cell r="F2" t="str">
            <v>INCH</v>
          </cell>
        </row>
      </sheetData>
      <sheetData sheetId="3134">
        <row r="2">
          <cell r="F2" t="str">
            <v>INCH</v>
          </cell>
        </row>
      </sheetData>
      <sheetData sheetId="3135">
        <row r="2">
          <cell r="F2" t="str">
            <v>INCH</v>
          </cell>
        </row>
      </sheetData>
      <sheetData sheetId="3136">
        <row r="2">
          <cell r="F2" t="str">
            <v>INCH</v>
          </cell>
        </row>
      </sheetData>
      <sheetData sheetId="3137">
        <row r="2">
          <cell r="F2" t="str">
            <v>INCH</v>
          </cell>
        </row>
      </sheetData>
      <sheetData sheetId="3138">
        <row r="2">
          <cell r="F2" t="str">
            <v>INCH</v>
          </cell>
        </row>
      </sheetData>
      <sheetData sheetId="3139">
        <row r="2">
          <cell r="F2" t="str">
            <v>INCH</v>
          </cell>
        </row>
      </sheetData>
      <sheetData sheetId="3140">
        <row r="2">
          <cell r="F2" t="str">
            <v>INCH</v>
          </cell>
        </row>
      </sheetData>
      <sheetData sheetId="3141">
        <row r="2">
          <cell r="F2" t="str">
            <v>INCH</v>
          </cell>
        </row>
      </sheetData>
      <sheetData sheetId="3142">
        <row r="2">
          <cell r="F2" t="str">
            <v>INCH</v>
          </cell>
        </row>
      </sheetData>
      <sheetData sheetId="3143">
        <row r="2">
          <cell r="F2" t="str">
            <v>INCH</v>
          </cell>
        </row>
      </sheetData>
      <sheetData sheetId="3144">
        <row r="2">
          <cell r="F2" t="str">
            <v>INCH</v>
          </cell>
        </row>
      </sheetData>
      <sheetData sheetId="3145">
        <row r="2">
          <cell r="F2" t="str">
            <v>INCH</v>
          </cell>
        </row>
      </sheetData>
      <sheetData sheetId="3146">
        <row r="2">
          <cell r="F2" t="str">
            <v>INCH</v>
          </cell>
        </row>
      </sheetData>
      <sheetData sheetId="3147">
        <row r="2">
          <cell r="F2" t="str">
            <v>INCH</v>
          </cell>
        </row>
      </sheetData>
      <sheetData sheetId="3148">
        <row r="2">
          <cell r="F2" t="str">
            <v>INCH</v>
          </cell>
        </row>
      </sheetData>
      <sheetData sheetId="3149">
        <row r="2">
          <cell r="F2" t="str">
            <v>INCH</v>
          </cell>
        </row>
      </sheetData>
      <sheetData sheetId="3150">
        <row r="2">
          <cell r="F2" t="str">
            <v>INCH</v>
          </cell>
        </row>
      </sheetData>
      <sheetData sheetId="3151">
        <row r="2">
          <cell r="F2" t="str">
            <v>INCH</v>
          </cell>
        </row>
      </sheetData>
      <sheetData sheetId="3152">
        <row r="2">
          <cell r="F2" t="str">
            <v>INCH</v>
          </cell>
        </row>
      </sheetData>
      <sheetData sheetId="3153">
        <row r="2">
          <cell r="F2" t="str">
            <v>INCH</v>
          </cell>
        </row>
      </sheetData>
      <sheetData sheetId="3154">
        <row r="2">
          <cell r="F2" t="str">
            <v>INCH</v>
          </cell>
        </row>
      </sheetData>
      <sheetData sheetId="3155">
        <row r="2">
          <cell r="F2" t="str">
            <v>INCH</v>
          </cell>
        </row>
      </sheetData>
      <sheetData sheetId="3156">
        <row r="2">
          <cell r="F2" t="str">
            <v>INCH</v>
          </cell>
        </row>
      </sheetData>
      <sheetData sheetId="3157">
        <row r="2">
          <cell r="F2" t="str">
            <v>INCH</v>
          </cell>
        </row>
      </sheetData>
      <sheetData sheetId="3158">
        <row r="2">
          <cell r="F2" t="str">
            <v>INCH</v>
          </cell>
        </row>
      </sheetData>
      <sheetData sheetId="3159">
        <row r="2">
          <cell r="F2" t="str">
            <v>INCH</v>
          </cell>
        </row>
      </sheetData>
      <sheetData sheetId="3160">
        <row r="2">
          <cell r="F2" t="str">
            <v>INCH</v>
          </cell>
        </row>
      </sheetData>
      <sheetData sheetId="3161">
        <row r="2">
          <cell r="F2" t="str">
            <v>INCH</v>
          </cell>
        </row>
      </sheetData>
      <sheetData sheetId="3162">
        <row r="2">
          <cell r="F2" t="str">
            <v>INCH</v>
          </cell>
        </row>
      </sheetData>
      <sheetData sheetId="3163">
        <row r="2">
          <cell r="F2" t="str">
            <v>INCH</v>
          </cell>
        </row>
      </sheetData>
      <sheetData sheetId="3164">
        <row r="2">
          <cell r="F2" t="str">
            <v>INCH</v>
          </cell>
        </row>
      </sheetData>
      <sheetData sheetId="3165">
        <row r="2">
          <cell r="F2" t="str">
            <v>INCH</v>
          </cell>
        </row>
      </sheetData>
      <sheetData sheetId="3166">
        <row r="2">
          <cell r="F2" t="str">
            <v>INCH</v>
          </cell>
        </row>
      </sheetData>
      <sheetData sheetId="3167">
        <row r="2">
          <cell r="F2" t="str">
            <v>INCH</v>
          </cell>
        </row>
      </sheetData>
      <sheetData sheetId="3168">
        <row r="2">
          <cell r="F2" t="str">
            <v>INCH</v>
          </cell>
        </row>
      </sheetData>
      <sheetData sheetId="3169">
        <row r="2">
          <cell r="F2" t="str">
            <v>INCH</v>
          </cell>
        </row>
      </sheetData>
      <sheetData sheetId="3170">
        <row r="2">
          <cell r="F2" t="str">
            <v>INCH</v>
          </cell>
        </row>
      </sheetData>
      <sheetData sheetId="3171">
        <row r="2">
          <cell r="F2" t="str">
            <v>INCH</v>
          </cell>
        </row>
      </sheetData>
      <sheetData sheetId="3172">
        <row r="2">
          <cell r="F2" t="str">
            <v>INCH</v>
          </cell>
        </row>
      </sheetData>
      <sheetData sheetId="3173">
        <row r="2">
          <cell r="F2" t="str">
            <v>INCH</v>
          </cell>
        </row>
      </sheetData>
      <sheetData sheetId="3174">
        <row r="2">
          <cell r="F2" t="str">
            <v>INCH</v>
          </cell>
        </row>
      </sheetData>
      <sheetData sheetId="3175">
        <row r="2">
          <cell r="F2" t="str">
            <v>INCH</v>
          </cell>
        </row>
      </sheetData>
      <sheetData sheetId="3176">
        <row r="2">
          <cell r="F2" t="str">
            <v>INCH</v>
          </cell>
        </row>
      </sheetData>
      <sheetData sheetId="3177">
        <row r="2">
          <cell r="F2" t="str">
            <v>INCH</v>
          </cell>
        </row>
      </sheetData>
      <sheetData sheetId="3178">
        <row r="2">
          <cell r="F2" t="str">
            <v>INCH</v>
          </cell>
        </row>
      </sheetData>
      <sheetData sheetId="3179">
        <row r="2">
          <cell r="F2" t="str">
            <v>INCH</v>
          </cell>
        </row>
      </sheetData>
      <sheetData sheetId="3180">
        <row r="2">
          <cell r="F2" t="str">
            <v>INCH</v>
          </cell>
        </row>
      </sheetData>
      <sheetData sheetId="3181">
        <row r="2">
          <cell r="F2" t="str">
            <v>INCH</v>
          </cell>
        </row>
      </sheetData>
      <sheetData sheetId="3182">
        <row r="2">
          <cell r="F2" t="str">
            <v>INCH</v>
          </cell>
        </row>
      </sheetData>
      <sheetData sheetId="3183">
        <row r="2">
          <cell r="F2" t="str">
            <v>INCH</v>
          </cell>
        </row>
      </sheetData>
      <sheetData sheetId="3184">
        <row r="2">
          <cell r="F2" t="str">
            <v>INCH</v>
          </cell>
        </row>
      </sheetData>
      <sheetData sheetId="3185">
        <row r="2">
          <cell r="F2" t="str">
            <v>INCH</v>
          </cell>
        </row>
      </sheetData>
      <sheetData sheetId="3186">
        <row r="2">
          <cell r="F2" t="str">
            <v>INCH</v>
          </cell>
        </row>
      </sheetData>
      <sheetData sheetId="3187">
        <row r="2">
          <cell r="F2" t="str">
            <v>INCH</v>
          </cell>
        </row>
      </sheetData>
      <sheetData sheetId="3188">
        <row r="2">
          <cell r="F2" t="str">
            <v>INCH</v>
          </cell>
        </row>
      </sheetData>
      <sheetData sheetId="3189">
        <row r="2">
          <cell r="F2" t="str">
            <v>INCH</v>
          </cell>
        </row>
      </sheetData>
      <sheetData sheetId="3190">
        <row r="2">
          <cell r="F2" t="str">
            <v>INCH</v>
          </cell>
        </row>
      </sheetData>
      <sheetData sheetId="3191">
        <row r="2">
          <cell r="F2" t="str">
            <v>INCH</v>
          </cell>
        </row>
      </sheetData>
      <sheetData sheetId="3192">
        <row r="2">
          <cell r="F2" t="str">
            <v>INCH</v>
          </cell>
        </row>
      </sheetData>
      <sheetData sheetId="3193">
        <row r="2">
          <cell r="F2" t="str">
            <v>INCH</v>
          </cell>
        </row>
      </sheetData>
      <sheetData sheetId="3194">
        <row r="2">
          <cell r="F2" t="str">
            <v>INCH</v>
          </cell>
        </row>
      </sheetData>
      <sheetData sheetId="3195">
        <row r="2">
          <cell r="F2" t="str">
            <v>INCH</v>
          </cell>
        </row>
      </sheetData>
      <sheetData sheetId="3196">
        <row r="2">
          <cell r="F2" t="str">
            <v>INCH</v>
          </cell>
        </row>
      </sheetData>
      <sheetData sheetId="3197">
        <row r="2">
          <cell r="F2" t="str">
            <v>INCH</v>
          </cell>
        </row>
      </sheetData>
      <sheetData sheetId="3198">
        <row r="2">
          <cell r="F2" t="str">
            <v>INCH</v>
          </cell>
        </row>
      </sheetData>
      <sheetData sheetId="3199">
        <row r="2">
          <cell r="F2" t="str">
            <v>INCH</v>
          </cell>
        </row>
      </sheetData>
      <sheetData sheetId="3200">
        <row r="2">
          <cell r="F2" t="str">
            <v>INCH</v>
          </cell>
        </row>
      </sheetData>
      <sheetData sheetId="3201">
        <row r="2">
          <cell r="F2" t="str">
            <v>INCH</v>
          </cell>
        </row>
      </sheetData>
      <sheetData sheetId="3202">
        <row r="2">
          <cell r="F2" t="str">
            <v>INCH</v>
          </cell>
        </row>
      </sheetData>
      <sheetData sheetId="3203">
        <row r="2">
          <cell r="F2" t="str">
            <v>INCH</v>
          </cell>
        </row>
      </sheetData>
      <sheetData sheetId="3204">
        <row r="2">
          <cell r="F2" t="str">
            <v>INCH</v>
          </cell>
        </row>
      </sheetData>
      <sheetData sheetId="3205">
        <row r="2">
          <cell r="F2" t="str">
            <v>INCH</v>
          </cell>
        </row>
      </sheetData>
      <sheetData sheetId="3206">
        <row r="2">
          <cell r="F2" t="str">
            <v>INCH</v>
          </cell>
        </row>
      </sheetData>
      <sheetData sheetId="3207">
        <row r="2">
          <cell r="F2" t="str">
            <v>INCH</v>
          </cell>
        </row>
      </sheetData>
      <sheetData sheetId="3208">
        <row r="2">
          <cell r="F2" t="str">
            <v>INCH</v>
          </cell>
        </row>
      </sheetData>
      <sheetData sheetId="3209">
        <row r="2">
          <cell r="F2" t="str">
            <v>INCH</v>
          </cell>
        </row>
      </sheetData>
      <sheetData sheetId="3210">
        <row r="2">
          <cell r="F2" t="str">
            <v>INCH</v>
          </cell>
        </row>
      </sheetData>
      <sheetData sheetId="3211">
        <row r="2">
          <cell r="F2" t="str">
            <v>INCH</v>
          </cell>
        </row>
      </sheetData>
      <sheetData sheetId="3212">
        <row r="2">
          <cell r="F2" t="str">
            <v>INCH</v>
          </cell>
        </row>
      </sheetData>
      <sheetData sheetId="3213">
        <row r="2">
          <cell r="F2" t="str">
            <v>INCH</v>
          </cell>
        </row>
      </sheetData>
      <sheetData sheetId="3214">
        <row r="2">
          <cell r="F2" t="str">
            <v>INCH</v>
          </cell>
        </row>
      </sheetData>
      <sheetData sheetId="3215">
        <row r="2">
          <cell r="F2" t="str">
            <v>INCH</v>
          </cell>
        </row>
      </sheetData>
      <sheetData sheetId="3216">
        <row r="2">
          <cell r="F2" t="str">
            <v>INCH</v>
          </cell>
        </row>
      </sheetData>
      <sheetData sheetId="3217">
        <row r="2">
          <cell r="F2" t="str">
            <v>INCH</v>
          </cell>
        </row>
      </sheetData>
      <sheetData sheetId="3218">
        <row r="2">
          <cell r="F2" t="str">
            <v>INCH</v>
          </cell>
        </row>
      </sheetData>
      <sheetData sheetId="3219">
        <row r="2">
          <cell r="F2" t="str">
            <v>INCH</v>
          </cell>
        </row>
      </sheetData>
      <sheetData sheetId="3220">
        <row r="2">
          <cell r="F2" t="str">
            <v>INCH</v>
          </cell>
        </row>
      </sheetData>
      <sheetData sheetId="3221">
        <row r="2">
          <cell r="F2" t="str">
            <v>INCH</v>
          </cell>
        </row>
      </sheetData>
      <sheetData sheetId="3222" refreshError="1"/>
      <sheetData sheetId="3223">
        <row r="2">
          <cell r="F2" t="str">
            <v>INCH</v>
          </cell>
        </row>
      </sheetData>
      <sheetData sheetId="3224">
        <row r="2">
          <cell r="F2" t="str">
            <v>INCH</v>
          </cell>
        </row>
      </sheetData>
      <sheetData sheetId="3225" refreshError="1"/>
      <sheetData sheetId="3226" refreshError="1"/>
      <sheetData sheetId="3227" refreshError="1"/>
      <sheetData sheetId="3228" refreshError="1"/>
      <sheetData sheetId="3229" refreshError="1"/>
      <sheetData sheetId="3230" refreshError="1"/>
      <sheetData sheetId="3231" refreshError="1"/>
      <sheetData sheetId="3232" refreshError="1"/>
      <sheetData sheetId="3233" refreshError="1"/>
      <sheetData sheetId="3234" refreshError="1"/>
      <sheetData sheetId="3235" refreshError="1"/>
      <sheetData sheetId="3236" refreshError="1"/>
      <sheetData sheetId="3237" refreshError="1"/>
      <sheetData sheetId="3238" refreshError="1"/>
      <sheetData sheetId="3239" refreshError="1"/>
      <sheetData sheetId="3240" refreshError="1"/>
      <sheetData sheetId="3241" refreshError="1"/>
      <sheetData sheetId="3242" refreshError="1"/>
      <sheetData sheetId="3243" refreshError="1"/>
      <sheetData sheetId="3244" refreshError="1"/>
      <sheetData sheetId="3245" refreshError="1"/>
      <sheetData sheetId="3246" refreshError="1"/>
      <sheetData sheetId="3247" refreshError="1"/>
      <sheetData sheetId="3248" refreshError="1"/>
      <sheetData sheetId="3249" refreshError="1"/>
      <sheetData sheetId="3250" refreshError="1"/>
      <sheetData sheetId="3251" refreshError="1"/>
      <sheetData sheetId="3252" refreshError="1"/>
      <sheetData sheetId="3253" refreshError="1"/>
      <sheetData sheetId="3254" refreshError="1"/>
      <sheetData sheetId="3255" refreshError="1"/>
      <sheetData sheetId="3256" refreshError="1"/>
      <sheetData sheetId="3257" refreshError="1"/>
      <sheetData sheetId="3258" refreshError="1"/>
      <sheetData sheetId="3259" refreshError="1"/>
      <sheetData sheetId="3260" refreshError="1"/>
      <sheetData sheetId="3261" refreshError="1"/>
      <sheetData sheetId="3262" refreshError="1"/>
      <sheetData sheetId="3263" refreshError="1"/>
      <sheetData sheetId="3264" refreshError="1"/>
      <sheetData sheetId="3265" refreshError="1"/>
      <sheetData sheetId="3266" refreshError="1"/>
      <sheetData sheetId="3267" refreshError="1"/>
      <sheetData sheetId="3268" refreshError="1"/>
      <sheetData sheetId="3269" refreshError="1"/>
      <sheetData sheetId="3270" refreshError="1"/>
      <sheetData sheetId="3271" refreshError="1"/>
      <sheetData sheetId="3272" refreshError="1"/>
      <sheetData sheetId="3273" refreshError="1"/>
      <sheetData sheetId="3274" refreshError="1"/>
      <sheetData sheetId="3275" refreshError="1"/>
      <sheetData sheetId="3276" refreshError="1"/>
      <sheetData sheetId="3277" refreshError="1"/>
      <sheetData sheetId="3278" refreshError="1"/>
      <sheetData sheetId="3279" refreshError="1"/>
      <sheetData sheetId="3280" refreshError="1"/>
      <sheetData sheetId="3281" refreshError="1"/>
      <sheetData sheetId="3282" refreshError="1"/>
      <sheetData sheetId="3283" refreshError="1"/>
      <sheetData sheetId="3284" refreshError="1"/>
      <sheetData sheetId="3285" refreshError="1"/>
      <sheetData sheetId="3286" refreshError="1"/>
      <sheetData sheetId="3287" refreshError="1"/>
      <sheetData sheetId="3288" refreshError="1"/>
      <sheetData sheetId="3289" refreshError="1"/>
      <sheetData sheetId="3290" refreshError="1"/>
      <sheetData sheetId="3291" refreshError="1"/>
      <sheetData sheetId="3292" refreshError="1"/>
      <sheetData sheetId="3293" refreshError="1"/>
      <sheetData sheetId="3294" refreshError="1"/>
      <sheetData sheetId="3295" refreshError="1"/>
      <sheetData sheetId="3296" refreshError="1"/>
      <sheetData sheetId="3297" refreshError="1"/>
      <sheetData sheetId="3298" refreshError="1"/>
      <sheetData sheetId="3299" refreshError="1"/>
      <sheetData sheetId="3300" refreshError="1"/>
      <sheetData sheetId="3301" refreshError="1"/>
      <sheetData sheetId="3302" refreshError="1"/>
      <sheetData sheetId="3303" refreshError="1"/>
      <sheetData sheetId="3304" refreshError="1"/>
      <sheetData sheetId="3305" refreshError="1"/>
      <sheetData sheetId="3306" refreshError="1"/>
      <sheetData sheetId="3307" refreshError="1"/>
      <sheetData sheetId="3308" refreshError="1"/>
      <sheetData sheetId="3309" refreshError="1"/>
      <sheetData sheetId="3310" refreshError="1"/>
      <sheetData sheetId="3311" refreshError="1"/>
      <sheetData sheetId="3312" refreshError="1"/>
      <sheetData sheetId="3313" refreshError="1"/>
      <sheetData sheetId="3314" refreshError="1"/>
      <sheetData sheetId="3315" refreshError="1"/>
      <sheetData sheetId="3316" refreshError="1"/>
      <sheetData sheetId="3317" refreshError="1"/>
      <sheetData sheetId="3318" refreshError="1"/>
      <sheetData sheetId="3319" refreshError="1"/>
      <sheetData sheetId="3320" refreshError="1"/>
      <sheetData sheetId="3321" refreshError="1"/>
      <sheetData sheetId="3322" refreshError="1"/>
      <sheetData sheetId="3323" refreshError="1"/>
      <sheetData sheetId="3324" refreshError="1"/>
      <sheetData sheetId="3325" refreshError="1"/>
      <sheetData sheetId="3326" refreshError="1"/>
      <sheetData sheetId="3327" refreshError="1"/>
      <sheetData sheetId="3328" refreshError="1"/>
      <sheetData sheetId="3329" refreshError="1"/>
      <sheetData sheetId="3330" refreshError="1"/>
      <sheetData sheetId="3331" refreshError="1"/>
      <sheetData sheetId="3332" refreshError="1"/>
      <sheetData sheetId="3333" refreshError="1"/>
      <sheetData sheetId="3334" refreshError="1"/>
      <sheetData sheetId="3335" refreshError="1"/>
      <sheetData sheetId="3336" refreshError="1"/>
      <sheetData sheetId="3337" refreshError="1"/>
      <sheetData sheetId="3338" refreshError="1"/>
      <sheetData sheetId="3339" refreshError="1"/>
      <sheetData sheetId="3340" refreshError="1"/>
      <sheetData sheetId="3341" refreshError="1"/>
      <sheetData sheetId="3342" refreshError="1"/>
      <sheetData sheetId="3343" refreshError="1"/>
      <sheetData sheetId="3344">
        <row r="2">
          <cell r="F2" t="str">
            <v>INCH</v>
          </cell>
        </row>
      </sheetData>
      <sheetData sheetId="3345">
        <row r="2">
          <cell r="F2" t="str">
            <v>INCH</v>
          </cell>
        </row>
      </sheetData>
      <sheetData sheetId="3346">
        <row r="2">
          <cell r="F2" t="str">
            <v>INCH</v>
          </cell>
        </row>
      </sheetData>
      <sheetData sheetId="3347">
        <row r="2">
          <cell r="F2" t="str">
            <v>INCH</v>
          </cell>
        </row>
      </sheetData>
      <sheetData sheetId="3348">
        <row r="2">
          <cell r="F2" t="str">
            <v>INCH</v>
          </cell>
        </row>
      </sheetData>
      <sheetData sheetId="3349">
        <row r="2">
          <cell r="F2" t="str">
            <v>INCH</v>
          </cell>
        </row>
      </sheetData>
      <sheetData sheetId="3350">
        <row r="2">
          <cell r="F2" t="str">
            <v>INCH</v>
          </cell>
        </row>
      </sheetData>
      <sheetData sheetId="3351" refreshError="1"/>
      <sheetData sheetId="3352" refreshError="1"/>
      <sheetData sheetId="3353" refreshError="1"/>
      <sheetData sheetId="3354" refreshError="1"/>
      <sheetData sheetId="3355" refreshError="1"/>
      <sheetData sheetId="3356" refreshError="1"/>
      <sheetData sheetId="3357" refreshError="1"/>
      <sheetData sheetId="3358" refreshError="1"/>
      <sheetData sheetId="3359" refreshError="1"/>
      <sheetData sheetId="3360" refreshError="1"/>
      <sheetData sheetId="3361" refreshError="1"/>
      <sheetData sheetId="3362" refreshError="1"/>
      <sheetData sheetId="3363" refreshError="1"/>
      <sheetData sheetId="3364" refreshError="1"/>
      <sheetData sheetId="3365" refreshError="1"/>
      <sheetData sheetId="3366" refreshError="1"/>
      <sheetData sheetId="3367" refreshError="1"/>
      <sheetData sheetId="3368" refreshError="1"/>
      <sheetData sheetId="3369" refreshError="1"/>
      <sheetData sheetId="3370" refreshError="1"/>
      <sheetData sheetId="3371" refreshError="1"/>
      <sheetData sheetId="3372" refreshError="1"/>
      <sheetData sheetId="3373" refreshError="1"/>
      <sheetData sheetId="3374" refreshError="1"/>
      <sheetData sheetId="3375" refreshError="1"/>
      <sheetData sheetId="3376" refreshError="1"/>
      <sheetData sheetId="3377" refreshError="1"/>
      <sheetData sheetId="3378" refreshError="1"/>
      <sheetData sheetId="3379" refreshError="1"/>
      <sheetData sheetId="3380" refreshError="1"/>
      <sheetData sheetId="3381" refreshError="1"/>
      <sheetData sheetId="3382" refreshError="1"/>
      <sheetData sheetId="3383" refreshError="1"/>
      <sheetData sheetId="3384" refreshError="1"/>
      <sheetData sheetId="3385" refreshError="1"/>
      <sheetData sheetId="3386" refreshError="1"/>
      <sheetData sheetId="3387" refreshError="1"/>
      <sheetData sheetId="3388" refreshError="1"/>
      <sheetData sheetId="3389" refreshError="1"/>
      <sheetData sheetId="3390" refreshError="1"/>
      <sheetData sheetId="3391" refreshError="1"/>
      <sheetData sheetId="3392">
        <row r="2">
          <cell r="F2" t="str">
            <v>INCH</v>
          </cell>
        </row>
      </sheetData>
      <sheetData sheetId="3393">
        <row r="2">
          <cell r="F2" t="str">
            <v>INCH</v>
          </cell>
        </row>
      </sheetData>
      <sheetData sheetId="3394"/>
      <sheetData sheetId="3395"/>
      <sheetData sheetId="3396"/>
      <sheetData sheetId="3397"/>
      <sheetData sheetId="3398" refreshError="1"/>
      <sheetData sheetId="3399" refreshError="1"/>
      <sheetData sheetId="3400">
        <row r="2">
          <cell r="F2" t="str">
            <v>INCH</v>
          </cell>
        </row>
      </sheetData>
      <sheetData sheetId="3401">
        <row r="2">
          <cell r="F2" t="str">
            <v>INCH</v>
          </cell>
        </row>
      </sheetData>
      <sheetData sheetId="3402" refreshError="1"/>
      <sheetData sheetId="3403">
        <row r="2">
          <cell r="F2" t="str">
            <v>INCH</v>
          </cell>
        </row>
      </sheetData>
      <sheetData sheetId="3404">
        <row r="2">
          <cell r="F2" t="str">
            <v>INCH</v>
          </cell>
        </row>
      </sheetData>
      <sheetData sheetId="3405" refreshError="1"/>
      <sheetData sheetId="3406" refreshError="1"/>
      <sheetData sheetId="3407" refreshError="1"/>
      <sheetData sheetId="3408" refreshError="1"/>
      <sheetData sheetId="3409" refreshError="1"/>
      <sheetData sheetId="3410">
        <row r="2">
          <cell r="F2" t="str">
            <v>INCH</v>
          </cell>
        </row>
      </sheetData>
      <sheetData sheetId="3411">
        <row r="2">
          <cell r="F2" t="str">
            <v>INCH</v>
          </cell>
        </row>
      </sheetData>
      <sheetData sheetId="3412">
        <row r="2">
          <cell r="F2" t="str">
            <v>INCH</v>
          </cell>
        </row>
      </sheetData>
      <sheetData sheetId="3413" refreshError="1"/>
      <sheetData sheetId="3414">
        <row r="2">
          <cell r="F2" t="str">
            <v>INCH</v>
          </cell>
        </row>
      </sheetData>
      <sheetData sheetId="3415">
        <row r="2">
          <cell r="F2" t="str">
            <v>INCH</v>
          </cell>
        </row>
      </sheetData>
      <sheetData sheetId="3416">
        <row r="2">
          <cell r="F2" t="str">
            <v>INCH</v>
          </cell>
        </row>
      </sheetData>
      <sheetData sheetId="3417">
        <row r="2">
          <cell r="F2" t="str">
            <v>INCH</v>
          </cell>
        </row>
      </sheetData>
      <sheetData sheetId="3418">
        <row r="2">
          <cell r="F2" t="str">
            <v>INCH</v>
          </cell>
        </row>
      </sheetData>
      <sheetData sheetId="3419"/>
      <sheetData sheetId="3420">
        <row r="2">
          <cell r="F2" t="str">
            <v>INCH</v>
          </cell>
        </row>
      </sheetData>
      <sheetData sheetId="3421">
        <row r="2">
          <cell r="F2" t="str">
            <v>INCH</v>
          </cell>
        </row>
      </sheetData>
      <sheetData sheetId="3422">
        <row r="2">
          <cell r="F2" t="str">
            <v>INCH</v>
          </cell>
        </row>
      </sheetData>
      <sheetData sheetId="3423">
        <row r="2">
          <cell r="F2" t="str">
            <v>INCH</v>
          </cell>
        </row>
      </sheetData>
      <sheetData sheetId="3424">
        <row r="2">
          <cell r="F2" t="str">
            <v>INCH</v>
          </cell>
        </row>
      </sheetData>
      <sheetData sheetId="3425">
        <row r="2">
          <cell r="F2" t="str">
            <v>INCH</v>
          </cell>
        </row>
      </sheetData>
      <sheetData sheetId="3426">
        <row r="2">
          <cell r="F2" t="str">
            <v>INCH</v>
          </cell>
        </row>
      </sheetData>
      <sheetData sheetId="3427">
        <row r="2">
          <cell r="F2" t="str">
            <v>INCH</v>
          </cell>
        </row>
      </sheetData>
      <sheetData sheetId="3428">
        <row r="2">
          <cell r="F2" t="str">
            <v>INCH</v>
          </cell>
        </row>
      </sheetData>
      <sheetData sheetId="3429">
        <row r="2">
          <cell r="F2" t="str">
            <v>INCH</v>
          </cell>
        </row>
      </sheetData>
      <sheetData sheetId="3430" refreshError="1"/>
      <sheetData sheetId="3431" refreshError="1"/>
      <sheetData sheetId="3432">
        <row r="2">
          <cell r="F2" t="str">
            <v>INCH</v>
          </cell>
        </row>
      </sheetData>
      <sheetData sheetId="3433">
        <row r="2">
          <cell r="F2" t="str">
            <v>INCH</v>
          </cell>
        </row>
      </sheetData>
      <sheetData sheetId="3434">
        <row r="2">
          <cell r="F2" t="str">
            <v>INCH</v>
          </cell>
        </row>
      </sheetData>
      <sheetData sheetId="3435">
        <row r="2">
          <cell r="F2" t="str">
            <v>INCH</v>
          </cell>
        </row>
      </sheetData>
      <sheetData sheetId="3436">
        <row r="2">
          <cell r="F2" t="str">
            <v>INCH</v>
          </cell>
        </row>
      </sheetData>
      <sheetData sheetId="3437">
        <row r="2">
          <cell r="F2" t="str">
            <v>INCH</v>
          </cell>
        </row>
      </sheetData>
      <sheetData sheetId="3438">
        <row r="2">
          <cell r="F2" t="str">
            <v>INCH</v>
          </cell>
        </row>
      </sheetData>
      <sheetData sheetId="3439"/>
      <sheetData sheetId="3440"/>
      <sheetData sheetId="3441"/>
      <sheetData sheetId="3442">
        <row r="2">
          <cell r="F2" t="str">
            <v>INCH</v>
          </cell>
        </row>
      </sheetData>
      <sheetData sheetId="3443"/>
      <sheetData sheetId="3444"/>
      <sheetData sheetId="3445"/>
      <sheetData sheetId="3446"/>
      <sheetData sheetId="3447"/>
      <sheetData sheetId="3448"/>
      <sheetData sheetId="3449">
        <row r="2">
          <cell r="F2" t="str">
            <v>INCH</v>
          </cell>
        </row>
      </sheetData>
      <sheetData sheetId="3450" refreshError="1"/>
      <sheetData sheetId="3451" refreshError="1"/>
      <sheetData sheetId="3452" refreshError="1"/>
      <sheetData sheetId="3453"/>
      <sheetData sheetId="3454" refreshError="1"/>
      <sheetData sheetId="3455" refreshError="1"/>
      <sheetData sheetId="3456" refreshError="1"/>
      <sheetData sheetId="3457" refreshError="1"/>
      <sheetData sheetId="3458" refreshError="1"/>
      <sheetData sheetId="3459" refreshError="1"/>
      <sheetData sheetId="3460" refreshError="1"/>
      <sheetData sheetId="3461">
        <row r="2">
          <cell r="F2" t="str">
            <v>INCH</v>
          </cell>
        </row>
      </sheetData>
      <sheetData sheetId="3462" refreshError="1"/>
      <sheetData sheetId="3463"/>
      <sheetData sheetId="3464" refreshError="1"/>
      <sheetData sheetId="3465" refreshError="1"/>
      <sheetData sheetId="3466" refreshError="1"/>
      <sheetData sheetId="3467" refreshError="1"/>
      <sheetData sheetId="3468" refreshError="1"/>
      <sheetData sheetId="3469" refreshError="1"/>
      <sheetData sheetId="3470" refreshError="1"/>
      <sheetData sheetId="3471" refreshError="1"/>
      <sheetData sheetId="3472"/>
      <sheetData sheetId="3473" refreshError="1"/>
      <sheetData sheetId="3474" refreshError="1"/>
      <sheetData sheetId="3475" refreshError="1"/>
      <sheetData sheetId="3476" refreshError="1"/>
      <sheetData sheetId="3477" refreshError="1"/>
      <sheetData sheetId="3478" refreshError="1"/>
      <sheetData sheetId="3479" refreshError="1"/>
      <sheetData sheetId="3480" refreshError="1"/>
      <sheetData sheetId="3481" refreshError="1"/>
      <sheetData sheetId="3482" refreshError="1"/>
      <sheetData sheetId="3483" refreshError="1"/>
      <sheetData sheetId="3484" refreshError="1"/>
      <sheetData sheetId="3485" refreshError="1"/>
      <sheetData sheetId="3486" refreshError="1"/>
      <sheetData sheetId="3487" refreshError="1"/>
      <sheetData sheetId="3488" refreshError="1"/>
      <sheetData sheetId="3489" refreshError="1"/>
      <sheetData sheetId="3490" refreshError="1"/>
      <sheetData sheetId="3491" refreshError="1"/>
      <sheetData sheetId="3492" refreshError="1"/>
      <sheetData sheetId="3493" refreshError="1"/>
      <sheetData sheetId="3494" refreshError="1"/>
      <sheetData sheetId="3495" refreshError="1"/>
      <sheetData sheetId="3496" refreshError="1"/>
      <sheetData sheetId="3497" refreshError="1"/>
      <sheetData sheetId="3498" refreshError="1"/>
      <sheetData sheetId="3499" refreshError="1"/>
      <sheetData sheetId="3500" refreshError="1"/>
      <sheetData sheetId="3501" refreshError="1"/>
      <sheetData sheetId="3502" refreshError="1"/>
      <sheetData sheetId="3503" refreshError="1"/>
      <sheetData sheetId="3504" refreshError="1"/>
      <sheetData sheetId="3505" refreshError="1"/>
      <sheetData sheetId="3506" refreshError="1"/>
      <sheetData sheetId="3507" refreshError="1"/>
      <sheetData sheetId="3508" refreshError="1"/>
      <sheetData sheetId="3509" refreshError="1"/>
      <sheetData sheetId="3510" refreshError="1"/>
      <sheetData sheetId="3511" refreshError="1"/>
      <sheetData sheetId="3512" refreshError="1"/>
      <sheetData sheetId="3513" refreshError="1"/>
      <sheetData sheetId="3514" refreshError="1"/>
      <sheetData sheetId="3515" refreshError="1"/>
      <sheetData sheetId="3516" refreshError="1"/>
      <sheetData sheetId="3517" refreshError="1"/>
      <sheetData sheetId="3518" refreshError="1"/>
      <sheetData sheetId="3519" refreshError="1"/>
      <sheetData sheetId="3520" refreshError="1"/>
      <sheetData sheetId="3521" refreshError="1"/>
      <sheetData sheetId="3522" refreshError="1"/>
      <sheetData sheetId="3523" refreshError="1"/>
      <sheetData sheetId="3524" refreshError="1"/>
      <sheetData sheetId="3525" refreshError="1"/>
      <sheetData sheetId="3526" refreshError="1"/>
      <sheetData sheetId="3527">
        <row r="2">
          <cell r="F2" t="str">
            <v>INCH</v>
          </cell>
        </row>
      </sheetData>
      <sheetData sheetId="3528">
        <row r="2">
          <cell r="F2" t="str">
            <v>INCH</v>
          </cell>
        </row>
      </sheetData>
      <sheetData sheetId="3529">
        <row r="2">
          <cell r="F2" t="str">
            <v>INCH</v>
          </cell>
        </row>
      </sheetData>
      <sheetData sheetId="3530">
        <row r="2">
          <cell r="F2" t="str">
            <v>INCH</v>
          </cell>
        </row>
      </sheetData>
      <sheetData sheetId="3531">
        <row r="2">
          <cell r="F2" t="str">
            <v>INCH</v>
          </cell>
        </row>
      </sheetData>
      <sheetData sheetId="3532">
        <row r="2">
          <cell r="F2" t="str">
            <v>INCH</v>
          </cell>
        </row>
      </sheetData>
      <sheetData sheetId="3533">
        <row r="2">
          <cell r="F2" t="str">
            <v>INCH</v>
          </cell>
        </row>
      </sheetData>
      <sheetData sheetId="3534">
        <row r="2">
          <cell r="F2" t="str">
            <v>INCH</v>
          </cell>
        </row>
      </sheetData>
      <sheetData sheetId="3535">
        <row r="2">
          <cell r="F2" t="str">
            <v>INCH</v>
          </cell>
        </row>
      </sheetData>
      <sheetData sheetId="3536"/>
      <sheetData sheetId="3537"/>
      <sheetData sheetId="3538"/>
      <sheetData sheetId="3539"/>
      <sheetData sheetId="3540">
        <row r="2">
          <cell r="F2" t="str">
            <v>INCH</v>
          </cell>
        </row>
      </sheetData>
      <sheetData sheetId="3541"/>
      <sheetData sheetId="3542"/>
      <sheetData sheetId="3543"/>
      <sheetData sheetId="3544"/>
      <sheetData sheetId="3545"/>
      <sheetData sheetId="3546">
        <row r="2">
          <cell r="F2" t="str">
            <v>INCH</v>
          </cell>
        </row>
      </sheetData>
      <sheetData sheetId="3547">
        <row r="2">
          <cell r="F2" t="str">
            <v>INCH</v>
          </cell>
        </row>
      </sheetData>
      <sheetData sheetId="3548" refreshError="1"/>
      <sheetData sheetId="3549" refreshError="1"/>
      <sheetData sheetId="3550" refreshError="1"/>
      <sheetData sheetId="3551">
        <row r="2">
          <cell r="F2" t="str">
            <v>INCH</v>
          </cell>
        </row>
      </sheetData>
      <sheetData sheetId="3552" refreshError="1"/>
      <sheetData sheetId="3553" refreshError="1"/>
      <sheetData sheetId="3554" refreshError="1"/>
      <sheetData sheetId="3555" refreshError="1"/>
      <sheetData sheetId="3556" refreshError="1"/>
      <sheetData sheetId="3557"/>
      <sheetData sheetId="3558"/>
      <sheetData sheetId="3559"/>
      <sheetData sheetId="3560"/>
      <sheetData sheetId="3561"/>
      <sheetData sheetId="3562"/>
      <sheetData sheetId="3563"/>
      <sheetData sheetId="3564"/>
      <sheetData sheetId="3565"/>
      <sheetData sheetId="3566"/>
      <sheetData sheetId="3567" refreshError="1"/>
      <sheetData sheetId="3568" refreshError="1"/>
      <sheetData sheetId="3569" refreshError="1"/>
      <sheetData sheetId="3570" refreshError="1"/>
      <sheetData sheetId="3571" refreshError="1"/>
      <sheetData sheetId="3572" refreshError="1"/>
      <sheetData sheetId="3573" refreshError="1"/>
      <sheetData sheetId="3574" refreshError="1"/>
      <sheetData sheetId="3575" refreshError="1"/>
      <sheetData sheetId="3576" refreshError="1"/>
      <sheetData sheetId="3577" refreshError="1"/>
      <sheetData sheetId="3578" refreshError="1"/>
      <sheetData sheetId="3579" refreshError="1"/>
      <sheetData sheetId="3580" refreshError="1"/>
      <sheetData sheetId="3581" refreshError="1"/>
      <sheetData sheetId="3582" refreshError="1"/>
      <sheetData sheetId="3583" refreshError="1"/>
      <sheetData sheetId="3584" refreshError="1"/>
      <sheetData sheetId="3585" refreshError="1"/>
      <sheetData sheetId="3586" refreshError="1"/>
      <sheetData sheetId="3587" refreshError="1"/>
      <sheetData sheetId="3588" refreshError="1"/>
      <sheetData sheetId="3589" refreshError="1"/>
      <sheetData sheetId="3590" refreshError="1"/>
      <sheetData sheetId="3591" refreshError="1"/>
      <sheetData sheetId="3592" refreshError="1"/>
      <sheetData sheetId="3593" refreshError="1"/>
      <sheetData sheetId="3594" refreshError="1"/>
      <sheetData sheetId="3595" refreshError="1"/>
      <sheetData sheetId="3596" refreshError="1"/>
      <sheetData sheetId="3597" refreshError="1"/>
      <sheetData sheetId="3598" refreshError="1"/>
      <sheetData sheetId="3599" refreshError="1"/>
      <sheetData sheetId="3600" refreshError="1"/>
      <sheetData sheetId="3601" refreshError="1"/>
      <sheetData sheetId="3602" refreshError="1"/>
      <sheetData sheetId="3603" refreshError="1"/>
      <sheetData sheetId="3604" refreshError="1"/>
      <sheetData sheetId="3605" refreshError="1"/>
      <sheetData sheetId="3606" refreshError="1"/>
      <sheetData sheetId="3607" refreshError="1"/>
      <sheetData sheetId="3608" refreshError="1"/>
      <sheetData sheetId="3609" refreshError="1"/>
      <sheetData sheetId="3610" refreshError="1"/>
      <sheetData sheetId="3611" refreshError="1"/>
      <sheetData sheetId="3612" refreshError="1"/>
      <sheetData sheetId="3613" refreshError="1"/>
      <sheetData sheetId="3614" refreshError="1"/>
      <sheetData sheetId="3615" refreshError="1"/>
      <sheetData sheetId="3616" refreshError="1"/>
      <sheetData sheetId="3617" refreshError="1"/>
      <sheetData sheetId="3618" refreshError="1"/>
      <sheetData sheetId="3619" refreshError="1"/>
      <sheetData sheetId="3620" refreshError="1"/>
      <sheetData sheetId="3621" refreshError="1"/>
      <sheetData sheetId="3622" refreshError="1"/>
      <sheetData sheetId="3623" refreshError="1"/>
      <sheetData sheetId="3624" refreshError="1"/>
      <sheetData sheetId="3625" refreshError="1"/>
      <sheetData sheetId="3626" refreshError="1"/>
      <sheetData sheetId="3627" refreshError="1"/>
      <sheetData sheetId="3628" refreshError="1"/>
      <sheetData sheetId="3629" refreshError="1"/>
      <sheetData sheetId="3630" refreshError="1"/>
      <sheetData sheetId="3631" refreshError="1"/>
      <sheetData sheetId="3632" refreshError="1"/>
      <sheetData sheetId="3633" refreshError="1"/>
      <sheetData sheetId="3634" refreshError="1"/>
      <sheetData sheetId="3635" refreshError="1"/>
      <sheetData sheetId="3636" refreshError="1"/>
      <sheetData sheetId="3637" refreshError="1"/>
      <sheetData sheetId="3638" refreshError="1"/>
      <sheetData sheetId="3639" refreshError="1"/>
      <sheetData sheetId="3640" refreshError="1"/>
      <sheetData sheetId="3641" refreshError="1"/>
      <sheetData sheetId="3642" refreshError="1"/>
      <sheetData sheetId="3643" refreshError="1"/>
      <sheetData sheetId="3644" refreshError="1"/>
      <sheetData sheetId="3645" refreshError="1"/>
      <sheetData sheetId="3646" refreshError="1"/>
      <sheetData sheetId="3647" refreshError="1"/>
      <sheetData sheetId="3648" refreshError="1"/>
      <sheetData sheetId="3649" refreshError="1"/>
      <sheetData sheetId="3650">
        <row r="2">
          <cell r="F2" t="str">
            <v>INCH</v>
          </cell>
        </row>
      </sheetData>
      <sheetData sheetId="3651">
        <row r="2">
          <cell r="F2" t="str">
            <v>INCH</v>
          </cell>
        </row>
      </sheetData>
      <sheetData sheetId="3652">
        <row r="2">
          <cell r="F2" t="str">
            <v>INCH</v>
          </cell>
        </row>
      </sheetData>
      <sheetData sheetId="3653">
        <row r="2">
          <cell r="F2" t="str">
            <v>INCH</v>
          </cell>
        </row>
      </sheetData>
      <sheetData sheetId="3654">
        <row r="2">
          <cell r="F2" t="str">
            <v>INCH</v>
          </cell>
        </row>
      </sheetData>
      <sheetData sheetId="3655">
        <row r="2">
          <cell r="F2" t="str">
            <v>INCH</v>
          </cell>
        </row>
      </sheetData>
      <sheetData sheetId="3656" refreshError="1"/>
      <sheetData sheetId="3657" refreshError="1"/>
      <sheetData sheetId="3658" refreshError="1"/>
      <sheetData sheetId="3659" refreshError="1"/>
      <sheetData sheetId="3660" refreshError="1"/>
      <sheetData sheetId="3661" refreshError="1"/>
      <sheetData sheetId="3662" refreshError="1"/>
      <sheetData sheetId="3663" refreshError="1"/>
      <sheetData sheetId="3664" refreshError="1"/>
      <sheetData sheetId="3665" refreshError="1"/>
      <sheetData sheetId="3666" refreshError="1"/>
      <sheetData sheetId="3667" refreshError="1"/>
      <sheetData sheetId="3668" refreshError="1"/>
      <sheetData sheetId="3669" refreshError="1"/>
      <sheetData sheetId="3670" refreshError="1"/>
      <sheetData sheetId="3671" refreshError="1"/>
      <sheetData sheetId="3672" refreshError="1"/>
      <sheetData sheetId="3673" refreshError="1"/>
      <sheetData sheetId="3674" refreshError="1"/>
      <sheetData sheetId="3675" refreshError="1"/>
      <sheetData sheetId="3676">
        <row r="2">
          <cell r="F2" t="str">
            <v>INCH</v>
          </cell>
        </row>
      </sheetData>
      <sheetData sheetId="3677">
        <row r="2">
          <cell r="F2" t="str">
            <v>INCH</v>
          </cell>
        </row>
      </sheetData>
      <sheetData sheetId="3678">
        <row r="2">
          <cell r="F2" t="str">
            <v>INCH</v>
          </cell>
        </row>
      </sheetData>
      <sheetData sheetId="3679">
        <row r="2">
          <cell r="F2" t="str">
            <v>INCH</v>
          </cell>
        </row>
      </sheetData>
      <sheetData sheetId="3680">
        <row r="2">
          <cell r="F2" t="str">
            <v>INCH</v>
          </cell>
        </row>
      </sheetData>
      <sheetData sheetId="3681">
        <row r="2">
          <cell r="F2" t="str">
            <v>INCH</v>
          </cell>
        </row>
      </sheetData>
      <sheetData sheetId="3682">
        <row r="2">
          <cell r="F2" t="str">
            <v>INCH</v>
          </cell>
        </row>
      </sheetData>
      <sheetData sheetId="3683">
        <row r="2">
          <cell r="F2" t="str">
            <v>INCH</v>
          </cell>
        </row>
      </sheetData>
      <sheetData sheetId="3684">
        <row r="2">
          <cell r="F2" t="str">
            <v>INCH</v>
          </cell>
        </row>
      </sheetData>
      <sheetData sheetId="3685">
        <row r="2">
          <cell r="F2" t="str">
            <v>INCH</v>
          </cell>
        </row>
      </sheetData>
      <sheetData sheetId="3686">
        <row r="2">
          <cell r="F2" t="str">
            <v>INCH</v>
          </cell>
        </row>
      </sheetData>
      <sheetData sheetId="3687">
        <row r="2">
          <cell r="F2" t="str">
            <v>INCH</v>
          </cell>
        </row>
      </sheetData>
      <sheetData sheetId="3688">
        <row r="2">
          <cell r="F2" t="str">
            <v>INCH</v>
          </cell>
        </row>
      </sheetData>
      <sheetData sheetId="3689">
        <row r="2">
          <cell r="F2" t="str">
            <v>INCH</v>
          </cell>
        </row>
      </sheetData>
      <sheetData sheetId="3690">
        <row r="2">
          <cell r="F2" t="str">
            <v>INCH</v>
          </cell>
        </row>
      </sheetData>
      <sheetData sheetId="3691">
        <row r="2">
          <cell r="F2" t="str">
            <v>INCH</v>
          </cell>
        </row>
      </sheetData>
      <sheetData sheetId="3692">
        <row r="2">
          <cell r="F2" t="str">
            <v>INCH</v>
          </cell>
        </row>
      </sheetData>
      <sheetData sheetId="3693">
        <row r="2">
          <cell r="F2" t="str">
            <v>INCH</v>
          </cell>
        </row>
      </sheetData>
      <sheetData sheetId="3694">
        <row r="2">
          <cell r="F2" t="str">
            <v>INCH</v>
          </cell>
        </row>
      </sheetData>
      <sheetData sheetId="3695">
        <row r="2">
          <cell r="F2" t="str">
            <v>INCH</v>
          </cell>
        </row>
      </sheetData>
      <sheetData sheetId="3696">
        <row r="2">
          <cell r="F2" t="str">
            <v>INCH</v>
          </cell>
        </row>
      </sheetData>
      <sheetData sheetId="3697">
        <row r="2">
          <cell r="F2" t="str">
            <v>INCH</v>
          </cell>
        </row>
      </sheetData>
      <sheetData sheetId="3698">
        <row r="2">
          <cell r="F2" t="str">
            <v>INCH</v>
          </cell>
        </row>
      </sheetData>
      <sheetData sheetId="3699">
        <row r="2">
          <cell r="F2" t="str">
            <v>INCH</v>
          </cell>
        </row>
      </sheetData>
      <sheetData sheetId="3700">
        <row r="2">
          <cell r="F2" t="str">
            <v>INCH</v>
          </cell>
        </row>
      </sheetData>
      <sheetData sheetId="3701">
        <row r="2">
          <cell r="F2" t="str">
            <v>INCH</v>
          </cell>
        </row>
      </sheetData>
      <sheetData sheetId="3702">
        <row r="2">
          <cell r="F2" t="str">
            <v>INCH</v>
          </cell>
        </row>
      </sheetData>
      <sheetData sheetId="3703">
        <row r="2">
          <cell r="F2" t="str">
            <v>INCH</v>
          </cell>
        </row>
      </sheetData>
      <sheetData sheetId="3704">
        <row r="2">
          <cell r="F2" t="str">
            <v>INCH</v>
          </cell>
        </row>
      </sheetData>
      <sheetData sheetId="3705">
        <row r="2">
          <cell r="F2" t="str">
            <v>INCH</v>
          </cell>
        </row>
      </sheetData>
      <sheetData sheetId="3706">
        <row r="2">
          <cell r="F2" t="str">
            <v>INCH</v>
          </cell>
        </row>
      </sheetData>
      <sheetData sheetId="3707">
        <row r="2">
          <cell r="F2" t="str">
            <v>INCH</v>
          </cell>
        </row>
      </sheetData>
      <sheetData sheetId="3708">
        <row r="2">
          <cell r="F2" t="str">
            <v>INCH</v>
          </cell>
        </row>
      </sheetData>
      <sheetData sheetId="3709">
        <row r="2">
          <cell r="F2" t="str">
            <v>INCH</v>
          </cell>
        </row>
      </sheetData>
      <sheetData sheetId="3710">
        <row r="2">
          <cell r="F2" t="str">
            <v>INCH</v>
          </cell>
        </row>
      </sheetData>
      <sheetData sheetId="3711">
        <row r="2">
          <cell r="F2" t="str">
            <v>INCH</v>
          </cell>
        </row>
      </sheetData>
      <sheetData sheetId="3712">
        <row r="2">
          <cell r="F2" t="str">
            <v>INCH</v>
          </cell>
        </row>
      </sheetData>
      <sheetData sheetId="3713">
        <row r="2">
          <cell r="F2" t="str">
            <v>INCH</v>
          </cell>
        </row>
      </sheetData>
      <sheetData sheetId="3714">
        <row r="2">
          <cell r="F2" t="str">
            <v>INCH</v>
          </cell>
        </row>
      </sheetData>
      <sheetData sheetId="3715">
        <row r="2">
          <cell r="F2" t="str">
            <v>INCH</v>
          </cell>
        </row>
      </sheetData>
      <sheetData sheetId="3716">
        <row r="2">
          <cell r="F2" t="str">
            <v>INCH</v>
          </cell>
        </row>
      </sheetData>
      <sheetData sheetId="3717">
        <row r="2">
          <cell r="F2" t="str">
            <v>INCH</v>
          </cell>
        </row>
      </sheetData>
      <sheetData sheetId="3718">
        <row r="2">
          <cell r="F2" t="str">
            <v>INCH</v>
          </cell>
        </row>
      </sheetData>
      <sheetData sheetId="3719" refreshError="1"/>
      <sheetData sheetId="3720" refreshError="1"/>
      <sheetData sheetId="3721" refreshError="1"/>
      <sheetData sheetId="3722" refreshError="1"/>
      <sheetData sheetId="3723">
        <row r="2">
          <cell r="F2" t="str">
            <v>INCH</v>
          </cell>
        </row>
      </sheetData>
      <sheetData sheetId="3724">
        <row r="2">
          <cell r="F2" t="str">
            <v>INCH</v>
          </cell>
        </row>
      </sheetData>
      <sheetData sheetId="3725">
        <row r="2">
          <cell r="F2" t="str">
            <v>INCH</v>
          </cell>
        </row>
      </sheetData>
      <sheetData sheetId="3726">
        <row r="2">
          <cell r="F2" t="str">
            <v>INCH</v>
          </cell>
        </row>
      </sheetData>
      <sheetData sheetId="3727">
        <row r="2">
          <cell r="F2" t="str">
            <v>INCH</v>
          </cell>
        </row>
      </sheetData>
      <sheetData sheetId="3728">
        <row r="2">
          <cell r="F2" t="str">
            <v>INCH</v>
          </cell>
        </row>
      </sheetData>
      <sheetData sheetId="3729">
        <row r="2">
          <cell r="F2" t="str">
            <v>INCH</v>
          </cell>
        </row>
      </sheetData>
      <sheetData sheetId="3730">
        <row r="2">
          <cell r="F2" t="str">
            <v>INCH</v>
          </cell>
        </row>
      </sheetData>
      <sheetData sheetId="3731">
        <row r="2">
          <cell r="F2" t="str">
            <v>INCH</v>
          </cell>
        </row>
      </sheetData>
      <sheetData sheetId="3732">
        <row r="2">
          <cell r="F2" t="str">
            <v>INCH</v>
          </cell>
        </row>
      </sheetData>
      <sheetData sheetId="3733">
        <row r="2">
          <cell r="F2" t="str">
            <v>INCH</v>
          </cell>
        </row>
      </sheetData>
      <sheetData sheetId="3734">
        <row r="2">
          <cell r="F2" t="str">
            <v>INCH</v>
          </cell>
        </row>
      </sheetData>
      <sheetData sheetId="3735">
        <row r="2">
          <cell r="F2" t="str">
            <v>INCH</v>
          </cell>
        </row>
      </sheetData>
      <sheetData sheetId="3736">
        <row r="2">
          <cell r="F2" t="str">
            <v>INCH</v>
          </cell>
        </row>
      </sheetData>
      <sheetData sheetId="3737">
        <row r="2">
          <cell r="F2" t="str">
            <v>INCH</v>
          </cell>
        </row>
      </sheetData>
      <sheetData sheetId="3738">
        <row r="2">
          <cell r="F2" t="str">
            <v>INCH</v>
          </cell>
        </row>
      </sheetData>
      <sheetData sheetId="3739">
        <row r="2">
          <cell r="F2" t="str">
            <v>INCH</v>
          </cell>
        </row>
      </sheetData>
      <sheetData sheetId="3740">
        <row r="2">
          <cell r="F2" t="str">
            <v>INCH</v>
          </cell>
        </row>
      </sheetData>
      <sheetData sheetId="3741">
        <row r="2">
          <cell r="F2" t="str">
            <v>INCH</v>
          </cell>
        </row>
      </sheetData>
      <sheetData sheetId="3742">
        <row r="2">
          <cell r="F2" t="str">
            <v>INCH</v>
          </cell>
        </row>
      </sheetData>
      <sheetData sheetId="3743">
        <row r="2">
          <cell r="F2" t="str">
            <v>INCH</v>
          </cell>
        </row>
      </sheetData>
      <sheetData sheetId="3744">
        <row r="2">
          <cell r="F2" t="str">
            <v>INCH</v>
          </cell>
        </row>
      </sheetData>
      <sheetData sheetId="3745">
        <row r="2">
          <cell r="F2" t="str">
            <v>INCH</v>
          </cell>
        </row>
      </sheetData>
      <sheetData sheetId="3746">
        <row r="2">
          <cell r="F2" t="str">
            <v>INCH</v>
          </cell>
        </row>
      </sheetData>
      <sheetData sheetId="3747">
        <row r="2">
          <cell r="F2" t="str">
            <v>INCH</v>
          </cell>
        </row>
      </sheetData>
      <sheetData sheetId="3748">
        <row r="2">
          <cell r="F2" t="str">
            <v>INCH</v>
          </cell>
        </row>
      </sheetData>
      <sheetData sheetId="3749">
        <row r="2">
          <cell r="F2" t="str">
            <v>INCH</v>
          </cell>
        </row>
      </sheetData>
      <sheetData sheetId="3750">
        <row r="2">
          <cell r="F2" t="str">
            <v>INCH</v>
          </cell>
        </row>
      </sheetData>
      <sheetData sheetId="3751">
        <row r="2">
          <cell r="F2" t="str">
            <v>INCH</v>
          </cell>
        </row>
      </sheetData>
      <sheetData sheetId="3752">
        <row r="2">
          <cell r="F2" t="str">
            <v>INCH</v>
          </cell>
        </row>
      </sheetData>
      <sheetData sheetId="3753">
        <row r="2">
          <cell r="F2" t="str">
            <v>INCH</v>
          </cell>
        </row>
      </sheetData>
      <sheetData sheetId="3754">
        <row r="2">
          <cell r="F2" t="str">
            <v>INCH</v>
          </cell>
        </row>
      </sheetData>
      <sheetData sheetId="3755">
        <row r="2">
          <cell r="F2" t="str">
            <v>INCH</v>
          </cell>
        </row>
      </sheetData>
      <sheetData sheetId="3756">
        <row r="2">
          <cell r="F2" t="str">
            <v>INCH</v>
          </cell>
        </row>
      </sheetData>
      <sheetData sheetId="3757">
        <row r="2">
          <cell r="F2" t="str">
            <v>INCH</v>
          </cell>
        </row>
      </sheetData>
      <sheetData sheetId="3758">
        <row r="2">
          <cell r="F2" t="str">
            <v>INCH</v>
          </cell>
        </row>
      </sheetData>
      <sheetData sheetId="3759">
        <row r="2">
          <cell r="F2" t="str">
            <v>INCH</v>
          </cell>
        </row>
      </sheetData>
      <sheetData sheetId="3760">
        <row r="2">
          <cell r="F2" t="str">
            <v>INCH</v>
          </cell>
        </row>
      </sheetData>
      <sheetData sheetId="3761">
        <row r="2">
          <cell r="F2" t="str">
            <v>INCH</v>
          </cell>
        </row>
      </sheetData>
      <sheetData sheetId="3762">
        <row r="2">
          <cell r="F2" t="str">
            <v>INCH</v>
          </cell>
        </row>
      </sheetData>
      <sheetData sheetId="3763">
        <row r="2">
          <cell r="F2" t="str">
            <v>INCH</v>
          </cell>
        </row>
      </sheetData>
      <sheetData sheetId="3764">
        <row r="2">
          <cell r="F2" t="str">
            <v>INCH</v>
          </cell>
        </row>
      </sheetData>
      <sheetData sheetId="3765">
        <row r="2">
          <cell r="F2" t="str">
            <v>INCH</v>
          </cell>
        </row>
      </sheetData>
      <sheetData sheetId="3766">
        <row r="2">
          <cell r="F2" t="str">
            <v>INCH</v>
          </cell>
        </row>
      </sheetData>
      <sheetData sheetId="3767">
        <row r="2">
          <cell r="F2" t="str">
            <v>INCH</v>
          </cell>
        </row>
      </sheetData>
      <sheetData sheetId="3768">
        <row r="2">
          <cell r="F2" t="str">
            <v>INCH</v>
          </cell>
        </row>
      </sheetData>
      <sheetData sheetId="3769">
        <row r="2">
          <cell r="F2" t="str">
            <v>INCH</v>
          </cell>
        </row>
      </sheetData>
      <sheetData sheetId="3770">
        <row r="2">
          <cell r="F2" t="str">
            <v>INCH</v>
          </cell>
        </row>
      </sheetData>
      <sheetData sheetId="3771">
        <row r="2">
          <cell r="F2" t="str">
            <v>INCH</v>
          </cell>
        </row>
      </sheetData>
      <sheetData sheetId="3772">
        <row r="2">
          <cell r="F2" t="str">
            <v>INCH</v>
          </cell>
        </row>
      </sheetData>
      <sheetData sheetId="3773">
        <row r="2">
          <cell r="F2" t="str">
            <v>INCH</v>
          </cell>
        </row>
      </sheetData>
      <sheetData sheetId="3774">
        <row r="2">
          <cell r="F2" t="str">
            <v>INCH</v>
          </cell>
        </row>
      </sheetData>
      <sheetData sheetId="3775">
        <row r="2">
          <cell r="F2" t="str">
            <v>INCH</v>
          </cell>
        </row>
      </sheetData>
      <sheetData sheetId="3776">
        <row r="2">
          <cell r="F2" t="str">
            <v>INCH</v>
          </cell>
        </row>
      </sheetData>
      <sheetData sheetId="3777">
        <row r="2">
          <cell r="F2" t="str">
            <v>INCH</v>
          </cell>
        </row>
      </sheetData>
      <sheetData sheetId="3778">
        <row r="2">
          <cell r="F2" t="str">
            <v>INCH</v>
          </cell>
        </row>
      </sheetData>
      <sheetData sheetId="3779">
        <row r="2">
          <cell r="F2" t="str">
            <v>INCH</v>
          </cell>
        </row>
      </sheetData>
      <sheetData sheetId="3780">
        <row r="2">
          <cell r="F2" t="str">
            <v>INCH</v>
          </cell>
        </row>
      </sheetData>
      <sheetData sheetId="3781">
        <row r="2">
          <cell r="F2" t="str">
            <v>INCH</v>
          </cell>
        </row>
      </sheetData>
      <sheetData sheetId="3782">
        <row r="2">
          <cell r="F2" t="str">
            <v>INCH</v>
          </cell>
        </row>
      </sheetData>
      <sheetData sheetId="3783">
        <row r="2">
          <cell r="F2" t="str">
            <v>INCH</v>
          </cell>
        </row>
      </sheetData>
      <sheetData sheetId="3784">
        <row r="2">
          <cell r="F2" t="str">
            <v>INCH</v>
          </cell>
        </row>
      </sheetData>
      <sheetData sheetId="3785">
        <row r="2">
          <cell r="F2" t="str">
            <v>INCH</v>
          </cell>
        </row>
      </sheetData>
      <sheetData sheetId="3786">
        <row r="2">
          <cell r="F2" t="str">
            <v>INCH</v>
          </cell>
        </row>
      </sheetData>
      <sheetData sheetId="3787">
        <row r="2">
          <cell r="F2" t="str">
            <v>INCH</v>
          </cell>
        </row>
      </sheetData>
      <sheetData sheetId="3788">
        <row r="2">
          <cell r="F2" t="str">
            <v>INCH</v>
          </cell>
        </row>
      </sheetData>
      <sheetData sheetId="3789">
        <row r="2">
          <cell r="F2" t="str">
            <v>INCH</v>
          </cell>
        </row>
      </sheetData>
      <sheetData sheetId="3790">
        <row r="2">
          <cell r="F2" t="str">
            <v>INCH</v>
          </cell>
        </row>
      </sheetData>
      <sheetData sheetId="3791">
        <row r="2">
          <cell r="F2" t="str">
            <v>INCH</v>
          </cell>
        </row>
      </sheetData>
      <sheetData sheetId="3792">
        <row r="2">
          <cell r="F2" t="str">
            <v>INCH</v>
          </cell>
        </row>
      </sheetData>
      <sheetData sheetId="3793">
        <row r="2">
          <cell r="F2" t="str">
            <v>INCH</v>
          </cell>
        </row>
      </sheetData>
      <sheetData sheetId="3794">
        <row r="2">
          <cell r="F2" t="str">
            <v>INCH</v>
          </cell>
        </row>
      </sheetData>
      <sheetData sheetId="3795">
        <row r="2">
          <cell r="F2" t="str">
            <v>INCH</v>
          </cell>
        </row>
      </sheetData>
      <sheetData sheetId="3796">
        <row r="2">
          <cell r="F2" t="str">
            <v>INCH</v>
          </cell>
        </row>
      </sheetData>
      <sheetData sheetId="3797">
        <row r="2">
          <cell r="F2" t="str">
            <v>INCH</v>
          </cell>
        </row>
      </sheetData>
      <sheetData sheetId="3798">
        <row r="2">
          <cell r="F2" t="str">
            <v>INCH</v>
          </cell>
        </row>
      </sheetData>
      <sheetData sheetId="3799">
        <row r="2">
          <cell r="F2" t="str">
            <v>INCH</v>
          </cell>
        </row>
      </sheetData>
      <sheetData sheetId="3800">
        <row r="2">
          <cell r="F2" t="str">
            <v>INCH</v>
          </cell>
        </row>
      </sheetData>
      <sheetData sheetId="3801">
        <row r="2">
          <cell r="F2" t="str">
            <v>INCH</v>
          </cell>
        </row>
      </sheetData>
      <sheetData sheetId="3802">
        <row r="2">
          <cell r="F2" t="str">
            <v>INCH</v>
          </cell>
        </row>
      </sheetData>
      <sheetData sheetId="3803">
        <row r="2">
          <cell r="F2" t="str">
            <v>INCH</v>
          </cell>
        </row>
      </sheetData>
      <sheetData sheetId="3804">
        <row r="2">
          <cell r="F2" t="str">
            <v>INCH</v>
          </cell>
        </row>
      </sheetData>
      <sheetData sheetId="3805">
        <row r="2">
          <cell r="F2" t="str">
            <v>INCH</v>
          </cell>
        </row>
      </sheetData>
      <sheetData sheetId="3806">
        <row r="2">
          <cell r="F2" t="str">
            <v>INCH</v>
          </cell>
        </row>
      </sheetData>
      <sheetData sheetId="3807">
        <row r="2">
          <cell r="F2" t="str">
            <v>INCH</v>
          </cell>
        </row>
      </sheetData>
      <sheetData sheetId="3808">
        <row r="2">
          <cell r="F2" t="str">
            <v>INCH</v>
          </cell>
        </row>
      </sheetData>
      <sheetData sheetId="3809">
        <row r="2">
          <cell r="F2" t="str">
            <v>INCH</v>
          </cell>
        </row>
      </sheetData>
      <sheetData sheetId="3810">
        <row r="2">
          <cell r="F2" t="str">
            <v>INCH</v>
          </cell>
        </row>
      </sheetData>
      <sheetData sheetId="3811">
        <row r="2">
          <cell r="F2" t="str">
            <v>INCH</v>
          </cell>
        </row>
      </sheetData>
      <sheetData sheetId="3812">
        <row r="2">
          <cell r="F2" t="str">
            <v>INCH</v>
          </cell>
        </row>
      </sheetData>
      <sheetData sheetId="3813">
        <row r="2">
          <cell r="F2" t="str">
            <v>INCH</v>
          </cell>
        </row>
      </sheetData>
      <sheetData sheetId="3814">
        <row r="2">
          <cell r="F2" t="str">
            <v>INCH</v>
          </cell>
        </row>
      </sheetData>
      <sheetData sheetId="3815">
        <row r="2">
          <cell r="F2" t="str">
            <v>INCH</v>
          </cell>
        </row>
      </sheetData>
      <sheetData sheetId="3816">
        <row r="2">
          <cell r="F2" t="str">
            <v>INCH</v>
          </cell>
        </row>
      </sheetData>
      <sheetData sheetId="3817">
        <row r="2">
          <cell r="F2" t="str">
            <v>INCH</v>
          </cell>
        </row>
      </sheetData>
      <sheetData sheetId="3818">
        <row r="2">
          <cell r="F2" t="str">
            <v>INCH</v>
          </cell>
        </row>
      </sheetData>
      <sheetData sheetId="3819">
        <row r="2">
          <cell r="F2" t="str">
            <v>INCH</v>
          </cell>
        </row>
      </sheetData>
      <sheetData sheetId="3820">
        <row r="2">
          <cell r="F2" t="str">
            <v>INCH</v>
          </cell>
        </row>
      </sheetData>
      <sheetData sheetId="3821">
        <row r="2">
          <cell r="F2" t="str">
            <v>INCH</v>
          </cell>
        </row>
      </sheetData>
      <sheetData sheetId="3822">
        <row r="2">
          <cell r="F2" t="str">
            <v>INCH</v>
          </cell>
        </row>
      </sheetData>
      <sheetData sheetId="3823" refreshError="1"/>
      <sheetData sheetId="3824" refreshError="1"/>
      <sheetData sheetId="3825">
        <row r="2">
          <cell r="F2" t="str">
            <v>INCH</v>
          </cell>
        </row>
      </sheetData>
      <sheetData sheetId="3826">
        <row r="2">
          <cell r="F2" t="str">
            <v>INCH</v>
          </cell>
        </row>
      </sheetData>
      <sheetData sheetId="3827">
        <row r="2">
          <cell r="F2" t="str">
            <v>INCH</v>
          </cell>
        </row>
      </sheetData>
      <sheetData sheetId="3828">
        <row r="2">
          <cell r="F2" t="str">
            <v>INCH</v>
          </cell>
        </row>
      </sheetData>
      <sheetData sheetId="3829">
        <row r="2">
          <cell r="F2" t="str">
            <v>INCH</v>
          </cell>
        </row>
      </sheetData>
      <sheetData sheetId="3830">
        <row r="2">
          <cell r="F2" t="str">
            <v>INCH</v>
          </cell>
        </row>
      </sheetData>
      <sheetData sheetId="3831">
        <row r="2">
          <cell r="F2" t="str">
            <v>INCH</v>
          </cell>
        </row>
      </sheetData>
      <sheetData sheetId="3832">
        <row r="2">
          <cell r="F2" t="str">
            <v>INCH</v>
          </cell>
        </row>
      </sheetData>
      <sheetData sheetId="3833">
        <row r="2">
          <cell r="F2" t="str">
            <v>INCH</v>
          </cell>
        </row>
      </sheetData>
      <sheetData sheetId="3834">
        <row r="2">
          <cell r="F2" t="str">
            <v>INCH</v>
          </cell>
        </row>
      </sheetData>
      <sheetData sheetId="3835">
        <row r="2">
          <cell r="F2" t="str">
            <v>INCH</v>
          </cell>
        </row>
      </sheetData>
      <sheetData sheetId="3836">
        <row r="2">
          <cell r="F2" t="str">
            <v>INCH</v>
          </cell>
        </row>
      </sheetData>
      <sheetData sheetId="3837">
        <row r="2">
          <cell r="F2" t="str">
            <v>INCH</v>
          </cell>
        </row>
      </sheetData>
      <sheetData sheetId="3838">
        <row r="2">
          <cell r="F2" t="str">
            <v>INCH</v>
          </cell>
        </row>
      </sheetData>
      <sheetData sheetId="3839">
        <row r="2">
          <cell r="F2" t="str">
            <v>INCH</v>
          </cell>
        </row>
      </sheetData>
      <sheetData sheetId="3840">
        <row r="2">
          <cell r="F2" t="str">
            <v>INCH</v>
          </cell>
        </row>
      </sheetData>
      <sheetData sheetId="3841">
        <row r="2">
          <cell r="F2" t="str">
            <v>INCH</v>
          </cell>
        </row>
      </sheetData>
      <sheetData sheetId="3842">
        <row r="2">
          <cell r="F2" t="str">
            <v>INCH</v>
          </cell>
        </row>
      </sheetData>
      <sheetData sheetId="3843">
        <row r="2">
          <cell r="F2" t="str">
            <v>INCH</v>
          </cell>
        </row>
      </sheetData>
      <sheetData sheetId="3844" refreshError="1"/>
      <sheetData sheetId="3845">
        <row r="2">
          <cell r="F2" t="str">
            <v>INCH</v>
          </cell>
        </row>
      </sheetData>
      <sheetData sheetId="3846">
        <row r="2">
          <cell r="F2" t="str">
            <v>INCH</v>
          </cell>
        </row>
      </sheetData>
      <sheetData sheetId="3847">
        <row r="2">
          <cell r="F2" t="str">
            <v>INCH</v>
          </cell>
        </row>
      </sheetData>
      <sheetData sheetId="3848">
        <row r="2">
          <cell r="F2" t="str">
            <v>INCH</v>
          </cell>
        </row>
      </sheetData>
      <sheetData sheetId="3849">
        <row r="2">
          <cell r="F2" t="str">
            <v>INCH</v>
          </cell>
        </row>
      </sheetData>
      <sheetData sheetId="3850">
        <row r="2">
          <cell r="F2" t="str">
            <v>INCH</v>
          </cell>
        </row>
      </sheetData>
      <sheetData sheetId="3851">
        <row r="2">
          <cell r="F2" t="str">
            <v>INCH</v>
          </cell>
        </row>
      </sheetData>
      <sheetData sheetId="3852">
        <row r="2">
          <cell r="F2" t="str">
            <v>INCH</v>
          </cell>
        </row>
      </sheetData>
      <sheetData sheetId="3853" refreshError="1"/>
      <sheetData sheetId="3854">
        <row r="2">
          <cell r="F2" t="str">
            <v>INCH</v>
          </cell>
        </row>
      </sheetData>
      <sheetData sheetId="3855">
        <row r="2">
          <cell r="F2" t="str">
            <v>INCH</v>
          </cell>
        </row>
      </sheetData>
      <sheetData sheetId="3856">
        <row r="2">
          <cell r="F2" t="str">
            <v>INCH</v>
          </cell>
        </row>
      </sheetData>
      <sheetData sheetId="3857">
        <row r="2">
          <cell r="F2" t="str">
            <v>INCH</v>
          </cell>
        </row>
      </sheetData>
      <sheetData sheetId="3858">
        <row r="2">
          <cell r="F2" t="str">
            <v>INCH</v>
          </cell>
        </row>
      </sheetData>
      <sheetData sheetId="3859">
        <row r="2">
          <cell r="F2" t="str">
            <v>INCH</v>
          </cell>
        </row>
      </sheetData>
      <sheetData sheetId="3860">
        <row r="2">
          <cell r="F2" t="str">
            <v>INCH</v>
          </cell>
        </row>
      </sheetData>
      <sheetData sheetId="3861">
        <row r="2">
          <cell r="F2" t="str">
            <v>INCH</v>
          </cell>
        </row>
      </sheetData>
      <sheetData sheetId="3862">
        <row r="2">
          <cell r="F2" t="str">
            <v>INCH</v>
          </cell>
        </row>
      </sheetData>
      <sheetData sheetId="3863">
        <row r="2">
          <cell r="F2" t="str">
            <v>INCH</v>
          </cell>
        </row>
      </sheetData>
      <sheetData sheetId="3864">
        <row r="2">
          <cell r="F2" t="str">
            <v>INCH</v>
          </cell>
        </row>
      </sheetData>
      <sheetData sheetId="3865">
        <row r="2">
          <cell r="F2" t="str">
            <v>INCH</v>
          </cell>
        </row>
      </sheetData>
      <sheetData sheetId="3866">
        <row r="2">
          <cell r="F2" t="str">
            <v>INCH</v>
          </cell>
        </row>
      </sheetData>
      <sheetData sheetId="3867">
        <row r="2">
          <cell r="F2" t="str">
            <v>INCH</v>
          </cell>
        </row>
      </sheetData>
      <sheetData sheetId="3868">
        <row r="2">
          <cell r="F2" t="str">
            <v>INCH</v>
          </cell>
        </row>
      </sheetData>
      <sheetData sheetId="3869">
        <row r="2">
          <cell r="F2" t="str">
            <v>INCH</v>
          </cell>
        </row>
      </sheetData>
      <sheetData sheetId="3870">
        <row r="2">
          <cell r="F2" t="str">
            <v>INCH</v>
          </cell>
        </row>
      </sheetData>
      <sheetData sheetId="3871">
        <row r="2">
          <cell r="F2" t="str">
            <v>INCH</v>
          </cell>
        </row>
      </sheetData>
      <sheetData sheetId="3872">
        <row r="2">
          <cell r="F2" t="str">
            <v>INCH</v>
          </cell>
        </row>
      </sheetData>
      <sheetData sheetId="3873">
        <row r="2">
          <cell r="F2" t="str">
            <v>INCH</v>
          </cell>
        </row>
      </sheetData>
      <sheetData sheetId="3874">
        <row r="2">
          <cell r="F2" t="str">
            <v>INCH</v>
          </cell>
        </row>
      </sheetData>
      <sheetData sheetId="3875">
        <row r="2">
          <cell r="F2" t="str">
            <v>INCH</v>
          </cell>
        </row>
      </sheetData>
      <sheetData sheetId="3876">
        <row r="2">
          <cell r="F2" t="str">
            <v>INCH</v>
          </cell>
        </row>
      </sheetData>
      <sheetData sheetId="3877">
        <row r="2">
          <cell r="F2" t="str">
            <v>INCH</v>
          </cell>
        </row>
      </sheetData>
      <sheetData sheetId="3878">
        <row r="2">
          <cell r="F2" t="str">
            <v>INCH</v>
          </cell>
        </row>
      </sheetData>
      <sheetData sheetId="3879">
        <row r="2">
          <cell r="F2" t="str">
            <v>INCH</v>
          </cell>
        </row>
      </sheetData>
      <sheetData sheetId="3880">
        <row r="2">
          <cell r="F2" t="str">
            <v>INCH</v>
          </cell>
        </row>
      </sheetData>
      <sheetData sheetId="3881">
        <row r="2">
          <cell r="F2" t="str">
            <v>INCH</v>
          </cell>
        </row>
      </sheetData>
      <sheetData sheetId="3882">
        <row r="2">
          <cell r="F2" t="str">
            <v>INCH</v>
          </cell>
        </row>
      </sheetData>
      <sheetData sheetId="3883">
        <row r="2">
          <cell r="F2" t="str">
            <v>INCH</v>
          </cell>
        </row>
      </sheetData>
      <sheetData sheetId="3884">
        <row r="2">
          <cell r="F2" t="str">
            <v>INCH</v>
          </cell>
        </row>
      </sheetData>
      <sheetData sheetId="3885">
        <row r="2">
          <cell r="F2" t="str">
            <v>INCH</v>
          </cell>
        </row>
      </sheetData>
      <sheetData sheetId="3886">
        <row r="2">
          <cell r="F2" t="str">
            <v>INCH</v>
          </cell>
        </row>
      </sheetData>
      <sheetData sheetId="3887">
        <row r="2">
          <cell r="F2" t="str">
            <v>INCH</v>
          </cell>
        </row>
      </sheetData>
      <sheetData sheetId="3888">
        <row r="2">
          <cell r="F2" t="str">
            <v>INCH</v>
          </cell>
        </row>
      </sheetData>
      <sheetData sheetId="3889">
        <row r="2">
          <cell r="F2" t="str">
            <v>INCH</v>
          </cell>
        </row>
      </sheetData>
      <sheetData sheetId="3890">
        <row r="2">
          <cell r="F2" t="str">
            <v>INCH</v>
          </cell>
        </row>
      </sheetData>
      <sheetData sheetId="3891">
        <row r="2">
          <cell r="F2" t="str">
            <v>INCH</v>
          </cell>
        </row>
      </sheetData>
      <sheetData sheetId="3892">
        <row r="2">
          <cell r="F2" t="str">
            <v>INCH</v>
          </cell>
        </row>
      </sheetData>
      <sheetData sheetId="3893">
        <row r="2">
          <cell r="F2" t="str">
            <v>INCH</v>
          </cell>
        </row>
      </sheetData>
      <sheetData sheetId="3894">
        <row r="2">
          <cell r="F2" t="str">
            <v>INCH</v>
          </cell>
        </row>
      </sheetData>
      <sheetData sheetId="3895">
        <row r="2">
          <cell r="F2" t="str">
            <v>INCH</v>
          </cell>
        </row>
      </sheetData>
      <sheetData sheetId="3896">
        <row r="2">
          <cell r="F2" t="str">
            <v>INCH</v>
          </cell>
        </row>
      </sheetData>
      <sheetData sheetId="3897">
        <row r="2">
          <cell r="F2" t="str">
            <v>INCH</v>
          </cell>
        </row>
      </sheetData>
      <sheetData sheetId="3898">
        <row r="2">
          <cell r="F2" t="str">
            <v>INCH</v>
          </cell>
        </row>
      </sheetData>
      <sheetData sheetId="3899">
        <row r="2">
          <cell r="F2" t="str">
            <v>INCH</v>
          </cell>
        </row>
      </sheetData>
      <sheetData sheetId="3900">
        <row r="2">
          <cell r="F2" t="str">
            <v>INCH</v>
          </cell>
        </row>
      </sheetData>
      <sheetData sheetId="3901">
        <row r="2">
          <cell r="F2" t="str">
            <v>INCH</v>
          </cell>
        </row>
      </sheetData>
      <sheetData sheetId="3902">
        <row r="2">
          <cell r="F2" t="str">
            <v>INCH</v>
          </cell>
        </row>
      </sheetData>
      <sheetData sheetId="3903">
        <row r="2">
          <cell r="F2" t="str">
            <v>INCH</v>
          </cell>
        </row>
      </sheetData>
      <sheetData sheetId="3904">
        <row r="2">
          <cell r="F2" t="str">
            <v>INCH</v>
          </cell>
        </row>
      </sheetData>
      <sheetData sheetId="3905">
        <row r="2">
          <cell r="F2" t="str">
            <v>INCH</v>
          </cell>
        </row>
      </sheetData>
      <sheetData sheetId="3906">
        <row r="2">
          <cell r="F2" t="str">
            <v>INCH</v>
          </cell>
        </row>
      </sheetData>
      <sheetData sheetId="3907">
        <row r="2">
          <cell r="F2" t="str">
            <v>INCH</v>
          </cell>
        </row>
      </sheetData>
      <sheetData sheetId="3908">
        <row r="2">
          <cell r="F2" t="str">
            <v>INCH</v>
          </cell>
        </row>
      </sheetData>
      <sheetData sheetId="3909">
        <row r="2">
          <cell r="F2" t="str">
            <v>INCH</v>
          </cell>
        </row>
      </sheetData>
      <sheetData sheetId="3910">
        <row r="2">
          <cell r="F2" t="str">
            <v>INCH</v>
          </cell>
        </row>
      </sheetData>
      <sheetData sheetId="3911">
        <row r="2">
          <cell r="F2" t="str">
            <v>INCH</v>
          </cell>
        </row>
      </sheetData>
      <sheetData sheetId="3912">
        <row r="2">
          <cell r="F2" t="str">
            <v>INCH</v>
          </cell>
        </row>
      </sheetData>
      <sheetData sheetId="3913">
        <row r="2">
          <cell r="F2" t="str">
            <v>INCH</v>
          </cell>
        </row>
      </sheetData>
      <sheetData sheetId="3914">
        <row r="2">
          <cell r="F2" t="str">
            <v>INCH</v>
          </cell>
        </row>
      </sheetData>
      <sheetData sheetId="3915">
        <row r="2">
          <cell r="F2" t="str">
            <v>INCH</v>
          </cell>
        </row>
      </sheetData>
      <sheetData sheetId="3916">
        <row r="2">
          <cell r="F2" t="str">
            <v>INCH</v>
          </cell>
        </row>
      </sheetData>
      <sheetData sheetId="3917">
        <row r="2">
          <cell r="F2" t="str">
            <v>INCH</v>
          </cell>
        </row>
      </sheetData>
      <sheetData sheetId="3918">
        <row r="2">
          <cell r="F2" t="str">
            <v>INCH</v>
          </cell>
        </row>
      </sheetData>
      <sheetData sheetId="3919">
        <row r="2">
          <cell r="F2" t="str">
            <v>INCH</v>
          </cell>
        </row>
      </sheetData>
      <sheetData sheetId="3920">
        <row r="2">
          <cell r="F2" t="str">
            <v>INCH</v>
          </cell>
        </row>
      </sheetData>
      <sheetData sheetId="3921">
        <row r="2">
          <cell r="F2" t="str">
            <v>INCH</v>
          </cell>
        </row>
      </sheetData>
      <sheetData sheetId="3922">
        <row r="2">
          <cell r="F2" t="str">
            <v>INCH</v>
          </cell>
        </row>
      </sheetData>
      <sheetData sheetId="3923">
        <row r="2">
          <cell r="F2" t="str">
            <v>INCH</v>
          </cell>
        </row>
      </sheetData>
      <sheetData sheetId="3924">
        <row r="2">
          <cell r="F2" t="str">
            <v>INCH</v>
          </cell>
        </row>
      </sheetData>
      <sheetData sheetId="3925">
        <row r="2">
          <cell r="F2" t="str">
            <v>INCH</v>
          </cell>
        </row>
      </sheetData>
      <sheetData sheetId="3926">
        <row r="2">
          <cell r="F2" t="str">
            <v>INCH</v>
          </cell>
        </row>
      </sheetData>
      <sheetData sheetId="3927">
        <row r="2">
          <cell r="F2" t="str">
            <v>INCH</v>
          </cell>
        </row>
      </sheetData>
      <sheetData sheetId="3928">
        <row r="2">
          <cell r="F2" t="str">
            <v>INCH</v>
          </cell>
        </row>
      </sheetData>
      <sheetData sheetId="3929">
        <row r="2">
          <cell r="F2" t="str">
            <v>INCH</v>
          </cell>
        </row>
      </sheetData>
      <sheetData sheetId="3930">
        <row r="2">
          <cell r="F2" t="str">
            <v>INCH</v>
          </cell>
        </row>
      </sheetData>
      <sheetData sheetId="3931">
        <row r="2">
          <cell r="F2" t="str">
            <v>INCH</v>
          </cell>
        </row>
      </sheetData>
      <sheetData sheetId="3932">
        <row r="2">
          <cell r="F2" t="str">
            <v>INCH</v>
          </cell>
        </row>
      </sheetData>
      <sheetData sheetId="3933">
        <row r="2">
          <cell r="F2" t="str">
            <v>INCH</v>
          </cell>
        </row>
      </sheetData>
      <sheetData sheetId="3934">
        <row r="2">
          <cell r="F2" t="str">
            <v>INCH</v>
          </cell>
        </row>
      </sheetData>
      <sheetData sheetId="3935">
        <row r="2">
          <cell r="F2" t="str">
            <v>INCH</v>
          </cell>
        </row>
      </sheetData>
      <sheetData sheetId="3936">
        <row r="2">
          <cell r="F2" t="str">
            <v>INCH</v>
          </cell>
        </row>
      </sheetData>
      <sheetData sheetId="3937">
        <row r="2">
          <cell r="F2" t="str">
            <v>INCH</v>
          </cell>
        </row>
      </sheetData>
      <sheetData sheetId="3938">
        <row r="2">
          <cell r="F2" t="str">
            <v>INCH</v>
          </cell>
        </row>
      </sheetData>
      <sheetData sheetId="3939">
        <row r="2">
          <cell r="F2" t="str">
            <v>INCH</v>
          </cell>
        </row>
      </sheetData>
      <sheetData sheetId="3940">
        <row r="2">
          <cell r="F2" t="str">
            <v>INCH</v>
          </cell>
        </row>
      </sheetData>
      <sheetData sheetId="3941">
        <row r="2">
          <cell r="F2" t="str">
            <v>INCH</v>
          </cell>
        </row>
      </sheetData>
      <sheetData sheetId="3942">
        <row r="2">
          <cell r="F2" t="str">
            <v>INCH</v>
          </cell>
        </row>
      </sheetData>
      <sheetData sheetId="3943">
        <row r="2">
          <cell r="F2" t="str">
            <v>INCH</v>
          </cell>
        </row>
      </sheetData>
      <sheetData sheetId="3944">
        <row r="2">
          <cell r="F2" t="str">
            <v>INCH</v>
          </cell>
        </row>
      </sheetData>
      <sheetData sheetId="3945">
        <row r="2">
          <cell r="F2" t="str">
            <v>INCH</v>
          </cell>
        </row>
      </sheetData>
      <sheetData sheetId="3946">
        <row r="2">
          <cell r="F2" t="str">
            <v>INCH</v>
          </cell>
        </row>
      </sheetData>
      <sheetData sheetId="3947">
        <row r="2">
          <cell r="F2" t="str">
            <v>INCH</v>
          </cell>
        </row>
      </sheetData>
      <sheetData sheetId="3948">
        <row r="2">
          <cell r="F2" t="str">
            <v>INCH</v>
          </cell>
        </row>
      </sheetData>
      <sheetData sheetId="3949">
        <row r="2">
          <cell r="F2" t="str">
            <v>INCH</v>
          </cell>
        </row>
      </sheetData>
      <sheetData sheetId="3950">
        <row r="2">
          <cell r="F2" t="str">
            <v>INCH</v>
          </cell>
        </row>
      </sheetData>
      <sheetData sheetId="3951">
        <row r="2">
          <cell r="F2" t="str">
            <v>INCH</v>
          </cell>
        </row>
      </sheetData>
      <sheetData sheetId="3952">
        <row r="2">
          <cell r="F2" t="str">
            <v>INCH</v>
          </cell>
        </row>
      </sheetData>
      <sheetData sheetId="3953">
        <row r="2">
          <cell r="F2" t="str">
            <v>INCH</v>
          </cell>
        </row>
      </sheetData>
      <sheetData sheetId="3954">
        <row r="2">
          <cell r="F2" t="str">
            <v>INCH</v>
          </cell>
        </row>
      </sheetData>
      <sheetData sheetId="3955">
        <row r="2">
          <cell r="F2" t="str">
            <v>INCH</v>
          </cell>
        </row>
      </sheetData>
      <sheetData sheetId="3956">
        <row r="2">
          <cell r="F2" t="str">
            <v>INCH</v>
          </cell>
        </row>
      </sheetData>
      <sheetData sheetId="3957">
        <row r="2">
          <cell r="F2" t="str">
            <v>INCH</v>
          </cell>
        </row>
      </sheetData>
      <sheetData sheetId="3958">
        <row r="2">
          <cell r="F2" t="str">
            <v>INCH</v>
          </cell>
        </row>
      </sheetData>
      <sheetData sheetId="3959">
        <row r="2">
          <cell r="F2" t="str">
            <v>INCH</v>
          </cell>
        </row>
      </sheetData>
      <sheetData sheetId="3960">
        <row r="2">
          <cell r="F2" t="str">
            <v>INCH</v>
          </cell>
        </row>
      </sheetData>
      <sheetData sheetId="3961">
        <row r="2">
          <cell r="F2" t="str">
            <v>INCH</v>
          </cell>
        </row>
      </sheetData>
      <sheetData sheetId="3962">
        <row r="2">
          <cell r="F2" t="str">
            <v>INCH</v>
          </cell>
        </row>
      </sheetData>
      <sheetData sheetId="3963">
        <row r="2">
          <cell r="F2" t="str">
            <v>INCH</v>
          </cell>
        </row>
      </sheetData>
      <sheetData sheetId="3964">
        <row r="2">
          <cell r="F2" t="str">
            <v>INCH</v>
          </cell>
        </row>
      </sheetData>
      <sheetData sheetId="3965">
        <row r="2">
          <cell r="F2" t="str">
            <v>INCH</v>
          </cell>
        </row>
      </sheetData>
      <sheetData sheetId="3966">
        <row r="2">
          <cell r="F2" t="str">
            <v>INCH</v>
          </cell>
        </row>
      </sheetData>
      <sheetData sheetId="3967">
        <row r="2">
          <cell r="F2" t="str">
            <v>INCH</v>
          </cell>
        </row>
      </sheetData>
      <sheetData sheetId="3968">
        <row r="2">
          <cell r="F2" t="str">
            <v>INCH</v>
          </cell>
        </row>
      </sheetData>
      <sheetData sheetId="3969">
        <row r="2">
          <cell r="F2" t="str">
            <v>INCH</v>
          </cell>
        </row>
      </sheetData>
      <sheetData sheetId="3970">
        <row r="2">
          <cell r="F2" t="str">
            <v>INCH</v>
          </cell>
        </row>
      </sheetData>
      <sheetData sheetId="3971">
        <row r="2">
          <cell r="F2" t="str">
            <v>INCH</v>
          </cell>
        </row>
      </sheetData>
      <sheetData sheetId="3972">
        <row r="2">
          <cell r="F2" t="str">
            <v>INCH</v>
          </cell>
        </row>
      </sheetData>
      <sheetData sheetId="3973">
        <row r="2">
          <cell r="F2" t="str">
            <v>INCH</v>
          </cell>
        </row>
      </sheetData>
      <sheetData sheetId="3974">
        <row r="2">
          <cell r="F2" t="str">
            <v>INCH</v>
          </cell>
        </row>
      </sheetData>
      <sheetData sheetId="3975">
        <row r="2">
          <cell r="F2" t="str">
            <v>INCH</v>
          </cell>
        </row>
      </sheetData>
      <sheetData sheetId="3976">
        <row r="2">
          <cell r="F2" t="str">
            <v>INCH</v>
          </cell>
        </row>
      </sheetData>
      <sheetData sheetId="3977">
        <row r="2">
          <cell r="F2" t="str">
            <v>INCH</v>
          </cell>
        </row>
      </sheetData>
      <sheetData sheetId="3978">
        <row r="2">
          <cell r="F2" t="str">
            <v>INCH</v>
          </cell>
        </row>
      </sheetData>
      <sheetData sheetId="3979">
        <row r="2">
          <cell r="F2" t="str">
            <v>INCH</v>
          </cell>
        </row>
      </sheetData>
      <sheetData sheetId="3980">
        <row r="2">
          <cell r="F2" t="str">
            <v>INCH</v>
          </cell>
        </row>
      </sheetData>
      <sheetData sheetId="3981">
        <row r="2">
          <cell r="F2" t="str">
            <v>INCH</v>
          </cell>
        </row>
      </sheetData>
      <sheetData sheetId="3982">
        <row r="2">
          <cell r="F2" t="str">
            <v>INCH</v>
          </cell>
        </row>
      </sheetData>
      <sheetData sheetId="3983">
        <row r="2">
          <cell r="F2" t="str">
            <v>INCH</v>
          </cell>
        </row>
      </sheetData>
      <sheetData sheetId="3984">
        <row r="2">
          <cell r="F2" t="str">
            <v>INCH</v>
          </cell>
        </row>
      </sheetData>
      <sheetData sheetId="3985">
        <row r="2">
          <cell r="F2" t="str">
            <v>INCH</v>
          </cell>
        </row>
      </sheetData>
      <sheetData sheetId="3986">
        <row r="2">
          <cell r="F2" t="str">
            <v>INCH</v>
          </cell>
        </row>
      </sheetData>
      <sheetData sheetId="3987">
        <row r="2">
          <cell r="F2" t="str">
            <v>INCH</v>
          </cell>
        </row>
      </sheetData>
      <sheetData sheetId="3988">
        <row r="2">
          <cell r="F2" t="str">
            <v>INCH</v>
          </cell>
        </row>
      </sheetData>
      <sheetData sheetId="3989">
        <row r="2">
          <cell r="F2" t="str">
            <v>INCH</v>
          </cell>
        </row>
      </sheetData>
      <sheetData sheetId="3990">
        <row r="2">
          <cell r="F2" t="str">
            <v>INCH</v>
          </cell>
        </row>
      </sheetData>
      <sheetData sheetId="3991">
        <row r="2">
          <cell r="F2" t="str">
            <v>INCH</v>
          </cell>
        </row>
      </sheetData>
      <sheetData sheetId="3992">
        <row r="2">
          <cell r="F2" t="str">
            <v>INCH</v>
          </cell>
        </row>
      </sheetData>
      <sheetData sheetId="3993">
        <row r="2">
          <cell r="F2" t="str">
            <v>INCH</v>
          </cell>
        </row>
      </sheetData>
      <sheetData sheetId="3994">
        <row r="2">
          <cell r="F2" t="str">
            <v>INCH</v>
          </cell>
        </row>
      </sheetData>
      <sheetData sheetId="3995">
        <row r="2">
          <cell r="F2" t="str">
            <v>INCH</v>
          </cell>
        </row>
      </sheetData>
      <sheetData sheetId="3996">
        <row r="2">
          <cell r="F2" t="str">
            <v>INCH</v>
          </cell>
        </row>
      </sheetData>
      <sheetData sheetId="3997">
        <row r="2">
          <cell r="F2" t="str">
            <v>INCH</v>
          </cell>
        </row>
      </sheetData>
      <sheetData sheetId="3998">
        <row r="2">
          <cell r="F2" t="str">
            <v>INCH</v>
          </cell>
        </row>
      </sheetData>
      <sheetData sheetId="3999">
        <row r="2">
          <cell r="F2" t="str">
            <v>INCH</v>
          </cell>
        </row>
      </sheetData>
      <sheetData sheetId="4000">
        <row r="2">
          <cell r="F2" t="str">
            <v>INCH</v>
          </cell>
        </row>
      </sheetData>
      <sheetData sheetId="4001">
        <row r="2">
          <cell r="F2" t="str">
            <v>INCH</v>
          </cell>
        </row>
      </sheetData>
      <sheetData sheetId="4002">
        <row r="2">
          <cell r="F2" t="str">
            <v>INCH</v>
          </cell>
        </row>
      </sheetData>
      <sheetData sheetId="4003">
        <row r="2">
          <cell r="F2" t="str">
            <v>INCH</v>
          </cell>
        </row>
      </sheetData>
      <sheetData sheetId="4004">
        <row r="2">
          <cell r="F2" t="str">
            <v>INCH</v>
          </cell>
        </row>
      </sheetData>
      <sheetData sheetId="4005">
        <row r="2">
          <cell r="F2" t="str">
            <v>INCH</v>
          </cell>
        </row>
      </sheetData>
      <sheetData sheetId="4006">
        <row r="2">
          <cell r="F2" t="str">
            <v>INCH</v>
          </cell>
        </row>
      </sheetData>
      <sheetData sheetId="4007">
        <row r="2">
          <cell r="F2" t="str">
            <v>INCH</v>
          </cell>
        </row>
      </sheetData>
      <sheetData sheetId="4008">
        <row r="2">
          <cell r="F2" t="str">
            <v>INCH</v>
          </cell>
        </row>
      </sheetData>
      <sheetData sheetId="4009">
        <row r="2">
          <cell r="F2" t="str">
            <v>INCH</v>
          </cell>
        </row>
      </sheetData>
      <sheetData sheetId="4010">
        <row r="2">
          <cell r="F2" t="str">
            <v>INCH</v>
          </cell>
        </row>
      </sheetData>
      <sheetData sheetId="4011">
        <row r="2">
          <cell r="F2" t="str">
            <v>INCH</v>
          </cell>
        </row>
      </sheetData>
      <sheetData sheetId="4012">
        <row r="2">
          <cell r="F2" t="str">
            <v>INCH</v>
          </cell>
        </row>
      </sheetData>
      <sheetData sheetId="4013">
        <row r="2">
          <cell r="F2" t="str">
            <v>INCH</v>
          </cell>
        </row>
      </sheetData>
      <sheetData sheetId="4014">
        <row r="2">
          <cell r="F2" t="str">
            <v>INCH</v>
          </cell>
        </row>
      </sheetData>
      <sheetData sheetId="4015">
        <row r="2">
          <cell r="F2" t="str">
            <v>INCH</v>
          </cell>
        </row>
      </sheetData>
      <sheetData sheetId="4016">
        <row r="2">
          <cell r="F2" t="str">
            <v>INCH</v>
          </cell>
        </row>
      </sheetData>
      <sheetData sheetId="4017">
        <row r="2">
          <cell r="F2" t="str">
            <v>INCH</v>
          </cell>
        </row>
      </sheetData>
      <sheetData sheetId="4018">
        <row r="2">
          <cell r="F2" t="str">
            <v>INCH</v>
          </cell>
        </row>
      </sheetData>
      <sheetData sheetId="4019">
        <row r="2">
          <cell r="F2" t="str">
            <v>INCH</v>
          </cell>
        </row>
      </sheetData>
      <sheetData sheetId="4020">
        <row r="2">
          <cell r="F2" t="str">
            <v>INCH</v>
          </cell>
        </row>
      </sheetData>
      <sheetData sheetId="4021">
        <row r="2">
          <cell r="F2" t="str">
            <v>INCH</v>
          </cell>
        </row>
      </sheetData>
      <sheetData sheetId="4022">
        <row r="2">
          <cell r="F2" t="str">
            <v>INCH</v>
          </cell>
        </row>
      </sheetData>
      <sheetData sheetId="4023">
        <row r="2">
          <cell r="F2" t="str">
            <v>INCH</v>
          </cell>
        </row>
      </sheetData>
      <sheetData sheetId="4024">
        <row r="2">
          <cell r="F2" t="str">
            <v>INCH</v>
          </cell>
        </row>
      </sheetData>
      <sheetData sheetId="4025">
        <row r="2">
          <cell r="F2" t="str">
            <v>INCH</v>
          </cell>
        </row>
      </sheetData>
      <sheetData sheetId="4026">
        <row r="2">
          <cell r="F2" t="str">
            <v>INCH</v>
          </cell>
        </row>
      </sheetData>
      <sheetData sheetId="4027">
        <row r="2">
          <cell r="F2" t="str">
            <v>INCH</v>
          </cell>
        </row>
      </sheetData>
      <sheetData sheetId="4028">
        <row r="2">
          <cell r="F2" t="str">
            <v>INCH</v>
          </cell>
        </row>
      </sheetData>
      <sheetData sheetId="4029">
        <row r="2">
          <cell r="F2" t="str">
            <v>INCH</v>
          </cell>
        </row>
      </sheetData>
      <sheetData sheetId="4030">
        <row r="2">
          <cell r="F2" t="str">
            <v>INCH</v>
          </cell>
        </row>
      </sheetData>
      <sheetData sheetId="4031">
        <row r="2">
          <cell r="F2" t="str">
            <v>INCH</v>
          </cell>
        </row>
      </sheetData>
      <sheetData sheetId="4032">
        <row r="2">
          <cell r="F2" t="str">
            <v>INCH</v>
          </cell>
        </row>
      </sheetData>
      <sheetData sheetId="4033">
        <row r="2">
          <cell r="F2" t="str">
            <v>INCH</v>
          </cell>
        </row>
      </sheetData>
      <sheetData sheetId="4034">
        <row r="2">
          <cell r="F2" t="str">
            <v>INCH</v>
          </cell>
        </row>
      </sheetData>
      <sheetData sheetId="4035">
        <row r="2">
          <cell r="F2" t="str">
            <v>INCH</v>
          </cell>
        </row>
      </sheetData>
      <sheetData sheetId="4036">
        <row r="2">
          <cell r="F2" t="str">
            <v>INCH</v>
          </cell>
        </row>
      </sheetData>
      <sheetData sheetId="4037">
        <row r="2">
          <cell r="F2" t="str">
            <v>INCH</v>
          </cell>
        </row>
      </sheetData>
      <sheetData sheetId="4038">
        <row r="2">
          <cell r="F2" t="str">
            <v>INCH</v>
          </cell>
        </row>
      </sheetData>
      <sheetData sheetId="4039">
        <row r="2">
          <cell r="F2" t="str">
            <v>INCH</v>
          </cell>
        </row>
      </sheetData>
      <sheetData sheetId="4040">
        <row r="2">
          <cell r="F2" t="str">
            <v>INCH</v>
          </cell>
        </row>
      </sheetData>
      <sheetData sheetId="4041">
        <row r="2">
          <cell r="F2" t="str">
            <v>INCH</v>
          </cell>
        </row>
      </sheetData>
      <sheetData sheetId="4042">
        <row r="2">
          <cell r="F2" t="str">
            <v>INCH</v>
          </cell>
        </row>
      </sheetData>
      <sheetData sheetId="4043">
        <row r="2">
          <cell r="F2" t="str">
            <v>INCH</v>
          </cell>
        </row>
      </sheetData>
      <sheetData sheetId="4044">
        <row r="2">
          <cell r="F2" t="str">
            <v>INCH</v>
          </cell>
        </row>
      </sheetData>
      <sheetData sheetId="4045">
        <row r="2">
          <cell r="F2" t="str">
            <v>INCH</v>
          </cell>
        </row>
      </sheetData>
      <sheetData sheetId="4046">
        <row r="2">
          <cell r="F2" t="str">
            <v>INCH</v>
          </cell>
        </row>
      </sheetData>
      <sheetData sheetId="4047">
        <row r="2">
          <cell r="F2" t="str">
            <v>INCH</v>
          </cell>
        </row>
      </sheetData>
      <sheetData sheetId="4048">
        <row r="2">
          <cell r="F2" t="str">
            <v>INCH</v>
          </cell>
        </row>
      </sheetData>
      <sheetData sheetId="4049">
        <row r="2">
          <cell r="F2" t="str">
            <v>INCH</v>
          </cell>
        </row>
      </sheetData>
      <sheetData sheetId="4050">
        <row r="2">
          <cell r="F2" t="str">
            <v>INCH</v>
          </cell>
        </row>
      </sheetData>
      <sheetData sheetId="4051">
        <row r="2">
          <cell r="F2" t="str">
            <v>INCH</v>
          </cell>
        </row>
      </sheetData>
      <sheetData sheetId="4052">
        <row r="2">
          <cell r="F2" t="str">
            <v>INCH</v>
          </cell>
        </row>
      </sheetData>
      <sheetData sheetId="4053">
        <row r="2">
          <cell r="F2" t="str">
            <v>INCH</v>
          </cell>
        </row>
      </sheetData>
      <sheetData sheetId="4054">
        <row r="2">
          <cell r="F2" t="str">
            <v>INCH</v>
          </cell>
        </row>
      </sheetData>
      <sheetData sheetId="4055">
        <row r="2">
          <cell r="F2" t="str">
            <v>INCH</v>
          </cell>
        </row>
      </sheetData>
      <sheetData sheetId="4056">
        <row r="2">
          <cell r="F2" t="str">
            <v>INCH</v>
          </cell>
        </row>
      </sheetData>
      <sheetData sheetId="4057">
        <row r="2">
          <cell r="F2" t="str">
            <v>INCH</v>
          </cell>
        </row>
      </sheetData>
      <sheetData sheetId="4058">
        <row r="2">
          <cell r="F2" t="str">
            <v>INCH</v>
          </cell>
        </row>
      </sheetData>
      <sheetData sheetId="4059">
        <row r="2">
          <cell r="F2" t="str">
            <v>INCH</v>
          </cell>
        </row>
      </sheetData>
      <sheetData sheetId="4060">
        <row r="2">
          <cell r="F2" t="str">
            <v>INCH</v>
          </cell>
        </row>
      </sheetData>
      <sheetData sheetId="4061">
        <row r="2">
          <cell r="F2" t="str">
            <v>INCH</v>
          </cell>
        </row>
      </sheetData>
      <sheetData sheetId="4062">
        <row r="2">
          <cell r="F2" t="str">
            <v>INCH</v>
          </cell>
        </row>
      </sheetData>
      <sheetData sheetId="4063">
        <row r="2">
          <cell r="F2" t="str">
            <v>INCH</v>
          </cell>
        </row>
      </sheetData>
      <sheetData sheetId="4064">
        <row r="2">
          <cell r="F2" t="str">
            <v>INCH</v>
          </cell>
        </row>
      </sheetData>
      <sheetData sheetId="4065">
        <row r="2">
          <cell r="F2" t="str">
            <v>INCH</v>
          </cell>
        </row>
      </sheetData>
      <sheetData sheetId="4066">
        <row r="2">
          <cell r="F2" t="str">
            <v>INCH</v>
          </cell>
        </row>
      </sheetData>
      <sheetData sheetId="4067">
        <row r="2">
          <cell r="F2" t="str">
            <v>INCH</v>
          </cell>
        </row>
      </sheetData>
      <sheetData sheetId="4068">
        <row r="2">
          <cell r="F2" t="str">
            <v>INCH</v>
          </cell>
        </row>
      </sheetData>
      <sheetData sheetId="4069">
        <row r="2">
          <cell r="F2" t="str">
            <v>INCH</v>
          </cell>
        </row>
      </sheetData>
      <sheetData sheetId="4070">
        <row r="2">
          <cell r="F2" t="str">
            <v>INCH</v>
          </cell>
        </row>
      </sheetData>
      <sheetData sheetId="4071">
        <row r="2">
          <cell r="F2" t="str">
            <v>INCH</v>
          </cell>
        </row>
      </sheetData>
      <sheetData sheetId="4072">
        <row r="2">
          <cell r="F2" t="str">
            <v>INCH</v>
          </cell>
        </row>
      </sheetData>
      <sheetData sheetId="4073">
        <row r="2">
          <cell r="F2" t="str">
            <v>INCH</v>
          </cell>
        </row>
      </sheetData>
      <sheetData sheetId="4074">
        <row r="2">
          <cell r="F2" t="str">
            <v>INCH</v>
          </cell>
        </row>
      </sheetData>
      <sheetData sheetId="4075">
        <row r="2">
          <cell r="F2" t="str">
            <v>INCH</v>
          </cell>
        </row>
      </sheetData>
      <sheetData sheetId="4076">
        <row r="2">
          <cell r="F2" t="str">
            <v>INCH</v>
          </cell>
        </row>
      </sheetData>
      <sheetData sheetId="4077">
        <row r="2">
          <cell r="F2" t="str">
            <v>INCH</v>
          </cell>
        </row>
      </sheetData>
      <sheetData sheetId="4078">
        <row r="2">
          <cell r="F2" t="str">
            <v>INCH</v>
          </cell>
        </row>
      </sheetData>
      <sheetData sheetId="4079">
        <row r="2">
          <cell r="F2" t="str">
            <v>INCH</v>
          </cell>
        </row>
      </sheetData>
      <sheetData sheetId="4080">
        <row r="2">
          <cell r="F2" t="str">
            <v>INCH</v>
          </cell>
        </row>
      </sheetData>
      <sheetData sheetId="4081">
        <row r="2">
          <cell r="F2" t="str">
            <v>INCH</v>
          </cell>
        </row>
      </sheetData>
      <sheetData sheetId="4082">
        <row r="2">
          <cell r="F2" t="str">
            <v>INCH</v>
          </cell>
        </row>
      </sheetData>
      <sheetData sheetId="4083">
        <row r="2">
          <cell r="F2" t="str">
            <v>INCH</v>
          </cell>
        </row>
      </sheetData>
      <sheetData sheetId="4084">
        <row r="2">
          <cell r="F2" t="str">
            <v>INCH</v>
          </cell>
        </row>
      </sheetData>
      <sheetData sheetId="4085">
        <row r="2">
          <cell r="F2" t="str">
            <v>INCH</v>
          </cell>
        </row>
      </sheetData>
      <sheetData sheetId="4086">
        <row r="2">
          <cell r="F2" t="str">
            <v>INCH</v>
          </cell>
        </row>
      </sheetData>
      <sheetData sheetId="4087">
        <row r="2">
          <cell r="F2" t="str">
            <v>INCH</v>
          </cell>
        </row>
      </sheetData>
      <sheetData sheetId="4088">
        <row r="2">
          <cell r="F2" t="str">
            <v>INCH</v>
          </cell>
        </row>
      </sheetData>
      <sheetData sheetId="4089">
        <row r="2">
          <cell r="F2" t="str">
            <v>INCH</v>
          </cell>
        </row>
      </sheetData>
      <sheetData sheetId="4090">
        <row r="2">
          <cell r="F2" t="str">
            <v>INCH</v>
          </cell>
        </row>
      </sheetData>
      <sheetData sheetId="4091">
        <row r="2">
          <cell r="F2" t="str">
            <v>INCH</v>
          </cell>
        </row>
      </sheetData>
      <sheetData sheetId="4092">
        <row r="2">
          <cell r="F2" t="str">
            <v>INCH</v>
          </cell>
        </row>
      </sheetData>
      <sheetData sheetId="4093">
        <row r="2">
          <cell r="F2" t="str">
            <v>INCH</v>
          </cell>
        </row>
      </sheetData>
      <sheetData sheetId="4094">
        <row r="2">
          <cell r="F2" t="str">
            <v>INCH</v>
          </cell>
        </row>
      </sheetData>
      <sheetData sheetId="4095">
        <row r="2">
          <cell r="F2" t="str">
            <v>INCH</v>
          </cell>
        </row>
      </sheetData>
      <sheetData sheetId="4096">
        <row r="2">
          <cell r="F2" t="str">
            <v>INCH</v>
          </cell>
        </row>
      </sheetData>
      <sheetData sheetId="4097">
        <row r="2">
          <cell r="F2" t="str">
            <v>INCH</v>
          </cell>
        </row>
      </sheetData>
      <sheetData sheetId="4098">
        <row r="2">
          <cell r="F2" t="str">
            <v>INCH</v>
          </cell>
        </row>
      </sheetData>
      <sheetData sheetId="4099">
        <row r="2">
          <cell r="F2" t="str">
            <v>INCH</v>
          </cell>
        </row>
      </sheetData>
      <sheetData sheetId="4100">
        <row r="2">
          <cell r="F2" t="str">
            <v>INCH</v>
          </cell>
        </row>
      </sheetData>
      <sheetData sheetId="4101">
        <row r="2">
          <cell r="F2" t="str">
            <v>INCH</v>
          </cell>
        </row>
      </sheetData>
      <sheetData sheetId="4102">
        <row r="2">
          <cell r="F2" t="str">
            <v>INCH</v>
          </cell>
        </row>
      </sheetData>
      <sheetData sheetId="4103">
        <row r="2">
          <cell r="F2" t="str">
            <v>INCH</v>
          </cell>
        </row>
      </sheetData>
      <sheetData sheetId="4104">
        <row r="2">
          <cell r="F2" t="str">
            <v>INCH</v>
          </cell>
        </row>
      </sheetData>
      <sheetData sheetId="4105">
        <row r="2">
          <cell r="F2" t="str">
            <v>INCH</v>
          </cell>
        </row>
      </sheetData>
      <sheetData sheetId="4106">
        <row r="2">
          <cell r="F2" t="str">
            <v>INCH</v>
          </cell>
        </row>
      </sheetData>
      <sheetData sheetId="4107">
        <row r="2">
          <cell r="F2" t="str">
            <v>INCH</v>
          </cell>
        </row>
      </sheetData>
      <sheetData sheetId="4108">
        <row r="2">
          <cell r="F2" t="str">
            <v>INCH</v>
          </cell>
        </row>
      </sheetData>
      <sheetData sheetId="4109">
        <row r="2">
          <cell r="F2" t="str">
            <v>INCH</v>
          </cell>
        </row>
      </sheetData>
      <sheetData sheetId="4110">
        <row r="2">
          <cell r="F2" t="str">
            <v>INCH</v>
          </cell>
        </row>
      </sheetData>
      <sheetData sheetId="4111">
        <row r="2">
          <cell r="F2" t="str">
            <v>INCH</v>
          </cell>
        </row>
      </sheetData>
      <sheetData sheetId="4112">
        <row r="2">
          <cell r="F2" t="str">
            <v>INCH</v>
          </cell>
        </row>
      </sheetData>
      <sheetData sheetId="4113">
        <row r="2">
          <cell r="F2" t="str">
            <v>INCH</v>
          </cell>
        </row>
      </sheetData>
      <sheetData sheetId="4114">
        <row r="2">
          <cell r="F2" t="str">
            <v>INCH</v>
          </cell>
        </row>
      </sheetData>
      <sheetData sheetId="4115">
        <row r="2">
          <cell r="F2" t="str">
            <v>INCH</v>
          </cell>
        </row>
      </sheetData>
      <sheetData sheetId="4116">
        <row r="2">
          <cell r="F2" t="str">
            <v>INCH</v>
          </cell>
        </row>
      </sheetData>
      <sheetData sheetId="4117">
        <row r="2">
          <cell r="F2" t="str">
            <v>INCH</v>
          </cell>
        </row>
      </sheetData>
      <sheetData sheetId="4118">
        <row r="2">
          <cell r="F2" t="str">
            <v>INCH</v>
          </cell>
        </row>
      </sheetData>
      <sheetData sheetId="4119">
        <row r="2">
          <cell r="F2" t="str">
            <v>INCH</v>
          </cell>
        </row>
      </sheetData>
      <sheetData sheetId="4120">
        <row r="2">
          <cell r="F2" t="str">
            <v>INCH</v>
          </cell>
        </row>
      </sheetData>
      <sheetData sheetId="4121">
        <row r="2">
          <cell r="F2" t="str">
            <v>INCH</v>
          </cell>
        </row>
      </sheetData>
      <sheetData sheetId="4122">
        <row r="2">
          <cell r="F2" t="str">
            <v>INCH</v>
          </cell>
        </row>
      </sheetData>
      <sheetData sheetId="4123">
        <row r="2">
          <cell r="F2" t="str">
            <v>INCH</v>
          </cell>
        </row>
      </sheetData>
      <sheetData sheetId="4124">
        <row r="2">
          <cell r="F2" t="str">
            <v>INCH</v>
          </cell>
        </row>
      </sheetData>
      <sheetData sheetId="4125">
        <row r="2">
          <cell r="F2" t="str">
            <v>INCH</v>
          </cell>
        </row>
      </sheetData>
      <sheetData sheetId="4126">
        <row r="2">
          <cell r="F2" t="str">
            <v>INCH</v>
          </cell>
        </row>
      </sheetData>
      <sheetData sheetId="4127">
        <row r="2">
          <cell r="F2" t="str">
            <v>INCH</v>
          </cell>
        </row>
      </sheetData>
      <sheetData sheetId="4128">
        <row r="2">
          <cell r="F2" t="str">
            <v>INCH</v>
          </cell>
        </row>
      </sheetData>
      <sheetData sheetId="4129">
        <row r="2">
          <cell r="F2" t="str">
            <v>INCH</v>
          </cell>
        </row>
      </sheetData>
      <sheetData sheetId="4130">
        <row r="2">
          <cell r="F2" t="str">
            <v>INCH</v>
          </cell>
        </row>
      </sheetData>
      <sheetData sheetId="4131">
        <row r="2">
          <cell r="F2" t="str">
            <v>INCH</v>
          </cell>
        </row>
      </sheetData>
      <sheetData sheetId="4132">
        <row r="2">
          <cell r="F2" t="str">
            <v>INCH</v>
          </cell>
        </row>
      </sheetData>
      <sheetData sheetId="4133">
        <row r="2">
          <cell r="F2" t="str">
            <v>INCH</v>
          </cell>
        </row>
      </sheetData>
      <sheetData sheetId="4134">
        <row r="2">
          <cell r="F2" t="str">
            <v>INCH</v>
          </cell>
        </row>
      </sheetData>
      <sheetData sheetId="4135">
        <row r="2">
          <cell r="F2" t="str">
            <v>INCH</v>
          </cell>
        </row>
      </sheetData>
      <sheetData sheetId="4136">
        <row r="2">
          <cell r="F2" t="str">
            <v>INCH</v>
          </cell>
        </row>
      </sheetData>
      <sheetData sheetId="4137">
        <row r="2">
          <cell r="F2" t="str">
            <v>INCH</v>
          </cell>
        </row>
      </sheetData>
      <sheetData sheetId="4138">
        <row r="2">
          <cell r="F2" t="str">
            <v>INCH</v>
          </cell>
        </row>
      </sheetData>
      <sheetData sheetId="4139">
        <row r="2">
          <cell r="F2" t="str">
            <v>INCH</v>
          </cell>
        </row>
      </sheetData>
      <sheetData sheetId="4140">
        <row r="2">
          <cell r="F2" t="str">
            <v>INCH</v>
          </cell>
        </row>
      </sheetData>
      <sheetData sheetId="4141">
        <row r="2">
          <cell r="F2" t="str">
            <v>INCH</v>
          </cell>
        </row>
      </sheetData>
      <sheetData sheetId="4142">
        <row r="2">
          <cell r="F2" t="str">
            <v>INCH</v>
          </cell>
        </row>
      </sheetData>
      <sheetData sheetId="4143">
        <row r="2">
          <cell r="F2" t="str">
            <v>INCH</v>
          </cell>
        </row>
      </sheetData>
      <sheetData sheetId="4144">
        <row r="2">
          <cell r="F2" t="str">
            <v>INCH</v>
          </cell>
        </row>
      </sheetData>
      <sheetData sheetId="4145">
        <row r="2">
          <cell r="F2" t="str">
            <v>INCH</v>
          </cell>
        </row>
      </sheetData>
      <sheetData sheetId="4146">
        <row r="2">
          <cell r="F2" t="str">
            <v>INCH</v>
          </cell>
        </row>
      </sheetData>
      <sheetData sheetId="4147">
        <row r="2">
          <cell r="F2" t="str">
            <v>INCH</v>
          </cell>
        </row>
      </sheetData>
      <sheetData sheetId="4148">
        <row r="2">
          <cell r="F2" t="str">
            <v>INCH</v>
          </cell>
        </row>
      </sheetData>
      <sheetData sheetId="4149">
        <row r="2">
          <cell r="F2" t="str">
            <v>INCH</v>
          </cell>
        </row>
      </sheetData>
      <sheetData sheetId="4150">
        <row r="2">
          <cell r="F2" t="str">
            <v>INCH</v>
          </cell>
        </row>
      </sheetData>
      <sheetData sheetId="4151">
        <row r="2">
          <cell r="F2" t="str">
            <v>INCH</v>
          </cell>
        </row>
      </sheetData>
      <sheetData sheetId="4152">
        <row r="2">
          <cell r="F2" t="str">
            <v>INCH</v>
          </cell>
        </row>
      </sheetData>
      <sheetData sheetId="4153">
        <row r="2">
          <cell r="F2" t="str">
            <v>INCH</v>
          </cell>
        </row>
      </sheetData>
      <sheetData sheetId="4154">
        <row r="2">
          <cell r="F2" t="str">
            <v>INCH</v>
          </cell>
        </row>
      </sheetData>
      <sheetData sheetId="4155">
        <row r="2">
          <cell r="F2" t="str">
            <v>INCH</v>
          </cell>
        </row>
      </sheetData>
      <sheetData sheetId="4156">
        <row r="2">
          <cell r="F2" t="str">
            <v>INCH</v>
          </cell>
        </row>
      </sheetData>
      <sheetData sheetId="4157">
        <row r="2">
          <cell r="F2" t="str">
            <v>INCH</v>
          </cell>
        </row>
      </sheetData>
      <sheetData sheetId="4158">
        <row r="2">
          <cell r="F2" t="str">
            <v>INCH</v>
          </cell>
        </row>
      </sheetData>
      <sheetData sheetId="4159">
        <row r="2">
          <cell r="F2" t="str">
            <v>INCH</v>
          </cell>
        </row>
      </sheetData>
      <sheetData sheetId="4160">
        <row r="2">
          <cell r="F2" t="str">
            <v>INCH</v>
          </cell>
        </row>
      </sheetData>
      <sheetData sheetId="4161">
        <row r="2">
          <cell r="F2" t="str">
            <v>INCH</v>
          </cell>
        </row>
      </sheetData>
      <sheetData sheetId="4162">
        <row r="2">
          <cell r="F2" t="str">
            <v>INCH</v>
          </cell>
        </row>
      </sheetData>
      <sheetData sheetId="4163" refreshError="1"/>
      <sheetData sheetId="4164" refreshError="1"/>
      <sheetData sheetId="4165" refreshError="1"/>
      <sheetData sheetId="4166" refreshError="1"/>
      <sheetData sheetId="4167" refreshError="1"/>
      <sheetData sheetId="4168" refreshError="1"/>
      <sheetData sheetId="4169" refreshError="1"/>
      <sheetData sheetId="4170" refreshError="1"/>
      <sheetData sheetId="4171" refreshError="1"/>
      <sheetData sheetId="4172" refreshError="1"/>
      <sheetData sheetId="4173" refreshError="1"/>
      <sheetData sheetId="4174" refreshError="1"/>
      <sheetData sheetId="4175" refreshError="1"/>
      <sheetData sheetId="4176" refreshError="1"/>
      <sheetData sheetId="4177" refreshError="1"/>
      <sheetData sheetId="4178" refreshError="1"/>
      <sheetData sheetId="4179" refreshError="1"/>
      <sheetData sheetId="4180" refreshError="1"/>
      <sheetData sheetId="4181" refreshError="1"/>
      <sheetData sheetId="4182" refreshError="1"/>
      <sheetData sheetId="4183" refreshError="1"/>
      <sheetData sheetId="4184">
        <row r="2">
          <cell r="F2" t="str">
            <v>INCH</v>
          </cell>
        </row>
      </sheetData>
      <sheetData sheetId="4185" refreshError="1"/>
      <sheetData sheetId="4186" refreshError="1"/>
      <sheetData sheetId="4187" refreshError="1"/>
      <sheetData sheetId="4188" refreshError="1"/>
      <sheetData sheetId="4189" refreshError="1"/>
      <sheetData sheetId="4190" refreshError="1"/>
      <sheetData sheetId="4191" refreshError="1"/>
      <sheetData sheetId="4192" refreshError="1"/>
      <sheetData sheetId="4193" refreshError="1"/>
      <sheetData sheetId="4194" refreshError="1"/>
      <sheetData sheetId="4195" refreshError="1"/>
      <sheetData sheetId="4196" refreshError="1"/>
      <sheetData sheetId="4197" refreshError="1"/>
      <sheetData sheetId="4198" refreshError="1"/>
      <sheetData sheetId="4199" refreshError="1"/>
      <sheetData sheetId="4200" refreshError="1"/>
      <sheetData sheetId="4201" refreshError="1"/>
      <sheetData sheetId="4202" refreshError="1"/>
      <sheetData sheetId="4203" refreshError="1"/>
      <sheetData sheetId="4204" refreshError="1"/>
      <sheetData sheetId="4205" refreshError="1"/>
      <sheetData sheetId="4206" refreshError="1"/>
      <sheetData sheetId="4207" refreshError="1"/>
      <sheetData sheetId="4208" refreshError="1"/>
      <sheetData sheetId="4209" refreshError="1"/>
      <sheetData sheetId="4210" refreshError="1"/>
      <sheetData sheetId="4211" refreshError="1"/>
      <sheetData sheetId="4212" refreshError="1"/>
      <sheetData sheetId="4213" refreshError="1"/>
      <sheetData sheetId="4214" refreshError="1"/>
      <sheetData sheetId="4215" refreshError="1"/>
      <sheetData sheetId="4216" refreshError="1"/>
      <sheetData sheetId="4217" refreshError="1"/>
      <sheetData sheetId="4218" refreshError="1"/>
      <sheetData sheetId="4219" refreshError="1"/>
      <sheetData sheetId="4220" refreshError="1"/>
      <sheetData sheetId="4221" refreshError="1"/>
      <sheetData sheetId="4222" refreshError="1"/>
      <sheetData sheetId="4223" refreshError="1"/>
      <sheetData sheetId="4224" refreshError="1"/>
      <sheetData sheetId="4225" refreshError="1"/>
      <sheetData sheetId="4226" refreshError="1"/>
      <sheetData sheetId="4227" refreshError="1"/>
      <sheetData sheetId="4228" refreshError="1"/>
      <sheetData sheetId="4229" refreshError="1"/>
      <sheetData sheetId="4230" refreshError="1"/>
      <sheetData sheetId="4231" refreshError="1"/>
      <sheetData sheetId="4232" refreshError="1"/>
      <sheetData sheetId="4233">
        <row r="2">
          <cell r="F2" t="str">
            <v>INCH</v>
          </cell>
        </row>
      </sheetData>
      <sheetData sheetId="4234">
        <row r="2">
          <cell r="F2" t="str">
            <v>INCH</v>
          </cell>
        </row>
      </sheetData>
      <sheetData sheetId="4235">
        <row r="2">
          <cell r="F2" t="str">
            <v>INCH</v>
          </cell>
        </row>
      </sheetData>
      <sheetData sheetId="4236">
        <row r="2">
          <cell r="F2" t="str">
            <v>INCH</v>
          </cell>
        </row>
      </sheetData>
      <sheetData sheetId="4237">
        <row r="2">
          <cell r="F2" t="str">
            <v>INCH</v>
          </cell>
        </row>
      </sheetData>
      <sheetData sheetId="4238">
        <row r="2">
          <cell r="F2" t="str">
            <v>INCH</v>
          </cell>
        </row>
      </sheetData>
      <sheetData sheetId="4239">
        <row r="2">
          <cell r="F2" t="str">
            <v>INCH</v>
          </cell>
        </row>
      </sheetData>
      <sheetData sheetId="4240">
        <row r="2">
          <cell r="F2" t="str">
            <v>INCH</v>
          </cell>
        </row>
      </sheetData>
      <sheetData sheetId="4241">
        <row r="2">
          <cell r="F2" t="str">
            <v>INCH</v>
          </cell>
        </row>
      </sheetData>
      <sheetData sheetId="4242">
        <row r="2">
          <cell r="F2" t="str">
            <v>INCH</v>
          </cell>
        </row>
      </sheetData>
      <sheetData sheetId="4243">
        <row r="2">
          <cell r="F2" t="str">
            <v>INCH</v>
          </cell>
        </row>
      </sheetData>
      <sheetData sheetId="4244">
        <row r="2">
          <cell r="F2" t="str">
            <v>INCH</v>
          </cell>
        </row>
      </sheetData>
      <sheetData sheetId="4245">
        <row r="2">
          <cell r="F2" t="str">
            <v>INCH</v>
          </cell>
        </row>
      </sheetData>
      <sheetData sheetId="4246">
        <row r="2">
          <cell r="F2" t="str">
            <v>INCH</v>
          </cell>
        </row>
      </sheetData>
      <sheetData sheetId="4247">
        <row r="2">
          <cell r="F2" t="str">
            <v>INCH</v>
          </cell>
        </row>
      </sheetData>
      <sheetData sheetId="4248" refreshError="1"/>
      <sheetData sheetId="4249" refreshError="1"/>
      <sheetData sheetId="4250" refreshError="1"/>
      <sheetData sheetId="4251" refreshError="1"/>
      <sheetData sheetId="4252" refreshError="1"/>
      <sheetData sheetId="4253" refreshError="1"/>
      <sheetData sheetId="4254" refreshError="1"/>
      <sheetData sheetId="4255" refreshError="1"/>
      <sheetData sheetId="4256" refreshError="1"/>
      <sheetData sheetId="4257" refreshError="1"/>
      <sheetData sheetId="4258" refreshError="1"/>
      <sheetData sheetId="4259" refreshError="1"/>
      <sheetData sheetId="4260" refreshError="1"/>
      <sheetData sheetId="4261" refreshError="1"/>
      <sheetData sheetId="4262" refreshError="1"/>
      <sheetData sheetId="4263" refreshError="1"/>
      <sheetData sheetId="4264" refreshError="1"/>
      <sheetData sheetId="4265" refreshError="1"/>
      <sheetData sheetId="4266" refreshError="1"/>
      <sheetData sheetId="4267" refreshError="1"/>
      <sheetData sheetId="4268" refreshError="1"/>
      <sheetData sheetId="4269" refreshError="1"/>
      <sheetData sheetId="4270" refreshError="1"/>
      <sheetData sheetId="4271" refreshError="1"/>
      <sheetData sheetId="4272" refreshError="1"/>
      <sheetData sheetId="4273" refreshError="1"/>
      <sheetData sheetId="4274" refreshError="1"/>
      <sheetData sheetId="4275">
        <row r="2">
          <cell r="F2" t="str">
            <v>INCH</v>
          </cell>
        </row>
      </sheetData>
      <sheetData sheetId="4276">
        <row r="2">
          <cell r="F2" t="str">
            <v>INCH</v>
          </cell>
        </row>
      </sheetData>
      <sheetData sheetId="4277">
        <row r="2">
          <cell r="F2" t="str">
            <v>INCH</v>
          </cell>
        </row>
      </sheetData>
      <sheetData sheetId="4278">
        <row r="2">
          <cell r="F2" t="str">
            <v>INCH</v>
          </cell>
        </row>
      </sheetData>
      <sheetData sheetId="4279">
        <row r="2">
          <cell r="F2" t="str">
            <v>INCH</v>
          </cell>
        </row>
      </sheetData>
      <sheetData sheetId="4280">
        <row r="2">
          <cell r="F2" t="str">
            <v>INCH</v>
          </cell>
        </row>
      </sheetData>
      <sheetData sheetId="4281">
        <row r="2">
          <cell r="F2" t="str">
            <v>INCH</v>
          </cell>
        </row>
      </sheetData>
      <sheetData sheetId="4282">
        <row r="2">
          <cell r="F2" t="str">
            <v>INCH</v>
          </cell>
        </row>
      </sheetData>
      <sheetData sheetId="4283">
        <row r="2">
          <cell r="F2" t="str">
            <v>INCH</v>
          </cell>
        </row>
      </sheetData>
      <sheetData sheetId="4284">
        <row r="2">
          <cell r="F2" t="str">
            <v>INCH</v>
          </cell>
        </row>
      </sheetData>
      <sheetData sheetId="4285">
        <row r="2">
          <cell r="F2" t="str">
            <v>INCH</v>
          </cell>
        </row>
      </sheetData>
      <sheetData sheetId="4286">
        <row r="2">
          <cell r="F2" t="str">
            <v>INCH</v>
          </cell>
        </row>
      </sheetData>
      <sheetData sheetId="4287">
        <row r="2">
          <cell r="F2" t="str">
            <v>INCH</v>
          </cell>
        </row>
      </sheetData>
      <sheetData sheetId="4288">
        <row r="2">
          <cell r="F2" t="str">
            <v>INCH</v>
          </cell>
        </row>
      </sheetData>
      <sheetData sheetId="4289">
        <row r="2">
          <cell r="F2" t="str">
            <v>INCH</v>
          </cell>
        </row>
      </sheetData>
      <sheetData sheetId="4290">
        <row r="2">
          <cell r="F2" t="str">
            <v>INCH</v>
          </cell>
        </row>
      </sheetData>
      <sheetData sheetId="4291">
        <row r="2">
          <cell r="F2" t="str">
            <v>INCH</v>
          </cell>
        </row>
      </sheetData>
      <sheetData sheetId="4292">
        <row r="2">
          <cell r="F2" t="str">
            <v>INCH</v>
          </cell>
        </row>
      </sheetData>
      <sheetData sheetId="4293">
        <row r="2">
          <cell r="F2" t="str">
            <v>INCH</v>
          </cell>
        </row>
      </sheetData>
      <sheetData sheetId="4294">
        <row r="2">
          <cell r="F2" t="str">
            <v>INCH</v>
          </cell>
        </row>
      </sheetData>
      <sheetData sheetId="4295">
        <row r="2">
          <cell r="F2" t="str">
            <v>INCH</v>
          </cell>
        </row>
      </sheetData>
      <sheetData sheetId="4296">
        <row r="2">
          <cell r="F2" t="str">
            <v>INCH</v>
          </cell>
        </row>
      </sheetData>
      <sheetData sheetId="4297">
        <row r="2">
          <cell r="F2" t="str">
            <v>INCH</v>
          </cell>
        </row>
      </sheetData>
      <sheetData sheetId="4298">
        <row r="2">
          <cell r="F2" t="str">
            <v>INCH</v>
          </cell>
        </row>
      </sheetData>
      <sheetData sheetId="4299">
        <row r="2">
          <cell r="F2" t="str">
            <v>INCH</v>
          </cell>
        </row>
      </sheetData>
      <sheetData sheetId="4300">
        <row r="2">
          <cell r="F2" t="str">
            <v>INCH</v>
          </cell>
        </row>
      </sheetData>
      <sheetData sheetId="4301">
        <row r="2">
          <cell r="F2" t="str">
            <v>INCH</v>
          </cell>
        </row>
      </sheetData>
      <sheetData sheetId="4302">
        <row r="2">
          <cell r="F2" t="str">
            <v>INCH</v>
          </cell>
        </row>
      </sheetData>
      <sheetData sheetId="4303">
        <row r="2">
          <cell r="F2" t="str">
            <v>INCH</v>
          </cell>
        </row>
      </sheetData>
      <sheetData sheetId="4304">
        <row r="2">
          <cell r="F2" t="str">
            <v>INCH</v>
          </cell>
        </row>
      </sheetData>
      <sheetData sheetId="4305">
        <row r="2">
          <cell r="F2" t="str">
            <v>INCH</v>
          </cell>
        </row>
      </sheetData>
      <sheetData sheetId="4306">
        <row r="2">
          <cell r="F2" t="str">
            <v>INCH</v>
          </cell>
        </row>
      </sheetData>
      <sheetData sheetId="4307">
        <row r="2">
          <cell r="F2" t="str">
            <v>INCH</v>
          </cell>
        </row>
      </sheetData>
      <sheetData sheetId="4308">
        <row r="2">
          <cell r="F2" t="str">
            <v>INCH</v>
          </cell>
        </row>
      </sheetData>
      <sheetData sheetId="4309">
        <row r="2">
          <cell r="F2" t="str">
            <v>INCH</v>
          </cell>
        </row>
      </sheetData>
      <sheetData sheetId="4310">
        <row r="2">
          <cell r="F2" t="str">
            <v>INCH</v>
          </cell>
        </row>
      </sheetData>
      <sheetData sheetId="4311">
        <row r="2">
          <cell r="F2" t="str">
            <v>INCH</v>
          </cell>
        </row>
      </sheetData>
      <sheetData sheetId="4312">
        <row r="2">
          <cell r="F2" t="str">
            <v>INCH</v>
          </cell>
        </row>
      </sheetData>
      <sheetData sheetId="4313">
        <row r="2">
          <cell r="F2" t="str">
            <v>INCH</v>
          </cell>
        </row>
      </sheetData>
      <sheetData sheetId="4314">
        <row r="2">
          <cell r="F2" t="str">
            <v>INCH</v>
          </cell>
        </row>
      </sheetData>
      <sheetData sheetId="4315">
        <row r="2">
          <cell r="F2" t="str">
            <v>INCH</v>
          </cell>
        </row>
      </sheetData>
      <sheetData sheetId="4316">
        <row r="2">
          <cell r="F2" t="str">
            <v>INCH</v>
          </cell>
        </row>
      </sheetData>
      <sheetData sheetId="4317">
        <row r="2">
          <cell r="F2" t="str">
            <v>INCH</v>
          </cell>
        </row>
      </sheetData>
      <sheetData sheetId="4318" refreshError="1"/>
      <sheetData sheetId="4319" refreshError="1"/>
      <sheetData sheetId="4320" refreshError="1"/>
      <sheetData sheetId="4321" refreshError="1"/>
      <sheetData sheetId="4322" refreshError="1"/>
      <sheetData sheetId="4323" refreshError="1"/>
      <sheetData sheetId="4324" refreshError="1"/>
      <sheetData sheetId="4325" refreshError="1"/>
      <sheetData sheetId="4326" refreshError="1"/>
      <sheetData sheetId="4327" refreshError="1"/>
      <sheetData sheetId="4328" refreshError="1"/>
      <sheetData sheetId="4329" refreshError="1"/>
      <sheetData sheetId="4330" refreshError="1"/>
      <sheetData sheetId="4331" refreshError="1"/>
      <sheetData sheetId="4332" refreshError="1"/>
      <sheetData sheetId="4333" refreshError="1"/>
      <sheetData sheetId="4334" refreshError="1"/>
      <sheetData sheetId="4335" refreshError="1"/>
      <sheetData sheetId="4336" refreshError="1"/>
      <sheetData sheetId="4337" refreshError="1"/>
      <sheetData sheetId="4338" refreshError="1"/>
      <sheetData sheetId="4339" refreshError="1"/>
      <sheetData sheetId="4340" refreshError="1"/>
      <sheetData sheetId="4341" refreshError="1"/>
      <sheetData sheetId="4342" refreshError="1"/>
      <sheetData sheetId="4343" refreshError="1"/>
      <sheetData sheetId="4344" refreshError="1"/>
      <sheetData sheetId="4345" refreshError="1"/>
      <sheetData sheetId="4346" refreshError="1"/>
      <sheetData sheetId="4347" refreshError="1"/>
      <sheetData sheetId="4348" refreshError="1"/>
      <sheetData sheetId="4349" refreshError="1"/>
      <sheetData sheetId="4350" refreshError="1"/>
      <sheetData sheetId="4351" refreshError="1"/>
      <sheetData sheetId="4352" refreshError="1"/>
      <sheetData sheetId="4353" refreshError="1"/>
      <sheetData sheetId="4354" refreshError="1"/>
      <sheetData sheetId="4355" refreshError="1"/>
      <sheetData sheetId="4356" refreshError="1"/>
      <sheetData sheetId="4357" refreshError="1"/>
      <sheetData sheetId="4358" refreshError="1"/>
      <sheetData sheetId="4359" refreshError="1"/>
      <sheetData sheetId="4360" refreshError="1"/>
      <sheetData sheetId="4361" refreshError="1"/>
      <sheetData sheetId="4362" refreshError="1"/>
      <sheetData sheetId="4363" refreshError="1"/>
      <sheetData sheetId="4364" refreshError="1"/>
      <sheetData sheetId="4365" refreshError="1"/>
      <sheetData sheetId="4366" refreshError="1"/>
      <sheetData sheetId="4367" refreshError="1"/>
      <sheetData sheetId="4368" refreshError="1"/>
      <sheetData sheetId="4369" refreshError="1"/>
      <sheetData sheetId="4370" refreshError="1"/>
      <sheetData sheetId="4371" refreshError="1"/>
      <sheetData sheetId="4372" refreshError="1"/>
      <sheetData sheetId="4373" refreshError="1"/>
      <sheetData sheetId="4374" refreshError="1"/>
      <sheetData sheetId="4375" refreshError="1"/>
      <sheetData sheetId="4376" refreshError="1"/>
      <sheetData sheetId="4377" refreshError="1"/>
      <sheetData sheetId="4378" refreshError="1"/>
      <sheetData sheetId="4379" refreshError="1"/>
      <sheetData sheetId="4380" refreshError="1"/>
      <sheetData sheetId="4381" refreshError="1"/>
      <sheetData sheetId="4382" refreshError="1"/>
      <sheetData sheetId="4383" refreshError="1"/>
      <sheetData sheetId="4384" refreshError="1"/>
      <sheetData sheetId="4385" refreshError="1"/>
      <sheetData sheetId="4386" refreshError="1"/>
      <sheetData sheetId="4387" refreshError="1"/>
      <sheetData sheetId="4388" refreshError="1"/>
      <sheetData sheetId="4389" refreshError="1"/>
      <sheetData sheetId="4390" refreshError="1"/>
      <sheetData sheetId="4391" refreshError="1"/>
      <sheetData sheetId="4392" refreshError="1"/>
      <sheetData sheetId="4393" refreshError="1"/>
      <sheetData sheetId="4394" refreshError="1"/>
      <sheetData sheetId="4395" refreshError="1"/>
      <sheetData sheetId="4396" refreshError="1"/>
      <sheetData sheetId="4397" refreshError="1"/>
      <sheetData sheetId="4398" refreshError="1"/>
      <sheetData sheetId="4399" refreshError="1"/>
      <sheetData sheetId="4400" refreshError="1"/>
      <sheetData sheetId="4401" refreshError="1"/>
      <sheetData sheetId="4402" refreshError="1"/>
      <sheetData sheetId="4403" refreshError="1"/>
      <sheetData sheetId="4404" refreshError="1"/>
      <sheetData sheetId="4405" refreshError="1"/>
      <sheetData sheetId="4406" refreshError="1"/>
      <sheetData sheetId="4407" refreshError="1"/>
      <sheetData sheetId="4408" refreshError="1"/>
      <sheetData sheetId="4409" refreshError="1"/>
      <sheetData sheetId="4410" refreshError="1"/>
      <sheetData sheetId="4411" refreshError="1"/>
      <sheetData sheetId="4412" refreshError="1"/>
      <sheetData sheetId="4413" refreshError="1"/>
      <sheetData sheetId="4414" refreshError="1"/>
      <sheetData sheetId="4415" refreshError="1"/>
      <sheetData sheetId="4416" refreshError="1"/>
      <sheetData sheetId="4417" refreshError="1"/>
      <sheetData sheetId="4418" refreshError="1"/>
      <sheetData sheetId="4419" refreshError="1"/>
      <sheetData sheetId="4420" refreshError="1"/>
      <sheetData sheetId="4421" refreshError="1"/>
      <sheetData sheetId="4422" refreshError="1"/>
      <sheetData sheetId="4423" refreshError="1"/>
      <sheetData sheetId="4424" refreshError="1"/>
      <sheetData sheetId="4425" refreshError="1"/>
      <sheetData sheetId="4426" refreshError="1"/>
      <sheetData sheetId="4427" refreshError="1"/>
      <sheetData sheetId="4428" refreshError="1"/>
      <sheetData sheetId="4429" refreshError="1"/>
      <sheetData sheetId="4430" refreshError="1"/>
      <sheetData sheetId="4431" refreshError="1"/>
      <sheetData sheetId="4432" refreshError="1"/>
      <sheetData sheetId="4433" refreshError="1"/>
      <sheetData sheetId="4434" refreshError="1"/>
      <sheetData sheetId="4435" refreshError="1"/>
      <sheetData sheetId="4436" refreshError="1"/>
      <sheetData sheetId="4437" refreshError="1"/>
      <sheetData sheetId="4438" refreshError="1"/>
      <sheetData sheetId="4439" refreshError="1"/>
      <sheetData sheetId="4440" refreshError="1"/>
      <sheetData sheetId="4441" refreshError="1"/>
      <sheetData sheetId="4442">
        <row r="2">
          <cell r="F2" t="str">
            <v>INCH</v>
          </cell>
        </row>
      </sheetData>
      <sheetData sheetId="4443">
        <row r="2">
          <cell r="F2" t="str">
            <v>INCH</v>
          </cell>
        </row>
      </sheetData>
      <sheetData sheetId="4444">
        <row r="2">
          <cell r="F2" t="str">
            <v>INCH</v>
          </cell>
        </row>
      </sheetData>
      <sheetData sheetId="4445">
        <row r="2">
          <cell r="F2" t="str">
            <v>INCH</v>
          </cell>
        </row>
      </sheetData>
      <sheetData sheetId="4446">
        <row r="2">
          <cell r="F2" t="str">
            <v>INCH</v>
          </cell>
        </row>
      </sheetData>
      <sheetData sheetId="4447">
        <row r="2">
          <cell r="F2" t="str">
            <v>INCH</v>
          </cell>
        </row>
      </sheetData>
      <sheetData sheetId="4448"/>
      <sheetData sheetId="4449"/>
      <sheetData sheetId="4450">
        <row r="2">
          <cell r="F2" t="str">
            <v>INCH</v>
          </cell>
        </row>
      </sheetData>
      <sheetData sheetId="4451">
        <row r="2">
          <cell r="F2" t="str">
            <v>INCH</v>
          </cell>
        </row>
      </sheetData>
      <sheetData sheetId="4452">
        <row r="2">
          <cell r="F2" t="str">
            <v>INCH</v>
          </cell>
        </row>
      </sheetData>
      <sheetData sheetId="4453" refreshError="1"/>
      <sheetData sheetId="4454" refreshError="1"/>
      <sheetData sheetId="4455" refreshError="1"/>
      <sheetData sheetId="4456" refreshError="1"/>
      <sheetData sheetId="4457" refreshError="1"/>
      <sheetData sheetId="4458" refreshError="1"/>
      <sheetData sheetId="4459" refreshError="1"/>
      <sheetData sheetId="4460" refreshError="1"/>
      <sheetData sheetId="4461" refreshError="1"/>
      <sheetData sheetId="4462" refreshError="1"/>
      <sheetData sheetId="4463" refreshError="1"/>
      <sheetData sheetId="4464" refreshError="1"/>
      <sheetData sheetId="4465" refreshError="1"/>
      <sheetData sheetId="4466" refreshError="1"/>
      <sheetData sheetId="4467" refreshError="1"/>
      <sheetData sheetId="4468" refreshError="1"/>
      <sheetData sheetId="4469"/>
      <sheetData sheetId="4470"/>
      <sheetData sheetId="4471"/>
      <sheetData sheetId="4472" refreshError="1"/>
      <sheetData sheetId="4473" refreshError="1"/>
      <sheetData sheetId="4474">
        <row r="2">
          <cell r="F2" t="str">
            <v>INCH</v>
          </cell>
        </row>
      </sheetData>
      <sheetData sheetId="4475">
        <row r="2">
          <cell r="F2" t="str">
            <v>INCH</v>
          </cell>
        </row>
      </sheetData>
      <sheetData sheetId="4476">
        <row r="2">
          <cell r="F2" t="str">
            <v>INCH</v>
          </cell>
        </row>
      </sheetData>
      <sheetData sheetId="4477">
        <row r="2">
          <cell r="F2" t="str">
            <v>INCH</v>
          </cell>
        </row>
      </sheetData>
      <sheetData sheetId="4478">
        <row r="2">
          <cell r="F2" t="str">
            <v>INCH</v>
          </cell>
        </row>
      </sheetData>
      <sheetData sheetId="4479">
        <row r="2">
          <cell r="F2" t="str">
            <v>INCH</v>
          </cell>
        </row>
      </sheetData>
      <sheetData sheetId="4480">
        <row r="2">
          <cell r="F2" t="str">
            <v>INCH</v>
          </cell>
        </row>
      </sheetData>
      <sheetData sheetId="4481">
        <row r="2">
          <cell r="F2" t="str">
            <v>INCH</v>
          </cell>
        </row>
      </sheetData>
      <sheetData sheetId="4482">
        <row r="2">
          <cell r="F2" t="str">
            <v>INCH</v>
          </cell>
        </row>
      </sheetData>
      <sheetData sheetId="4483">
        <row r="2">
          <cell r="F2" t="str">
            <v>INCH</v>
          </cell>
        </row>
      </sheetData>
      <sheetData sheetId="4484">
        <row r="2">
          <cell r="F2" t="str">
            <v>INCH</v>
          </cell>
        </row>
      </sheetData>
      <sheetData sheetId="4485">
        <row r="2">
          <cell r="F2" t="str">
            <v>INCH</v>
          </cell>
        </row>
      </sheetData>
      <sheetData sheetId="4486">
        <row r="2">
          <cell r="F2" t="str">
            <v>INCH</v>
          </cell>
        </row>
      </sheetData>
      <sheetData sheetId="4487">
        <row r="2">
          <cell r="F2" t="str">
            <v>INCH</v>
          </cell>
        </row>
      </sheetData>
      <sheetData sheetId="4488">
        <row r="2">
          <cell r="F2" t="str">
            <v>INCH</v>
          </cell>
        </row>
      </sheetData>
      <sheetData sheetId="4489">
        <row r="2">
          <cell r="F2" t="str">
            <v>INCH</v>
          </cell>
        </row>
      </sheetData>
      <sheetData sheetId="4490">
        <row r="2">
          <cell r="F2" t="str">
            <v>INCH</v>
          </cell>
        </row>
      </sheetData>
      <sheetData sheetId="4491">
        <row r="2">
          <cell r="F2" t="str">
            <v>INCH</v>
          </cell>
        </row>
      </sheetData>
      <sheetData sheetId="4492">
        <row r="2">
          <cell r="F2" t="str">
            <v>INCH</v>
          </cell>
        </row>
      </sheetData>
      <sheetData sheetId="4493">
        <row r="2">
          <cell r="F2" t="str">
            <v>INCH</v>
          </cell>
        </row>
      </sheetData>
      <sheetData sheetId="4494">
        <row r="2">
          <cell r="F2" t="str">
            <v>INCH</v>
          </cell>
        </row>
      </sheetData>
      <sheetData sheetId="4495">
        <row r="2">
          <cell r="F2" t="str">
            <v>INCH</v>
          </cell>
        </row>
      </sheetData>
      <sheetData sheetId="4496">
        <row r="2">
          <cell r="F2" t="str">
            <v>INCH</v>
          </cell>
        </row>
      </sheetData>
      <sheetData sheetId="4497">
        <row r="2">
          <cell r="F2" t="str">
            <v>INCH</v>
          </cell>
        </row>
      </sheetData>
      <sheetData sheetId="4498">
        <row r="2">
          <cell r="F2" t="str">
            <v>INCH</v>
          </cell>
        </row>
      </sheetData>
      <sheetData sheetId="4499">
        <row r="2">
          <cell r="F2" t="str">
            <v>INCH</v>
          </cell>
        </row>
      </sheetData>
      <sheetData sheetId="4500">
        <row r="2">
          <cell r="F2" t="str">
            <v>INCH</v>
          </cell>
        </row>
      </sheetData>
      <sheetData sheetId="4501">
        <row r="2">
          <cell r="F2" t="str">
            <v>INCH</v>
          </cell>
        </row>
      </sheetData>
      <sheetData sheetId="4502">
        <row r="2">
          <cell r="F2" t="str">
            <v>INCH</v>
          </cell>
        </row>
      </sheetData>
      <sheetData sheetId="4503">
        <row r="2">
          <cell r="F2" t="str">
            <v>INCH</v>
          </cell>
        </row>
      </sheetData>
      <sheetData sheetId="4504">
        <row r="2">
          <cell r="F2" t="str">
            <v>INCH</v>
          </cell>
        </row>
      </sheetData>
      <sheetData sheetId="4505">
        <row r="2">
          <cell r="F2" t="str">
            <v>INCH</v>
          </cell>
        </row>
      </sheetData>
      <sheetData sheetId="4506">
        <row r="2">
          <cell r="F2" t="str">
            <v>INCH</v>
          </cell>
        </row>
      </sheetData>
      <sheetData sheetId="4507">
        <row r="2">
          <cell r="F2" t="str">
            <v>INCH</v>
          </cell>
        </row>
      </sheetData>
      <sheetData sheetId="4508">
        <row r="2">
          <cell r="F2" t="str">
            <v>INCH</v>
          </cell>
        </row>
      </sheetData>
      <sheetData sheetId="4509">
        <row r="2">
          <cell r="F2" t="str">
            <v>INCH</v>
          </cell>
        </row>
      </sheetData>
      <sheetData sheetId="4510">
        <row r="2">
          <cell r="F2" t="str">
            <v>INCH</v>
          </cell>
        </row>
      </sheetData>
      <sheetData sheetId="4511">
        <row r="2">
          <cell r="F2" t="str">
            <v>INCH</v>
          </cell>
        </row>
      </sheetData>
      <sheetData sheetId="4512">
        <row r="2">
          <cell r="F2" t="str">
            <v>INCH</v>
          </cell>
        </row>
      </sheetData>
      <sheetData sheetId="4513">
        <row r="2">
          <cell r="F2" t="str">
            <v>INCH</v>
          </cell>
        </row>
      </sheetData>
      <sheetData sheetId="4514">
        <row r="2">
          <cell r="F2" t="str">
            <v>INCH</v>
          </cell>
        </row>
      </sheetData>
      <sheetData sheetId="4515">
        <row r="2">
          <cell r="F2" t="str">
            <v>INCH</v>
          </cell>
        </row>
      </sheetData>
      <sheetData sheetId="4516">
        <row r="2">
          <cell r="F2" t="str">
            <v>INCH</v>
          </cell>
        </row>
      </sheetData>
      <sheetData sheetId="4517">
        <row r="2">
          <cell r="F2" t="str">
            <v>INCH</v>
          </cell>
        </row>
      </sheetData>
      <sheetData sheetId="4518">
        <row r="2">
          <cell r="F2" t="str">
            <v>INCH</v>
          </cell>
        </row>
      </sheetData>
      <sheetData sheetId="4519">
        <row r="2">
          <cell r="F2" t="str">
            <v>INCH</v>
          </cell>
        </row>
      </sheetData>
      <sheetData sheetId="4520">
        <row r="2">
          <cell r="F2" t="str">
            <v>INCH</v>
          </cell>
        </row>
      </sheetData>
      <sheetData sheetId="4521">
        <row r="2">
          <cell r="F2" t="str">
            <v>INCH</v>
          </cell>
        </row>
      </sheetData>
      <sheetData sheetId="4522">
        <row r="2">
          <cell r="F2" t="str">
            <v>INCH</v>
          </cell>
        </row>
      </sheetData>
      <sheetData sheetId="4523">
        <row r="2">
          <cell r="F2" t="str">
            <v>INCH</v>
          </cell>
        </row>
      </sheetData>
      <sheetData sheetId="4524">
        <row r="2">
          <cell r="F2" t="str">
            <v>INCH</v>
          </cell>
        </row>
      </sheetData>
      <sheetData sheetId="4525">
        <row r="2">
          <cell r="F2" t="str">
            <v>INCH</v>
          </cell>
        </row>
      </sheetData>
      <sheetData sheetId="4526">
        <row r="2">
          <cell r="F2" t="str">
            <v>INCH</v>
          </cell>
        </row>
      </sheetData>
      <sheetData sheetId="4527">
        <row r="2">
          <cell r="F2" t="str">
            <v>INCH</v>
          </cell>
        </row>
      </sheetData>
      <sheetData sheetId="4528">
        <row r="2">
          <cell r="F2" t="str">
            <v>INCH</v>
          </cell>
        </row>
      </sheetData>
      <sheetData sheetId="4529">
        <row r="2">
          <cell r="F2" t="str">
            <v>INCH</v>
          </cell>
        </row>
      </sheetData>
      <sheetData sheetId="4530">
        <row r="2">
          <cell r="F2" t="str">
            <v>INCH</v>
          </cell>
        </row>
      </sheetData>
      <sheetData sheetId="4531">
        <row r="2">
          <cell r="F2" t="str">
            <v>INCH</v>
          </cell>
        </row>
      </sheetData>
      <sheetData sheetId="4532">
        <row r="2">
          <cell r="F2" t="str">
            <v>INCH</v>
          </cell>
        </row>
      </sheetData>
      <sheetData sheetId="4533">
        <row r="2">
          <cell r="F2" t="str">
            <v>INCH</v>
          </cell>
        </row>
      </sheetData>
      <sheetData sheetId="4534">
        <row r="2">
          <cell r="F2" t="str">
            <v>INCH</v>
          </cell>
        </row>
      </sheetData>
      <sheetData sheetId="4535">
        <row r="2">
          <cell r="F2" t="str">
            <v>INCH</v>
          </cell>
        </row>
      </sheetData>
      <sheetData sheetId="4536">
        <row r="2">
          <cell r="F2" t="str">
            <v>INCH</v>
          </cell>
        </row>
      </sheetData>
      <sheetData sheetId="4537">
        <row r="2">
          <cell r="F2" t="str">
            <v>INCH</v>
          </cell>
        </row>
      </sheetData>
      <sheetData sheetId="4538">
        <row r="2">
          <cell r="F2" t="str">
            <v>INCH</v>
          </cell>
        </row>
      </sheetData>
      <sheetData sheetId="4539">
        <row r="2">
          <cell r="F2" t="str">
            <v>INCH</v>
          </cell>
        </row>
      </sheetData>
      <sheetData sheetId="4540">
        <row r="2">
          <cell r="F2" t="str">
            <v>INCH</v>
          </cell>
        </row>
      </sheetData>
      <sheetData sheetId="4541">
        <row r="2">
          <cell r="F2" t="str">
            <v>INCH</v>
          </cell>
        </row>
      </sheetData>
      <sheetData sheetId="4542">
        <row r="2">
          <cell r="F2" t="str">
            <v>INCH</v>
          </cell>
        </row>
      </sheetData>
      <sheetData sheetId="4543">
        <row r="2">
          <cell r="F2" t="str">
            <v>INCH</v>
          </cell>
        </row>
      </sheetData>
      <sheetData sheetId="4544">
        <row r="2">
          <cell r="F2" t="str">
            <v>INCH</v>
          </cell>
        </row>
      </sheetData>
      <sheetData sheetId="4545">
        <row r="2">
          <cell r="F2" t="str">
            <v>INCH</v>
          </cell>
        </row>
      </sheetData>
      <sheetData sheetId="4546">
        <row r="2">
          <cell r="F2" t="str">
            <v>INCH</v>
          </cell>
        </row>
      </sheetData>
      <sheetData sheetId="4547">
        <row r="2">
          <cell r="F2" t="str">
            <v>INCH</v>
          </cell>
        </row>
      </sheetData>
      <sheetData sheetId="4548">
        <row r="2">
          <cell r="F2" t="str">
            <v>INCH</v>
          </cell>
        </row>
      </sheetData>
      <sheetData sheetId="4549">
        <row r="2">
          <cell r="F2" t="str">
            <v>INCH</v>
          </cell>
        </row>
      </sheetData>
      <sheetData sheetId="4550">
        <row r="2">
          <cell r="F2" t="str">
            <v>INCH</v>
          </cell>
        </row>
      </sheetData>
      <sheetData sheetId="4551">
        <row r="2">
          <cell r="F2" t="str">
            <v>INCH</v>
          </cell>
        </row>
      </sheetData>
      <sheetData sheetId="4552">
        <row r="2">
          <cell r="F2" t="str">
            <v>INCH</v>
          </cell>
        </row>
      </sheetData>
      <sheetData sheetId="4553">
        <row r="2">
          <cell r="F2" t="str">
            <v>INCH</v>
          </cell>
        </row>
      </sheetData>
      <sheetData sheetId="4554">
        <row r="2">
          <cell r="F2" t="str">
            <v>INCH</v>
          </cell>
        </row>
      </sheetData>
      <sheetData sheetId="4555">
        <row r="2">
          <cell r="F2" t="str">
            <v>INCH</v>
          </cell>
        </row>
      </sheetData>
      <sheetData sheetId="4556">
        <row r="2">
          <cell r="F2" t="str">
            <v>INCH</v>
          </cell>
        </row>
      </sheetData>
      <sheetData sheetId="4557">
        <row r="2">
          <cell r="F2" t="str">
            <v>INCH</v>
          </cell>
        </row>
      </sheetData>
      <sheetData sheetId="4558">
        <row r="2">
          <cell r="F2" t="str">
            <v>INCH</v>
          </cell>
        </row>
      </sheetData>
      <sheetData sheetId="4559">
        <row r="2">
          <cell r="F2" t="str">
            <v>INCH</v>
          </cell>
        </row>
      </sheetData>
      <sheetData sheetId="4560">
        <row r="2">
          <cell r="F2" t="str">
            <v>INCH</v>
          </cell>
        </row>
      </sheetData>
      <sheetData sheetId="4561">
        <row r="2">
          <cell r="F2" t="str">
            <v>INCH</v>
          </cell>
        </row>
      </sheetData>
      <sheetData sheetId="4562">
        <row r="2">
          <cell r="F2" t="str">
            <v>INCH</v>
          </cell>
        </row>
      </sheetData>
      <sheetData sheetId="4563">
        <row r="2">
          <cell r="F2" t="str">
            <v>INCH</v>
          </cell>
        </row>
      </sheetData>
      <sheetData sheetId="4564">
        <row r="2">
          <cell r="F2" t="str">
            <v>INCH</v>
          </cell>
        </row>
      </sheetData>
      <sheetData sheetId="4565">
        <row r="2">
          <cell r="F2" t="str">
            <v>INCH</v>
          </cell>
        </row>
      </sheetData>
      <sheetData sheetId="4566">
        <row r="2">
          <cell r="F2" t="str">
            <v>INCH</v>
          </cell>
        </row>
      </sheetData>
      <sheetData sheetId="4567">
        <row r="2">
          <cell r="F2" t="str">
            <v>INCH</v>
          </cell>
        </row>
      </sheetData>
      <sheetData sheetId="4568">
        <row r="2">
          <cell r="F2" t="str">
            <v>INCH</v>
          </cell>
        </row>
      </sheetData>
      <sheetData sheetId="4569">
        <row r="2">
          <cell r="F2" t="str">
            <v>INCH</v>
          </cell>
        </row>
      </sheetData>
      <sheetData sheetId="4570">
        <row r="2">
          <cell r="F2" t="str">
            <v>INCH</v>
          </cell>
        </row>
      </sheetData>
      <sheetData sheetId="4571">
        <row r="2">
          <cell r="F2" t="str">
            <v>INCH</v>
          </cell>
        </row>
      </sheetData>
      <sheetData sheetId="4572">
        <row r="2">
          <cell r="F2" t="str">
            <v>INCH</v>
          </cell>
        </row>
      </sheetData>
      <sheetData sheetId="4573">
        <row r="2">
          <cell r="F2" t="str">
            <v>INCH</v>
          </cell>
        </row>
      </sheetData>
      <sheetData sheetId="4574">
        <row r="2">
          <cell r="F2" t="str">
            <v>INCH</v>
          </cell>
        </row>
      </sheetData>
      <sheetData sheetId="4575">
        <row r="2">
          <cell r="F2" t="str">
            <v>INCH</v>
          </cell>
        </row>
      </sheetData>
      <sheetData sheetId="4576">
        <row r="2">
          <cell r="F2" t="str">
            <v>INCH</v>
          </cell>
        </row>
      </sheetData>
      <sheetData sheetId="4577">
        <row r="2">
          <cell r="F2" t="str">
            <v>INCH</v>
          </cell>
        </row>
      </sheetData>
      <sheetData sheetId="4578">
        <row r="2">
          <cell r="F2" t="str">
            <v>INCH</v>
          </cell>
        </row>
      </sheetData>
      <sheetData sheetId="4579">
        <row r="2">
          <cell r="F2" t="str">
            <v>INCH</v>
          </cell>
        </row>
      </sheetData>
      <sheetData sheetId="4580">
        <row r="2">
          <cell r="F2" t="str">
            <v>INCH</v>
          </cell>
        </row>
      </sheetData>
      <sheetData sheetId="4581">
        <row r="2">
          <cell r="F2" t="str">
            <v>INCH</v>
          </cell>
        </row>
      </sheetData>
      <sheetData sheetId="4582">
        <row r="2">
          <cell r="F2" t="str">
            <v>INCH</v>
          </cell>
        </row>
      </sheetData>
      <sheetData sheetId="4583">
        <row r="2">
          <cell r="F2" t="str">
            <v>INCH</v>
          </cell>
        </row>
      </sheetData>
      <sheetData sheetId="4584">
        <row r="2">
          <cell r="F2" t="str">
            <v>INCH</v>
          </cell>
        </row>
      </sheetData>
      <sheetData sheetId="4585">
        <row r="2">
          <cell r="F2" t="str">
            <v>INCH</v>
          </cell>
        </row>
      </sheetData>
      <sheetData sheetId="4586">
        <row r="2">
          <cell r="F2" t="str">
            <v>INCH</v>
          </cell>
        </row>
      </sheetData>
      <sheetData sheetId="4587">
        <row r="2">
          <cell r="F2" t="str">
            <v>INCH</v>
          </cell>
        </row>
      </sheetData>
      <sheetData sheetId="4588">
        <row r="2">
          <cell r="F2" t="str">
            <v>INCH</v>
          </cell>
        </row>
      </sheetData>
      <sheetData sheetId="4589">
        <row r="2">
          <cell r="F2" t="str">
            <v>INCH</v>
          </cell>
        </row>
      </sheetData>
      <sheetData sheetId="4590">
        <row r="2">
          <cell r="F2" t="str">
            <v>INCH</v>
          </cell>
        </row>
      </sheetData>
      <sheetData sheetId="4591">
        <row r="2">
          <cell r="F2" t="str">
            <v>INCH</v>
          </cell>
        </row>
      </sheetData>
      <sheetData sheetId="4592">
        <row r="2">
          <cell r="F2" t="str">
            <v>INCH</v>
          </cell>
        </row>
      </sheetData>
      <sheetData sheetId="4593">
        <row r="2">
          <cell r="F2" t="str">
            <v>INCH</v>
          </cell>
        </row>
      </sheetData>
      <sheetData sheetId="4594">
        <row r="2">
          <cell r="F2" t="str">
            <v>INCH</v>
          </cell>
        </row>
      </sheetData>
      <sheetData sheetId="4595">
        <row r="2">
          <cell r="F2" t="str">
            <v>INCH</v>
          </cell>
        </row>
      </sheetData>
      <sheetData sheetId="4596">
        <row r="2">
          <cell r="F2" t="str">
            <v>INCH</v>
          </cell>
        </row>
      </sheetData>
      <sheetData sheetId="4597">
        <row r="2">
          <cell r="F2" t="str">
            <v>INCH</v>
          </cell>
        </row>
      </sheetData>
      <sheetData sheetId="4598">
        <row r="2">
          <cell r="F2" t="str">
            <v>INCH</v>
          </cell>
        </row>
      </sheetData>
      <sheetData sheetId="4599">
        <row r="2">
          <cell r="F2" t="str">
            <v>INCH</v>
          </cell>
        </row>
      </sheetData>
      <sheetData sheetId="4600">
        <row r="2">
          <cell r="F2" t="str">
            <v>INCH</v>
          </cell>
        </row>
      </sheetData>
      <sheetData sheetId="4601">
        <row r="2">
          <cell r="F2" t="str">
            <v>INCH</v>
          </cell>
        </row>
      </sheetData>
      <sheetData sheetId="4602">
        <row r="2">
          <cell r="F2" t="str">
            <v>INCH</v>
          </cell>
        </row>
      </sheetData>
      <sheetData sheetId="4603">
        <row r="2">
          <cell r="F2" t="str">
            <v>INCH</v>
          </cell>
        </row>
      </sheetData>
      <sheetData sheetId="4604">
        <row r="2">
          <cell r="F2" t="str">
            <v>INCH</v>
          </cell>
        </row>
      </sheetData>
      <sheetData sheetId="4605">
        <row r="2">
          <cell r="F2" t="str">
            <v>INCH</v>
          </cell>
        </row>
      </sheetData>
      <sheetData sheetId="4606">
        <row r="2">
          <cell r="F2" t="str">
            <v>INCH</v>
          </cell>
        </row>
      </sheetData>
      <sheetData sheetId="4607">
        <row r="2">
          <cell r="F2" t="str">
            <v>INCH</v>
          </cell>
        </row>
      </sheetData>
      <sheetData sheetId="4608">
        <row r="2">
          <cell r="F2" t="str">
            <v>INCH</v>
          </cell>
        </row>
      </sheetData>
      <sheetData sheetId="4609">
        <row r="2">
          <cell r="F2" t="str">
            <v>INCH</v>
          </cell>
        </row>
      </sheetData>
      <sheetData sheetId="4610">
        <row r="2">
          <cell r="F2" t="str">
            <v>INCH</v>
          </cell>
        </row>
      </sheetData>
      <sheetData sheetId="4611">
        <row r="2">
          <cell r="F2" t="str">
            <v>INCH</v>
          </cell>
        </row>
      </sheetData>
      <sheetData sheetId="4612">
        <row r="2">
          <cell r="F2" t="str">
            <v>INCH</v>
          </cell>
        </row>
      </sheetData>
      <sheetData sheetId="4613">
        <row r="2">
          <cell r="F2" t="str">
            <v>INCH</v>
          </cell>
        </row>
      </sheetData>
      <sheetData sheetId="4614">
        <row r="2">
          <cell r="F2" t="str">
            <v>INCH</v>
          </cell>
        </row>
      </sheetData>
      <sheetData sheetId="4615">
        <row r="2">
          <cell r="F2" t="str">
            <v>INCH</v>
          </cell>
        </row>
      </sheetData>
      <sheetData sheetId="4616">
        <row r="2">
          <cell r="F2" t="str">
            <v>INCH</v>
          </cell>
        </row>
      </sheetData>
      <sheetData sheetId="4617">
        <row r="2">
          <cell r="F2" t="str">
            <v>INCH</v>
          </cell>
        </row>
      </sheetData>
      <sheetData sheetId="4618">
        <row r="2">
          <cell r="F2" t="str">
            <v>INCH</v>
          </cell>
        </row>
      </sheetData>
      <sheetData sheetId="4619">
        <row r="2">
          <cell r="F2" t="str">
            <v>INCH</v>
          </cell>
        </row>
      </sheetData>
      <sheetData sheetId="4620">
        <row r="2">
          <cell r="F2" t="str">
            <v>INCH</v>
          </cell>
        </row>
      </sheetData>
      <sheetData sheetId="4621">
        <row r="2">
          <cell r="F2" t="str">
            <v>INCH</v>
          </cell>
        </row>
      </sheetData>
      <sheetData sheetId="4622">
        <row r="2">
          <cell r="F2" t="str">
            <v>INCH</v>
          </cell>
        </row>
      </sheetData>
      <sheetData sheetId="4623">
        <row r="2">
          <cell r="F2" t="str">
            <v>INCH</v>
          </cell>
        </row>
      </sheetData>
      <sheetData sheetId="4624">
        <row r="2">
          <cell r="F2" t="str">
            <v>INCH</v>
          </cell>
        </row>
      </sheetData>
      <sheetData sheetId="4625">
        <row r="2">
          <cell r="F2" t="str">
            <v>INCH</v>
          </cell>
        </row>
      </sheetData>
      <sheetData sheetId="4626">
        <row r="2">
          <cell r="F2" t="str">
            <v>INCH</v>
          </cell>
        </row>
      </sheetData>
      <sheetData sheetId="4627">
        <row r="2">
          <cell r="F2" t="str">
            <v>INCH</v>
          </cell>
        </row>
      </sheetData>
      <sheetData sheetId="4628">
        <row r="2">
          <cell r="F2" t="str">
            <v>INCH</v>
          </cell>
        </row>
      </sheetData>
      <sheetData sheetId="4629">
        <row r="2">
          <cell r="F2" t="str">
            <v>INCH</v>
          </cell>
        </row>
      </sheetData>
      <sheetData sheetId="4630">
        <row r="2">
          <cell r="F2" t="str">
            <v>INCH</v>
          </cell>
        </row>
      </sheetData>
      <sheetData sheetId="4631">
        <row r="2">
          <cell r="F2" t="str">
            <v>INCH</v>
          </cell>
        </row>
      </sheetData>
      <sheetData sheetId="4632">
        <row r="2">
          <cell r="F2" t="str">
            <v>INCH</v>
          </cell>
        </row>
      </sheetData>
      <sheetData sheetId="4633">
        <row r="2">
          <cell r="F2" t="str">
            <v>INCH</v>
          </cell>
        </row>
      </sheetData>
      <sheetData sheetId="4634">
        <row r="2">
          <cell r="F2" t="str">
            <v>INCH</v>
          </cell>
        </row>
      </sheetData>
      <sheetData sheetId="4635">
        <row r="2">
          <cell r="F2" t="str">
            <v>INCH</v>
          </cell>
        </row>
      </sheetData>
      <sheetData sheetId="4636">
        <row r="2">
          <cell r="F2" t="str">
            <v>INCH</v>
          </cell>
        </row>
      </sheetData>
      <sheetData sheetId="4637">
        <row r="2">
          <cell r="F2" t="str">
            <v>INCH</v>
          </cell>
        </row>
      </sheetData>
      <sheetData sheetId="4638">
        <row r="2">
          <cell r="F2" t="str">
            <v>INCH</v>
          </cell>
        </row>
      </sheetData>
      <sheetData sheetId="4639">
        <row r="2">
          <cell r="F2" t="str">
            <v>INCH</v>
          </cell>
        </row>
      </sheetData>
      <sheetData sheetId="4640">
        <row r="2">
          <cell r="F2" t="str">
            <v>INCH</v>
          </cell>
        </row>
      </sheetData>
      <sheetData sheetId="4641">
        <row r="2">
          <cell r="F2" t="str">
            <v>INCH</v>
          </cell>
        </row>
      </sheetData>
      <sheetData sheetId="4642">
        <row r="2">
          <cell r="F2" t="str">
            <v>INCH</v>
          </cell>
        </row>
      </sheetData>
      <sheetData sheetId="4643">
        <row r="2">
          <cell r="F2" t="str">
            <v>INCH</v>
          </cell>
        </row>
      </sheetData>
      <sheetData sheetId="4644">
        <row r="2">
          <cell r="F2" t="str">
            <v>INCH</v>
          </cell>
        </row>
      </sheetData>
      <sheetData sheetId="4645">
        <row r="2">
          <cell r="F2" t="str">
            <v>INCH</v>
          </cell>
        </row>
      </sheetData>
      <sheetData sheetId="4646">
        <row r="2">
          <cell r="F2" t="str">
            <v>INCH</v>
          </cell>
        </row>
      </sheetData>
      <sheetData sheetId="4647">
        <row r="2">
          <cell r="F2" t="str">
            <v>INCH</v>
          </cell>
        </row>
      </sheetData>
      <sheetData sheetId="4648">
        <row r="2">
          <cell r="F2" t="str">
            <v>INCH</v>
          </cell>
        </row>
      </sheetData>
      <sheetData sheetId="4649">
        <row r="2">
          <cell r="F2" t="str">
            <v>INCH</v>
          </cell>
        </row>
      </sheetData>
      <sheetData sheetId="4650">
        <row r="2">
          <cell r="F2" t="str">
            <v>INCH</v>
          </cell>
        </row>
      </sheetData>
      <sheetData sheetId="4651">
        <row r="2">
          <cell r="F2" t="str">
            <v>INCH</v>
          </cell>
        </row>
      </sheetData>
      <sheetData sheetId="4652">
        <row r="2">
          <cell r="F2" t="str">
            <v>INCH</v>
          </cell>
        </row>
      </sheetData>
      <sheetData sheetId="4653">
        <row r="2">
          <cell r="F2" t="str">
            <v>INCH</v>
          </cell>
        </row>
      </sheetData>
      <sheetData sheetId="4654">
        <row r="2">
          <cell r="F2" t="str">
            <v>INCH</v>
          </cell>
        </row>
      </sheetData>
      <sheetData sheetId="4655">
        <row r="2">
          <cell r="F2" t="str">
            <v>INCH</v>
          </cell>
        </row>
      </sheetData>
      <sheetData sheetId="4656">
        <row r="2">
          <cell r="F2" t="str">
            <v>INCH</v>
          </cell>
        </row>
      </sheetData>
      <sheetData sheetId="4657">
        <row r="2">
          <cell r="F2" t="str">
            <v>INCH</v>
          </cell>
        </row>
      </sheetData>
      <sheetData sheetId="4658">
        <row r="2">
          <cell r="F2" t="str">
            <v>INCH</v>
          </cell>
        </row>
      </sheetData>
      <sheetData sheetId="4659">
        <row r="2">
          <cell r="F2" t="str">
            <v>INCH</v>
          </cell>
        </row>
      </sheetData>
      <sheetData sheetId="4660">
        <row r="2">
          <cell r="F2" t="str">
            <v>INCH</v>
          </cell>
        </row>
      </sheetData>
      <sheetData sheetId="4661">
        <row r="2">
          <cell r="F2" t="str">
            <v>INCH</v>
          </cell>
        </row>
      </sheetData>
      <sheetData sheetId="4662">
        <row r="2">
          <cell r="F2" t="str">
            <v>INCH</v>
          </cell>
        </row>
      </sheetData>
      <sheetData sheetId="4663">
        <row r="2">
          <cell r="F2" t="str">
            <v>INCH</v>
          </cell>
        </row>
      </sheetData>
      <sheetData sheetId="4664">
        <row r="2">
          <cell r="F2" t="str">
            <v>INCH</v>
          </cell>
        </row>
      </sheetData>
      <sheetData sheetId="4665">
        <row r="2">
          <cell r="F2" t="str">
            <v>INCH</v>
          </cell>
        </row>
      </sheetData>
      <sheetData sheetId="4666">
        <row r="2">
          <cell r="F2" t="str">
            <v>INCH</v>
          </cell>
        </row>
      </sheetData>
      <sheetData sheetId="4667">
        <row r="2">
          <cell r="F2" t="str">
            <v>INCH</v>
          </cell>
        </row>
      </sheetData>
      <sheetData sheetId="4668">
        <row r="2">
          <cell r="F2" t="str">
            <v>INCH</v>
          </cell>
        </row>
      </sheetData>
      <sheetData sheetId="4669">
        <row r="2">
          <cell r="F2" t="str">
            <v>INCH</v>
          </cell>
        </row>
      </sheetData>
      <sheetData sheetId="4670">
        <row r="2">
          <cell r="F2" t="str">
            <v>INCH</v>
          </cell>
        </row>
      </sheetData>
      <sheetData sheetId="4671">
        <row r="2">
          <cell r="F2" t="str">
            <v>INCH</v>
          </cell>
        </row>
      </sheetData>
      <sheetData sheetId="4672">
        <row r="2">
          <cell r="F2" t="str">
            <v>INCH</v>
          </cell>
        </row>
      </sheetData>
      <sheetData sheetId="4673">
        <row r="2">
          <cell r="F2" t="str">
            <v>INCH</v>
          </cell>
        </row>
      </sheetData>
      <sheetData sheetId="4674">
        <row r="2">
          <cell r="F2" t="str">
            <v>INCH</v>
          </cell>
        </row>
      </sheetData>
      <sheetData sheetId="4675">
        <row r="2">
          <cell r="F2" t="str">
            <v>INCH</v>
          </cell>
        </row>
      </sheetData>
      <sheetData sheetId="4676">
        <row r="2">
          <cell r="F2" t="str">
            <v>INCH</v>
          </cell>
        </row>
      </sheetData>
      <sheetData sheetId="4677">
        <row r="2">
          <cell r="F2" t="str">
            <v>INCH</v>
          </cell>
        </row>
      </sheetData>
      <sheetData sheetId="4678">
        <row r="2">
          <cell r="F2" t="str">
            <v>INCH</v>
          </cell>
        </row>
      </sheetData>
      <sheetData sheetId="4679">
        <row r="2">
          <cell r="F2" t="str">
            <v>INCH</v>
          </cell>
        </row>
      </sheetData>
      <sheetData sheetId="4680">
        <row r="2">
          <cell r="F2" t="str">
            <v>INCH</v>
          </cell>
        </row>
      </sheetData>
      <sheetData sheetId="4681"/>
      <sheetData sheetId="4682"/>
      <sheetData sheetId="4683"/>
      <sheetData sheetId="4684"/>
      <sheetData sheetId="4685"/>
      <sheetData sheetId="4686"/>
      <sheetData sheetId="4687"/>
      <sheetData sheetId="4688"/>
      <sheetData sheetId="4689"/>
      <sheetData sheetId="4690"/>
      <sheetData sheetId="4691"/>
      <sheetData sheetId="4692"/>
      <sheetData sheetId="4693"/>
      <sheetData sheetId="4694"/>
      <sheetData sheetId="4695"/>
      <sheetData sheetId="4696"/>
      <sheetData sheetId="4697"/>
      <sheetData sheetId="4698"/>
      <sheetData sheetId="4699"/>
      <sheetData sheetId="4700"/>
      <sheetData sheetId="4701"/>
      <sheetData sheetId="4702"/>
      <sheetData sheetId="4703"/>
      <sheetData sheetId="4704"/>
      <sheetData sheetId="4705"/>
      <sheetData sheetId="4706"/>
      <sheetData sheetId="4707"/>
      <sheetData sheetId="4708"/>
      <sheetData sheetId="4709"/>
      <sheetData sheetId="4710"/>
      <sheetData sheetId="4711"/>
      <sheetData sheetId="4712"/>
      <sheetData sheetId="4713"/>
      <sheetData sheetId="4714"/>
      <sheetData sheetId="4715"/>
      <sheetData sheetId="4716"/>
      <sheetData sheetId="4717"/>
      <sheetData sheetId="4718"/>
      <sheetData sheetId="4719"/>
      <sheetData sheetId="4720"/>
      <sheetData sheetId="4721"/>
      <sheetData sheetId="4722"/>
      <sheetData sheetId="4723"/>
      <sheetData sheetId="4724"/>
      <sheetData sheetId="4725"/>
      <sheetData sheetId="4726"/>
      <sheetData sheetId="4727"/>
      <sheetData sheetId="4728"/>
      <sheetData sheetId="4729"/>
      <sheetData sheetId="4730"/>
      <sheetData sheetId="4731"/>
      <sheetData sheetId="4732" refreshError="1"/>
      <sheetData sheetId="4733" refreshError="1"/>
      <sheetData sheetId="4734" refreshError="1"/>
      <sheetData sheetId="4735" refreshError="1"/>
      <sheetData sheetId="4736" refreshError="1"/>
      <sheetData sheetId="4737" refreshError="1"/>
      <sheetData sheetId="4738" refreshError="1"/>
      <sheetData sheetId="4739" refreshError="1"/>
      <sheetData sheetId="4740" refreshError="1"/>
      <sheetData sheetId="4741" refreshError="1"/>
      <sheetData sheetId="4742" refreshError="1"/>
      <sheetData sheetId="4743" refreshError="1"/>
      <sheetData sheetId="4744" refreshError="1"/>
      <sheetData sheetId="4745" refreshError="1"/>
      <sheetData sheetId="4746" refreshError="1"/>
      <sheetData sheetId="4747" refreshError="1"/>
      <sheetData sheetId="4748" refreshError="1"/>
      <sheetData sheetId="4749" refreshError="1"/>
      <sheetData sheetId="4750" refreshError="1"/>
      <sheetData sheetId="4751" refreshError="1"/>
      <sheetData sheetId="4752" refreshError="1"/>
      <sheetData sheetId="4753" refreshError="1"/>
      <sheetData sheetId="4754" refreshError="1"/>
      <sheetData sheetId="4755" refreshError="1"/>
      <sheetData sheetId="4756" refreshError="1"/>
      <sheetData sheetId="4757" refreshError="1"/>
      <sheetData sheetId="4758" refreshError="1"/>
      <sheetData sheetId="4759" refreshError="1"/>
      <sheetData sheetId="4760" refreshError="1"/>
      <sheetData sheetId="4761" refreshError="1"/>
      <sheetData sheetId="4762" refreshError="1"/>
      <sheetData sheetId="4763" refreshError="1"/>
      <sheetData sheetId="4764" refreshError="1"/>
      <sheetData sheetId="4765" refreshError="1"/>
      <sheetData sheetId="4766" refreshError="1"/>
      <sheetData sheetId="4767" refreshError="1"/>
      <sheetData sheetId="4768" refreshError="1"/>
      <sheetData sheetId="4769" refreshError="1"/>
      <sheetData sheetId="4770" refreshError="1"/>
      <sheetData sheetId="4771"/>
      <sheetData sheetId="4772"/>
      <sheetData sheetId="4773"/>
      <sheetData sheetId="4774"/>
      <sheetData sheetId="4775" refreshError="1"/>
      <sheetData sheetId="4776" refreshError="1"/>
      <sheetData sheetId="4777" refreshError="1"/>
      <sheetData sheetId="4778" refreshError="1"/>
      <sheetData sheetId="4779" refreshError="1"/>
      <sheetData sheetId="4780" refreshError="1"/>
      <sheetData sheetId="4781" refreshError="1"/>
      <sheetData sheetId="4782" refreshError="1"/>
      <sheetData sheetId="4783" refreshError="1"/>
      <sheetData sheetId="4784" refreshError="1"/>
      <sheetData sheetId="4785" refreshError="1"/>
      <sheetData sheetId="4786" refreshError="1"/>
      <sheetData sheetId="4787" refreshError="1"/>
      <sheetData sheetId="4788" refreshError="1"/>
      <sheetData sheetId="4789" refreshError="1"/>
      <sheetData sheetId="4790" refreshError="1"/>
      <sheetData sheetId="4791" refreshError="1"/>
      <sheetData sheetId="4792" refreshError="1"/>
      <sheetData sheetId="4793" refreshError="1"/>
      <sheetData sheetId="4794" refreshError="1"/>
      <sheetData sheetId="4795" refreshError="1"/>
      <sheetData sheetId="4796" refreshError="1"/>
      <sheetData sheetId="4797" refreshError="1"/>
      <sheetData sheetId="4798" refreshError="1"/>
      <sheetData sheetId="4799" refreshError="1"/>
      <sheetData sheetId="4800" refreshError="1"/>
      <sheetData sheetId="4801" refreshError="1"/>
      <sheetData sheetId="4802" refreshError="1"/>
      <sheetData sheetId="4803" refreshError="1"/>
      <sheetData sheetId="4804" refreshError="1"/>
      <sheetData sheetId="4805" refreshError="1"/>
      <sheetData sheetId="4806" refreshError="1"/>
      <sheetData sheetId="4807" refreshError="1"/>
      <sheetData sheetId="4808" refreshError="1"/>
      <sheetData sheetId="4809" refreshError="1"/>
      <sheetData sheetId="4810"/>
      <sheetData sheetId="4811"/>
      <sheetData sheetId="4812"/>
      <sheetData sheetId="4813" refreshError="1"/>
      <sheetData sheetId="4814" refreshError="1"/>
      <sheetData sheetId="4815" refreshError="1"/>
      <sheetData sheetId="4816" refreshError="1"/>
      <sheetData sheetId="4817" refreshError="1"/>
      <sheetData sheetId="4818" refreshError="1"/>
      <sheetData sheetId="4819" refreshError="1"/>
      <sheetData sheetId="4820" refreshError="1"/>
      <sheetData sheetId="4821" refreshError="1"/>
      <sheetData sheetId="4822" refreshError="1"/>
      <sheetData sheetId="4823" refreshError="1"/>
      <sheetData sheetId="4824" refreshError="1"/>
      <sheetData sheetId="4825" refreshError="1"/>
      <sheetData sheetId="4826" refreshError="1"/>
      <sheetData sheetId="4827" refreshError="1"/>
      <sheetData sheetId="4828" refreshError="1"/>
      <sheetData sheetId="4829" refreshError="1"/>
      <sheetData sheetId="4830" refreshError="1"/>
      <sheetData sheetId="4831" refreshError="1"/>
      <sheetData sheetId="4832" refreshError="1"/>
      <sheetData sheetId="4833" refreshError="1"/>
      <sheetData sheetId="4834" refreshError="1"/>
      <sheetData sheetId="4835" refreshError="1"/>
      <sheetData sheetId="4836" refreshError="1"/>
      <sheetData sheetId="4837" refreshError="1"/>
      <sheetData sheetId="4838" refreshError="1"/>
      <sheetData sheetId="4839" refreshError="1"/>
      <sheetData sheetId="4840" refreshError="1"/>
      <sheetData sheetId="4841" refreshError="1"/>
      <sheetData sheetId="4842" refreshError="1"/>
      <sheetData sheetId="4843" refreshError="1"/>
      <sheetData sheetId="4844" refreshError="1"/>
      <sheetData sheetId="4845" refreshError="1"/>
      <sheetData sheetId="4846" refreshError="1"/>
      <sheetData sheetId="4847" refreshError="1"/>
      <sheetData sheetId="4848" refreshError="1"/>
      <sheetData sheetId="4849" refreshError="1"/>
      <sheetData sheetId="4850" refreshError="1"/>
      <sheetData sheetId="4851" refreshError="1"/>
      <sheetData sheetId="4852" refreshError="1"/>
      <sheetData sheetId="4853" refreshError="1"/>
      <sheetData sheetId="4854" refreshError="1"/>
      <sheetData sheetId="4855" refreshError="1"/>
      <sheetData sheetId="4856" refreshError="1"/>
      <sheetData sheetId="4857" refreshError="1"/>
      <sheetData sheetId="4858" refreshError="1"/>
      <sheetData sheetId="4859" refreshError="1"/>
      <sheetData sheetId="4860" refreshError="1"/>
      <sheetData sheetId="4861" refreshError="1"/>
      <sheetData sheetId="4862" refreshError="1"/>
      <sheetData sheetId="4863" refreshError="1"/>
      <sheetData sheetId="4864" refreshError="1"/>
      <sheetData sheetId="4865" refreshError="1"/>
      <sheetData sheetId="4866" refreshError="1"/>
      <sheetData sheetId="4867" refreshError="1"/>
      <sheetData sheetId="4868" refreshError="1"/>
      <sheetData sheetId="4869" refreshError="1"/>
      <sheetData sheetId="4870" refreshError="1"/>
      <sheetData sheetId="4871" refreshError="1"/>
      <sheetData sheetId="4872" refreshError="1"/>
      <sheetData sheetId="4873" refreshError="1"/>
      <sheetData sheetId="4874" refreshError="1"/>
      <sheetData sheetId="4875" refreshError="1"/>
      <sheetData sheetId="4876"/>
      <sheetData sheetId="4877"/>
      <sheetData sheetId="4878" refreshError="1"/>
      <sheetData sheetId="4879" refreshError="1"/>
      <sheetData sheetId="4880" refreshError="1"/>
      <sheetData sheetId="4881" refreshError="1"/>
      <sheetData sheetId="4882" refreshError="1"/>
      <sheetData sheetId="4883" refreshError="1"/>
      <sheetData sheetId="4884" refreshError="1"/>
      <sheetData sheetId="4885" refreshError="1"/>
      <sheetData sheetId="4886" refreshError="1"/>
      <sheetData sheetId="4887" refreshError="1"/>
      <sheetData sheetId="4888" refreshError="1"/>
      <sheetData sheetId="4889" refreshError="1"/>
      <sheetData sheetId="4890" refreshError="1"/>
      <sheetData sheetId="4891" refreshError="1"/>
      <sheetData sheetId="4892" refreshError="1"/>
      <sheetData sheetId="4893"/>
      <sheetData sheetId="4894" refreshError="1"/>
      <sheetData sheetId="4895" refreshError="1"/>
      <sheetData sheetId="4896" refreshError="1"/>
      <sheetData sheetId="4897" refreshError="1"/>
      <sheetData sheetId="4898" refreshError="1"/>
      <sheetData sheetId="4899" refreshError="1"/>
      <sheetData sheetId="4900" refreshError="1"/>
      <sheetData sheetId="4901" refreshError="1"/>
      <sheetData sheetId="4902" refreshError="1"/>
      <sheetData sheetId="4903" refreshError="1"/>
      <sheetData sheetId="4904" refreshError="1"/>
      <sheetData sheetId="4905" refreshError="1"/>
      <sheetData sheetId="4906" refreshError="1"/>
      <sheetData sheetId="4907" refreshError="1"/>
      <sheetData sheetId="4908" refreshError="1"/>
      <sheetData sheetId="4909" refreshError="1"/>
      <sheetData sheetId="4910" refreshError="1"/>
      <sheetData sheetId="4911" refreshError="1"/>
      <sheetData sheetId="4912" refreshError="1"/>
      <sheetData sheetId="4913" refreshError="1"/>
      <sheetData sheetId="4914" refreshError="1"/>
      <sheetData sheetId="4915" refreshError="1"/>
      <sheetData sheetId="4916" refreshError="1"/>
      <sheetData sheetId="4917" refreshError="1"/>
      <sheetData sheetId="4918" refreshError="1"/>
      <sheetData sheetId="4919" refreshError="1"/>
      <sheetData sheetId="4920" refreshError="1"/>
      <sheetData sheetId="4921" refreshError="1"/>
      <sheetData sheetId="4922" refreshError="1"/>
      <sheetData sheetId="4923" refreshError="1"/>
      <sheetData sheetId="4924" refreshError="1"/>
      <sheetData sheetId="4925" refreshError="1"/>
      <sheetData sheetId="4926" refreshError="1"/>
      <sheetData sheetId="4927" refreshError="1"/>
      <sheetData sheetId="4928" refreshError="1"/>
      <sheetData sheetId="4929" refreshError="1"/>
      <sheetData sheetId="4930" refreshError="1"/>
      <sheetData sheetId="4931" refreshError="1"/>
      <sheetData sheetId="4932" refreshError="1"/>
      <sheetData sheetId="4933" refreshError="1"/>
      <sheetData sheetId="4934" refreshError="1"/>
      <sheetData sheetId="4935" refreshError="1"/>
      <sheetData sheetId="4936" refreshError="1"/>
      <sheetData sheetId="4937" refreshError="1"/>
      <sheetData sheetId="4938" refreshError="1"/>
      <sheetData sheetId="4939" refreshError="1"/>
      <sheetData sheetId="4940" refreshError="1"/>
      <sheetData sheetId="4941" refreshError="1"/>
      <sheetData sheetId="4942" refreshError="1"/>
      <sheetData sheetId="4943" refreshError="1"/>
      <sheetData sheetId="4944" refreshError="1"/>
      <sheetData sheetId="4945" refreshError="1"/>
      <sheetData sheetId="4946" refreshError="1"/>
      <sheetData sheetId="4947" refreshError="1"/>
      <sheetData sheetId="4948" refreshError="1"/>
      <sheetData sheetId="4949" refreshError="1"/>
      <sheetData sheetId="4950" refreshError="1"/>
      <sheetData sheetId="4951" refreshError="1"/>
      <sheetData sheetId="4952" refreshError="1"/>
      <sheetData sheetId="4953" refreshError="1"/>
      <sheetData sheetId="4954" refreshError="1"/>
      <sheetData sheetId="4955" refreshError="1"/>
      <sheetData sheetId="4956" refreshError="1"/>
      <sheetData sheetId="4957" refreshError="1"/>
      <sheetData sheetId="4958" refreshError="1"/>
      <sheetData sheetId="4959" refreshError="1"/>
      <sheetData sheetId="4960" refreshError="1"/>
      <sheetData sheetId="4961" refreshError="1"/>
      <sheetData sheetId="4962" refreshError="1"/>
      <sheetData sheetId="4963" refreshError="1"/>
      <sheetData sheetId="4964" refreshError="1"/>
      <sheetData sheetId="4965" refreshError="1"/>
      <sheetData sheetId="4966" refreshError="1"/>
      <sheetData sheetId="4967" refreshError="1"/>
      <sheetData sheetId="4968" refreshError="1"/>
      <sheetData sheetId="4969" refreshError="1"/>
      <sheetData sheetId="4970" refreshError="1"/>
      <sheetData sheetId="4971" refreshError="1"/>
      <sheetData sheetId="4972" refreshError="1"/>
      <sheetData sheetId="4973" refreshError="1"/>
      <sheetData sheetId="4974" refreshError="1"/>
      <sheetData sheetId="4975" refreshError="1"/>
      <sheetData sheetId="4976" refreshError="1"/>
      <sheetData sheetId="4977" refreshError="1"/>
      <sheetData sheetId="4978" refreshError="1"/>
      <sheetData sheetId="4979" refreshError="1"/>
      <sheetData sheetId="4980" refreshError="1"/>
      <sheetData sheetId="4981" refreshError="1"/>
      <sheetData sheetId="4982" refreshError="1"/>
      <sheetData sheetId="4983" refreshError="1"/>
      <sheetData sheetId="4984" refreshError="1"/>
      <sheetData sheetId="4985" refreshError="1"/>
      <sheetData sheetId="4986" refreshError="1"/>
      <sheetData sheetId="4987" refreshError="1"/>
      <sheetData sheetId="4988" refreshError="1"/>
      <sheetData sheetId="4989" refreshError="1"/>
      <sheetData sheetId="4990" refreshError="1"/>
      <sheetData sheetId="4991" refreshError="1"/>
      <sheetData sheetId="4992" refreshError="1"/>
      <sheetData sheetId="4993" refreshError="1"/>
      <sheetData sheetId="4994" refreshError="1"/>
      <sheetData sheetId="4995" refreshError="1"/>
      <sheetData sheetId="4996" refreshError="1"/>
      <sheetData sheetId="4997" refreshError="1"/>
      <sheetData sheetId="4998" refreshError="1"/>
      <sheetData sheetId="4999" refreshError="1"/>
      <sheetData sheetId="5000" refreshError="1"/>
      <sheetData sheetId="5001" refreshError="1"/>
      <sheetData sheetId="5002" refreshError="1"/>
      <sheetData sheetId="5003" refreshError="1"/>
      <sheetData sheetId="5004" refreshError="1"/>
      <sheetData sheetId="5005" refreshError="1"/>
      <sheetData sheetId="5006" refreshError="1"/>
      <sheetData sheetId="5007" refreshError="1"/>
      <sheetData sheetId="5008" refreshError="1"/>
      <sheetData sheetId="5009" refreshError="1"/>
      <sheetData sheetId="5010" refreshError="1"/>
      <sheetData sheetId="5011" refreshError="1"/>
      <sheetData sheetId="5012" refreshError="1"/>
      <sheetData sheetId="5013" refreshError="1"/>
      <sheetData sheetId="5014" refreshError="1"/>
      <sheetData sheetId="5015" refreshError="1"/>
      <sheetData sheetId="5016" refreshError="1"/>
      <sheetData sheetId="5017" refreshError="1"/>
      <sheetData sheetId="5018" refreshError="1"/>
      <sheetData sheetId="5019" refreshError="1"/>
      <sheetData sheetId="5020" refreshError="1"/>
      <sheetData sheetId="5021" refreshError="1"/>
      <sheetData sheetId="5022" refreshError="1"/>
      <sheetData sheetId="5023" refreshError="1"/>
      <sheetData sheetId="5024" refreshError="1"/>
      <sheetData sheetId="5025" refreshError="1"/>
      <sheetData sheetId="5026" refreshError="1"/>
      <sheetData sheetId="5027" refreshError="1"/>
      <sheetData sheetId="5028" refreshError="1"/>
      <sheetData sheetId="5029" refreshError="1"/>
      <sheetData sheetId="5030" refreshError="1"/>
      <sheetData sheetId="5031" refreshError="1"/>
      <sheetData sheetId="5032" refreshError="1"/>
      <sheetData sheetId="5033" refreshError="1"/>
      <sheetData sheetId="5034" refreshError="1"/>
      <sheetData sheetId="5035" refreshError="1"/>
      <sheetData sheetId="5036" refreshError="1"/>
      <sheetData sheetId="5037" refreshError="1"/>
      <sheetData sheetId="5038" refreshError="1"/>
      <sheetData sheetId="5039" refreshError="1"/>
      <sheetData sheetId="5040" refreshError="1"/>
      <sheetData sheetId="5041" refreshError="1"/>
      <sheetData sheetId="5042" refreshError="1"/>
      <sheetData sheetId="5043" refreshError="1"/>
      <sheetData sheetId="5044" refreshError="1"/>
      <sheetData sheetId="5045" refreshError="1"/>
      <sheetData sheetId="5046" refreshError="1"/>
      <sheetData sheetId="5047" refreshError="1"/>
      <sheetData sheetId="5048" refreshError="1"/>
      <sheetData sheetId="5049" refreshError="1"/>
      <sheetData sheetId="5050" refreshError="1"/>
      <sheetData sheetId="5051" refreshError="1"/>
      <sheetData sheetId="5052" refreshError="1"/>
      <sheetData sheetId="5053" refreshError="1"/>
      <sheetData sheetId="5054" refreshError="1"/>
      <sheetData sheetId="5055" refreshError="1"/>
      <sheetData sheetId="5056" refreshError="1"/>
      <sheetData sheetId="5057" refreshError="1"/>
      <sheetData sheetId="5058" refreshError="1"/>
      <sheetData sheetId="5059" refreshError="1"/>
      <sheetData sheetId="5060" refreshError="1"/>
      <sheetData sheetId="5061" refreshError="1"/>
      <sheetData sheetId="5062" refreshError="1"/>
      <sheetData sheetId="5063" refreshError="1"/>
      <sheetData sheetId="5064" refreshError="1"/>
      <sheetData sheetId="5065" refreshError="1"/>
      <sheetData sheetId="5066" refreshError="1"/>
      <sheetData sheetId="5067" refreshError="1"/>
      <sheetData sheetId="5068"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ABLO-1"/>
      <sheetName val="TABLO-2"/>
      <sheetName val="TABLO-3"/>
      <sheetName val="TABLO-4"/>
      <sheetName val="TABLO-5"/>
      <sheetName val="GRAFET"/>
      <sheetName val="DRENAJ HENDEK (2)"/>
      <sheetName val="Sayfa4"/>
      <sheetName val="Dış Kapak"/>
      <sheetName val="İçindekiler"/>
      <sheetName val="ICMAL"/>
      <sheetName val="PURSANTAJ"/>
      <sheetName val="DAIRE"/>
      <sheetName val="AVANS"/>
      <sheetName val="TAKIP"/>
      <sheetName val="ARKA KAPAK"/>
      <sheetName val="Faturanızı Özelleştirin"/>
      <sheetName val="I BLOK -11.70 TEMEL BETON"/>
      <sheetName val="I BLOK -7.60 DÖŞEME (2)"/>
      <sheetName val="I BLOK -11.70 KOLON BETON"/>
      <sheetName val="I BLOK -11.70 PERDE BETON"/>
      <sheetName val="I BLOK -11.70 KİRİŞ"/>
      <sheetName val="I BLOK -7.60 DÖŞEME"/>
      <sheetName val="E BLOK -11.70 TEMEL BETON "/>
      <sheetName val="kpk"/>
      <sheetName val="İKSA pile records"/>
      <sheetName val="önyüz"/>
      <sheetName val="Demirbaş Haf.Öd."/>
      <sheetName val="TABLO_3"/>
      <sheetName val="Finansal tamamlanma Eğrisi"/>
      <sheetName val="GEN.BİL."/>
      <sheetName val="RAPOR"/>
      <sheetName val="GB"/>
      <sheetName val="GB12"/>
      <sheetName val="Köprü İşleri"/>
      <sheetName val="#REF"/>
      <sheetName val="DATA"/>
      <sheetName val="YEŞİL DEF. KÖPRÜ"/>
      <sheetName val="_REF"/>
      <sheetName val="YEŞİL DEF_ KÖPRÜ"/>
      <sheetName val="METRAJ İCMALİ-1 "/>
      <sheetName val="Sheet1"/>
      <sheetName val="Beton Nakli"/>
      <sheetName val="dşgsydata"/>
      <sheetName val="genel poz mik"/>
      <sheetName val="Hakediş"/>
      <sheetName val="VERİ"/>
      <sheetName val="Y.F.T."/>
      <sheetName val="DEGISKENLER"/>
      <sheetName val="çarpan"/>
      <sheetName val="PROJE"/>
      <sheetName val="SATIS"/>
      <sheetName val="TESİSAT"/>
      <sheetName val="İCMAL"/>
      <sheetName val="BLOK-KEŞİF"/>
      <sheetName val="rayiç"/>
      <sheetName val="katsayılar"/>
      <sheetName val="FitOutConfCentre"/>
      <sheetName val="METRAJ"/>
      <sheetName val="İŞ PROĞRAMI"/>
      <sheetName val="#_dwgs"/>
      <sheetName val="fİYATLAR"/>
      <sheetName val="PERAKENDE"/>
      <sheetName val="NAKLİYELER"/>
      <sheetName val="equipment"/>
      <sheetName val="indirect_equipment (X)"/>
      <sheetName val="rayıc"/>
      <sheetName val="metin"/>
      <sheetName val="eritme"/>
      <sheetName val=" ICMALI"/>
      <sheetName val="demir"/>
      <sheetName val="KADIKES2"/>
      <sheetName val="Gelir-Gider Gercek"/>
      <sheetName val="irsaliye tesbit4-5"/>
      <sheetName val="B3.Pers-Data"/>
      <sheetName val="191+935"/>
      <sheetName val="dBase"/>
      <sheetName val="menfezdata"/>
      <sheetName val="menfeztutanak"/>
      <sheetName val="AOP Summary-2"/>
      <sheetName val="CPI2010"/>
      <sheetName val="POZ AD BR"/>
      <sheetName val="fiyat2"/>
      <sheetName val="Beton"/>
      <sheetName val="Kapak"/>
      <sheetName val="Yeşil.Defter.Kapak"/>
      <sheetName val="B.SEHİR-Y.YIL"/>
      <sheetName val="KM KANATLI"/>
      <sheetName val="İLERLEME"/>
      <sheetName val="TBL_03"/>
      <sheetName val="TBL_04"/>
      <sheetName val="TBL_09"/>
      <sheetName val="TBL_12"/>
      <sheetName val="TBL_15"/>
      <sheetName val="sal"/>
      <sheetName val="TOTAL"/>
      <sheetName val="ID"/>
      <sheetName val="MİZAN (2)"/>
      <sheetName val="Tuta"/>
      <sheetName val="MalMık"/>
      <sheetName val="YD.Topİş"/>
      <sheetName val="İlan"/>
      <sheetName val="gbicmalayri"/>
      <sheetName val="6-Yeşil Defter."/>
      <sheetName val="KAYNAK DOSYASI"/>
      <sheetName val="FinansalTE"/>
      <sheetName val="Finansal t. Eğrisi"/>
      <sheetName val="Sayfa1"/>
    </sheetNames>
    <sheetDataSet>
      <sheetData sheetId="0" refreshError="1"/>
      <sheetData sheetId="1">
        <row r="8">
          <cell r="B8" t="str">
            <v xml:space="preserve">        TURKEY</v>
          </cell>
        </row>
      </sheetData>
      <sheetData sheetId="2" refreshError="1"/>
      <sheetData sheetId="3" refreshError="1"/>
      <sheetData sheetId="4" refreshError="1"/>
      <sheetData sheetId="5" refreshError="1"/>
      <sheetData sheetId="6" refreshError="1"/>
      <sheetData sheetId="7" refreshError="1"/>
      <sheetData sheetId="8">
        <row r="4">
          <cell r="B4">
            <v>0</v>
          </cell>
        </row>
      </sheetData>
      <sheetData sheetId="9">
        <row r="4">
          <cell r="B4">
            <v>0</v>
          </cell>
        </row>
      </sheetData>
      <sheetData sheetId="10">
        <row r="4">
          <cell r="B4">
            <v>0</v>
          </cell>
        </row>
      </sheetData>
      <sheetData sheetId="11">
        <row r="4">
          <cell r="B4">
            <v>0</v>
          </cell>
        </row>
      </sheetData>
      <sheetData sheetId="12">
        <row r="4">
          <cell r="B4">
            <v>0</v>
          </cell>
        </row>
      </sheetData>
      <sheetData sheetId="13">
        <row r="4">
          <cell r="B4">
            <v>0</v>
          </cell>
        </row>
      </sheetData>
      <sheetData sheetId="14">
        <row r="8">
          <cell r="B8" t="str">
            <v xml:space="preserve">        TURKEY</v>
          </cell>
        </row>
      </sheetData>
      <sheetData sheetId="15">
        <row r="8">
          <cell r="B8" t="str">
            <v xml:space="preserve">        TURKEY</v>
          </cell>
        </row>
      </sheetData>
      <sheetData sheetId="16" refreshError="1"/>
      <sheetData sheetId="17">
        <row r="4">
          <cell r="B4">
            <v>0</v>
          </cell>
        </row>
      </sheetData>
      <sheetData sheetId="18">
        <row r="4">
          <cell r="B4">
            <v>0</v>
          </cell>
        </row>
      </sheetData>
      <sheetData sheetId="19">
        <row r="8">
          <cell r="B8" t="str">
            <v xml:space="preserve">        TURKEY</v>
          </cell>
        </row>
      </sheetData>
      <sheetData sheetId="20">
        <row r="4">
          <cell r="B4">
            <v>0</v>
          </cell>
        </row>
      </sheetData>
      <sheetData sheetId="21"/>
      <sheetData sheetId="22"/>
      <sheetData sheetId="23">
        <row r="4">
          <cell r="B4">
            <v>0</v>
          </cell>
        </row>
      </sheetData>
      <sheetData sheetId="24" refreshError="1"/>
      <sheetData sheetId="25" refreshError="1"/>
      <sheetData sheetId="26" refreshError="1"/>
      <sheetData sheetId="27" refreshError="1"/>
      <sheetData sheetId="28"/>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sheetData sheetId="39" refreshError="1"/>
      <sheetData sheetId="40" refreshError="1"/>
      <sheetData sheetId="41" refreshError="1"/>
      <sheetData sheetId="42" refreshError="1"/>
      <sheetData sheetId="43" refreshError="1"/>
      <sheetData sheetId="44" refreshError="1"/>
      <sheetData sheetId="45" refreshError="1"/>
      <sheetData sheetId="46"/>
      <sheetData sheetId="47"/>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ow r="4">
          <cell r="A4" t="str">
            <v>PROJE ADI (PROJECT NAME)</v>
          </cell>
        </row>
      </sheetData>
      <sheetData sheetId="104" refreshError="1"/>
      <sheetData sheetId="105" refreshError="1"/>
      <sheetData sheetId="106" refreshError="1"/>
      <sheetData sheetId="107"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quipment Schedule"/>
      <sheetName val="s-curve"/>
      <sheetName val="TOT-HIS"/>
      <sheetName val="tot-gra"/>
      <sheetName val="SAF-HIS"/>
      <sheetName val="MAT-HIS"/>
      <sheetName val="PLAN-HIS"/>
      <sheetName val="ENG-HIS"/>
      <sheetName val="MGM-HIS"/>
      <sheetName val="SPV-HIS"/>
      <sheetName val="QAQC-HIS"/>
      <sheetName val="saf-gra"/>
      <sheetName val="mat-gra"/>
      <sheetName val="plan-gra"/>
      <sheetName val="eng-gra"/>
      <sheetName val="spv-gra"/>
      <sheetName val="mgm-gra"/>
      <sheetName val="qaqc-gra"/>
      <sheetName val="crf-mech"/>
      <sheetName val="crf-pinh"/>
      <sheetName val="crf-elih"/>
      <sheetName val="crf-cwh"/>
      <sheetName val="craftbch"/>
      <sheetName val="crf-ping"/>
      <sheetName val="crf-mecg"/>
      <sheetName val="crf-elig"/>
      <sheetName val="crf-cwg"/>
      <sheetName val="craftbcg"/>
      <sheetName val="DIR-PINH"/>
      <sheetName val="DIR-MECH"/>
      <sheetName val="DIR-ELIH"/>
      <sheetName val="DIR-CWH"/>
      <sheetName val="DIR"/>
      <sheetName val="OVER-BCH"/>
      <sheetName val="dir-ping"/>
      <sheetName val="dir-mecg"/>
      <sheetName val="dir-elig"/>
      <sheetName val="dir-cwg"/>
      <sheetName val="over-bcg"/>
      <sheetName val="fspv early works"/>
      <sheetName val="fspv"/>
      <sheetName val="C1 (calcolo)"/>
      <sheetName val="c1 1a fase"/>
      <sheetName val="c1 2a fase"/>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refreshError="1"/>
      <sheetData sheetId="39"/>
      <sheetData sheetId="40" refreshError="1"/>
      <sheetData sheetId="41" refreshError="1">
        <row r="2">
          <cell r="Y2">
            <v>250</v>
          </cell>
        </row>
        <row r="194">
          <cell r="N194">
            <v>0</v>
          </cell>
          <cell r="O194">
            <v>0</v>
          </cell>
          <cell r="P194">
            <v>0</v>
          </cell>
          <cell r="Q194">
            <v>0</v>
          </cell>
          <cell r="R194">
            <v>0</v>
          </cell>
          <cell r="S194">
            <v>0</v>
          </cell>
          <cell r="T194">
            <v>0</v>
          </cell>
          <cell r="U194">
            <v>0</v>
          </cell>
          <cell r="V194">
            <v>0</v>
          </cell>
          <cell r="W194">
            <v>36.117900000000006</v>
          </cell>
          <cell r="X194">
            <v>65.012219999999999</v>
          </cell>
          <cell r="Y194">
            <v>115.86775200000002</v>
          </cell>
          <cell r="Z194">
            <v>159.7664796</v>
          </cell>
          <cell r="AA194">
            <v>203.31128999999999</v>
          </cell>
          <cell r="AB194">
            <v>216.75479279999999</v>
          </cell>
          <cell r="AC194">
            <v>224.81691960000003</v>
          </cell>
          <cell r="AD194">
            <v>202.43834519999999</v>
          </cell>
          <cell r="AE194">
            <v>187.25430359999996</v>
          </cell>
          <cell r="AF194">
            <v>177.11224440000015</v>
          </cell>
          <cell r="AG194">
            <v>109.07988000000002</v>
          </cell>
          <cell r="AH194">
            <v>74.174318399999976</v>
          </cell>
          <cell r="AI194">
            <v>41.450354399999966</v>
          </cell>
          <cell r="AJ194">
            <v>0</v>
          </cell>
          <cell r="AK194">
            <v>0</v>
          </cell>
        </row>
      </sheetData>
      <sheetData sheetId="42"/>
      <sheetData sheetId="43"/>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ABLO-1"/>
      <sheetName val="TABLO-2"/>
      <sheetName val="TABLO-3"/>
      <sheetName val="TABLO-4"/>
      <sheetName val="TABLO-5"/>
      <sheetName val="GRAFET"/>
    </sheetNames>
    <sheetDataSet>
      <sheetData sheetId="0" refreshError="1"/>
      <sheetData sheetId="1" refreshError="1"/>
      <sheetData sheetId="2" refreshError="1"/>
      <sheetData sheetId="3" refreshError="1"/>
      <sheetData sheetId="4" refreshError="1"/>
      <sheetData sheetId="5"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
      <sheetName val="B"/>
      <sheetName val="DRUM"/>
      <sheetName val="BM"/>
      <sheetName val="inter"/>
      <sheetName val="12CGOU"/>
      <sheetName val=" 배관자재비-SKEC구매분"/>
      <sheetName val="Code"/>
      <sheetName val="보온자재단가표"/>
      <sheetName val="LEGEND"/>
      <sheetName val="운반"/>
      <sheetName val="insulation"/>
      <sheetName val="CASH"/>
      <sheetName val="VUOTO"/>
      <sheetName val="PIPE"/>
      <sheetName val="FLANGE"/>
      <sheetName val="VALVE"/>
      <sheetName val="TTL"/>
      <sheetName val="대비표"/>
      <sheetName val="BQMPALOC"/>
      <sheetName val="EQT-ESTN"/>
      <sheetName val="Sheet4"/>
      <sheetName val="Sheet1"/>
      <sheetName val="INSTLIST 1"/>
      <sheetName val="steam table"/>
      <sheetName val="PNTEXT"/>
      <sheetName val="jobhist"/>
      <sheetName val="기성내역"/>
      <sheetName val="Price Schedule(Piping)"/>
      <sheetName val="Eq. Mobilization"/>
      <sheetName val="General Data"/>
      <sheetName val="LinerWt"/>
      <sheetName val="입찰내역 발주처 양식"/>
      <sheetName val="QT003-SSY-철골3"/>
      <sheetName val="산근"/>
      <sheetName val="INSTR"/>
      <sheetName val="Sum"/>
      <sheetName val="BQ List"/>
      <sheetName val="Takeoff"/>
      <sheetName val="studbolt no."/>
      <sheetName val="studbolt size"/>
      <sheetName val="item sort no"/>
      <sheetName val="LINE_LIST"/>
      <sheetName val="Sheet13"/>
      <sheetName val="Sheet14"/>
      <sheetName val="집계표(OPTION)"/>
      <sheetName val="단면가정"/>
      <sheetName val="설계조건"/>
      <sheetName val="BQMP"/>
      <sheetName val="금융"/>
      <sheetName val="trf(36%)"/>
      <sheetName val="CAT_5"/>
      <sheetName val="EQUIP"/>
      <sheetName val="1. 총괄"/>
      <sheetName val="토목 Utility Schedule (2)"/>
      <sheetName val="당초"/>
      <sheetName val="Curves"/>
      <sheetName val="Tables"/>
      <sheetName val="XZLC004_PART2"/>
      <sheetName val="XZLC003_PART1"/>
      <sheetName val="IMPEADENCE MAP 취수장"/>
      <sheetName val="CB"/>
      <sheetName val="기기리스트"/>
      <sheetName val="자금운영"/>
      <sheetName val="CAST INT T-S"/>
      <sheetName val="TABLE-A"/>
      <sheetName val="EE-PROP"/>
      <sheetName val="REINF."/>
      <sheetName val="SKETCH"/>
      <sheetName val="LOADS"/>
      <sheetName val="Inert Balls"/>
      <sheetName val="유림골조"/>
      <sheetName val="E 3367 Estimate"/>
      <sheetName val="2-Conc"/>
      <sheetName val="Sheet2"/>
      <sheetName val="매출 현황 (본사)"/>
      <sheetName val="PIPING"/>
      <sheetName val="_배관자재비-SKEC구매분"/>
      <sheetName val="INSTLIST_1"/>
      <sheetName val="steam_table"/>
      <sheetName val="Price_Schedule(Piping)"/>
      <sheetName val="studbolt_no_"/>
      <sheetName val="studbolt_size"/>
      <sheetName val="item_sort_no"/>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sheetData sheetId="78"/>
      <sheetData sheetId="79"/>
      <sheetData sheetId="80"/>
      <sheetData sheetId="81"/>
      <sheetData sheetId="82"/>
      <sheetData sheetId="83"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eneral Data"/>
      <sheetName val="Summary"/>
      <sheetName val="1.1 가설공사"/>
      <sheetName val="1.2 토목공사"/>
      <sheetName val="1.3 건축공사"/>
      <sheetName val="1.4 철골공사"/>
      <sheetName val="D-3"/>
      <sheetName val="Basic_Info"/>
      <sheetName val="Master"/>
      <sheetName val="갑지"/>
      <sheetName val="Main"/>
      <sheetName val="Data"/>
      <sheetName val="98수지배부(수정)"/>
    </sheetNames>
    <sheetDataSet>
      <sheetData sheetId="0" refreshError="1">
        <row r="8">
          <cell r="B8" t="str">
            <v>SAR</v>
          </cell>
        </row>
      </sheetData>
      <sheetData sheetId="1"/>
      <sheetData sheetId="2"/>
      <sheetData sheetId="3"/>
      <sheetData sheetId="4"/>
      <sheetData sheetId="5"/>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당초"/>
      <sheetName val="변경"/>
      <sheetName val="집계표"/>
      <sheetName val="내역서"/>
      <sheetName val="총괄표"/>
      <sheetName val="CB"/>
      <sheetName val="경비"/>
      <sheetName val="Sheet3"/>
      <sheetName val="cvr"/>
      <sheetName val="sum"/>
      <sheetName val="indirect"/>
      <sheetName val="bm"/>
      <sheetName val="bm (2)"/>
      <sheetName val="Sheet2"/>
      <sheetName val="Instrument"/>
      <sheetName val="Junction Box"/>
      <sheetName val="JB_Final checked"/>
      <sheetName val="Equipment"/>
      <sheetName val="F&amp;G System"/>
      <sheetName val="F&amp;G System (Detail)"/>
      <sheetName val="MOTOR"/>
      <sheetName val="동결보온"/>
      <sheetName val="BID"/>
      <sheetName val="금액내역서"/>
      <sheetName val=" 배관자재비-SKEC구매분"/>
      <sheetName val="제경비"/>
      <sheetName val="abc"/>
      <sheetName val="108"/>
      <sheetName val="EQT-ESTN"/>
      <sheetName val="JCS"/>
      <sheetName val="Working"/>
      <sheetName val="Manpower"/>
      <sheetName val="Datas"/>
      <sheetName val="Int. Pr.-Shell"/>
      <sheetName val="Ext. Pr.-Shell"/>
      <sheetName val="Int. Pr.-D'End"/>
      <sheetName val="Ext. Pr.-D'End"/>
      <sheetName val="Reinforcement Pad"/>
      <sheetName val="Nozzles"/>
      <sheetName val="Painting"/>
      <sheetName val="수입"/>
      <sheetName val="TTL"/>
      <sheetName val="품셈"/>
      <sheetName val="fitting"/>
      <sheetName val="정부노임단가"/>
      <sheetName val="HVAC"/>
      <sheetName val="할증 "/>
      <sheetName val="DATA"/>
      <sheetName val="INVOICE_CERT EIV'S"/>
      <sheetName val="Factor"/>
      <sheetName val="Onerous Terms"/>
      <sheetName val="Erection"/>
      <sheetName val="Proposal"/>
      <sheetName val="WORK-VOL"/>
      <sheetName val="FAB_I"/>
      <sheetName val="공사비 내역 (가)"/>
      <sheetName val="PUMP"/>
      <sheetName val="Main"/>
      <sheetName val="적용환율"/>
      <sheetName val="일위대가목차"/>
      <sheetName val="#REF"/>
      <sheetName val="조도계산서 (도서)"/>
      <sheetName val="도급양식"/>
      <sheetName val="입찰안"/>
      <sheetName val="직원동원SCH"/>
      <sheetName val="Sheet6"/>
      <sheetName val="D-3109"/>
      <sheetName val="12CGOU"/>
      <sheetName val="기성내역"/>
      <sheetName val="현장지지물물량"/>
      <sheetName val="General Data"/>
      <sheetName val="명세서"/>
      <sheetName val="COST SUMMARY"/>
      <sheetName val="PIPING"/>
      <sheetName val="bm_(2)"/>
      <sheetName val="Junction_Box"/>
      <sheetName val="JB_Final_checked"/>
      <sheetName val="F&amp;G_System"/>
      <sheetName val="F&amp;G_System_(Detail)"/>
      <sheetName val="_배관자재비-SKEC구매분"/>
      <sheetName val="extensions lookup"/>
      <sheetName val="3. Piping"/>
      <sheetName val="EQUIP"/>
      <sheetName val="wall"/>
      <sheetName val="결재판(삭제하지말아주세요)"/>
      <sheetName val="광통신 견적내역서1"/>
      <sheetName val="Sheet1"/>
      <sheetName val="jobhist"/>
      <sheetName val="15 문제점"/>
      <sheetName val="작성방법"/>
      <sheetName val="자격 땡겨오기"/>
      <sheetName val="4300 UTILITY BLDG (2)"/>
      <sheetName val="DB@Acess"/>
      <sheetName val="Civil"/>
      <sheetName val="연돌일위집계"/>
      <sheetName val="공정율 기초 Data"/>
      <sheetName val="가격분석@1100(990104)"/>
      <sheetName val="Escalation"/>
      <sheetName val="LinerWt"/>
      <sheetName val="B"/>
      <sheetName val="15100"/>
      <sheetName val="산#2-1 (2)"/>
      <sheetName val="API Units"/>
      <sheetName val="주요기준"/>
      <sheetName val="COVER"/>
      <sheetName val="001"/>
      <sheetName val="공통비"/>
      <sheetName val="TOEC"/>
      <sheetName val="TDC COA Sumry"/>
      <sheetName val="COA Sumry by Area"/>
      <sheetName val="COA Sumry by Contr"/>
      <sheetName val="COA Sumry by RG"/>
      <sheetName val="TDC COA Grp Sumry"/>
      <sheetName val="TDC Item Dets-Full"/>
      <sheetName val="TDC Item Dets-IPM-Full"/>
      <sheetName val="TDC Item Dets"/>
      <sheetName val="TDC Item Sumry"/>
      <sheetName val="TDC Key Qty Sumry"/>
      <sheetName val="List - Components"/>
      <sheetName val="List - Equipment"/>
      <sheetName val="Project Metrics"/>
      <sheetName val="COA Sumry - Std Imp"/>
      <sheetName val="Contr TDC - Std Imp"/>
      <sheetName val="Item Sumry - Std Imp"/>
      <sheetName val="Proj TIC - Std Imp"/>
      <sheetName val="Unit Costs - Std Imp"/>
      <sheetName val="Unit MH - Std Imp"/>
      <sheetName val="SM1-09"/>
      <sheetName val="SM2-09"/>
      <sheetName val="BD-09"/>
      <sheetName val="MT-09"/>
      <sheetName val="ITEM"/>
      <sheetName val="공통부대비"/>
      <sheetName val="Sch.1"/>
      <sheetName val="#2_일위대가목록"/>
      <sheetName val="1. Stationary"/>
      <sheetName val="POWER"/>
      <sheetName val="내역"/>
      <sheetName val="BQMPALOC"/>
      <sheetName val="Coversheet "/>
      <sheetName val="6BPRO"/>
      <sheetName val="Total"/>
      <sheetName val="01"/>
      <sheetName val="계측 내역서"/>
      <sheetName val="결과조달"/>
      <sheetName val="DRUM"/>
      <sheetName val="BSD (2)"/>
      <sheetName val="갑지"/>
      <sheetName val="집계표(OPTION)"/>
      <sheetName val="Eq. Mobilization"/>
      <sheetName val="대비표"/>
      <sheetName val="Rate Analysis"/>
      <sheetName val="예가표"/>
      <sheetName val="산근"/>
      <sheetName val="분뇨"/>
      <sheetName val="공문"/>
      <sheetName val="BQ"/>
      <sheetName val="PBS"/>
      <sheetName val="Requirement(Work Crew)"/>
      <sheetName val="FLANGE"/>
      <sheetName val="VALVE"/>
      <sheetName val="hitlin"/>
      <sheetName val="PER"/>
      <sheetName val="PIR(석유화학)"/>
      <sheetName val="silica"/>
      <sheetName val="rw"/>
      <sheetName val="gw"/>
      <sheetName val="우레탄"/>
      <sheetName val="fg"/>
      <sheetName val="iig silica(캐나다)"/>
      <sheetName val="운반"/>
      <sheetName val="단중"/>
      <sheetName val="품셈표"/>
      <sheetName val="견적대비표"/>
      <sheetName val="공사내역"/>
      <sheetName val="변수 정의"/>
      <sheetName val="SPT vs PHI"/>
      <sheetName val="MODELING"/>
      <sheetName val="INPUT"/>
      <sheetName val="포장공"/>
      <sheetName val="영업2"/>
      <sheetName val="COS_REP.XLS"/>
      <sheetName val="간접비내역-1"/>
      <sheetName val="작성기준"/>
      <sheetName val="LEGEND"/>
      <sheetName val="AILC004"/>
      <sheetName val="VUOTO"/>
      <sheetName val="건축내역"/>
      <sheetName val="조명율표"/>
      <sheetName val="국내"/>
      <sheetName val="RING WALL"/>
      <sheetName val="SG"/>
      <sheetName val="PRO_DCI"/>
      <sheetName val="INST_DCI"/>
      <sheetName val="HVAC_DCI"/>
      <sheetName val="PIPE_DCI"/>
      <sheetName val="노임9월"/>
      <sheetName val=" 갑지"/>
      <sheetName val="견적의뢰"/>
      <sheetName val="PipWT"/>
      <sheetName val="PRICES"/>
      <sheetName val="1_RA_Master_절감후"/>
      <sheetName val="TYPE-B 평균H"/>
      <sheetName val="AC포장수량"/>
      <sheetName val="견적정보"/>
      <sheetName val="WORK"/>
      <sheetName val="간접인원 급료산출"/>
      <sheetName val="slipsumpR"/>
      <sheetName val="Precios"/>
      <sheetName val="Sheet4"/>
      <sheetName val="CPM챠트"/>
      <sheetName val="잡비"/>
      <sheetName val="WEIGHT LIST"/>
      <sheetName val="POL6차-PIPING"/>
      <sheetName val="산#3-1"/>
      <sheetName val="설산1.나"/>
      <sheetName val="본사S"/>
      <sheetName val="DB_ET200(R. A)"/>
      <sheetName val="PIPE"/>
      <sheetName val="Final Summary"/>
      <sheetName val="inter"/>
      <sheetName val="SHL"/>
      <sheetName val="INSTR"/>
      <sheetName val="SOHAR(2nd)"/>
      <sheetName val="95삼성급(본사)"/>
      <sheetName val="입찰내역 발주처 양식"/>
      <sheetName val="---FAB#1업무일지---"/>
      <sheetName val="costing_CV"/>
      <sheetName val="Spec1"/>
      <sheetName val="설계명세서"/>
      <sheetName val="일위대가"/>
      <sheetName val="FAB별"/>
      <sheetName val="Units Def'n"/>
      <sheetName val="방배동내역(리라)"/>
      <sheetName val="현장경비"/>
      <sheetName val="건축공사집계표"/>
      <sheetName val="방배동내역 (총괄)"/>
      <sheetName val="부대공사총괄"/>
      <sheetName val="Steam-Sys"/>
      <sheetName val="bm_(2)1"/>
      <sheetName val="Junction_Box1"/>
      <sheetName val="JB_Final_checked1"/>
      <sheetName val="F&amp;G_System1"/>
      <sheetName val="F&amp;G_System_(Detail)1"/>
      <sheetName val="_배관자재비-SKEC구매분1"/>
      <sheetName val="Int__Pr_-Shell"/>
      <sheetName val="Ext__Pr_-Shell"/>
      <sheetName val="Int__Pr_-D'End"/>
      <sheetName val="Ext__Pr_-D'End"/>
      <sheetName val="Reinforcement_Pad"/>
      <sheetName val="Onerous_Terms"/>
      <sheetName val="할증_"/>
      <sheetName val="공사비_내역_(가)"/>
      <sheetName val="조도계산서_(도서)"/>
      <sheetName val="INVOICE_CERT_EIV'S"/>
      <sheetName val="General_Data"/>
      <sheetName val="COST_SUMMARY"/>
      <sheetName val="extensions_lookup"/>
      <sheetName val="3__Piping"/>
      <sheetName val="자격_땡겨오기"/>
      <sheetName val="4300_UTILITY_BLDG_(2)"/>
      <sheetName val="공정율_기초_Data"/>
      <sheetName val="Rate_Analysis"/>
      <sheetName val="광통신_견적내역서1"/>
      <sheetName val="산#2-1_(2)"/>
      <sheetName val="API_Units"/>
      <sheetName val="TDC_COA_Sumry"/>
      <sheetName val="COA_Sumry_by_Area"/>
      <sheetName val="COA_Sumry_by_Contr"/>
      <sheetName val="COA_Sumry_by_RG"/>
      <sheetName val="TDC_COA_Grp_Sumry"/>
      <sheetName val="TDC_Item_Dets-Full"/>
      <sheetName val="TDC_Item_Dets-IPM-Full"/>
      <sheetName val="TDC_Item_Dets"/>
      <sheetName val="TDC_Item_Sumry"/>
      <sheetName val="TDC_Key_Qty_Sumry"/>
      <sheetName val="List_-_Components"/>
      <sheetName val="List_-_Equipment"/>
      <sheetName val="Project_Metrics"/>
      <sheetName val="COA_Sumry_-_Std_Imp"/>
      <sheetName val="Contr_TDC_-_Std_Imp"/>
      <sheetName val="Item_Sumry_-_Std_Imp"/>
      <sheetName val="Proj_TIC_-_Std_Imp"/>
      <sheetName val="Unit_Costs_-_Std_Imp"/>
      <sheetName val="Unit_MH_-_Std_Imp"/>
      <sheetName val="Sch_1"/>
      <sheetName val="Coversheet_"/>
      <sheetName val="1__Stationary"/>
      <sheetName val="Requirement(Work_Crew)"/>
      <sheetName val="계측_내역서"/>
      <sheetName val="iig_silica(캐나다)"/>
      <sheetName val="변수_정의"/>
      <sheetName val="BSD_(2)"/>
      <sheetName val="SPT_vs_PHI"/>
      <sheetName val="COS_REP_XLS"/>
      <sheetName val="_갑지"/>
      <sheetName val="BEND LOSS"/>
      <sheetName val="XZLC003_PART1"/>
      <sheetName val="XZLC004_PART2"/>
      <sheetName val="현장관리비"/>
      <sheetName val="Inst_"/>
      <sheetName val="Piping_Design_Data"/>
      <sheetName val="실행내역"/>
      <sheetName val="CAL"/>
      <sheetName val="Piping Design Data"/>
      <sheetName val="견적을지"/>
      <sheetName val="Cash2"/>
      <sheetName val="Z"/>
      <sheetName val="A"/>
      <sheetName val="w't table"/>
      <sheetName val="costing_ESDV"/>
      <sheetName val="costing_Misc"/>
      <sheetName val="costing_MOV"/>
      <sheetName val="가로등내역서"/>
      <sheetName val="항목별진도율"/>
      <sheetName val="C3"/>
      <sheetName val="mech"/>
      <sheetName val="IT-BAT"/>
      <sheetName val="임율 Data"/>
      <sheetName val="HANJUNG EQUIPMENT"/>
      <sheetName val="SPARE PART"/>
      <sheetName val="97 사업추정(WEKI)"/>
      <sheetName val="2. 집계표"/>
      <sheetName val="LP산출"/>
      <sheetName val="45,46"/>
      <sheetName val="CF Rev.0"/>
      <sheetName val="견적"/>
      <sheetName val="실행예산SHEET도장재검토"/>
      <sheetName val="TNK12"/>
      <sheetName val="사업추진 조직도"/>
      <sheetName val="선택항목"/>
      <sheetName val="계정과목 (2)"/>
      <sheetName val="계정과목"/>
      <sheetName val="EQ_E1"/>
      <sheetName val="환율"/>
      <sheetName val="산출근거#2-3"/>
      <sheetName val="#3E1_GCR"/>
      <sheetName val="cp-e1"/>
      <sheetName val="일보"/>
      <sheetName val="rate"/>
      <sheetName val="CONTROL LIST"/>
      <sheetName val="Detail Breakdown Work"/>
      <sheetName val="Labor"/>
      <sheetName val="kode rekening"/>
      <sheetName val="name"/>
      <sheetName val="NAMES"/>
      <sheetName val="SUM_Steel-Strc"/>
      <sheetName val="COST-SUM"/>
      <sheetName val="산3_4"/>
      <sheetName val="환율change"/>
      <sheetName val="Form 0"/>
      <sheetName val="Weather"/>
      <sheetName val="assy"/>
      <sheetName val="일위대가표"/>
      <sheetName val="Backup"/>
      <sheetName val="ITB COST"/>
      <sheetName val="Summary Sheets"/>
      <sheetName val="배수내역"/>
      <sheetName val="자재단가"/>
      <sheetName val="NYS"/>
      <sheetName val="10현장조직"/>
      <sheetName val="기계공사비집계(원안)"/>
      <sheetName val="기계내역서"/>
      <sheetName val="공사설계서"/>
      <sheetName val="소일위대가코드표"/>
      <sheetName val="실행(1)"/>
      <sheetName val="out_prog"/>
      <sheetName val="선적schedule (2)"/>
      <sheetName val="9509"/>
      <sheetName val="SORCE1"/>
      <sheetName val="내역(전)"/>
      <sheetName val="Proj Cost Sumry"/>
      <sheetName val="일반공사"/>
      <sheetName val="표지"/>
      <sheetName val="DTmpData"/>
      <sheetName val="건장설비"/>
      <sheetName val="ORIGINAL"/>
      <sheetName val="직재"/>
      <sheetName val="IBASE"/>
      <sheetName val="laroux"/>
      <sheetName val="자재집계"/>
      <sheetName val="N賃率-職"/>
      <sheetName val="실행내역서 "/>
      <sheetName val="판가반영"/>
      <sheetName val="FR"/>
      <sheetName val="??"/>
      <sheetName val="항목"/>
      <sheetName val="Calculation"/>
      <sheetName val="OD5000"/>
      <sheetName val="SUPTMTO"/>
      <sheetName val="손익분석"/>
      <sheetName val="투찰(하수)"/>
      <sheetName val="장비당단가 (1)"/>
      <sheetName val="현장투입(원장)"/>
      <sheetName val="품산출서"/>
      <sheetName val="__"/>
      <sheetName val="원료구매"/>
      <sheetName val="DATA LISTS"/>
      <sheetName val="Sheet"/>
      <sheetName val="Sheet5"/>
      <sheetName val="환산표"/>
      <sheetName val="LAB"/>
      <sheetName val="Setup"/>
      <sheetName val="품의서"/>
      <sheetName val="P3"/>
      <sheetName val="WIP"/>
      <sheetName val="ITB_COST"/>
      <sheetName val="Summary_Sheets"/>
      <sheetName val="15_문제점"/>
      <sheetName val="DB_ET200(R__A)"/>
      <sheetName val="RING_WALL"/>
      <sheetName val="간접인원_급료산출"/>
      <sheetName val="Eq__Mobilization"/>
      <sheetName val="입찰내역_발주처_양식"/>
      <sheetName val="FIRE"/>
      <sheetName val="견적집계표"/>
      <sheetName val="계열사현황종합"/>
      <sheetName val="TAREC"/>
      <sheetName val="기준정보"/>
      <sheetName val="L형옹벽(key)"/>
      <sheetName val="밸브설치"/>
      <sheetName val="2공구산출내역"/>
      <sheetName val="노임단가"/>
      <sheetName val="토공정보"/>
      <sheetName val="두앙"/>
      <sheetName val="의왕F사"/>
      <sheetName val="가공사"/>
      <sheetName val="기안지"/>
      <sheetName val="cable-data"/>
      <sheetName val="골조시행"/>
      <sheetName val="매출"/>
      <sheetName val="10.25"/>
      <sheetName val="VL"/>
      <sheetName val="연환"/>
      <sheetName val="수주이월"/>
      <sheetName val="sheeet2"/>
      <sheetName val="Settings"/>
      <sheetName val="Equip Rental Summary by Contr"/>
      <sheetName val="Project Equip Rental Summary"/>
      <sheetName val="Contractor Indirect Sumry"/>
      <sheetName val="Project Indirect Sumry"/>
      <sheetName val="TDC COA Grp Sumry by Area"/>
      <sheetName val="TDC COA Grp Sumry by RG"/>
      <sheetName val="Equipment Sumry"/>
      <sheetName val="TDC Item Sumry by Area"/>
      <sheetName val="TDC Item Sumry by RG"/>
      <sheetName val="TDC Key Qty Sumry by RG"/>
      <sheetName val="List - Equipment by Area"/>
      <sheetName val="List - Equipment by Contr"/>
      <sheetName val="Equipment - Unit Costs by Mat"/>
      <sheetName val="List - Equipment by Rep Grp"/>
      <sheetName val="Craft Summary by Contr"/>
      <sheetName val="Project Craft Summary"/>
      <sheetName val="ALL AREA-12LE0U"/>
      <sheetName val="ELECTRIC"/>
      <sheetName val="CTEMCOST"/>
      <sheetName val="SCHEDULE"/>
      <sheetName val="상품원가피벗"/>
      <sheetName val="길이환산"/>
      <sheetName val="hitlin(pipe)CUI"/>
      <sheetName val="Confidencial "/>
      <sheetName val="COEFF"/>
      <sheetName val="Calculos Emerson"/>
      <sheetName val="1515"/>
      <sheetName val="INVOICE"/>
      <sheetName val="Others"/>
      <sheetName val="Process Piping"/>
      <sheetName val="기술부 VENDOR LIST"/>
      <sheetName val="평균환율-USD"/>
      <sheetName val="7.3 Table"/>
      <sheetName val="7.2 Material"/>
      <sheetName val="Testing"/>
      <sheetName val="산출"/>
      <sheetName val="PRICE-COMP"/>
      <sheetName val="Cover sheet"/>
      <sheetName val="Cashflow Analysis"/>
      <sheetName val="E1"/>
      <sheetName val="ALL UNITS"/>
      <sheetName val="EQUIPMENT ERECTION BREAKDOWN"/>
      <sheetName val="Breakdown-1"/>
      <sheetName val="Add"/>
      <sheetName val="Table"/>
      <sheetName val="RPP 12 SEPT"/>
      <sheetName val="石炭性状"/>
      <sheetName val="L.INDIRECT (rev.1)"/>
      <sheetName val="교각계산"/>
      <sheetName val="bm_(2)2"/>
      <sheetName val="Junction_Box2"/>
      <sheetName val="JB_Final_checked2"/>
      <sheetName val="F&amp;G_System2"/>
      <sheetName val="F&amp;G_System_(Detail)2"/>
      <sheetName val="_배관자재비-SKEC구매분2"/>
      <sheetName val="Int__Pr_-Shell1"/>
      <sheetName val="Ext__Pr_-Shell1"/>
      <sheetName val="Int__Pr_-D'End1"/>
      <sheetName val="Ext__Pr_-D'End1"/>
      <sheetName val="Reinforcement_Pad1"/>
      <sheetName val="Onerous_Terms1"/>
      <sheetName val="할증_1"/>
      <sheetName val="공사비_내역_(가)1"/>
      <sheetName val="조도계산서_(도서)1"/>
      <sheetName val="INVOICE_CERT_EIV'S1"/>
      <sheetName val="General_Data1"/>
      <sheetName val="COST_SUMMARY1"/>
      <sheetName val="extensions_lookup1"/>
      <sheetName val="3__Piping1"/>
      <sheetName val="자격_땡겨오기1"/>
      <sheetName val="4300_UTILITY_BLDG_(2)1"/>
      <sheetName val="공정율_기초_Data1"/>
      <sheetName val="Rate_Analysis1"/>
      <sheetName val="광통신_견적내역서11"/>
      <sheetName val="산#2-1_(2)1"/>
      <sheetName val="API_Units1"/>
      <sheetName val="TDC_COA_Sumry1"/>
      <sheetName val="COA_Sumry_by_Area1"/>
      <sheetName val="COA_Sumry_by_Contr1"/>
      <sheetName val="COA_Sumry_by_RG1"/>
      <sheetName val="TDC_COA_Grp_Sumry1"/>
      <sheetName val="TDC_Item_Dets-Full1"/>
      <sheetName val="TDC_Item_Dets-IPM-Full1"/>
      <sheetName val="TDC_Item_Dets1"/>
      <sheetName val="TDC_Item_Sumry1"/>
      <sheetName val="TDC_Key_Qty_Sumry1"/>
      <sheetName val="List_-_Components1"/>
      <sheetName val="List_-_Equipment1"/>
      <sheetName val="Project_Metrics1"/>
      <sheetName val="COA_Sumry_-_Std_Imp1"/>
      <sheetName val="Contr_TDC_-_Std_Imp1"/>
      <sheetName val="Item_Sumry_-_Std_Imp1"/>
      <sheetName val="Proj_TIC_-_Std_Imp1"/>
      <sheetName val="Unit_Costs_-_Std_Imp1"/>
      <sheetName val="Unit_MH_-_Std_Imp1"/>
      <sheetName val="Sch_11"/>
      <sheetName val="Coversheet_1"/>
      <sheetName val="1__Stationary1"/>
      <sheetName val="COS_REP_XLS1"/>
      <sheetName val="계측_내역서1"/>
      <sheetName val="BSD_(2)1"/>
      <sheetName val="Requirement(Work_Crew)1"/>
      <sheetName val="iig_silica(캐나다)1"/>
      <sheetName val="변수_정의1"/>
      <sheetName val="SPT_vs_PHI1"/>
      <sheetName val="_갑지1"/>
      <sheetName val="DB_ET200(R__A)1"/>
      <sheetName val="RING_WALL1"/>
      <sheetName val="간접인원_급료산출1"/>
      <sheetName val="15_문제점1"/>
      <sheetName val="Eq__Mobilization1"/>
      <sheetName val="입찰내역_발주처_양식1"/>
      <sheetName val="kode_rekening"/>
      <sheetName val="Detail_Breakdown_Work"/>
      <sheetName val="Final_Summary"/>
      <sheetName val="TYPE-B_평균H"/>
      <sheetName val="설산1_나"/>
      <sheetName val="WEIGHT_LIST"/>
      <sheetName val="ITB_COST1"/>
      <sheetName val="Summary_Sheets1"/>
      <sheetName val="Form_0"/>
      <sheetName val="BEND_LOSS"/>
      <sheetName val="Units_Def'n"/>
      <sheetName val="Piping_Design_Data1"/>
      <sheetName val="방배동내역_(총괄)"/>
      <sheetName val="계정과목_(2)"/>
      <sheetName val="선적schedule_(2)"/>
      <sheetName val="Proj_Cost_Sumry"/>
      <sheetName val="w't_table"/>
      <sheetName val="임율_Data"/>
      <sheetName val="HANJUNG_EQUIPMENT"/>
      <sheetName val="SPARE_PART"/>
      <sheetName val="97_사업추정(WEKI)"/>
      <sheetName val="2__집계표"/>
      <sheetName val="CF_Rev_0"/>
      <sheetName val="사업추진_조직도"/>
      <sheetName val="CONTROL_LIST"/>
      <sheetName val="실행내역서_"/>
      <sheetName val="Cover_sheet"/>
      <sheetName val="Cashflow_Analysis"/>
      <sheetName val="ALL_UNITS"/>
      <sheetName val="Equip_Rental_Summary_by_Contr"/>
      <sheetName val="Project_Equip_Rental_Summary"/>
      <sheetName val="Contractor_Indirect_Sumry"/>
      <sheetName val="Project_Indirect_Sumry"/>
      <sheetName val="TDC_COA_Grp_Sumry_by_Area"/>
      <sheetName val="TDC_COA_Grp_Sumry_by_RG"/>
      <sheetName val="Equipment_Sumry"/>
      <sheetName val="TDC_Item_Sumry_by_Area"/>
      <sheetName val="TDC_Item_Sumry_by_RG"/>
      <sheetName val="TDC_Key_Qty_Sumry_by_RG"/>
      <sheetName val="List_-_Equipment_by_Area"/>
      <sheetName val="List_-_Equipment_by_Contr"/>
      <sheetName val="Equipment_-_Unit_Costs_by_Mat"/>
      <sheetName val="List_-_Equipment_by_Rep_Grp"/>
      <sheetName val="Craft_Summary_by_Contr"/>
      <sheetName val="Project_Craft_Summary"/>
      <sheetName val="ALL_AREA-12LE0U"/>
      <sheetName val="Confidencial_"/>
      <sheetName val="Calculos_Emerson"/>
      <sheetName val="Process_Piping"/>
      <sheetName val="EQUIPMENT_ERECTION_BREAKDOWN"/>
      <sheetName val="방배2E"/>
      <sheetName val="시행예산"/>
      <sheetName val="예정(3)"/>
      <sheetName val="장비투입계획 "/>
      <sheetName val="(현장)경비"/>
      <sheetName val="RFP002"/>
      <sheetName val="RFP003E"/>
      <sheetName val="costing_Press"/>
      <sheetName val="DATA for Bill"/>
      <sheetName val="BQLIST"/>
      <sheetName val="sum1 (2)"/>
      <sheetName val="토목주소"/>
      <sheetName val="프랜트면허"/>
      <sheetName val="조명시설"/>
      <sheetName val="1호맨홀가감수량"/>
      <sheetName val="가시설(TYPE-A)"/>
      <sheetName val="1-1평균터파기고(1)"/>
      <sheetName val="1호맨홀수량산출"/>
      <sheetName val="데이타"/>
      <sheetName val="식재인부"/>
      <sheetName val="MEXICO-C"/>
      <sheetName val=" ｹ-ﾌﾞﾙ"/>
      <sheetName val="1단계"/>
      <sheetName val="장비당단가_(1)"/>
      <sheetName val="_ｹ-ﾌﾞﾙ"/>
      <sheetName val="안정계산"/>
      <sheetName val="단면검토"/>
      <sheetName val="Accounting book"/>
      <sheetName val="Code"/>
      <sheetName val="Sheet13"/>
      <sheetName val="단가조사"/>
      <sheetName val="Foglio dati"/>
      <sheetName val="전압하강"/>
      <sheetName val="dV&amp;Cl"/>
      <sheetName val="CAP"/>
      <sheetName val="변수"/>
      <sheetName val="R"/>
      <sheetName val="F-T Voltage"/>
      <sheetName val="SUMMARY (0)"/>
      <sheetName val="KNA1"/>
      <sheetName val="WORKER"/>
      <sheetName val="1공구(을)"/>
      <sheetName val="날개벽수량표"/>
      <sheetName val="Data sheet"/>
      <sheetName val="Per Unit"/>
      <sheetName val="pri-com"/>
      <sheetName val="요율산출"/>
      <sheetName val="공사비내역서"/>
      <sheetName val="COLUMN"/>
      <sheetName val="steam table"/>
      <sheetName val="수정단중"/>
      <sheetName val="노임이"/>
      <sheetName val="BOJUNGGM"/>
      <sheetName val="코드관리"/>
      <sheetName val="CABLE BULK"/>
      <sheetName val="2호맨홀공제수량"/>
      <sheetName val="공사비_NDE"/>
      <sheetName val="터파기및재료"/>
      <sheetName val="모래기초"/>
      <sheetName val="자료입력"/>
      <sheetName val="2000년1차"/>
      <sheetName val="정산서"/>
      <sheetName val="보호"/>
      <sheetName val="현황CODE"/>
      <sheetName val="손익현황"/>
      <sheetName val="간접비 총괄표"/>
      <sheetName val="산출내역서"/>
      <sheetName val="현장인원"/>
      <sheetName val="단가집"/>
      <sheetName val="HRSG PRINT"/>
      <sheetName val="SAN"/>
      <sheetName val="B31.1"/>
      <sheetName val="견적서을"/>
      <sheetName val="FWBS7000,8000"/>
      <sheetName val="ANALYSER"/>
      <sheetName val="역T형교대(PILE기초)"/>
      <sheetName val="앉음벽 (2)"/>
      <sheetName val="인원계획"/>
      <sheetName val="가동비율"/>
      <sheetName val="Inputs"/>
      <sheetName val="BD"/>
      <sheetName val="H"/>
      <sheetName val="PRECAST lightconc-II"/>
      <sheetName val="Code 02"/>
      <sheetName val="Code 03"/>
      <sheetName val="Code 04"/>
      <sheetName val="Code 05"/>
      <sheetName val="Code 06"/>
      <sheetName val="Code 07"/>
      <sheetName val="Code 09"/>
      <sheetName val="h-013211-2"/>
      <sheetName val="mto-rev0B"/>
      <sheetName val="M-480"/>
      <sheetName val="M-519"/>
      <sheetName val="Abstract of Cost"/>
      <sheetName val="estimate"/>
      <sheetName val="B.O.Q (2)"/>
      <sheetName val="Ext.Boq-1 (2)"/>
      <sheetName val="J"/>
      <sheetName val="L"/>
      <sheetName val="SUMM"/>
      <sheetName val="Equiv.Length"/>
      <sheetName val="공사비SUM"/>
      <sheetName val="SIZING"/>
      <sheetName val="合成単価作成表-BLDG"/>
      <sheetName val="Ext.Boq-1"/>
      <sheetName val="제출계산서"/>
      <sheetName val="RA"/>
      <sheetName val="List"/>
      <sheetName val="NDE_Description"/>
      <sheetName val="CondPol"/>
      <sheetName val="5-Digit"/>
      <sheetName val="Rates"/>
      <sheetName val="B.O.Q &amp; Material"/>
      <sheetName val="SILICATE"/>
      <sheetName val="Summary"/>
      <sheetName val="MixBed"/>
      <sheetName val="KLHT"/>
      <sheetName val="TITLES"/>
      <sheetName val="상반기손익차2총괄"/>
      <sheetName val="본지점중"/>
      <sheetName val="2.2 STAFF Scedule"/>
      <sheetName val="2_2_STAFF_Scedule"/>
      <sheetName val="Activity Form"/>
      <sheetName val="#¡REF"/>
      <sheetName val="Segment"/>
      <sheetName val="HP"/>
      <sheetName val="배수공"/>
      <sheetName val="TYPE-B_평균H1"/>
      <sheetName val="Units_Def'n1"/>
      <sheetName val="bm_(2)3"/>
      <sheetName val="Junction_Box3"/>
      <sheetName val="JB_Final_checked3"/>
      <sheetName val="F&amp;G_System3"/>
      <sheetName val="F&amp;G_System_(Detail)3"/>
      <sheetName val="_배관자재비-SKEC구매분3"/>
      <sheetName val="자격_땡겨오기2"/>
      <sheetName val="Int__Pr_-Shell2"/>
      <sheetName val="Ext__Pr_-Shell2"/>
      <sheetName val="Int__Pr_-D'End2"/>
      <sheetName val="Ext__Pr_-D'End2"/>
      <sheetName val="Reinforcement_Pad2"/>
      <sheetName val="4300_UTILITY_BLDG_(2)2"/>
      <sheetName val="할증_2"/>
      <sheetName val="공사비_내역_(가)2"/>
      <sheetName val="General_Data2"/>
      <sheetName val="공정율_기초_Data2"/>
      <sheetName val="조도계산서_(도서)2"/>
      <sheetName val="TDC_COA_Sumry2"/>
      <sheetName val="COA_Sumry_by_Area2"/>
      <sheetName val="COA_Sumry_by_Contr2"/>
      <sheetName val="COA_Sumry_by_RG2"/>
      <sheetName val="TDC_COA_Grp_Sumry2"/>
      <sheetName val="TDC_Item_Dets-Full2"/>
      <sheetName val="TDC_Item_Dets-IPM-Full2"/>
      <sheetName val="TDC_Item_Dets2"/>
      <sheetName val="TDC_Item_Sumry2"/>
      <sheetName val="TDC_Key_Qty_Sumry2"/>
      <sheetName val="List_-_Components2"/>
      <sheetName val="List_-_Equipment2"/>
      <sheetName val="Project_Metrics2"/>
      <sheetName val="COA_Sumry_-_Std_Imp2"/>
      <sheetName val="Contr_TDC_-_Std_Imp2"/>
      <sheetName val="Item_Sumry_-_Std_Imp2"/>
      <sheetName val="Proj_TIC_-_Std_Imp2"/>
      <sheetName val="Unit_Costs_-_Std_Imp2"/>
      <sheetName val="Unit_MH_-_Std_Imp2"/>
      <sheetName val="광통신_견적내역서12"/>
      <sheetName val="Requirement(Work_Crew)2"/>
      <sheetName val="SPT_vs_PHI2"/>
      <sheetName val="INVOICE_CERT_EIV'S2"/>
      <sheetName val="Onerous_Terms2"/>
      <sheetName val="extensions_lookup2"/>
      <sheetName val="3__Piping2"/>
      <sheetName val="1__Stationary2"/>
      <sheetName val="COST_SUMMARY2"/>
      <sheetName val="산#2-1_(2)2"/>
      <sheetName val="API_Units2"/>
      <sheetName val="Sch_12"/>
      <sheetName val="Coversheet_2"/>
      <sheetName val="COS_REP_XLS2"/>
      <sheetName val="계측_내역서2"/>
      <sheetName val="iig_silica(캐나다)2"/>
      <sheetName val="변수_정의2"/>
      <sheetName val="BSD_(2)2"/>
      <sheetName val="TYPE-B_평균H2"/>
      <sheetName val="Eq__Mobilization2"/>
      <sheetName val="RING_WALL2"/>
      <sheetName val="설산1_나1"/>
      <sheetName val="Units_Def'n2"/>
      <sheetName val="WEIGHT_LIST1"/>
      <sheetName val="Final_Summary1"/>
      <sheetName val="Rate_Analysis2"/>
      <sheetName val="BEND_LOSS1"/>
      <sheetName val="방배동내역_(총괄)1"/>
      <sheetName val="_갑지2"/>
      <sheetName val="Piping_Design_Data2"/>
      <sheetName val="CONTROL_LIST1"/>
      <sheetName val="w't_table1"/>
      <sheetName val="임율_Data1"/>
      <sheetName val="HANJUNG_EQUIPMENT1"/>
      <sheetName val="SPARE_PART1"/>
      <sheetName val="97_사업추정(WEKI)1"/>
      <sheetName val="2__집계표1"/>
      <sheetName val="CF_Rev_01"/>
      <sheetName val="사업추진_조직도1"/>
      <sheetName val="계정과목_(2)1"/>
      <sheetName val="선적schedule_(2)1"/>
      <sheetName val="kode_rekening1"/>
      <sheetName val="Proj_Cost_Sumry1"/>
      <sheetName val="Form_01"/>
      <sheetName val="Detail_Breakdown_Work1"/>
      <sheetName val="bm_(2)4"/>
      <sheetName val="Junction_Box4"/>
      <sheetName val="JB_Final_checked4"/>
      <sheetName val="F&amp;G_System4"/>
      <sheetName val="F&amp;G_System_(Detail)4"/>
      <sheetName val="_배관자재비-SKEC구매분4"/>
      <sheetName val="자격_땡겨오기3"/>
      <sheetName val="Int__Pr_-Shell3"/>
      <sheetName val="Ext__Pr_-Shell3"/>
      <sheetName val="Int__Pr_-D'End3"/>
      <sheetName val="Ext__Pr_-D'End3"/>
      <sheetName val="Reinforcement_Pad3"/>
      <sheetName val="4300_UTILITY_BLDG_(2)3"/>
      <sheetName val="할증_3"/>
      <sheetName val="공사비_내역_(가)3"/>
      <sheetName val="General_Data3"/>
      <sheetName val="공정율_기초_Data3"/>
      <sheetName val="조도계산서_(도서)3"/>
      <sheetName val="TDC_COA_Sumry3"/>
      <sheetName val="COA_Sumry_by_Area3"/>
      <sheetName val="COA_Sumry_by_Contr3"/>
      <sheetName val="COA_Sumry_by_RG3"/>
      <sheetName val="TDC_COA_Grp_Sumry3"/>
      <sheetName val="TDC_Item_Dets-Full3"/>
      <sheetName val="TDC_Item_Dets-IPM-Full3"/>
      <sheetName val="TDC_Item_Dets3"/>
      <sheetName val="TDC_Item_Sumry3"/>
      <sheetName val="TDC_Key_Qty_Sumry3"/>
      <sheetName val="List_-_Components3"/>
      <sheetName val="List_-_Equipment3"/>
      <sheetName val="Project_Metrics3"/>
      <sheetName val="COA_Sumry_-_Std_Imp3"/>
      <sheetName val="Contr_TDC_-_Std_Imp3"/>
      <sheetName val="Item_Sumry_-_Std_Imp3"/>
      <sheetName val="Proj_TIC_-_Std_Imp3"/>
      <sheetName val="Unit_Costs_-_Std_Imp3"/>
      <sheetName val="Unit_MH_-_Std_Imp3"/>
      <sheetName val="광통신_견적내역서13"/>
      <sheetName val="Requirement(Work_Crew)3"/>
      <sheetName val="SPT_vs_PHI3"/>
      <sheetName val="INVOICE_CERT_EIV'S3"/>
      <sheetName val="Onerous_Terms3"/>
      <sheetName val="extensions_lookup3"/>
      <sheetName val="3__Piping3"/>
      <sheetName val="1__Stationary3"/>
      <sheetName val="COST_SUMMARY3"/>
      <sheetName val="산#2-1_(2)3"/>
      <sheetName val="API_Units3"/>
      <sheetName val="Sch_13"/>
      <sheetName val="Coversheet_3"/>
      <sheetName val="COS_REP_XLS3"/>
      <sheetName val="계측_내역서3"/>
      <sheetName val="iig_silica(캐나다)3"/>
      <sheetName val="변수_정의3"/>
      <sheetName val="BSD_(2)3"/>
      <sheetName val="TYPE-B_평균H3"/>
      <sheetName val="Eq__Mobilization3"/>
      <sheetName val="RING_WALL3"/>
      <sheetName val="설산1_나2"/>
      <sheetName val="Units_Def'n3"/>
      <sheetName val="WEIGHT_LIST2"/>
      <sheetName val="DB_ET200(R__A)2"/>
      <sheetName val="Final_Summary2"/>
      <sheetName val="간접인원_급료산출2"/>
      <sheetName val="입찰내역_발주처_양식2"/>
      <sheetName val="15_문제점2"/>
      <sheetName val="Rate_Analysis3"/>
      <sheetName val="BEND_LOSS2"/>
      <sheetName val="방배동내역_(총괄)2"/>
      <sheetName val="_갑지3"/>
      <sheetName val="Piping_Design_Data3"/>
      <sheetName val="CONTROL_LIST2"/>
      <sheetName val="w't_table2"/>
      <sheetName val="임율_Data2"/>
      <sheetName val="HANJUNG_EQUIPMENT2"/>
      <sheetName val="SPARE_PART2"/>
      <sheetName val="97_사업추정(WEKI)2"/>
      <sheetName val="2__집계표2"/>
      <sheetName val="CF_Rev_02"/>
      <sheetName val="사업추진_조직도2"/>
      <sheetName val="계정과목_(2)2"/>
      <sheetName val="선적schedule_(2)2"/>
      <sheetName val="kode_rekening2"/>
      <sheetName val="Proj_Cost_Sumry2"/>
      <sheetName val="Form_02"/>
      <sheetName val="Detail_Breakdown_Work2"/>
      <sheetName val="bm_(2)5"/>
      <sheetName val="Junction_Box5"/>
      <sheetName val="JB_Final_checked5"/>
      <sheetName val="F&amp;G_System5"/>
      <sheetName val="F&amp;G_System_(Detail)5"/>
      <sheetName val="_배관자재비-SKEC구매분5"/>
      <sheetName val="자격_땡겨오기4"/>
      <sheetName val="Int__Pr_-Shell4"/>
      <sheetName val="Ext__Pr_-Shell4"/>
      <sheetName val="Int__Pr_-D'End4"/>
      <sheetName val="Ext__Pr_-D'End4"/>
      <sheetName val="Reinforcement_Pad4"/>
      <sheetName val="4300_UTILITY_BLDG_(2)4"/>
      <sheetName val="할증_4"/>
      <sheetName val="공사비_내역_(가)4"/>
      <sheetName val="General_Data4"/>
      <sheetName val="공정율_기초_Data4"/>
      <sheetName val="조도계산서_(도서)4"/>
      <sheetName val="TDC_COA_Sumry4"/>
      <sheetName val="COA_Sumry_by_Area4"/>
      <sheetName val="COA_Sumry_by_Contr4"/>
      <sheetName val="COA_Sumry_by_RG4"/>
      <sheetName val="TDC_COA_Grp_Sumry4"/>
      <sheetName val="TDC_Item_Dets-Full4"/>
      <sheetName val="TDC_Item_Dets-IPM-Full4"/>
      <sheetName val="TDC_Item_Dets4"/>
      <sheetName val="TDC_Item_Sumry4"/>
      <sheetName val="TDC_Key_Qty_Sumry4"/>
      <sheetName val="List_-_Components4"/>
      <sheetName val="List_-_Equipment4"/>
      <sheetName val="Project_Metrics4"/>
      <sheetName val="COA_Sumry_-_Std_Imp4"/>
      <sheetName val="Contr_TDC_-_Std_Imp4"/>
      <sheetName val="Item_Sumry_-_Std_Imp4"/>
      <sheetName val="Proj_TIC_-_Std_Imp4"/>
      <sheetName val="Unit_Costs_-_Std_Imp4"/>
      <sheetName val="Unit_MH_-_Std_Imp4"/>
      <sheetName val="광통신_견적내역서14"/>
      <sheetName val="Requirement(Work_Crew)4"/>
      <sheetName val="SPT_vs_PHI4"/>
      <sheetName val="INVOICE_CERT_EIV'S4"/>
      <sheetName val="Onerous_Terms4"/>
      <sheetName val="extensions_lookup4"/>
      <sheetName val="3__Piping4"/>
      <sheetName val="1__Stationary4"/>
      <sheetName val="COST_SUMMARY4"/>
      <sheetName val="산#2-1_(2)4"/>
      <sheetName val="API_Units4"/>
      <sheetName val="Sch_14"/>
      <sheetName val="Coversheet_4"/>
      <sheetName val="COS_REP_XLS4"/>
      <sheetName val="계측_내역서4"/>
      <sheetName val="iig_silica(캐나다)4"/>
      <sheetName val="변수_정의4"/>
      <sheetName val="BSD_(2)4"/>
      <sheetName val="TYPE-B_평균H4"/>
      <sheetName val="Eq__Mobilization4"/>
      <sheetName val="RING_WALL4"/>
      <sheetName val="CONTROL_LIST3"/>
      <sheetName val="설산1_나3"/>
      <sheetName val="WEIGHT_LIST3"/>
      <sheetName val="DB_ET200(R__A)3"/>
      <sheetName val="Final_Summary3"/>
      <sheetName val="간접인원_급료산출3"/>
      <sheetName val="입찰내역_발주처_양식3"/>
      <sheetName val="15_문제점3"/>
      <sheetName val="방배동내역_(총괄)3"/>
      <sheetName val="Units_Def'n4"/>
      <sheetName val="Rate_Analysis4"/>
      <sheetName val="BEND_LOSS3"/>
      <sheetName val="_갑지4"/>
      <sheetName val="Piping_Design_Data4"/>
      <sheetName val="w't_table3"/>
      <sheetName val="임율_Data3"/>
      <sheetName val="HANJUNG_EQUIPMENT3"/>
      <sheetName val="SPARE_PART3"/>
      <sheetName val="97_사업추정(WEKI)3"/>
      <sheetName val="2__집계표3"/>
      <sheetName val="CF_Rev_03"/>
      <sheetName val="사업추진_조직도3"/>
      <sheetName val="계정과목_(2)3"/>
      <sheetName val="선적schedule_(2)3"/>
      <sheetName val="kode_rekening3"/>
      <sheetName val="Proj_Cost_Sumry3"/>
      <sheetName val="Form_03"/>
      <sheetName val="Detail_Breakdown_Work3"/>
      <sheetName val="6PILE  (돌출)"/>
      <sheetName val="금융비용"/>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sheetData sheetId="9"/>
      <sheetData sheetId="10"/>
      <sheetData sheetId="11"/>
      <sheetData sheetId="12"/>
      <sheetData sheetId="13"/>
      <sheetData sheetId="14"/>
      <sheetData sheetId="15"/>
      <sheetData sheetId="16"/>
      <sheetData sheetId="17"/>
      <sheetData sheetId="18"/>
      <sheetData sheetId="19"/>
      <sheetData sheetId="20" refreshError="1"/>
      <sheetData sheetId="21" refreshError="1"/>
      <sheetData sheetId="22" refreshError="1"/>
      <sheetData sheetId="23" refreshError="1"/>
      <sheetData sheetId="24" refreshError="1"/>
      <sheetData sheetId="25"/>
      <sheetData sheetId="26" refreshError="1"/>
      <sheetData sheetId="27" refreshError="1"/>
      <sheetData sheetId="28"/>
      <sheetData sheetId="29"/>
      <sheetData sheetId="30"/>
      <sheetData sheetId="31"/>
      <sheetData sheetId="32"/>
      <sheetData sheetId="33"/>
      <sheetData sheetId="34"/>
      <sheetData sheetId="35"/>
      <sheetData sheetId="36"/>
      <sheetData sheetId="37" refreshError="1"/>
      <sheetData sheetId="38" refreshError="1"/>
      <sheetData sheetId="39" refreshError="1"/>
      <sheetData sheetId="40" refreshError="1"/>
      <sheetData sheetId="41" refreshError="1"/>
      <sheetData sheetId="42" refreshError="1"/>
      <sheetData sheetId="43"/>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sheetData sheetId="407"/>
      <sheetData sheetId="408"/>
      <sheetData sheetId="409"/>
      <sheetData sheetId="410"/>
      <sheetData sheetId="411"/>
      <sheetData sheetId="412"/>
      <sheetData sheetId="413"/>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sheetData sheetId="478" refreshError="1"/>
      <sheetData sheetId="479" refreshError="1"/>
      <sheetData sheetId="480" refreshError="1"/>
      <sheetData sheetId="481" refreshError="1"/>
      <sheetData sheetId="482" refreshError="1"/>
      <sheetData sheetId="483"/>
      <sheetData sheetId="484" refreshError="1"/>
      <sheetData sheetId="485" refreshError="1"/>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sheetData sheetId="623"/>
      <sheetData sheetId="624" refreshError="1"/>
      <sheetData sheetId="625" refreshError="1"/>
      <sheetData sheetId="626"/>
      <sheetData sheetId="627"/>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sheetData sheetId="722" refreshError="1"/>
      <sheetData sheetId="723" refreshError="1"/>
      <sheetData sheetId="724" refreshError="1"/>
      <sheetData sheetId="725" refreshError="1"/>
      <sheetData sheetId="726" refreshError="1"/>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refreshError="1"/>
      <sheetData sheetId="984"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IETip"/>
      <sheetName val="환율표"/>
      <sheetName val="#REF"/>
      <sheetName val="B"/>
      <sheetName val="TOEC"/>
      <sheetName val="Look-Up"/>
      <sheetName val="A CONDITIONS"/>
      <sheetName val="수입"/>
      <sheetName val="BW"/>
      <sheetName val="DATA"/>
      <sheetName val="수량산출서"/>
      <sheetName val="산근"/>
      <sheetName val="INSTR"/>
      <sheetName val="1_OF_7"/>
      <sheetName val="7_6_3(B)_UG_Piping"/>
      <sheetName val="다이꾸"/>
      <sheetName val="VLOOKUP"/>
      <sheetName val="ANX3A11"/>
      <sheetName val="B31_1"/>
      <sheetName val="VA_code"/>
      <sheetName val="LEGEND"/>
      <sheetName val="Summary_Sheets"/>
      <sheetName val="guard(mac)"/>
      <sheetName val="VV보온LINK"/>
      <sheetName val="Dsndata"/>
      <sheetName val="PBS"/>
      <sheetName val="General_Data"/>
      <sheetName val="costing_CV"/>
      <sheetName val="ITB_COST"/>
      <sheetName val="CT_Thang_Mo"/>
      <sheetName val="Chiet_tinh_dz35"/>
      <sheetName val="eq_data"/>
      <sheetName val="Preface"/>
      <sheetName val="dnc4"/>
      <sheetName val="plan&amp;section_of_foundation"/>
      <sheetName val="FIT보온LINK"/>
      <sheetName val="costing_ESDV"/>
      <sheetName val="PumpSpec"/>
      <sheetName val="cal-foamglass"/>
      <sheetName val="Sum"/>
      <sheetName val="design_criteria"/>
      <sheetName val="TYPE-A"/>
      <sheetName val="dg-VTu"/>
      <sheetName val="도급양식"/>
      <sheetName val="fitting"/>
      <sheetName val="단면가정"/>
      <sheetName val="Base_Data"/>
      <sheetName val="SORTING"/>
      <sheetName val="COVER"/>
      <sheetName val="정부노임단가"/>
      <sheetName val="steam_table"/>
      <sheetName val="costing_Misc"/>
      <sheetName val="h-013211-2"/>
      <sheetName val="Graph_(LGEN)"/>
      <sheetName val="costing_MOV"/>
      <sheetName val="DATE"/>
      <sheetName val="out_prog"/>
      <sheetName val="SKETCH"/>
      <sheetName val="laroux"/>
      <sheetName val="단면검토"/>
      <sheetName val="TYPE-B_평균H"/>
      <sheetName val="PipWT"/>
      <sheetName val="PSIZE"/>
      <sheetName val="IBASE"/>
      <sheetName val="costing_Press"/>
      <sheetName val="DESIGN"/>
      <sheetName val="REDUCER"/>
      <sheetName val="Final(1)summary"/>
      <sheetName val="hori__vessel(E-895)"/>
      <sheetName val="WIND"/>
      <sheetName val="선적schedule_(2)"/>
      <sheetName val="설계조건"/>
      <sheetName val="DI-ESTI"/>
      <sheetName val="부재력정리"/>
      <sheetName val="Cal"/>
      <sheetName val="배관물량_(STEEL)"/>
      <sheetName val="steel_data_sheet"/>
      <sheetName val="StrucData"/>
      <sheetName val="TL_rieng"/>
      <sheetName val="공정계획(내부계획25%,내부w_f)"/>
      <sheetName val="CondPol"/>
      <sheetName val="CT__PL"/>
      <sheetName val="ASCEandUBC"/>
      <sheetName val="세금자료"/>
      <sheetName val="노임단가"/>
      <sheetName val="공사비_NDE"/>
      <sheetName val="공사계획서"/>
      <sheetName val="현장관리비"/>
      <sheetName val="Source"/>
      <sheetName val="실행내역"/>
      <sheetName val="_갑지1"/>
      <sheetName val="효율표"/>
      <sheetName val="SHL"/>
      <sheetName val="품셈표"/>
      <sheetName val="COVER-P"/>
      <sheetName val="CBE-VSL"/>
      <sheetName val="A_CONDITIONS"/>
      <sheetName val="BQ List"/>
      <sheetName val="CHART"/>
      <sheetName val="MOTOR"/>
      <sheetName val="General Data"/>
      <sheetName val="공사비 내역 (가)"/>
      <sheetName val="Proposal"/>
      <sheetName val="PUMP"/>
      <sheetName val="insulation"/>
      <sheetName val="Cash2"/>
      <sheetName val="Z"/>
      <sheetName val="집계표(OPTION)"/>
      <sheetName val="기성내역"/>
      <sheetName val="LinerWt"/>
      <sheetName val="EQT-ESTN"/>
      <sheetName val="cable-data"/>
      <sheetName val="PIPE"/>
      <sheetName val="FLANGE"/>
      <sheetName val="VALVE"/>
      <sheetName val="관련data"/>
      <sheetName val="A"/>
      <sheetName val="당초"/>
      <sheetName val="내역(정지)"/>
      <sheetName val="_x0002__x0000__x0000__x0000_PÓE"/>
      <sheetName val=""/>
      <sheetName val="Sample 1 MASTER SCHEDULE"/>
      <sheetName val="Sheet1TTH "/>
      <sheetName val="BATCH"/>
      <sheetName val="DATA LISTS"/>
      <sheetName val="후공정 (원가) (3)"/>
      <sheetName val="choose"/>
      <sheetName val="Passwords"/>
      <sheetName val="★Job Summmary  (2)"/>
      <sheetName val="기초자료"/>
      <sheetName val="견적집계표"/>
      <sheetName val="CD-실적"/>
      <sheetName val="Project overview"/>
      <sheetName val="combo"/>
      <sheetName val="Main"/>
      <sheetName val="Drop Downs"/>
      <sheetName val="Valve Data"/>
      <sheetName val="calc"/>
      <sheetName val="예가표"/>
      <sheetName val="MACRO(MCC)"/>
      <sheetName val="RFP007"/>
      <sheetName val="RFP006"/>
      <sheetName val="RFP005"/>
      <sheetName val="RFP009"/>
      <sheetName val="CAT_5"/>
      <sheetName val="_x0002_"/>
      <sheetName val="공문"/>
      <sheetName val="Rate Analysis"/>
      <sheetName val="Testing"/>
      <sheetName val="pakg-1"/>
      <sheetName val="NEWDRAW"/>
      <sheetName val="현대건설 증가분 내역"/>
      <sheetName val="Database"/>
      <sheetName val="SUMMARY"/>
      <sheetName val="운송비 및 보험료(99122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
      <sheetName val="Content"/>
      <sheetName val="Project Outline"/>
      <sheetName val="주요공사"/>
      <sheetName val="Contractual Amount"/>
      <sheetName val="시헹예산"/>
      <sheetName val="TENDER vs BUDGET"/>
      <sheetName val="직영 vs 하청 - 2"/>
      <sheetName val="96 당초Schedule"/>
      <sheetName val="96 Performance"/>
      <sheetName val="소화-투입 분석표"/>
      <sheetName val="STF ORG(K)"/>
      <sheetName val="Staff Org. Chart"/>
      <sheetName val="Scope of Work"/>
      <sheetName val="Design Status"/>
      <sheetName val="DWG Status"/>
      <sheetName val="MAT'L Status"/>
      <sheetName val="장비동원"/>
      <sheetName val="근로자동원"/>
      <sheetName val="Install Status"/>
      <sheetName val="Staff Mob. Plan"/>
      <sheetName val="M.P Mob. Plan"/>
      <sheetName val="Eq. Mobilization"/>
      <sheetName val="Eq_ Mobilization"/>
      <sheetName val="VC2 9.98"/>
      <sheetName val="TUAS"/>
      <sheetName val="유림골조"/>
      <sheetName val="STAND20"/>
      <sheetName val="직원동원SCH"/>
      <sheetName val="#REF"/>
      <sheetName val="수입"/>
      <sheetName val="Cash2"/>
      <sheetName val="Z"/>
      <sheetName val="h-013211-2"/>
      <sheetName val="공통비총괄표"/>
      <sheetName val="손익차9월2"/>
      <sheetName val="Sheet1"/>
      <sheetName val="11월 실적"/>
      <sheetName val="내역서"/>
      <sheetName val="slipsumpR"/>
      <sheetName val="간접비 총괄표"/>
      <sheetName val="VC2 8.98"/>
      <sheetName val="잡비계산"/>
      <sheetName val="집계표(육상)"/>
      <sheetName val="지급자재"/>
      <sheetName val="개시전표"/>
      <sheetName val="공사집계"/>
      <sheetName val="카메라"/>
      <sheetName val="TOWER 12TON"/>
      <sheetName val="TOWER 10TON"/>
      <sheetName val="가제당공사비"/>
      <sheetName val="기초처리공사비"/>
      <sheetName val="복통공사비"/>
      <sheetName val="본제당공사비"/>
      <sheetName val="시험비"/>
      <sheetName val="자재대"/>
      <sheetName val="중기운반비"/>
      <sheetName val="진입도로공사비"/>
      <sheetName val="취수탑공사비"/>
      <sheetName val="토취장복구"/>
      <sheetName val="Sheet2"/>
      <sheetName val="기구조직"/>
      <sheetName val="데이타"/>
      <sheetName val="식재인부"/>
      <sheetName val="JIB CRANE,HOIST"/>
      <sheetName val="사업부배부A"/>
      <sheetName val="집계표"/>
      <sheetName val="P.M 별"/>
      <sheetName val="8.PILE  (돌출)"/>
      <sheetName val="BM"/>
      <sheetName val="청산공사"/>
      <sheetName val="금액내역서"/>
      <sheetName val="6PILE  (돌출)"/>
      <sheetName val="예정(3)"/>
      <sheetName val="기준"/>
      <sheetName val="업체별SV단가"/>
      <sheetName val="안전장치"/>
      <sheetName val="HKDSUMM"/>
      <sheetName val="산거각호표"/>
      <sheetName val="을지"/>
      <sheetName val="대비표"/>
      <sheetName val="집계표(OPTION)"/>
      <sheetName val="당초"/>
      <sheetName val="PRO_DCI"/>
      <sheetName val="ELEC_DCI"/>
      <sheetName val="INST_DCI"/>
      <sheetName val="연돌일위집계"/>
      <sheetName val="수주추진리스트"/>
      <sheetName val="TK판매비impact"/>
      <sheetName val="TK판매비"/>
      <sheetName val="수주집계"/>
      <sheetName val="TK외판매비impact"/>
      <sheetName val="Vendors"/>
      <sheetName val="Sheet4"/>
      <sheetName val="2000.11월설계내역"/>
      <sheetName val="주관사업"/>
      <sheetName val="발주코드"/>
      <sheetName val="운반"/>
      <sheetName val="단중"/>
      <sheetName val="품셈표"/>
      <sheetName val="D-623D"/>
      <sheetName val="2.1.2예정공정율(칼라)"/>
      <sheetName val="산근"/>
      <sheetName val="TTL"/>
      <sheetName val="ITC현황"/>
      <sheetName val="ITC 현황"/>
      <sheetName val="일위대가"/>
      <sheetName val="가격조사서"/>
      <sheetName val="대비표(실행)"/>
      <sheetName val="현장관리비증감내역"/>
      <sheetName val="부대공사비(실행)"/>
      <sheetName val="내역서(ITC)"/>
      <sheetName val="1.1 Overall Progress"/>
      <sheetName val="Cover_Sheet"/>
      <sheetName val="Project_Outline"/>
      <sheetName val="Contractual_Amount"/>
      <sheetName val="TENDER_vs_BUDGET"/>
      <sheetName val="직영_vs_하청_-_2"/>
      <sheetName val="96_당초Schedule"/>
      <sheetName val="96_Performance"/>
      <sheetName val="소화-투입_분석표"/>
      <sheetName val="STF_ORG(K)"/>
      <sheetName val="Staff_Org__Chart"/>
      <sheetName val="Scope_of_Work"/>
      <sheetName val="Design_Status"/>
      <sheetName val="DWG_Status"/>
      <sheetName val="MAT'L_Status"/>
      <sheetName val="Install_Status"/>
      <sheetName val="Staff_Mob__Plan"/>
      <sheetName val="M_P_Mob__Plan"/>
      <sheetName val="Eq__Mobilization"/>
      <sheetName val="Eq__Mobilization1"/>
      <sheetName val="VC2_9_98"/>
      <sheetName val="11월_실적"/>
      <sheetName val="간접비_총괄표"/>
      <sheetName val="VC2_8_98"/>
      <sheetName val="TOWER_12TON"/>
      <sheetName val="TOWER_10TON"/>
      <sheetName val="JIB_CRANE,HOIST"/>
      <sheetName val="B"/>
      <sheetName val="4.0 (2)"/>
      <sheetName val="단가대비표"/>
      <sheetName val="일위대가(가설)"/>
      <sheetName val="노임단가"/>
      <sheetName val="예가표"/>
      <sheetName val="지급제한자"/>
      <sheetName val="BQMPALOC"/>
      <sheetName val="부대집계표(목표반영)"/>
      <sheetName val="개요"/>
      <sheetName val="배수내역"/>
      <sheetName val="15 문제점"/>
      <sheetName val="공사비집계"/>
      <sheetName val="_"/>
      <sheetName val="M-EQPT-Z"/>
      <sheetName val="찍기"/>
      <sheetName val="REPORT07"/>
      <sheetName val="소화실적"/>
      <sheetName val="단가비교"/>
      <sheetName val="99년하반기"/>
      <sheetName val="매각(6)"/>
      <sheetName val="상반기손익차2총괄"/>
      <sheetName val="5사남"/>
      <sheetName val="BQMP"/>
      <sheetName val="Rate Analysis"/>
      <sheetName val="공문"/>
      <sheetName val="과제정의서"/>
      <sheetName val="Sheet7"/>
      <sheetName val="노동부"/>
      <sheetName val="95삼성급(본사)"/>
      <sheetName val="드롭다운"/>
      <sheetName val="Disc WF (최종)"/>
      <sheetName val="Weekly WV %"/>
      <sheetName val="등급기준"/>
      <sheetName val="구분정의"/>
      <sheetName val="산출근거"/>
      <sheetName val="수지계산"/>
      <sheetName val="차트 (2)"/>
      <sheetName val="안산기계장치"/>
      <sheetName val=""/>
      <sheetName val="업무분장"/>
      <sheetName val="Work Trade Code"/>
      <sheetName val="Sheet3"/>
      <sheetName val="목록 &amp; 환율표"/>
      <sheetName val="Cover_Sheet1"/>
      <sheetName val="Project_Outline1"/>
      <sheetName val="Contractual_Amount1"/>
      <sheetName val="TENDER_vs_BUDGET1"/>
      <sheetName val="직영_vs_하청_-_21"/>
      <sheetName val="96_당초Schedule1"/>
      <sheetName val="96_Performance1"/>
      <sheetName val="소화-투입_분석표1"/>
      <sheetName val="STF_ORG(K)1"/>
      <sheetName val="Staff_Org__Chart1"/>
      <sheetName val="Scope_of_Work1"/>
      <sheetName val="Design_Status1"/>
      <sheetName val="DWG_Status1"/>
      <sheetName val="MAT'L_Status1"/>
      <sheetName val="Install_Status1"/>
      <sheetName val="Staff_Mob__Plan1"/>
      <sheetName val="M_P_Mob__Plan1"/>
      <sheetName val="Eq__Mobilization2"/>
      <sheetName val="Eq__Mobilization3"/>
      <sheetName val="VC2_9_981"/>
      <sheetName val="11월_실적1"/>
      <sheetName val="간접비_총괄표1"/>
      <sheetName val="VC2_8_981"/>
      <sheetName val="TOWER_12TON1"/>
      <sheetName val="TOWER_10TON1"/>
      <sheetName val="JIB_CRANE,HOIST1"/>
      <sheetName val="P_M_별"/>
      <sheetName val="8_PILE__(돌출)"/>
      <sheetName val="6PILE__(돌출)"/>
      <sheetName val="2000_11월설계내역"/>
      <sheetName val="2_1_2예정공정율(칼라)"/>
      <sheetName val="1_1_Overall_Progress"/>
      <sheetName val="ITC_현황"/>
      <sheetName val="4_0_(2)"/>
      <sheetName val="DHEQSUPT"/>
      <sheetName val="건설기계"/>
      <sheetName val="노임"/>
      <sheetName val="단가산출"/>
      <sheetName val="사급자재"/>
      <sheetName val="SHEET"/>
      <sheetName val="목록"/>
      <sheetName val="토목"/>
      <sheetName val="인원계획"/>
      <sheetName val="연수원"/>
      <sheetName val="97년 SEACO예산"/>
      <sheetName val="영업소실적"/>
      <sheetName val="MEED"/>
      <sheetName val="표지"/>
      <sheetName val="DRUM"/>
      <sheetName val="4.3물량INDEX검토"/>
      <sheetName val="명부(최종)"/>
      <sheetName val="조합원세부항목(작업)"/>
      <sheetName val="50%"/>
      <sheetName val="명부"/>
      <sheetName val="공통부대비"/>
      <sheetName val="선택목록"/>
      <sheetName val="인력(현장,직원)"/>
      <sheetName val="실행내역"/>
      <sheetName val="제출계산서"/>
      <sheetName val="12CGOU"/>
      <sheetName val="Embank"/>
      <sheetName val="1.설계조건"/>
      <sheetName val="G.R300경비"/>
      <sheetName val="A-4"/>
      <sheetName val="8-31-98"/>
      <sheetName val="worksheet inchican"/>
      <sheetName val="combined 9-30"/>
      <sheetName val="입찰내역 발주처 양식"/>
      <sheetName val="0.간접비기준"/>
      <sheetName val="Lumpsum-1"/>
      <sheetName val="Lumpsum-3"/>
      <sheetName val="간접비(1)"/>
      <sheetName val="종후자산호수별가격"/>
      <sheetName val="경영현황"/>
      <sheetName val="inter"/>
      <sheetName val="내역"/>
      <sheetName val="BOJUNGGM"/>
      <sheetName val="A"/>
      <sheetName val="AC"/>
      <sheetName val="1"/>
      <sheetName val="FitOutConfCentre"/>
      <sheetName val="BOQ"/>
      <sheetName val="PROGRAM"/>
      <sheetName val="CASHFLOW"/>
      <sheetName val="수주현황2월"/>
      <sheetName val="정형의견"/>
      <sheetName val="은행"/>
      <sheetName val="상 부"/>
      <sheetName val="목표세부명세"/>
      <sheetName val="환율"/>
      <sheetName val="4KEB"/>
      <sheetName val="실행철강하도"/>
      <sheetName val="Rate_Analysis"/>
      <sheetName val="15_문제점"/>
      <sheetName val="4. 해외출장비"/>
      <sheetName val="ESCON"/>
      <sheetName val="EE-PROP"/>
      <sheetName val="7.4 유가 변동 예비비"/>
      <sheetName val="Perm. Test"/>
      <sheetName val="Daftar Sewa"/>
      <sheetName val="Peralatan"/>
      <sheetName val="Peralatan (2)"/>
      <sheetName val="Analisa Alat"/>
      <sheetName val="Option"/>
      <sheetName val="p&amp;m"/>
      <sheetName val="97 사업추정(WEKI)"/>
      <sheetName val="통합"/>
      <sheetName val="공사비총괄표"/>
      <sheetName val="Database"/>
      <sheetName val="jadw"/>
      <sheetName val="Parameter"/>
      <sheetName val="piedathot"/>
      <sheetName val="projcasflo"/>
      <sheetName val="금융"/>
      <sheetName val="Dropdown"/>
      <sheetName val="SG"/>
      <sheetName val="조도"/>
      <sheetName val="실행예산SHEET도장재검토"/>
      <sheetName val="성광벤드"/>
      <sheetName val="GRP PIPING"/>
      <sheetName val="현장지지물물량"/>
      <sheetName val="Summary"/>
      <sheetName val="견적기준"/>
      <sheetName val="P-LIST"/>
      <sheetName val="물가자료"/>
      <sheetName val="2000년1차"/>
      <sheetName val="단가집"/>
      <sheetName val="전열면적"/>
      <sheetName val="SEPARATOR"/>
      <sheetName val="BM "/>
      <sheetName val="DWG LIST"/>
      <sheetName val="자격 땡겨오기"/>
      <sheetName val="VAE264_VALVES"/>
      <sheetName val="5.소재"/>
      <sheetName val="B101"/>
      <sheetName val="COA-17"/>
      <sheetName val="C-18"/>
      <sheetName val="MOB-MAN1"/>
      <sheetName val="예제"/>
      <sheetName val="기준표"/>
      <sheetName val="규격"/>
      <sheetName val="노점수분"/>
      <sheetName val="자재사용현황"/>
      <sheetName val="w't table"/>
      <sheetName val="INDEX"/>
      <sheetName val="DI-ESTI"/>
      <sheetName val="KH-Q1,Q2,01"/>
      <sheetName val="NYS"/>
      <sheetName val="CAT_5"/>
      <sheetName val="kich thuoc"/>
      <sheetName val="DTHH"/>
      <sheetName val="WE'T"/>
      <sheetName val="REDUCER"/>
      <sheetName val="임율 Data"/>
      <sheetName val="Lists"/>
      <sheetName val="REV 4"/>
      <sheetName val="COL"/>
      <sheetName val="Sheet5"/>
      <sheetName val="BEND LOSS"/>
      <sheetName val="CI "/>
      <sheetName val="CI"/>
      <sheetName val="FM"/>
      <sheetName val="1-Schedule"/>
      <sheetName val="0-Quantity"/>
      <sheetName val="Grf"/>
      <sheetName val="TRUCK HAUL CYCLE-waste"/>
      <sheetName val="Land Dev't. Ph-1"/>
      <sheetName val="Shut down"/>
      <sheetName val="Building"/>
      <sheetName val="Schedule S-Curve Revision#3"/>
      <sheetName val="Table"/>
      <sheetName val="Parameters"/>
      <sheetName val="0000"/>
      <sheetName val="GAE8'97"/>
      <sheetName val="03"/>
      <sheetName val="DESIGN"/>
      <sheetName val="DESBASTE"/>
      <sheetName val="Code 07"/>
      <sheetName val="추가예산"/>
      <sheetName val="Cover_Sheet2"/>
      <sheetName val="Project_Outline2"/>
      <sheetName val="Contractual_Amount2"/>
      <sheetName val="TENDER_vs_BUDGET2"/>
      <sheetName val="직영_vs_하청_-_22"/>
      <sheetName val="96_당초Schedule2"/>
      <sheetName val="96_Performance2"/>
      <sheetName val="소화-투입_분석표2"/>
      <sheetName val="STF_ORG(K)2"/>
      <sheetName val="Staff_Org__Chart2"/>
      <sheetName val="Scope_of_Work2"/>
      <sheetName val="Design_Status2"/>
      <sheetName val="DWG_Status2"/>
      <sheetName val="MAT'L_Status2"/>
      <sheetName val="Install_Status2"/>
      <sheetName val="Staff_Mob__Plan2"/>
      <sheetName val="M_P_Mob__Plan2"/>
      <sheetName val="Eq__Mobilization4"/>
      <sheetName val="Eq__Mobilization5"/>
      <sheetName val="VC2_9_982"/>
      <sheetName val="11월_실적2"/>
      <sheetName val="간접비_총괄표2"/>
      <sheetName val="VC2_8_982"/>
      <sheetName val="TOWER_12TON2"/>
      <sheetName val="TOWER_10TON2"/>
      <sheetName val="JIB_CRANE,HOIST2"/>
      <sheetName val="P_M_별1"/>
      <sheetName val="8_PILE__(돌출)1"/>
      <sheetName val="6PILE__(돌출)1"/>
      <sheetName val="2000_11월설계내역1"/>
      <sheetName val="2_1_2예정공정율(칼라)1"/>
      <sheetName val="1_1_Overall_Progress1"/>
      <sheetName val="ITC_현황1"/>
      <sheetName val="4_0_(2)1"/>
      <sheetName val="Benchmark"/>
      <sheetName val="시산표"/>
      <sheetName val="1-G1"/>
      <sheetName val="자바라1"/>
      <sheetName val="해외 연수비용 계산-삭제"/>
      <sheetName val="Wind Load(3.1) (2)"/>
      <sheetName val="Wind Load(3.2)"/>
      <sheetName val="Wind Load(3.4)"/>
      <sheetName val="Ord"/>
      <sheetName val="Key Data"/>
      <sheetName val="CTEMCOST"/>
      <sheetName val="MOS"/>
      <sheetName val="금융비용"/>
      <sheetName val="교각계산"/>
      <sheetName val="INPUT"/>
      <sheetName val="터파기및재료"/>
      <sheetName val="수안보-MBR1"/>
      <sheetName val="2.2 띠장의 설계"/>
      <sheetName val="간지"/>
      <sheetName val="1_설계조건"/>
      <sheetName val="Disc_WF_(최종)"/>
      <sheetName val="Weekly_WV_%"/>
      <sheetName val="차트_(2)"/>
      <sheetName val="Work_Trade_Code"/>
      <sheetName val="목록_&amp;_환율표"/>
      <sheetName val="97년_SEACO예산"/>
      <sheetName val="상_부"/>
      <sheetName val="4_3물량INDEX검토"/>
      <sheetName val="G_R300경비"/>
      <sheetName val="worksheet_inchican"/>
      <sheetName val="combined_9-30"/>
      <sheetName val="입찰내역_발주처_양식"/>
      <sheetName val="0_간접비기준"/>
      <sheetName val="Labour"/>
      <sheetName val="Material"/>
      <sheetName val="Plant &amp;  Machinery"/>
      <sheetName val="_REF"/>
      <sheetName val="갑지"/>
      <sheetName val="Курсы"/>
      <sheetName val="Power &amp; control cables"/>
      <sheetName val="Earthing Cables "/>
      <sheetName val="tabulation of deductions"/>
      <sheetName val="Civilwks.Deriv"/>
      <sheetName val="Str.Deriv"/>
      <sheetName val="Existing PC Pavement"/>
      <sheetName val="Subgrade"/>
      <sheetName val="data"/>
      <sheetName val="2.223M_due to adj profit"/>
      <sheetName val="PROCURE"/>
      <sheetName val="Dico"/>
      <sheetName val="Cover"/>
      <sheetName val="Beams"/>
      <sheetName val="CABLE DATA"/>
      <sheetName val="laborrates"/>
      <sheetName val="100(4)"/>
      <sheetName val="GESTION FICHE"/>
      <sheetName val="TRADUCTION LISTES"/>
      <sheetName val="PSV2701F"/>
      <sheetName val="Costi di prod. E1 02"/>
      <sheetName val="breakdown"/>
      <sheetName val="RefG"/>
      <sheetName val="IRR sponsor"/>
      <sheetName val="CFA"/>
      <sheetName val="Material Price"/>
      <sheetName val="REBAR"/>
      <sheetName val="Assump (Time) - Project Co."/>
      <sheetName val="Arch"/>
      <sheetName val="지원시설 내역서(154kV)"/>
      <sheetName val="카5"/>
      <sheetName val="Soil Parameter"/>
      <sheetName val="PCV"/>
      <sheetName val="Register"/>
      <sheetName val="Cashflow Analysis"/>
      <sheetName val="BILL"/>
      <sheetName val="DAF-4"/>
      <sheetName val="DHS AC"/>
      <sheetName val="DAF-5"/>
      <sheetName val="iTEM hARSAT"/>
      <sheetName val="analis standar(20m)"/>
      <sheetName val="ANAL BETON"/>
      <sheetName val="Pipe"/>
      <sheetName val="DESCRIPTION"/>
      <sheetName val="BM DATA SHEET"/>
      <sheetName val="BAG-III"/>
      <sheetName val="DATA PROYEK"/>
      <sheetName val="rab"/>
      <sheetName val="BA Evaluasi"/>
      <sheetName val="Permhnan CCO"/>
      <sheetName val="Persetujuan CCO"/>
      <sheetName val="Rekap MC"/>
      <sheetName val="Penyampaian Evaluasi"/>
      <sheetName val="R. RapatCCO"/>
      <sheetName val="DAFTAR HARGA"/>
      <sheetName val="Fill this out first..."/>
      <sheetName val="21"/>
      <sheetName val="analisa"/>
      <sheetName val="Master 1.0"/>
      <sheetName val="Bahan"/>
      <sheetName val="Code"/>
      <sheetName val="Default"/>
      <sheetName val="Rekap Addendum"/>
      <sheetName val="4-MVAC"/>
      <sheetName val="H.Satuan"/>
      <sheetName val="SEX"/>
      <sheetName val="7. Comparison of Asphalt etc"/>
      <sheetName val="harsat"/>
      <sheetName val="Div2"/>
      <sheetName val="Exterior"/>
      <sheetName val="Analisa Harga Satuan"/>
      <sheetName val="Hit Vol Str Jambi"/>
      <sheetName val="PE-F-33 Rev 02 Basic Proj.Info"/>
      <sheetName val="PE-F-31 Rev 01 Coversheet"/>
      <sheetName val=" PE-F-42 MR 9 Manpower"/>
      <sheetName val="AT 2"/>
      <sheetName val="615E101AB(CASE85F)"/>
      <sheetName val="BL"/>
      <sheetName val="FINAL"/>
      <sheetName val="RESUME"/>
      <sheetName val="DAPRO"/>
      <sheetName val="Mob"/>
      <sheetName val="DAFTAR ISI"/>
      <sheetName val="SUMMARY (2)"/>
      <sheetName val="CIVIL"/>
      <sheetName val="MEP"/>
      <sheetName val="QUOTATION"/>
      <sheetName val="ELECTRIC"/>
      <sheetName val="page 6"/>
      <sheetName val="INSTR"/>
      <sheetName val="Piping Design Data"/>
      <sheetName val="조명시설"/>
      <sheetName val="TB"/>
      <sheetName val="BS"/>
      <sheetName val="石炭性状"/>
      <sheetName val="Takeoff"/>
      <sheetName val="N賃率-職"/>
      <sheetName val="부산제일극장"/>
      <sheetName val="Analisa (me)"/>
      <sheetName val="pro ra op"/>
      <sheetName val="grafik"/>
      <sheetName val="Indirect"/>
      <sheetName val="Rekap (2)"/>
      <sheetName val="Analisa Transport"/>
      <sheetName val="electrical Work Price List (2)"/>
      <sheetName val="ANALISA CABLE"/>
      <sheetName val="갑지(추정)"/>
      <sheetName val="Cover_Sheet3"/>
      <sheetName val="Project_Outline3"/>
      <sheetName val="Contractual_Amount3"/>
      <sheetName val="TENDER_vs_BUDGET3"/>
      <sheetName val="직영_vs_하청_-_23"/>
      <sheetName val="96_당초Schedule3"/>
      <sheetName val="96_Performance3"/>
      <sheetName val="소화-투입_분석표3"/>
      <sheetName val="STF_ORG(K)3"/>
      <sheetName val="Staff_Org__Chart3"/>
      <sheetName val="Scope_of_Work3"/>
      <sheetName val="Design_Status3"/>
      <sheetName val="DWG_Status3"/>
      <sheetName val="MAT'L_Status3"/>
      <sheetName val="Install_Status3"/>
      <sheetName val="Staff_Mob__Plan3"/>
      <sheetName val="M_P_Mob__Plan3"/>
      <sheetName val="Eq__Mobilization6"/>
      <sheetName val="Eq__Mobilization7"/>
      <sheetName val="VC2_9_983"/>
      <sheetName val="11월_실적3"/>
      <sheetName val="간접비_총괄표3"/>
      <sheetName val="VC2_8_983"/>
      <sheetName val="ITC_현황2"/>
      <sheetName val="TOWER_12TON3"/>
      <sheetName val="TOWER_10TON3"/>
      <sheetName val="P_M_별2"/>
      <sheetName val="JIB_CRANE,HOIST3"/>
      <sheetName val="8_PILE__(돌출)2"/>
      <sheetName val="6PILE__(돌출)2"/>
      <sheetName val="1_설계조건1"/>
      <sheetName val="2000_11월설계내역2"/>
      <sheetName val="2_1_2예정공정율(칼라)2"/>
      <sheetName val="1_1_Overall_Progress2"/>
      <sheetName val="4_0_(2)2"/>
      <sheetName val="15_문제점1"/>
      <sheetName val="Rate_Analysis1"/>
      <sheetName val="Disc_WF_(최종)1"/>
      <sheetName val="Weekly_WV_%1"/>
      <sheetName val="차트_(2)1"/>
      <sheetName val="Work_Trade_Code1"/>
      <sheetName val="목록_&amp;_환율표1"/>
      <sheetName val="97년_SEACO예산1"/>
      <sheetName val="4_3물량INDEX검토1"/>
      <sheetName val="G_R300경비1"/>
      <sheetName val="worksheet_inchican1"/>
      <sheetName val="combined_9-301"/>
      <sheetName val="입찰내역_발주처_양식1"/>
      <sheetName val="0_간접비기준1"/>
      <sheetName val="4__해외출장비"/>
      <sheetName val="상_부1"/>
      <sheetName val="Perm__Test"/>
      <sheetName val="Daftar_Sewa"/>
      <sheetName val="Peralatan_(2)"/>
      <sheetName val="Analisa_Alat"/>
      <sheetName val="97_사업추정(WEKI)"/>
      <sheetName val="7_4_유가_변동_예비비"/>
      <sheetName val="GRP_PIPING"/>
      <sheetName val="BM_"/>
      <sheetName val="DWG_LIST"/>
      <sheetName val="자격_땡겨오기"/>
      <sheetName val="5_소재"/>
      <sheetName val="w't_table"/>
      <sheetName val="kich_thuoc"/>
      <sheetName val="임율_Data"/>
      <sheetName val="REV_4"/>
      <sheetName val="BEND_LOSS"/>
      <sheetName val="CI_"/>
      <sheetName val="TRUCK_HAUL_CYCLE-waste"/>
      <sheetName val="Land_Dev't__Ph-1"/>
      <sheetName val="Shut_down"/>
      <sheetName val="Schedule_S-Curve_Revision#3"/>
      <sheetName val="Code_07"/>
      <sheetName val="해외_연수비용_계산-삭제"/>
      <sheetName val="Wind_Load(3_1)_(2)"/>
      <sheetName val="Wind_Load(3_2)"/>
      <sheetName val="Wind_Load(3_4)"/>
      <sheetName val="Key_Data"/>
      <sheetName val="2_2_띠장의_설계"/>
      <sheetName val="코드"/>
      <sheetName val="조정사유"/>
      <sheetName val="(110919)부산정관집단에너지사업차환현안검토.xlsx"/>
      <sheetName val="1-1"/>
      <sheetName val="Status by Codes"/>
      <sheetName val="MHRS"/>
      <sheetName val="UPH,BHN,ALT"/>
      <sheetName val="Analis harga"/>
      <sheetName val="UNIT 3"/>
      <sheetName val="Utility and Fire flange"/>
      <sheetName val="Power_&amp;_control_cables"/>
      <sheetName val="Earthing_Cables_"/>
      <sheetName val="tabulation_of_deductions"/>
      <sheetName val="Civilwks_Deriv"/>
      <sheetName val="Str_Deriv"/>
      <sheetName val="Existing_PC_Pavement"/>
      <sheetName val="2_223M_due_to_adj_profit"/>
      <sheetName val="CABLE_DATA"/>
      <sheetName val="GESTION_FICHE"/>
      <sheetName val="TRADUCTION_LISTES"/>
      <sheetName val="Costi_di_prod__E1_02"/>
      <sheetName val="IRR_sponsor"/>
      <sheetName val="Material_Price"/>
      <sheetName val="Assump_(Time)_-_Project_Co_"/>
      <sheetName val="지원시설_내역서(154kV)"/>
      <sheetName val="F4-F7"/>
      <sheetName val="cash budget"/>
      <sheetName val="Referencias"/>
      <sheetName val="OCT"/>
      <sheetName val="Material Selections"/>
      <sheetName val="Rates"/>
      <sheetName val="전기 BM_revA('090624).xls"/>
      <sheetName val="表二"/>
      <sheetName val="Existing PC Pavem¬_x0000_Ԁ"/>
      <sheetName val="Trade Summary"/>
      <sheetName val="BUR "/>
      <sheetName val="TSA"/>
      <sheetName val="15.Rd"/>
      <sheetName val="본선 토공 분배표"/>
      <sheetName val="Cost Summary"/>
      <sheetName val="intr stool brkup"/>
      <sheetName val="Sheet179"/>
      <sheetName val="지가변동률계산(2021.07"/>
      <sheetName val="대로근거"/>
      <sheetName val="중로근거"/>
      <sheetName val="FAB별"/>
      <sheetName val="4_3물량INDEX검_x0000_"/>
      <sheetName val="수급집계"/>
      <sheetName val="전선봉양3호"/>
      <sheetName val="본사운영비"/>
      <sheetName val="2. 계정별 집계표"/>
      <sheetName val="단면 (2)"/>
      <sheetName val="변경내역대비표(2)"/>
      <sheetName val="Raw Data"/>
      <sheetName val="1,2,3,4,5단위수량"/>
      <sheetName val="유림콘도"/>
      <sheetName val="Trans"/>
      <sheetName val="실행"/>
      <sheetName val="Sheet17"/>
      <sheetName val="백분율"/>
      <sheetName val="D-3109"/>
      <sheetName val="4-Lane bridge"/>
      <sheetName val="(10) Other Costs5"/>
      <sheetName val="热力"/>
      <sheetName val="Cash Out Table"/>
      <sheetName val="Net Cash Table"/>
      <sheetName val="Item#9.3"/>
      <sheetName val="Item#1.9"/>
      <sheetName val="Item#6.7"/>
      <sheetName val="Item#2.6"/>
      <sheetName val="Item#4.10"/>
      <sheetName val="Item#5.8"/>
      <sheetName val="Item#7.21"/>
      <sheetName val="Item#3.8"/>
      <sheetName val="Item#8.7"/>
      <sheetName val="Equipt Rental"/>
      <sheetName val="05. VO Log (Master Data)"/>
      <sheetName val="마감물량"/>
      <sheetName val="BOQ segment3 (Part C-H)"/>
      <sheetName val="BOQ segment3 (PartB)"/>
      <sheetName val="eqpmt"/>
      <sheetName val="UPA(Part C,D,E,G,H)"/>
      <sheetName val="UPA(Part F)"/>
      <sheetName val="Materials"/>
      <sheetName val="일위대가 (Part C,D,E,G,H)"/>
      <sheetName val="float&amp;bear"/>
      <sheetName val="Kfracture"/>
      <sheetName val="worksheet"/>
      <sheetName val="268"/>
      <sheetName val="SUM"/>
      <sheetName val="HaulingLine hardware"/>
      <sheetName val="References"/>
      <sheetName val="품셈"/>
      <sheetName val="MP"/>
      <sheetName val="WTB-STAR CINEMA"/>
      <sheetName val="HSBC"/>
      <sheetName val="VC2 10.99"/>
      <sheetName val="personnel loading"/>
      <sheetName val="공사비SUM"/>
      <sheetName val="Insulation_Utl_Off"/>
      <sheetName val="Note_Piping"/>
      <sheetName val="Dir-Conc "/>
      <sheetName val="ﾄﾞﾊﾞｲFUEL GAS追見"/>
      <sheetName val="CapitalMetrics"/>
      <sheetName val="MATERIAL'S PRICE"/>
      <sheetName val="4300 UTILITY BLDG (2)"/>
      <sheetName val="Assumptions"/>
      <sheetName val="Others"/>
      <sheetName val="sum mdc"/>
      <sheetName val="Division 3000"/>
      <sheetName val="見管ＧＴ"/>
      <sheetName val="ABSTRACT"/>
      <sheetName val="CAL"/>
      <sheetName val="Report"/>
      <sheetName val="Price Summary (1)"/>
      <sheetName val="Price Summary (2)"/>
      <sheetName val="Résultats"/>
      <sheetName val="schbhn"/>
      <sheetName val="GKP"/>
      <sheetName val="schalt"/>
      <sheetName val="schtng"/>
      <sheetName val="costing_ESDV"/>
      <sheetName val="CashFlwProjections"/>
      <sheetName val="costing_Misc"/>
      <sheetName val="costing_MOV"/>
      <sheetName val="costing_Press"/>
      <sheetName val="경비2내역"/>
      <sheetName val="Wall1"/>
      <sheetName val="Bill summary of cost"/>
      <sheetName val="손익차총괄2"/>
      <sheetName val="기성내역"/>
      <sheetName val="PI"/>
      <sheetName val="Settings"/>
      <sheetName val="DWTables"/>
      <sheetName val="2.내역서"/>
      <sheetName val="REQ_REMARKS"/>
      <sheetName val="DL"/>
      <sheetName val="RFP002"/>
      <sheetName val="분석"/>
      <sheetName val="ENE-CAL"/>
      <sheetName val="CAL1"/>
      <sheetName val="L3 -13FF (2)"/>
      <sheetName val="SPARE PART"/>
      <sheetName val="연환"/>
      <sheetName val="부서코드표"/>
      <sheetName val="ﾀｰﾋﾞﾝ"/>
      <sheetName val="Setup"/>
      <sheetName val="WXY"/>
      <sheetName val="입찰안"/>
      <sheetName val="도"/>
      <sheetName val="A7"/>
      <sheetName val="HFeed"/>
      <sheetName val="CAUDIT"/>
      <sheetName val="http___www35_daum_net_WIN98_T_2"/>
      <sheetName val="단면치수"/>
      <sheetName val="Plant_&amp;__Machinery"/>
      <sheetName val="A.O.R."/>
      <sheetName val="U-RATE"/>
      <sheetName val="개시대사 (2)"/>
      <sheetName val="Sheet13"/>
      <sheetName val="A3"/>
      <sheetName val="Sheet14"/>
      <sheetName val="P-J"/>
      <sheetName val="Cover_Sheet4"/>
      <sheetName val="Project_Outline4"/>
      <sheetName val="Contractual_Amount4"/>
      <sheetName val="TENDER_vs_BUDGET4"/>
      <sheetName val="직영_vs_하청_-_24"/>
      <sheetName val="96_당초Schedule4"/>
      <sheetName val="96_Performance4"/>
      <sheetName val="소화-투입_분석표4"/>
      <sheetName val="STF_ORG(K)4"/>
      <sheetName val="Staff_Org__Chart4"/>
      <sheetName val="Scope_of_Work4"/>
      <sheetName val="Design_Status4"/>
      <sheetName val="DWG_Status4"/>
      <sheetName val="MAT'L_Status4"/>
      <sheetName val="Install_Status4"/>
      <sheetName val="Staff_Mob__Plan4"/>
      <sheetName val="M_P_Mob__Plan4"/>
      <sheetName val="Eq__Mobilization8"/>
      <sheetName val="Eq__Mobilization9"/>
      <sheetName val="VC2_9_984"/>
      <sheetName val="11월_실적4"/>
      <sheetName val="간접비_총괄표4"/>
      <sheetName val="VC2_8_984"/>
      <sheetName val="P_M_별3"/>
      <sheetName val="TOWER_12TON4"/>
      <sheetName val="TOWER_10TON4"/>
      <sheetName val="JIB_CRANE,HOIST4"/>
      <sheetName val="8_PILE__(돌출)3"/>
      <sheetName val="6PILE__(돌출)3"/>
      <sheetName val="2000_11월설계내역3"/>
      <sheetName val="2_1_2예정공정율(칼라)3"/>
      <sheetName val="1_1_Overall_Progress3"/>
      <sheetName val="ITC_현황3"/>
      <sheetName val="4_0_(2)3"/>
      <sheetName val="15_문제점2"/>
      <sheetName val="Rate_Analysis2"/>
      <sheetName val="Disc_WF_(최종)2"/>
      <sheetName val="Weekly_WV_%2"/>
      <sheetName val="차트_(2)2"/>
      <sheetName val="Work_Trade_Code2"/>
      <sheetName val="목록_&amp;_환율표2"/>
      <sheetName val="97년_SEACO예산2"/>
      <sheetName val="4_3물량INDEX검토2"/>
      <sheetName val="G_R300경비2"/>
      <sheetName val="1_설계조건2"/>
      <sheetName val="worksheet_inchican2"/>
      <sheetName val="combined_9-302"/>
      <sheetName val="입찰내역_발주처_양식2"/>
      <sheetName val="0_간접비기준2"/>
      <sheetName val="상_부2"/>
      <sheetName val="4__해외출장비1"/>
      <sheetName val="Perm__Test1"/>
      <sheetName val="Daftar_Sewa1"/>
      <sheetName val="Peralatan_(2)1"/>
      <sheetName val="Analisa_Alat1"/>
      <sheetName val="97_사업추정(WEKI)1"/>
      <sheetName val="7_4_유가_변동_예비비1"/>
      <sheetName val="GRP_PIPING1"/>
      <sheetName val="BM_1"/>
      <sheetName val="DWG_LIST1"/>
      <sheetName val="자격_땡겨오기1"/>
      <sheetName val="5_소재1"/>
      <sheetName val="w't_table1"/>
      <sheetName val="kich_thuoc1"/>
      <sheetName val="임율_Data1"/>
      <sheetName val="REV_41"/>
      <sheetName val="BEND_LOSS1"/>
      <sheetName val="CI_1"/>
      <sheetName val="TRUCK_HAUL_CYCLE-waste1"/>
      <sheetName val="Land_Dev't__Ph-11"/>
      <sheetName val="Shut_down1"/>
      <sheetName val="Schedule_S-Curve_Revision#31"/>
      <sheetName val="Code_071"/>
      <sheetName val="해외_연수비용_계산-삭제1"/>
      <sheetName val="Wind_Load(3_1)_(2)1"/>
      <sheetName val="Wind_Load(3_2)1"/>
      <sheetName val="Wind_Load(3_4)1"/>
      <sheetName val="Key_Data1"/>
      <sheetName val="2_2_띠장의_설계1"/>
      <sheetName val="Power_&amp;_control_cables1"/>
      <sheetName val="Earthing_Cables_1"/>
      <sheetName val="tabulation_of_deductions1"/>
      <sheetName val="Civilwks_Deriv1"/>
      <sheetName val="Str_Deriv1"/>
      <sheetName val="Existing_PC_Pavement1"/>
      <sheetName val="2_223M_due_to_adj_profit1"/>
      <sheetName val="CABLE_DATA1"/>
      <sheetName val="GESTION_FICHE1"/>
      <sheetName val="TRADUCTION_LISTES1"/>
      <sheetName val="Costi_di_prod__E1_021"/>
      <sheetName val="IRR_sponsor1"/>
      <sheetName val="Material_Price1"/>
      <sheetName val="Assump_(Time)_-_Project_Co_1"/>
      <sheetName val="지원시설_내역서(154kV)1"/>
      <sheetName val="page_6"/>
      <sheetName val="Piping_Design_Data"/>
      <sheetName val="Soil_Parameter"/>
      <sheetName val="Cashflow_Analysis"/>
      <sheetName val="DHS_AC"/>
      <sheetName val="iTEM_hARSAT"/>
      <sheetName val="analis_standar(20m)"/>
      <sheetName val="ANAL_BETON"/>
      <sheetName val="BM_DATA_SHEET"/>
      <sheetName val="DATA_PROYEK"/>
      <sheetName val="BA_Evaluasi"/>
      <sheetName val="Permhnan_CCO"/>
      <sheetName val="Persetujuan_CCO"/>
      <sheetName val="Rekap_MC"/>
      <sheetName val="Penyampaian_Evaluasi"/>
      <sheetName val="R__RapatCCO"/>
      <sheetName val="DAFTAR_HARGA"/>
      <sheetName val="Fill_this_out_first___"/>
      <sheetName val="Master_1_0"/>
      <sheetName val="Rekap_Addendum"/>
      <sheetName val="H_Satuan"/>
      <sheetName val="7__Comparison_of_Asphalt_etc"/>
      <sheetName val="Analisa_Harga_Satuan"/>
      <sheetName val="Hit_Vol_Str_Jambi"/>
      <sheetName val="PE-F-33_Rev_02_Basic_Proj_Info"/>
      <sheetName val="PE-F-31_Rev_01_Coversheet"/>
      <sheetName val="_PE-F-42_MR_9_Manpower"/>
      <sheetName val="AT_2"/>
      <sheetName val="DAFTAR_ISI"/>
      <sheetName val="SUMMARY_(2)"/>
      <sheetName val="Analisa_(me)"/>
      <sheetName val="pro_ra_op"/>
      <sheetName val="Rekap_(2)"/>
      <sheetName val="Analisa_Transport"/>
      <sheetName val="electrical_Work_Price_List_(2)"/>
      <sheetName val="ANALISA_CABLE"/>
      <sheetName val="(110919)부산정관집단에너지사업차환현안검토_xlsx"/>
      <sheetName val="본선_토공_분배표"/>
      <sheetName val="Trade_Summary"/>
      <sheetName val="BUR_"/>
      <sheetName val="15_Rd"/>
      <sheetName val="Cost_Summary"/>
      <sheetName val="2__계정별_집계표"/>
      <sheetName val="지가변동률계산(2021_07"/>
      <sheetName val="단면_(2)"/>
      <sheetName val="Existing_PC_Pavem¬Ԁ"/>
      <sheetName val="Status_by_Codes"/>
      <sheetName val="Analis_harga"/>
      <sheetName val="UNIT_3"/>
      <sheetName val="Utility_and_Fire_flange"/>
      <sheetName val="intr_stool_brkup"/>
      <sheetName val="BALAN1"/>
      <sheetName val="electrical"/>
      <sheetName val="골조시행"/>
      <sheetName val="Budget"/>
      <sheetName val="UTILITIES"/>
      <sheetName val="wrksht"/>
      <sheetName val="Hac.Lots"/>
      <sheetName val="Res.Lots"/>
      <sheetName val="Spine Road"/>
      <sheetName val="excav"/>
      <sheetName val="formul"/>
      <sheetName val="STATUS REPORT"/>
      <sheetName val="5-Digit"/>
      <sheetName val="Cost-Buildup"/>
      <sheetName val="UC"/>
      <sheetName val="Rate"/>
      <sheetName val="schedule"/>
      <sheetName val="BD"/>
      <sheetName val="Resource Summary"/>
      <sheetName val="CONCRETE"/>
      <sheetName val="Cash Flow bulanan"/>
      <sheetName val="BOQp4"/>
      <sheetName val="Quantity"/>
      <sheetName val="단가"/>
      <sheetName val="집계"/>
      <sheetName val="전 기"/>
      <sheetName val="간접비계산"/>
      <sheetName val="총괄내역서"/>
      <sheetName val="4334-Summary"/>
      <sheetName val="Existing PC Pavem¬"/>
      <sheetName val="소방사항"/>
      <sheetName val="Memb Schd"/>
      <sheetName val="II손익관리"/>
      <sheetName val="0226"/>
      <sheetName val="10"/>
      <sheetName val="5"/>
      <sheetName val="Sheet472"/>
      <sheetName val="공사비예산서(토목분)"/>
      <sheetName val="Wind Load(3.1) (_x0000__x0000_"/>
      <sheetName val="프랜트면허"/>
      <sheetName val="토목주소"/>
      <sheetName val="4_3물량INDE_x0000__x0000_Ԁ"/>
      <sheetName val="포설list원본"/>
      <sheetName val="카드채권(대출포함)"/>
      <sheetName val="화전내"/>
      <sheetName val="design load"/>
      <sheetName val="working load at the btm ft."/>
      <sheetName val="stability check"/>
      <sheetName val="design criteria"/>
      <sheetName val="plan&amp;section of foundation"/>
      <sheetName val="기계내역서"/>
      <sheetName val="건축내역"/>
      <sheetName val="물량표"/>
      <sheetName val="MAIN GATE HOUSE"/>
      <sheetName val="CT Thang Mo"/>
      <sheetName val="CT  PL"/>
      <sheetName val="간접비"/>
      <sheetName val="Overall"/>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sheetData sheetId="98" refreshError="1"/>
      <sheetData sheetId="99" refreshError="1"/>
      <sheetData sheetId="100" refreshError="1"/>
      <sheetData sheetId="101" refreshError="1"/>
      <sheetData sheetId="102" refreshError="1"/>
      <sheetData sheetId="103" refreshError="1"/>
      <sheetData sheetId="104"/>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sheetData sheetId="518"/>
      <sheetData sheetId="519"/>
      <sheetData sheetId="520"/>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sheetData sheetId="774" refreshError="1"/>
      <sheetData sheetId="775"/>
      <sheetData sheetId="776" refreshError="1"/>
      <sheetData sheetId="777" refreshError="1"/>
      <sheetData sheetId="778" refreshError="1"/>
      <sheetData sheetId="779" refreshError="1"/>
      <sheetData sheetId="780" refreshError="1"/>
      <sheetData sheetId="781" refreshError="1"/>
      <sheetData sheetId="782" refreshError="1"/>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
      <sheetName val="Content"/>
      <sheetName val="Project Outline"/>
      <sheetName val="주요공사"/>
      <sheetName val="Contractual Amount"/>
      <sheetName val="시헹예산"/>
      <sheetName val="TENDER vs BUDGET"/>
      <sheetName val="직영 vs 하청 - 2"/>
      <sheetName val="96 당초Schedule"/>
      <sheetName val="96 Performance"/>
      <sheetName val="소화-투입 분석표"/>
      <sheetName val="STF ORG(K)"/>
      <sheetName val="Staff Org. Chart"/>
      <sheetName val="Scope of Work"/>
      <sheetName val="Design Status"/>
      <sheetName val="DWG Status"/>
      <sheetName val="MAT'L Status"/>
      <sheetName val="장비동원"/>
      <sheetName val="근로자동원"/>
      <sheetName val="Install Status"/>
      <sheetName val="Staff Mob. Plan"/>
      <sheetName val="M.P Mob. Plan"/>
      <sheetName val="Eq. Mobilization"/>
      <sheetName val="Eq_ Mobilization"/>
      <sheetName val="VC2 9.98"/>
      <sheetName val="TUAS"/>
      <sheetName val="유림골조"/>
      <sheetName val="STAND20"/>
      <sheetName val="직원동원SCH"/>
      <sheetName val="#REF"/>
      <sheetName val="수입"/>
      <sheetName val="Cash2"/>
      <sheetName val="Z"/>
      <sheetName val="h-013211-2"/>
      <sheetName val="공통비총괄표"/>
      <sheetName val="손익차9월2"/>
      <sheetName val="11월 실적"/>
      <sheetName val="Sheet1"/>
      <sheetName val="내역서"/>
      <sheetName val="slipsumpR"/>
      <sheetName val="간접비 총괄표"/>
      <sheetName val="VC2 8.98"/>
      <sheetName val="개시전표"/>
      <sheetName val="공사집계"/>
      <sheetName val="카메라"/>
      <sheetName val="TOWER 12TON"/>
      <sheetName val="TOWER 10TON"/>
      <sheetName val="잡비계산"/>
      <sheetName val="가제당공사비"/>
      <sheetName val="기초처리공사비"/>
      <sheetName val="복통공사비"/>
      <sheetName val="본제당공사비"/>
      <sheetName val="시험비"/>
      <sheetName val="자재대"/>
      <sheetName val="중기운반비"/>
      <sheetName val="진입도로공사비"/>
      <sheetName val="취수탑공사비"/>
      <sheetName val="토취장복구"/>
      <sheetName val="Sheet2"/>
      <sheetName val="기구조직"/>
      <sheetName val="데이타"/>
      <sheetName val="식재인부"/>
      <sheetName val="JIB CRANE,HOIST"/>
      <sheetName val="집계표(육상)"/>
      <sheetName val="지급자재"/>
      <sheetName val="PRO_DCI"/>
      <sheetName val="ELEC_DCI"/>
      <sheetName val="INST_DCI"/>
      <sheetName val="연돌일위집계"/>
      <sheetName val="집계표"/>
      <sheetName val="P.M 별"/>
      <sheetName val="BM"/>
      <sheetName val="사업부배부A"/>
      <sheetName val="청산공사"/>
      <sheetName val="8.PILE  (돌출)"/>
      <sheetName val="수주추진리스트"/>
      <sheetName val="TK판매비impact"/>
      <sheetName val="TK판매비"/>
      <sheetName val="수주집계"/>
      <sheetName val="TK외판매비impact"/>
      <sheetName val="Vendors"/>
      <sheetName val="Sheet4"/>
      <sheetName val="금액내역서"/>
      <sheetName val="6PILE  (돌출)"/>
      <sheetName val="예정(3)"/>
      <sheetName val="기준"/>
      <sheetName val="2000.11월설계내역"/>
      <sheetName val="주관사업"/>
      <sheetName val="발주코드"/>
      <sheetName val="운반"/>
      <sheetName val="단중"/>
      <sheetName val="품셈표"/>
      <sheetName val="을지"/>
      <sheetName val="안전장치"/>
      <sheetName val="HKDSUMM"/>
      <sheetName val="산거각호표"/>
      <sheetName val="D-623D"/>
      <sheetName val="2.1.2예정공정율(칼라)"/>
      <sheetName val="1.1 Overall Progress"/>
      <sheetName val="TTL"/>
      <sheetName val="산근"/>
      <sheetName val="업체별SV단가"/>
      <sheetName val="ITC현황"/>
      <sheetName val="ITC 현황"/>
      <sheetName val="일위대가"/>
      <sheetName val="가격조사서"/>
      <sheetName val="대비표(실행)"/>
      <sheetName val="현장관리비증감내역"/>
      <sheetName val="부대공사비(실행)"/>
      <sheetName val="내역서(ITC)"/>
      <sheetName val="Cover_Sheet"/>
      <sheetName val="Project_Outline"/>
      <sheetName val="Contractual_Amount"/>
      <sheetName val="TENDER_vs_BUDGET"/>
      <sheetName val="직영_vs_하청_-_2"/>
      <sheetName val="96_당초Schedule"/>
      <sheetName val="96_Performance"/>
      <sheetName val="소화-투입_분석표"/>
      <sheetName val="STF_ORG(K)"/>
      <sheetName val="Staff_Org__Chart"/>
      <sheetName val="Scope_of_Work"/>
      <sheetName val="Design_Status"/>
      <sheetName val="DWG_Status"/>
      <sheetName val="MAT'L_Status"/>
      <sheetName val="Install_Status"/>
      <sheetName val="Staff_Mob__Plan"/>
      <sheetName val="M_P_Mob__Plan"/>
      <sheetName val="Eq__Mobilization"/>
      <sheetName val="Eq__Mobilization1"/>
      <sheetName val="VC2_9_98"/>
      <sheetName val="11월_실적"/>
      <sheetName val="간접비_총괄표"/>
      <sheetName val="VC2_8_98"/>
      <sheetName val="TOWER_12TON"/>
      <sheetName val="TOWER_10TON"/>
      <sheetName val="JIB_CRANE,HOIST"/>
      <sheetName val="대비표"/>
      <sheetName val="집계표(OPTION)"/>
      <sheetName val="당초"/>
      <sheetName val="4.0 (2)"/>
      <sheetName val="단가대비표"/>
      <sheetName val="일위대가(가설)"/>
      <sheetName val="노임단가"/>
      <sheetName val="예가표"/>
      <sheetName val="지급제한자"/>
      <sheetName val="BQMPALOC"/>
      <sheetName val="부대집계표(목표반영)"/>
      <sheetName val="개요"/>
      <sheetName val="배수내역"/>
      <sheetName val="M-EQPT-Z"/>
      <sheetName val="B"/>
      <sheetName val="찍기"/>
      <sheetName val="15 문제점"/>
      <sheetName val="공사비집계"/>
      <sheetName val="_"/>
      <sheetName val="REPORT07"/>
      <sheetName val="5사남"/>
      <sheetName val="소화실적"/>
      <sheetName val="단가비교"/>
      <sheetName val="99년하반기"/>
      <sheetName val="매각(6)"/>
      <sheetName val="상반기손익차2총괄"/>
      <sheetName val="공문"/>
      <sheetName val="과제정의서"/>
      <sheetName val="Sheet7"/>
      <sheetName val="BQMP"/>
      <sheetName val="Rate Analysis"/>
      <sheetName val="노동부"/>
      <sheetName val="등급기준"/>
      <sheetName val="드롭다운"/>
      <sheetName val="Disc WF (최종)"/>
      <sheetName val="Weekly WV %"/>
      <sheetName val="수지계산"/>
      <sheetName val="산출근거"/>
      <sheetName val="구분정의"/>
      <sheetName val=""/>
      <sheetName val="안산기계장치"/>
      <sheetName val="95삼성급(본사)"/>
      <sheetName val="차트 (2)"/>
      <sheetName val="업무분장"/>
      <sheetName val="Work Trade Code"/>
      <sheetName val="Sheet3"/>
      <sheetName val="목록 &amp; 환율표"/>
      <sheetName val="DHEQSUPT"/>
      <sheetName val="건설기계"/>
      <sheetName val="노임"/>
      <sheetName val="단가산출"/>
      <sheetName val="사급자재"/>
      <sheetName val="SHEET"/>
      <sheetName val="표지"/>
      <sheetName val="Cover_Sheet1"/>
      <sheetName val="Project_Outline1"/>
      <sheetName val="Contractual_Amount1"/>
      <sheetName val="TENDER_vs_BUDGET1"/>
      <sheetName val="직영_vs_하청_-_21"/>
      <sheetName val="96_당초Schedule1"/>
      <sheetName val="96_Performance1"/>
      <sheetName val="소화-투입_분석표1"/>
      <sheetName val="STF_ORG(K)1"/>
      <sheetName val="Staff_Org__Chart1"/>
      <sheetName val="Scope_of_Work1"/>
      <sheetName val="Design_Status1"/>
      <sheetName val="DWG_Status1"/>
      <sheetName val="MAT'L_Status1"/>
      <sheetName val="Install_Status1"/>
      <sheetName val="Staff_Mob__Plan1"/>
      <sheetName val="M_P_Mob__Plan1"/>
      <sheetName val="Eq__Mobilization2"/>
      <sheetName val="Eq__Mobilization3"/>
      <sheetName val="VC2_9_981"/>
      <sheetName val="11월_실적1"/>
      <sheetName val="간접비_총괄표1"/>
      <sheetName val="VC2_8_981"/>
      <sheetName val="TOWER_12TON1"/>
      <sheetName val="TOWER_10TON1"/>
      <sheetName val="JIB_CRANE,HOIST1"/>
      <sheetName val="P_M_별"/>
      <sheetName val="8_PILE__(돌출)"/>
      <sheetName val="6PILE__(돌출)"/>
      <sheetName val="2000_11월설계내역"/>
      <sheetName val="2_1_2예정공정율(칼라)"/>
      <sheetName val="1_1_Overall_Progress"/>
      <sheetName val="ITC_현황"/>
      <sheetName val="4_0_(2)"/>
      <sheetName val="목록"/>
      <sheetName val="토목"/>
      <sheetName val="인원계획"/>
      <sheetName val="연수원"/>
      <sheetName val="97년 SEACO예산"/>
      <sheetName val="영업소실적"/>
      <sheetName val="MEED"/>
      <sheetName val="DRUM"/>
      <sheetName val="4.3물량INDEX검토"/>
      <sheetName val="명부(최종)"/>
      <sheetName val="조합원세부항목(작업)"/>
      <sheetName val="50%"/>
      <sheetName val="명부"/>
      <sheetName val="선택목록"/>
      <sheetName val="실행내역"/>
      <sheetName val="제출계산서"/>
      <sheetName val="공통부대비"/>
      <sheetName val="인력(현장,직원)"/>
      <sheetName val="Embank"/>
      <sheetName val="12CGOU"/>
      <sheetName val="경영현황"/>
      <sheetName val="1.설계조건"/>
      <sheetName val="G.R300경비"/>
      <sheetName val="A-4"/>
      <sheetName val="8-31-98"/>
      <sheetName val="worksheet inchican"/>
      <sheetName val="combined 9-30"/>
      <sheetName val="입찰내역 발주처 양식"/>
      <sheetName val="0.간접비기준"/>
      <sheetName val="Lumpsum-1"/>
      <sheetName val="Lumpsum-3"/>
      <sheetName val="간접비(1)"/>
      <sheetName val="종후자산호수별가격"/>
      <sheetName val="내역"/>
      <sheetName val="BOJUNGGM"/>
      <sheetName val="A"/>
      <sheetName val="AC"/>
      <sheetName val="1"/>
      <sheetName val="FitOutConfCentre"/>
      <sheetName val="BOQ"/>
      <sheetName val="PROGRAM"/>
      <sheetName val="CASHFLOW"/>
      <sheetName val="수주현황2월"/>
      <sheetName val="정형의견"/>
      <sheetName val="은행"/>
      <sheetName val="상 부"/>
      <sheetName val="목표세부명세"/>
      <sheetName val="환율"/>
      <sheetName val="4KEB"/>
      <sheetName val="실행철강하도"/>
      <sheetName val="inter"/>
      <sheetName val="Rate_Analysis"/>
      <sheetName val="15_문제점"/>
      <sheetName val="4. 해외출장비"/>
      <sheetName val="ESCON"/>
      <sheetName val="EE-PROP"/>
      <sheetName val="7.4 유가 변동 예비비"/>
      <sheetName val="Perm. Test"/>
      <sheetName val="Daftar Sewa"/>
      <sheetName val="Peralatan"/>
      <sheetName val="Peralatan (2)"/>
      <sheetName val="Analisa Alat"/>
      <sheetName val="Option"/>
      <sheetName val="p&amp;m"/>
      <sheetName val="97 사업추정(WEKI)"/>
      <sheetName val="통합"/>
      <sheetName val="실행예산SHEET도장재검토"/>
      <sheetName val="jadw"/>
      <sheetName val="공사비총괄표"/>
      <sheetName val="성광벤드"/>
      <sheetName val="GRP PIPING"/>
      <sheetName val="현장지지물물량"/>
      <sheetName val="Summary"/>
      <sheetName val="견적기준"/>
      <sheetName val="P-LIST"/>
      <sheetName val="물가자료"/>
      <sheetName val="2000년1차"/>
      <sheetName val="단가집"/>
      <sheetName val="전열면적"/>
      <sheetName val="SEPARATOR"/>
      <sheetName val="BM "/>
      <sheetName val="DWG LIST"/>
      <sheetName val="자격 땡겨오기"/>
      <sheetName val="VAE264_VALVES"/>
      <sheetName val="5.소재"/>
      <sheetName val="B101"/>
      <sheetName val="COA-17"/>
      <sheetName val="C-18"/>
      <sheetName val="MOB-MAN1"/>
      <sheetName val="예제"/>
      <sheetName val="기준표"/>
      <sheetName val="규격"/>
      <sheetName val="노점수분"/>
      <sheetName val="자재사용현황"/>
      <sheetName val="w't table"/>
      <sheetName val="INDEX"/>
      <sheetName val="DI-ESTI"/>
      <sheetName val="KH-Q1,Q2,01"/>
      <sheetName val="NYS"/>
      <sheetName val="CAT_5"/>
      <sheetName val="kich thuoc"/>
      <sheetName val="DTHH"/>
      <sheetName val="WE'T"/>
      <sheetName val="REDUCER"/>
      <sheetName val="임율 Data"/>
      <sheetName val="Lists"/>
      <sheetName val="REV 4"/>
      <sheetName val="COL"/>
      <sheetName val="Sheet5"/>
      <sheetName val="BEND LOSS"/>
      <sheetName val="CI "/>
      <sheetName val="CI"/>
      <sheetName val="FM"/>
      <sheetName val="piedathot"/>
      <sheetName val="projcasflo"/>
      <sheetName val="Parameter"/>
      <sheetName val="금융"/>
      <sheetName val="SG"/>
      <sheetName val="Dropdown"/>
      <sheetName val="Database"/>
      <sheetName val="조도"/>
      <sheetName val="Cover_Sheet2"/>
      <sheetName val="Project_Outline2"/>
      <sheetName val="Contractual_Amount2"/>
      <sheetName val="TENDER_vs_BUDGET2"/>
      <sheetName val="직영_vs_하청_-_22"/>
      <sheetName val="96_당초Schedule2"/>
      <sheetName val="96_Performance2"/>
      <sheetName val="소화-투입_분석표2"/>
      <sheetName val="STF_ORG(K)2"/>
      <sheetName val="Staff_Org__Chart2"/>
      <sheetName val="Scope_of_Work2"/>
      <sheetName val="Design_Status2"/>
      <sheetName val="DWG_Status2"/>
      <sheetName val="MAT'L_Status2"/>
      <sheetName val="Install_Status2"/>
      <sheetName val="Staff_Mob__Plan2"/>
      <sheetName val="M_P_Mob__Plan2"/>
      <sheetName val="Eq__Mobilization4"/>
      <sheetName val="Eq__Mobilization5"/>
      <sheetName val="VC2_9_982"/>
      <sheetName val="11월_실적2"/>
      <sheetName val="간접비_총괄표2"/>
      <sheetName val="VC2_8_982"/>
      <sheetName val="TOWER_12TON2"/>
      <sheetName val="TOWER_10TON2"/>
      <sheetName val="JIB_CRANE,HOIST2"/>
      <sheetName val="P_M_별1"/>
      <sheetName val="8_PILE__(돌출)1"/>
      <sheetName val="6PILE__(돌출)1"/>
      <sheetName val="2000_11월설계내역1"/>
      <sheetName val="2_1_2예정공정율(칼라)1"/>
      <sheetName val="1_1_Overall_Progress1"/>
      <sheetName val="ITC_현황1"/>
      <sheetName val="4_0_(2)1"/>
      <sheetName val="1-Schedule"/>
      <sheetName val="0-Quantity"/>
      <sheetName val="Grf"/>
      <sheetName val="TRUCK HAUL CYCLE-waste"/>
      <sheetName val="Land Dev't. Ph-1"/>
      <sheetName val="Shut down"/>
      <sheetName val="Building"/>
      <sheetName val="Schedule S-Curve Revision#3"/>
      <sheetName val="Table"/>
      <sheetName val="Parameters"/>
      <sheetName val="0000"/>
      <sheetName val="GAE8'97"/>
      <sheetName val="03"/>
      <sheetName val="DESIGN"/>
      <sheetName val="DESBASTE"/>
      <sheetName val="Code 07"/>
      <sheetName val="추가예산"/>
      <sheetName val="_REF"/>
      <sheetName val="갑지"/>
      <sheetName val="Курсы"/>
      <sheetName val="Power &amp; control cables"/>
      <sheetName val="Earthing Cables "/>
      <sheetName val="2.2 띠장의 설계"/>
      <sheetName val="자바라1"/>
      <sheetName val="해외 연수비용 계산-삭제"/>
      <sheetName val="Wind Load(3.1) (2)"/>
      <sheetName val="Wind Load(3.2)"/>
      <sheetName val="Wind Load(3.4)"/>
      <sheetName val="Ord"/>
      <sheetName val="Key Data"/>
      <sheetName val="INPUT"/>
      <sheetName val="tabulation of deductions"/>
      <sheetName val="Civilwks.Deriv"/>
      <sheetName val="Str.Deriv"/>
      <sheetName val="Existing PC Pavement"/>
      <sheetName val="Subgrade"/>
      <sheetName val="data"/>
      <sheetName val="2.223M_due to adj profit"/>
      <sheetName val="PROCURE"/>
      <sheetName val="Dico"/>
      <sheetName val="Cover"/>
      <sheetName val="Beams"/>
      <sheetName val="CABLE DATA"/>
      <sheetName val="laborrates"/>
      <sheetName val="100(4)"/>
      <sheetName val="GESTION FICHE"/>
      <sheetName val="TRADUCTION LISTES"/>
      <sheetName val="PSV2701F"/>
      <sheetName val="Costi di prod. E1 02"/>
      <sheetName val="breakdown"/>
      <sheetName val="RefG"/>
      <sheetName val="IRR sponsor"/>
      <sheetName val="CFA"/>
      <sheetName val="Material Price"/>
      <sheetName val="REBAR"/>
      <sheetName val="Assump (Time) - Project Co."/>
      <sheetName val="Arch"/>
      <sheetName val="1-G1"/>
      <sheetName val="CTEMCOST"/>
      <sheetName val="시산표"/>
      <sheetName val="MOS"/>
      <sheetName val="지원시설 내역서(154kV)"/>
      <sheetName val="Soil Parameter"/>
      <sheetName val="PCV"/>
      <sheetName val="Register"/>
      <sheetName val="Cashflow Analysis"/>
      <sheetName val="BILL"/>
      <sheetName val="DAF-4"/>
      <sheetName val="DHS AC"/>
      <sheetName val="DAF-5"/>
      <sheetName val="iTEM hARSAT"/>
      <sheetName val="analis standar(20m)"/>
      <sheetName val="ANAL BETON"/>
      <sheetName val="Pipe"/>
      <sheetName val="DESCRIPTION"/>
      <sheetName val="BM DATA SHEET"/>
      <sheetName val="BAG-III"/>
      <sheetName val="DATA PROYEK"/>
      <sheetName val="rab"/>
      <sheetName val="BA Evaluasi"/>
      <sheetName val="Permhnan CCO"/>
      <sheetName val="Persetujuan CCO"/>
      <sheetName val="Rekap MC"/>
      <sheetName val="Penyampaian Evaluasi"/>
      <sheetName val="R. RapatCCO"/>
      <sheetName val="DAFTAR HARGA"/>
      <sheetName val="Fill this out first..."/>
      <sheetName val="21"/>
      <sheetName val="analisa"/>
      <sheetName val="Master 1.0"/>
      <sheetName val="Bahan"/>
      <sheetName val="Code"/>
      <sheetName val="Default"/>
      <sheetName val="Rekap Addendum"/>
      <sheetName val="4-MVAC"/>
      <sheetName val="H.Satuan"/>
      <sheetName val="SEX"/>
      <sheetName val="7. Comparison of Asphalt etc"/>
      <sheetName val="harsat"/>
      <sheetName val="Div2"/>
      <sheetName val="Exterior"/>
      <sheetName val="Analisa Harga Satuan"/>
      <sheetName val="Hit Vol Str Jambi"/>
      <sheetName val="PE-F-33 Rev 02 Basic Proj.Info"/>
      <sheetName val="PE-F-31 Rev 01 Coversheet"/>
      <sheetName val=" PE-F-42 MR 9 Manpower"/>
      <sheetName val="AT 2"/>
      <sheetName val="615E101AB(CASE85F)"/>
      <sheetName val="BL"/>
      <sheetName val="FINAL"/>
      <sheetName val="RESUME"/>
      <sheetName val="DAPRO"/>
      <sheetName val="Mob"/>
      <sheetName val="DAFTAR ISI"/>
      <sheetName val="Benchmark"/>
      <sheetName val="금융비용"/>
      <sheetName val="간지"/>
      <sheetName val="1_설계조건"/>
      <sheetName val="Disc_WF_(최종)"/>
      <sheetName val="Weekly_WV_%"/>
      <sheetName val="차트_(2)"/>
      <sheetName val="Work_Trade_Code"/>
      <sheetName val="목록_&amp;_환율표"/>
      <sheetName val="97년_SEACO예산"/>
      <sheetName val="상_부"/>
      <sheetName val="4_3물량INDEX검토"/>
      <sheetName val="G_R300경비"/>
      <sheetName val="worksheet_inchican"/>
      <sheetName val="combined_9-30"/>
      <sheetName val="입찰내역_발주처_양식"/>
      <sheetName val="0_간접비기준"/>
      <sheetName val="SUMMARY (2)"/>
      <sheetName val="CIVIL"/>
      <sheetName val="MEP"/>
      <sheetName val="QUOTATION"/>
      <sheetName val="카5"/>
      <sheetName val="교각계산"/>
      <sheetName val="터파기및재료"/>
      <sheetName val="수안보-MBR1"/>
      <sheetName val="Labour"/>
      <sheetName val="Material"/>
      <sheetName val="Plant &amp;  Machinery"/>
      <sheetName val="石炭性状"/>
      <sheetName val="Takeoff"/>
      <sheetName val="N賃率-職"/>
      <sheetName val="Analisa (me)"/>
      <sheetName val="pro ra op"/>
      <sheetName val="grafik"/>
      <sheetName val="Indirect"/>
      <sheetName val="Rekap (2)"/>
      <sheetName val="Analisa Transport"/>
      <sheetName val="electrical Work Price List (2)"/>
      <sheetName val="ANALISA CABLE"/>
      <sheetName val="갑지(추정)"/>
      <sheetName val="page 6"/>
      <sheetName val="INSTR"/>
      <sheetName val="Piping Design Data"/>
      <sheetName val="ELECTRIC"/>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sheetData sheetId="103" refreshError="1"/>
      <sheetData sheetId="104" refreshError="1"/>
      <sheetData sheetId="105" refreshError="1"/>
      <sheetData sheetId="106" refreshError="1"/>
      <sheetData sheetId="107" refreshError="1"/>
      <sheetData sheetId="108" refreshError="1"/>
      <sheetData sheetId="109" refreshError="1"/>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유림골조"/>
      <sheetName val="변경연면적"/>
      <sheetName val="품의서"/>
      <sheetName val="건축대비"/>
      <sheetName val="부대골조"/>
      <sheetName val="아파트파일공사"/>
      <sheetName val="부대파일공사"/>
      <sheetName val="공제분"/>
      <sheetName val="상승요인분석"/>
      <sheetName val="토목공사"/>
      <sheetName val="옥외"/>
      <sheetName val="물가상승변경(960827)"/>
      <sheetName val="건축부대공사대비"/>
      <sheetName val="Sheet4"/>
      <sheetName val="공기"/>
      <sheetName val="새공통(97년3월)"/>
      <sheetName val="공사개요"/>
      <sheetName val="파일공사"/>
      <sheetName val="물량산출"/>
      <sheetName val="면적대비"/>
      <sheetName val="apt골조"/>
      <sheetName val="Sheet2"/>
      <sheetName val="Sheet3"/>
      <sheetName val="도곡동빌라트보관"/>
      <sheetName val="공사비대비"/>
      <sheetName val="Sheet5"/>
      <sheetName val="Sheet6"/>
      <sheetName val="전기"/>
      <sheetName val="12.27"/>
      <sheetName val="12.23"/>
      <sheetName val="12.16"/>
      <sheetName val="12.9"/>
      <sheetName val="12.1"/>
      <sheetName val="11.25"/>
      <sheetName val="예비2"/>
      <sheetName val="11.18"/>
      <sheetName val="10월 4"/>
      <sheetName val="10월 3"/>
      <sheetName val="사진"/>
      <sheetName val="Sheet1"/>
      <sheetName val="공사현황"/>
      <sheetName val="직원투입계획"/>
      <sheetName val="현채투입계획"/>
      <sheetName val="산출내역서"/>
      <sheetName val="마산월령동골조물량변경"/>
      <sheetName val="일위대가표"/>
      <sheetName val="현장현황"/>
      <sheetName val="공통부대비"/>
      <sheetName val="일용노임단가"/>
      <sheetName val="갑지"/>
      <sheetName val="#REF"/>
      <sheetName val="TOWER 10TON"/>
      <sheetName val="TOWER 12TON"/>
      <sheetName val="상반기손익차2총괄"/>
      <sheetName val="공통비총괄표"/>
      <sheetName val="경산"/>
      <sheetName val="내역"/>
      <sheetName val="노임단가"/>
      <sheetName val="P.M 별"/>
      <sheetName val="구의33고"/>
      <sheetName val="총괄표"/>
      <sheetName val="배수내역"/>
      <sheetName val="금융비용"/>
      <sheetName val="기초코드"/>
      <sheetName val="주요공사"/>
      <sheetName val="DHEQSUPT"/>
      <sheetName val="수입"/>
      <sheetName val="결과조달"/>
      <sheetName val="공무공A"/>
      <sheetName val="금액내역서"/>
      <sheetName val="3단계"/>
      <sheetName val="2단계"/>
      <sheetName val="2.대외공문"/>
      <sheetName val="공문"/>
      <sheetName val="70%"/>
      <sheetName val="대비"/>
      <sheetName val="Eq. Mobilization"/>
      <sheetName val="9811"/>
      <sheetName val="임대계획"/>
      <sheetName val="코드"/>
      <sheetName val="기계"/>
      <sheetName val="정화조"/>
      <sheetName val="조경"/>
      <sheetName val="토목"/>
      <sheetName val="적상기초자료"/>
      <sheetName val="현장"/>
      <sheetName val="D-623D"/>
      <sheetName val="9509"/>
      <sheetName val="내역(중앙)"/>
      <sheetName val="기초일위"/>
      <sheetName val="시설일위"/>
      <sheetName val="조명일위"/>
      <sheetName val="M-EQPT-Z"/>
      <sheetName val="MixBed"/>
      <sheetName val="CondPol"/>
      <sheetName val="노임이"/>
      <sheetName val="관람석제출"/>
      <sheetName val="청산공사"/>
      <sheetName val="입찰보고"/>
      <sheetName val="집계표"/>
      <sheetName val="CB"/>
      <sheetName val="자재(원원+원대)"/>
      <sheetName val="공통비총퐛"/>
      <sheetName val="납부서"/>
      <sheetName val="매립"/>
      <sheetName val="W-현원가"/>
      <sheetName val="SCHEDULE"/>
      <sheetName val="ELECTRIC"/>
      <sheetName val="CTEMCOST"/>
      <sheetName val="날개벽"/>
      <sheetName val="공사비집계"/>
      <sheetName val="단가비교표"/>
      <sheetName val="TRE TABLE"/>
      <sheetName val="내역_FILE"/>
      <sheetName val="Total"/>
      <sheetName val="Sheet2 (2)"/>
      <sheetName val="냉천부속동"/>
      <sheetName val="회사99"/>
      <sheetName val="대여현황"/>
      <sheetName val="하수급견적대비"/>
      <sheetName val="현장관리비"/>
      <sheetName val="골조시행"/>
      <sheetName val="일위대가(가설)"/>
      <sheetName val="와동25-3(변경)"/>
      <sheetName val="공사비예산서(토목분)"/>
      <sheetName val="가격조사서"/>
      <sheetName val="터파기및재료"/>
      <sheetName val="01"/>
      <sheetName val="Sheet15"/>
      <sheetName val="입찰"/>
      <sheetName val="현경"/>
      <sheetName val="본사공가현황"/>
      <sheetName val="실행"/>
      <sheetName val="식재인부"/>
      <sheetName val="연돌일위집계"/>
      <sheetName val="유림총괄"/>
      <sheetName val="연결임시"/>
      <sheetName val="직재"/>
      <sheetName val="예가표"/>
      <sheetName val="원가계산서"/>
      <sheetName val="방수"/>
      <sheetName val="입력"/>
      <sheetName val="물량내역"/>
      <sheetName val="도근좌표"/>
      <sheetName val="연습"/>
      <sheetName val="소방기계"/>
      <sheetName val="데이타"/>
      <sheetName val="내역서"/>
      <sheetName val="10월실적마감"/>
      <sheetName val="7월실적마감"/>
      <sheetName val="8월실적마감"/>
      <sheetName val="9월실적마감"/>
      <sheetName val="단면 (2)"/>
      <sheetName val="14 장비소요계획"/>
      <sheetName val="설계내역서"/>
      <sheetName val="문10"/>
      <sheetName val="총괄내역서"/>
      <sheetName val="노무비"/>
      <sheetName val="투입비분석표"/>
      <sheetName val="면접시간확인"/>
      <sheetName val="재집"/>
      <sheetName val="월별수입"/>
      <sheetName val="6PILE  (돌출)"/>
      <sheetName val="신대방33(적용)"/>
      <sheetName val="차액보증"/>
      <sheetName val="에너지동"/>
      <sheetName val="3.설계예산내역서(예산서)"/>
      <sheetName val="2.예정공정표"/>
      <sheetName val="BOJUNGGM"/>
      <sheetName val="원가계산서(남측)"/>
      <sheetName val="예총"/>
      <sheetName val="경영상태"/>
      <sheetName val="토목주소"/>
      <sheetName val="프랜트면허"/>
      <sheetName val="형틀공사"/>
      <sheetName val="매각(6)"/>
      <sheetName val="갑지(추정)"/>
      <sheetName val="구조물공"/>
      <sheetName val="부대공"/>
      <sheetName val="배수공"/>
      <sheetName val="토공"/>
      <sheetName val="포장공"/>
      <sheetName val="정보"/>
      <sheetName val="2.형틀공사집계"/>
      <sheetName val="백분율"/>
      <sheetName val="설직재-1"/>
      <sheetName val="3.공통공사대비"/>
      <sheetName val="잡비"/>
      <sheetName val="관급"/>
      <sheetName val="JIB CRANE,HOIST"/>
      <sheetName val="실행대비"/>
      <sheetName val="J直材4"/>
      <sheetName val="집계표(육상)"/>
      <sheetName val="지급자재"/>
      <sheetName val="간접비"/>
      <sheetName val="교통대책내역"/>
      <sheetName val="몰탈콘크리트"/>
      <sheetName val="철근집계"/>
      <sheetName val="현금흐름"/>
      <sheetName val="입찰안"/>
      <sheetName val="일위대가(계측기설치)"/>
      <sheetName val="산거각호표"/>
      <sheetName val="수주현황2월"/>
      <sheetName val="BID"/>
      <sheetName val="Sheet17"/>
      <sheetName val="업무분장"/>
      <sheetName val="손익차9월2"/>
      <sheetName val="cp1"/>
      <sheetName val="2000년1차"/>
      <sheetName val="도급,하도급 예정금액"/>
      <sheetName val="실행간접비용"/>
      <sheetName val="수량산출"/>
      <sheetName val="마감사양"/>
      <sheetName val="다곡2교"/>
      <sheetName val="집계"/>
      <sheetName val="일위대가"/>
      <sheetName val="1.취수장"/>
      <sheetName val="4차원가계산서"/>
      <sheetName val="3.바닥판  "/>
      <sheetName val="DATE"/>
      <sheetName val="방배동내역(리라)"/>
      <sheetName val="부대공사총괄"/>
      <sheetName val="현장경비"/>
      <sheetName val="건축공사집계표"/>
      <sheetName val="N賃率-職"/>
      <sheetName val="현금흐름(SPC)"/>
      <sheetName val="단가"/>
      <sheetName val="1차 내역서"/>
      <sheetName val="교각1"/>
      <sheetName val="SG"/>
      <sheetName val="단가산출2"/>
      <sheetName val="대치판정"/>
      <sheetName val="전장품(관리용)"/>
      <sheetName val="건축내역"/>
      <sheetName val="BASIC (2)"/>
      <sheetName val="부서현황"/>
      <sheetName val="2.ㄱ)교량"/>
      <sheetName val="9GNG운반"/>
      <sheetName val="배수내역 (2)"/>
      <sheetName val="적점"/>
      <sheetName val="돈암사업"/>
      <sheetName val="목표세부명세"/>
      <sheetName val="관로토공"/>
      <sheetName val="공량산출서"/>
      <sheetName val="변경내역"/>
      <sheetName val="수목데이타 "/>
      <sheetName val="실행(ALT1)"/>
      <sheetName val="마포토정"/>
      <sheetName val="부대tu"/>
      <sheetName val="직노"/>
      <sheetName val="친환경주택"/>
      <sheetName val="설비(제출)"/>
      <sheetName val="소비자가"/>
      <sheetName val="1ST"/>
      <sheetName val="자동제어"/>
      <sheetName val="청구"/>
      <sheetName val="공통비(전체)"/>
      <sheetName val="1.우편집중내역서"/>
      <sheetName val="대비표"/>
      <sheetName val="2차공사"/>
      <sheetName val="대림경상68억"/>
      <sheetName val="해외(원화)"/>
      <sheetName val="우,오수"/>
      <sheetName val="실행내역"/>
      <sheetName val="기초목"/>
      <sheetName val="기초1"/>
      <sheetName val="일위목록"/>
      <sheetName val="금액순"/>
      <sheetName val="부산제일극장"/>
      <sheetName val="세금자료"/>
      <sheetName val="배수관공"/>
      <sheetName val="공정"/>
      <sheetName val="첨부1"/>
      <sheetName val="토공(우물통,기타) "/>
      <sheetName val="집수정_600_700_"/>
      <sheetName val="입찰내역 발주처 양식"/>
      <sheetName val="__"/>
      <sheetName val="직접인건비"/>
      <sheetName val="직접경비"/>
      <sheetName val="간접"/>
      <sheetName val="사통"/>
      <sheetName val="수지표"/>
      <sheetName val="소일위대가코드표"/>
      <sheetName val="견적초기자료"/>
      <sheetName val="전통건설"/>
      <sheetName val="7월11일"/>
      <sheetName val="Ctrl"/>
      <sheetName val="이자"/>
      <sheetName val="변제"/>
      <sheetName val="상환대상"/>
      <sheetName val="attchament-Work Trade"/>
      <sheetName val="attchament-Type of Facilities"/>
      <sheetName val="기계경비(시간당)"/>
      <sheetName val="AS복구"/>
      <sheetName val="중기터파기"/>
      <sheetName val="변수값"/>
      <sheetName val="중기상차"/>
      <sheetName val="토사(PE)"/>
      <sheetName val="CONCRETE"/>
      <sheetName val="교사기준면적(초등)"/>
      <sheetName val="CON'C"/>
      <sheetName val="총괄"/>
      <sheetName val="견적서(갑지)"/>
      <sheetName val="TC#1"/>
      <sheetName val="TC#2"/>
      <sheetName val="TC#3"/>
      <sheetName val="TC#4"/>
      <sheetName val="TC#5"/>
      <sheetName val="TC#6"/>
      <sheetName val="해체용 크레인1"/>
      <sheetName val="해체용 크레인2"/>
      <sheetName val="ADmin"/>
      <sheetName val="9512BS-1"/>
      <sheetName val="pier(각형)"/>
      <sheetName val="95년12월말"/>
      <sheetName val="96노임기준"/>
      <sheetName val="관접합및부설"/>
      <sheetName val="대구역사"/>
      <sheetName val="작성가이드"/>
      <sheetName val="Z"/>
      <sheetName val="Cash2"/>
      <sheetName val="Ref."/>
      <sheetName val="1062-X방향 "/>
      <sheetName val="산근"/>
      <sheetName val="도급원가"/>
      <sheetName val="기준및분포(OT)"/>
      <sheetName val="5사남"/>
      <sheetName val="Currency"/>
      <sheetName val="Phan tich ca may"/>
      <sheetName val="Chenh lech ca may"/>
      <sheetName val="TLg CN&amp;Laixe"/>
      <sheetName val="TLg CN&amp;Laixe (2)"/>
      <sheetName val="TLg Laitau"/>
      <sheetName val="TLg Laitau (2)"/>
      <sheetName val="escon"/>
      <sheetName val="tifico"/>
      <sheetName val="민감도"/>
      <sheetName val="국영"/>
      <sheetName val="Control Sheet"/>
      <sheetName val="별제권_정리담보권1"/>
      <sheetName val="mat status (elec)"/>
      <sheetName val="제출계산서"/>
      <sheetName val="침하계"/>
      <sheetName val="자료"/>
      <sheetName val="견적서-골조공사"/>
      <sheetName val="화전내"/>
      <sheetName val="7월"/>
      <sheetName val="12_27"/>
      <sheetName val="12_23"/>
      <sheetName val="12_16"/>
      <sheetName val="12_9"/>
      <sheetName val="12_1"/>
      <sheetName val="11_25"/>
      <sheetName val="11_18"/>
      <sheetName val="10월_4"/>
      <sheetName val="10월_3"/>
      <sheetName val="TOWER_10TON"/>
      <sheetName val="TOWER_12TON"/>
      <sheetName val="P_M_별"/>
      <sheetName val="2_대외공문"/>
      <sheetName val="Eq__Mobilization"/>
      <sheetName val="TRE_TABLE"/>
      <sheetName val="Sheet2_(2)"/>
      <sheetName val="단면_(2)"/>
      <sheetName val="14_장비소요계획"/>
      <sheetName val="6PILE__(돌출)"/>
      <sheetName val="3_설계예산내역서(예산서)"/>
      <sheetName val="2_예정공정표"/>
      <sheetName val="2_형틀공사집계"/>
      <sheetName val="JIB_CRANE,HOIST"/>
      <sheetName val="3_공통공사대비"/>
      <sheetName val="1_취수장"/>
      <sheetName val="3_바닥판__"/>
      <sheetName val="도급,하도급_예정금액"/>
      <sheetName val="1차_내역서"/>
      <sheetName val="BASIC_(2)"/>
      <sheetName val="2_ㄱ)교량"/>
      <sheetName val="배수내역_(2)"/>
      <sheetName val="수목데이타_"/>
      <sheetName val="1_우편집중내역서"/>
      <sheetName val="입찰내역_발주처_양식"/>
      <sheetName val="토공(우물통,기타)_"/>
      <sheetName val="★자금집행관리"/>
      <sheetName val="금융"/>
      <sheetName val="STAND20"/>
      <sheetName val="시화점실행"/>
      <sheetName val="POL6차-PIPING"/>
      <sheetName val="2-3.V.D일위"/>
      <sheetName val="일반공사"/>
      <sheetName val="표지"/>
      <sheetName val="CONDITION"/>
      <sheetName val="내부마감"/>
      <sheetName val="갑지 (2)"/>
      <sheetName val="도급변경내용)"/>
      <sheetName val="갑지수정"/>
      <sheetName val="총괄산출표"/>
      <sheetName val="공통가설"/>
      <sheetName val="토공(을)"/>
      <sheetName val="건축집계표"/>
      <sheetName val="부대시설"/>
      <sheetName val="2골조 "/>
      <sheetName val="마감내역"/>
      <sheetName val="설비집계표"/>
      <sheetName val="설비내역서"/>
      <sheetName val="전기집계표"/>
      <sheetName val="전기내역서"/>
      <sheetName val="표지 (2)"/>
      <sheetName val="지질"/>
      <sheetName val="수량"/>
      <sheetName val="골조물량"/>
      <sheetName val="마감산출"/>
      <sheetName val="PILE (300×200)"/>
      <sheetName val="PILE (300×300)"/>
      <sheetName val="PILE (300×150)"/>
      <sheetName val="을지"/>
      <sheetName val="갑지1"/>
      <sheetName val="GAEYO"/>
      <sheetName val="도급제출3(5.20)"/>
      <sheetName val="을"/>
      <sheetName val="APT"/>
      <sheetName val="BSD (2)"/>
      <sheetName val="건축집계"/>
      <sheetName val="TEST1"/>
      <sheetName val="구조물"/>
      <sheetName val="계수시트"/>
      <sheetName val="Work-Condition"/>
      <sheetName val="정공공사"/>
      <sheetName val="6호기"/>
      <sheetName val="기본일위"/>
      <sheetName val="조달청적격심사"/>
      <sheetName val="Y-WORK"/>
      <sheetName val="해평견적"/>
      <sheetName val="전기공사"/>
      <sheetName val="설명서 "/>
      <sheetName val="설계명세서"/>
      <sheetName val="램머"/>
      <sheetName val="자재단가비교표"/>
      <sheetName val="교육종류"/>
      <sheetName val="내역서-수정본"/>
      <sheetName val="견적대비표"/>
      <sheetName val="G.R300경비"/>
      <sheetName val="일반부표"/>
      <sheetName val="FURNITURE-01"/>
      <sheetName val="1호구조물"/>
      <sheetName val="약품설비"/>
      <sheetName val="코드표"/>
      <sheetName val="45,46"/>
      <sheetName val="2.토목공사"/>
      <sheetName val="산출3-동력"/>
      <sheetName val="산출4-전등"/>
      <sheetName val="경비"/>
      <sheetName val="적용"/>
      <sheetName val="구역화물"/>
      <sheetName val="단가일람"/>
      <sheetName val="역T형"/>
      <sheetName val="BEND LOSS"/>
      <sheetName val="9902"/>
      <sheetName val="3월"/>
      <sheetName val="4월"/>
      <sheetName val="5월"/>
      <sheetName val="자재 집계표"/>
      <sheetName val="인사자료총집계"/>
      <sheetName val="FB25JN"/>
      <sheetName val="21301동"/>
      <sheetName val="CATV"/>
      <sheetName val="참조"/>
      <sheetName val="갑"/>
      <sheetName val="기존단가 (2)"/>
      <sheetName val="갑지_(2)"/>
      <sheetName val="2골조_"/>
      <sheetName val="표지_(2)"/>
      <sheetName val="PILE_(300×200)"/>
      <sheetName val="PILE_(300×300)"/>
      <sheetName val="PILE_(300×150)"/>
      <sheetName val="BSD_(2)"/>
      <sheetName val="기존단가_(2)"/>
      <sheetName val="도급제출3(5_20)"/>
      <sheetName val="설명서_"/>
      <sheetName val="단가(자재)"/>
      <sheetName val="단가(노임)"/>
      <sheetName val="기초목록"/>
      <sheetName val="전차선로 물량표"/>
      <sheetName val="청천내"/>
      <sheetName val="출자한도"/>
      <sheetName val="9-1차이내역"/>
      <sheetName val="경량천정"/>
      <sheetName val="ㄱ"/>
      <sheetName val="교량하부공"/>
      <sheetName val="환율"/>
      <sheetName val="정부노임단가"/>
      <sheetName val="ETC"/>
      <sheetName val="내역서 (2)"/>
      <sheetName val="수량산출(음암)"/>
      <sheetName val="2. 공원조도"/>
      <sheetName val="b_balju"/>
      <sheetName val="에너지요금"/>
      <sheetName val="부하계산서"/>
      <sheetName val="견적"/>
      <sheetName val="기안"/>
      <sheetName val="개산공사비"/>
      <sheetName val="자재단가"/>
      <sheetName val="기기리스트"/>
      <sheetName val="교각별철근수량집계표"/>
      <sheetName val="적용률"/>
      <sheetName val="세부내역"/>
      <sheetName val="INPUT"/>
      <sheetName val="I一般比"/>
      <sheetName val="97 사업추정(WEKI)"/>
      <sheetName val="ACT_Dol"/>
      <sheetName val="ACT_Jhr"/>
      <sheetName val="FCST_Dol"/>
      <sheetName val="FCST_Jhr"/>
      <sheetName val="시행예산"/>
      <sheetName val="설계기준"/>
      <sheetName val="내역1"/>
      <sheetName val="내역서(교량)전체"/>
      <sheetName val="database"/>
      <sheetName val="실행(1)"/>
      <sheetName val="SUMMARY"/>
      <sheetName val="PAINT"/>
      <sheetName val="선원비계산"/>
      <sheetName val="여비교통비지출품의서"/>
      <sheetName val="개요"/>
      <sheetName val="도급"/>
      <sheetName val="원효펌프교체020812"/>
      <sheetName val="부하(성남)"/>
      <sheetName val="연부97-1"/>
      <sheetName val="송장갑지(6월)"/>
      <sheetName val="2000전체분"/>
      <sheetName val="건축2"/>
      <sheetName val="비교1"/>
      <sheetName val="입력시트"/>
      <sheetName val="chiet tinh"/>
      <sheetName val="新规"/>
      <sheetName val="手动计画"/>
      <sheetName val="0226"/>
      <sheetName val="조명시설"/>
      <sheetName val="FA_SUMMARY"/>
      <sheetName val="Raw Data"/>
      <sheetName val="15 문제점"/>
      <sheetName val="6MONTHS"/>
      <sheetName val="FRP PIPING 일위대가"/>
      <sheetName val="000000"/>
      <sheetName val="별표 "/>
      <sheetName val="Sheet13"/>
      <sheetName val="조도"/>
      <sheetName val="Sheet14"/>
      <sheetName val="P-J"/>
      <sheetName val="은행"/>
      <sheetName val="시장성초안camera"/>
      <sheetName val="3지구단위"/>
      <sheetName val="안산기계장치"/>
      <sheetName val="Finansal tamamlanma Eğrisi"/>
      <sheetName val="내역표지"/>
      <sheetName val="배관내역"/>
      <sheetName val="IGCC査定"/>
      <sheetName val="수량산출서"/>
      <sheetName val="gyun"/>
      <sheetName val="전계가"/>
      <sheetName val="CAUDIT"/>
      <sheetName val="9.1"/>
      <sheetName val="회사정보"/>
      <sheetName val="EQT-ESTN"/>
      <sheetName val="공사투입계획(변경결의)19.9"/>
      <sheetName val="노무비 월별지급현황19.9"/>
      <sheetName val="갑지(외주기성)19.9"/>
      <sheetName val="명부(일부)"/>
      <sheetName val=" 견적서"/>
      <sheetName val="실행철강하도"/>
      <sheetName val="동해title"/>
      <sheetName val="DAF-2"/>
      <sheetName val="Total(현장)"/>
      <sheetName val="Month"/>
      <sheetName val="전도금 지출"/>
      <sheetName val="Pivot(월)"/>
      <sheetName val="Pivot(합계)"/>
      <sheetName val="카메라"/>
      <sheetName val="mm10"/>
      <sheetName val="변경내역대비표(2)"/>
      <sheetName val="CAPVC"/>
      <sheetName val="집계표(OPTION)"/>
      <sheetName val="負荷集計（断熱不燃）"/>
      <sheetName val="264"/>
      <sheetName val="의뢰서"/>
      <sheetName val="김해식"/>
      <sheetName val="DATA"/>
      <sheetName val="Instructions"/>
      <sheetName val="방배동내역 (총괄)"/>
      <sheetName val="합벽,옹벽"/>
      <sheetName val="중기가격"/>
      <sheetName val="2.2 STAFF Scedule"/>
      <sheetName val="0201"/>
      <sheetName val="Koordinat"/>
      <sheetName val="견적서"/>
      <sheetName val="F4-F7"/>
      <sheetName val="HANDHOLE(2)"/>
      <sheetName val="PAD TR보호대기초"/>
      <sheetName val="가로등기초"/>
      <sheetName val="2.야탑"/>
      <sheetName val="단가표"/>
      <sheetName val="날개벽수량표"/>
      <sheetName val="일위대가(여기까지)"/>
      <sheetName val="수리결과"/>
      <sheetName val="시산표"/>
      <sheetName val="ENE-CAL"/>
      <sheetName val="DQE-MEN-EXT"/>
      <sheetName val="기준및분포_OT_"/>
      <sheetName val="MEXICO-C"/>
      <sheetName val="FAB별"/>
      <sheetName val="견적의뢰"/>
      <sheetName val="단위세대물량"/>
      <sheetName val="물량산출근거"/>
      <sheetName val="별첨1_수량산출체크리스트"/>
      <sheetName val="철근단가검토"/>
      <sheetName val="골조수량대비표"/>
      <sheetName val="Cash Flow bulanan"/>
      <sheetName val="TTL"/>
      <sheetName val="보고"/>
      <sheetName val="ENG-101"/>
      <sheetName val="할증 "/>
      <sheetName val="수문보고"/>
      <sheetName val="실행내역서"/>
      <sheetName val="attchament-Work_Trade"/>
      <sheetName val="attchament-Type_of_Facilities"/>
      <sheetName val="라"/>
      <sheetName val="기본1"/>
      <sheetName val="수정일위대가"/>
      <sheetName val="급수급탕"/>
      <sheetName val="archi(본사)"/>
      <sheetName val="B"/>
      <sheetName val="cctv"/>
      <sheetName val="개시대사 (2)"/>
      <sheetName val="40총괄"/>
      <sheetName val="40집계"/>
      <sheetName val="Perm. Test"/>
      <sheetName val="DB@Acess"/>
      <sheetName val="Civil"/>
      <sheetName val="NozzleData"/>
      <sheetName val="22.사인물(건)"/>
      <sheetName val="조명율표"/>
      <sheetName val=" PE-F-42 MR 9 Manpower"/>
      <sheetName val="방배동내역 _x0000__x0000__x0005__x0000_"/>
      <sheetName val="BQMPALOC"/>
      <sheetName val="Main Summary"/>
      <sheetName val="노무비 월별지급현황_x0000__x0000__x0005__x0000_"/>
      <sheetName val="집계표(OPTION_x0000_"/>
      <sheetName val="LTR-2"/>
      <sheetName val="Balance"/>
      <sheetName val="Medagama"/>
      <sheetName val="Sandunpura"/>
      <sheetName val="Veheragala"/>
      <sheetName val="Collection"/>
      <sheetName val="Rainfall Data"/>
      <sheetName val="Mahawanawela"/>
      <sheetName val="Nuwaragala"/>
      <sheetName val="Siripura"/>
      <sheetName val="Background"/>
      <sheetName val="노임"/>
      <sheetName val="선수금"/>
      <sheetName val="조덅일위"/>
      <sheetName val="목표세부덅세"/>
      <sheetName val="설덅서 "/>
      <sheetName val="설계덅세서"/>
      <sheetName val="설덅서_"/>
      <sheetName val="조덅시설"/>
      <sheetName val="DETAIL"/>
      <sheetName val="schedule nos"/>
      <sheetName val="부안일위"/>
      <sheetName val="본지사합"/>
      <sheetName val="분석"/>
      <sheetName val="CAPV_x0000_"/>
      <sheetName val="설계명세"/>
      <sheetName val="VS P-Q"/>
      <sheetName val="DATA2000"/>
      <sheetName val="STAND98"/>
      <sheetName val="현장관리비(을)"/>
      <sheetName val="목공사품의서"/>
      <sheetName val="30신설일위대가"/>
      <sheetName val="30집계표"/>
      <sheetName val="음료실행"/>
      <sheetName val="기성내역"/>
      <sheetName val="단면치수"/>
      <sheetName val="제직재"/>
      <sheetName val="PRO_DCI"/>
      <sheetName val="page 6"/>
      <sheetName val="변수표"/>
      <sheetName val="98수문일위"/>
      <sheetName val="신표지1"/>
      <sheetName val="기본DATA"/>
      <sheetName val="Piping Design Data"/>
      <sheetName val="A-4"/>
      <sheetName val="1"/>
      <sheetName val="업무처리전"/>
      <sheetName val="방배동내역 "/>
      <sheetName val="노무비 월별지급현황"/>
      <sheetName val="sum1 (2)"/>
      <sheetName val="Bill 5 - Carpark"/>
      <sheetName val="9.ﴃ"/>
      <sheetName val="9.﷾"/>
      <sheetName val="9.灏"/>
      <sheetName val="9.灯"/>
      <sheetName val="9.炥"/>
      <sheetName val="철골공사"/>
      <sheetName val="구성비"/>
      <sheetName val="工완성공사율"/>
      <sheetName val="공통비비교"/>
      <sheetName val="평가데이터"/>
      <sheetName val=" 갑  지 "/>
      <sheetName val="계좌번호"/>
      <sheetName val="COVER"/>
      <sheetName val="D:\현대0526-------11111\유림골조"/>
      <sheetName val="Comparative Cluster Inner"/>
      <sheetName val="Sheet1 (2)"/>
      <sheetName val="DRUM"/>
      <sheetName val="Conn. Lib"/>
      <sheetName val="1 park lane"/>
      <sheetName val="sal"/>
      <sheetName val="SIVA"/>
      <sheetName val="품의"/>
      <sheetName val="EE-PROP"/>
      <sheetName val="부표총괄"/>
      <sheetName val="지급어음(일별)"/>
      <sheetName val="[유림골조]D____0526_______11111___2"/>
      <sheetName val="A"/>
      <sheetName val="9."/>
      <sheetName val="정렬"/>
      <sheetName val="_x0004__x0000_숷트_x0004__x0000_䄄22䢳"/>
      <sheetName val=""/>
      <sheetName val="설계조건"/>
      <sheetName val="시험구분-단가표"/>
      <sheetName val="Ⅴ-2.공종별내역"/>
      <sheetName val="설계서"/>
      <sheetName val="산출기초조사서"/>
      <sheetName val="기계경비산출"/>
      <sheetName val="세척면적산출"/>
      <sheetName val="Hệ số"/>
      <sheetName val="Động cơ"/>
      <sheetName val="제조원가"/>
      <sheetName val="Du_lieu"/>
      <sheetName val="1.2 Staff Schedule"/>
      <sheetName val="PROJECT LIST"/>
      <sheetName val="PROGRAM"/>
      <sheetName val="CASHFLOW"/>
      <sheetName val="PriceSummary"/>
      <sheetName val="Bill 10"/>
      <sheetName val="Doors"/>
      <sheetName val="NCR"/>
      <sheetName val="Sch. Areas"/>
      <sheetName val="LDP"/>
      <sheetName val="Work Flow (Manhours%)"/>
      <sheetName val="eval"/>
      <sheetName val="BOQ Summary"/>
      <sheetName val="E_Summary"/>
      <sheetName val="D_Cntnts"/>
      <sheetName val="Cash Flow"/>
      <sheetName val="Notes"/>
      <sheetName val="Tank_3_1"/>
      <sheetName val="Assumptions"/>
      <sheetName val="Equip"/>
      <sheetName val="EEV(Prilim)"/>
      <sheetName val="CoverPage"/>
      <sheetName val="수목단가"/>
      <sheetName val="시설수량표"/>
      <sheetName val="식재수량표"/>
      <sheetName val="원본"/>
      <sheetName val="SUM(D2)"/>
      <sheetName val="PI"/>
      <sheetName val="Pier 3"/>
      <sheetName val="hist&amp;proj"/>
      <sheetName val="SAT-BHN"/>
      <sheetName val="trf(36%)"/>
      <sheetName val="방배동내역 _x0000__x0000__x0005__x00"/>
      <sheetName val="장비명"/>
      <sheetName val="주요자재집계"/>
      <sheetName val="Div26 - Elect"/>
      <sheetName val="CODE"/>
      <sheetName val="FAB&amp;EUV TOTAL"/>
      <sheetName val="관리비현황"/>
      <sheetName val="工程量清单(신축공사)"/>
      <sheetName val="품"/>
      <sheetName val="石炭性状"/>
      <sheetName val="주간기성"/>
      <sheetName val="Finansal tamamlanma Ek_x0000_Ԁ_x0000_　"/>
      <sheetName val="Finansal tamamlanma Ek_x0000_Ԁ_x0000_䀀"/>
      <sheetName val="Finansal tamamlanma Ek_x0000_Ԁ_x0000_"/>
      <sheetName val="Finansal tamamlanma Ek_x0000_Ԁ_x0000_"/>
      <sheetName val="Finansal tamamlanma Ek_x0000_Ԁ_x0000_뀀"/>
      <sheetName val="Finansal tamamlanma Ek_x0000_Ԁ_x0000_쀀"/>
      <sheetName val="mm_x0000__x0000_"/>
      <sheetName val="방배동내⒀꺚᠀滏ﴃ"/>
      <sheetName val="도"/>
      <sheetName val="_x0004__x0000_숷트_x0004__x0000_䄄"/>
      <sheetName val="중기조종사 단위단가"/>
      <sheetName val="집계표(OP_x0000__x0000_Ԁ_x0000_耀"/>
      <sheetName val="집계표(OP_x0000__x0000_Ԁ_x0000__x0000_"/>
      <sheetName val="집계표(OP_x0000__x0000_Ԁ_x0000_䀀"/>
      <sheetName val="집계표(OP_x0000__x0000_Ԁ_x0000_쀀"/>
      <sheetName val="sc"/>
      <sheetName val="IH 03.21"/>
      <sheetName val="OS - 04.2020"/>
      <sheetName val="OS - 07.2020"/>
      <sheetName val="OS - 08.2020"/>
      <sheetName val="OS - 09.2020"/>
      <sheetName val="OS - 10.2020"/>
      <sheetName val="OS - 12.2020"/>
      <sheetName val="OS - 01.2021"/>
      <sheetName val="OS - 02.2021"/>
      <sheetName val="OS - 04.2021"/>
      <sheetName val="OS - 05.2021"/>
      <sheetName val="OS - 06.2021"/>
      <sheetName val="OS - 07.2021"/>
      <sheetName val="OS - 08.2021"/>
      <sheetName val="OS - 09.2021"/>
      <sheetName val="OS - 10.2021"/>
      <sheetName val="OS - 11.2021"/>
      <sheetName val="OS - 12.2021"/>
      <sheetName val="OS - 05.2020"/>
      <sheetName val="OS - 06.2020"/>
      <sheetName val="OS - 11.2020"/>
      <sheetName val="OS - 03.2021"/>
      <sheetName val="Beam Sched"/>
      <sheetName val="INSIND"/>
      <sheetName val="ESTIMATE"/>
      <sheetName val="BREAKDOWN(철거설치)"/>
      <sheetName val="Micro"/>
      <sheetName val="Macro"/>
      <sheetName val="Scaff-Rose"/>
      <sheetName val="FFILL"/>
      <sheetName val="Measur"/>
      <sheetName val="※참고자료※"/>
      <sheetName val="기초자료"/>
      <sheetName val="당초"/>
      <sheetName val="負荷集計（断熱不燃_x0000_"/>
      <sheetName val="HX"/>
      <sheetName val="Sheet8"/>
      <sheetName val="_x0004_"/>
      <sheetName val="Finansal tamamlanma Ek"/>
      <sheetName val="10한빛"/>
      <sheetName val="WORK"/>
      <sheetName val="CAL1"/>
      <sheetName val="GRDBS"/>
      <sheetName val="골조"/>
      <sheetName val="負荷集計（断熱不燃ᅠ"/>
      <sheetName val="건축내역서"/>
      <sheetName val="[유림골조]D____0526_______11111___3"/>
      <sheetName val="일위"/>
      <sheetName val="cover page"/>
      <sheetName val="FitOutConfCentre"/>
      <sheetName val="SubmitCal"/>
      <sheetName val="BOQ"/>
      <sheetName val="(원문)특허실용의장"/>
      <sheetName val="견적대비 견적서"/>
      <sheetName val="Finansal tamamlanma Ek_x0000_Ԁ_"/>
      <sheetName val="방배동내隧　뀞"/>
      <sheetName val="RAB AR&amp;STR"/>
      <sheetName val="납부확인서(퇴직공제)"/>
      <sheetName val="ABK.04.AWALR+CO+TAB.RUPS"/>
      <sheetName val="Hujan BUlanan"/>
      <sheetName val="합천내역"/>
      <sheetName val="負荷集計ß_x0000_Ԁ_x0000_ကࡗ"/>
      <sheetName val="NPV"/>
      <sheetName val="PNT"/>
      <sheetName val="L 1"/>
      <sheetName val="RAB"/>
      <sheetName val="BAG_2"/>
      <sheetName val="BOX-1510"/>
      <sheetName val="운반"/>
      <sheetName val="집계표(OP_x0000__x0000_Ԁ_x0000__x0"/>
      <sheetName val="방배동내_x0000__x0000__x0000__x0000__x0000__x0000_"/>
      <sheetName val="주식"/>
      <sheetName val="중기비"/>
      <sheetName val="집계표(OP"/>
      <sheetName val="Progress Tables"/>
      <sheetName val="FORM-0"/>
      <sheetName val="Instruction_x0000_"/>
      <sheetName val="Rates"/>
      <sheetName val="CASHFLOWS"/>
      <sheetName val="Basic Rate"/>
      <sheetName val="[유림골조]D__현_0526_______11111_유_2"/>
      <sheetName val="방배동내_x0000__x0000__x0000__x0000"/>
      <sheetName val="slipsumpR"/>
      <sheetName val="1-Executive Summary"/>
      <sheetName val="Contract Summary"/>
      <sheetName val="UB Beam Box-up"/>
      <sheetName val="Cashflow Analysis"/>
      <sheetName val="방배동내역 ??_x0005_?"/>
      <sheetName val="집계표(OPTION?"/>
      <sheetName val="노무비 월별지급현황??_x0005_?"/>
      <sheetName val="CAPV?"/>
      <sheetName val="_x0004_?숷트_x0004_?䄄22䢳"/>
      <sheetName val="ANX3A11"/>
      <sheetName val="BM"/>
      <sheetName val="영동(D)"/>
      <sheetName val="負荷集計劬_x0010__x0000__x0000__x0000__x0000_"/>
      <sheetName val="CAUDIÀ"/>
      <sheetName val="2000년 공정표"/>
      <sheetName val="참고자료"/>
      <sheetName val="2공구산출내역"/>
      <sheetName val="인원계획"/>
      <sheetName val="Fitting"/>
      <sheetName val="ch"/>
      <sheetName val="Equip COA Sumry"/>
      <sheetName val="AC"/>
      <sheetName val="방배동내_x0000__x0000_Ԁ_x0000__x0000_﷪"/>
      <sheetName val="방배동내_x0000__x0000_Ԁ_x0000__x0000_Ǒ"/>
      <sheetName val="Key Ratios"/>
      <sheetName val="12_271"/>
      <sheetName val="12_231"/>
      <sheetName val="12_161"/>
      <sheetName val="12_91"/>
      <sheetName val="12_11"/>
      <sheetName val="11_251"/>
      <sheetName val="11_181"/>
      <sheetName val="10월_41"/>
      <sheetName val="10월_31"/>
      <sheetName val="TOWER_10TON1"/>
      <sheetName val="TOWER_12TON1"/>
      <sheetName val="P_M_별1"/>
      <sheetName val="2_대외공문1"/>
      <sheetName val="Eq__Mobilization1"/>
      <sheetName val="TRE_TABLE1"/>
      <sheetName val="Sheet2_(2)1"/>
      <sheetName val="단면_(2)1"/>
      <sheetName val="14_장비소요계획1"/>
      <sheetName val="6PILE__(돌출)1"/>
      <sheetName val="3_설계예산내역서(예산서)1"/>
      <sheetName val="2_예정공정표1"/>
      <sheetName val="2_형틀공사집계1"/>
      <sheetName val="3_공통공사대비1"/>
      <sheetName val="JIB_CRANE,HOIST1"/>
      <sheetName val="1_취수장1"/>
      <sheetName val="3_바닥판__1"/>
      <sheetName val="도급,하도급_예정금액1"/>
      <sheetName val="1차_내역서1"/>
      <sheetName val="BASIC_(2)1"/>
      <sheetName val="2_ㄱ)교량1"/>
      <sheetName val="배수내역_(2)1"/>
      <sheetName val="수목데이타_1"/>
      <sheetName val="1_우편집중내역서1"/>
      <sheetName val="입찰내역_발주처_양식1"/>
      <sheetName val="토공(우물통,기타)_1"/>
      <sheetName val="attchament-Work_Trade1"/>
      <sheetName val="attchament-Type_of_Facilities1"/>
      <sheetName val="해체용_크레인1"/>
      <sheetName val="해체용_크레인2"/>
      <sheetName val="Ref_"/>
      <sheetName val="1062-X방향_"/>
      <sheetName val="Phan_tich_ca_may"/>
      <sheetName val="Chenh_lech_ca_may"/>
      <sheetName val="TLg_CN&amp;Laixe"/>
      <sheetName val="TLg_CN&amp;Laixe_(2)"/>
      <sheetName val="TLg_Laitau"/>
      <sheetName val="TLg_Laitau_(2)"/>
      <sheetName val="Control_Sheet"/>
      <sheetName val="mat_status_(elec)"/>
      <sheetName val="2-3_V_D일위"/>
      <sheetName val="갑지_(2)1"/>
      <sheetName val="2골조_1"/>
      <sheetName val="표지_(2)1"/>
      <sheetName val="PILE_(300×200)1"/>
      <sheetName val="PILE_(300×300)1"/>
      <sheetName val="PILE_(300×150)1"/>
      <sheetName val="도급제출3(5_20)1"/>
      <sheetName val="BSD_(2)1"/>
      <sheetName val="설명서_1"/>
      <sheetName val="G_R300경비"/>
      <sheetName val="2_토목공사"/>
      <sheetName val="BEND_LOSS"/>
      <sheetName val="자재_집계표"/>
      <sheetName val="기존단가_(2)1"/>
      <sheetName val="전차선로_물량표"/>
      <sheetName val="내역서_(2)"/>
      <sheetName val="2__공원조도"/>
      <sheetName val="97_사업추정(WEKI)"/>
      <sheetName val="chiet_tinh"/>
      <sheetName val="FRP_PIPING_일위대가"/>
      <sheetName val="Raw_Data"/>
      <sheetName val="15_문제점"/>
      <sheetName val="별표_"/>
      <sheetName val="Finansal_tamamlanma_Eğrisi"/>
      <sheetName val="공사투입계획(변경결의)19_9"/>
      <sheetName val="노무비_월별지급현황19_9"/>
      <sheetName val="갑지(외주기성)19_9"/>
      <sheetName val="_견적서"/>
      <sheetName val="9_1"/>
      <sheetName val="방배동내역_(총괄)"/>
      <sheetName val="전도금_지출"/>
      <sheetName val="2_2_STAFF_Scedule"/>
      <sheetName val="PAD_TR보호대기초"/>
      <sheetName val="2_야탑"/>
      <sheetName val="Perm__Test"/>
      <sheetName val="Cash_Flow_bulanan"/>
      <sheetName val="할증_"/>
      <sheetName val="방배동내역_"/>
      <sheetName val="22_사인물(건)"/>
      <sheetName val="Rainfall_Data"/>
      <sheetName val="노무비_월별지급현황"/>
      <sheetName val="개시대사_(2)"/>
      <sheetName val="_PE-F-42_MR_9_Manpower"/>
      <sheetName val="Main_Summary"/>
      <sheetName val="VS_P-Q"/>
      <sheetName val="schedule_nos"/>
      <sheetName val="설덅서_1"/>
      <sheetName val="Piping_Design_Data"/>
      <sheetName val="page_6"/>
      <sheetName val="sum1_(2)"/>
      <sheetName val="Bill_5_-_Carpark"/>
      <sheetName val="9_ﴃ"/>
      <sheetName val="9_﷾"/>
      <sheetName val="9_灏"/>
      <sheetName val="9_灯"/>
      <sheetName val="9_炥"/>
      <sheetName val="_갑__지_"/>
      <sheetName val="Comparative_Cluster_Inner"/>
      <sheetName val="Sheet1_(2)"/>
      <sheetName val="Conn__Lib"/>
      <sheetName val="1_park_lane"/>
      <sheetName val="9_"/>
      <sheetName val="숷트䄄22䢳"/>
      <sheetName val="Ⅴ-2_공종별내역"/>
      <sheetName val="Hệ_số"/>
      <sheetName val="Động_cơ"/>
      <sheetName val="1_2_Staff_Schedule"/>
      <sheetName val="PROJECT_LIST"/>
      <sheetName val="Bill_10"/>
      <sheetName val="Sch__Areas"/>
      <sheetName val="Work_Flow_(Manhours%)"/>
      <sheetName val="BOQ_Summary"/>
      <sheetName val="Cash_Flow"/>
      <sheetName val="Pier_3"/>
      <sheetName val="방배동내역__x00"/>
      <sheetName val="FAB&amp;EUV_TOTAL"/>
      <sheetName val="Div26_-_Elect"/>
      <sheetName val="Finansal_tamamlanma_EkԀ　"/>
      <sheetName val="Finansal_tamamlanma_EkԀ䀀"/>
      <sheetName val="Finansal_tamamlanma_EkԀ"/>
      <sheetName val="Finansal_tamamlanma_EkԀ"/>
      <sheetName val="Finansal_tamamlanma_EkԀ뀀"/>
      <sheetName val="Finansal_tamamlanma_EkԀ쀀"/>
      <sheetName val="IH_03_21"/>
      <sheetName val="OS_-_04_2020"/>
      <sheetName val="OS_-_07_2020"/>
      <sheetName val="OS_-_08_2020"/>
      <sheetName val="OS_-_09_2020"/>
      <sheetName val="OS_-_10_2020"/>
      <sheetName val="OS_-_12_2020"/>
      <sheetName val="OS_-_01_2021"/>
      <sheetName val="OS_-_02_2021"/>
      <sheetName val="OS_-_04_2021"/>
      <sheetName val="OS_-_05_2021"/>
      <sheetName val="OS_-_06_2021"/>
      <sheetName val="OS_-_07_2021"/>
      <sheetName val="OS_-_08_2021"/>
      <sheetName val="OS_-_09_2021"/>
      <sheetName val="OS_-_10_2021"/>
      <sheetName val="OS_-_11_2021"/>
      <sheetName val="OS_-_12_2021"/>
      <sheetName val="OS_-_05_2020"/>
      <sheetName val="OS_-_06_2020"/>
      <sheetName val="OS_-_11_2020"/>
      <sheetName val="OS_-_03_2021"/>
      <sheetName val="Beam_Sched"/>
      <sheetName val="숷트䄄"/>
      <sheetName val="중기조종사_단위단가"/>
      <sheetName val="201803"/>
      <sheetName val="h-013211-2"/>
      <sheetName val="TESİSAT"/>
      <sheetName val="BHANDUP"/>
      <sheetName val="48일위"/>
      <sheetName val="품셈"/>
      <sheetName val="남양구조시험동"/>
      <sheetName val="exp"/>
      <sheetName val="manhour"/>
      <sheetName val="progress(RM)"/>
      <sheetName val="영업소실적"/>
      <sheetName val="12CGOU"/>
      <sheetName val="電源計画"/>
      <sheetName val="1.설계기준"/>
      <sheetName val="D____0526_______11111___2"/>
      <sheetName val="플랜트 설치"/>
      <sheetName val="내역서01"/>
      <sheetName val="회사정_x0000_"/>
      <sheetName val="負荷集計ß"/>
      <sheetName val="負荷集計劬_x0010__x0000__x0000__x000"/>
      <sheetName val="방배동내_x0000__x0000_Ԁ_x0000__x000"/>
      <sheetName val="역T형(H=6.0) (2)"/>
      <sheetName val="Budget"/>
      <sheetName val="집계표(OPuꠀ´_x0000__x0000_"/>
      <sheetName val="집계표(OPuﬀ_x0000__x0000_"/>
      <sheetName val="동부건설.강릉,테헤란로,강남빌딩"/>
      <sheetName val="진행 DATA (2)"/>
      <sheetName val="공사비증감"/>
      <sheetName val="부속동"/>
      <sheetName val="9.탞"/>
      <sheetName val="CostDB"/>
      <sheetName val="data_dci"/>
      <sheetName val="data_mci"/>
      <sheetName val="behind"/>
      <sheetName val="Mai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sheetData sheetId="303"/>
      <sheetData sheetId="304"/>
      <sheetData sheetId="305"/>
      <sheetData sheetId="306"/>
      <sheetData sheetId="307"/>
      <sheetData sheetId="308"/>
      <sheetData sheetId="309"/>
      <sheetData sheetId="310"/>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sheetData sheetId="358"/>
      <sheetData sheetId="359"/>
      <sheetData sheetId="360"/>
      <sheetData sheetId="361"/>
      <sheetData sheetId="362"/>
      <sheetData sheetId="363"/>
      <sheetData sheetId="364"/>
      <sheetData sheetId="365"/>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sheetData sheetId="564"/>
      <sheetData sheetId="565"/>
      <sheetData sheetId="566" refreshError="1"/>
      <sheetData sheetId="567" refreshError="1"/>
      <sheetData sheetId="568" refreshError="1"/>
      <sheetData sheetId="569" refreshError="1"/>
      <sheetData sheetId="570" refreshError="1"/>
      <sheetData sheetId="571"/>
      <sheetData sheetId="572"/>
      <sheetData sheetId="573"/>
      <sheetData sheetId="574"/>
      <sheetData sheetId="575"/>
      <sheetData sheetId="576"/>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sheetData sheetId="623"/>
      <sheetData sheetId="624" refreshError="1"/>
      <sheetData sheetId="625" refreshError="1"/>
      <sheetData sheetId="626" refreshError="1"/>
      <sheetData sheetId="627" refreshError="1"/>
      <sheetData sheetId="628" refreshError="1"/>
      <sheetData sheetId="629" refreshError="1"/>
      <sheetData sheetId="630" refreshError="1"/>
      <sheetData sheetId="63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sheetData sheetId="886"/>
      <sheetData sheetId="887"/>
      <sheetData sheetId="888"/>
      <sheetData sheetId="889"/>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공통비비교"/>
      <sheetName val="공통비총괄표"/>
      <sheetName val="Sheet2"/>
      <sheetName val="Sheet3"/>
      <sheetName val="Sheet4"/>
      <sheetName val="Sheet5"/>
      <sheetName val="Sheet6"/>
      <sheetName val="Sheet7"/>
      <sheetName val="Sheet8"/>
      <sheetName val="Sheet9"/>
      <sheetName val="Sheet10"/>
      <sheetName val="Sheet11"/>
      <sheetName val="Sheet12"/>
      <sheetName val="Sheet13"/>
      <sheetName val="Sheet14"/>
      <sheetName val="Sheet15"/>
      <sheetName val="Sheet16"/>
      <sheetName val="J01"/>
      <sheetName val="P.M 별"/>
      <sheetName val="15 문제점"/>
      <sheetName val="내역서01"/>
      <sheetName val="TOWER 12TON"/>
      <sheetName val="TOWER 10TON"/>
      <sheetName val="Sheet2 (2)"/>
      <sheetName val="유림총괄"/>
      <sheetName val="95년12월말"/>
      <sheetName val="분개장"/>
      <sheetName val="발주현황"/>
      <sheetName val="조명시설"/>
      <sheetName val="세금자료"/>
      <sheetName val="시행예산"/>
      <sheetName val="실행철강하도"/>
      <sheetName val="유림골조"/>
      <sheetName val="공통부대비"/>
      <sheetName val="현장지지물물량"/>
      <sheetName val="2.1.2예정공정율(칼라)"/>
      <sheetName val="경상"/>
      <sheetName val="일산실행내역"/>
      <sheetName val="표5"/>
      <sheetName val="#REF"/>
      <sheetName val="Code"/>
      <sheetName val="수입"/>
      <sheetName val="MEED"/>
      <sheetName val="CONCRETE"/>
      <sheetName val="노임단가"/>
      <sheetName val="변경요청내역"/>
      <sheetName val="Sheet1"/>
      <sheetName val="attchament-Type of Facilities"/>
      <sheetName val="attchament-Work Trade"/>
      <sheetName val="P_M_별"/>
      <sheetName val="15_문제점"/>
      <sheetName val="TOWER_12TON"/>
      <sheetName val="TOWER_10TON"/>
      <sheetName val="Sheet2_(2)"/>
      <sheetName val="Eq. Mobilization"/>
      <sheetName val="청산공사"/>
      <sheetName val="2.대외공문"/>
      <sheetName val="01"/>
      <sheetName val="2_1_2예정공정율(칼라)"/>
      <sheetName val="1.분양면적표"/>
      <sheetName val="3.DATA 입력 쉬트"/>
      <sheetName val="단가_단열재"/>
      <sheetName val="단가할증"/>
      <sheetName val="단가_유리"/>
      <sheetName val="갑지(A4)"/>
      <sheetName val="내역서적용수량"/>
      <sheetName val="총괄집계"/>
      <sheetName val="토적표"/>
      <sheetName val="되메우기"/>
      <sheetName val="1사진대지"/>
      <sheetName val="사진대지"/>
      <sheetName val="공정"/>
      <sheetName val="Materials "/>
      <sheetName val="Labour"/>
      <sheetName val="MAchinery(R1)"/>
      <sheetName val="SG"/>
      <sheetName val="안전율 검토 목록"/>
      <sheetName val="pier(각형)"/>
      <sheetName val="와동25-3(변경)"/>
      <sheetName val="내역서(기존내역-수정금지)"/>
      <sheetName val="YOEMAGUM"/>
      <sheetName val="정부노임단가"/>
      <sheetName val="매각(6)"/>
      <sheetName val="1월"/>
      <sheetName val="공사손익"/>
      <sheetName val="고자현황"/>
      <sheetName val="회사99"/>
      <sheetName val="예산서"/>
      <sheetName val="상반기손익차2총괄"/>
      <sheetName val="D-623D"/>
      <sheetName val="PE-F-42 Rev 01 Manpower"/>
      <sheetName val="Cash2"/>
      <sheetName val="Z"/>
      <sheetName val="1-G1"/>
      <sheetName val="표지"/>
      <sheetName val="매립"/>
      <sheetName val="설비원가"/>
      <sheetName val="실행"/>
      <sheetName val="6PILE  (돌출)"/>
      <sheetName val="B"/>
      <sheetName val="내역조정분석(하도)"/>
      <sheetName val="제목"/>
      <sheetName val="간접비"/>
      <sheetName val="예산대비"/>
      <sheetName val="DHEQSUPT"/>
      <sheetName val="입력시트"/>
      <sheetName val="P_M_별1"/>
      <sheetName val="15_문제점1"/>
      <sheetName val="TOWER_12TON1"/>
      <sheetName val="TOWER_10TON1"/>
      <sheetName val="Sheet2_(2)1"/>
      <sheetName val="Eq__Mobilization"/>
      <sheetName val="Materials_"/>
      <sheetName val="입찰내역 발주처 양식"/>
      <sheetName val="기안"/>
      <sheetName val="평"/>
      <sheetName val="공사개요"/>
      <sheetName val="내역서"/>
      <sheetName val="집계표"/>
      <sheetName val="입찰안"/>
      <sheetName val="내역"/>
      <sheetName val="단가 및 재료비"/>
      <sheetName val="단가산출2"/>
      <sheetName val="단가산출1"/>
      <sheetName val="중기사용료산출근거"/>
      <sheetName val="일위대가"/>
      <sheetName val="개산공사비"/>
      <sheetName val="데이타"/>
      <sheetName val="식재인부"/>
      <sheetName val="단가"/>
      <sheetName val="금액내역서"/>
      <sheetName val="제잡비"/>
      <sheetName val="공사비산출내역"/>
      <sheetName val="6호기"/>
      <sheetName val="대림경상68억"/>
      <sheetName val="견적율"/>
      <sheetName val="대창(함평)"/>
      <sheetName val="대창(장성)"/>
      <sheetName val="대창(함평)-창열"/>
      <sheetName val="난방방식분류"/>
      <sheetName val="공사정보입력"/>
      <sheetName val="C1.공사개요"/>
      <sheetName val="실행(1)"/>
      <sheetName val="A1.스케쥴"/>
      <sheetName val="날개벽(좌,우=45도,75도)"/>
      <sheetName val="DATA 입력란"/>
      <sheetName val="1. 설계조건 2.단면가정 3. 하중계산"/>
      <sheetName val="수량산출"/>
      <sheetName val="설계예시"/>
      <sheetName val="어음이자"/>
      <sheetName val="노임이"/>
      <sheetName val="CTEMCOST"/>
      <sheetName val="SAM"/>
      <sheetName val="설계기준"/>
      <sheetName val="내역1"/>
      <sheetName val="평3"/>
      <sheetName val="PAINT"/>
      <sheetName val="물량표S"/>
      <sheetName val="SUMMARY"/>
      <sheetName val="물량표"/>
      <sheetName val="건축내역"/>
      <sheetName val="설계명세서"/>
      <sheetName val="단위수량"/>
      <sheetName val="가시설수량"/>
      <sheetName val="3.고급화검토"/>
      <sheetName val="입면고급화단가표"/>
      <sheetName val="갑지(추정)"/>
      <sheetName val="장비집계"/>
      <sheetName val="동해title"/>
      <sheetName val="전계가"/>
      <sheetName val="연동내역"/>
      <sheetName val="결과조달"/>
      <sheetName val="도급원가"/>
      <sheetName val="수로BOX"/>
      <sheetName val="목차"/>
      <sheetName val="일위대가목차"/>
      <sheetName val="준공조서"/>
      <sheetName val="공사준공계"/>
      <sheetName val="준공검사보고서"/>
      <sheetName val="SERVICE"/>
      <sheetName val="맨홀수량집계"/>
      <sheetName val="ilch"/>
      <sheetName val="해외(원화)"/>
      <sheetName val="내역표지"/>
      <sheetName val="시험장S자로가로등공사"/>
      <sheetName val="갑지"/>
      <sheetName val="토목(대안)"/>
      <sheetName val="Total"/>
      <sheetName val="EQT-ESTN"/>
      <sheetName val="기안1"/>
      <sheetName val="마감사양"/>
      <sheetName val="견적서"/>
      <sheetName val="제경비율"/>
      <sheetName val="정공공사"/>
      <sheetName val="예총"/>
      <sheetName val="ABUT수량-A1"/>
      <sheetName val="산출내역서집계표"/>
      <sheetName val="A(Rev.3)"/>
      <sheetName val="N賃率-職"/>
      <sheetName val="초기화면"/>
      <sheetName val="관급자재"/>
      <sheetName val="삭제금지단가"/>
      <sheetName val="노암공통"/>
      <sheetName val="파일의이용"/>
      <sheetName val="원가계산서"/>
      <sheetName val="배수내역"/>
      <sheetName val="공문"/>
      <sheetName val="SCHEDULE"/>
      <sheetName val="요약BACKUP"/>
      <sheetName val="업무계획1"/>
      <sheetName val="기계경비(시간당)"/>
      <sheetName val="램머"/>
      <sheetName val="신대방33(적용)"/>
      <sheetName val="bid"/>
      <sheetName val="ENE-CAL"/>
      <sheetName val="JIB CRANE,HOIST"/>
      <sheetName val="LKVL-CK-HT-GD1"/>
      <sheetName val="TONG HOP VL-NC"/>
      <sheetName val="chitiet"/>
      <sheetName val="TONGKE3p "/>
      <sheetName val="TH VL, NC, DDHT Thanhphuoc"/>
      <sheetName val="DONGIA"/>
      <sheetName val="DON GIA"/>
      <sheetName val="DG"/>
      <sheetName val="TNHCHINH"/>
      <sheetName val="CHITIET VL-NC"/>
      <sheetName val="Tiepdia"/>
      <sheetName val="TDTKP"/>
      <sheetName val="VCV-BE-TONG"/>
      <sheetName val="attchament-Type_of_Facilities"/>
      <sheetName val="attchament-Work_Trade"/>
      <sheetName val="GKP"/>
      <sheetName val="품"/>
      <sheetName val="예가표"/>
      <sheetName val="중기비"/>
      <sheetName val="시산표"/>
      <sheetName val="분석"/>
      <sheetName val="Bill 1"/>
      <sheetName val="Bill 2"/>
      <sheetName val="Bill 3"/>
      <sheetName val="Bill 4"/>
      <sheetName val="Bill 5"/>
      <sheetName val="Bill 6"/>
      <sheetName val="Bill 7"/>
      <sheetName val="마산월령동골조물량변경"/>
      <sheetName val="UNIT RATE"/>
      <sheetName val="struktur"/>
      <sheetName val="아파트 기성내역서"/>
      <sheetName val="2_1_2예정공정율(칼라)1"/>
      <sheetName val="2_대외공문"/>
      <sheetName val="1_분양면적표"/>
      <sheetName val="3_DATA_입력_쉬트"/>
      <sheetName val="Raw Data"/>
      <sheetName val="CAT_5"/>
      <sheetName val="EQUIP"/>
      <sheetName val="Mob HO_Project"/>
      <sheetName val="C-18"/>
      <sheetName val="COA-17"/>
      <sheetName val="IMPEADENCE MAP 취수장"/>
      <sheetName val="eq_data"/>
      <sheetName val="운반"/>
      <sheetName val="당초"/>
      <sheetName val="XZLC004_PART2"/>
      <sheetName val="LABTOTAL"/>
      <sheetName val="D-3109"/>
      <sheetName val="전기"/>
      <sheetName val="대비표"/>
      <sheetName val="BQMPALOC"/>
      <sheetName val="jobhist"/>
      <sheetName val="페인트"/>
      <sheetName val="양수장(기계)"/>
      <sheetName val="piping"/>
      <sheetName val="공사비SUM"/>
      <sheetName val="CODE5090"/>
      <sheetName val="예산실적전체당월"/>
      <sheetName val="철골공사"/>
      <sheetName val="구성비"/>
      <sheetName val="COVER"/>
      <sheetName val="IGCC査定"/>
      <sheetName val="evaluate"/>
      <sheetName val="Data Validation"/>
      <sheetName val="금융비용"/>
      <sheetName val="ATD"/>
      <sheetName val="Change Order Log"/>
      <sheetName val="주요자재집계"/>
      <sheetName val="0226"/>
      <sheetName val="품셈"/>
      <sheetName val="12CGOU"/>
      <sheetName val="F4-F7"/>
      <sheetName val="A5"/>
      <sheetName val="포장복구집계"/>
      <sheetName val="도"/>
      <sheetName val="CAL1"/>
      <sheetName val="기성내역"/>
      <sheetName val="일위"/>
      <sheetName val="P_M_별2"/>
      <sheetName val="15_문제점2"/>
      <sheetName val="TOWER_12TON2"/>
      <sheetName val="TOWER_10TON2"/>
      <sheetName val="Sheet2_(2)2"/>
      <sheetName val="2_1_2예정공정율(칼라)2"/>
      <sheetName val="Eq__Mobilization1"/>
      <sheetName val="attchament-Type_of_Facilities1"/>
      <sheetName val="attchament-Work_Trade1"/>
      <sheetName val="2_대외공문1"/>
      <sheetName val="1_분양면적표1"/>
      <sheetName val="3_DATA_입력_쉬트1"/>
      <sheetName val="Materials_1"/>
      <sheetName val="안전율_검토_목록"/>
      <sheetName val="PE-F-42_Rev_01_Manpower"/>
      <sheetName val="6PILE__(돌출)"/>
      <sheetName val="입찰내역_발주처_양식"/>
      <sheetName val="단가_및_재료비"/>
      <sheetName val="C1_공사개요"/>
      <sheetName val="A1_스케쥴"/>
      <sheetName val="DATA_입력란"/>
      <sheetName val="1__설계조건_2_단면가정_3__하중계산"/>
      <sheetName val="3_고급화검토"/>
      <sheetName val="A(Rev_3)"/>
      <sheetName val="JIB_CRANE,HOIST"/>
      <sheetName val="TONG_HOP_VL-NC"/>
      <sheetName val="TONGKE3p_"/>
      <sheetName val="TH_VL,_NC,_DDHT_Thanhphuoc"/>
      <sheetName val="DON_GIA"/>
      <sheetName val="CHITIET_VL-NC"/>
      <sheetName val="아파트_기성내역서"/>
      <sheetName val="Bill_1"/>
      <sheetName val="Bill_2"/>
      <sheetName val="Bill_3"/>
      <sheetName val="Bill_4"/>
      <sheetName val="Bill_5"/>
      <sheetName val="Bill_6"/>
      <sheetName val="Bill_7"/>
      <sheetName val="UNIT_RATE"/>
      <sheetName val="Raw_Data"/>
      <sheetName val="Mob_HO_Project"/>
      <sheetName val="IMPEADENCE_MAP_취수장"/>
      <sheetName val="이크레더블 회신자료"/>
      <sheetName val="RAB"/>
      <sheetName val="escon"/>
      <sheetName val="Urai _Resap pengikat"/>
      <sheetName val="AS복구"/>
      <sheetName val="중기터파기"/>
      <sheetName val="변수값"/>
      <sheetName val="중기상차"/>
      <sheetName val="I-KAMAR"/>
      <sheetName val="SJK"/>
      <sheetName val="SJB"/>
      <sheetName val="가설공사 내역"/>
      <sheetName val="집계표(OPTION)"/>
      <sheetName val="I一般比"/>
      <sheetName val="변경내역대비표(2)"/>
      <sheetName val="ELECTRIC"/>
      <sheetName val="TTL"/>
      <sheetName val="PROJECT LIST"/>
      <sheetName val="Option"/>
      <sheetName val="조건표"/>
      <sheetName val="간선계산"/>
      <sheetName val="차액보증"/>
      <sheetName val="일반공사"/>
      <sheetName val="MOTOR"/>
      <sheetName val="설계내역서"/>
      <sheetName val="노임"/>
      <sheetName val="하수급견적대비"/>
      <sheetName val="S0"/>
      <sheetName val="현장관리비 산출내역"/>
      <sheetName val="실행대비"/>
      <sheetName val="청천내"/>
      <sheetName val="평가데이터"/>
      <sheetName val="9902"/>
      <sheetName val="연결임시"/>
      <sheetName val="구조물공"/>
      <sheetName val="2000년1차"/>
      <sheetName val="9509"/>
      <sheetName val="노무비"/>
      <sheetName val="부대공"/>
      <sheetName val="저"/>
      <sheetName val="배수공"/>
      <sheetName val="본공사"/>
      <sheetName val="여과지동"/>
      <sheetName val="기초자료"/>
      <sheetName val="200"/>
      <sheetName val="토공"/>
      <sheetName val="포장공"/>
      <sheetName val="신공항A-9(원가수정)"/>
      <sheetName val="TABLE-A"/>
      <sheetName val="업무처리전"/>
      <sheetName val="slipsumpR"/>
      <sheetName val="Mp-team 1"/>
      <sheetName val="Listrik"/>
      <sheetName val="analysis"/>
      <sheetName val=""/>
      <sheetName val="연돌일위집계"/>
      <sheetName val="Rate Analysis"/>
      <sheetName val="산출2-기기동력"/>
      <sheetName val="백분율"/>
      <sheetName val="금융"/>
      <sheetName val="예정(3)"/>
      <sheetName val="도급"/>
      <sheetName val="L-type"/>
      <sheetName val="타현장 대비"/>
      <sheetName val="NPV"/>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sheetData sheetId="50"/>
      <sheetData sheetId="51"/>
      <sheetData sheetId="52"/>
      <sheetData sheetId="53"/>
      <sheetData sheetId="54" refreshError="1"/>
      <sheetData sheetId="55" refreshError="1"/>
      <sheetData sheetId="56" refreshError="1"/>
      <sheetData sheetId="57" refreshError="1"/>
      <sheetData sheetId="58"/>
      <sheetData sheetId="59" refreshError="1"/>
      <sheetData sheetId="60" refreshError="1"/>
      <sheetData sheetId="61" refreshError="1"/>
      <sheetData sheetId="62" refreshError="1"/>
      <sheetData sheetId="63" refreshError="1"/>
      <sheetData sheetId="64"/>
      <sheetData sheetId="65"/>
      <sheetData sheetId="66"/>
      <sheetData sheetId="67"/>
      <sheetData sheetId="68"/>
      <sheetData sheetId="69"/>
      <sheetData sheetId="70"/>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sheetData sheetId="107"/>
      <sheetData sheetId="108"/>
      <sheetData sheetId="109"/>
      <sheetData sheetId="110"/>
      <sheetData sheetId="111"/>
      <sheetData sheetId="112"/>
      <sheetData sheetId="113" refreshError="1"/>
      <sheetData sheetId="114"/>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sheetData sheetId="230"/>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sheetData sheetId="249"/>
      <sheetData sheetId="250"/>
      <sheetData sheetId="251"/>
      <sheetData sheetId="252" refreshError="1"/>
      <sheetData sheetId="253"/>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00000"/>
      <sheetName val="INNER FULE"/>
      <sheetName val="적용할증"/>
      <sheetName val="연돌일위집계"/>
      <sheetName val="일위대가"/>
      <sheetName val="고소할증품"/>
      <sheetName val="특수비계공품"/>
      <sheetName val="수량산출서"/>
      <sheetName val="플랫폼집계"/>
      <sheetName val="플랫폼수량"/>
      <sheetName val="계단집계"/>
      <sheetName val="계단수량"/>
      <sheetName val="랜딩집계"/>
      <sheetName val="랜딩수량"/>
      <sheetName val="사다리집계"/>
      <sheetName val="사다리수량"/>
      <sheetName val="Sheet1"/>
      <sheetName val="연돌내역서"/>
      <sheetName val="연돌"/>
      <sheetName val="Sheet2"/>
      <sheetName val="Sheet3"/>
      <sheetName val="(76)배관총괄"/>
      <sheetName val="M2-1-1"/>
      <sheetName val="M2-1-2"/>
      <sheetName val="M2-1-3"/>
      <sheetName val="M2-1-4"/>
      <sheetName val="M2-1-5"/>
      <sheetName val="M2-1-6"/>
      <sheetName val="M2-1-7"/>
      <sheetName val="M2-1-8"/>
      <sheetName val="M2-1-9"/>
      <sheetName val="M2-1-10"/>
      <sheetName val="정산"/>
      <sheetName val="관리비"/>
      <sheetName val="기성공제"/>
      <sheetName val="실행내역"/>
      <sheetName val="1월보고(99종합)"/>
      <sheetName val="00년 1월"/>
      <sheetName val="00년 2월"/>
      <sheetName val="00년 3월"/>
      <sheetName val="00년 4월"/>
      <sheetName val="00년 5월"/>
      <sheetName val="00년상반기"/>
      <sheetName val="00년 7월"/>
      <sheetName val="00년 8월"/>
      <sheetName val="00년 9월"/>
      <sheetName val="00년10월"/>
      <sheetName val="12월가공서비스"/>
      <sheetName val="Sheet10"/>
      <sheetName val="Sheet11"/>
      <sheetName val="Sheet12"/>
      <sheetName val="Sheet13"/>
      <sheetName val="Sheet14"/>
      <sheetName val="Sheet15"/>
      <sheetName val="Sheet16"/>
      <sheetName val="그래프data"/>
      <sheetName val="정부노임단가"/>
      <sheetName val="갑지(추정)"/>
      <sheetName val="㽓다리수량"/>
      <sheetName val="공문"/>
      <sheetName val="실행(1)"/>
      <sheetName val="단가표"/>
      <sheetName val="노원열병합  건축공사기성내역서"/>
      <sheetName val="설계예산서"/>
      <sheetName val="01"/>
      <sheetName val="PIPE내역(FCN)"/>
      <sheetName val="목표세부명세"/>
      <sheetName val="DRUM"/>
      <sheetName val="SG"/>
      <sheetName val="금액내역서"/>
      <sheetName val="건축집계"/>
      <sheetName val="일위대가-목록"/>
      <sheetName val="결과조달"/>
      <sheetName val="배관(TDI ISBL)"/>
      <sheetName val="h-013211-2"/>
      <sheetName val="품셈"/>
      <sheetName val="가시설흙막이"/>
      <sheetName val="직재"/>
      <sheetName val="TOWER 12TON"/>
      <sheetName val="TOWER 10TON"/>
      <sheetName val="당초"/>
      <sheetName val="0226"/>
      <sheetName val="PBS"/>
      <sheetName val="CAT_5"/>
      <sheetName val="노임단가"/>
      <sheetName val="단중"/>
      <sheetName val="품셈표"/>
      <sheetName val="공사내역"/>
      <sheetName val="D-3109"/>
      <sheetName val="기계설비"/>
      <sheetName val="연돌내역일위"/>
      <sheetName val="TB-내역서"/>
      <sheetName val="소비자가"/>
      <sheetName val="1ST"/>
      <sheetName val="3.공통공사대비"/>
      <sheetName val="실행"/>
      <sheetName val="1단계"/>
      <sheetName val=" 견적서"/>
      <sheetName val="PIPE"/>
      <sheetName val="FLANGE"/>
      <sheetName val="VALVE"/>
      <sheetName val="INNER_FULE"/>
      <sheetName val="00년_1월"/>
      <sheetName val="00년_2월"/>
      <sheetName val="00년_3월"/>
      <sheetName val="00년_4월"/>
      <sheetName val="00년_5월"/>
      <sheetName val="00년_7월"/>
      <sheetName val="00년_8월"/>
      <sheetName val="00년_9월"/>
      <sheetName val="노원열병합__건축공사기성내역서"/>
      <sheetName val="배관(TDI_ISBL)"/>
      <sheetName val="TOWER_12TON"/>
      <sheetName val="TOWER_10TON"/>
      <sheetName val="C3"/>
      <sheetName val="TDI ISBL"/>
      <sheetName val="misc"/>
      <sheetName val="동축분 종합설계서"/>
      <sheetName val="전기일위대가"/>
      <sheetName val="#REF"/>
      <sheetName val="내"/>
      <sheetName val="청산공사"/>
      <sheetName val="예가표"/>
      <sheetName val="S003031"/>
      <sheetName val="유림골조"/>
      <sheetName val="IW-LIST"/>
      <sheetName val="안국연체"/>
      <sheetName val="현장경상비"/>
      <sheetName val="6호기"/>
      <sheetName val="Summary"/>
      <sheetName val="24V"/>
      <sheetName val="Sheet5"/>
      <sheetName val="기준"/>
      <sheetName val="일위대가(여기까지)"/>
      <sheetName val="도"/>
      <sheetName val="견적"/>
      <sheetName val="B"/>
      <sheetName val="Sheet4"/>
      <sheetName val="전기"/>
      <sheetName val="집계"/>
      <sheetName val="기본일위"/>
      <sheetName val="직노"/>
      <sheetName val="I一般比"/>
      <sheetName val="내역서2안"/>
      <sheetName val="설직재-1"/>
      <sheetName val="APT"/>
      <sheetName val="건축(광주)"/>
      <sheetName val="ELECTRIC"/>
      <sheetName val="CTEMCOST"/>
      <sheetName val="SCHEDULE"/>
      <sheetName val="일반부표"/>
      <sheetName val="설계예시"/>
      <sheetName val="내역서(총)"/>
      <sheetName val="세대내부"/>
      <sheetName val="노임"/>
      <sheetName val="수주전망영업부"/>
      <sheetName val="trf(36%)"/>
      <sheetName val="지급자재"/>
      <sheetName val="도면자료제출일정"/>
      <sheetName val="부표총괄"/>
      <sheetName val="SOS_PLC &amp; Panel"/>
      <sheetName val="CALCULATION"/>
      <sheetName val="REFTABLE"/>
      <sheetName val="NAMES"/>
      <sheetName val="D-623D"/>
      <sheetName val="수금 "/>
      <sheetName val="12월정산수금현황"/>
      <sheetName val="수정시산표"/>
      <sheetName val="BACKDATA"/>
      <sheetName val="A"/>
      <sheetName val="외화"/>
      <sheetName val="2 카드채권(대출포함)"/>
      <sheetName val="자금동향"/>
      <sheetName val="설치공사"/>
      <sheetName val="MINA BM"/>
      <sheetName val="금융비용"/>
      <sheetName val="C-301E~305E"/>
      <sheetName val="입상내역"/>
      <sheetName val="수문일위1"/>
      <sheetName val="CONC SLAB"/>
      <sheetName val="수로단위수량"/>
      <sheetName val="설계조건"/>
      <sheetName val="건축-물가변동"/>
      <sheetName val="기준표"/>
      <sheetName val="카메라(TO양식변경)"/>
      <sheetName val="공통비총괄표"/>
      <sheetName val="BQ"/>
      <sheetName val="nde_request"/>
      <sheetName val="TCF"/>
      <sheetName val="人力"/>
      <sheetName val="分析2-安装包"/>
      <sheetName val="Back data Table"/>
      <sheetName val="조건표"/>
      <sheetName val="집계표"/>
      <sheetName val="수입"/>
      <sheetName val="제직재"/>
      <sheetName val="공사비증감"/>
      <sheetName val="월별cashflow"/>
      <sheetName val="사업검토"/>
      <sheetName val="월별경비집행"/>
      <sheetName val="견적조건"/>
      <sheetName val="NYS"/>
      <sheetName val="ERECIN"/>
      <sheetName val="동축분_종합설계서"/>
      <sheetName val="3_공통공사대비"/>
      <sheetName val="TDI_ISBL"/>
      <sheetName val="MINA_BM"/>
      <sheetName val="갑지"/>
      <sheetName val="INSTR"/>
      <sheetName val="Sheet9"/>
      <sheetName val="발전기"/>
      <sheetName val="간선"/>
      <sheetName val="전기자료"/>
      <sheetName val="내역서"/>
      <sheetName val="사업부배부A"/>
      <sheetName val="9-1차이내역"/>
      <sheetName val="1.설계기준"/>
      <sheetName val="0708"/>
      <sheetName val="일위"/>
      <sheetName val="Y-WORK"/>
      <sheetName val="일위대가(계측기설치)"/>
      <sheetName val="INNER_FULE1"/>
      <sheetName val="00년_1월1"/>
      <sheetName val="00년_2월1"/>
      <sheetName val="00년_3월1"/>
      <sheetName val="00년_4월1"/>
      <sheetName val="00년_5월1"/>
      <sheetName val="00년_7월1"/>
      <sheetName val="00년_8월1"/>
      <sheetName val="00년_9월1"/>
      <sheetName val="노원열병합__건축공사기성내역서1"/>
      <sheetName val="배관(TDI_ISBL)1"/>
      <sheetName val="TOWER_12TON1"/>
      <sheetName val="TOWER_10TON1"/>
      <sheetName val="_견적서"/>
      <sheetName val="7.1유효폭"/>
      <sheetName val="할증 "/>
      <sheetName val="LinerWt"/>
      <sheetName val="6PILE  (돌출)"/>
      <sheetName val="PIPE(UG)내역"/>
      <sheetName val="표지"/>
      <sheetName val="금융"/>
      <sheetName val="토공정보"/>
      <sheetName val="두앙"/>
      <sheetName val="다이꾸"/>
      <sheetName val="계정"/>
      <sheetName val="부하계산서"/>
      <sheetName val="calc"/>
      <sheetName val="수량산출서 갑지"/>
      <sheetName val="프랜트면허"/>
      <sheetName val="AC포장수량"/>
      <sheetName val="국내"/>
      <sheetName val="DATA2000"/>
      <sheetName val="품셈TABLE"/>
      <sheetName val="KMX(현대토목)"/>
      <sheetName val="BQMPALOC"/>
      <sheetName val="COVER-P"/>
      <sheetName val="매출"/>
      <sheetName val="현장관리비"/>
      <sheetName val="노임이"/>
      <sheetName val="골프장예산"/>
      <sheetName val="실행내역서 "/>
      <sheetName val="설계명세서"/>
      <sheetName val="IMPEADENCE MAP 취수장"/>
      <sheetName val="앉음벽 (2)"/>
      <sheetName val="원가계산서(남측)"/>
      <sheetName val="MIBK원단위"/>
      <sheetName val="KUNGDEVI"/>
      <sheetName val="sum"/>
      <sheetName val="97 사업추정(WEKI)"/>
      <sheetName val="sum1 (2)"/>
      <sheetName val="모니터"/>
      <sheetName val="설비원가"/>
      <sheetName val="손익분석"/>
      <sheetName val="12CGOU"/>
      <sheetName val="본선 토공 분배표"/>
      <sheetName val="가격조사서"/>
      <sheetName val="단면 (2)"/>
      <sheetName val="자금신청서"/>
      <sheetName val="판가반영"/>
      <sheetName val="기계경비 (2)"/>
      <sheetName val="BID"/>
      <sheetName val="단가조사"/>
      <sheetName val="Supplement2"/>
      <sheetName val="제-노임"/>
      <sheetName val="TRE TABLE"/>
      <sheetName val="DATA"/>
      <sheetName val="내역서(증축)"/>
      <sheetName val="Insts"/>
      <sheetName val="costing_CV"/>
      <sheetName val="costing_ESDV"/>
      <sheetName val="costing_FE"/>
      <sheetName val="costing_Misc"/>
      <sheetName val="costing_MOV"/>
      <sheetName val="costing_Press"/>
      <sheetName val="관로토공집계표"/>
      <sheetName val="총물량"/>
      <sheetName val="공사비예산서(토목분)"/>
      <sheetName val="대림경상68억"/>
      <sheetName val="예정(3)"/>
      <sheetName val="동원(3)"/>
      <sheetName val="집계표(OPTION)"/>
      <sheetName val="Code_INTools"/>
      <sheetName val="Default_Magics"/>
      <sheetName val="Code_Magics"/>
      <sheetName val="Code"/>
      <sheetName val="PIPE-HOT"/>
      <sheetName val="Cash2"/>
      <sheetName val="Z"/>
      <sheetName val="TG9504"/>
      <sheetName val="표지 (2)"/>
      <sheetName val="P.M 별"/>
      <sheetName val="경산"/>
      <sheetName val="공사현황"/>
      <sheetName val="공종별 공사비변동"/>
      <sheetName val="J直材4"/>
      <sheetName val="부속동"/>
      <sheetName val="개요"/>
      <sheetName val="일위대가목차"/>
      <sheetName val="부하(성남)"/>
      <sheetName val="5.소재"/>
      <sheetName val="날개벽수량표"/>
      <sheetName val="의뢰서"/>
      <sheetName val="VV보온LINK"/>
      <sheetName val="FIT보온LINK"/>
      <sheetName val="BACKDA_x0014_A"/>
      <sheetName val="조립지적"/>
      <sheetName val="오산갈곳"/>
      <sheetName val="Civil"/>
      <sheetName val="DB@Acess"/>
      <sheetName val="PRO_DCI"/>
      <sheetName val="INST_DCI"/>
      <sheetName val="HVAC_DCI"/>
      <sheetName val="PIPE_DCI"/>
      <sheetName val="TTL"/>
      <sheetName val="배수내역"/>
      <sheetName val="만기"/>
      <sheetName val="마감사양"/>
      <sheetName val="외주계약현황"/>
      <sheetName val="자재계약내용"/>
      <sheetName val="입찰내역 발주처 양식"/>
      <sheetName val="COPING"/>
      <sheetName val="유림총괄"/>
      <sheetName val="ilch"/>
      <sheetName val="토공(완충)"/>
      <sheetName val="3BL공동구 수량"/>
      <sheetName val="방배동내역(리라)"/>
      <sheetName val="CODE (2)"/>
      <sheetName val="DB"/>
      <sheetName val="토공실행"/>
      <sheetName val="GRDBS"/>
      <sheetName val="단가표 "/>
      <sheetName val="밸브설치"/>
      <sheetName val="경상비"/>
      <sheetName val="실행대비"/>
      <sheetName val="공사개요"/>
      <sheetName val="청천내"/>
      <sheetName val="도급내역"/>
      <sheetName val="세부내역"/>
      <sheetName val="연결임시"/>
      <sheetName val="구조물공"/>
      <sheetName val="내역"/>
      <sheetName val="2000년1차"/>
      <sheetName val="투찰추정"/>
      <sheetName val="도급내역5+800"/>
      <sheetName val="수목표준대가"/>
      <sheetName val="JUCKEYK"/>
      <sheetName val="부대공"/>
      <sheetName val="도급금액"/>
      <sheetName val="재노경"/>
      <sheetName val="일위대가(가설)"/>
      <sheetName val="단가"/>
      <sheetName val="배수공"/>
      <sheetName val="설계"/>
      <sheetName val="포장공"/>
      <sheetName val="일위대가(1)"/>
      <sheetName val="총공사내역서"/>
      <sheetName val="200"/>
      <sheetName val="토공"/>
      <sheetName val="도급"/>
      <sheetName val="설 계"/>
      <sheetName val="입찰안"/>
      <sheetName val="WORK"/>
      <sheetName val="일반공사"/>
      <sheetName val="MOTOR"/>
      <sheetName val="충주"/>
      <sheetName val="입출재고현황 (2)"/>
      <sheetName val="구조물철거타공정이월"/>
      <sheetName val="절단표"/>
      <sheetName val="20-25"/>
      <sheetName val="0000"/>
      <sheetName val="PRICES"/>
      <sheetName val="INNER_FULE2"/>
      <sheetName val="00년_1월2"/>
      <sheetName val="00년_2월2"/>
      <sheetName val="00년_3월2"/>
      <sheetName val="00년_4월2"/>
      <sheetName val="00년_5월2"/>
      <sheetName val="00년_7월2"/>
      <sheetName val="00년_8월2"/>
      <sheetName val="00년_9월2"/>
      <sheetName val="노원열병합__건축공사기성내역서2"/>
      <sheetName val="배관(TDI_ISBL)2"/>
      <sheetName val="TOWER_12TON2"/>
      <sheetName val="TOWER_10TON2"/>
      <sheetName val="3_공통공사대비1"/>
      <sheetName val="_견적서1"/>
      <sheetName val="TDI_ISBL1"/>
      <sheetName val="cable-data"/>
      <sheetName val="허용전류-IEC"/>
      <sheetName val="허용전류-IEC DATA"/>
      <sheetName val="TDC COA Sumry"/>
      <sheetName val="TDC Item Dets"/>
      <sheetName val="TDC Item Sumry"/>
      <sheetName val="TDC Key Qty Sumry"/>
      <sheetName val="List - Components"/>
      <sheetName val="List - Equipment"/>
      <sheetName val="COA Sumry - Std Imp"/>
      <sheetName val="Contr TDC - Std Imp"/>
      <sheetName val="Item Sumry - Std Imp"/>
      <sheetName val="Unit Costs - Std Imp"/>
      <sheetName val="Unit MH - Std Imp"/>
      <sheetName val="Proj TIC - Std Imp"/>
      <sheetName val="대비표"/>
      <sheetName val="변경집계표"/>
      <sheetName val="Base_Data"/>
      <sheetName val="PROCURE"/>
      <sheetName val="공사비SUM"/>
      <sheetName val="wagerate"/>
      <sheetName val="Total"/>
      <sheetName val="cable"/>
      <sheetName val="Appendix 2"/>
      <sheetName val="Appendix 3"/>
      <sheetName val="Appendix 4(a)_Civil"/>
      <sheetName val="Appendix 4(c)_Piping"/>
      <sheetName val="Appendix 4(b)_Elec."/>
      <sheetName val="临时设施费"/>
      <sheetName val="SW"/>
      <sheetName val="Summary12"/>
      <sheetName val="Summary11"/>
      <sheetName val="OVERALL-PKG#1"/>
      <sheetName val="을"/>
      <sheetName val="SHL"/>
      <sheetName val="22-Plant"/>
      <sheetName val="Supervision List"/>
      <sheetName val="CostDB"/>
      <sheetName val="BQ_Process "/>
      <sheetName val="BQ_Building "/>
      <sheetName val="fire alarm"/>
      <sheetName val="Tank Elec. BM "/>
      <sheetName val="132kv.BM "/>
      <sheetName val="Inert Balls"/>
      <sheetName val="HRB"/>
      <sheetName val="PROCESS"/>
      <sheetName val="Subcon A"/>
      <sheetName val="jobhist"/>
      <sheetName val="Engrg Est"/>
      <sheetName val="집계표(덕화)"/>
      <sheetName val="EQUIPMENT"/>
      <sheetName val="설계명세서(선로)"/>
      <sheetName val="방배2E"/>
      <sheetName val="slipsumpR"/>
      <sheetName val="BOQ for HRSG &amp; BOP-mech."/>
      <sheetName val="Desal-E&amp;I"/>
      <sheetName val="BOQ for GTG &amp; STG-mech."/>
      <sheetName val="Gia vat tu"/>
      <sheetName val="동축분_종합설계서1"/>
      <sheetName val="MINA_BM1"/>
      <sheetName val="수금_"/>
      <sheetName val="2_카드채권(대출포함)"/>
      <sheetName val="Back_data_Table"/>
      <sheetName val="CONC_SLAB"/>
      <sheetName val="SOS_PLC_&amp;_Panel"/>
      <sheetName val="할증_"/>
      <sheetName val="1_설계기준"/>
      <sheetName val="6PILE__(돌출)"/>
      <sheetName val="97_사업추정(WEKI)"/>
      <sheetName val="7_1유효폭"/>
      <sheetName val="실행내역서_"/>
      <sheetName val="IMPEADENCE_MAP_취수장"/>
      <sheetName val="견"/>
      <sheetName val="교각1"/>
      <sheetName val="BSD (2)"/>
      <sheetName val="FORM-0"/>
      <sheetName val="연수동"/>
      <sheetName val="특기사항"/>
      <sheetName val="일위대가 "/>
      <sheetName val="WELDING POINT 단가"/>
      <sheetName val="정산내역"/>
      <sheetName val="산거각호표"/>
      <sheetName val="대로근거"/>
      <sheetName val="중로근거"/>
      <sheetName val="기초자료입력"/>
      <sheetName val="공통비(전체)"/>
      <sheetName val="사통"/>
      <sheetName val="일위대가_여기까지_"/>
      <sheetName val=" 공사개요.xlsx"/>
      <sheetName val="품"/>
      <sheetName val="수주추정"/>
      <sheetName val="3.PIPING"/>
      <sheetName val="교각계산"/>
      <sheetName val="역T형"/>
      <sheetName val="견적단가"/>
      <sheetName val="자재비산출(perlite)"/>
      <sheetName val="0124"/>
      <sheetName val="Cable경로수정_SRS_제출_견적내역(20120215)"/>
      <sheetName val="코드"/>
      <sheetName val="COST"/>
      <sheetName val="기본사항"/>
      <sheetName val="을-ATYPE"/>
      <sheetName val="정보"/>
      <sheetName val="입력"/>
      <sheetName val="Project_Brief1"/>
      <sheetName val="Breakdown"/>
      <sheetName val="금액집계"/>
      <sheetName val="ITEM"/>
      <sheetName val="1공구(을)"/>
      <sheetName val="UnitRate"/>
      <sheetName val="연부97-1"/>
      <sheetName val="21301동"/>
      <sheetName val="산출내역서집계표"/>
      <sheetName val="mto-rev0B"/>
      <sheetName val="SUPT_Column"/>
      <sheetName val="SUPT_Rafter"/>
      <sheetName val="SUPT_STR2"/>
      <sheetName val="SUPT_Girder"/>
      <sheetName val="Int Wind Girder"/>
      <sheetName val="AnchorB"/>
      <sheetName val="AnchorC"/>
      <sheetName val="Shell (App A)"/>
      <sheetName val="Cover"/>
      <sheetName val="Annular"/>
      <sheetName val="Wind"/>
      <sheetName val="Rafter_Only"/>
      <sheetName val="App F"/>
      <sheetName val="Seismic"/>
      <sheetName val="Shell (VP Dgn)"/>
      <sheetName val="DHEQSUPT"/>
      <sheetName val="배관 PANIT 물량"/>
      <sheetName val="MTP"/>
      <sheetName val="공내역"/>
      <sheetName val="ERECT"/>
      <sheetName val="Master_Data"/>
      <sheetName val="개시대사 (2)"/>
      <sheetName val="hvac(제어동)"/>
      <sheetName val="9GNG운반"/>
      <sheetName val="N賃率-職"/>
      <sheetName val="조명시설"/>
      <sheetName val="1,2,3,4,5단위수량"/>
      <sheetName val="그래프(안전환경)"/>
      <sheetName val="현장지지물물량"/>
      <sheetName val="터파기및재료"/>
      <sheetName val="BOX(1.5X1.5)"/>
      <sheetName val="MTO REV.2(ARMOR)"/>
      <sheetName val="충돌 내용"/>
      <sheetName val="연습"/>
      <sheetName val="BAND(200)"/>
      <sheetName val="OUTER AREA(겹침없음)"/>
      <sheetName val="EG-09"/>
      <sheetName val="A-100전제"/>
      <sheetName val="Summary Sheets"/>
      <sheetName val="cal"/>
      <sheetName val="기계내역"/>
      <sheetName val="손익합산"/>
      <sheetName val="간접비내역-1"/>
      <sheetName val="실행철강하도"/>
      <sheetName val="MAT_N048"/>
      <sheetName val="아울렛박스"/>
      <sheetName val="산출근거"/>
      <sheetName val="산근"/>
      <sheetName val="BOX"/>
      <sheetName val="ASCEandUBC"/>
      <sheetName val="공통부대비"/>
      <sheetName val="전계가"/>
      <sheetName val="업무담당"/>
      <sheetName val="사진"/>
      <sheetName val="PAY"/>
      <sheetName val="YES-T"/>
      <sheetName val="Sheet17"/>
      <sheetName val="단가산출"/>
      <sheetName val="설산1.나"/>
      <sheetName val="본사S"/>
      <sheetName val="왕십리방향"/>
      <sheetName val="자재단가"/>
      <sheetName val="BACKDA_x005f_x0014_A"/>
      <sheetName val="00년 湓畃"/>
      <sheetName val="She_x000c_+_x0000_"/>
      <sheetName val=""/>
      <sheetName val="name"/>
      <sheetName val="Cost Report-B&amp;V Det"/>
      <sheetName val="인원현황"/>
      <sheetName val="내역1"/>
      <sheetName val="단중표_ST"/>
      <sheetName val="CIVIL4"/>
      <sheetName val="갑지1"/>
      <sheetName val="별표 "/>
      <sheetName val="설계내역서"/>
      <sheetName val="공정기계"/>
      <sheetName val="계장"/>
      <sheetName val="토목"/>
      <sheetName val="건축"/>
      <sheetName val="자재집계"/>
      <sheetName val="삼광기업0120"/>
      <sheetName val="음료실행"/>
      <sheetName val="실행(표지,갑,을)"/>
      <sheetName val="실행(ALT1)"/>
      <sheetName val="동원인원"/>
      <sheetName val="원본"/>
      <sheetName val="EQUIPMENT -2"/>
      <sheetName val="CD,TH,TP"/>
      <sheetName val="Tong Hop"/>
      <sheetName val="He 06"/>
      <sheetName val="Nam 2004"/>
      <sheetName val="Nam 2003"/>
      <sheetName val="Nam 2005"/>
      <sheetName val="Nam 2002"/>
      <sheetName val="XL4Poppy"/>
      <sheetName val="Memb Schd"/>
      <sheetName val="Personnel"/>
      <sheetName val="ANALISA"/>
      <sheetName val="BEND LOSS"/>
      <sheetName val="적정심사"/>
      <sheetName val="건기토"/>
      <sheetName val="상세일위"/>
      <sheetName val="단가(보완)"/>
      <sheetName val="대가 (보완)"/>
      <sheetName val="CAL1"/>
      <sheetName val="내역표지"/>
      <sheetName val="대부예산서"/>
      <sheetName val="90EL JACKET"/>
      <sheetName val="JACKET(50,50)"/>
      <sheetName val="첨부_예산"/>
      <sheetName val="일위(PN)"/>
      <sheetName val="Tap"/>
      <sheetName val="EQUIP"/>
      <sheetName val="F801"/>
      <sheetName val="consumption"/>
      <sheetName val="CONCRETE"/>
      <sheetName val="계수시트"/>
      <sheetName val="원가계산서"/>
      <sheetName val="물량표(신)"/>
      <sheetName val="AILC004"/>
      <sheetName val="준검 내역서"/>
      <sheetName val="2010년 투입계획 (2)"/>
      <sheetName val="Nalut (천단위)"/>
      <sheetName val="수량산출서(코너앵글)"/>
      <sheetName val="간접"/>
      <sheetName val="Overview discount gross &amp; trans"/>
      <sheetName val="대비"/>
      <sheetName val="DATE"/>
      <sheetName val="Sheeta"/>
      <sheetName val="Units+rev"/>
      <sheetName val="토목주소"/>
      <sheetName val="양식_자재단가조사표"/>
      <sheetName val="교통대책내역"/>
      <sheetName val="UB2"/>
      <sheetName val="TRE_TABLE"/>
      <sheetName val="P_M_별"/>
      <sheetName val="CODE_(2)"/>
      <sheetName val="sum1_(2)"/>
      <sheetName val="기계경비_(2)"/>
      <sheetName val="단가표_"/>
      <sheetName val="표지_(2)"/>
      <sheetName val="공종별_공사비변동"/>
      <sheetName val="본선_토공_분배표"/>
      <sheetName val="수량산출서_갑지"/>
      <sheetName val="_HIT-&gt;HMC_견적(3900)"/>
      <sheetName val="자재"/>
      <sheetName val="INNER_FULE3"/>
      <sheetName val="00년_1월3"/>
      <sheetName val="00년_2월3"/>
      <sheetName val="00년_3월3"/>
      <sheetName val="00년_4월3"/>
      <sheetName val="00년_5월3"/>
      <sheetName val="00년_7월3"/>
      <sheetName val="00년_8월3"/>
      <sheetName val="00년_9월3"/>
      <sheetName val="노원열병합__건축공사기성내역서3"/>
      <sheetName val="TOWER_12TON3"/>
      <sheetName val="TOWER_10TON3"/>
      <sheetName val="동축분_종합설계서2"/>
      <sheetName val="배관(TDI_ISBL)3"/>
      <sheetName val="_견적서2"/>
      <sheetName val="3_공통공사대비2"/>
      <sheetName val="TDI_ISBL2"/>
      <sheetName val="수금_1"/>
      <sheetName val="2_카드채권(대출포함)1"/>
      <sheetName val="SOS_PLC_&amp;_Panel1"/>
      <sheetName val="MINA_BM2"/>
      <sheetName val="CONC_SLAB1"/>
      <sheetName val="Back_data_Table1"/>
      <sheetName val="6PILE__(돌출)1"/>
      <sheetName val="TRE_TABLE1"/>
      <sheetName val="P_M_별1"/>
      <sheetName val="CODE_(2)1"/>
      <sheetName val="sum1_(2)1"/>
      <sheetName val="기계경비_(2)1"/>
      <sheetName val="단가표_1"/>
      <sheetName val="표지_(2)1"/>
      <sheetName val="공종별_공사비변동1"/>
      <sheetName val="1_설계기준1"/>
      <sheetName val="본선_토공_분배표1"/>
      <sheetName val="수량산출서_갑지1"/>
      <sheetName val="5_소재"/>
      <sheetName val="F4-F7"/>
      <sheetName val="총수량집계표"/>
      <sheetName val="을 2"/>
      <sheetName val="공종별수량집계"/>
      <sheetName val="PC방호벽설치수량"/>
      <sheetName val="2.대외공문"/>
      <sheetName val="W-현원가"/>
      <sheetName val="입찰내역_발주처_양식"/>
      <sheetName val="3BL공동구_수량"/>
      <sheetName val="앉음벽_(2)"/>
      <sheetName val="성곽내역서"/>
      <sheetName val="PAD TR보호대기초"/>
      <sheetName val="가로등기초"/>
      <sheetName val="HANDHOLE(2)"/>
      <sheetName val="SMD 3L PM Data"/>
      <sheetName val="Equiv.Length"/>
      <sheetName val="3S"/>
      <sheetName val="18.1B"/>
      <sheetName val="UNIT"/>
      <sheetName val="오억미만"/>
      <sheetName val="단면_(2)"/>
      <sheetName val="설_계"/>
      <sheetName val="입출재고현황_(2)"/>
      <sheetName val="일위대가_"/>
      <sheetName val="WELDING_POINT_단가"/>
      <sheetName val="별표_"/>
      <sheetName val="BACKDAA"/>
      <sheetName val="BOQ_for_HRSG_&amp;_BOP-mech_"/>
      <sheetName val="BOQ_for_GTG_&amp;_STG-mech_"/>
      <sheetName val="TDC_COA_Sumry"/>
      <sheetName val="TDC_Item_Dets"/>
      <sheetName val="TDC_Item_Sumry"/>
      <sheetName val="TDC_Key_Qty_Sumry"/>
      <sheetName val="List_-_Components"/>
      <sheetName val="List_-_Equipment"/>
      <sheetName val=" "/>
      <sheetName val="보험"/>
      <sheetName val="COA_Sumry_-_Std_Imp"/>
      <sheetName val="Contr_TDC_-_Std_Imp"/>
      <sheetName val="Item_Sumry_-_Std_Imp"/>
      <sheetName val="Unit_Costs_-_Std_Imp"/>
      <sheetName val="Unit_MH_-_Std_Imp"/>
      <sheetName val="Proj_TIC_-_Std_Imp"/>
      <sheetName val="Inert_Balls"/>
      <sheetName val="3_PIPING"/>
      <sheetName val="Appendix_2"/>
      <sheetName val="Appendix_3"/>
      <sheetName val="Appendix_4(a)_Civil"/>
      <sheetName val="간접비"/>
      <sheetName val="Subcon_A1"/>
      <sheetName val="TDC_COA_Sumry1"/>
      <sheetName val="TDC_Item_Dets1"/>
      <sheetName val="TDC_Item_Sumry1"/>
      <sheetName val="TDC_Key_Qty_Sumry1"/>
      <sheetName val="List_-_Components1"/>
      <sheetName val="List_-_Equipment1"/>
      <sheetName val="COA_Sumry_-_Std_Imp1"/>
      <sheetName val="Contr_TDC_-_Std_Imp1"/>
      <sheetName val="Item_Sumry_-_Std_Imp1"/>
      <sheetName val="Unit_Costs_-_Std_Imp1"/>
      <sheetName val="Unit_MH_-_Std_Imp1"/>
      <sheetName val="Proj_TIC_-_Std_Imp1"/>
      <sheetName val="Inert_Balls1"/>
      <sheetName val="단면_(2)1"/>
      <sheetName val="할증_1"/>
      <sheetName val="7_1유효폭1"/>
      <sheetName val="실행내역서_1"/>
      <sheetName val="IMPEADENCE_MAP_취수장1"/>
      <sheetName val="앉음벽_(2)1"/>
      <sheetName val="97_사업추정(WEKI)1"/>
      <sheetName val="입찰내역_발주처_양식1"/>
      <sheetName val="3BL공동구_수량1"/>
      <sheetName val="설_계1"/>
      <sheetName val="입출재고현황_(2)1"/>
      <sheetName val="Subcon_A"/>
      <sheetName val="1.설계조건"/>
      <sheetName val="일위2"/>
      <sheetName val="일위6"/>
      <sheetName val="datasheet"/>
      <sheetName val="TYPE-A"/>
      <sheetName val="최종보고1"/>
      <sheetName val="현금경비중역"/>
      <sheetName val="기안"/>
      <sheetName val="94B"/>
      <sheetName val="전체현황"/>
      <sheetName val="소유주(원)"/>
      <sheetName val="PTR台손익"/>
      <sheetName val="96수출"/>
      <sheetName val="인원01"/>
      <sheetName val="RD제품개발투자비(매가)"/>
      <sheetName val="1.POSITIONING"/>
      <sheetName val="존4"/>
      <sheetName val="협조전"/>
      <sheetName val="DAT(목표)"/>
      <sheetName val="소상 &quot;1&quot;"/>
      <sheetName val="1~3월 지시사항"/>
      <sheetName val="데이타"/>
      <sheetName val="식재인부"/>
      <sheetName val="조명율표"/>
      <sheetName val="총괄내역서"/>
      <sheetName val="major"/>
      <sheetName val="코드표"/>
      <sheetName val="실행기성 갑지"/>
      <sheetName val="기성내역"/>
      <sheetName val="현장경비"/>
      <sheetName val="Sheet1 (2)"/>
      <sheetName val="EP0618"/>
      <sheetName val="LD"/>
      <sheetName val="BACKDA_x005f_x005f_x005f_x0014_A"/>
      <sheetName val="기계경비(시간당)"/>
      <sheetName val="AS복구"/>
      <sheetName val="중기터파기"/>
      <sheetName val="변수값"/>
      <sheetName val="중기상차"/>
      <sheetName val="진접"/>
      <sheetName val="실행에산"/>
      <sheetName val="토량산출서"/>
      <sheetName val="당초토량산출서"/>
      <sheetName val="견적대비표"/>
      <sheetName val="차액보증"/>
      <sheetName val="증감내역서"/>
      <sheetName val="토적표"/>
      <sheetName val="노무비"/>
      <sheetName val="기초코드"/>
      <sheetName val="변경토량산출서"/>
      <sheetName val="수량산출"/>
      <sheetName val="공종별 공사비변_x0002_"/>
      <sheetName val="남양내역"/>
      <sheetName val="EQUIP-H"/>
      <sheetName val="DESIGN CRETERIA"/>
      <sheetName val="개요입력"/>
      <sheetName val="수량기준"/>
      <sheetName val="단가기준"/>
      <sheetName val="가동비율"/>
      <sheetName val="합계"/>
      <sheetName val="L-TIGA"/>
      <sheetName val="PUMPS"/>
      <sheetName val="C"/>
      <sheetName val="MANP"/>
      <sheetName val="bm(CIcable)"/>
      <sheetName val="INPUT"/>
      <sheetName val="2공구산출내역"/>
      <sheetName val="대치판정"/>
      <sheetName val="지구단위계획"/>
      <sheetName val="품셈기준"/>
      <sheetName val="결재방"/>
      <sheetName val="공구원가계산"/>
      <sheetName val="합천내역"/>
      <sheetName val="3. GROUNDING SYSTEM"/>
      <sheetName val="하도급업체"/>
      <sheetName val="공사비총괄표"/>
      <sheetName val="자체실적1Q"/>
      <sheetName val="INNER_FULE7"/>
      <sheetName val="00년_1월7"/>
      <sheetName val="00년_2월6"/>
      <sheetName val="00년_3월6"/>
      <sheetName val="00년_4월6"/>
      <sheetName val="00년_5월6"/>
      <sheetName val="00년_7월6"/>
      <sheetName val="00년_8월6"/>
      <sheetName val="00년_9월6"/>
      <sheetName val="노원열병합__건축공사기성내역서6"/>
      <sheetName val="배관(TDI_ISBL)6"/>
      <sheetName val="TOWER_12TON6"/>
      <sheetName val="TOWER_10TON6"/>
      <sheetName val="3_공통공사대비5"/>
      <sheetName val="_견적서5"/>
      <sheetName val="TDI_ISBL5"/>
      <sheetName val="동축분_종합설계서5"/>
      <sheetName val="SOS_PLC_&amp;_Panel4"/>
      <sheetName val="CONC_SLAB4"/>
      <sheetName val="수금_4"/>
      <sheetName val="할증_4"/>
      <sheetName val="6PILE__(돌출)4"/>
      <sheetName val="TRE_TABLE4"/>
      <sheetName val="MINA_BM5"/>
      <sheetName val="2_카드채권(대출포함)4"/>
      <sheetName val="기계경비_(2)4"/>
      <sheetName val="Back_data_Table4"/>
      <sheetName val="1_설계기준4"/>
      <sheetName val="7_1유효폭4"/>
      <sheetName val="97_사업추정(WEKI)4"/>
      <sheetName val="실행내역서_4"/>
      <sheetName val="IMPEADENCE_MAP_취수장4"/>
      <sheetName val="앉음벽_(2)3"/>
      <sheetName val="sum1_(2)4"/>
      <sheetName val="5_소재3"/>
      <sheetName val="단면_(2)3"/>
      <sheetName val="수량산출서_갑지4"/>
      <sheetName val="본선_토공_분배표4"/>
      <sheetName val="표지_(2)4"/>
      <sheetName val="P_M_별4"/>
      <sheetName val="Engrg_Est3"/>
      <sheetName val="공종별_공사비변동4"/>
      <sheetName val="단가표_4"/>
      <sheetName val="CODE_(2)4"/>
      <sheetName val="BSD_(2)3"/>
      <sheetName val="3BL공동구_수량3"/>
      <sheetName val="입찰내역_발주처_양식3"/>
      <sheetName val="Appendix_23"/>
      <sheetName val="Appendix_33"/>
      <sheetName val="Appendix_4(a)_Civil3"/>
      <sheetName val="Appendix_4(c)_Piping3"/>
      <sheetName val="Appendix_4(b)_Elec_3"/>
      <sheetName val="Supervision_List3"/>
      <sheetName val="BQ_Process_3"/>
      <sheetName val="BQ_Building_3"/>
      <sheetName val="fire_alarm3"/>
      <sheetName val="Tank_Elec__BM_3"/>
      <sheetName val="132kv_BM_3"/>
      <sheetName val="설_계3"/>
      <sheetName val="입출재고현황_(2)3"/>
      <sheetName val="Gia_vat_tu3"/>
      <sheetName val="TDC_COA_Sumry3"/>
      <sheetName val="TDC_Item_Dets3"/>
      <sheetName val="TDC_Item_Sumry3"/>
      <sheetName val="TDC_Key_Qty_Sumry3"/>
      <sheetName val="List_-_Components3"/>
      <sheetName val="List_-_Equipment3"/>
      <sheetName val="COA_Sumry_-_Std_Imp3"/>
      <sheetName val="Contr_TDC_-_Std_Imp3"/>
      <sheetName val="Item_Sumry_-_Std_Imp3"/>
      <sheetName val="Unit_Costs_-_Std_Imp3"/>
      <sheetName val="Unit_MH_-_Std_Imp3"/>
      <sheetName val="Proj_TIC_-_Std_Imp3"/>
      <sheetName val="Inert_Balls3"/>
      <sheetName val="Subcon_A3"/>
      <sheetName val="BOQ_for_HRSG_&amp;_BOP-mech_3"/>
      <sheetName val="BOQ_for_GTG_&amp;_STG-mech_3"/>
      <sheetName val="일위대가_3"/>
      <sheetName val="WELDING_POINT_단가3"/>
      <sheetName val="_공사개요_xlsx3"/>
      <sheetName val="허용전류-IEC_DATA3"/>
      <sheetName val="MTO_REV_2(ARMOR)3"/>
      <sheetName val="3_PIPING3"/>
      <sheetName val="개시대사_(2)3"/>
      <sheetName val="BOX(1_5X1_5)3"/>
      <sheetName val="충돌_내용3"/>
      <sheetName val="준검_내역서3"/>
      <sheetName val="2010년_투입계획_(2)3"/>
      <sheetName val="Nalut_(천단위)3"/>
      <sheetName val="Int_Wind_Girder3"/>
      <sheetName val="Shell_(App_A)3"/>
      <sheetName val="App_F3"/>
      <sheetName val="Shell_(VP_Dgn)3"/>
      <sheetName val="배관_PANIT_물량3"/>
      <sheetName val="OUTER_AREA(겹침없음)3"/>
      <sheetName val="Summary_Sheets3"/>
      <sheetName val="별표_3"/>
      <sheetName val="설산1_나3"/>
      <sheetName val="BEND_LOSS3"/>
      <sheetName val="90EL_JACKET3"/>
      <sheetName val="Cost_Report-B&amp;V_Det3"/>
      <sheetName val="00년_湓畃3"/>
      <sheetName val="She+"/>
      <sheetName val="EQUIPMENT_-23"/>
      <sheetName val="Tong_Hop3"/>
      <sheetName val="He_063"/>
      <sheetName val="Nam_20043"/>
      <sheetName val="INNER_FULE4"/>
      <sheetName val="00년_1월4"/>
      <sheetName val="BSD_(2)"/>
      <sheetName val="배관_PANIT_물량"/>
      <sheetName val="설산1_나"/>
      <sheetName val="허용전류-IEC_DATA"/>
      <sheetName val="MTO_REV_2(ARMOR)"/>
      <sheetName val="OUTER_AREA(겹침없음)"/>
      <sheetName val="Summary_Sheets"/>
      <sheetName val="BEND_LOSS"/>
      <sheetName val="충돌_내용"/>
      <sheetName val="BQ_Process_"/>
      <sheetName val="BQ_Building_"/>
      <sheetName val="fire_alarm"/>
      <sheetName val="Tank_Elec__BM_"/>
      <sheetName val="132kv_BM_"/>
      <sheetName val="Appendix_4(c)_Piping"/>
      <sheetName val="Appendix_4(b)_Elec_"/>
      <sheetName val="Supervision_List"/>
      <sheetName val="Engrg_Est"/>
      <sheetName val="Gia_vat_tu"/>
      <sheetName val="90EL_JACKET"/>
      <sheetName val="BOX(1_5X1_5)"/>
      <sheetName val="_공사개요_xlsx"/>
      <sheetName val="Cost_Report-B&amp;V_Det"/>
      <sheetName val="00년_湓畃"/>
      <sheetName val="EQUIPMENT_-2"/>
      <sheetName val="Tong_Hop"/>
      <sheetName val="He_06"/>
      <sheetName val="Nam_2004"/>
      <sheetName val="Nam_2003"/>
      <sheetName val="Nam_2005"/>
      <sheetName val="Nam_2002"/>
      <sheetName val="Overview_discount_gross_&amp;_trans"/>
      <sheetName val="개시대사_(2)"/>
      <sheetName val="준검_내역서"/>
      <sheetName val="2010년_투입계획_(2)"/>
      <sheetName val="Nalut_(천단위)"/>
      <sheetName val="Int_Wind_Girder"/>
      <sheetName val="Shell_(App_A)"/>
      <sheetName val="App_F"/>
      <sheetName val="Shell_(VP_Dgn)"/>
      <sheetName val="Nam_20033"/>
      <sheetName val="Nam_20053"/>
      <sheetName val="Nam_20023"/>
      <sheetName val="Overview_discount_gross_&amp;_tran3"/>
      <sheetName val="INNER_FULE5"/>
      <sheetName val="00년_1월5"/>
      <sheetName val="00년_2월4"/>
      <sheetName val="00년_3월4"/>
      <sheetName val="00년_4월4"/>
      <sheetName val="00년_5월4"/>
      <sheetName val="00년_7월4"/>
      <sheetName val="00년_8월4"/>
      <sheetName val="00년_9월4"/>
      <sheetName val="노원열병합__건축공사기성내역서4"/>
      <sheetName val="배관(TDI_ISBL)4"/>
      <sheetName val="TOWER_12TON4"/>
      <sheetName val="TOWER_10TON4"/>
      <sheetName val="3_공통공사대비3"/>
      <sheetName val="_견적서3"/>
      <sheetName val="TDI_ISBL3"/>
      <sheetName val="동축분_종합설계서3"/>
      <sheetName val="SOS_PLC_&amp;_Panel2"/>
      <sheetName val="CONC_SLAB2"/>
      <sheetName val="수금_2"/>
      <sheetName val="할증_2"/>
      <sheetName val="6PILE__(돌출)2"/>
      <sheetName val="TRE_TABLE2"/>
      <sheetName val="MINA_BM3"/>
      <sheetName val="2_카드채권(대출포함)2"/>
      <sheetName val="기계경비_(2)2"/>
      <sheetName val="Back_data_Table2"/>
      <sheetName val="1_설계기준2"/>
      <sheetName val="7_1유효폭2"/>
      <sheetName val="97_사업추정(WEKI)2"/>
      <sheetName val="실행내역서_2"/>
      <sheetName val="IMPEADENCE_MAP_취수장2"/>
      <sheetName val="sum1_(2)2"/>
      <sheetName val="5_소재1"/>
      <sheetName val="수량산출서_갑지2"/>
      <sheetName val="본선_토공_분배표2"/>
      <sheetName val="표지_(2)2"/>
      <sheetName val="P_M_별2"/>
      <sheetName val="Engrg_Est1"/>
      <sheetName val="공종별_공사비변동2"/>
      <sheetName val="단가표_2"/>
      <sheetName val="CODE_(2)2"/>
      <sheetName val="BSD_(2)1"/>
      <sheetName val="Appendix_21"/>
      <sheetName val="Appendix_31"/>
      <sheetName val="Appendix_4(a)_Civil1"/>
      <sheetName val="Appendix_4(c)_Piping1"/>
      <sheetName val="Appendix_4(b)_Elec_1"/>
      <sheetName val="Supervision_List1"/>
      <sheetName val="BQ_Process_1"/>
      <sheetName val="BQ_Building_1"/>
      <sheetName val="fire_alarm1"/>
      <sheetName val="Tank_Elec__BM_1"/>
      <sheetName val="132kv_BM_1"/>
      <sheetName val="Gia_vat_tu1"/>
      <sheetName val="BOQ_for_HRSG_&amp;_BOP-mech_1"/>
      <sheetName val="BOQ_for_GTG_&amp;_STG-mech_1"/>
      <sheetName val="일위대가_1"/>
      <sheetName val="WELDING_POINT_단가1"/>
      <sheetName val="_공사개요_xlsx1"/>
      <sheetName val="허용전류-IEC_DATA1"/>
      <sheetName val="MTO_REV_2(ARMOR)1"/>
      <sheetName val="3_PIPING1"/>
      <sheetName val="개시대사_(2)1"/>
      <sheetName val="BOX(1_5X1_5)1"/>
      <sheetName val="충돌_내용1"/>
      <sheetName val="준검_내역서1"/>
      <sheetName val="2010년_투입계획_(2)1"/>
      <sheetName val="Nalut_(천단위)1"/>
      <sheetName val="Int_Wind_Girder1"/>
      <sheetName val="Shell_(App_A)1"/>
      <sheetName val="App_F1"/>
      <sheetName val="Shell_(VP_Dgn)1"/>
      <sheetName val="배관_PANIT_물량1"/>
      <sheetName val="OUTER_AREA(겹침없음)1"/>
      <sheetName val="Summary_Sheets1"/>
      <sheetName val="별표_1"/>
      <sheetName val="설산1_나1"/>
      <sheetName val="BEND_LOSS1"/>
      <sheetName val="90EL_JACKET1"/>
      <sheetName val="Cost_Report-B&amp;V_Det1"/>
      <sheetName val="00년_湓畃1"/>
      <sheetName val="EQUIPMENT_-21"/>
      <sheetName val="Tong_Hop1"/>
      <sheetName val="He_061"/>
      <sheetName val="Nam_20041"/>
      <sheetName val="Nam_20031"/>
      <sheetName val="Nam_20051"/>
      <sheetName val="Nam_20021"/>
      <sheetName val="Overview_discount_gross_&amp;_tran1"/>
      <sheetName val="INNER_FULE6"/>
      <sheetName val="00년_1월6"/>
      <sheetName val="00년_2월5"/>
      <sheetName val="00년_3월5"/>
      <sheetName val="00년_4월5"/>
      <sheetName val="00년_5월5"/>
      <sheetName val="00년_7월5"/>
      <sheetName val="00년_8월5"/>
      <sheetName val="00년_9월5"/>
      <sheetName val="노원열병합__건축공사기성내역서5"/>
      <sheetName val="배관(TDI_ISBL)5"/>
      <sheetName val="TOWER_12TON5"/>
      <sheetName val="TOWER_10TON5"/>
      <sheetName val="3_공통공사대비4"/>
      <sheetName val="_견적서4"/>
      <sheetName val="TDI_ISBL4"/>
      <sheetName val="동축분_종합설계서4"/>
      <sheetName val="SOS_PLC_&amp;_Panel3"/>
      <sheetName val="CONC_SLAB3"/>
      <sheetName val="수금_3"/>
      <sheetName val="할증_3"/>
      <sheetName val="6PILE__(돌출)3"/>
      <sheetName val="TRE_TABLE3"/>
      <sheetName val="MINA_BM4"/>
      <sheetName val="2_카드채권(대출포함)3"/>
      <sheetName val="기계경비_(2)3"/>
      <sheetName val="Back_data_Table3"/>
      <sheetName val="1_설계기준3"/>
      <sheetName val="7_1유효폭3"/>
      <sheetName val="97_사업추정(WEKI)3"/>
      <sheetName val="실행내역서_3"/>
      <sheetName val="IMPEADENCE_MAP_취수장3"/>
      <sheetName val="앉음벽_(2)2"/>
      <sheetName val="sum1_(2)3"/>
      <sheetName val="5_소재2"/>
      <sheetName val="단면_(2)2"/>
      <sheetName val="수량산출서_갑지3"/>
      <sheetName val="본선_토공_분배표3"/>
      <sheetName val="표지_(2)3"/>
      <sheetName val="P_M_별3"/>
      <sheetName val="Engrg_Est2"/>
      <sheetName val="공종별_공사비변동3"/>
      <sheetName val="단가표_3"/>
      <sheetName val="CODE_(2)3"/>
      <sheetName val="BSD_(2)2"/>
      <sheetName val="3BL공동구_수량2"/>
      <sheetName val="입찰내역_발주처_양식2"/>
      <sheetName val="Appendix_22"/>
      <sheetName val="Appendix_32"/>
      <sheetName val="Appendix_4(a)_Civil2"/>
      <sheetName val="Appendix_4(c)_Piping2"/>
      <sheetName val="Appendix_4(b)_Elec_2"/>
      <sheetName val="Supervision_List2"/>
      <sheetName val="BQ_Process_2"/>
      <sheetName val="BQ_Building_2"/>
      <sheetName val="fire_alarm2"/>
      <sheetName val="Tank_Elec__BM_2"/>
      <sheetName val="132kv_BM_2"/>
      <sheetName val="설_계2"/>
      <sheetName val="입출재고현황_(2)2"/>
      <sheetName val="Gia_vat_tu2"/>
      <sheetName val="TDC_COA_Sumry2"/>
      <sheetName val="TDC_Item_Dets2"/>
      <sheetName val="TDC_Item_Sumry2"/>
      <sheetName val="TDC_Key_Qty_Sumry2"/>
      <sheetName val="List_-_Components2"/>
      <sheetName val="List_-_Equipment2"/>
      <sheetName val="COA_Sumry_-_Std_Imp2"/>
      <sheetName val="Contr_TDC_-_Std_Imp2"/>
      <sheetName val="Item_Sumry_-_Std_Imp2"/>
      <sheetName val="Unit_Costs_-_Std_Imp2"/>
      <sheetName val="Unit_MH_-_Std_Imp2"/>
      <sheetName val="Proj_TIC_-_Std_Imp2"/>
      <sheetName val="Inert_Balls2"/>
      <sheetName val="Subcon_A2"/>
      <sheetName val="BOQ_for_HRSG_&amp;_BOP-mech_2"/>
      <sheetName val="BOQ_for_GTG_&amp;_STG-mech_2"/>
      <sheetName val="일위대가_2"/>
      <sheetName val="WELDING_POINT_단가2"/>
      <sheetName val="_공사개요_xlsx2"/>
      <sheetName val="허용전류-IEC_DATA2"/>
      <sheetName val="MTO_REV_2(ARMOR)2"/>
      <sheetName val="3_PIPING2"/>
      <sheetName val="개시대사_(2)2"/>
      <sheetName val="BOX(1_5X1_5)2"/>
      <sheetName val="충돌_내용2"/>
      <sheetName val="준검_내역서2"/>
      <sheetName val="2010년_투입계획_(2)2"/>
      <sheetName val="Nalut_(천단위)2"/>
      <sheetName val="Int_Wind_Girder2"/>
      <sheetName val="Shell_(App_A)2"/>
      <sheetName val="App_F2"/>
      <sheetName val="Shell_(VP_Dgn)2"/>
      <sheetName val="배관_PANIT_물량2"/>
      <sheetName val="OUTER_AREA(겹침없음)2"/>
      <sheetName val="Summary_Sheets2"/>
      <sheetName val="별표_2"/>
      <sheetName val="설산1_나2"/>
      <sheetName val="BEND_LOSS2"/>
      <sheetName val="90EL_JACKET2"/>
      <sheetName val="Cost_Report-B&amp;V_Det2"/>
      <sheetName val="00년_湓畃2"/>
      <sheetName val="EQUIPMENT_-22"/>
      <sheetName val="Tong_Hop2"/>
      <sheetName val="He_062"/>
      <sheetName val="Nam_20042"/>
      <sheetName val="Nam_20032"/>
      <sheetName val="Nam_20052"/>
      <sheetName val="Nam_20022"/>
      <sheetName val="Overview_discount_gross_&amp;_tran2"/>
      <sheetName val="노무공수2"/>
      <sheetName val="단위중기"/>
      <sheetName val="공종별집계표"/>
      <sheetName val="콘크리트타설집계표"/>
      <sheetName val="FAB별"/>
      <sheetName val="일위대가표"/>
      <sheetName val="CPM챠트"/>
      <sheetName val="냉연"/>
      <sheetName val="10.master schedule rev 1(LSIS)"/>
      <sheetName val="定额 (06)"/>
      <sheetName val="热力"/>
      <sheetName val="cashflow"/>
      <sheetName val="상반기손익차2총괄"/>
      <sheetName val="건물현황"/>
      <sheetName val="P뺑"/>
      <sheetName val="수량"/>
      <sheetName val="견적 (2)"/>
      <sheetName val="영동(D)"/>
      <sheetName val="P3"/>
      <sheetName val="P_x0010__x0000_"/>
      <sheetName val="P_x0000__x0000_"/>
      <sheetName val="A-4"/>
      <sheetName val="1-1"/>
      <sheetName val="공통가설"/>
      <sheetName val="시멘트"/>
      <sheetName val="전차선로 물량표"/>
      <sheetName val="최초위험성평가(협력사용)"/>
      <sheetName val="최초위험성평가(SECL용)"/>
      <sheetName val="Pier 3"/>
      <sheetName val="T-ALLOW"/>
      <sheetName val="2.물량"/>
      <sheetName val="Proposal"/>
      <sheetName val="기타"/>
      <sheetName val="소일위대가코드표"/>
      <sheetName val="인사자료총집계"/>
      <sheetName val="현금흐름"/>
      <sheetName val="分析2-ʉ_x0000__x0000_"/>
      <sheetName val="_x0008_"/>
      <sheetName val="SOS_PLC_&amp;_x0005__x0000__x0000__x0000__x0000_"/>
      <sheetName val="COA Sumry "/>
      <sheetName val="COA Sumry 닑⼟_x0005__x0000__x0000__x0000__x0000_㫸"/>
      <sheetName val="COA Sumry _x0000__x0000__x0005__x0000_ᜀʀ_x0000__x0000__x0000_"/>
      <sheetName val="Contr TDC -º_x0000_　됍_xdd2b_Ⰱ첐"/>
      <sheetName val="npv"/>
      <sheetName val="COA Sumry 헾⽿_x0005__x0000__x0000__x0000__x0000_㞈"/>
      <sheetName val="5월"/>
      <sheetName val="용선 C.L"/>
      <sheetName val="PIPING"/>
      <sheetName val="Activity(new)"/>
      <sheetName val="Total(new)"/>
      <sheetName val="별표집계"/>
      <sheetName val="예산실적전체당월"/>
      <sheetName val="FD1-1 1단도로측 (1)"/>
      <sheetName val="7.휨변위계측"/>
      <sheetName val="Testing"/>
      <sheetName val="COA Sumry - Std ԯ_x0000_缀"/>
      <sheetName val="ENE-CAL 1"/>
      <sheetName val="견적서"/>
      <sheetName val="개산공사비"/>
      <sheetName val="G.R300경비"/>
      <sheetName val="Recap"/>
      <sheetName val="SILICATE"/>
      <sheetName val="산출집계(LP-A)"/>
      <sheetName val="물량 산출 통신 맨홀"/>
      <sheetName val="골조시행"/>
      <sheetName val="S0"/>
      <sheetName val="장비명"/>
      <sheetName val="업무처리전"/>
      <sheetName val="SOS_PLC_&amp;_x0005_"/>
      <sheetName val="COA Sumry 닑⼟_x0005_"/>
      <sheetName val="Contr TDC -º"/>
      <sheetName val="COA Sumry 헾⽿_x0005_"/>
      <sheetName val="MEXICO-C"/>
      <sheetName val="무시"/>
      <sheetName val="1"/>
      <sheetName val="시중노임"/>
      <sheetName val="공통부대"/>
      <sheetName val="공통부대谰"/>
      <sheetName val="단면적"/>
      <sheetName val="MCC"/>
      <sheetName val="장기차입금"/>
      <sheetName val="PHD Reductions"/>
      <sheetName val="매출관리"/>
      <sheetName val="TinhGiaNC"/>
      <sheetName val="Thiet Bi"/>
      <sheetName val="금호"/>
      <sheetName val="database"/>
      <sheetName val="건축원가"/>
      <sheetName val="건축공사실행"/>
      <sheetName val="건축공사집계표"/>
      <sheetName val="부대공사총괄"/>
      <sheetName val="총괄표"/>
      <sheetName val="eq_data"/>
      <sheetName val="COA Sumry - Std ԯ"/>
      <sheetName val="Yield"/>
      <sheetName val="Yield Sx"/>
      <sheetName val="외화금융(97-03)"/>
      <sheetName val="BM"/>
      <sheetName val="LABCOST"/>
      <sheetName val="CLUB"/>
      <sheetName val="4.1_haul-aggregates"/>
      <sheetName val="FEET"/>
      <sheetName val="asdfghj"/>
      <sheetName val="BD"/>
      <sheetName val="Resource Summary"/>
      <sheetName val="CERTIFICATE"/>
      <sheetName val="sc"/>
      <sheetName val="빌딩 안내"/>
      <sheetName val="이자율"/>
      <sheetName val="토목검측서"/>
      <sheetName val="설비"/>
      <sheetName val="비교견적서"/>
      <sheetName val="견적총괄표"/>
      <sheetName val="작업지시서-1호"/>
      <sheetName val="도근좌표"/>
      <sheetName val="Appendix 4(c)_Piም_x0002_쀀溘"/>
      <sheetName val="Appendix 4(c)_Piሠ_x0002_쀀溘"/>
      <sheetName val="Appendix 4(c)_Piሢ_x0002_쀀溘"/>
      <sheetName val="Appendix 4(a)_Ci_x0010__x0000_რ"/>
      <sheetName val="Appendix 4(a)_Ci_x0010__x0000_ﴠ"/>
      <sheetName val="Appendix 4(a)_Ci׃⽬_x0000_"/>
      <sheetName val="Appendix 4(a)_Ci_x0010__x0000_컠"/>
      <sheetName val=" 미래에셋 그랑서울 오피스：노무비 (목공-삼일기업).xl"/>
      <sheetName val="집수정(600-700)"/>
      <sheetName val="I.설계조건"/>
      <sheetName val="[연돌내역일위_x0000__x0000__x0000__x0000__x0000__x0000__xffff_"/>
      <sheetName val="배수관공"/>
      <sheetName val="1__설계조건_2_단면가정_3__하중계산"/>
      <sheetName val="LEGEND"/>
      <sheetName val="DATA_입력란"/>
      <sheetName val="CODE1"/>
      <sheetName val="danga"/>
      <sheetName val="보도경계블럭"/>
      <sheetName val="원가총괄"/>
      <sheetName val="PARAMETER"/>
      <sheetName val="1_설계조건"/>
      <sheetName val="단가_및_재료비"/>
      <sheetName val="요율"/>
      <sheetName val="단가및재료비"/>
      <sheetName val="중기사용료산출근거"/>
      <sheetName val="차도부연장현황"/>
      <sheetName val="빗물받이(910-510-410)"/>
      <sheetName val="수자재단위당"/>
      <sheetName val="건축기계설비표선정수장"/>
      <sheetName val="토공사"/>
      <sheetName val="96보완계획7_12"/>
      <sheetName val="공사비집계"/>
      <sheetName val="최적단면"/>
      <sheetName val="하자항목"/>
      <sheetName val="본문"/>
      <sheetName val="BATCH"/>
      <sheetName val="Connections"/>
      <sheetName val="배관공사"/>
      <sheetName val="보온공사"/>
      <sheetName val="Support공사"/>
      <sheetName val="도장공사"/>
      <sheetName val="열배관이중보온관공사"/>
      <sheetName val="현장"/>
      <sheetName val="ANNEXURE-A"/>
      <sheetName val="合成単価作成表-BLDG"/>
      <sheetName val="ROOM LOAD"/>
      <sheetName val="분전함신설"/>
      <sheetName val="접지1종"/>
      <sheetName val="계화총괄"/>
      <sheetName val="적_x0000__x0000_Ā"/>
      <sheetName val="BOQ for HRSG &amp; B^_x0000_Ԁ_x0000_蠀_xde25_ﰄ᧏"/>
      <sheetName val="BOQ for HRSG &amp; B傝"/>
      <sheetName val="BOQ for HRSG &amp; B^_x0000_Ԁ_x0000_䕟ﰈ᧏"/>
      <sheetName val="BOQ for HRSG &amp; B _x0000_Ԁ_x0000_蠀䬥ﰂ᧏"/>
      <sheetName val="Appendix 4(a)_Ci_x0010_"/>
      <sheetName val="적"/>
      <sheetName val="BOQ for HRSG &amp; B^"/>
      <sheetName val="BOQ for HRSG &amp; B "/>
      <sheetName val="총괄"/>
      <sheetName val="1차 내역서"/>
      <sheetName val="지수"/>
      <sheetName val="분석"/>
      <sheetName val="EQUIP LIST"/>
      <sheetName val="을_2"/>
      <sheetName val="2_대외공문"/>
    </sheetNames>
    <sheetDataSet>
      <sheetData sheetId="0" refreshError="1"/>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sheetData sheetId="1236"/>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sheetData sheetId="1388"/>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
      <sheetName val="Content"/>
      <sheetName val="Project Outline"/>
      <sheetName val="주요공사"/>
      <sheetName val="Contractual Amount"/>
      <sheetName val="시헹예산"/>
      <sheetName val="TENDER vs BUDGET"/>
      <sheetName val="직영 vs 하청 - 2"/>
      <sheetName val="96 당초Schedule"/>
      <sheetName val="96 Performance"/>
      <sheetName val="소화-투입 분석표"/>
      <sheetName val="STF ORG(K)"/>
      <sheetName val="Staff Org. Chart"/>
      <sheetName val="Scope of Work"/>
      <sheetName val="Design Status"/>
      <sheetName val="DWG Status"/>
      <sheetName val="MAT'L Status"/>
      <sheetName val="장비동원"/>
      <sheetName val="근로자동원"/>
      <sheetName val="Install Status"/>
      <sheetName val="Staff Mob. Plan"/>
      <sheetName val="M.P Mob. Plan"/>
      <sheetName val="Eq. Mobilization"/>
      <sheetName val="Eq_ Mobilization"/>
      <sheetName val="VC2 9.98"/>
      <sheetName val="TUAS"/>
      <sheetName val="유림골조"/>
      <sheetName val="STAND20"/>
      <sheetName val="직원동원SCH"/>
      <sheetName val="#REF"/>
      <sheetName val="수입"/>
      <sheetName val="Cash2"/>
      <sheetName val="Z"/>
      <sheetName val="h-013211-2"/>
      <sheetName val="공통비총괄표"/>
      <sheetName val="11월 실적"/>
      <sheetName val="손익차9월2"/>
      <sheetName val="Sheet1"/>
      <sheetName val="내역서"/>
      <sheetName val="slipsumpR"/>
      <sheetName val="간접비 총괄표"/>
      <sheetName val="VC2 8.98"/>
      <sheetName val="개시전표"/>
      <sheetName val="공사집계"/>
      <sheetName val="카메라"/>
      <sheetName val="TOWER 12TON"/>
      <sheetName val="TOWER 10TON"/>
      <sheetName val="잡비계산"/>
      <sheetName val="가제당공사비"/>
      <sheetName val="기초처리공사비"/>
      <sheetName val="복통공사비"/>
      <sheetName val="본제당공사비"/>
      <sheetName val="시험비"/>
      <sheetName val="자재대"/>
      <sheetName val="중기운반비"/>
      <sheetName val="진입도로공사비"/>
      <sheetName val="취수탑공사비"/>
      <sheetName val="토취장복구"/>
      <sheetName val="Sheet2"/>
      <sheetName val="기구조직"/>
      <sheetName val="데이타"/>
      <sheetName val="식재인부"/>
      <sheetName val="JIB CRANE,HOIST"/>
      <sheetName val="집계표(육상)"/>
      <sheetName val="지급자재"/>
      <sheetName val="집계표"/>
      <sheetName val="P.M 별"/>
      <sheetName val="8.PILE  (돌출)"/>
      <sheetName val="사업부배부A"/>
      <sheetName val="BM"/>
      <sheetName val="청산공사"/>
      <sheetName val="PRO_DCI"/>
      <sheetName val="ELEC_DCI"/>
      <sheetName val="INST_DCI"/>
      <sheetName val="수주추진리스트"/>
      <sheetName val="TK판매비impact"/>
      <sheetName val="TK판매비"/>
      <sheetName val="수주집계"/>
      <sheetName val="TK외판매비impact"/>
      <sheetName val="Vendors"/>
      <sheetName val="금액내역서"/>
      <sheetName val="6PILE  (돌출)"/>
      <sheetName val="예정(3)"/>
      <sheetName val="기준"/>
      <sheetName val="Sheet4"/>
      <sheetName val="2000.11월설계내역"/>
      <sheetName val="주관사업"/>
      <sheetName val="발주코드"/>
      <sheetName val="운반"/>
      <sheetName val="단중"/>
      <sheetName val="품셈표"/>
      <sheetName val="을지"/>
      <sheetName val="안전장치"/>
      <sheetName val="HKDSUMM"/>
      <sheetName val="산거각호표"/>
      <sheetName val="D-623D"/>
      <sheetName val="2.1.2예정공정율(칼라)"/>
      <sheetName val="연돌일위집계"/>
      <sheetName val="산근"/>
      <sheetName val="업체별SV단가"/>
      <sheetName val="TTL"/>
      <sheetName val="ITC현황"/>
      <sheetName val="ITC 현황"/>
      <sheetName val="일위대가"/>
      <sheetName val="가격조사서"/>
      <sheetName val="대비표(실행)"/>
      <sheetName val="현장관리비증감내역"/>
      <sheetName val="부대공사비(실행)"/>
      <sheetName val="내역서(ITC)"/>
      <sheetName val="1.1 Overall Progress"/>
      <sheetName val="Cover_Sheet"/>
      <sheetName val="Project_Outline"/>
      <sheetName val="Contractual_Amount"/>
      <sheetName val="TENDER_vs_BUDGET"/>
      <sheetName val="직영_vs_하청_-_2"/>
      <sheetName val="96_당초Schedule"/>
      <sheetName val="96_Performance"/>
      <sheetName val="소화-투입_분석표"/>
      <sheetName val="STF_ORG(K)"/>
      <sheetName val="Staff_Org__Chart"/>
      <sheetName val="Scope_of_Work"/>
      <sheetName val="Design_Status"/>
      <sheetName val="DWG_Status"/>
      <sheetName val="MAT'L_Status"/>
      <sheetName val="Install_Status"/>
      <sheetName val="Staff_Mob__Plan"/>
      <sheetName val="M_P_Mob__Plan"/>
      <sheetName val="Eq__Mobilization"/>
      <sheetName val="Eq__Mobilization1"/>
      <sheetName val="VC2_9_98"/>
      <sheetName val="11월_실적"/>
      <sheetName val="간접비_총괄표"/>
      <sheetName val="VC2_8_98"/>
      <sheetName val="TOWER_12TON"/>
      <sheetName val="TOWER_10TON"/>
      <sheetName val="JIB_CRANE,HOIST"/>
      <sheetName val="대비표"/>
      <sheetName val="집계표(OPTION)"/>
      <sheetName val="당초"/>
      <sheetName val="4.0 (2)"/>
      <sheetName val="단가대비표"/>
      <sheetName val="일위대가(가설)"/>
      <sheetName val="노임단가"/>
      <sheetName val="예가표"/>
      <sheetName val="지급제한자"/>
      <sheetName val="BQMPALOC"/>
      <sheetName val="B"/>
      <sheetName val="부대집계표(목표반영)"/>
      <sheetName val="개요"/>
      <sheetName val="배수내역"/>
      <sheetName val="M-EQPT-Z"/>
      <sheetName val="찍기"/>
      <sheetName val="15 문제점"/>
      <sheetName val="공사비집계"/>
      <sheetName val="_"/>
      <sheetName val="REPORT07"/>
      <sheetName val="소화실적"/>
      <sheetName val="단가비교"/>
      <sheetName val="매각(6)"/>
      <sheetName val="99년하반기"/>
      <sheetName val="상반기손익차2총괄"/>
      <sheetName val="공문"/>
      <sheetName val="과제정의서"/>
      <sheetName val="Sheet7"/>
      <sheetName val="노동부"/>
      <sheetName val="BQMP"/>
      <sheetName val="Rate Analysis"/>
      <sheetName val="등급기준"/>
      <sheetName val="드롭다운"/>
      <sheetName val="5사남"/>
      <sheetName val="Disc WF (최종)"/>
      <sheetName val="Weekly WV %"/>
      <sheetName val="구분정의"/>
      <sheetName val="산출근거"/>
      <sheetName val="95삼성급(본사)"/>
      <sheetName val="차트 (2)"/>
      <sheetName val="수지계산"/>
      <sheetName val="안산기계장치"/>
      <sheetName val=""/>
      <sheetName val="업무분장"/>
      <sheetName val="Work Trade Code"/>
      <sheetName val="목록 &amp; 환율표"/>
      <sheetName val="Sheet3"/>
      <sheetName val="Cover_Sheet1"/>
      <sheetName val="Project_Outline1"/>
      <sheetName val="Contractual_Amount1"/>
      <sheetName val="TENDER_vs_BUDGET1"/>
      <sheetName val="직영_vs_하청_-_21"/>
      <sheetName val="96_당초Schedule1"/>
      <sheetName val="96_Performance1"/>
      <sheetName val="소화-투입_분석표1"/>
      <sheetName val="STF_ORG(K)1"/>
      <sheetName val="Staff_Org__Chart1"/>
      <sheetName val="Scope_of_Work1"/>
      <sheetName val="Design_Status1"/>
      <sheetName val="DWG_Status1"/>
      <sheetName val="MAT'L_Status1"/>
      <sheetName val="Install_Status1"/>
      <sheetName val="Staff_Mob__Plan1"/>
      <sheetName val="M_P_Mob__Plan1"/>
      <sheetName val="Eq__Mobilization2"/>
      <sheetName val="Eq__Mobilization3"/>
      <sheetName val="VC2_9_981"/>
      <sheetName val="11월_실적1"/>
      <sheetName val="간접비_총괄표1"/>
      <sheetName val="VC2_8_981"/>
      <sheetName val="TOWER_12TON1"/>
      <sheetName val="TOWER_10TON1"/>
      <sheetName val="JIB_CRANE,HOIST1"/>
      <sheetName val="P_M_별"/>
      <sheetName val="8_PILE__(돌출)"/>
      <sheetName val="6PILE__(돌출)"/>
      <sheetName val="2000_11월설계내역"/>
      <sheetName val="2_1_2예정공정율(칼라)"/>
      <sheetName val="1_1_Overall_Progress"/>
      <sheetName val="ITC_현황"/>
      <sheetName val="4_0_(2)"/>
      <sheetName val="DHEQSUPT"/>
      <sheetName val="건설기계"/>
      <sheetName val="노임"/>
      <sheetName val="단가산출"/>
      <sheetName val="사급자재"/>
      <sheetName val="SHEET"/>
      <sheetName val="토목"/>
      <sheetName val="인원계획"/>
      <sheetName val="연수원"/>
      <sheetName val="97년 SEACO예산"/>
      <sheetName val="영업소실적"/>
      <sheetName val="MEED"/>
      <sheetName val="DRUM"/>
      <sheetName val="4.3물량INDEX검토"/>
      <sheetName val="표지"/>
      <sheetName val="목록"/>
      <sheetName val="명부(최종)"/>
      <sheetName val="조합원세부항목(작업)"/>
      <sheetName val="50%"/>
      <sheetName val="명부"/>
      <sheetName val="선택목록"/>
      <sheetName val="실행내역"/>
      <sheetName val="제출계산서"/>
      <sheetName val="공통부대비"/>
      <sheetName val="인력(현장,직원)"/>
      <sheetName val="12CGOU"/>
      <sheetName val="Embank"/>
      <sheetName val="1.설계조건"/>
      <sheetName val="G.R300경비"/>
      <sheetName val="간접비(1)"/>
      <sheetName val="8-31-98"/>
      <sheetName val="worksheet inchican"/>
      <sheetName val="combined 9-30"/>
      <sheetName val="입찰내역 발주처 양식"/>
      <sheetName val="0.간접비기준"/>
      <sheetName val="Lumpsum-1"/>
      <sheetName val="Lumpsum-3"/>
      <sheetName val="내역"/>
      <sheetName val="A-4"/>
      <sheetName val="종후자산호수별가격"/>
      <sheetName val="경영현황"/>
      <sheetName val="BOJUNGGM"/>
      <sheetName val="A"/>
      <sheetName val="AC"/>
      <sheetName val="수주현황2월"/>
      <sheetName val="환율"/>
      <sheetName val="4KEB"/>
      <sheetName val="FitOutConfCentre"/>
      <sheetName val="1"/>
      <sheetName val="BOQ"/>
      <sheetName val="PROGRAM"/>
      <sheetName val="CASHFLOW"/>
      <sheetName val="정형의견"/>
      <sheetName val="은행"/>
      <sheetName val="상 부"/>
      <sheetName val="목표세부명세"/>
      <sheetName val="실행철강하도"/>
      <sheetName val="Perm. Test"/>
      <sheetName val="Daftar Sewa"/>
      <sheetName val="Peralatan"/>
      <sheetName val="Peralatan (2)"/>
      <sheetName val="Analisa Alat"/>
      <sheetName val="4. 해외출장비"/>
      <sheetName val="Rate_Analysis"/>
      <sheetName val="15_문제점"/>
      <sheetName val="Option"/>
      <sheetName val="7.4 유가 변동 예비비"/>
      <sheetName val="p&amp;m"/>
      <sheetName val="97 사업추정(WEKI)"/>
      <sheetName val="통합"/>
      <sheetName val="inter"/>
      <sheetName val="jadw"/>
      <sheetName val="Database"/>
      <sheetName val="공사비총괄표"/>
      <sheetName val="ESCON"/>
      <sheetName val="EE-PROP"/>
      <sheetName val="Parameter"/>
      <sheetName val="piedathot"/>
      <sheetName val="projcasflo"/>
      <sheetName val="금융"/>
      <sheetName val="실행예산SHEET도장재검토"/>
      <sheetName val="SG"/>
      <sheetName val="Dropdown"/>
      <sheetName val="성광벤드"/>
      <sheetName val="GRP PIPING"/>
      <sheetName val="현장지지물물량"/>
      <sheetName val="Summary"/>
      <sheetName val="견적기준"/>
      <sheetName val="P-LIST"/>
      <sheetName val="물가자료"/>
      <sheetName val="2000년1차"/>
      <sheetName val="단가집"/>
      <sheetName val="전열면적"/>
      <sheetName val="SEPARATOR"/>
      <sheetName val="BM "/>
      <sheetName val="DWG LIST"/>
      <sheetName val="자격 땡겨오기"/>
      <sheetName val="VAE264_VALVES"/>
      <sheetName val="5.소재"/>
      <sheetName val="B101"/>
      <sheetName val="COA-17"/>
      <sheetName val="C-18"/>
      <sheetName val="MOB-MAN1"/>
      <sheetName val="예제"/>
      <sheetName val="기준표"/>
      <sheetName val="규격"/>
      <sheetName val="노점수분"/>
      <sheetName val="자재사용현황"/>
      <sheetName val="w't table"/>
      <sheetName val="INDEX"/>
      <sheetName val="DI-ESTI"/>
      <sheetName val="KH-Q1,Q2,01"/>
      <sheetName val="NYS"/>
      <sheetName val="CAT_5"/>
      <sheetName val="kich thuoc"/>
      <sheetName val="DTHH"/>
      <sheetName val="WE'T"/>
      <sheetName val="REDUCER"/>
      <sheetName val="임율 Data"/>
      <sheetName val="Lists"/>
      <sheetName val="REV 4"/>
      <sheetName val="COL"/>
      <sheetName val="Sheet5"/>
      <sheetName val="BEND LOSS"/>
      <sheetName val="CI "/>
      <sheetName val="CI"/>
      <sheetName val="FM"/>
      <sheetName val="조도"/>
      <sheetName val="1-Schedule"/>
      <sheetName val="0-Quantity"/>
      <sheetName val="Grf"/>
      <sheetName val="Cover_Sheet2"/>
      <sheetName val="Project_Outline2"/>
      <sheetName val="Contractual_Amount2"/>
      <sheetName val="TENDER_vs_BUDGET2"/>
      <sheetName val="직영_vs_하청_-_22"/>
      <sheetName val="96_당초Schedule2"/>
      <sheetName val="96_Performance2"/>
      <sheetName val="소화-투입_분석표2"/>
      <sheetName val="STF_ORG(K)2"/>
      <sheetName val="Staff_Org__Chart2"/>
      <sheetName val="Scope_of_Work2"/>
      <sheetName val="Design_Status2"/>
      <sheetName val="DWG_Status2"/>
      <sheetName val="MAT'L_Status2"/>
      <sheetName val="Install_Status2"/>
      <sheetName val="Staff_Mob__Plan2"/>
      <sheetName val="M_P_Mob__Plan2"/>
      <sheetName val="Eq__Mobilization4"/>
      <sheetName val="Eq__Mobilization5"/>
      <sheetName val="VC2_9_982"/>
      <sheetName val="11월_실적2"/>
      <sheetName val="간접비_총괄표2"/>
      <sheetName val="VC2_8_982"/>
      <sheetName val="TOWER_12TON2"/>
      <sheetName val="TOWER_10TON2"/>
      <sheetName val="JIB_CRANE,HOIST2"/>
      <sheetName val="P_M_별1"/>
      <sheetName val="8_PILE__(돌출)1"/>
      <sheetName val="6PILE__(돌출)1"/>
      <sheetName val="2000_11월설계내역1"/>
      <sheetName val="2_1_2예정공정율(칼라)1"/>
      <sheetName val="1_1_Overall_Progress1"/>
      <sheetName val="ITC_현황1"/>
      <sheetName val="4_0_(2)1"/>
      <sheetName val="TRUCK HAUL CYCLE-waste"/>
      <sheetName val="Land Dev't. Ph-1"/>
      <sheetName val="Shut down"/>
      <sheetName val="Building"/>
      <sheetName val="Schedule S-Curve Revision#3"/>
      <sheetName val="Table"/>
      <sheetName val="Parameters"/>
      <sheetName val="0000"/>
      <sheetName val="GAE8'97"/>
      <sheetName val="03"/>
      <sheetName val="DESIGN"/>
      <sheetName val="DESBASTE"/>
      <sheetName val="Code 07"/>
      <sheetName val="추가예산"/>
      <sheetName val="자바라1"/>
      <sheetName val="해외 연수비용 계산-삭제"/>
      <sheetName val="Wind Load(3.1) (2)"/>
      <sheetName val="Wind Load(3.2)"/>
      <sheetName val="Wind Load(3.4)"/>
      <sheetName val="Ord"/>
      <sheetName val="Key Data"/>
      <sheetName val="1-G1"/>
      <sheetName val="CTEMCOST"/>
      <sheetName val="시산표"/>
      <sheetName val="2.2 띠장의 설계"/>
      <sheetName val="INPUT"/>
      <sheetName val="MOS"/>
      <sheetName val="_REF"/>
      <sheetName val="갑지"/>
      <sheetName val="Курсы"/>
      <sheetName val="Power &amp; control cables"/>
      <sheetName val="Earthing Cables "/>
      <sheetName val="tabulation of deductions"/>
      <sheetName val="Civilwks.Deriv"/>
      <sheetName val="Str.Deriv"/>
      <sheetName val="Existing PC Pavement"/>
      <sheetName val="Subgrade"/>
      <sheetName val="data"/>
      <sheetName val="2.223M_due to adj profit"/>
      <sheetName val="PROCURE"/>
      <sheetName val="Dico"/>
      <sheetName val="Cover"/>
      <sheetName val="Beams"/>
      <sheetName val="CABLE DATA"/>
      <sheetName val="laborrates"/>
      <sheetName val="100(4)"/>
      <sheetName val="GESTION FICHE"/>
      <sheetName val="TRADUCTION LISTES"/>
      <sheetName val="PSV2701F"/>
      <sheetName val="Costi di prod. E1 02"/>
      <sheetName val="breakdown"/>
      <sheetName val="RefG"/>
      <sheetName val="IRR sponsor"/>
      <sheetName val="CFA"/>
      <sheetName val="Material Price"/>
      <sheetName val="REBAR"/>
      <sheetName val="Assump (Time) - Project Co."/>
      <sheetName val="Arch"/>
      <sheetName val="지원시설 내역서(154kV)"/>
      <sheetName val="Soil Parameter"/>
      <sheetName val="PCV"/>
      <sheetName val="Register"/>
      <sheetName val="Cashflow Analysis"/>
      <sheetName val="BILL"/>
      <sheetName val="DAF-4"/>
      <sheetName val="DHS AC"/>
      <sheetName val="DAF-5"/>
      <sheetName val="iTEM hARSAT"/>
      <sheetName val="analis standar(20m)"/>
      <sheetName val="ANAL BETON"/>
      <sheetName val="Pipe"/>
      <sheetName val="DESCRIPTION"/>
      <sheetName val="BM DATA SHEET"/>
      <sheetName val="BAG-III"/>
      <sheetName val="DATA PROYEK"/>
      <sheetName val="rab"/>
      <sheetName val="BA Evaluasi"/>
      <sheetName val="Permhnan CCO"/>
      <sheetName val="Persetujuan CCO"/>
      <sheetName val="Rekap MC"/>
      <sheetName val="Penyampaian Evaluasi"/>
      <sheetName val="R. RapatCCO"/>
      <sheetName val="DAFTAR HARGA"/>
      <sheetName val="Fill this out first..."/>
      <sheetName val="21"/>
      <sheetName val="analisa"/>
      <sheetName val="Master 1.0"/>
      <sheetName val="Bahan"/>
      <sheetName val="Code"/>
      <sheetName val="Default"/>
      <sheetName val="Rekap Addendum"/>
      <sheetName val="4-MVAC"/>
      <sheetName val="H.Satuan"/>
      <sheetName val="SEX"/>
      <sheetName val="7. Comparison of Asphalt etc"/>
      <sheetName val="harsat"/>
      <sheetName val="Div2"/>
      <sheetName val="Exterior"/>
      <sheetName val="Analisa Harga Satuan"/>
      <sheetName val="Hit Vol Str Jambi"/>
      <sheetName val="PE-F-33 Rev 02 Basic Proj.Info"/>
      <sheetName val="PE-F-31 Rev 01 Coversheet"/>
      <sheetName val=" PE-F-42 MR 9 Manpower"/>
      <sheetName val="AT 2"/>
      <sheetName val="615E101AB(CASE85F)"/>
      <sheetName val="BL"/>
      <sheetName val="FINAL"/>
      <sheetName val="RESUME"/>
      <sheetName val="DAPRO"/>
      <sheetName val="Mob"/>
      <sheetName val="DAFTAR ISI"/>
      <sheetName val="石炭性状"/>
      <sheetName val="Takeoff"/>
      <sheetName val="N賃率-職"/>
      <sheetName val="금융비용"/>
      <sheetName val="Benchmark"/>
      <sheetName val="SUMMARY (2)"/>
      <sheetName val="CIVIL"/>
      <sheetName val="MEP"/>
      <sheetName val="QUOTATION"/>
      <sheetName val="카5"/>
      <sheetName val="교각계산"/>
      <sheetName val="터파기및재료"/>
      <sheetName val="수안보-MBR1"/>
      <sheetName val="Labour"/>
      <sheetName val="Material"/>
      <sheetName val="Plant &amp;  Machinery"/>
      <sheetName val="Disc_WF_(최종)"/>
      <sheetName val="Weekly_WV_%"/>
      <sheetName val="차트_(2)"/>
      <sheetName val="Work_Trade_Code"/>
      <sheetName val="목록_&amp;_환율표"/>
      <sheetName val="97년_SEACO예산"/>
      <sheetName val="4_3물량INDEX검토"/>
      <sheetName val="1_설계조건"/>
      <sheetName val="G_R300경비"/>
      <sheetName val="worksheet_inchican"/>
      <sheetName val="combined_9-30"/>
      <sheetName val="입찰내역_발주처_양식"/>
      <sheetName val="0_간접비기준"/>
      <sheetName val="간지"/>
      <sheetName val="상_부"/>
      <sheetName val="Analisa (me)"/>
      <sheetName val="pro ra op"/>
      <sheetName val="grafik"/>
      <sheetName val="Indirect"/>
      <sheetName val="Rekap (2)"/>
      <sheetName val="Analisa Transport"/>
      <sheetName val="electrical Work Price List (2)"/>
      <sheetName val="ANALISA CABLE"/>
      <sheetName val="갑지(추정)"/>
      <sheetName val="page 6"/>
      <sheetName val="INSTR"/>
      <sheetName val="Piping Design Data"/>
      <sheetName val="ELECTRIC"/>
      <sheetName val="조명시설"/>
      <sheetName val="TB"/>
      <sheetName val="BS"/>
      <sheetName val="부산제일극장"/>
      <sheetName val="Cover_Sheet3"/>
      <sheetName val="Project_Outline3"/>
      <sheetName val="Contractual_Amount3"/>
      <sheetName val="TENDER_vs_BUDGET3"/>
      <sheetName val="직영_vs_하청_-_23"/>
      <sheetName val="96_당초Schedule3"/>
      <sheetName val="96_Performance3"/>
      <sheetName val="소화-투입_분석표3"/>
      <sheetName val="STF_ORG(K)3"/>
      <sheetName val="Staff_Org__Chart3"/>
      <sheetName val="Scope_of_Work3"/>
      <sheetName val="Design_Status3"/>
      <sheetName val="DWG_Status3"/>
      <sheetName val="MAT'L_Status3"/>
      <sheetName val="Install_Status3"/>
      <sheetName val="Staff_Mob__Plan3"/>
      <sheetName val="M_P_Mob__Plan3"/>
      <sheetName val="Eq__Mobilization6"/>
      <sheetName val="Eq__Mobilization7"/>
      <sheetName val="VC2_9_983"/>
      <sheetName val="11월_실적3"/>
      <sheetName val="간접비_총괄표3"/>
      <sheetName val="VC2_8_983"/>
      <sheetName val="TOWER_12TON3"/>
      <sheetName val="TOWER_10TON3"/>
      <sheetName val="JIB_CRANE,HOIST3"/>
      <sheetName val="P_M_별2"/>
      <sheetName val="8_PILE__(돌출)2"/>
      <sheetName val="6PILE__(돌출)2"/>
      <sheetName val="2000_11월설계내역2"/>
      <sheetName val="2_1_2예정공정율(칼라)2"/>
      <sheetName val="1_1_Overall_Progress2"/>
      <sheetName val="ITC_현황2"/>
      <sheetName val="4_0_(2)2"/>
      <sheetName val="15_문제점1"/>
      <sheetName val="Rate_Analysis1"/>
      <sheetName val="Perm__Test"/>
      <sheetName val="Daftar_Sewa"/>
      <sheetName val="Peralatan_(2)"/>
      <sheetName val="Analisa_Alat"/>
      <sheetName val="4__해외출장비"/>
      <sheetName val="7_4_유가_변동_예비비"/>
      <sheetName val="97_사업추정(WEKI)"/>
      <sheetName val="GRP_PIPING"/>
      <sheetName val="BM_"/>
      <sheetName val="DWG_LIST"/>
      <sheetName val="자격_땡겨오기"/>
      <sheetName val="5_소재"/>
      <sheetName val="w't_table"/>
      <sheetName val="kich_thuoc"/>
      <sheetName val="임율_Data"/>
      <sheetName val="REV_4"/>
      <sheetName val="BEND_LOSS"/>
      <sheetName val="CI_"/>
      <sheetName val="TRUCK_HAUL_CYCLE-waste"/>
      <sheetName val="Land_Dev't__Ph-1"/>
      <sheetName val="Shut_down"/>
      <sheetName val="Schedule_S-Curve_Revision#3"/>
      <sheetName val="Code_07"/>
      <sheetName val="해외_연수비용_계산-삭제"/>
      <sheetName val="Wind_Load(3_1)_(2)"/>
      <sheetName val="Wind_Load(3_2)"/>
      <sheetName val="Wind_Load(3_4)"/>
      <sheetName val="Key_Data"/>
      <sheetName val="2_2_띠장의_설계"/>
      <sheetName val="Power_&amp;_control_cables"/>
      <sheetName val="Earthing_Cables_"/>
      <sheetName val="tabulation_of_deductions"/>
      <sheetName val="Civilwks_Deriv"/>
      <sheetName val="Str_Deriv"/>
      <sheetName val="Existing_PC_Pavement"/>
      <sheetName val="2_223M_due_to_adj_profit"/>
      <sheetName val="CABLE_DATA"/>
      <sheetName val="GESTION_FICHE"/>
      <sheetName val="TRADUCTION_LISTES"/>
      <sheetName val="Costi_di_prod__E1_02"/>
      <sheetName val="IRR_sponsor"/>
      <sheetName val="Material_Price"/>
      <sheetName val="Assump_(Time)_-_Project_Co_"/>
      <sheetName val="지원시설_내역서(154kV)"/>
      <sheetName val="F4-F7"/>
      <sheetName val="1_설계조건1"/>
      <sheetName val="Disc_WF_(최종)1"/>
      <sheetName val="Weekly_WV_%1"/>
      <sheetName val="차트_(2)1"/>
      <sheetName val="Work_Trade_Code1"/>
      <sheetName val="목록_&amp;_환율표1"/>
      <sheetName val="97년_SEACO예산1"/>
      <sheetName val="4_3물량INDEX검토1"/>
      <sheetName val="G_R300경비1"/>
      <sheetName val="worksheet_inchican1"/>
      <sheetName val="combined_9-301"/>
      <sheetName val="입찰내역_발주처_양식1"/>
      <sheetName val="0_간접비기준1"/>
      <sheetName val="상_부1"/>
      <sheetName val="(110919)부산정관집단에너지사업차환현안검토.xlsx"/>
      <sheetName val="코드"/>
      <sheetName val="조정사유"/>
      <sheetName val="1-1"/>
      <sheetName val="Existing PC Pavem¬_x0000_Ԁ"/>
      <sheetName val="Trade Summary"/>
      <sheetName val="BUR "/>
      <sheetName val="TSA"/>
      <sheetName val="15.Rd"/>
      <sheetName val="Status by Codes"/>
      <sheetName val="MHRS"/>
      <sheetName val="UPH,BHN,ALT"/>
      <sheetName val="Analis harga"/>
      <sheetName val="UNIT 3"/>
      <sheetName val="Utility and Fire flange"/>
      <sheetName val="본선 토공 분배표"/>
      <sheetName val="Cost Summary"/>
      <sheetName val="intr stool brkup"/>
      <sheetName val="cash budget"/>
      <sheetName val="Referencias"/>
      <sheetName val="OCT"/>
      <sheetName val="Material Selections"/>
      <sheetName val="Rates"/>
      <sheetName val="전기 BM_revA('090624).xls"/>
      <sheetName val="表二"/>
      <sheetName val="경비2내역"/>
      <sheetName val="Sheet179"/>
      <sheetName val="지가변동률계산(2021.07"/>
      <sheetName val="대로근거"/>
      <sheetName val="중로근거"/>
      <sheetName val="FAB별"/>
      <sheetName val="Raw Data"/>
      <sheetName val="백분율"/>
      <sheetName val="D-3109"/>
      <sheetName val="4-Lane bridge"/>
      <sheetName val="(10) Other Costs5"/>
      <sheetName val="热力"/>
      <sheetName val="Cash Out Table"/>
      <sheetName val="Net Cash Table"/>
      <sheetName val="Item#9.3"/>
      <sheetName val="Item#1.9"/>
      <sheetName val="Item#6.7"/>
      <sheetName val="Item#2.6"/>
      <sheetName val="Item#4.10"/>
      <sheetName val="Item#5.8"/>
      <sheetName val="Item#7.21"/>
      <sheetName val="Item#3.8"/>
      <sheetName val="Item#8.7"/>
      <sheetName val="Equipt Rental"/>
      <sheetName val="05. VO Log (Master Data)"/>
      <sheetName val="마감물량"/>
      <sheetName val="BOQ segment3 (Part C-H)"/>
      <sheetName val="BOQ segment3 (PartB)"/>
      <sheetName val="eqpmt"/>
      <sheetName val="UPA(Part C,D,E,G,H)"/>
      <sheetName val="UPA(Part F)"/>
      <sheetName val="Materials"/>
      <sheetName val="일위대가 (Part C,D,E,G,H)"/>
      <sheetName val="float&amp;bear"/>
      <sheetName val="Kfracture"/>
      <sheetName val="worksheet"/>
      <sheetName val="268"/>
      <sheetName val="SUM"/>
      <sheetName val="HaulingLine hardware"/>
      <sheetName val="References"/>
      <sheetName val="품셈"/>
      <sheetName val="MP"/>
      <sheetName val="WTB-STAR CINEMA"/>
      <sheetName val="단면 (2)"/>
      <sheetName val="HSBC"/>
      <sheetName val="VC2 10.99"/>
      <sheetName val="personnel loading"/>
      <sheetName val="공사비SUM"/>
      <sheetName val="Insulation_Utl_Off"/>
      <sheetName val="Note_Piping"/>
      <sheetName val="Dir-Conc "/>
      <sheetName val="ﾄﾞﾊﾞｲFUEL GAS追見"/>
      <sheetName val="CapitalMetrics"/>
      <sheetName val="MATERIAL'S PRICE"/>
      <sheetName val="4300 UTILITY BLDG (2)"/>
      <sheetName val="Assumptions"/>
      <sheetName val="Others"/>
      <sheetName val="sum mdc"/>
      <sheetName val="Division 3000"/>
      <sheetName val="見管ＧＴ"/>
      <sheetName val="ABSTRACT"/>
      <sheetName val="CAL"/>
      <sheetName val="Report"/>
      <sheetName val="Price Summary (1)"/>
      <sheetName val="Price Summary (2)"/>
      <sheetName val="Résultats"/>
      <sheetName val="schbhn"/>
      <sheetName val="GKP"/>
      <sheetName val="schalt"/>
      <sheetName val="schtng"/>
      <sheetName val="costing_ESDV"/>
      <sheetName val="CashFlwProjections"/>
      <sheetName val="costing_Misc"/>
      <sheetName val="costing_MOV"/>
      <sheetName val="costing_Press"/>
      <sheetName val="4_3물량INDEX검_x0000_"/>
      <sheetName val="수급집계"/>
      <sheetName val="전선봉양3호"/>
      <sheetName val="본사운영비"/>
      <sheetName val="2. 계정별 집계표"/>
      <sheetName val="변경내역대비표(2)"/>
      <sheetName val="실행"/>
      <sheetName val="1,2,3,4,5단위수량"/>
      <sheetName val="유림콘도"/>
      <sheetName val="Trans"/>
      <sheetName val="손익차총괄2"/>
      <sheetName val="기성내역"/>
      <sheetName val="Sheet17"/>
      <sheetName val="DL"/>
      <sheetName val="RFP002"/>
      <sheetName val="분석"/>
      <sheetName val="Bill summary of cost"/>
      <sheetName val="PI"/>
      <sheetName val="Settings"/>
      <sheetName val="DWTables"/>
      <sheetName val="2.내역서"/>
      <sheetName val="L3 -13FF (2)"/>
      <sheetName val="SPARE PART"/>
      <sheetName val="연환"/>
      <sheetName val="부서코드표"/>
      <sheetName val="ﾀｰﾋﾞﾝ"/>
      <sheetName val="Setup"/>
      <sheetName val="WXY"/>
      <sheetName val="입찰안"/>
      <sheetName val="도"/>
      <sheetName val="A7"/>
      <sheetName val="HFeed"/>
      <sheetName val="CAUDIT"/>
      <sheetName val="http___www35_daum_net_WIN98_T_2"/>
      <sheetName val="REQ_REMARKS"/>
      <sheetName val="ENE-CAL"/>
      <sheetName val="CAL1"/>
      <sheetName val="Plant_&amp;__Machinery"/>
      <sheetName val="A.O.R."/>
      <sheetName val="U-RATE"/>
      <sheetName val="단면치수"/>
      <sheetName val="개시대사 (2)"/>
      <sheetName val="단가"/>
      <sheetName val="집계"/>
      <sheetName val="전 기"/>
      <sheetName val="간접비계산"/>
      <sheetName val="BALAN1"/>
      <sheetName val="electrical"/>
      <sheetName val="골조시행"/>
      <sheetName val="Budget"/>
      <sheetName val="UTILITIES"/>
      <sheetName val="wrksht"/>
      <sheetName val="Hac.Lots"/>
      <sheetName val="Res.Lots"/>
      <sheetName val="Spine Road"/>
      <sheetName val="excav"/>
      <sheetName val="formul"/>
      <sheetName val="STATUS REPORT"/>
      <sheetName val="5-Digit"/>
      <sheetName val="Cost-Buildup"/>
      <sheetName val="UC"/>
      <sheetName val="Rate"/>
      <sheetName val="schedule"/>
      <sheetName val="BD"/>
      <sheetName val="Resource Summary"/>
      <sheetName val="CONCRETE"/>
      <sheetName val="Cash Flow bulanan"/>
      <sheetName val="BOQp4"/>
      <sheetName val="Quantity"/>
      <sheetName val="Sheet13"/>
      <sheetName val="A3"/>
      <sheetName val="Sheet14"/>
      <sheetName val="P-J"/>
      <sheetName val="4334-Summary"/>
      <sheetName val="Existing PC Pavem¬"/>
      <sheetName val="Memb Schd"/>
      <sheetName val="소방사항"/>
      <sheetName val="총괄내역서"/>
      <sheetName val="Cover_Sheet4"/>
      <sheetName val="Project_Outline4"/>
      <sheetName val="Contractual_Amount4"/>
      <sheetName val="TENDER_vs_BUDGET4"/>
      <sheetName val="직영_vs_하청_-_24"/>
      <sheetName val="96_당초Schedule4"/>
      <sheetName val="96_Performance4"/>
      <sheetName val="소화-투입_분석표4"/>
      <sheetName val="STF_ORG(K)4"/>
      <sheetName val="Staff_Org__Chart4"/>
      <sheetName val="Scope_of_Work4"/>
      <sheetName val="Design_Status4"/>
      <sheetName val="DWG_Status4"/>
      <sheetName val="MAT'L_Status4"/>
      <sheetName val="Install_Status4"/>
      <sheetName val="Staff_Mob__Plan4"/>
      <sheetName val="M_P_Mob__Plan4"/>
      <sheetName val="Eq__Mobilization8"/>
      <sheetName val="Eq__Mobilization9"/>
      <sheetName val="VC2_9_984"/>
      <sheetName val="11월_실적4"/>
      <sheetName val="간접비_총괄표4"/>
      <sheetName val="VC2_8_984"/>
      <sheetName val="P_M_별3"/>
      <sheetName val="TOWER_12TON4"/>
      <sheetName val="TOWER_10TON4"/>
      <sheetName val="JIB_CRANE,HOIST4"/>
      <sheetName val="8_PILE__(돌출)3"/>
      <sheetName val="6PILE__(돌출)3"/>
      <sheetName val="2000_11월설계내역3"/>
      <sheetName val="2_1_2예정공정율(칼라)3"/>
      <sheetName val="1_1_Overall_Progress3"/>
      <sheetName val="ITC_현황3"/>
      <sheetName val="4_0_(2)3"/>
      <sheetName val="15_문제점2"/>
      <sheetName val="Rate_Analysis2"/>
      <sheetName val="Disc_WF_(최종)2"/>
      <sheetName val="Weekly_WV_%2"/>
      <sheetName val="차트_(2)2"/>
      <sheetName val="Work_Trade_Code2"/>
      <sheetName val="목록_&amp;_환율표2"/>
      <sheetName val="97년_SEACO예산2"/>
      <sheetName val="4_3물량INDEX검토2"/>
      <sheetName val="G_R300경비2"/>
      <sheetName val="1_설계조건2"/>
      <sheetName val="worksheet_inchican2"/>
      <sheetName val="combined_9-302"/>
      <sheetName val="입찰내역_발주처_양식2"/>
      <sheetName val="0_간접비기준2"/>
      <sheetName val="상_부2"/>
      <sheetName val="4__해외출장비1"/>
      <sheetName val="Perm__Test1"/>
      <sheetName val="Daftar_Sewa1"/>
      <sheetName val="Peralatan_(2)1"/>
      <sheetName val="Analisa_Alat1"/>
      <sheetName val="97_사업추정(WEKI)1"/>
      <sheetName val="7_4_유가_변동_예비비1"/>
      <sheetName val="GRP_PIPING1"/>
      <sheetName val="BM_1"/>
      <sheetName val="DWG_LIST1"/>
      <sheetName val="자격_땡겨오기1"/>
      <sheetName val="5_소재1"/>
      <sheetName val="w't_table1"/>
      <sheetName val="kich_thuoc1"/>
      <sheetName val="임율_Data1"/>
      <sheetName val="REV_41"/>
      <sheetName val="BEND_LOSS1"/>
      <sheetName val="CI_1"/>
      <sheetName val="TRUCK_HAUL_CYCLE-waste1"/>
      <sheetName val="Land_Dev't__Ph-11"/>
      <sheetName val="Shut_down1"/>
      <sheetName val="Schedule_S-Curve_Revision#31"/>
      <sheetName val="Code_071"/>
      <sheetName val="해외_연수비용_계산-삭제1"/>
      <sheetName val="Wind_Load(3_1)_(2)1"/>
      <sheetName val="Wind_Load(3_2)1"/>
      <sheetName val="Wind_Load(3_4)1"/>
      <sheetName val="Key_Data1"/>
      <sheetName val="2_2_띠장의_설계1"/>
      <sheetName val="Power_&amp;_control_cables1"/>
      <sheetName val="Earthing_Cables_1"/>
      <sheetName val="tabulation_of_deductions1"/>
      <sheetName val="Civilwks_Deriv1"/>
      <sheetName val="Str_Deriv1"/>
      <sheetName val="Existing_PC_Pavement1"/>
      <sheetName val="2_223M_due_to_adj_profit1"/>
      <sheetName val="CABLE_DATA1"/>
      <sheetName val="GESTION_FICHE1"/>
      <sheetName val="TRADUCTION_LISTES1"/>
      <sheetName val="Costi_di_prod__E1_021"/>
      <sheetName val="IRR_sponsor1"/>
      <sheetName val="Material_Price1"/>
      <sheetName val="Assump_(Time)_-_Project_Co_1"/>
      <sheetName val="지원시설_내역서(154kV)1"/>
      <sheetName val="page_6"/>
      <sheetName val="Piping_Design_Data"/>
      <sheetName val="Soil_Parameter"/>
      <sheetName val="Cashflow_Analysis"/>
      <sheetName val="DHS_AC"/>
      <sheetName val="iTEM_hARSAT"/>
      <sheetName val="analis_standar(20m)"/>
      <sheetName val="ANAL_BETON"/>
      <sheetName val="BM_DATA_SHEET"/>
      <sheetName val="DATA_PROYEK"/>
      <sheetName val="BA_Evaluasi"/>
      <sheetName val="Permhnan_CCO"/>
      <sheetName val="Persetujuan_CCO"/>
      <sheetName val="Rekap_MC"/>
      <sheetName val="Penyampaian_Evaluasi"/>
      <sheetName val="R__RapatCCO"/>
      <sheetName val="DAFTAR_HARGA"/>
      <sheetName val="Fill_this_out_first___"/>
      <sheetName val="Master_1_0"/>
      <sheetName val="Rekap_Addendum"/>
      <sheetName val="H_Satuan"/>
      <sheetName val="7__Comparison_of_Asphalt_etc"/>
      <sheetName val="Analisa_Harga_Satuan"/>
      <sheetName val="Hit_Vol_Str_Jambi"/>
      <sheetName val="PE-F-33_Rev_02_Basic_Proj_Info"/>
      <sheetName val="PE-F-31_Rev_01_Coversheet"/>
      <sheetName val="_PE-F-42_MR_9_Manpower"/>
      <sheetName val="AT_2"/>
      <sheetName val="DAFTAR_ISI"/>
      <sheetName val="SUMMARY_(2)"/>
      <sheetName val="Analisa_(me)"/>
      <sheetName val="pro_ra_op"/>
      <sheetName val="Rekap_(2)"/>
      <sheetName val="Analisa_Transport"/>
      <sheetName val="electrical_Work_Price_List_(2)"/>
      <sheetName val="ANALISA_CABLE"/>
      <sheetName val="(110919)부산정관집단에너지사업차환현안검토_xlsx"/>
      <sheetName val="본선_토공_분배표"/>
      <sheetName val="Trade_Summary"/>
      <sheetName val="BUR_"/>
      <sheetName val="15_Rd"/>
      <sheetName val="Cost_Summary"/>
      <sheetName val="2__계정별_집계표"/>
      <sheetName val="지가변동률계산(2021_07"/>
      <sheetName val="단면_(2)"/>
      <sheetName val="Existing_PC_Pavem¬Ԁ"/>
      <sheetName val="Status_by_Codes"/>
      <sheetName val="Analis_harga"/>
      <sheetName val="UNIT_3"/>
      <sheetName val="Utility_and_Fire_flange"/>
      <sheetName val="intr_stool_brkup"/>
      <sheetName val="II손익관리"/>
      <sheetName val="0226"/>
      <sheetName val="공사비예산서(토목분)"/>
      <sheetName val="Wind Load(3.1) (_x0000__x0000_"/>
      <sheetName val="프랜트면허"/>
      <sheetName val="토목주소"/>
      <sheetName val="4_3물량INDE_x0000__x0000_Ԁ"/>
      <sheetName val="10"/>
      <sheetName val="5"/>
      <sheetName val="Sheet472"/>
      <sheetName val="카드채권(대출포함)"/>
      <sheetName val="design load"/>
      <sheetName val="working load at the btm ft."/>
      <sheetName val="stability check"/>
      <sheetName val="design criteria"/>
      <sheetName val="plan&amp;section of foundation"/>
      <sheetName val="기계내역서"/>
      <sheetName val="건축내역"/>
      <sheetName val="물량표"/>
      <sheetName val="Wall1"/>
      <sheetName val="포설list원본"/>
      <sheetName val="MAIN GATE HOUSE"/>
      <sheetName val="CT Thang Mo"/>
      <sheetName val="CT  PL"/>
      <sheetName val="화전내"/>
      <sheetName val="설비2차"/>
      <sheetName val="대공종"/>
      <sheetName val="간접비"/>
      <sheetName val="월별사업계획_조정"/>
      <sheetName val="Overall"/>
      <sheetName val="Existing PC Pavem刀_x0010__x0000_"/>
      <sheetName val="4_3물량I刀_x0010__x0000__x0000__x0000__x0000_"/>
      <sheetName val="EQT-ESTN"/>
      <sheetName val="DUT-BAT1"/>
      <sheetName val="anal.P"/>
      <sheetName val="4-Basic Price"/>
      <sheetName val="5-ALAT(1)"/>
      <sheetName val="bq"/>
      <sheetName val="STR"/>
      <sheetName val="harga"/>
      <sheetName val="upah"/>
      <sheetName val="Rupiah"/>
      <sheetName val="Harga Dasar"/>
      <sheetName val="Alat (1)"/>
      <sheetName val="Direct Labor"/>
      <sheetName val="Basic Price"/>
      <sheetName val="Tunnel ( 8,0 x 4,6 )"/>
      <sheetName val="Harga material_1"/>
      <sheetName val="Ana. PU"/>
      <sheetName val="3 Organisasi"/>
      <sheetName val="LOADDAT"/>
      <sheetName val="구의33고"/>
      <sheetName val="D-3503"/>
      <sheetName val="Raw_Data"/>
      <sheetName val="4-Lane_bridge"/>
      <sheetName val="(10)_Other_Costs5"/>
      <sheetName val="Cash_Out_Table"/>
      <sheetName val="Net_Cash_Table"/>
      <sheetName val="Item#9_3"/>
      <sheetName val="Item#1_9"/>
      <sheetName val="Item#6_7"/>
      <sheetName val="Item#2_6"/>
      <sheetName val="Item#4_10"/>
      <sheetName val="Item#5_8"/>
      <sheetName val="Item#7_21"/>
      <sheetName val="Item#3_8"/>
      <sheetName val="Item#8_7"/>
      <sheetName val="Equipt_Rental"/>
      <sheetName val="05__VO_Log_(Master_Data)"/>
      <sheetName val="BOQ_segment3_(Part_C-H)"/>
      <sheetName val="BOQ_segment3_(PartB)"/>
      <sheetName val="UPA(Part_C,D,E,G,H)"/>
      <sheetName val="UPA(Part_F)"/>
      <sheetName val="일위대가_(Part_C,D,E,G,H)"/>
      <sheetName val="HaulingLine_hardware"/>
      <sheetName val="WTB-STAR_CINEMA"/>
      <sheetName val="VC2_10_99"/>
      <sheetName val="personnel_loading"/>
      <sheetName val="Dir-Conc_"/>
      <sheetName val="ﾄﾞﾊﾞｲFUEL_GAS追見"/>
      <sheetName val="MATERIAL'S_PRICE"/>
      <sheetName val="4300_UTILITY_BLDG_(2)"/>
      <sheetName val="sum_mdc"/>
      <sheetName val="Division_3000"/>
      <sheetName val="Price_Summary_(1)"/>
      <sheetName val="Price_Summary_(2)"/>
      <sheetName val="cash_budget"/>
      <sheetName val="Material_Selections"/>
      <sheetName val="전기_BM_revA('090624)_xls"/>
      <sheetName val="직간접비 집계표"/>
      <sheetName val="RCF CLAIMED"/>
      <sheetName val="Analysis"/>
      <sheetName val="MAY 00-Bobbins"/>
      <sheetName val="TOSHIBA-Structure"/>
      <sheetName val="Computed Floor Area"/>
      <sheetName val="Ex-Rate"/>
      <sheetName val="DESBAST"/>
      <sheetName val="Bill 3 -BPO1"/>
      <sheetName val="Bill 3 -BPO2"/>
      <sheetName val="Bill 2 -RETAIL"/>
      <sheetName val="공사내역"/>
      <sheetName val="DataSheet"/>
      <sheetName val="author_spending"/>
      <sheetName val="MATL"/>
      <sheetName val="BOQ(검토용)"/>
      <sheetName val="UPA"/>
      <sheetName val="EQUI"/>
      <sheetName val="LABOR"/>
      <sheetName val="Tabulation "/>
      <sheetName val="Basis"/>
      <sheetName val="reinforce"/>
      <sheetName val="材料マスタ"/>
      <sheetName val="バルブ材質選定データ"/>
      <sheetName val="as boq list up"/>
      <sheetName val="mat'ls"/>
      <sheetName val="Named Range"/>
      <sheetName val="Other"/>
      <sheetName val="Schedule S-Curve (new scheme)"/>
      <sheetName val="TABLES"/>
      <sheetName val="비품"/>
      <sheetName val="120"/>
      <sheetName val="130"/>
      <sheetName val="100"/>
      <sheetName val="101"/>
      <sheetName val="102"/>
      <sheetName val="103"/>
      <sheetName val="106"/>
      <sheetName val="108"/>
      <sheetName val="109"/>
      <sheetName val="131"/>
      <sheetName val="110"/>
      <sheetName val="111"/>
      <sheetName val="114"/>
      <sheetName val="116"/>
      <sheetName val="132"/>
      <sheetName val="140"/>
      <sheetName val="141"/>
      <sheetName val="142"/>
      <sheetName val="143"/>
      <sheetName val="144"/>
      <sheetName val="145"/>
      <sheetName val="146"/>
      <sheetName val="121"/>
      <sheetName val="147"/>
      <sheetName val="148"/>
      <sheetName val="160"/>
      <sheetName val="164"/>
      <sheetName val="Flaer Area"/>
      <sheetName val="123"/>
      <sheetName val="124"/>
      <sheetName val="125"/>
      <sheetName val="126"/>
      <sheetName val="127"/>
      <sheetName val="128"/>
      <sheetName val="129"/>
      <sheetName val="Bin"/>
      <sheetName val="3.현장배치"/>
      <sheetName val="prelims"/>
      <sheetName val="EquipList"/>
      <sheetName val="GenReq"/>
      <sheetName val="CWDerivation"/>
      <sheetName val="단면가정"/>
      <sheetName val="설계조건"/>
      <sheetName val="Summary of Cost"/>
      <sheetName val="ML"/>
      <sheetName val="(COV)"/>
      <sheetName val="IS033106"/>
      <sheetName val="SITE-E"/>
      <sheetName val="Cash-Flow"/>
      <sheetName val="Candy ee"/>
      <sheetName val="ind'l cp"/>
      <sheetName val="C_E"/>
      <sheetName val="CIM"/>
      <sheetName val="hauling"/>
      <sheetName val="N-CRAM"/>
      <sheetName val="ATD"/>
      <sheetName val="Progress Tables"/>
      <sheetName val="性能取り纏め"/>
      <sheetName val="CONPRIS"/>
      <sheetName val="dervstruc"/>
      <sheetName val="MANHOLE"/>
      <sheetName val="Progress Curve"/>
      <sheetName val="4_3물량INDE"/>
      <sheetName val="co-no.2"/>
      <sheetName val="sort"/>
      <sheetName val="SANBAISU"/>
      <sheetName val="SANTOGO"/>
      <sheetName val="MTO REV.2(ARMOR)"/>
      <sheetName val="LLEGADA"/>
      <sheetName val="GRSummary"/>
      <sheetName val="RFP Codes"/>
      <sheetName val="revised#1"/>
      <sheetName val="Library"/>
      <sheetName val="DPA3A-1"/>
      <sheetName val="ref"/>
      <sheetName val="세금자료"/>
      <sheetName val="choose"/>
      <sheetName val="SUM-AIR-Submit"/>
      <sheetName val="IBASE"/>
      <sheetName val="TYPE-A"/>
      <sheetName val="LOADS"/>
      <sheetName val="Testing"/>
      <sheetName val="Electrical Pricelist"/>
      <sheetName val="prod-rates2"/>
      <sheetName val="6MONTHS"/>
      <sheetName val="FINANCIAL (FLR)"/>
      <sheetName val="Derive"/>
      <sheetName val="SC Cost FEB 03"/>
      <sheetName val="HRG BAHAN &amp; UPAH okk"/>
      <sheetName val="Analisa SNI STANDART "/>
      <sheetName val="Analis Kusen okk"/>
      <sheetName val="CMTD"/>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sheetData sheetId="499"/>
      <sheetData sheetId="500"/>
      <sheetData sheetId="501"/>
      <sheetData sheetId="502" refreshError="1"/>
      <sheetData sheetId="503" refreshError="1"/>
      <sheetData sheetId="504" refreshError="1"/>
      <sheetData sheetId="505" refreshError="1"/>
      <sheetData sheetId="506" refreshError="1"/>
      <sheetData sheetId="507" refreshError="1"/>
      <sheetData sheetId="508" refreshError="1"/>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refreshError="1"/>
      <sheetData sheetId="523"/>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refreshError="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sheetData sheetId="770" refreshError="1"/>
      <sheetData sheetId="771" refreshError="1"/>
      <sheetData sheetId="772" refreshError="1"/>
      <sheetData sheetId="773"/>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refreshError="1"/>
      <sheetData sheetId="960" refreshError="1"/>
      <sheetData sheetId="96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Cover Sheet"/>
      <sheetName val="Content"/>
      <sheetName val="Project Outline"/>
      <sheetName val="주요공사"/>
      <sheetName val="Contractual Amount"/>
      <sheetName val="시헹예산"/>
      <sheetName val="TENDER vs BUDGET"/>
      <sheetName val="직영 vs 하청 - 2"/>
      <sheetName val="96 당초Schedule"/>
      <sheetName val="96 Performance"/>
      <sheetName val="소화-투입 분석표"/>
      <sheetName val="STF ORG(K)"/>
      <sheetName val="Staff Org. Chart"/>
      <sheetName val="Scope of Work"/>
      <sheetName val="Design Status"/>
      <sheetName val="DWG Status"/>
      <sheetName val="MAT'L Status"/>
      <sheetName val="장비동원"/>
      <sheetName val="근로자동원"/>
      <sheetName val="Install Status"/>
      <sheetName val="Staff Mob. Plan"/>
      <sheetName val="M.P Mob. Plan"/>
      <sheetName val="Eq. Mobilization"/>
      <sheetName val="Eq_ Mobilization"/>
      <sheetName val="VC2 9.98"/>
      <sheetName val="수입"/>
      <sheetName val="유림골조"/>
      <sheetName val="Sheet1"/>
      <sheetName val="공통비총괄표"/>
      <sheetName val="잡비계산"/>
      <sheetName val="집계표(육상)"/>
      <sheetName val="지급자재"/>
      <sheetName val="11월 실적"/>
      <sheetName val="내역서"/>
      <sheetName val="h-013211-2"/>
      <sheetName val="slipsumpR"/>
      <sheetName val="TUAS"/>
      <sheetName val="STAND20"/>
      <sheetName val="직원동원SCH"/>
      <sheetName val="#REF"/>
      <sheetName val="Cash2"/>
      <sheetName val="Z"/>
      <sheetName val="간접비 총괄표"/>
      <sheetName val="손익차9월2"/>
      <sheetName val="VC2 8.98"/>
      <sheetName val="개시전표"/>
      <sheetName val="공사집계"/>
      <sheetName val="카메라"/>
      <sheetName val="TOWER 12TON"/>
      <sheetName val="TOWER 10TON"/>
      <sheetName val="가제당공사비"/>
      <sheetName val="기초처리공사비"/>
      <sheetName val="복통공사비"/>
      <sheetName val="본제당공사비"/>
      <sheetName val="시험비"/>
      <sheetName val="자재대"/>
      <sheetName val="중기운반비"/>
      <sheetName val="진입도로공사비"/>
      <sheetName val="취수탑공사비"/>
      <sheetName val="토취장복구"/>
      <sheetName val="Sheet2"/>
      <sheetName val="기구조직"/>
      <sheetName val="데이타"/>
      <sheetName val="식재인부"/>
      <sheetName val="JIB CRANE,HOIST"/>
      <sheetName val="사업부배부A"/>
      <sheetName val="집계표"/>
      <sheetName val="P.M 별"/>
      <sheetName val="BM"/>
      <sheetName val="청산공사"/>
      <sheetName val="8.PILE  (돌출)"/>
      <sheetName val="업체별SV단가"/>
      <sheetName val="수주추진리스트"/>
      <sheetName val="TK판매비impact"/>
      <sheetName val="TK판매비"/>
      <sheetName val="수주집계"/>
      <sheetName val="TK외판매비impact"/>
      <sheetName val="Vendors"/>
      <sheetName val="금액내역서"/>
      <sheetName val="6PILE  (돌출)"/>
      <sheetName val="예정(3)"/>
      <sheetName val="기준"/>
      <sheetName val="PRO_DCI"/>
      <sheetName val="ELEC_DCI"/>
      <sheetName val="INST_DCI"/>
      <sheetName val="2000.11월설계내역"/>
      <sheetName val="주관사업"/>
      <sheetName val="발주코드"/>
      <sheetName val="운반"/>
      <sheetName val="단중"/>
      <sheetName val="품셈표"/>
      <sheetName val="을지"/>
      <sheetName val="안전장치"/>
      <sheetName val="HKDSUMM"/>
      <sheetName val="산거각호표"/>
      <sheetName val="Sheet4"/>
      <sheetName val="B"/>
      <sheetName val="D-623D"/>
      <sheetName val="2.1.2예정공정율(칼라)"/>
      <sheetName val="산근"/>
      <sheetName val="연돌일위집계"/>
      <sheetName val="TTL"/>
      <sheetName val="ITC현황"/>
      <sheetName val="ITC 현황"/>
      <sheetName val="일위대가"/>
      <sheetName val="가격조사서"/>
      <sheetName val="대비표(실행)"/>
      <sheetName val="현장관리비증감내역"/>
      <sheetName val="부대공사비(실행)"/>
      <sheetName val="내역서(ITC)"/>
      <sheetName val="1.1 Overall Progress"/>
      <sheetName val="Cover_Sheet"/>
      <sheetName val="Project_Outline"/>
      <sheetName val="Contractual_Amount"/>
      <sheetName val="TENDER_vs_BUDGET"/>
      <sheetName val="직영_vs_하청_-_2"/>
      <sheetName val="96_당초Schedule"/>
      <sheetName val="96_Performance"/>
      <sheetName val="소화-투입_분석표"/>
      <sheetName val="STF_ORG(K)"/>
      <sheetName val="Staff_Org__Chart"/>
      <sheetName val="Scope_of_Work"/>
      <sheetName val="Design_Status"/>
      <sheetName val="DWG_Status"/>
      <sheetName val="MAT'L_Status"/>
      <sheetName val="Install_Status"/>
      <sheetName val="Staff_Mob__Plan"/>
      <sheetName val="M_P_Mob__Plan"/>
      <sheetName val="Eq__Mobilization"/>
      <sheetName val="Eq__Mobilization1"/>
      <sheetName val="VC2_9_98"/>
      <sheetName val="11월_실적"/>
      <sheetName val="간접비_총괄표"/>
      <sheetName val="VC2_8_98"/>
      <sheetName val="TOWER_12TON"/>
      <sheetName val="TOWER_10TON"/>
      <sheetName val="JIB_CRANE,HOIST"/>
      <sheetName val="대비표"/>
      <sheetName val="집계표(OPTION)"/>
      <sheetName val="당초"/>
      <sheetName val="4.0 (2)"/>
      <sheetName val="단가대비표"/>
      <sheetName val="일위대가(가설)"/>
      <sheetName val="노임단가"/>
      <sheetName val="예가표"/>
      <sheetName val="지급제한자"/>
      <sheetName val="BQMPALOC"/>
      <sheetName val="부대집계표(목표반영)"/>
      <sheetName val="개요"/>
      <sheetName val="배수내역"/>
      <sheetName val="M-EQPT-Z"/>
      <sheetName val="BQMP"/>
      <sheetName val="Rate Analysis"/>
      <sheetName val="찍기"/>
      <sheetName val="15 문제점"/>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갑지"/>
      <sheetName val="분류"/>
      <sheetName val="Sheet1"/>
      <sheetName val="Sheet2"/>
      <sheetName val="Sheet3"/>
      <sheetName val="기성내역"/>
      <sheetName val="전차선로 물량표"/>
      <sheetName val="insulation"/>
      <sheetName val="내역(정지)"/>
      <sheetName val="Main"/>
      <sheetName val="General Data"/>
      <sheetName val="#REF"/>
      <sheetName val="B"/>
      <sheetName val="도급실행"/>
      <sheetName val="당초"/>
      <sheetName val="손익합산"/>
      <sheetName val="견적서"/>
      <sheetName val="TOEC"/>
      <sheetName val="공사비 내역 (가)"/>
      <sheetName val="산근"/>
      <sheetName val="내역서"/>
      <sheetName val="Civil"/>
      <sheetName val="DB@Acess"/>
      <sheetName val="기자재비"/>
      <sheetName val="BQ"/>
      <sheetName val="노임단가"/>
      <sheetName val="TOTAL CBM Summary"/>
      <sheetName val="Simulation"/>
      <sheetName val="DATA"/>
      <sheetName val="DI-ESTI"/>
      <sheetName val="Contents"/>
      <sheetName val="V-VESSEL (WITH DEMISTER)"/>
      <sheetName val="IBASE"/>
      <sheetName val="Piping Design Data"/>
      <sheetName val="D-3"/>
      <sheetName val="EQUIPMENT -2"/>
      <sheetName val="집계표(OPTION)"/>
      <sheetName val="대비표"/>
      <sheetName val=" ｹ-ﾌﾞﾙ"/>
      <sheetName val="BOQ_G CIVIL"/>
      <sheetName val="SI (Onshore)"/>
      <sheetName val="Topho(USD)"/>
      <sheetName val="지급자재단가"/>
      <sheetName val="COVER"/>
      <sheetName val="일위대가(계측기설치)"/>
      <sheetName val="금액내역서"/>
      <sheetName val="제출내역"/>
      <sheetName val="구조물토적"/>
      <sheetName val="한강운반비"/>
      <sheetName val="PUMP"/>
      <sheetName val="cable-data"/>
      <sheetName val="전차선로_물량표"/>
      <sheetName val="General_Data"/>
      <sheetName val="EQUIPMENT_-2"/>
      <sheetName val="공사비_내역_(가)"/>
      <sheetName val="_ｹ-ﾌﾞﾙ"/>
      <sheetName val="TOTAL_CBM_Summary"/>
      <sheetName val="V-VESSEL_(WITH_DEMISTER)"/>
      <sheetName val="Piping_Design_Data"/>
      <sheetName val="BOQ_G_CIVIL"/>
      <sheetName val="SI_(Onshore)"/>
      <sheetName val="전기일위대가"/>
      <sheetName val="말뚝지지력산정"/>
      <sheetName val="Equip"/>
      <sheetName val="WE'T"/>
      <sheetName val="BREAKDOWN(철거설치)"/>
      <sheetName val="INGENIERÍA"/>
      <sheetName val="ANALYSER"/>
      <sheetName val="基数"/>
      <sheetName val="BQMPALOC"/>
      <sheetName val="연돌일위집계"/>
      <sheetName val="노임이"/>
      <sheetName val="설계내역서"/>
      <sheetName val="??-BLDG"/>
      <sheetName val="KP1590_E"/>
      <sheetName val="Factor"/>
      <sheetName val="BQ_Utl_Off"/>
      <sheetName val="Cash2"/>
      <sheetName val="Z"/>
      <sheetName val="Riesgos y Oportunidades"/>
      <sheetName val="RATES"/>
      <sheetName val="__-BLDG"/>
      <sheetName val="Price Summary (1)"/>
      <sheetName val="Price Summary (2)"/>
      <sheetName val="견"/>
      <sheetName val="기준"/>
      <sheetName val="dg-VTu"/>
      <sheetName val="Tke"/>
      <sheetName val="TABLE2-2 OSBL(total)"/>
      <sheetName val="Table1"/>
      <sheetName val="Cashflow Analysis"/>
      <sheetName val="Home Office"/>
      <sheetName val="Sheet 1 (Notes)"/>
      <sheetName val="0.0 Cover"/>
      <sheetName val="Summary"/>
      <sheetName val="Indirect"/>
      <sheetName val="Schedule "/>
      <sheetName val="Loading Struc"/>
      <sheetName val="Loading Pip"/>
      <sheetName val="Loading Overall (BASE Proposal)"/>
      <sheetName val="SCaffold"/>
      <sheetName val="Steel Structure"/>
      <sheetName val="UR"/>
      <sheetName val="Ref-Str"/>
      <sheetName val="PIPING AG-UG_NEW UNITS"/>
      <sheetName val="MEC_PIPING PREFABR"/>
      <sheetName val="Ref-Pip"/>
      <sheetName val="Working File-Pip"/>
      <sheetName val="Consumables"/>
      <sheetName val="NDT"/>
      <sheetName val="VALVES"/>
      <sheetName val="Supports"/>
      <sheetName val="Miscellaneous"/>
      <sheetName val="Equip_ISBL &amp; OSBL "/>
      <sheetName val="Painting"/>
      <sheetName val="INS-Piping"/>
      <sheetName val="INS-Equipment"/>
      <sheetName val="ELECTRICITY"/>
      <sheetName val="INSTRUMENTATION"/>
      <sheetName val="12CGOU"/>
      <sheetName val="견적 (2)"/>
      <sheetName val="물류최종8월7"/>
      <sheetName val="전차선로_물량표1"/>
      <sheetName val="General_Data1"/>
      <sheetName val="EQUIPMENT_-21"/>
      <sheetName val="공사비_내역_(가)1"/>
      <sheetName val="_ｹ-ﾌﾞﾙ1"/>
      <sheetName val="TOTAL_CBM_Summary1"/>
      <sheetName val="V-VESSEL_(WITH_DEMISTER)1"/>
      <sheetName val="Piping_Design_Data1"/>
      <sheetName val="BOQ_G_CIVIL1"/>
      <sheetName val="SI_(Onshore)1"/>
      <sheetName val="전차선로_물량표2"/>
      <sheetName val="General_Data2"/>
      <sheetName val="EQUIPMENT_-22"/>
      <sheetName val="공사비_내역_(가)2"/>
      <sheetName val="_ｹ-ﾌﾞﾙ2"/>
      <sheetName val="TOTAL_CBM_Summary2"/>
      <sheetName val="V-VESSEL_(WITH_DEMISTER)2"/>
      <sheetName val="Piping_Design_Data2"/>
      <sheetName val="BOQ_G_CIVIL2"/>
      <sheetName val="SI_(Onshore)2"/>
      <sheetName val="전차선로_물량표3"/>
      <sheetName val="General_Data3"/>
      <sheetName val="EQUIPMENT_-23"/>
      <sheetName val="공사비_내역_(가)3"/>
      <sheetName val="_ｹ-ﾌﾞﾙ3"/>
      <sheetName val="TOTAL_CBM_Summary3"/>
      <sheetName val="V-VESSEL_(WITH_DEMISTER)3"/>
      <sheetName val="Piping_Design_Data3"/>
      <sheetName val="BOQ_G_CIVIL3"/>
      <sheetName val="SI_(Onshore)3"/>
      <sheetName val="INDIRECT OH&amp;P "/>
      <sheetName val="Hoja2"/>
      <sheetName val="Horas"/>
      <sheetName val="경비2내역"/>
      <sheetName val="SE-611"/>
      <sheetName val="수입"/>
      <sheetName val="MATERIAL"/>
      <sheetName val="내2"/>
      <sheetName val="견적"/>
      <sheetName val="기초자료"/>
      <sheetName val="견적집계표"/>
      <sheetName val="보할공정"/>
      <sheetName val="RFP002"/>
      <sheetName val="내역"/>
      <sheetName val="일위대가"/>
      <sheetName val="h-013211-2"/>
      <sheetName val="집계표"/>
      <sheetName val="공사내역"/>
      <sheetName val="70%"/>
      <sheetName val="구리토평1전기"/>
      <sheetName val="공사원가계산서"/>
      <sheetName val="도급예산내역서총괄표"/>
      <sheetName val="설계산출기초"/>
      <sheetName val="을부담운반비"/>
      <sheetName val="운반비산출"/>
      <sheetName val="설계산출표지"/>
      <sheetName val="관람석제출"/>
      <sheetName val="입찰내역서"/>
      <sheetName val="을"/>
      <sheetName val="원가"/>
      <sheetName val="33628-Rev. A"/>
      <sheetName val="EQUIPOS"/>
      <sheetName val="차액보증"/>
      <sheetName val="도급양식"/>
      <sheetName val="환율"/>
      <sheetName val="노임9월"/>
      <sheetName val="할증 "/>
      <sheetName val="기본단가"/>
      <sheetName val="인건비단가"/>
      <sheetName val="??? ?? (?)"/>
      <sheetName val="★도급내역"/>
      <sheetName val="2공구산출내역"/>
      <sheetName val="기성현황"/>
      <sheetName val="사업전망"/>
      <sheetName val="원가현황"/>
      <sheetName val="공사비내역서"/>
      <sheetName val="회사99"/>
      <sheetName val="예산내역"/>
      <sheetName val="총괄수지표"/>
      <sheetName val="요율"/>
      <sheetName val="Summary Sheets"/>
      <sheetName val="도기류"/>
      <sheetName val="현장관리비"/>
      <sheetName val="실행내역"/>
      <sheetName val="일위_파일"/>
      <sheetName val="내역5"/>
      <sheetName val="도급견적가"/>
      <sheetName val="단가일람"/>
      <sheetName val="단위량당중기"/>
      <sheetName val="___ __ (_)"/>
      <sheetName val="설계명세서"/>
      <sheetName val="품셈표"/>
      <sheetName val="증감대비"/>
      <sheetName val="2.설계제원"/>
      <sheetName val="할증_"/>
      <sheetName val="Project-A"/>
      <sheetName val="공사비 내역 _가_"/>
      <sheetName val="배서어음명세서"/>
      <sheetName val="Proposal"/>
      <sheetName val="Equipment"/>
      <sheetName val=" 내역서"/>
      <sheetName val="PipWT"/>
      <sheetName val="Unit Price"/>
      <sheetName val="적용환율"/>
      <sheetName val="指数"/>
      <sheetName val="type-F"/>
      <sheetName val="98수문일위"/>
      <sheetName val="정부노임단가"/>
      <sheetName val="기계경비"/>
      <sheetName val="단가"/>
      <sheetName val="예산M12A"/>
      <sheetName val="매출원가"/>
      <sheetName val="부표총괄"/>
      <sheetName val="표지"/>
      <sheetName val="재료"/>
      <sheetName val="노점수분"/>
      <sheetName val="수주추정"/>
      <sheetName val="일위목록"/>
      <sheetName val="lookup"/>
      <sheetName val="수목데이타 "/>
      <sheetName val="Sheet5"/>
      <sheetName val="SILICATE"/>
      <sheetName val="b_balju-단가단가단가"/>
      <sheetName val="member design"/>
      <sheetName val="design criteria"/>
      <sheetName val="working load at the btm ft."/>
      <sheetName val="plan&amp;section of foundation"/>
      <sheetName val="soil bearing check"/>
      <sheetName val="TIE-IN"/>
      <sheetName val="Calc"/>
      <sheetName val="steel-gr"/>
      <sheetName val="96노임기준"/>
      <sheetName val="master list"/>
      <sheetName val="9509"/>
      <sheetName val="토사(PE)"/>
      <sheetName val="노무 단가"/>
      <sheetName val="도급"/>
      <sheetName val="F4-F7"/>
      <sheetName val="할증_1"/>
      <sheetName val="???_??_(?)"/>
      <sheetName val="Summary_Sheets"/>
      <sheetName val="_______(_)"/>
      <sheetName val="2_설계제원"/>
      <sheetName val="공사비_내역__가_"/>
      <sheetName val="_내역서"/>
      <sheetName val="Unit_Price"/>
      <sheetName val="수목데이타_"/>
      <sheetName val="member_design"/>
      <sheetName val="design_criteria"/>
      <sheetName val="working_load_at_the_btm_ft_"/>
      <sheetName val="plan&amp;section_of_foundation"/>
      <sheetName val="soil_bearing_check"/>
      <sheetName val="토건"/>
      <sheetName val="계화배수"/>
      <sheetName val="Price_Summary_(1)"/>
      <sheetName val="Price_Summary_(2)"/>
      <sheetName val="Cashflow_Analysis"/>
      <sheetName val="Riesgos_y_Oportunidades"/>
      <sheetName val="Home_Office"/>
      <sheetName val="Sheet_1_(Notes)"/>
      <sheetName val="0_0_Cover"/>
      <sheetName val="Schedule_"/>
      <sheetName val="Loading_Struc"/>
      <sheetName val="Loading_Pip"/>
      <sheetName val="Loading_Overall_(BASE_Proposal)"/>
      <sheetName val="Steel_Structure"/>
      <sheetName val="PIPING_AG-UG_NEW_UNITS"/>
      <sheetName val="MEC_PIPING_PREFABR"/>
      <sheetName val="Working_File-Pip"/>
      <sheetName val="Equip_ISBL_&amp;_OSBL_"/>
      <sheetName val="할증_2"/>
      <sheetName val="???_??_(?)1"/>
      <sheetName val="Summary_Sheets1"/>
      <sheetName val="_______(_)1"/>
      <sheetName val="2_설계제원1"/>
      <sheetName val="공사비_내역__가_1"/>
      <sheetName val="_내역서1"/>
      <sheetName val="Unit_Price1"/>
      <sheetName val="수목데이타_1"/>
      <sheetName val="member_design1"/>
      <sheetName val="design_criteria1"/>
      <sheetName val="working_load_at_the_btm_ft_1"/>
      <sheetName val="plan&amp;section_of_foundation1"/>
      <sheetName val="soil_bearing_check1"/>
      <sheetName val="33628-Rev__A"/>
      <sheetName val="master_list"/>
      <sheetName val="노무_단가"/>
      <sheetName val="WIP"/>
      <sheetName val="E1"/>
      <sheetName val="PROC%"/>
      <sheetName val="A"/>
      <sheetName val="PIPING"/>
      <sheetName val="DRUM"/>
      <sheetName val="M 11"/>
      <sheetName val="공문"/>
      <sheetName val="Land Dev't. Ph-1"/>
      <sheetName val="M_11"/>
      <sheetName val="Land_Dev't__Ph-1"/>
      <sheetName val="Eq. Mobilization"/>
      <sheetName val="전계가"/>
      <sheetName val="전차선로_물량표4"/>
      <sheetName val="General_Data4"/>
      <sheetName val="EQUIPMENT_-24"/>
      <sheetName val="공사비_내역_(가)4"/>
      <sheetName val="_ｹ-ﾌﾞﾙ4"/>
      <sheetName val="TOTAL_CBM_Summary4"/>
      <sheetName val="V-VESSEL_(WITH_DEMISTER)4"/>
      <sheetName val="Piping_Design_Data4"/>
      <sheetName val="BOQ_G_CIVIL4"/>
      <sheetName val="SI_(Onshore)4"/>
      <sheetName val="Riesgos_y_Oportunidades1"/>
      <sheetName val="Price_Summary_(1)1"/>
      <sheetName val="Price_Summary_(2)1"/>
      <sheetName val="Cashflow_Analysis1"/>
      <sheetName val="Home_Office1"/>
      <sheetName val="Sheet_1_(Notes)1"/>
      <sheetName val="0_0_Cover1"/>
      <sheetName val="Schedule_1"/>
      <sheetName val="Loading_Struc1"/>
      <sheetName val="Loading_Pip1"/>
      <sheetName val="Loading_Overall_(BASE_Proposal1"/>
      <sheetName val="Steel_Structure1"/>
      <sheetName val="PIPING_AG-UG_NEW_UNITS1"/>
      <sheetName val="MEC_PIPING_PREFABR1"/>
      <sheetName val="Working_File-Pip1"/>
      <sheetName val="Equip_ISBL_&amp;_OSBL_1"/>
      <sheetName val="INDIRECT_OH&amp;P_"/>
      <sheetName val="할증_3"/>
      <sheetName val="???_??_(?)2"/>
      <sheetName val="Summary_Sheets2"/>
      <sheetName val="_______(_)2"/>
      <sheetName val="2_설계제원2"/>
      <sheetName val="공사비_내역__가_2"/>
      <sheetName val="_내역서2"/>
      <sheetName val="Unit_Price2"/>
      <sheetName val="수목데이타_2"/>
      <sheetName val="member_design2"/>
      <sheetName val="design_criteria2"/>
      <sheetName val="working_load_at_the_btm_ft_2"/>
      <sheetName val="plan&amp;section_of_foundation2"/>
      <sheetName val="soil_bearing_check2"/>
      <sheetName val="33628-Rev__A1"/>
      <sheetName val="master_list1"/>
      <sheetName val="노무_단가1"/>
      <sheetName val="CABLE"/>
      <sheetName val="설치공사"/>
      <sheetName val="ANX3A65"/>
      <sheetName val="HYDROTEST DIAGRAM"/>
      <sheetName val="TABLE2-2_OSBL(total)"/>
      <sheetName val="2.대외공문"/>
      <sheetName val="3BL공동구 수량"/>
      <sheetName val="EQT-ESTN"/>
      <sheetName val="inter"/>
      <sheetName val="full (2)"/>
      <sheetName val="내역서을지"/>
      <sheetName val="综合概算(2003)"/>
      <sheetName val="contactor"/>
      <sheetName val="CCTMCatalog"/>
      <sheetName val="C1 (calcolo)"/>
      <sheetName val="6PILE  (돌출)"/>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sheetData sheetId="320" refreshError="1"/>
      <sheetData sheetId="321" refreshError="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refreshError="1"/>
      <sheetData sheetId="367" refreshError="1"/>
      <sheetData sheetId="368" refreshError="1"/>
      <sheetData sheetId="369" refreshError="1"/>
      <sheetData sheetId="370"/>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sheetData sheetId="380" refreshError="1"/>
      <sheetData sheetId="381"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수입"/>
      <sheetName val="Sheet1"/>
      <sheetName val="Sheet2"/>
      <sheetName val="Sheet3"/>
      <sheetName val="97 사업추정(WEKI)"/>
      <sheetName val="영업소실적"/>
      <sheetName val="DRUM"/>
      <sheetName val="INSTR"/>
      <sheetName val="상반기손익차2총괄"/>
      <sheetName val="SPEC-DT2"/>
      <sheetName val="DESCRIPTION"/>
      <sheetName val="Details"/>
      <sheetName val="PIPE"/>
      <sheetName val="FLANGE"/>
      <sheetName val="VALVE"/>
      <sheetName val="96.12"/>
      <sheetName val="BM DATA SHEET"/>
      <sheetName val="우각부보강"/>
      <sheetName val="NEWCPS"/>
      <sheetName val="IndectCostBreakdown"/>
      <sheetName val="PRO_A"/>
      <sheetName val="DWG"/>
      <sheetName val="MAIN"/>
      <sheetName val="PRO"/>
      <sheetName val="BQ"/>
      <sheetName val="crude.SLAB RE-bar"/>
      <sheetName val="CRUDE RE-bar"/>
      <sheetName val="개시전표"/>
      <sheetName val="공사집계"/>
      <sheetName val="주관사업"/>
      <sheetName val="STAND98"/>
      <sheetName val="h-013211-2"/>
      <sheetName val="ANALYSER"/>
      <sheetName val="환율"/>
      <sheetName val="#REF"/>
      <sheetName val="BQ List"/>
      <sheetName val="대치판정"/>
      <sheetName val="C3"/>
      <sheetName val="경제지표"/>
      <sheetName val="세금자료"/>
      <sheetName val="수정양식"/>
      <sheetName val="INPUT DATA"/>
      <sheetName val="BCPAB"/>
      <sheetName val="Y-WORK"/>
      <sheetName val="단면가정"/>
      <sheetName val="95삼성급(본사)"/>
      <sheetName val="연돌일위집계"/>
      <sheetName val="eq_data"/>
      <sheetName val="5"/>
      <sheetName val="3.현장배치"/>
      <sheetName val="손익차9월2"/>
      <sheetName val="기둥(원형)"/>
      <sheetName val="단가표"/>
      <sheetName val="경비_원본"/>
      <sheetName val="노임단가"/>
      <sheetName val="1월"/>
      <sheetName val="sort"/>
      <sheetName val="청산공사"/>
      <sheetName val="토목(도급)"/>
      <sheetName val="MUTUAL"/>
      <sheetName val="95년12월말"/>
      <sheetName val="간접비총괄 (2)"/>
      <sheetName val="적용토목"/>
      <sheetName val="집계표"/>
      <sheetName val="월별사업계획_조정"/>
      <sheetName val="Equipment"/>
      <sheetName val="Piping"/>
      <sheetName val="Z"/>
      <sheetName val="Cash2"/>
      <sheetName val="PBS"/>
      <sheetName val="Cover"/>
      <sheetName val="Compressors"/>
      <sheetName val="공문"/>
      <sheetName val="Material Specification"/>
      <sheetName val="Preface"/>
      <sheetName val="BQ-375-1"/>
      <sheetName val="steel-gr"/>
      <sheetName val="Sheet 2"/>
      <sheetName val="BM_DATA_SHEET"/>
      <sheetName val="96_12"/>
      <sheetName val="97_사업추정(WEKI)"/>
      <sheetName val="BQ_List"/>
      <sheetName val="INPUT_DATA"/>
      <sheetName val="crude_SLAB_RE-bar"/>
      <sheetName val="CRUDE_RE-bar"/>
      <sheetName val="float&amp;bear"/>
      <sheetName val="Kfracture"/>
      <sheetName val="inter"/>
      <sheetName val="공정계획(내부계획25%,내부w.f)"/>
      <sheetName val="단중표-ST"/>
      <sheetName val="요약배부"/>
      <sheetName val="SUM-OVERSEAS"/>
      <sheetName val="COST-850"/>
      <sheetName val="말뚝물량"/>
      <sheetName val="DNT OSBL"/>
      <sheetName val="PipWT"/>
      <sheetName val="당초"/>
      <sheetName val="총원가.24"/>
      <sheetName val="GeneralNote"/>
      <sheetName val="MOB-MAN1"/>
      <sheetName val="DATE"/>
      <sheetName val="DESIGN CRETERIA"/>
      <sheetName val="Unit 49_분개표"/>
      <sheetName val="Unit 76_분개표"/>
      <sheetName val="인원계획"/>
      <sheetName val="시공집계"/>
      <sheetName val="choose"/>
      <sheetName val="산근"/>
      <sheetName val="7.5.2 BOQ Summary"/>
      <sheetName val="Master"/>
      <sheetName val="사업부배부A"/>
      <sheetName val="간접비내역-1"/>
      <sheetName val="간접비 총괄표"/>
      <sheetName val="품셈TABLE"/>
      <sheetName val="DCS"/>
      <sheetName val="자재코드"/>
      <sheetName val="Table"/>
      <sheetName val="기초입력"/>
      <sheetName val="영업2"/>
      <sheetName val="영업3"/>
      <sheetName val="투찰내역"/>
      <sheetName val="Weld, NDE (Pipe)"/>
      <sheetName val="토목주소"/>
      <sheetName val="프랜트면허"/>
      <sheetName val="BID"/>
      <sheetName val="공사내역"/>
      <sheetName val="sw1"/>
      <sheetName val="UnitList"/>
      <sheetName val="노임"/>
      <sheetName val="일일총괄"/>
      <sheetName val="집계표(OPTION)"/>
      <sheetName val="activity"/>
      <sheetName val="Total"/>
      <sheetName val="w't table"/>
      <sheetName val="Code"/>
      <sheetName val="Import"/>
      <sheetName val="B"/>
      <sheetName val="입찰안"/>
      <sheetName val="갑지"/>
      <sheetName val=" ｹ-ﾌﾞﾙ"/>
      <sheetName val="변경집계표"/>
      <sheetName val="Workspace"/>
      <sheetName val="순공사비"/>
      <sheetName val="DNT_OSBL"/>
      <sheetName val="총원가_24"/>
      <sheetName val="Unit_49_분개표"/>
      <sheetName val="Unit_76_분개표"/>
      <sheetName val="DESIGN_CRETERIA"/>
      <sheetName val="7_5_2_BOQ_Summary"/>
      <sheetName val="Weld,_NDE_(Pip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WITHOUT C&amp;I PROFIT (4)"/>
      <sheetName val="WITH C&amp;I PROFIT (2)"/>
      <sheetName val="WITHOUT C&amp;I PROFIT (3)"/>
      <sheetName val="CEMENT"/>
      <sheetName val="#REF"/>
      <sheetName val="WITH C&amp;I PROFIT"/>
      <sheetName val="WITHOUT C&amp;I PROFIT"/>
      <sheetName val="견적서"/>
      <sheetName val="갑지"/>
      <sheetName val="_REF"/>
      <sheetName val="TOEC"/>
      <sheetName val="일위대가(가설)"/>
      <sheetName val="LEGEND"/>
      <sheetName val="B"/>
      <sheetName val="건축내역"/>
      <sheetName val="요율"/>
      <sheetName val="설비비4"/>
      <sheetName val="WORKING"/>
      <sheetName val="BQ List MNHRS"/>
      <sheetName val="PipWT"/>
      <sheetName val="Chiet tinh dz35"/>
      <sheetName val="Sheet1"/>
      <sheetName val="산근"/>
      <sheetName val="노임단가"/>
      <sheetName val="노임9월"/>
      <sheetName val="금액내역서"/>
      <sheetName val="Main"/>
      <sheetName val="??"/>
      <sheetName val="단가일람"/>
      <sheetName val="단위량당중기"/>
      <sheetName val="보할공정"/>
      <sheetName val="일위대가표"/>
      <sheetName val="LV data"/>
      <sheetName val="단가"/>
      <sheetName val="하부철근수량"/>
      <sheetName val="단가조사"/>
      <sheetName val="견"/>
      <sheetName val="작성"/>
      <sheetName val="__"/>
      <sheetName val="Resource summary"/>
      <sheetName val="RFP002"/>
      <sheetName val="AILC004"/>
      <sheetName val="Y-WORK"/>
      <sheetName val="ITB COST"/>
      <sheetName val="Precios"/>
      <sheetName val="POWER"/>
      <sheetName val="SILICAT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      "/>
      <sheetName val="사내공문"/>
      <sheetName val="공기기준"/>
      <sheetName val="공사비비교"/>
      <sheetName val="건축공사비"/>
      <sheetName val="공통가설"/>
      <sheetName val="현관집계"/>
      <sheetName val="현장관리비"/>
      <sheetName val="견적조건"/>
      <sheetName val="현장조직도"/>
      <sheetName val="천호동(99.9월)"/>
      <sheetName val="공문"/>
      <sheetName val="96.12"/>
      <sheetName val="Macro1"/>
      <sheetName val="설계산출표지"/>
      <sheetName val="정부노임단가"/>
      <sheetName val="내역"/>
      <sheetName val="노임이"/>
      <sheetName val="건축공사실행"/>
      <sheetName val="SG"/>
      <sheetName val="변수값"/>
      <sheetName val="중기상차"/>
      <sheetName val="AS복구"/>
      <sheetName val="중기터파기"/>
      <sheetName val="설계내역서"/>
      <sheetName val="건축직영"/>
      <sheetName val="군산공장추가구매"/>
      <sheetName val="MEXICO-C"/>
      <sheetName val="내역서"/>
      <sheetName val="현장별계약현황('98.10.31)"/>
      <sheetName val="실행(ALT1)"/>
      <sheetName val="중갑지"/>
      <sheetName val="b_balju (2)"/>
      <sheetName val="b_gunmul"/>
      <sheetName val="BCPAB"/>
      <sheetName val="BID"/>
      <sheetName val="화재 탐지 설비"/>
      <sheetName val="갑지1"/>
      <sheetName val="DHEQSUPT"/>
      <sheetName val="여흥"/>
      <sheetName val="cp-e1"/>
      <sheetName val="U-TYPE(1)"/>
      <sheetName val="현장지지물물량"/>
      <sheetName val="RESOURCE"/>
      <sheetName val="Sheet1"/>
      <sheetName val="플랜트 설치"/>
      <sheetName val="을"/>
      <sheetName val="수압집계"/>
      <sheetName val="집계표"/>
      <sheetName val="인건비"/>
      <sheetName val="내역(한신APT)"/>
      <sheetName val="견적의뢰"/>
      <sheetName val="실행철강하도"/>
      <sheetName val="수량산출"/>
      <sheetName val="REDUCER"/>
      <sheetName val="WE'T"/>
      <sheetName val="토목주소"/>
      <sheetName val="프랜트면허"/>
      <sheetName val="설비2차"/>
      <sheetName val="갑지(추정)"/>
      <sheetName val="조직도"/>
      <sheetName val="기준"/>
      <sheetName val="자바라1"/>
      <sheetName val="수입"/>
      <sheetName val="입찰안"/>
      <sheetName val="#REF"/>
      <sheetName val="남양시작동자105노65기1.3화1.2"/>
      <sheetName val="물량표"/>
      <sheetName val="BSD (2)"/>
      <sheetName val="일위대가"/>
      <sheetName val="차액보증"/>
      <sheetName val="건축집계합계"/>
      <sheetName val="건축집계표이수"/>
      <sheetName val="당정동공통이수"/>
      <sheetName val="당정동경상이수"/>
      <sheetName val="음료실행"/>
      <sheetName val="청하배수"/>
      <sheetName val="운반"/>
      <sheetName val="수출모델별원단위"/>
      <sheetName val="토목"/>
      <sheetName val="1.설계조건"/>
      <sheetName val="입출재고현황 (2)"/>
      <sheetName val="신규일위대가"/>
      <sheetName val="노임단가"/>
      <sheetName val="부하계산서"/>
      <sheetName val="6호기"/>
      <sheetName val="0Title"/>
      <sheetName val="갑지"/>
      <sheetName val="공사개요"/>
      <sheetName val="2000전체분"/>
      <sheetName val="2000년1차"/>
      <sheetName val="총괄"/>
      <sheetName val="APT"/>
      <sheetName val="STANDARD (상)-참고"/>
      <sheetName val="G.R300경비"/>
      <sheetName val="부대tu"/>
      <sheetName val="카렌스센터계량기설치공사"/>
      <sheetName val="총괄내역서"/>
      <sheetName val="청천내"/>
      <sheetName val="데이타"/>
      <sheetName val="DATE"/>
      <sheetName val="BLR-S"/>
      <sheetName val="대우기성"/>
      <sheetName val="충주"/>
      <sheetName val="전체내역 (2)"/>
      <sheetName val="입찰보고"/>
      <sheetName val="tggwan(mac)"/>
      <sheetName val="터파기및재료"/>
      <sheetName val="위치조서"/>
      <sheetName val="Sheet4"/>
      <sheetName val="2.대외공문"/>
      <sheetName val="중기사용료"/>
      <sheetName val="Total"/>
      <sheetName val="ABUT수량-A1"/>
      <sheetName val="물량표S"/>
      <sheetName val="Template"/>
      <sheetName val="노무비"/>
      <sheetName val="10월상품입고"/>
      <sheetName val="노무비단가"/>
      <sheetName val="ASME B 36.10 M"/>
      <sheetName val="TOEC"/>
      <sheetName val="6PILE  (돌출)"/>
      <sheetName val="진주방향"/>
      <sheetName val="파일의이용"/>
      <sheetName val="CTEMCOST"/>
      <sheetName val="하수급견적대비"/>
      <sheetName val="경비2내역"/>
      <sheetName val="산근"/>
      <sheetName val="우배수"/>
      <sheetName val="계산식"/>
      <sheetName val="증감내역서"/>
      <sheetName val="계측"/>
      <sheetName val="VENT"/>
      <sheetName val="참고"/>
      <sheetName val="A"/>
      <sheetName val="계약내역서"/>
      <sheetName val="FOB발"/>
      <sheetName val="조건"/>
      <sheetName val="일위대가표"/>
      <sheetName val="은행"/>
      <sheetName val="020114"/>
      <sheetName val="0111월"/>
      <sheetName val="대비표"/>
      <sheetName val="단면 (2)"/>
      <sheetName val="인사자료총집계"/>
      <sheetName val="SUM (실행원가대비)"/>
      <sheetName val="CAPVC"/>
      <sheetName val="DWG-M101(21)"/>
      <sheetName val="Sheet5"/>
      <sheetName val="7.경제성결과"/>
      <sheetName val="평가데이터"/>
      <sheetName val="조명시설"/>
      <sheetName val="감액총괄표"/>
      <sheetName val="목표세부명세"/>
      <sheetName val="유림골조"/>
      <sheetName val="내역표지"/>
      <sheetName val="T전제"/>
      <sheetName val="PAINT"/>
      <sheetName val="매립"/>
      <sheetName val="esc"/>
      <sheetName val="터널조도"/>
      <sheetName val="rate"/>
      <sheetName val="노원열병합  건축공사기성내역서"/>
      <sheetName val="단가"/>
      <sheetName val="__MAIN"/>
      <sheetName val="주형"/>
      <sheetName val="연결임시"/>
      <sheetName val="원가계산 (2)"/>
      <sheetName val="화설내"/>
      <sheetName val="입력"/>
      <sheetName val="인건비 "/>
      <sheetName val="8.식재일위"/>
      <sheetName val="B시설가격"/>
      <sheetName val="집계"/>
      <sheetName val="마산월령동골조물량변경"/>
      <sheetName val="구리토평1전기"/>
      <sheetName val="기초산출"/>
      <sheetName val="기초코드"/>
      <sheetName val="고합"/>
      <sheetName val="input"/>
      <sheetName val="실행내역서 "/>
      <sheetName val="손익"/>
      <sheetName val="신대방33(적용)"/>
      <sheetName val="대공종"/>
      <sheetName val="세부내역서"/>
      <sheetName val="부하(성남)"/>
      <sheetName val="추가예산"/>
      <sheetName val="Sheet2"/>
      <sheetName val="1.설계기준"/>
      <sheetName val="가설공사내역"/>
      <sheetName val="기계경비(시간당)"/>
      <sheetName val="램머"/>
      <sheetName val="제출내역 (2)"/>
      <sheetName val="2"/>
      <sheetName val="PIS"/>
      <sheetName val="1"/>
      <sheetName val="2(보정)"/>
      <sheetName val="실행갑지"/>
      <sheetName val="총괄집계"/>
      <sheetName val="산출내역서집계표"/>
      <sheetName val="FAB별"/>
      <sheetName val="입찰견적보고서"/>
      <sheetName val="현장경비"/>
      <sheetName val="자재단가"/>
      <sheetName val="원가서"/>
      <sheetName val="교각계산"/>
      <sheetName val="간접"/>
      <sheetName val="값"/>
      <sheetName val="설계명세서"/>
      <sheetName val="기계"/>
      <sheetName val="정화조"/>
      <sheetName val="조경"/>
      <sheetName val="실행내역"/>
      <sheetName val="과천MAIN"/>
      <sheetName val="요율"/>
      <sheetName val="시멘트"/>
      <sheetName val="1-11조직표"/>
      <sheetName val="사유서제출현황-2"/>
      <sheetName val="수량산출서"/>
      <sheetName val="마산방향"/>
      <sheetName val="공량산출서"/>
      <sheetName val="일위산출"/>
      <sheetName val="덕전리"/>
      <sheetName val="아파트-가설"/>
      <sheetName val="수자재단위당"/>
      <sheetName val="시운전연료"/>
      <sheetName val="망미"/>
      <sheetName val="COVER"/>
      <sheetName val="공사"/>
      <sheetName val="금액"/>
      <sheetName val="CON'C"/>
      <sheetName val="설 계"/>
      <sheetName val="ORIGN"/>
      <sheetName val="시공계획"/>
      <sheetName val="MOTOR"/>
      <sheetName val="hvac(제어동)"/>
      <sheetName val="환경기계공정표 (3)"/>
      <sheetName val="화산경계"/>
      <sheetName val="계산서(곡선부)"/>
      <sheetName val="-치수표(곡선부)"/>
      <sheetName val="INPUTDATA"/>
      <sheetName val="예산서"/>
      <sheetName val="물가시세"/>
      <sheetName val="TRE TABLE"/>
      <sheetName val="DATA"/>
      <sheetName val="날개벽수량표"/>
      <sheetName val="RE9604"/>
      <sheetName val="가열로SW"/>
      <sheetName val="노임"/>
      <sheetName val="입찰내역서"/>
      <sheetName val="표지 (2)"/>
      <sheetName val="예가표"/>
      <sheetName val="산출내역"/>
      <sheetName val="TOTAL_BOQ"/>
      <sheetName val="Eq. Mobilization"/>
      <sheetName val="설계내역2"/>
      <sheetName val="아파트"/>
      <sheetName val="임시공사건"/>
      <sheetName val="소특"/>
      <sheetName val="현황CODE"/>
      <sheetName val="손익현황"/>
      <sheetName val="VXXXXX"/>
      <sheetName val="PROJECT BRIEF"/>
      <sheetName val="집계표(공종별)"/>
      <sheetName val="FORM-0"/>
      <sheetName val="구분자"/>
      <sheetName val="경상직원"/>
      <sheetName val="BEND LOSS"/>
      <sheetName val="2F 회의실견적(5_14 일대)"/>
      <sheetName val="001"/>
      <sheetName val="표지"/>
      <sheetName val="단면가정"/>
      <sheetName val="설계가"/>
      <sheetName val="J直材4"/>
      <sheetName val="월별수입"/>
      <sheetName val="채권(하반기)"/>
      <sheetName val="우수"/>
      <sheetName val="EQT-ESTN"/>
      <sheetName val="전도금정산서(27)"/>
      <sheetName val="금융"/>
      <sheetName val="REINF."/>
      <sheetName val="LOADS"/>
      <sheetName val="SKETCH"/>
      <sheetName val="RD제품개발투자비(매가)"/>
      <sheetName val="______"/>
      <sheetName val="96_12"/>
      <sheetName val="천호동(99_9월)"/>
      <sheetName val="현장별계약현황('98_10_31)"/>
      <sheetName val="b_balju_(2)"/>
      <sheetName val="플랜트_설치"/>
      <sheetName val="화재_탐지_설비"/>
      <sheetName val="남양시작동자105노65기1_3화1_2"/>
      <sheetName val="BSD_(2)"/>
      <sheetName val="입출재고현황_(2)"/>
      <sheetName val="전체내역_(2)"/>
      <sheetName val="98지급계획"/>
      <sheetName val="401"/>
      <sheetName val="기초자료입력"/>
      <sheetName val="간접비계산"/>
      <sheetName val="1공구산출내역서"/>
      <sheetName val="CONCRETE"/>
      <sheetName val="21301동"/>
      <sheetName val="도급기성"/>
      <sheetName val="예정(3)"/>
      <sheetName val="동원(3)"/>
      <sheetName val="원본"/>
      <sheetName val="구역화물"/>
      <sheetName val="단가일람"/>
      <sheetName val="배수내역 (2)"/>
      <sheetName val="수량집계"/>
      <sheetName val="증감대비"/>
      <sheetName val="조정금액결과표 (차수별)"/>
      <sheetName val="단가산출"/>
      <sheetName val="Cash Flow bulanan"/>
      <sheetName val="1_설계조건"/>
      <sheetName val="STANDARD_(상)-참고"/>
      <sheetName val="G_R300경비"/>
      <sheetName val="2_대외공문"/>
      <sheetName val="ASME_B_36_10_M"/>
      <sheetName val="6PILE__(돌출)"/>
      <sheetName val="단면_(2)"/>
      <sheetName val="SUM_(실행원가대비)"/>
      <sheetName val="7_경제성결과"/>
      <sheetName val="노원열병합__건축공사기성내역서"/>
      <sheetName val="MANP"/>
      <sheetName val="태화42 "/>
      <sheetName val="유림총괄"/>
      <sheetName val="단가표"/>
      <sheetName val="산업"/>
      <sheetName val="3"/>
      <sheetName val="4"/>
      <sheetName val="5"/>
      <sheetName val="6"/>
      <sheetName val="관로내역원"/>
      <sheetName val="산출근거#2-4(MONORAIL)"/>
      <sheetName val="nde_request"/>
      <sheetName val="BOX-1510"/>
      <sheetName val="목록"/>
      <sheetName val="울산시산표"/>
      <sheetName val="Sheet3"/>
      <sheetName val="영업소실적"/>
      <sheetName val="POL6차-PIPING"/>
      <sheetName val="Cash2"/>
      <sheetName val="Z"/>
      <sheetName val="기준요인별"/>
      <sheetName val="Control"/>
      <sheetName val="Front"/>
      <sheetName val="wall"/>
      <sheetName val="수로단위수량"/>
      <sheetName val="Piping Design Data"/>
      <sheetName val="예총"/>
      <sheetName val="임대견적서"/>
      <sheetName val="1.기초정보"/>
      <sheetName val="4차원가계산서"/>
      <sheetName val="중기조종사 단위단가"/>
      <sheetName val="식재총괄"/>
      <sheetName val="일위목록"/>
      <sheetName val="코드표"/>
      <sheetName val="계획고"/>
      <sheetName val="빌딩 안내"/>
      <sheetName val="Rent Roll"/>
      <sheetName val="중동상가"/>
      <sheetName val="특별교실"/>
      <sheetName val="자재대"/>
      <sheetName val="LIST"/>
      <sheetName val="5.전사투자계획종함안"/>
      <sheetName val="제4절-1"/>
      <sheetName val="별표 "/>
      <sheetName val="전기"/>
      <sheetName val="금융비용"/>
      <sheetName val="입찰내역 발주처 양식"/>
      <sheetName val="특수선일위대가"/>
      <sheetName val="예산작성기준(전기)"/>
      <sheetName val="cfa"/>
      <sheetName val="proj description final"/>
      <sheetName val="GMQ"/>
      <sheetName val="BOQ1"/>
      <sheetName val="NSC"/>
      <sheetName val="PRELIMS"/>
      <sheetName val="inter"/>
      <sheetName val="TOSHIBA-Structure"/>
      <sheetName val="GAEYO"/>
      <sheetName val="MAT_N048"/>
      <sheetName val="DESBASTE"/>
      <sheetName val="dongia (2)"/>
      <sheetName val="LKVL-CK-HT-GD1"/>
      <sheetName val="giathanh1"/>
      <sheetName val="THPDMoi  (2)"/>
      <sheetName val="gtrinh"/>
      <sheetName val="phuluc1"/>
      <sheetName val="TONG HOP VL-NC"/>
      <sheetName val="lam-moi"/>
      <sheetName val="chitiet"/>
      <sheetName val="TONGKE3p "/>
      <sheetName val="TH VL, NC, DDHT Thanhphuoc"/>
      <sheetName val="DONGIA"/>
      <sheetName val="thao-go"/>
      <sheetName val="DON GIA"/>
      <sheetName val="TONGKE-HT"/>
      <sheetName val="DG"/>
      <sheetName val="t-h HA THE"/>
      <sheetName val="CHITIET VL-NC-TT -1p"/>
      <sheetName val="TONG HOP VL-NC TT"/>
      <sheetName val="TNHCHINH"/>
      <sheetName val="TH XL"/>
      <sheetName val="CHITIET VL-NC"/>
      <sheetName val="VC"/>
      <sheetName val="Tiepdia"/>
      <sheetName val="CHITIET VL-NC-TT-3p"/>
      <sheetName val="TDTKP"/>
      <sheetName val="TDTKP1"/>
      <sheetName val="KPVC-BD "/>
      <sheetName val="VCV-BE-TONG"/>
      <sheetName val="Personnel"/>
      <sheetName val="PipWT"/>
      <sheetName val="BM"/>
      <sheetName val="4-Lane bridge"/>
      <sheetName val="Gen"/>
      <sheetName val="sumoflaborates"/>
      <sheetName val="biñ-dasma"/>
      <sheetName val="Rates"/>
      <sheetName val="GKP"/>
      <sheetName val="DESBAST"/>
      <sheetName val="간접비 총괄표"/>
      <sheetName val="LOADDAT"/>
      <sheetName val="Quantity"/>
      <sheetName val="Macro"/>
    </sheetNames>
    <sheetDataSet>
      <sheetData sheetId="0"/>
      <sheetData sheetId="1"/>
      <sheetData sheetId="2"/>
      <sheetData sheetId="3"/>
      <sheetData sheetId="4"/>
      <sheetData sheetId="5"/>
      <sheetData sheetId="6"/>
      <sheetData sheetId="7"/>
      <sheetData sheetId="8"/>
      <sheetData sheetId="9"/>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sheetData sheetId="285"/>
      <sheetData sheetId="286"/>
      <sheetData sheetId="287"/>
      <sheetData sheetId="288"/>
      <sheetData sheetId="289"/>
      <sheetData sheetId="290"/>
      <sheetData sheetId="291"/>
      <sheetData sheetId="292"/>
      <sheetData sheetId="293"/>
      <sheetData sheetId="294"/>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sheetData sheetId="315"/>
      <sheetData sheetId="316"/>
      <sheetData sheetId="317"/>
      <sheetData sheetId="318"/>
      <sheetData sheetId="319"/>
      <sheetData sheetId="320"/>
      <sheetData sheetId="321"/>
      <sheetData sheetId="322"/>
      <sheetData sheetId="323"/>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
      <sheetName val="Quantity"/>
      <sheetName val="PS"/>
      <sheetName val="Param"/>
      <sheetName val="#REF"/>
      <sheetName val="산근"/>
    </sheetNames>
    <sheetDataSet>
      <sheetData sheetId="0" refreshError="1"/>
      <sheetData sheetId="1" refreshError="1"/>
      <sheetData sheetId="2" refreshError="1"/>
      <sheetData sheetId="3" refreshError="1"/>
      <sheetData sheetId="4" refreshError="1"/>
      <sheetData sheetId="5"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수입"/>
      <sheetName val="eq_data"/>
      <sheetName val="Backdata"/>
      <sheetName val="SubCon"/>
      <sheetName val="요약배부"/>
      <sheetName val="주관사업"/>
      <sheetName val="IT-BAT"/>
      <sheetName val="세금자료"/>
      <sheetName val="단중표-ST"/>
      <sheetName val="말뚝물량"/>
      <sheetName val="SUM-OVERSEAS"/>
      <sheetName val="Sheet1"/>
      <sheetName val="COST-850"/>
      <sheetName val="96.12"/>
      <sheetName val="sort"/>
      <sheetName val="영업소실적"/>
      <sheetName val="95년12월말"/>
      <sheetName val="수정양식"/>
      <sheetName val="DNT OSBL"/>
      <sheetName val="경제지표"/>
      <sheetName val="INPUT DATA"/>
      <sheetName val="PipWT"/>
      <sheetName val="당초"/>
      <sheetName val="BCPAB"/>
      <sheetName val="총원가.24"/>
      <sheetName val="ANALYSER"/>
      <sheetName val="Cover"/>
      <sheetName val="GeneralNote"/>
      <sheetName val="MOB-MAN1"/>
      <sheetName val="Equipment"/>
      <sheetName val="Piping"/>
      <sheetName val="인원계획"/>
      <sheetName val="h-013211-2"/>
      <sheetName val="choose"/>
      <sheetName val="시공집계"/>
      <sheetName val="Unit 49_분개표"/>
      <sheetName val="Unit 76_분개표"/>
      <sheetName val="산근"/>
      <sheetName val="DATE"/>
      <sheetName val="DESIGN CRETERIA"/>
      <sheetName val="사업부배부A"/>
      <sheetName val="간접비내역-1"/>
      <sheetName val="간접비 총괄표"/>
      <sheetName val="품셈TABLE"/>
      <sheetName val="DCS"/>
      <sheetName val="자재코드"/>
      <sheetName val="Table"/>
      <sheetName val="기초입력"/>
      <sheetName val="영업2"/>
      <sheetName val="영업3"/>
      <sheetName val="투찰내역"/>
      <sheetName val="7.5.2 BOQ Summary"/>
      <sheetName val="Master"/>
      <sheetName val="Weld, NDE (Pip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골조"/>
      <sheetName val="PILE"/>
      <sheetName val="공통비"/>
      <sheetName val="Sheet4"/>
      <sheetName val="Sheet5"/>
      <sheetName val="Sheet6"/>
      <sheetName val="Sheet7"/>
      <sheetName val="Sheet8"/>
      <sheetName val="Sheet9"/>
      <sheetName val="Sheet10"/>
      <sheetName val="Sheet11"/>
      <sheetName val="Sheet12"/>
      <sheetName val="Sheet13"/>
      <sheetName val="Sheet14"/>
      <sheetName val="Sheet15"/>
      <sheetName val="Sheet16"/>
      <sheetName val="교동현장"/>
      <sheetName val="공사개요"/>
      <sheetName val="fax"/>
      <sheetName val="협조문"/>
      <sheetName val="협조전"/>
      <sheetName val="속초교동"/>
      <sheetName val="건축대비"/>
      <sheetName val="토목공사"/>
      <sheetName val="개략건축"/>
      <sheetName val="옵션물량분개"/>
      <sheetName val="목,창호공사"/>
      <sheetName val="목문틀단가"/>
      <sheetName val="미장대비"/>
      <sheetName val="시행대비"/>
      <sheetName val="시행대비 (2)"/>
      <sheetName val="도배공사(현장통보)"/>
      <sheetName val="유리분개"/>
      <sheetName val="#REF"/>
      <sheetName val="P.M 별"/>
      <sheetName val="유림골조"/>
      <sheetName val="Sheet2 (2)"/>
      <sheetName val="2000년1차"/>
      <sheetName val="6호기"/>
      <sheetName val="일위대가목차"/>
      <sheetName val="노임단가"/>
      <sheetName val="수목단가"/>
      <sheetName val="시설수량표"/>
      <sheetName val="식재수량표"/>
      <sheetName val="일위목록"/>
      <sheetName val="자재단가"/>
      <sheetName val="Total"/>
      <sheetName val="수목표준대가"/>
      <sheetName val="2.냉난방설비공사"/>
      <sheetName val="공통비총괄표"/>
      <sheetName val="단가조사"/>
      <sheetName val="Sheet2"/>
      <sheetName val="대비"/>
      <sheetName val="9509"/>
      <sheetName val="노임이"/>
      <sheetName val="상반기손익차2총괄"/>
      <sheetName val="입찰안"/>
      <sheetName val="일위대가"/>
      <sheetName val="예산서"/>
      <sheetName val="물량내역서"/>
      <sheetName val="사업부배부A"/>
      <sheetName val="6PILE  (돌출)"/>
      <sheetName val="횡배수관집현황(2공구)"/>
      <sheetName val="세부내역"/>
      <sheetName val="Sheet1"/>
      <sheetName val="Sheet3"/>
      <sheetName val="정부노임단가"/>
      <sheetName val="매각(6)"/>
      <sheetName val="마산월령동골조물량변경"/>
      <sheetName val="공통부대비"/>
      <sheetName val="공사비"/>
      <sheetName val="예산명세서"/>
      <sheetName val="설계명세서"/>
      <sheetName val="자료입력"/>
      <sheetName val="매입가격"/>
      <sheetName val="경산"/>
      <sheetName val="설비2차"/>
      <sheetName val="간접비총괄"/>
      <sheetName val="일위대가표"/>
      <sheetName val="2.대외공문"/>
      <sheetName val="냉천부속동"/>
      <sheetName val="시설물기초"/>
      <sheetName val="JUCKEYK"/>
      <sheetName val="견적서"/>
      <sheetName val="2공구산출내역"/>
      <sheetName val="CTEMCOST"/>
      <sheetName val="공통비(전체)"/>
      <sheetName val="배수내역"/>
      <sheetName val="FRP PIPING 일위대가"/>
      <sheetName val="내역서"/>
      <sheetName val="내역서2안"/>
      <sheetName val="2.1  노무비 평균단가산출"/>
      <sheetName val="내역"/>
      <sheetName val="데이타"/>
      <sheetName val="참조자료"/>
      <sheetName val="패널"/>
      <sheetName val="3단계"/>
      <sheetName val="2단계"/>
      <sheetName val="교통대책내역"/>
      <sheetName val="원가계산서(남측)"/>
      <sheetName val="공사손익"/>
      <sheetName val="고자현황"/>
      <sheetName val="COST"/>
      <sheetName val="7. 현장관리비 "/>
      <sheetName val="6. 안전관리비"/>
      <sheetName val="집계표"/>
      <sheetName val="내   역"/>
      <sheetName val="주요공사"/>
      <sheetName val="VXXXXXXX"/>
      <sheetName val="단가표"/>
      <sheetName val="Sheet1 (2)"/>
      <sheetName val="기계공사"/>
      <sheetName val="단면 (2)"/>
      <sheetName val="cp1"/>
      <sheetName val="내역서(기존내역-수정금지)"/>
      <sheetName val="전체내역서"/>
      <sheetName val="ITEM"/>
      <sheetName val="노무비"/>
      <sheetName val="N賃率-職"/>
      <sheetName val="일반부표"/>
      <sheetName val="코드"/>
      <sheetName val="기계"/>
      <sheetName val="주관사업"/>
      <sheetName val="변경내역"/>
      <sheetName val="총요약서"/>
      <sheetName val="설직재-1"/>
      <sheetName val="소일위대가코드표"/>
      <sheetName val="대전(세창동)"/>
      <sheetName val="영업소실적"/>
      <sheetName val="마감사양"/>
      <sheetName val="변압기 및 발전기 용량"/>
      <sheetName val="미수금현황"/>
      <sheetName val="시중노임(공사)"/>
      <sheetName val="유림총괄"/>
      <sheetName val="도급견적가"/>
      <sheetName val="COVER"/>
      <sheetName val="건물"/>
      <sheetName val="0_갑지"/>
      <sheetName val="8_현장관리비"/>
      <sheetName val="7_안전관리비"/>
      <sheetName val="건축내역"/>
      <sheetName val="돈암사업"/>
      <sheetName val="공사비예산서_토목분_"/>
      <sheetName val="01"/>
      <sheetName val="Sens&amp;Anal"/>
      <sheetName val="금액결정"/>
      <sheetName val="마찰손실"/>
      <sheetName val="원가계산 (2)"/>
      <sheetName val="수주실적0709"/>
      <sheetName val="부대공Ⅱ"/>
      <sheetName val="단가기준"/>
      <sheetName val="국내총괄"/>
      <sheetName val="15100"/>
      <sheetName val="시중노임단가"/>
      <sheetName val="반포2차"/>
      <sheetName val="부표총괄"/>
      <sheetName val="기초목"/>
      <sheetName val="국산화"/>
      <sheetName val="경비"/>
      <sheetName val="00노임기준"/>
      <sheetName val="교각별철근수량집계표"/>
      <sheetName val="구조물공"/>
      <sheetName val="부대공"/>
      <sheetName val="배수공"/>
      <sheetName val="토공"/>
      <sheetName val="포장공"/>
      <sheetName val="연결임시"/>
      <sheetName val="토공(우물통,기타) "/>
      <sheetName val="교량하부공"/>
      <sheetName val="내역서01"/>
      <sheetName val="단가 (2)"/>
      <sheetName val="골조시행"/>
      <sheetName val="급여관련자료"/>
      <sheetName val="평가데이터"/>
      <sheetName val="하수급견적대비"/>
      <sheetName val="청천내"/>
      <sheetName val="협력업체"/>
      <sheetName val="설계내역서"/>
      <sheetName val="진주방향"/>
      <sheetName val="98지급계획"/>
      <sheetName val="분당임차변경"/>
      <sheetName val="작업년월"/>
      <sheetName val="금액내역서"/>
      <sheetName val="납부내역"/>
      <sheetName val="빈"/>
      <sheetName val="물량내역"/>
      <sheetName val="ABUT수량-A1"/>
      <sheetName val="현장현황"/>
      <sheetName val="실행내역"/>
      <sheetName val="직노"/>
      <sheetName val="예가표"/>
      <sheetName val="적상기초자료"/>
      <sheetName val="DATA"/>
      <sheetName val="을지"/>
      <sheetName val="세금자료"/>
      <sheetName val="요율"/>
      <sheetName val="96까지"/>
      <sheetName val="97년"/>
      <sheetName val="98이후"/>
      <sheetName val="대비표(토공1안)"/>
      <sheetName val="갑지(추정)"/>
      <sheetName val="식재가격"/>
      <sheetName val="식재총괄"/>
      <sheetName val="개산공사비"/>
      <sheetName val="스케즐"/>
      <sheetName val="목차"/>
      <sheetName val="터파기및재료"/>
      <sheetName val="소방기계"/>
      <sheetName val="차액보증"/>
      <sheetName val="형틀물량집계"/>
      <sheetName val="포설물량(8회분)"/>
      <sheetName val="갑지"/>
      <sheetName val="집수정(600-700)"/>
      <sheetName val="BEND LOSS"/>
      <sheetName val="현장관리비"/>
      <sheetName val="cal"/>
      <sheetName val="인천제철"/>
      <sheetName val="조명시설"/>
      <sheetName val="자료"/>
      <sheetName val="6공구(당초)"/>
      <sheetName val="ⴭⴭⴭⴭⴭ"/>
      <sheetName val="이토변실(A3-LINE)"/>
      <sheetName val="식재인부"/>
      <sheetName val="집계"/>
      <sheetName val="pier(각형)"/>
      <sheetName val="안전장치"/>
      <sheetName val="BLOCK(1)"/>
      <sheetName val="수량산출서"/>
      <sheetName val="토목주소"/>
      <sheetName val="프랜트면허"/>
      <sheetName val="AJ005"/>
      <sheetName val="손익차9월2"/>
      <sheetName val="DATE"/>
      <sheetName val="시중노임"/>
      <sheetName val="TRE TABLE"/>
      <sheetName val="10ADIT05"/>
      <sheetName val="결재판(삭제하지말아주세요)"/>
      <sheetName val="O＆P"/>
      <sheetName val="자  재"/>
      <sheetName val="건축외주"/>
      <sheetName val="인상효1"/>
      <sheetName val="설계명세서(전송장비분)"/>
      <sheetName val="EQT-ESTN"/>
      <sheetName val="AL공사(원)"/>
      <sheetName val="실행철강하도"/>
      <sheetName val="단"/>
      <sheetName val="1차 내역서"/>
      <sheetName val="3.건축(현장안)"/>
      <sheetName val="일위_파일"/>
      <sheetName val="현장경비"/>
      <sheetName val="공문"/>
      <sheetName val="수입"/>
      <sheetName val="하치장수불부"/>
      <sheetName val="외주"/>
      <sheetName val="코드표"/>
      <sheetName val="STAND98"/>
      <sheetName val="STAND20"/>
      <sheetName val="10월실적마감"/>
      <sheetName val="7월실적마감"/>
      <sheetName val="8월실적마감"/>
      <sheetName val="9월실적마감"/>
      <sheetName val="증감대비"/>
      <sheetName val="인건비"/>
      <sheetName val="금융비용"/>
      <sheetName val="물가시세표"/>
      <sheetName val="A조"/>
      <sheetName val="A갑지"/>
      <sheetName val="개인DATA"/>
      <sheetName val="파일의이용"/>
      <sheetName val="기준단가"/>
      <sheetName val="을"/>
      <sheetName val="wall"/>
      <sheetName val="단가산출"/>
      <sheetName val="산출근거"/>
      <sheetName val="소화실적"/>
      <sheetName val="내역서(당초변경)"/>
      <sheetName val="공량산출서"/>
      <sheetName val="공급&amp;미분양"/>
      <sheetName val="청산공사"/>
      <sheetName val="계수시트"/>
      <sheetName val="부속동"/>
      <sheetName val="개요"/>
      <sheetName val="날개벽수량표"/>
      <sheetName val="TOWER 12TON"/>
      <sheetName val="TOWER 10TON"/>
      <sheetName val="소요자재"/>
      <sheetName val="정보"/>
      <sheetName val="부산제일극장"/>
      <sheetName val="수정시산표"/>
      <sheetName val="산출내역서집계표"/>
      <sheetName val="국내조달(통합-1)"/>
      <sheetName val="15 문제점"/>
      <sheetName val="POL6차-PIPING"/>
      <sheetName val="물량"/>
      <sheetName val="WEIGHT LIST"/>
      <sheetName val="산#2-1 (2)"/>
      <sheetName val="산#3-1"/>
      <sheetName val="견적대비표"/>
      <sheetName val="관리,공감"/>
      <sheetName val="대여현황"/>
      <sheetName val="계수원본(99.2.28)"/>
      <sheetName val="내역서-수정본"/>
      <sheetName val="삼보지질"/>
      <sheetName val="공사비산출내역"/>
      <sheetName val="구의33고"/>
      <sheetName val="수지표"/>
      <sheetName val="020114"/>
      <sheetName val="0111월"/>
      <sheetName val="공동"/>
      <sheetName val="MAIN"/>
      <sheetName val="npv"/>
      <sheetName val="보고"/>
      <sheetName val="7.자동제어공사"/>
      <sheetName val="7수지"/>
      <sheetName val="04.01"/>
      <sheetName val="노임"/>
      <sheetName val="관급자재"/>
      <sheetName val="형틀공사"/>
      <sheetName val="1,2,3,4,5단위수량"/>
      <sheetName val="봉천제출"/>
      <sheetName val="B1(반포1차)"/>
      <sheetName val="견적"/>
      <sheetName val="6맨홀H"/>
      <sheetName val="시행대비_(2)"/>
      <sheetName val="7__현장관리비_"/>
      <sheetName val="6__안전관리비"/>
      <sheetName val="내___역"/>
      <sheetName val="P_M_별"/>
      <sheetName val="Sheet1_(2)"/>
      <sheetName val="단면_(2)"/>
      <sheetName val="WEIGHT_LIST"/>
      <sheetName val="산#2-1_(2)"/>
      <sheetName val="2_대외공문"/>
      <sheetName val="TOWER_12TON"/>
      <sheetName val="TOWER_10TON"/>
      <sheetName val="원가계산_(2)"/>
      <sheetName val="Sheet2_(2)"/>
      <sheetName val="2_냉난방설비공사"/>
      <sheetName val="FRP_PIPING_일위대가"/>
      <sheetName val="2_1__노무비_평균단가산출"/>
      <sheetName val="계수원본(99_2_28)"/>
      <sheetName val="7_자동제어공사"/>
      <sheetName val="04_01"/>
      <sheetName val="15_문제점"/>
      <sheetName val="입찰"/>
      <sheetName val="현경"/>
      <sheetName val="업무분장"/>
      <sheetName val="금액,품셈"/>
      <sheetName val="비교1"/>
      <sheetName val="DATA1"/>
      <sheetName val="사업비총괄표"/>
      <sheetName val="익산"/>
      <sheetName val="투찰"/>
      <sheetName val="결과조달"/>
      <sheetName val="중기 부표"/>
      <sheetName val="대비표"/>
      <sheetName val="공사비 내역 (가)"/>
      <sheetName val="계약동호배치도"/>
      <sheetName val="항목(1)"/>
      <sheetName val="BOOK4"/>
      <sheetName val="전문품의"/>
      <sheetName val="토목"/>
      <sheetName val="지급자재"/>
      <sheetName val="STEEL BOX 단면설계(SEC.8)"/>
      <sheetName val="표지"/>
      <sheetName val="간접"/>
      <sheetName val="가로등내역서"/>
      <sheetName val="공정"/>
      <sheetName val="현장"/>
      <sheetName val="단위수량"/>
      <sheetName val="캔개발배경"/>
      <sheetName val="시장"/>
      <sheetName val="일정표"/>
      <sheetName val="시장성초안camera"/>
      <sheetName val="70%"/>
      <sheetName val="공사비집계"/>
      <sheetName val="물량표"/>
      <sheetName val="환경기계공정표 (3)"/>
      <sheetName val="수리결과"/>
      <sheetName val="본공사"/>
      <sheetName val="단독"/>
      <sheetName val="설계명세"/>
      <sheetName val="설계"/>
      <sheetName val="변경서식"/>
      <sheetName val="은행"/>
      <sheetName val="을-ATYPE"/>
      <sheetName val="평형공사비"/>
      <sheetName val="단가"/>
      <sheetName val="수수료율표"/>
      <sheetName val="호실data"/>
      <sheetName val="수량집계"/>
      <sheetName val="명세서"/>
      <sheetName val="운영비산정가정"/>
      <sheetName val="가설개략"/>
      <sheetName val="인사자료총집계"/>
      <sheetName val="목록"/>
      <sheetName val="추가예산"/>
      <sheetName val="7.수지"/>
      <sheetName val="misc"/>
      <sheetName val="견적내역"/>
      <sheetName val="건축2"/>
      <sheetName val="국내"/>
      <sheetName val="금융"/>
      <sheetName val="간접비"/>
      <sheetName val="UG COM-8"/>
      <sheetName val="UG COM-11"/>
      <sheetName val="UG COM-7"/>
      <sheetName val="UG COM-6"/>
      <sheetName val="UG COM-5"/>
      <sheetName val="UG COM-4"/>
      <sheetName val="UG COM-3"/>
      <sheetName val="UG COM-2"/>
      <sheetName val="UG COM-1"/>
      <sheetName val="UG COM-12"/>
      <sheetName val="총물량"/>
      <sheetName val="1월"/>
      <sheetName val="9GNG운반"/>
      <sheetName val="기초일위"/>
      <sheetName val="연돌일위집계"/>
      <sheetName val="공통가설공사"/>
      <sheetName val="판가반영"/>
      <sheetName val="토사(PE)"/>
      <sheetName val="가시설"/>
      <sheetName val="품셈"/>
      <sheetName val="부대"/>
      <sheetName val="부안일위"/>
      <sheetName val="도기류"/>
      <sheetName val="품셈TABLE"/>
      <sheetName val="0000"/>
      <sheetName val="상제품매출(원가)1~10월"/>
      <sheetName val="예약현황"/>
      <sheetName val="소개"/>
      <sheetName val="투자비"/>
      <sheetName val="각사별공사비분개 "/>
      <sheetName val="건축공사실행"/>
      <sheetName val="건축원가"/>
      <sheetName val="자재(원원+원대)"/>
      <sheetName val="가격조사서"/>
      <sheetName val="웅진교-S2"/>
      <sheetName val="형틀"/>
      <sheetName val="망미동"/>
      <sheetName val="하부철근수량"/>
      <sheetName val="골조공사"/>
      <sheetName val="인건비 "/>
      <sheetName val="철콘공사"/>
      <sheetName val="파이프류"/>
      <sheetName val="Mc1"/>
      <sheetName val="6PILE__(돌출)"/>
      <sheetName val="변압기_및_발전기_용량"/>
      <sheetName val="토공(우물통,기타)_"/>
      <sheetName val="단가_(2)"/>
      <sheetName val="8.PILE  (돌출)"/>
      <sheetName val="소총괄표1"/>
      <sheetName val="견"/>
      <sheetName val="중기비"/>
      <sheetName val="J直材4"/>
      <sheetName val="Open"/>
      <sheetName val="预算"/>
      <sheetName val="산근"/>
      <sheetName val="ELECTRIC"/>
      <sheetName val="당진1,2호기전선관설치및접지4차공사내역서-을지"/>
      <sheetName val="납부서"/>
      <sheetName val="1.취수장"/>
      <sheetName val="부대내역"/>
      <sheetName val="20관리비율"/>
      <sheetName val="수지예산"/>
      <sheetName val="총괄내역서"/>
      <sheetName val="산#3-2"/>
      <sheetName val="산#3-2-2"/>
      <sheetName val="회사정보"/>
      <sheetName val="일위대가(가설)"/>
      <sheetName val="1차설계변경내역"/>
      <sheetName val="갑지1"/>
      <sheetName val="실행"/>
      <sheetName val="구조부재산출서"/>
      <sheetName val="금광1터널"/>
      <sheetName val="장기미처리(업체)"/>
      <sheetName val="장기미처리(센터)"/>
      <sheetName val="총내역"/>
      <sheetName val="분류표"/>
      <sheetName val="MEED"/>
      <sheetName val="공비대비"/>
      <sheetName val="공사진행"/>
      <sheetName val="부하계산"/>
      <sheetName val="MACRO(전선관)"/>
      <sheetName val="EUPDAT2"/>
      <sheetName val="공사내역"/>
      <sheetName val="시설물일위"/>
      <sheetName val="마스터원본"/>
      <sheetName val="피벗테이블데이터분석"/>
      <sheetName val="평균높이산출근거"/>
      <sheetName val="횡배수관위치조서"/>
      <sheetName val="기본사항"/>
      <sheetName val="1.기성청구공문양식"/>
      <sheetName val="2.기성청구갑지"/>
      <sheetName val="경비원 "/>
      <sheetName val="실행간접비"/>
      <sheetName val="입력부분"/>
      <sheetName val="색인구역"/>
      <sheetName val="수공기"/>
      <sheetName val="중기"/>
      <sheetName val="건설노임"/>
      <sheetName val="데리네이타현황"/>
      <sheetName val="안양1공구_건축"/>
      <sheetName val="입찰내역서"/>
      <sheetName val="단위단가"/>
      <sheetName val="잡비산출"/>
      <sheetName val="원가계산서"/>
      <sheetName val="A-1"/>
      <sheetName val="현장관리비데이타"/>
      <sheetName val="환산"/>
      <sheetName val="입적표"/>
      <sheetName val="수량산출서 갑지"/>
      <sheetName val="4-1. 매출원가 손익계획 집계표"/>
      <sheetName val="4.2유효폭의 계산"/>
      <sheetName val="시행대비_(2)1"/>
      <sheetName val="7__현장관리비_1"/>
      <sheetName val="6__안전관리비1"/>
      <sheetName val="내___역1"/>
      <sheetName val="P_M_별1"/>
      <sheetName val="Sheet1_(2)1"/>
      <sheetName val="단면_(2)1"/>
      <sheetName val="2_대외공문1"/>
      <sheetName val="TOWER_12TON1"/>
      <sheetName val="TOWER_10TON1"/>
      <sheetName val="원가계산_(2)1"/>
      <sheetName val="Sheet2_(2)1"/>
      <sheetName val="2_냉난방설비공사1"/>
      <sheetName val="FRP_PIPING_일위대가1"/>
      <sheetName val="2_1__노무비_평균단가산출1"/>
      <sheetName val="15_문제점1"/>
      <sheetName val="WEIGHT_LIST1"/>
      <sheetName val="산#2-1_(2)1"/>
      <sheetName val="계수원본(99_2_28)1"/>
      <sheetName val="7_자동제어공사1"/>
      <sheetName val="04_011"/>
      <sheetName val="중기_부표"/>
      <sheetName val="7_수지"/>
      <sheetName val="UG_COM-8"/>
      <sheetName val="UG_COM-11"/>
      <sheetName val="UG_COM-7"/>
      <sheetName val="UG_COM-6"/>
      <sheetName val="UG_COM-5"/>
      <sheetName val="UG_COM-4"/>
      <sheetName val="UG_COM-3"/>
      <sheetName val="UG_COM-2"/>
      <sheetName val="UG_COM-1"/>
      <sheetName val="UG_COM-12"/>
      <sheetName val="TRE_TABLE"/>
      <sheetName val="자__재"/>
      <sheetName val="1차_내역서"/>
      <sheetName val="3_건축(현장안)"/>
      <sheetName val="BEND_LOSS"/>
      <sheetName val="각사별공사비분개_"/>
      <sheetName val="공사비_내역_(가)"/>
      <sheetName val="인원자료"/>
      <sheetName val="정산내역"/>
      <sheetName val="1062-X방향 "/>
      <sheetName val="사통"/>
      <sheetName val="XXXXXXXX"/>
      <sheetName val="총괄갑 "/>
      <sheetName val="첨부#2.Cash Flow(현장작성)"/>
      <sheetName val="SG"/>
      <sheetName val="총괄"/>
      <sheetName val="부관수량집계"/>
      <sheetName val="유효폭의 계산"/>
      <sheetName val="PAD TR보호대기초"/>
      <sheetName val="가로등기초"/>
      <sheetName val="HANDHOLE(2)"/>
      <sheetName val="구리토평1전기"/>
      <sheetName val="건축공사 집계표"/>
      <sheetName val="내역서form"/>
      <sheetName val="개소별수량산출"/>
      <sheetName val="별표 "/>
      <sheetName val="9811"/>
      <sheetName val="시설일위"/>
      <sheetName val="조명일위"/>
      <sheetName val="전체"/>
      <sheetName val="토목내역서 (도급단가)"/>
      <sheetName val="(실사조정)총괄"/>
      <sheetName val="도급원가"/>
      <sheetName val="부대tu"/>
      <sheetName val="기호"/>
      <sheetName val="본사공가현황"/>
      <sheetName val="공조기"/>
      <sheetName val="96노임기준"/>
      <sheetName val="요약&amp;결과"/>
      <sheetName val="입주현황"/>
      <sheetName val="Income Statement"/>
      <sheetName val="준검 내역서"/>
      <sheetName val="97 사업추정(WEKI)"/>
      <sheetName val="동호수배치도"/>
      <sheetName val="보유과세"/>
      <sheetName val="아파트"/>
      <sheetName val="R&amp;D"/>
      <sheetName val="전기변내역"/>
      <sheetName val="정렬"/>
      <sheetName val="스포회원매출"/>
      <sheetName val="단중표"/>
      <sheetName val="재집"/>
      <sheetName val="직재"/>
      <sheetName val="업무계획1"/>
      <sheetName val="작업금지"/>
      <sheetName val="신심사"/>
      <sheetName val="본지사합"/>
      <sheetName val="RCF CLAIMED"/>
      <sheetName val="단면가정"/>
      <sheetName val="덕전리"/>
      <sheetName val="마산방향"/>
      <sheetName val="내역표지"/>
      <sheetName val="BID"/>
      <sheetName val="SCHEDULE"/>
      <sheetName val="3.공통공사대비"/>
      <sheetName val="수량산출"/>
      <sheetName val="일위대가서식"/>
      <sheetName val="기준"/>
      <sheetName val="GAEYO"/>
      <sheetName val="DHEQSUPT"/>
      <sheetName val="Eq. Mobilization"/>
      <sheetName val="BSD (2)"/>
      <sheetName val="전선 및 전선관"/>
      <sheetName val="남평내역"/>
      <sheetName val="Data Pembukaan_1.1"/>
      <sheetName val="형틀물량집계표"/>
      <sheetName val="h-013211-2"/>
      <sheetName val="3.장비(안)"/>
      <sheetName val="기초"/>
      <sheetName val="10월"/>
      <sheetName val="현장별계약현황('98.10.31)"/>
      <sheetName val="설비원가"/>
      <sheetName val="입력시트"/>
      <sheetName val="매립"/>
      <sheetName val="Rate"/>
      <sheetName val="Hardware"/>
      <sheetName val="간지"/>
      <sheetName val="datasheet"/>
      <sheetName val="내역서(기계)"/>
      <sheetName val="ENE-CAL"/>
      <sheetName val="0226"/>
      <sheetName val="대가단최종"/>
      <sheetName val="삭제금지단가"/>
      <sheetName val="첨부1-1"/>
      <sheetName val="예총"/>
      <sheetName val="const."/>
      <sheetName val="전체항목"/>
      <sheetName val="간접비 총괄표"/>
      <sheetName val="수목데이타 "/>
      <sheetName val="남양주부대"/>
      <sheetName val="본실행경비"/>
      <sheetName val="별표_"/>
      <sheetName val="일위대가 집계표"/>
      <sheetName val="공사원가계산서"/>
      <sheetName val="용산1(해보)"/>
      <sheetName val="기계경비(시간당)"/>
      <sheetName val="램머"/>
      <sheetName val="실행(ALT1)"/>
      <sheetName val="남대문빌딩"/>
      <sheetName val="저"/>
      <sheetName val="정산서 "/>
      <sheetName val="자동차폐수처리장"/>
      <sheetName val="STAFFSCHED "/>
      <sheetName val="유림콘도"/>
      <sheetName val="백호우계수"/>
      <sheetName val="EE-PROP"/>
      <sheetName val="1.설계조건"/>
      <sheetName val="MOTOR"/>
      <sheetName val="대운산출"/>
      <sheetName val="배수내역 (2)"/>
      <sheetName val="C.배수관공"/>
      <sheetName val="XL4Poppy"/>
      <sheetName val="표지 (2)"/>
      <sheetName val="전기"/>
      <sheetName val="#2_일위대가목록"/>
      <sheetName val="간접비계산"/>
      <sheetName val="I一般比"/>
      <sheetName val="환경관리"/>
      <sheetName val="공통가설"/>
      <sheetName val="첨"/>
      <sheetName val="적심사표"/>
      <sheetName val="실행원가내역"/>
      <sheetName val="TIE-IN"/>
      <sheetName val="96정변2"/>
      <sheetName val="오산갈곳"/>
      <sheetName val="#검토내역(상세)"/>
      <sheetName val="화전내"/>
      <sheetName val="계정과목 등"/>
      <sheetName val="시멘트"/>
      <sheetName val="건축-물가변동"/>
      <sheetName val="NP-총정리"/>
      <sheetName val="5사남"/>
      <sheetName val="수정계획3"/>
      <sheetName val="수로단위수량"/>
      <sheetName val="IW-LIST"/>
      <sheetName val="교대시점"/>
      <sheetName val="도근좌표"/>
      <sheetName val="시점교대"/>
      <sheetName val="새공통(96임금인상기준)"/>
      <sheetName val="FAB별"/>
      <sheetName val="CONCRETE"/>
      <sheetName val="음료실행"/>
      <sheetName val="신청서"/>
      <sheetName val="일용노임단가"/>
      <sheetName val="NOTE"/>
      <sheetName val="설비단가표"/>
      <sheetName val="기본일위"/>
      <sheetName val="B"/>
      <sheetName val="tggwan(mac)"/>
      <sheetName val="수량산_x0000_"/>
      <sheetName val="gyun"/>
      <sheetName val="Cash2"/>
      <sheetName val="Z"/>
      <sheetName val="1-11조직표"/>
      <sheetName val="1N"/>
      <sheetName val="시행대비_(2)2"/>
      <sheetName val="7__현장관리비_2"/>
      <sheetName val="6__안전관리비2"/>
      <sheetName val="내___역2"/>
      <sheetName val="P_M_별2"/>
      <sheetName val="Sheet1_(2)2"/>
      <sheetName val="단면_(2)2"/>
      <sheetName val="WEIGHT_LIST2"/>
      <sheetName val="산#2-1_(2)2"/>
      <sheetName val="계수원본(99_2_28)2"/>
      <sheetName val="2_냉난방설비공사2"/>
      <sheetName val="7_자동제어공사2"/>
      <sheetName val="04_012"/>
      <sheetName val="2_대외공문2"/>
      <sheetName val="TOWER_12TON2"/>
      <sheetName val="TOWER_10TON2"/>
      <sheetName val="원가계산_(2)2"/>
      <sheetName val="Sheet2_(2)2"/>
      <sheetName val="FRP_PIPING_일위대가2"/>
      <sheetName val="2_1__노무비_평균단가산출2"/>
      <sheetName val="15_문제점2"/>
      <sheetName val="6PILE__(돌출)1"/>
      <sheetName val="토공(우물통,기타)_1"/>
      <sheetName val="단가_(2)1"/>
      <sheetName val="변압기_및_발전기_용량1"/>
      <sheetName val="중기_부표1"/>
      <sheetName val="7_수지1"/>
      <sheetName val="UG_COM-81"/>
      <sheetName val="UG_COM-111"/>
      <sheetName val="UG_COM-71"/>
      <sheetName val="UG_COM-61"/>
      <sheetName val="UG_COM-51"/>
      <sheetName val="UG_COM-41"/>
      <sheetName val="UG_COM-31"/>
      <sheetName val="UG_COM-21"/>
      <sheetName val="UG_COM-13"/>
      <sheetName val="UG_COM-121"/>
      <sheetName val="TRE_TABLE1"/>
      <sheetName val="자__재1"/>
      <sheetName val="1차_내역서1"/>
      <sheetName val="3_건축(현장안)1"/>
      <sheetName val="BEND_LOSS1"/>
      <sheetName val="각사별공사비분개_1"/>
      <sheetName val="공사비_내역_(가)1"/>
      <sheetName val="1_기성청구공문양식"/>
      <sheetName val="2_기성청구갑지"/>
      <sheetName val="경비원_"/>
      <sheetName val="수량산출서_갑지"/>
      <sheetName val="4-1__매출원가_손익계획_집계표"/>
      <sheetName val="4_2유효폭의_계산"/>
      <sheetName val="첨부#2_Cash_Flow(현장작성)"/>
      <sheetName val="표지_(2)"/>
      <sheetName val="총괄갑_"/>
      <sheetName val="1_설계조건"/>
      <sheetName val="유효폭의_계산"/>
      <sheetName val="PAD_TR보호대기초"/>
      <sheetName val="C_배수관공"/>
      <sheetName val="배수내역_(2)"/>
      <sheetName val="1062-X방향_"/>
      <sheetName val="실수량산출"/>
      <sheetName val="원형1호맨홀토공수량"/>
      <sheetName val="98NS-N"/>
      <sheetName val="가설공사비"/>
      <sheetName val="단위중량"/>
      <sheetName val="BOJUNGGM"/>
      <sheetName val="0"/>
      <sheetName val="L_RPTB10_01"/>
      <sheetName val="이자율"/>
      <sheetName val="95TOTREV"/>
      <sheetName val="CAL1"/>
      <sheetName val="분전함신설"/>
      <sheetName val="접지1종"/>
      <sheetName val="유첨3.적용기준"/>
      <sheetName val="A"/>
      <sheetName val="횡배수관"/>
      <sheetName val="남Ò_x0000_✀"/>
      <sheetName val="6.방수공사"/>
      <sheetName val="0.메모"/>
      <sheetName val="선수금"/>
      <sheetName val="S0"/>
      <sheetName val="40총괄"/>
      <sheetName val="40집계"/>
      <sheetName val="GM &amp; TA"/>
      <sheetName val="G29A"/>
      <sheetName val="Consolidated"/>
      <sheetName val="age analysis"/>
      <sheetName val="STEEL_BOX_단면설계(SEC_8)"/>
      <sheetName val="기안"/>
      <sheetName val="기계경비일람"/>
      <sheetName val="배수통관(좌)"/>
      <sheetName val="장비명"/>
      <sheetName val="F4-F7"/>
      <sheetName val="Data Sheet"/>
      <sheetName val="목표세부명세"/>
      <sheetName val="공사투입계획(변경결의)19.9"/>
      <sheetName val="노무비 월별지급현황19.9"/>
      <sheetName val="갑지(외주기성)19.9"/>
      <sheetName val="전기설계변경"/>
      <sheetName val="계정과목_등"/>
      <sheetName val="CALCULATION"/>
      <sheetName val="배명(단가)"/>
      <sheetName val="Com. - 첨부 #4 현장관리비"/>
      <sheetName val="서식지정"/>
      <sheetName val="99입장목표"/>
      <sheetName val="부서별공수"/>
      <sheetName val="ld-극동"/>
      <sheetName val="투입공수"/>
      <sheetName val="생산"/>
      <sheetName val="자재재고"/>
      <sheetName val="재공재고"/>
      <sheetName val="품질현황-보류"/>
      <sheetName val="품의플로"/>
      <sheetName val="물량산출근거"/>
      <sheetName val="기초별표"/>
      <sheetName val="石炭性状"/>
      <sheetName val="보할공정"/>
      <sheetName val="단가동향_건축"/>
      <sheetName val="제경비율"/>
      <sheetName val="수량산Ö"/>
      <sheetName val="시행대비_(2)3"/>
      <sheetName val="7__현장관리비_3"/>
      <sheetName val="6__안전관리비3"/>
      <sheetName val="내___역3"/>
      <sheetName val="P_M_별3"/>
      <sheetName val="Sheet1_(2)3"/>
      <sheetName val="단면_(2)3"/>
      <sheetName val="계수원본(99_2_28)3"/>
      <sheetName val="WEIGHT_LIST3"/>
      <sheetName val="산#2-1_(2)3"/>
      <sheetName val="2_냉난방설비공사3"/>
      <sheetName val="7_자동제어공사3"/>
      <sheetName val="04_013"/>
      <sheetName val="2_대외공문3"/>
      <sheetName val="TOWER_12TON3"/>
      <sheetName val="TOWER_10TON3"/>
      <sheetName val="원가계산_(2)3"/>
      <sheetName val="Sheet2_(2)3"/>
      <sheetName val="FRP_PIPING_일위대가3"/>
      <sheetName val="2_1__노무비_평균단가산출3"/>
      <sheetName val="15_문제점3"/>
      <sheetName val="7_수지2"/>
      <sheetName val="UG_COM-82"/>
      <sheetName val="UG_COM-112"/>
      <sheetName val="UG_COM-72"/>
      <sheetName val="UG_COM-62"/>
      <sheetName val="UG_COM-52"/>
      <sheetName val="UG_COM-42"/>
      <sheetName val="UG_COM-32"/>
      <sheetName val="UG_COM-22"/>
      <sheetName val="UG_COM-14"/>
      <sheetName val="UG_COM-122"/>
      <sheetName val="6PILE__(돌출)2"/>
      <sheetName val="토공(우물통,기타)_2"/>
      <sheetName val="단가_(2)2"/>
      <sheetName val="변압기_및_발전기_용량2"/>
      <sheetName val="중기_부표2"/>
      <sheetName val="각사별공사비분개_2"/>
      <sheetName val="TRE_TABLE2"/>
      <sheetName val="자__재2"/>
      <sheetName val="1차_내역서2"/>
      <sheetName val="3_건축(현장안)2"/>
      <sheetName val="BEND_LOSS2"/>
      <sheetName val="공사비_내역_(가)2"/>
      <sheetName val="1_기성청구공문양식1"/>
      <sheetName val="2_기성청구갑지1"/>
      <sheetName val="경비원_1"/>
      <sheetName val="첨부#2_Cash_Flow(현장작성)1"/>
      <sheetName val="수량산출서_갑지1"/>
      <sheetName val="4-1__매출원가_손익계획_집계표1"/>
      <sheetName val="4_2유효폭의_계산1"/>
      <sheetName val="총괄갑_1"/>
      <sheetName val="1_설계조건1"/>
      <sheetName val="PAD_TR보호대기초1"/>
      <sheetName val="C_배수관공1"/>
      <sheetName val="유효폭의_계산1"/>
      <sheetName val="배수내역_(2)1"/>
      <sheetName val="1062-X방향_1"/>
      <sheetName val="표지_(2)1"/>
      <sheetName val="Com__-_첨부_#4_현장관리비"/>
      <sheetName val="식재일위"/>
      <sheetName val="관리비현황"/>
      <sheetName val="일위"/>
      <sheetName val=" FURNACE현설"/>
      <sheetName val="실행(표지,갑,을)"/>
      <sheetName val="입찰내역 발주처 양식"/>
      <sheetName val="단면치수"/>
      <sheetName val="업무처리전"/>
      <sheetName val="woo(mac)"/>
      <sheetName val="EQUIP"/>
      <sheetName val="Cashflow Analysis"/>
      <sheetName val="RESOURCE"/>
      <sheetName val="마감LIST-1"/>
      <sheetName val="충주"/>
      <sheetName val="건축개요"/>
      <sheetName val="빗물받이(910-510-410)"/>
      <sheetName val="진행 DATA (2)"/>
      <sheetName val="형틀물량집계(부재별)"/>
      <sheetName val="형틀물량집계(내역별)"/>
      <sheetName val="별제권_정리담보권"/>
      <sheetName val="95년기준조정"/>
      <sheetName val="1.설계기준"/>
      <sheetName val="예상"/>
      <sheetName val="동원인원"/>
      <sheetName val="손실 노무비 단가 산출 근거"/>
      <sheetName val="장기차입금"/>
      <sheetName val="11.닥트설치공사(bm)"/>
      <sheetName val="입력"/>
      <sheetName val="b_balju_cho"/>
      <sheetName val="노임DB"/>
      <sheetName val="총괄표"/>
      <sheetName val=" 갑  지 "/>
      <sheetName val="공정표"/>
      <sheetName val="▷▷증빙서류"/>
      <sheetName val="경영상태"/>
      <sheetName val="환경기계공정표_(3)"/>
      <sheetName val="인건비_"/>
      <sheetName val="8_PILE__(돌출)"/>
      <sheetName val="전선_및_전선관"/>
      <sheetName val="1_취수장"/>
      <sheetName val="건축공사_집계표"/>
      <sheetName val="Eq__Mobilization"/>
      <sheetName val="3_공통공사대비"/>
      <sheetName val="BSD_(2)"/>
      <sheetName val="토목내역서_(도급단가)"/>
      <sheetName val="Income_Statement"/>
      <sheetName val="준검_내역서"/>
      <sheetName val="97_사업추정(WEKI)"/>
      <sheetName val="RCF_CLAIMED"/>
      <sheetName val="연부97-1"/>
      <sheetName val="목포방향"/>
      <sheetName val="산출서_견출(외벽)"/>
      <sheetName val="99년하반기"/>
      <sheetName val="2-1Are別総括表"/>
      <sheetName val="初期値設定"/>
      <sheetName val="纏め表"/>
      <sheetName val="諸経費"/>
      <sheetName val="清水計算営業税率関連"/>
      <sheetName val="전도금_(정산내역)"/>
      <sheetName val="담보평가"/>
      <sheetName val="電源計画"/>
      <sheetName val="시설장비"/>
      <sheetName val="참조"/>
      <sheetName val="원가계산"/>
      <sheetName val="ALL"/>
      <sheetName val="LIDE"/>
      <sheetName val="__Hdedms_Mepss____________1___2"/>
      <sheetName val="BLDG_DCI"/>
      <sheetName val="BLDG_MCI"/>
      <sheetName val="카메라"/>
      <sheetName val="지원시설 내역서(154kV)"/>
      <sheetName val="잡철물"/>
      <sheetName val="변경내역대비표(2)"/>
      <sheetName val="실행갑지"/>
      <sheetName val="노무비단가"/>
      <sheetName val="33628-Rev. A"/>
      <sheetName val="비율-종합"/>
      <sheetName val="본부별매출"/>
      <sheetName val="설계예시"/>
      <sheetName val="설계내역2"/>
      <sheetName val="토적표"/>
      <sheetName val="손익"/>
      <sheetName val="24분기"/>
      <sheetName val="수지(320%) (2)"/>
      <sheetName val="104동"/>
      <sheetName val="대목"/>
      <sheetName val="TEL"/>
      <sheetName val="본관내역서"/>
      <sheetName val="1. 작업일보"/>
      <sheetName val="30신설일위대가"/>
      <sheetName val="30집계표"/>
      <sheetName val="공사비증감"/>
      <sheetName val="우수공"/>
      <sheetName val="FB25JN"/>
      <sheetName val="발주설계서(당초)"/>
      <sheetName val="증감내역서"/>
      <sheetName val="견적의뢰"/>
      <sheetName val="TYPE-A"/>
      <sheetName val="견적을지"/>
      <sheetName val="상부공"/>
      <sheetName val="단가비교표"/>
      <sheetName val="소방내역서"/>
      <sheetName val="7단가"/>
      <sheetName val="중기가격"/>
      <sheetName val="분류"/>
      <sheetName val="중기조종사 단위단가"/>
      <sheetName val="admin"/>
      <sheetName val="건축내역서"/>
      <sheetName val="설비내역서"/>
      <sheetName val="전기내역서"/>
      <sheetName val="노부모부양당첨자"/>
      <sheetName val="동수"/>
      <sheetName val="단가 "/>
      <sheetName val="전계가"/>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sheetData sheetId="448"/>
      <sheetData sheetId="449"/>
      <sheetData sheetId="450"/>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sheetData sheetId="494"/>
      <sheetData sheetId="495"/>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sheetData sheetId="687"/>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sheetData sheetId="700" refreshError="1"/>
      <sheetData sheetId="701" refreshError="1"/>
      <sheetData sheetId="702" refreshError="1"/>
      <sheetData sheetId="703" refreshError="1"/>
      <sheetData sheetId="704" refreshError="1"/>
      <sheetData sheetId="705" refreshError="1"/>
      <sheetData sheetId="706" refreshError="1"/>
      <sheetData sheetId="707"/>
      <sheetData sheetId="708" refreshError="1"/>
      <sheetData sheetId="709" refreshError="1"/>
      <sheetData sheetId="710" refreshError="1"/>
      <sheetData sheetId="711" refreshError="1"/>
      <sheetData sheetId="712" refreshError="1"/>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sheetData sheetId="800" refreshError="1"/>
      <sheetData sheetId="801" refreshError="1"/>
      <sheetData sheetId="802" refreshError="1"/>
      <sheetData sheetId="803" refreshError="1"/>
      <sheetData sheetId="804" refreshError="1"/>
      <sheetData sheetId="805" refreshError="1"/>
      <sheetData sheetId="806" refreshError="1"/>
      <sheetData sheetId="807"/>
      <sheetData sheetId="808"/>
      <sheetData sheetId="809"/>
      <sheetData sheetId="810" refreshError="1"/>
      <sheetData sheetId="81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sheetData sheetId="982"/>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95삼성급(총괄)"/>
      <sheetName val="95삼성급(본사)"/>
      <sheetName val="95삼성급_본사_"/>
      <sheetName val="삼성초임"/>
      <sheetName val="B"/>
      <sheetName val="수입"/>
      <sheetName val="XL4Poppy"/>
      <sheetName val="eq_data"/>
      <sheetName val="B31.1"/>
      <sheetName val="PSIZE"/>
      <sheetName val="집계표"/>
      <sheetName val="영업소실적"/>
      <sheetName val="주관사업"/>
      <sheetName val="개시대사 (2)"/>
      <sheetName val="현대본사"/>
      <sheetName val="상반기손익차2총괄"/>
      <sheetName val="AILC004"/>
      <sheetName val="회사99"/>
      <sheetName val="RENUN"/>
      <sheetName val="손익차9월2"/>
      <sheetName val="시산"/>
      <sheetName val="97 사업추정(WEKI)"/>
      <sheetName val="표지"/>
      <sheetName val="총괄표"/>
      <sheetName val="7.6.3(B) UG Piping"/>
      <sheetName val="정부노임단가"/>
      <sheetName val="DRUM"/>
      <sheetName val="B31_1"/>
      <sheetName val="개시대사_(2)"/>
      <sheetName val="PBS"/>
      <sheetName val="PumpSpec"/>
      <sheetName val="Exchange Rate"/>
      <sheetName val="Ocean Transporation Charge"/>
      <sheetName val="Inland Transportation Charge"/>
      <sheetName val="MixBed"/>
      <sheetName val="CondPol"/>
      <sheetName val="집계표(OPTION)"/>
      <sheetName val="간선계산"/>
      <sheetName val="IndectCostBreakdown"/>
      <sheetName val="9-1차이내역"/>
      <sheetName val="Summary Sheets"/>
      <sheetName val="jobhist"/>
      <sheetName val="97"/>
      <sheetName val="LOAD 5 Wind "/>
      <sheetName val="DATA"/>
      <sheetName val="대비표"/>
      <sheetName val="bldg list"/>
      <sheetName val="공문"/>
      <sheetName val="연돌일위집계"/>
      <sheetName val="삼성초임.XLS"/>
      <sheetName val="단면 (2)"/>
      <sheetName val="h-013211-2"/>
      <sheetName val="Z"/>
      <sheetName val="Cash2"/>
      <sheetName val="配線器具"/>
      <sheetName val="ERECT"/>
      <sheetName val="CIVIL"/>
      <sheetName val="PROSUM"/>
      <sheetName val="일위대가"/>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sheetData sheetId="56" refreshError="1"/>
      <sheetData sheetId="57" refreshError="1"/>
      <sheetData sheetId="58"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집계표"/>
      <sheetName val="개시대사 (2)"/>
      <sheetName val="고자T-B"/>
      <sheetName val="환차,JJ비용 반영"/>
      <sheetName val="공사집계"/>
      <sheetName val="정산표14"/>
      <sheetName val="Sheet2"/>
      <sheetName val="고자현황"/>
      <sheetName val="상각현황"/>
      <sheetName val="개시최"/>
      <sheetName val="개시대사"/>
      <sheetName val="정산최"/>
      <sheetName val="정산표實"/>
      <sheetName val="본지점중"/>
      <sheetName val="정산표"/>
      <sheetName val="fitting"/>
      <sheetName val="ABAD"/>
      <sheetName val="A1기성"/>
      <sheetName val="BGT"/>
      <sheetName val="CHAVOSH"/>
      <sheetName val="ZAR SAZ"/>
      <sheetName val="VLOOKUP"/>
      <sheetName val="cal-foamglass"/>
      <sheetName val="ARP2"/>
      <sheetName val="CHA REV"/>
      <sheetName val="FJK 0"/>
      <sheetName val="GAMMA 1"/>
      <sheetName val="#REF"/>
      <sheetName val="RENUN"/>
      <sheetName val="개시전표"/>
      <sheetName val="P.M 별"/>
      <sheetName val="Eq. Mobilization"/>
      <sheetName val="영업소실적"/>
      <sheetName val="RCF CLAIMED"/>
      <sheetName val="CAT_5"/>
      <sheetName val="도급양식"/>
      <sheetName val="배수내역 (2)"/>
      <sheetName val="95삼성급(본사)"/>
      <sheetName val="VC2 8.98"/>
      <sheetName val="DATA"/>
      <sheetName val="97 사업추정(WEKI)"/>
      <sheetName val="가설공사 내역"/>
      <sheetName val="개시대사_(2)"/>
      <sheetName val="환차,JJ비용_반영"/>
      <sheetName val="ZAR_SAZ"/>
      <sheetName val="CHA_REV"/>
      <sheetName val="FJK_0"/>
      <sheetName val="GAMMA_1"/>
      <sheetName val="P_M_별"/>
      <sheetName val="Eq__Mobilization"/>
      <sheetName val="RCF_CLAIMED"/>
      <sheetName val="배수내역_(2)"/>
      <sheetName val="VC2_8_98"/>
      <sheetName val="97_사업추정(WEKI)"/>
      <sheetName val="가설공사_내역"/>
      <sheetName val="B31_1"/>
      <sheetName val="BRICK"/>
      <sheetName val="DESCRIPTION"/>
      <sheetName val="사업계획"/>
      <sheetName val="간접비(1)"/>
      <sheetName val="HDECGTY"/>
      <sheetName val="평균환율-USD"/>
      <sheetName val="PLAN_FEB97"/>
      <sheetName val="PSIZE"/>
      <sheetName val="VC2_9_98"/>
      <sheetName val="97년_SEACO예산"/>
      <sheetName val="Sheet1"/>
      <sheetName val="간접비총괄_(2)"/>
      <sheetName val="진행원본"/>
      <sheetName val="납부내역"/>
      <sheetName val="청산추정"/>
      <sheetName val="할증 "/>
      <sheetName val="MC-1"/>
      <sheetName val="급여일반"/>
      <sheetName val="공문"/>
      <sheetName val="Tender"/>
      <sheetName val="년말집계"/>
      <sheetName val="ITB COST"/>
      <sheetName val="BQ"/>
      <sheetName val="항목(1)"/>
      <sheetName val="BOOK4"/>
      <sheetName val="수입"/>
      <sheetName val="상반기손익차2총괄"/>
      <sheetName val="가도공"/>
      <sheetName val="Insts"/>
      <sheetName val="할증_"/>
      <sheetName val="TTL"/>
      <sheetName val="data_dci"/>
      <sheetName val="data_mci"/>
      <sheetName val="behind"/>
      <sheetName val="Main"/>
      <sheetName val="h-013211-2"/>
      <sheetName val="공사비_NDE"/>
      <sheetName val="DATE"/>
      <sheetName val="REQDELTA"/>
      <sheetName val="VL"/>
      <sheetName val="공사내역"/>
      <sheetName val="Unit Rate"/>
      <sheetName val="6호기"/>
      <sheetName val="정971IQ"/>
      <sheetName val="eq_data"/>
      <sheetName val="Code"/>
      <sheetName val="Summary"/>
      <sheetName val="XL4Poppy"/>
      <sheetName val="PC-002"/>
      <sheetName val="정산표2"/>
      <sheetName val="合成単価作成表-BLDG"/>
      <sheetName val="دسترسی به کمالیه"/>
      <sheetName val="پل کرج"/>
      <sheetName val="پل شاه چای"/>
      <sheetName val="پل ورودی فرودگاه"/>
      <sheetName val="개시대사_(2)1"/>
      <sheetName val="환차,JJ비용_반영1"/>
      <sheetName val="ZAR_SAZ1"/>
      <sheetName val="CHA_REV1"/>
      <sheetName val="FJK_01"/>
      <sheetName val="GAMMA_11"/>
      <sheetName val="P_M_별1"/>
      <sheetName val="Eq__Mobilization1"/>
      <sheetName val="RCF_CLAIMED1"/>
      <sheetName val="배수내역_(2)1"/>
      <sheetName val="VC2_8_981"/>
      <sheetName val="97_사업추정(WEKI)1"/>
      <sheetName val="가설공사_내역1"/>
      <sheetName val="INSTR"/>
      <sheetName val="첨1.4"/>
      <sheetName val="첨1.5"/>
      <sheetName val="2."/>
      <sheetName val="첨1.3"/>
      <sheetName val="간접비"/>
      <sheetName val="요약"/>
      <sheetName val="운용계획"/>
      <sheetName val="2.1.1"/>
      <sheetName val="정부노임단가"/>
      <sheetName val="FitOutConfCentre"/>
      <sheetName val="B"/>
      <sheetName val="견적서"/>
      <sheetName val="Sheet4"/>
      <sheetName val="업체별기성내역"/>
      <sheetName val="세금자료"/>
      <sheetName val="개시대사_(2)2"/>
      <sheetName val="환차,JJ비용_반영2"/>
      <sheetName val="ZAR_SAZ2"/>
      <sheetName val="CHA_REV2"/>
      <sheetName val="FJK_02"/>
      <sheetName val="GAMMA_12"/>
      <sheetName val="97_사업추정(WEKI)2"/>
      <sheetName val="P_M_별2"/>
      <sheetName val="Eq__Mobilization2"/>
      <sheetName val="RCF_CLAIMED2"/>
      <sheetName val="배수내역_(2)2"/>
      <sheetName val="VC2_8_982"/>
      <sheetName val="가설공사_내역2"/>
      <sheetName val="할증_1"/>
      <sheetName val="ITB_COST"/>
      <sheetName val="Unit_Rate"/>
      <sheetName val="دسترسی_به_کمالیه"/>
      <sheetName val="پل_کرج"/>
      <sheetName val="پل_شاه_چای"/>
      <sheetName val="پل_ورودی_فرودگاه"/>
      <sheetName val="첨1_4"/>
      <sheetName val="첨1_5"/>
      <sheetName val="2_"/>
      <sheetName val="첨1_3"/>
      <sheetName val="2_1_1"/>
      <sheetName val="개시대사_(2)3"/>
      <sheetName val="환차,JJ비용_반영3"/>
      <sheetName val="ZAR_SAZ3"/>
      <sheetName val="CHA_REV3"/>
      <sheetName val="FJK_03"/>
      <sheetName val="GAMMA_13"/>
      <sheetName val="97_사업추정(WEKI)3"/>
      <sheetName val="P_M_별3"/>
      <sheetName val="Eq__Mobilization3"/>
      <sheetName val="RCF_CLAIMED3"/>
      <sheetName val="배수내역_(2)3"/>
      <sheetName val="VC2_8_983"/>
      <sheetName val="가설공사_내역3"/>
      <sheetName val="할증_2"/>
      <sheetName val="ITB_COST1"/>
      <sheetName val="Unit_Rate1"/>
      <sheetName val="دسترسی_به_کمالیه1"/>
      <sheetName val="پل_کرج1"/>
      <sheetName val="پل_شاه_چای1"/>
      <sheetName val="پل_ورودی_فرودگاه1"/>
      <sheetName val="첨1_41"/>
      <sheetName val="첨1_51"/>
      <sheetName val="2_1"/>
      <sheetName val="첨1_31"/>
      <sheetName val="2_1_11"/>
      <sheetName val="실행내역"/>
      <sheetName val="현장관리비"/>
      <sheetName val="안전장치"/>
      <sheetName val="간접비내역-1"/>
      <sheetName val="98수문일위"/>
      <sheetName val="BOJUNGGM"/>
      <sheetName val="노임이"/>
      <sheetName val="Schedule 2 and 3"/>
      <sheetName val="주관사업"/>
      <sheetName val="노임"/>
      <sheetName val="물량내역"/>
      <sheetName val="대비"/>
      <sheetName val="청천내"/>
      <sheetName val="동별내역-3월5일"/>
      <sheetName val="대비표"/>
      <sheetName val="사업부배부A"/>
      <sheetName val="120"/>
      <sheetName val="130"/>
      <sheetName val="100"/>
      <sheetName val="101"/>
      <sheetName val="102"/>
      <sheetName val="103"/>
      <sheetName val="106"/>
      <sheetName val="108"/>
      <sheetName val="109"/>
      <sheetName val="131"/>
      <sheetName val="110"/>
      <sheetName val="111"/>
      <sheetName val="114"/>
      <sheetName val="116"/>
      <sheetName val="132"/>
      <sheetName val="140"/>
      <sheetName val="141"/>
      <sheetName val="142"/>
      <sheetName val="143"/>
      <sheetName val="144"/>
      <sheetName val="145"/>
      <sheetName val="146"/>
      <sheetName val="121"/>
      <sheetName val="147"/>
      <sheetName val="148"/>
      <sheetName val="160"/>
      <sheetName val="164"/>
      <sheetName val="Flaer Area"/>
      <sheetName val="123"/>
      <sheetName val="124"/>
      <sheetName val="125"/>
      <sheetName val="126"/>
      <sheetName val="127"/>
      <sheetName val="128"/>
      <sheetName val="129"/>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sheetData sheetId="43"/>
      <sheetData sheetId="44"/>
      <sheetData sheetId="45"/>
      <sheetData sheetId="46"/>
      <sheetData sheetId="47"/>
      <sheetData sheetId="48"/>
      <sheetData sheetId="49"/>
      <sheetData sheetId="50"/>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외주현황.wq1"/>
      <sheetName val="이름정의"/>
      <sheetName val="#REF"/>
      <sheetName val="카메라"/>
      <sheetName val="B053 (990701)공정실적PP%계산"/>
      <sheetName val="재질단가"/>
      <sheetName val="수리결과"/>
      <sheetName val="p2-1"/>
      <sheetName val="초기입력(시산)"/>
      <sheetName val="외주현황"/>
      <sheetName val="2"/>
      <sheetName val="Headcount"/>
      <sheetName val="월별손익 (수정) (2)"/>
      <sheetName val="대외공문"/>
      <sheetName val="2.대외공문"/>
      <sheetName val="비용정리"/>
      <sheetName val="Feriados"/>
      <sheetName val="CAUDIT"/>
      <sheetName val="일일(2월,현대정유)"/>
      <sheetName val="CODE"/>
      <sheetName val="그래프 (2)"/>
      <sheetName val="유통조직현황"/>
      <sheetName val="표지"/>
      <sheetName val="종합표"/>
      <sheetName val="외주현황_wq1"/>
      <sheetName val="2_대외공문"/>
      <sheetName val="B053_(990701)공정실적PP%계산"/>
      <sheetName val="임율"/>
      <sheetName val="BACKDATA"/>
      <sheetName val="GK_XDBASE"/>
      <sheetName val="제품마스타"/>
      <sheetName val="하자DB"/>
      <sheetName val="PS일계획"/>
      <sheetName val="X-3 ENG"/>
      <sheetName val="계산DATA입력"/>
      <sheetName val="계산정보"/>
      <sheetName val="상세 계산 내역"/>
      <sheetName val="1월"/>
      <sheetName val="PILOT품"/>
      <sheetName val="M96현황-동아"/>
      <sheetName val="유효성"/>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ssum"/>
      <sheetName val="Index"/>
      <sheetName val="Form 1"/>
      <sheetName val="Form 2"/>
      <sheetName val="Form 3"/>
      <sheetName val="Form 4"/>
      <sheetName val="Form 5"/>
      <sheetName val="Form 6"/>
      <sheetName val="Form 7"/>
      <sheetName val="Form 8"/>
      <sheetName val="Form 9"/>
      <sheetName val="Form 10"/>
      <sheetName val="Form 11"/>
      <sheetName val="S0 Key dates"/>
      <sheetName val="S1BOQ"/>
      <sheetName val="S2groupcode"/>
      <sheetName val="S3workplanqty"/>
      <sheetName val="S3workplanamt"/>
      <sheetName val="S4timecycle"/>
      <sheetName val="S5escalation"/>
      <sheetName val="S6MATqty-code"/>
      <sheetName val="S7MATqty-grp"/>
      <sheetName val="S8MATexp-code"/>
      <sheetName val="S9wastage"/>
      <sheetName val="S10bomat"/>
      <sheetName val="S11AEQPnorm"/>
      <sheetName val="S11BEQPnorm"/>
      <sheetName val="S12EQPhrs"/>
      <sheetName val="S13cons"/>
      <sheetName val="S14spares"/>
      <sheetName val="S15POL"/>
      <sheetName val="S16Elec"/>
      <sheetName val="S17power"/>
      <sheetName val="S18EQPplan"/>
      <sheetName val="S19cap"/>
      <sheetName val="S20MSE Items"/>
      <sheetName val="S21Subcon"/>
      <sheetName val="S22PRW"/>
      <sheetName val="Officer Budget Form"/>
      <sheetName val="S23ManNos"/>
      <sheetName val="S24Mancost"/>
      <sheetName val="S25EQPrep"/>
      <sheetName val="S26EQPhire"/>
      <sheetName val="S27EQPlease"/>
      <sheetName val="S28Rev"/>
      <sheetName val="S29Prelitem"/>
      <sheetName val="PrelimCalcu"/>
      <sheetName val="S30Prelplant"/>
      <sheetName val="S31Prelitemdet"/>
      <sheetName val="S32Prelexp"/>
      <sheetName val="S33Prelexpdet"/>
      <sheetName val="S34Dircost"/>
      <sheetName val="S35Indircost"/>
      <sheetName val="S36Prelimcost"/>
      <sheetName val="S37UnitCost"/>
      <sheetName val="S38stock"/>
      <sheetName val="S39liab"/>
      <sheetName val="S40Milestones"/>
      <sheetName val="S41MatProcurement"/>
      <sheetName val="S42HSE"/>
      <sheetName val="S43Taxation"/>
      <sheetName val="S44 Depriciation"/>
      <sheetName val="S45 Refurbishment Charge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갑지1"/>
      <sheetName val="갑지2"/>
      <sheetName val="원가갑지"/>
      <sheetName val="집계표"/>
      <sheetName val="기타경비"/>
      <sheetName val="일반관리비"/>
      <sheetName val="공문"/>
      <sheetName val="현장지지물물량"/>
    </sheetNames>
    <sheetDataSet>
      <sheetData sheetId="0"/>
      <sheetData sheetId="1"/>
      <sheetData sheetId="2"/>
      <sheetData sheetId="3"/>
      <sheetData sheetId="4"/>
      <sheetData sheetId="5"/>
      <sheetData sheetId="6" refreshError="1"/>
      <sheetData sheetId="7"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사업부배부"/>
      <sheetName val="9901사업부배부"/>
      <sheetName val="Sheet1"/>
      <sheetName val="계정실적"/>
      <sheetName val="계정보고"/>
      <sheetName val="계정보고 (2)"/>
      <sheetName val="99년1월추정실적 (2)"/>
      <sheetName val="요약배부"/>
      <sheetName val="요약배부 (보고)"/>
      <sheetName val="요약배부 (보고) (2)"/>
      <sheetName val="12월계정별 (2)"/>
      <sheetName val="배부부별"/>
      <sheetName val="배부비목"/>
      <sheetName val="임대원가"/>
      <sheetName val="기타매출"/>
      <sheetName val="기타매출 (2)"/>
      <sheetName val="기타매출 (3)"/>
      <sheetName val="기타매출 (4)"/>
      <sheetName val="영업소실적"/>
      <sheetName val="새마을금고"/>
      <sheetName val="Module1"/>
      <sheetName val="참고인원"/>
      <sheetName val="INSTR"/>
      <sheetName val="주관사업"/>
      <sheetName val="eq_data"/>
      <sheetName val="95삼성급(본사)"/>
      <sheetName val="mom"/>
      <sheetName val="carboline price"/>
      <sheetName val="PipWT"/>
      <sheetName val="Piping Design Data"/>
      <sheetName val="UG분석표"/>
      <sheetName val="VV보온LINK"/>
      <sheetName val="FIT보온LINK"/>
      <sheetName val="정부노임단가"/>
      <sheetName val="갑지"/>
      <sheetName val="수입"/>
      <sheetName val="pnt-sigma"/>
      <sheetName val="PumpSpec"/>
      <sheetName val="표지"/>
      <sheetName val="사업부배부A"/>
      <sheetName val="상반기손익차2총괄"/>
      <sheetName val="OD5000"/>
      <sheetName val="INST_DCI"/>
      <sheetName val="HVAC_DCI"/>
      <sheetName val="PIPE_DCI"/>
      <sheetName val="PRO_DCI"/>
      <sheetName val="h-013211-2"/>
      <sheetName val="배부9901"/>
      <sheetName val="단가조사"/>
      <sheetName val="97 사업추정(WEKI)"/>
      <sheetName val="기계내역서"/>
      <sheetName val="IT-BAT"/>
      <sheetName val="집계표"/>
      <sheetName val="개시대사 (2)"/>
      <sheetName val="45,46"/>
      <sheetName val="IBASE"/>
      <sheetName val="Total"/>
      <sheetName val="TYPE-B 평균H"/>
      <sheetName val=""/>
      <sheetName val="out_prog"/>
      <sheetName val="선적schedule (2)"/>
      <sheetName val="총계"/>
      <sheetName val="#REF"/>
      <sheetName val="Quantity"/>
      <sheetName val="IPQ-11-00550.xlsx"/>
      <sheetName val="인원계획"/>
      <sheetName val="10현장조직"/>
      <sheetName val="차수"/>
      <sheetName val="Sheet3"/>
      <sheetName val="PRO_A"/>
      <sheetName val="DWG"/>
      <sheetName val="ELEC_MCI"/>
      <sheetName val="MAIN"/>
      <sheetName val="INST_MCI"/>
      <sheetName val="MECH_MCI"/>
      <sheetName val="PRO"/>
      <sheetName val="정산표2"/>
      <sheetName val="DATA"/>
      <sheetName val="Boq"/>
      <sheetName val="적용 환율"/>
      <sheetName val="CALCULATION"/>
      <sheetName val="Cover"/>
      <sheetName val="철수현황"/>
      <sheetName val="직원동원SCH"/>
      <sheetName val="Ex-Rate"/>
      <sheetName val="VC2 10.99"/>
      <sheetName val="총괄표"/>
      <sheetName val="Define"/>
      <sheetName val="TABLE2-2 OSBL-(SITE PREP)"/>
      <sheetName val="3514-HV-0201"/>
      <sheetName val="현금"/>
      <sheetName val="Measured items"/>
      <sheetName val="Units"/>
      <sheetName val="Instructions"/>
      <sheetName val="개요"/>
      <sheetName val="Tubing &amp; fitting"/>
      <sheetName val="ELEC_DCI"/>
      <sheetName val="DOC"/>
      <sheetName val="간접비내역-1"/>
      <sheetName val="실적"/>
      <sheetName val="급여일반"/>
      <sheetName val="guard(mac)"/>
      <sheetName val="cal"/>
      <sheetName val="실행자재"/>
      <sheetName val="노임"/>
      <sheetName val="사급자재"/>
      <sheetName val="BM"/>
      <sheetName val="P&amp;L Data M"/>
      <sheetName val="Sheet2 (2)"/>
      <sheetName val="MH Estimation Guide"/>
      <sheetName val="KEY"/>
      <sheetName val="Total-Mem"/>
      <sheetName val="Page 5 of 7"/>
      <sheetName val="M 1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refreshError="1"/>
      <sheetData sheetId="2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013211-2"/>
      <sheetName val="h-013201-2"/>
      <sheetName val="h-113003-3"/>
      <sheetName val="h-213002-3"/>
      <sheetName val="h-13101-3"/>
      <sheetName val="h-013001-3"/>
      <sheetName val="013301-2"/>
      <sheetName val="h-013202-2"/>
      <sheetName val="Testing"/>
      <sheetName val="Total"/>
      <sheetName val="h_013211_2"/>
      <sheetName val="design criteria"/>
      <sheetName val="working load at the btm ft_"/>
      <sheetName val="plan_section of foundation"/>
      <sheetName val="member design"/>
      <sheetName val="soil bearing check"/>
      <sheetName val="TO  MEST"/>
      <sheetName val="Est-Trench1"/>
      <sheetName val="TRANSPORT"/>
      <sheetName val="Proposal"/>
      <sheetName val="PumpSpec"/>
      <sheetName val="AABS내역"/>
      <sheetName val="PRO_DCI"/>
      <sheetName val="INST_DCI"/>
      <sheetName val="HVAC_DCI"/>
      <sheetName val="PIPE_DCI"/>
      <sheetName val="mhrrate"/>
      <sheetName val="Ind"/>
      <sheetName val="Main Code"/>
      <sheetName val="Sheet1"/>
      <sheetName val="집계표(OPTION)"/>
      <sheetName val="간접비내역-1"/>
      <sheetName val="Sheet4"/>
      <sheetName val="ELEC_DCI"/>
      <sheetName val="직원동원SCH"/>
      <sheetName val="집계표"/>
      <sheetName val="BQ List"/>
      <sheetName val="INSTR"/>
      <sheetName val="변수데이타"/>
      <sheetName val="C급보 "/>
      <sheetName val="정부노임단가"/>
      <sheetName val="eq_data"/>
      <sheetName val="설계조건"/>
      <sheetName val="단면검토"/>
      <sheetName val="Sheet2"/>
      <sheetName val="CAT_5"/>
      <sheetName val="Base_Data"/>
      <sheetName val="할증 "/>
      <sheetName val="BM DATA SHEET"/>
      <sheetName val="RENUN"/>
      <sheetName val="개시대사 (2)"/>
      <sheetName val="공사내역"/>
      <sheetName val="2월가격"/>
      <sheetName val="PHALAIDUCT "/>
      <sheetName val="사업계획"/>
      <sheetName val="TOEC"/>
      <sheetName val="Define"/>
      <sheetName val="DESIGN"/>
      <sheetName val="OCT.FDN"/>
      <sheetName val="analisa"/>
      <sheetName val="INSPECTOR (EPC-1)"/>
      <sheetName val="Pipe Classes"/>
      <sheetName val="SPEC"/>
      <sheetName val="최민영집계25"/>
      <sheetName val="영업소실적"/>
      <sheetName val="Basic"/>
      <sheetName val="견적기준"/>
      <sheetName val="DATA"/>
      <sheetName val="REINF."/>
      <sheetName val="LOADS"/>
      <sheetName val="CHECK1"/>
      <sheetName val="MAIN"/>
      <sheetName val="PRO_A"/>
      <sheetName val="PRO"/>
      <sheetName val="Cover"/>
      <sheetName val="Rekap A"/>
      <sheetName val="piping"/>
      <sheetName val="투입실적"/>
      <sheetName val="VL"/>
      <sheetName val="3.현장배치"/>
      <sheetName val="Cash2"/>
      <sheetName val="Z"/>
      <sheetName val="일위대가표(DEEP)"/>
      <sheetName val="NEWDRAW"/>
      <sheetName val="영업2"/>
      <sheetName val="Ox-Air"/>
      <sheetName val="plan&amp;section of foundation"/>
      <sheetName val="인원현황"/>
      <sheetName val="수입"/>
      <sheetName val="Instruction"/>
      <sheetName val="U+SRU 5UG"/>
      <sheetName val="상반기손익차2총괄"/>
      <sheetName val="ECC Master Title"/>
      <sheetName val="SE-611"/>
      <sheetName val="개시전표"/>
      <sheetName val="생산계획"/>
      <sheetName val="BQ"/>
      <sheetName val="연돌일위집계"/>
      <sheetName val="ACTDATA"/>
      <sheetName val="95삼성급(본사)"/>
      <sheetName val="131COMP"/>
      <sheetName val="EQUIP"/>
      <sheetName val="BQMPALOC"/>
      <sheetName val="steam table"/>
      <sheetName val="갑지"/>
      <sheetName val="PUMP"/>
      <sheetName val="산근"/>
      <sheetName val="#REF"/>
      <sheetName val="인원동원계획"/>
      <sheetName val="PROCURE"/>
      <sheetName val="Seals"/>
      <sheetName val="4K - (6a) Non Manual Breakdown"/>
      <sheetName val="PI"/>
      <sheetName val="투입인력"/>
      <sheetName val="ITstk"/>
      <sheetName val="jobhist"/>
      <sheetName val="PipWT"/>
      <sheetName val="INPUT DATA"/>
      <sheetName val="Summary Sheets"/>
      <sheetName val="cal"/>
      <sheetName val="내역서"/>
      <sheetName val="7.6.3(B) UG Piping"/>
      <sheetName val="수량산출서"/>
      <sheetName val="BOQ"/>
      <sheetName val=" Sum"/>
      <sheetName val="LOOKUP"/>
      <sheetName val="ANALYSER"/>
      <sheetName val="SPrep_E4TK(R187)"/>
      <sheetName val="U00"/>
      <sheetName val="U01"/>
      <sheetName val="U02"/>
      <sheetName val="U03"/>
      <sheetName val="U06"/>
      <sheetName val="U07"/>
      <sheetName val="U08"/>
      <sheetName val="U09"/>
      <sheetName val="U10"/>
      <sheetName val="U11"/>
      <sheetName val="U13"/>
      <sheetName val="U21"/>
      <sheetName val="U25"/>
      <sheetName val="U26"/>
      <sheetName val="U29"/>
      <sheetName val="U30"/>
      <sheetName val="U31_Base"/>
      <sheetName val="U40"/>
      <sheetName val="U42"/>
      <sheetName val="U43"/>
      <sheetName val="U45"/>
      <sheetName val="U47"/>
      <sheetName val="U48"/>
      <sheetName val="U60"/>
      <sheetName val="말뚝물량"/>
      <sheetName val="8.현장관리비"/>
      <sheetName val="7.안전관리비"/>
      <sheetName val="노임단가"/>
      <sheetName val="w't table"/>
      <sheetName val="CondPol"/>
      <sheetName val="경제지표"/>
      <sheetName val="세금자료"/>
      <sheetName val="cable"/>
      <sheetName val="DESIGN(77C-102A)-2"/>
      <sheetName val="RFP007"/>
      <sheetName val="0.갑지"/>
      <sheetName val="제출sche(Basic)"/>
      <sheetName val="5"/>
      <sheetName val="Database"/>
      <sheetName val="Gia vat tu"/>
      <sheetName val="PDS U-1400"/>
      <sheetName val="Summary"/>
      <sheetName val="대치판정"/>
      <sheetName val="AILC004"/>
      <sheetName val="MR"/>
      <sheetName val="EQT-ESTN"/>
      <sheetName val="ZAR SAZ"/>
      <sheetName val="Unit 49_분개표"/>
      <sheetName val="Unit 76_분개표"/>
      <sheetName val="Macro"/>
      <sheetName val="Taux"/>
      <sheetName val="rates"/>
      <sheetName val="구조물철거타공정이월"/>
      <sheetName val="HVAC"/>
      <sheetName val="Lab-Rate"/>
      <sheetName val="SITE EST"/>
      <sheetName val="wagerate"/>
      <sheetName val="IT-BAT"/>
      <sheetName val="단중표"/>
      <sheetName val="TABLE2-2 OSBL-(SITE PREP)"/>
      <sheetName val="견적의뢰"/>
      <sheetName val="B"/>
      <sheetName val="TANK"/>
      <sheetName val="자동이름-삽입-시트"/>
      <sheetName val="FJK 0"/>
      <sheetName val="예산M12A"/>
      <sheetName val="nde_request"/>
      <sheetName val="공사비 내역 (가)"/>
      <sheetName val="요약배부"/>
      <sheetName val="주관사업"/>
      <sheetName val="내역"/>
      <sheetName val="DATE"/>
      <sheetName val="12CGOU"/>
      <sheetName val="X17-TOTAL"/>
      <sheetName val="간접비 총괄표"/>
      <sheetName val="PAINT"/>
      <sheetName val="공정계획(내부계획25%,내부w.f)"/>
      <sheetName val="VC2 8.98"/>
      <sheetName val="FDM TOT"/>
      <sheetName val="단중표-ST"/>
      <sheetName val="UnitList"/>
      <sheetName val="CIVIL WORK"/>
      <sheetName val="96.12"/>
      <sheetName val="직원동원계획"/>
      <sheetName val="REDUCER"/>
      <sheetName val="WE'T"/>
      <sheetName val="Piping(Methanol)"/>
      <sheetName val="Factor"/>
      <sheetName val="98TSON4A"/>
      <sheetName val="환율"/>
      <sheetName val="인원계획"/>
      <sheetName val="물량집계(전기)"/>
      <sheetName val="물량집계(계장)"/>
      <sheetName val="Hangers"/>
      <sheetName val="Read Me"/>
      <sheetName val="Tbl"/>
      <sheetName val="TYPE-B 평균H"/>
      <sheetName val="RFP009"/>
      <sheetName val="본지점중"/>
      <sheetName val="data_dci"/>
      <sheetName val="data_mci"/>
      <sheetName val="CODE"/>
      <sheetName val="costing_CV"/>
      <sheetName val="토목"/>
      <sheetName val="공사비예산서(토목분)"/>
      <sheetName val="PIPE"/>
      <sheetName val="DESIGN CRETERIA"/>
      <sheetName val="COVERSHEET"/>
      <sheetName val="DESIGN_CRETERIA"/>
      <sheetName val="Graph (LGEN)"/>
      <sheetName val="out_prog"/>
      <sheetName val="선적schedule (2)"/>
      <sheetName val="조도계산서 (도서)"/>
      <sheetName val="tank3"/>
      <sheetName val="2.2 STAFF Scedule"/>
      <sheetName val="대비표"/>
      <sheetName val="焊工状态表"/>
      <sheetName val="예총"/>
      <sheetName val="Default"/>
      <sheetName val="breakdown"/>
      <sheetName val="D-3109"/>
      <sheetName val="뜃맟뭁돽띿맟?-BLDG"/>
      <sheetName val="BREAKDOWN(신규설치)"/>
      <sheetName val="SUMMARY_철거"/>
      <sheetName val="BREAKDOWN(철거설치)"/>
      <sheetName val="Quantity"/>
      <sheetName val="97 사업추정(WEKI)"/>
      <sheetName val="TTL"/>
      <sheetName val="배수내역"/>
      <sheetName val="뜃맟뭁돽띿맟_-BLDG"/>
      <sheetName val="DB@Acess"/>
      <sheetName val="Civil"/>
      <sheetName val="7.5.2 BOQ Summary "/>
      <sheetName val="INPUT_DATA"/>
      <sheetName val="Summary_Sheets"/>
      <sheetName val="7_6_3(B)_UG_Piping"/>
      <sheetName val="PHALAIDUCT_"/>
      <sheetName val="_Sum"/>
      <sheetName val="기성내역"/>
      <sheetName val="실행"/>
      <sheetName val="TKOFF"/>
      <sheetName val="표지"/>
      <sheetName val="예산M11A"/>
      <sheetName val="회사99"/>
      <sheetName val="DO AM DT"/>
      <sheetName val="단가비교"/>
      <sheetName val="TUAS"/>
      <sheetName val="design_criteria"/>
      <sheetName val="working_load_at_the_btm_ft_"/>
      <sheetName val="plan_section_of_foundation"/>
      <sheetName val="member_design"/>
      <sheetName val="soil_bearing_check"/>
      <sheetName val="TO__MEST"/>
      <sheetName val="Main_Code"/>
      <sheetName val="C급보_"/>
      <sheetName val="할증_"/>
      <sheetName val="개시대사_(2)"/>
      <sheetName val="BQ_List"/>
      <sheetName val="BM_DATA_SHEET"/>
      <sheetName val="OCT_FDN"/>
      <sheetName val="INSPECTOR_(EPC-1)"/>
      <sheetName val="Pipe_Classes"/>
      <sheetName val="REINF_"/>
      <sheetName val="3_현장배치"/>
      <sheetName val="Rekap_A"/>
      <sheetName val="plan&amp;section_of_foundation"/>
      <sheetName val="U+SRU_5UG"/>
      <sheetName val="ECC_Master_Title"/>
      <sheetName val="steam_table"/>
      <sheetName val="SITE_EST"/>
      <sheetName val="4K_-_(6a)_Non_Manual_Breakdown"/>
      <sheetName val="8_현장관리비"/>
      <sheetName val="7_안전관리비"/>
      <sheetName val="w't_table"/>
      <sheetName val="0_갑지"/>
      <sheetName val="Gia_vat_tu"/>
      <sheetName val="PDS_U-1400"/>
      <sheetName val="ZAR_SAZ"/>
      <sheetName val="Unit_49_분개표"/>
      <sheetName val="Unit_76_분개표"/>
      <sheetName val="TABLE2-2_OSBL-(SITE_PREP)"/>
      <sheetName val="공사비_내역_(가)"/>
      <sheetName val="간접비_총괄표"/>
      <sheetName val="FDM_TOT"/>
      <sheetName val="VC2_8_98"/>
      <sheetName val="CIVIL_WORK"/>
      <sheetName val="96_12"/>
      <sheetName val="Read_Me"/>
      <sheetName val="TYPE-B_평균H"/>
      <sheetName val="공정계획(내부계획25%,내부w_f)"/>
      <sheetName val="DESIGN_CRETERIA1"/>
      <sheetName val="Graph_(LGEN)"/>
      <sheetName val="선적schedule_(2)"/>
      <sheetName val="조도계산서_(도서)"/>
      <sheetName val="Renf_flat_center"/>
      <sheetName val="COMPRESSOR"/>
      <sheetName val="h-013211-2??0?_x0013_??0?????_x0013_?"/>
      <sheetName val="h-013211-2厧㉠0䧬_x0013_冞㉠0冣㉠幇髃䴾_x0013_Ӥ"/>
      <sheetName val="Notes"/>
      <sheetName val="가상data"/>
      <sheetName val="p.mgmt"/>
      <sheetName val="BRICK"/>
      <sheetName val="4.1구조설계"/>
      <sheetName val="Detail"/>
      <sheetName val="h-013211-2__"/>
      <sheetName val="h-013211-2厧㉠"/>
      <sheetName val="PHALAIDUCT_1"/>
      <sheetName val="INPUT_DATA1"/>
      <sheetName val="Summary_Sheets1"/>
      <sheetName val="7_6_3(B)_UG_Piping1"/>
      <sheetName val="_Sum1"/>
      <sheetName val="FJK_0"/>
      <sheetName val="2_2_STAFF_Scedule"/>
      <sheetName val="97_사업추정(WEKI)"/>
      <sheetName val="7_5_2_BOQ_Summary_"/>
      <sheetName val="DO_AM_DT"/>
      <sheetName val="LOPCALC"/>
      <sheetName val="CT "/>
      <sheetName val="입출재고현황 (2)"/>
      <sheetName val="design_criteria1"/>
      <sheetName val="working_load_at_the_btm_ft_1"/>
      <sheetName val="plan_section_of_foundation1"/>
      <sheetName val="member_design1"/>
      <sheetName val="soil_bearing_check1"/>
      <sheetName val="TO__MEST1"/>
      <sheetName val="Main_Code1"/>
      <sheetName val="BM_DATA_SHEET1"/>
      <sheetName val="C급보_1"/>
      <sheetName val="OCT_FDN1"/>
      <sheetName val="할증_1"/>
      <sheetName val="개시대사_(2)1"/>
      <sheetName val="BQ_List1"/>
      <sheetName val="INSPECTOR_(EPC-1)1"/>
      <sheetName val="Pipe_Classes1"/>
      <sheetName val="0. SUM"/>
      <sheetName val="Transformer FDN_1"/>
      <sheetName val="Transformer FDN_2"/>
      <sheetName val="Transformer FDN_3"/>
      <sheetName val="Fuel Oil Tank_1"/>
      <sheetName val="Fuel Oil Tank_2"/>
      <sheetName val="WATER TRETMENT PLANT"/>
      <sheetName val="Untreated Water Tank"/>
      <sheetName val="Untreated Water Tank Demi"/>
      <sheetName val="Pretreated Water Tank"/>
      <sheetName val="Demineralized Tank"/>
      <sheetName val="Potabel Water Tank"/>
      <sheetName val="Waste Water Treatment System"/>
      <sheetName val="Modular Septic Tank"/>
      <sheetName val="OSSPA"/>
      <sheetName val="OSSWL"/>
      <sheetName val="Skimmed Oil Tank"/>
      <sheetName val="Oil Sludge Tank"/>
      <sheetName val="Oil Sludge Discharge Pump"/>
      <sheetName val="STG"/>
      <sheetName val="BOILER"/>
      <sheetName val="PRECIPITATOR&amp;ID FAN"/>
      <sheetName val="Air Cooled Condenser FDN"/>
      <sheetName val="Fly Ash Silos"/>
      <sheetName val="BOTTOM ASH SILO"/>
      <sheetName val="FUEL OIL PUMPING"/>
      <sheetName val="FLASH TANK"/>
      <sheetName val="ACC DUCT1"/>
      <sheetName val="ACC DUCT"/>
      <sheetName val="STEAM AIR"/>
      <sheetName val="EXTRACTION PUMP"/>
      <sheetName val="CLOSE COOLING WATER PUMP"/>
      <sheetName val="Closed cooling water cooler"/>
      <sheetName val="지원5월"/>
      <sheetName val="도"/>
      <sheetName val="h-013211-2??"/>
      <sheetName val="변경집계표"/>
      <sheetName val="BSD (2)"/>
      <sheetName val="부식감량표"/>
      <sheetName val="BEAM"/>
      <sheetName val="당초"/>
      <sheetName val="Utilities"/>
      <sheetName val="Staff-OP"/>
      <sheetName val="List"/>
      <sheetName val="Project Info."/>
      <sheetName val="h-013211-2??0???0??????"/>
      <sheetName val="h-013211-2厧㉠0䧬冞㉠0冣㉠幇髃䴾Ӥ"/>
      <sheetName val="p_mgmt"/>
      <sheetName val="4_1구조설계"/>
      <sheetName val="SENSOR LIST"/>
      <sheetName val="A-11 Steel Str"/>
      <sheetName val="A-03 Pile"/>
      <sheetName val="CTEMCOST"/>
      <sheetName val="Desal-E&amp;I"/>
      <sheetName val="Staff,Labor Wage &amp; Salary"/>
      <sheetName val="실행(1)"/>
      <sheetName val="SS2"/>
      <sheetName val="실행내역"/>
      <sheetName val="사업부배부A"/>
      <sheetName val="loading"/>
      <sheetName val="P-산#1-1(WOWA1)"/>
      <sheetName val="SUPERH_FLAT_END"/>
      <sheetName val="Sheet5"/>
      <sheetName val="9-1차이내역"/>
      <sheetName val="노무비단가"/>
      <sheetName val="기준"/>
      <sheetName val="IN"/>
      <sheetName val="Standard Piping MTO"/>
      <sheetName val="Pipe&amp;Valve Coding"/>
      <sheetName val="ITB COST"/>
      <sheetName val="04 - Civil"/>
      <sheetName val="SubSum"/>
      <sheetName val="ELEC_MCI"/>
      <sheetName val="INST_MCI"/>
      <sheetName val="MECH_MCI"/>
      <sheetName val="Table 1"/>
      <sheetName val="제출내역 (2)"/>
      <sheetName val="A LINE"/>
      <sheetName val="부표총괄"/>
      <sheetName val="OFFER RATE"/>
      <sheetName val="WorkSheet1"/>
      <sheetName val="VXXXXXX"/>
      <sheetName val="환율표"/>
      <sheetName val="실행철강하도"/>
      <sheetName val="STAND98"/>
      <sheetName val="인사자료총집계"/>
      <sheetName val="T RFA"/>
      <sheetName val="CAPVC"/>
      <sheetName val="가도공"/>
      <sheetName val="바닥판 검토"/>
      <sheetName val="다이꾸"/>
      <sheetName val="갑지(추정)"/>
      <sheetName val="유림골조"/>
      <sheetName val="units"/>
      <sheetName val="design_criteria2"/>
      <sheetName val="working_load_at_the_btm_ft_2"/>
      <sheetName val="plan_section_of_foundation2"/>
      <sheetName val="member_design2"/>
      <sheetName val="soil_bearing_check2"/>
      <sheetName val="TO__MEST2"/>
      <sheetName val="Main_Code2"/>
      <sheetName val="BM_DATA_SHEET2"/>
      <sheetName val="C급보_2"/>
      <sheetName val="할증_2"/>
      <sheetName val="BQ_List2"/>
      <sheetName val="PHALAIDUCT_2"/>
      <sheetName val="개시대사_(2)2"/>
      <sheetName val="OCT_FDN2"/>
      <sheetName val="INSPECTOR_(EPC-1)2"/>
      <sheetName val="Pipe_Classes2"/>
      <sheetName val="REINF_1"/>
      <sheetName val="Rekap_A1"/>
      <sheetName val="3_현장배치1"/>
      <sheetName val="plan&amp;section_of_foundation1"/>
      <sheetName val="U+SRU_5UG1"/>
      <sheetName val="ECC_Master_Title1"/>
      <sheetName val="steam_table1"/>
      <sheetName val="4K_-_(6a)_Non_Manual_Breakdown1"/>
      <sheetName val="INPUT_DATA2"/>
      <sheetName val="Summary_Sheets2"/>
      <sheetName val="7_6_3(B)_UG_Piping2"/>
      <sheetName val="_Sum2"/>
      <sheetName val="8_현장관리비1"/>
      <sheetName val="7_안전관리비1"/>
      <sheetName val="w't_table1"/>
      <sheetName val="0_갑지1"/>
      <sheetName val="Gia_vat_tu1"/>
      <sheetName val="PDS_U-14001"/>
      <sheetName val="ZAR_SAZ1"/>
      <sheetName val="Unit_49_분개표1"/>
      <sheetName val="Unit_76_분개표1"/>
      <sheetName val="SITE_EST1"/>
      <sheetName val="TABLE2-2_OSBL-(SITE_PREP)1"/>
      <sheetName val="Read_Me1"/>
      <sheetName val="공사비_내역_(가)1"/>
      <sheetName val="간접비_총괄표1"/>
      <sheetName val="공정계획(내부계획25%,내부w_f)1"/>
      <sheetName val="VC2_8_981"/>
      <sheetName val="FDM_TOT1"/>
      <sheetName val="CIVIL_WORK1"/>
      <sheetName val="96_121"/>
      <sheetName val="DESIGN_CRETERIA2"/>
      <sheetName val="Graph_(LGEN)1"/>
      <sheetName val="선적schedule_(2)1"/>
      <sheetName val="조도계산서_(도서)1"/>
      <sheetName val="FJK_01"/>
      <sheetName val="TYPE-B_평균H1"/>
      <sheetName val="2_2_STAFF_Scedule1"/>
      <sheetName val="97_사업추정(WEKI)1"/>
      <sheetName val="7_5_2_BOQ_Summary_1"/>
      <sheetName val="DO_AM_DT1"/>
      <sheetName val="0__SUM"/>
      <sheetName val="Transformer_FDN_1"/>
      <sheetName val="Transformer_FDN_2"/>
      <sheetName val="Transformer_FDN_3"/>
      <sheetName val="Fuel_Oil_Tank_1"/>
      <sheetName val="Fuel_Oil_Tank_2"/>
      <sheetName val="WATER_TRETMENT_PLANT"/>
      <sheetName val="Untreated_Water_Tank"/>
      <sheetName val="Untreated_Water_Tank_Demi"/>
      <sheetName val="Pretreated_Water_Tank"/>
      <sheetName val="Demineralized_Tank"/>
      <sheetName val="Potabel_Water_Tank"/>
      <sheetName val="Waste_Water_Treatment_System"/>
      <sheetName val="Modular_Septic_Tank"/>
      <sheetName val="Skimmed_Oil_Tank"/>
      <sheetName val="Oil_Sludge_Tank"/>
      <sheetName val="Oil_Sludge_Discharge_Pump"/>
      <sheetName val="PRECIPITATOR&amp;ID_FAN"/>
      <sheetName val="Air_Cooled_Condenser_FDN"/>
      <sheetName val="Fly_Ash_Silos"/>
      <sheetName val="BOTTOM_ASH_SILO"/>
      <sheetName val="FUEL_OIL_PUMPING"/>
      <sheetName val="FLASH_TANK"/>
      <sheetName val="ACC_DUCT1"/>
      <sheetName val="ACC_DUCT"/>
      <sheetName val="STEAM_AIR"/>
      <sheetName val="EXTRACTION_PUMP"/>
      <sheetName val="CLOSE_COOLING_WATER_PUMP"/>
      <sheetName val="Closed_cooling_water_cooler"/>
      <sheetName val="BSD_(2)"/>
      <sheetName val="입출재고현황_(2)"/>
      <sheetName val="A-11_Steel_Str"/>
      <sheetName val="A-03_Pile"/>
      <sheetName val="CT_"/>
      <sheetName val="SortedList"/>
      <sheetName val="PILOT품"/>
      <sheetName val="Overview"/>
      <sheetName val="M96현황-동아"/>
      <sheetName val="금형품의서"/>
      <sheetName val="CVA"/>
      <sheetName val="P1_Body"/>
      <sheetName val="Setup"/>
      <sheetName val="Marsh. FGS (Hours)"/>
      <sheetName val="Marsh. ESD (Materials)"/>
      <sheetName val="Marsh. FGS (Materials)"/>
      <sheetName val="Project Price Summary"/>
      <sheetName val="cable-data"/>
      <sheetName val="Currencies"/>
      <sheetName val="diamètres"/>
      <sheetName val="EQUIPMENT ERECTION BREAKDOWN"/>
      <sheetName val="wg"/>
      <sheetName val="9100"/>
      <sheetName val="ITB_COST"/>
      <sheetName val="T_RFA"/>
      <sheetName val="일위대가"/>
      <sheetName val="단가대비표"/>
      <sheetName val="일위대가(가설)"/>
      <sheetName val="터파기및재료"/>
      <sheetName val="behind"/>
      <sheetName val="content"/>
      <sheetName val="HSATUAN"/>
      <sheetName val="I-KAMAR"/>
      <sheetName val="가설"/>
      <sheetName val="경상"/>
      <sheetName val="가BM"/>
      <sheetName val="1.설계조건"/>
      <sheetName val="예산내역"/>
      <sheetName val="총괄수지표"/>
      <sheetName val="자재단가"/>
      <sheetName val="BM"/>
      <sheetName val="수지표"/>
      <sheetName val="셀명"/>
      <sheetName val="D"/>
      <sheetName val="Dike(H=0.9m)"/>
      <sheetName val="PIPING_total"/>
      <sheetName val="Sheeta"/>
      <sheetName val="Units+rev"/>
      <sheetName val="설산1.나"/>
      <sheetName val="본사S"/>
      <sheetName val="Input"/>
    </sheetNames>
    <sheetDataSet>
      <sheetData sheetId="0" refreshError="1">
        <row r="2">
          <cell r="Q2" t="str">
            <v>TAKE OFF</v>
          </cell>
        </row>
        <row r="5">
          <cell r="C5" t="str">
            <v>Dwg-H-013211-2</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sheetData sheetId="269" refreshError="1"/>
      <sheetData sheetId="270" refreshError="1"/>
      <sheetData sheetId="271" refreshError="1"/>
      <sheetData sheetId="272" refreshError="1"/>
      <sheetData sheetId="273" refreshError="1"/>
      <sheetData sheetId="274" refreshError="1"/>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sheetData sheetId="335"/>
      <sheetData sheetId="336"/>
      <sheetData sheetId="337"/>
      <sheetData sheetId="338"/>
      <sheetData sheetId="339"/>
      <sheetData sheetId="340" refreshError="1"/>
      <sheetData sheetId="341" refreshError="1"/>
      <sheetData sheetId="342" refreshError="1"/>
      <sheetData sheetId="343"/>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sheetData sheetId="400" refreshError="1"/>
      <sheetData sheetId="401" refreshError="1"/>
      <sheetData sheetId="402" refreshError="1"/>
      <sheetData sheetId="403" refreshError="1"/>
      <sheetData sheetId="404" refreshError="1"/>
      <sheetData sheetId="405" refreshError="1"/>
      <sheetData sheetId="406" refreshError="1"/>
      <sheetData sheetId="407"/>
      <sheetData sheetId="408"/>
      <sheetData sheetId="409"/>
      <sheetData sheetId="410"/>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sheetData sheetId="566"/>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3)"/>
      <sheetName val="Sayfa2"/>
      <sheetName val="Sayfa1"/>
      <sheetName val="Odeme Cetveli "/>
      <sheetName val="Icmal"/>
      <sheetName val="Malz. Fyt. Frk. Icmali"/>
      <sheetName val="Mlz. Fyt. Frk. Hsp. Tb.çim"/>
      <sheetName val="Yapilan Isler Listesi "/>
      <sheetName val="Yesil Defter (Kapak)"/>
      <sheetName val="yeşil def 1"/>
      <sheetName val="itinerer"/>
      <sheetName val="muk.keş."/>
      <sheetName val="muk.keş. (2)"/>
      <sheetName val="Sheet1 (2)"/>
      <sheetName val="Tut 1"/>
      <sheetName val="tut 3."/>
      <sheetName val="tut 2."/>
      <sheetName val="tut 4"/>
      <sheetName val="A.F.F "/>
      <sheetName val="İÇSAYFA"/>
      <sheetName val="YEŞİLDEFTER"/>
      <sheetName val="#BAŞV"/>
      <sheetName val="FFARK MİK TABLOLARI"/>
      <sheetName val="FF HESABI TABLOLARI"/>
      <sheetName val="FF HESABI (3)"/>
      <sheetName val="FFARK MİK.MAZOT"/>
      <sheetName val="RAPOR"/>
      <sheetName val="VAR-YOL İMAL"/>
      <sheetName val="GB"/>
      <sheetName val="ön kapak"/>
      <sheetName val="Quantity"/>
      <sheetName val="S1BOQ"/>
      <sheetName val="AOP Summary-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상반기손익차2총괄"/>
      <sheetName val="세금자료"/>
      <sheetName val="영업소실적"/>
      <sheetName val="집계표"/>
      <sheetName val="97 사업추정(WEKI)"/>
      <sheetName val="인원계획"/>
      <sheetName val="수입"/>
      <sheetName val="사업추정"/>
      <sheetName val="95삼성급(본사)"/>
      <sheetName val="DB@Acess"/>
      <sheetName val="Civil"/>
      <sheetName val="손익차9월2"/>
      <sheetName val="INSTR"/>
      <sheetName val="MANHOLE"/>
      <sheetName val="기준"/>
      <sheetName val="마스터"/>
      <sheetName val="Basic"/>
      <sheetName val="sum3"/>
      <sheetName val="inter"/>
      <sheetName val="h-013211-2"/>
      <sheetName val="Cover"/>
      <sheetName val="제경비"/>
      <sheetName val="1,2공구원가계산서"/>
      <sheetName val="2공구산출내역"/>
      <sheetName val="1공구산출내역서"/>
      <sheetName val="Sheet1"/>
      <sheetName val="노임9월"/>
      <sheetName val="PRO_DCI"/>
      <sheetName val="INST_DCI"/>
      <sheetName val="HVAC_DCI"/>
      <sheetName val="PIPE_DCI"/>
      <sheetName val="갑지"/>
      <sheetName val="산근"/>
      <sheetName val="97_사업추정(WEKI)"/>
      <sheetName val="금액내역서"/>
      <sheetName val="Sheet2"/>
      <sheetName val="사업부배부A"/>
      <sheetName val="BCPAB"/>
      <sheetName val="노임"/>
      <sheetName val="eq_data"/>
      <sheetName val="VENDOR LIST"/>
      <sheetName val="공통비"/>
      <sheetName val="소화실적"/>
      <sheetName val="경제지표"/>
      <sheetName val="PIPE"/>
      <sheetName val="member design"/>
      <sheetName val="design criteria"/>
      <sheetName val="working load at the btm ft."/>
      <sheetName val="plan&amp;section of foundation"/>
      <sheetName val="soil bearing check"/>
      <sheetName val="제출계산서"/>
      <sheetName val="D2old"/>
      <sheetName val="Library"/>
      <sheetName val="개시전표"/>
      <sheetName val="공사집계"/>
      <sheetName val="내역"/>
      <sheetName val="Exch_rates"/>
      <sheetName val="9-1차이내역"/>
      <sheetName val="계약고변"/>
      <sheetName val="선투입재고 "/>
      <sheetName val="상반기 실적추정 총괄표 (2)"/>
      <sheetName val="상반기 실적추정 총괄표"/>
      <sheetName val="손익차상반기총괄"/>
      <sheetName val="설계명세서"/>
      <sheetName val="전기"/>
      <sheetName val="결산실적01"/>
      <sheetName val="변경품셈총괄"/>
      <sheetName val="일위대가"/>
      <sheetName val="단가대비표"/>
      <sheetName val="#REF"/>
      <sheetName val="노임단가"/>
      <sheetName val="수목데이타 "/>
      <sheetName val="견적"/>
      <sheetName val="간접비 총괄표"/>
      <sheetName val="안전장치"/>
      <sheetName val="실행내역 "/>
      <sheetName val="매각(6)"/>
      <sheetName val="수량산출"/>
      <sheetName val="TT 매입율"/>
      <sheetName val="부표총괄"/>
      <sheetName val="현장배치"/>
      <sheetName val="BOJUNGGM"/>
      <sheetName val="기성수금(단단위)"/>
      <sheetName val="원가매출(단단위)"/>
      <sheetName val="현장"/>
      <sheetName val="첨부1"/>
      <sheetName val="원가계산서(남측)"/>
      <sheetName val="1-11조직표"/>
      <sheetName val="금액결정"/>
      <sheetName val="총괄내역서"/>
      <sheetName val="남대문빌딩"/>
      <sheetName val="DATE"/>
      <sheetName val="1_11조직표"/>
      <sheetName val="Sheet4"/>
      <sheetName val="등급"/>
      <sheetName val="당초"/>
      <sheetName val="SIMULATION"/>
      <sheetName val="단가비교(TOTAL)"/>
      <sheetName val="실행대비"/>
      <sheetName val="공문"/>
      <sheetName val="산수배수"/>
      <sheetName val="자료"/>
      <sheetName val="유림골조"/>
      <sheetName val="대비"/>
      <sheetName val="직노"/>
      <sheetName val="설계예시"/>
      <sheetName val=" OVERALL"/>
      <sheetName val="SUMMARY"/>
      <sheetName val="1"/>
      <sheetName val="2.1"/>
      <sheetName val="2.2"/>
      <sheetName val="2.3"/>
      <sheetName val="2.4"/>
      <sheetName val="3"/>
      <sheetName val="4"/>
      <sheetName val="5.1"/>
      <sheetName val="5.2"/>
      <sheetName val="5.3"/>
      <sheetName val="6"/>
      <sheetName val="7"/>
      <sheetName val="8.1"/>
      <sheetName val="8.2"/>
      <sheetName val="9"/>
      <sheetName val="10"/>
      <sheetName val="11"/>
      <sheetName val="ATTACHMENT 1"/>
      <sheetName val="단가표"/>
      <sheetName val="VC2 8.98"/>
      <sheetName val="요약배부"/>
      <sheetName val="주관사업"/>
      <sheetName val="Summary Sheets"/>
      <sheetName val="summ"/>
      <sheetName val="INPUT DAT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sheetData sheetId="74"/>
      <sheetData sheetId="75"/>
      <sheetData sheetId="76"/>
      <sheetData sheetId="77"/>
      <sheetData sheetId="78"/>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9-1차이내역"/>
      <sheetName val="공문1"/>
      <sheetName val="표지"/>
      <sheetName val="1총괄(上)"/>
      <sheetName val="2손익"/>
      <sheetName val="3대차"/>
      <sheetName val="4법인세(上)"/>
      <sheetName val="5잉여금"/>
      <sheetName val="6준비금"/>
      <sheetName val="6부가"/>
      <sheetName val="7여신"/>
      <sheetName val="8주평"/>
      <sheetName val="9확정실적"/>
      <sheetName val="1총괄(下)"/>
      <sheetName val="4법인세(下)"/>
      <sheetName val="9_1차이내역"/>
      <sheetName val="97 사업추정(WEKI)"/>
      <sheetName val="손익차총괄2"/>
      <sheetName val="상반기손익차2총괄"/>
      <sheetName val="P.M 별"/>
      <sheetName val="현금흐름표"/>
      <sheetName val="수입"/>
      <sheetName val="#REF"/>
      <sheetName val="신대방33(적용)"/>
      <sheetName val="97_사업추정(WEKI)"/>
      <sheetName val="P_M_별"/>
      <sheetName val="환율"/>
      <sheetName val="투입"/>
      <sheetName val="7. 매출 투입 취하"/>
      <sheetName val="BQMPALOC"/>
      <sheetName val="수주현황2월"/>
      <sheetName val="95WBS"/>
      <sheetName val="공통"/>
      <sheetName val="토목주소"/>
      <sheetName val="PRO_DCI"/>
      <sheetName val="INST_DCI"/>
      <sheetName val="HVAC_DCI"/>
      <sheetName val="PIPE_DCI"/>
      <sheetName val="경비"/>
      <sheetName val="h_013211_2"/>
      <sheetName val="SG"/>
      <sheetName val="alat"/>
      <sheetName val="Upah"/>
      <sheetName val="주관사업"/>
      <sheetName val="납부내역"/>
      <sheetName val="전기"/>
      <sheetName val="기기리스트"/>
      <sheetName val="집계표"/>
      <sheetName val="개시대사 (2)"/>
      <sheetName val="合成単価作成表-BLDG"/>
      <sheetName val="세금자료"/>
      <sheetName val="경제지표"/>
      <sheetName val="사업부배부A"/>
      <sheetName val="요약배부"/>
      <sheetName val="Cover"/>
      <sheetName val="영업소실적"/>
      <sheetName val="구의33고"/>
      <sheetName val="계측 내역서"/>
      <sheetName val="97_사업추정(WEKI)1"/>
      <sheetName val="P_M_별1"/>
      <sheetName val="7__매출_투입_취하"/>
      <sheetName val="개시대사_(2)"/>
      <sheetName val="Sheet1"/>
      <sheetName val="LABTOTAL"/>
      <sheetName val="Sheet 1"/>
      <sheetName val="손익차9월2"/>
      <sheetName val="예정(3)"/>
      <sheetName val="동원(3)"/>
      <sheetName val="인사자료총집계"/>
      <sheetName val="소화실적"/>
      <sheetName val="인상효1"/>
      <sheetName val="96결산"/>
      <sheetName val="준검 내역서"/>
      <sheetName val="INSTR"/>
      <sheetName val="BQ"/>
      <sheetName val="전체내역서"/>
      <sheetName val="공통부대비"/>
      <sheetName val="기자재집계"/>
      <sheetName val="토목"/>
      <sheetName val="inter"/>
      <sheetName val="PIPE"/>
      <sheetName val="차수"/>
      <sheetName val="교각1"/>
      <sheetName val="교각계산"/>
      <sheetName val="BREAKDOWN(철거설치)"/>
      <sheetName val="리비아견적작업"/>
      <sheetName val="뜃맟뭁돽띿맟?-BLDG"/>
      <sheetName val="BREAKDOWN(신규설치)"/>
      <sheetName val="SUMMARY_철거"/>
      <sheetName val="REDUCER"/>
      <sheetName val="INPUT"/>
      <sheetName val="member design"/>
      <sheetName val="design criteria"/>
      <sheetName val="working load at the btm ft."/>
      <sheetName val="plan&amp;section of foundation"/>
      <sheetName val="단가산출서"/>
      <sheetName val="내역서(당초변경)"/>
      <sheetName val="비교1"/>
      <sheetName val="Regenerator  Concrete Structure"/>
      <sheetName val="일위대가(가설)"/>
      <sheetName val="D-623D"/>
      <sheetName val="soil bearing check"/>
      <sheetName val="기둥(원형)"/>
      <sheetName val="찍기"/>
      <sheetName val="단면 (2)"/>
      <sheetName val="97_사업추정(WEKI)2"/>
      <sheetName val="P_M_별2"/>
      <sheetName val="7__매출_투입_취하1"/>
      <sheetName val="RFP007"/>
      <sheetName val="SPT vs PHI"/>
      <sheetName val="BCPAB"/>
      <sheetName val="출자한도"/>
      <sheetName val="날개벽"/>
      <sheetName val="뜃맟뭁돽띿맟_-BLDG"/>
      <sheetName val="개시대사_(2)1"/>
      <sheetName val="계측_내역서"/>
      <sheetName val="Sheet_1"/>
      <sheetName val="준검_내역서"/>
      <sheetName val="Regenerator__Concrete_Structure"/>
      <sheetName val="Asset9809CAK"/>
      <sheetName val="주차구획선수량"/>
      <sheetName val="개산견적원본"/>
      <sheetName val="기본자료"/>
      <sheetName val="ITB COST"/>
      <sheetName val="AC포장수량"/>
      <sheetName val="Sheet4"/>
      <sheetName val="시화점실행"/>
      <sheetName val="95년12월말"/>
      <sheetName val="data_dci"/>
      <sheetName val="data_mci"/>
      <sheetName val="behind"/>
      <sheetName val="Main"/>
      <sheetName val="CAT_5"/>
      <sheetName val="내역서"/>
      <sheetName val="간접비내역-1"/>
      <sheetName val="BM"/>
      <sheetName val="B"/>
      <sheetName val="CTEMCOST"/>
      <sheetName val="개시전표"/>
      <sheetName val="공사집계"/>
      <sheetName val="입찰안"/>
      <sheetName val="업무분장"/>
      <sheetName val="DESIGN"/>
      <sheetName val="OCT.FDN"/>
      <sheetName val="운반"/>
      <sheetName val="소야공정계획표"/>
      <sheetName val="45,46"/>
      <sheetName val="시설물"/>
      <sheetName val="낙찰표"/>
      <sheetName val="자재"/>
      <sheetName val="내역"/>
      <sheetName val="진출철집"/>
      <sheetName val="소업1교"/>
      <sheetName val="토공정보"/>
      <sheetName val="두앙"/>
      <sheetName val="2"/>
      <sheetName val="EQT-ESTN"/>
      <sheetName val="95삼성급(본사)"/>
      <sheetName val="h-013211-2"/>
      <sheetName val="01"/>
      <sheetName val="다이꾸"/>
      <sheetName val="설산1.나"/>
      <sheetName val="본사S"/>
      <sheetName val="C"/>
      <sheetName val="당초"/>
      <sheetName val="9GNG운반"/>
      <sheetName val="갑지(추정)"/>
      <sheetName val="PRICES"/>
      <sheetName val="산근"/>
      <sheetName val="갑지"/>
      <sheetName val="업무분장 "/>
      <sheetName val="적용환율"/>
      <sheetName val="외화계약"/>
      <sheetName val="97_사업추정(WEKI)3"/>
      <sheetName val="P_M_별3"/>
      <sheetName val="7__매출_투입_취하2"/>
      <sheetName val="개시대사_(2)2"/>
      <sheetName val="계측_내역서1"/>
      <sheetName val="Sheet_11"/>
      <sheetName val="준검_내역서1"/>
      <sheetName val="Regenerator__Concrete_Structur1"/>
      <sheetName val="member_design"/>
      <sheetName val="design_criteria"/>
      <sheetName val="working_load_at_the_btm_ft_"/>
      <sheetName val="plan&amp;section_of_foundation"/>
      <sheetName val="soil_bearing_check"/>
      <sheetName val="단면_(2)"/>
      <sheetName val="SPT_vs_PHI"/>
      <sheetName val="BID"/>
      <sheetName val="Cover Daf_2"/>
      <sheetName val="품의"/>
      <sheetName val="회사99"/>
      <sheetName val="ITB_COST"/>
      <sheetName val="4.2.1 마루높이 검토"/>
      <sheetName val="매출계획"/>
      <sheetName val="SOS_PLC &amp; Panel"/>
      <sheetName val="판매"/>
      <sheetName val="GAEYO"/>
      <sheetName val="음료실행"/>
      <sheetName val="PRO_A"/>
      <sheetName val="ELEC_MCI"/>
      <sheetName val="INST_MCI"/>
      <sheetName val="MECH_MCI"/>
      <sheetName val="PRO"/>
      <sheetName val="L V Separator"/>
      <sheetName val="TACE"/>
      <sheetName val="토지조서(원본)"/>
      <sheetName val="CALCULATION"/>
      <sheetName val="현장지지물물량"/>
      <sheetName val="일위대가"/>
      <sheetName val="9_Material Rates"/>
      <sheetName val="1_References"/>
      <sheetName val="구매요청서 2차"/>
      <sheetName val="월별수입"/>
      <sheetName val="영동(D)"/>
      <sheetName val="생산액data"/>
      <sheetName val="SM1-09"/>
      <sheetName val="SM2-09"/>
      <sheetName val="MT-09"/>
      <sheetName val="Sheet2"/>
      <sheetName val="FC-101"/>
      <sheetName val="EDS고정비"/>
      <sheetName val="프랜트면허"/>
      <sheetName val="當期시산표(결재)"/>
      <sheetName val="시산표"/>
      <sheetName val="B767"/>
      <sheetName val="제출계산서"/>
      <sheetName val="안정검토"/>
      <sheetName val="SPEC"/>
      <sheetName val="FLANGE"/>
      <sheetName val="VALVE"/>
      <sheetName val="시가지우회도로공내역서"/>
      <sheetName val="arch-derivation"/>
      <sheetName val="Insulation_Utl_Off"/>
      <sheetName val="Note_Piping"/>
      <sheetName val="INPUT DATA"/>
      <sheetName val="수주실적0709"/>
      <sheetName val="영업2"/>
      <sheetName val="영업3"/>
      <sheetName val="Eng_Hrs (HO)"/>
      <sheetName val="일위(PN)"/>
      <sheetName val=" ｹ-ﾌﾞﾙ"/>
      <sheetName val="원가"/>
      <sheetName val="97_사업추정(WEKI)4"/>
      <sheetName val="P_M_별4"/>
      <sheetName val="7__매출_투입_취하3"/>
      <sheetName val="개시대사_(2)3"/>
      <sheetName val="계측_내역서2"/>
      <sheetName val="Sheet_12"/>
      <sheetName val="준검_내역서2"/>
      <sheetName val="Regenerator__Concrete_Structur2"/>
      <sheetName val="member_design1"/>
      <sheetName val="design_criteria1"/>
      <sheetName val="working_load_at_the_btm_ft_1"/>
      <sheetName val="plan&amp;section_of_foundation1"/>
      <sheetName val="SPT_vs_PHI1"/>
      <sheetName val="soil_bearing_check1"/>
      <sheetName val="단면_(2)1"/>
      <sheetName val="ITB_COST1"/>
      <sheetName val="OCT_FDN"/>
      <sheetName val="설산1_나"/>
      <sheetName val="업무분장_"/>
      <sheetName val="Cover_Daf_2"/>
      <sheetName val="SOS_PLC_&amp;_Panel"/>
      <sheetName val="4_2_1_마루높이_검토"/>
      <sheetName val="L_V_Separator"/>
      <sheetName val="97_사업추정(WEKI)5"/>
      <sheetName val="P_M_별5"/>
      <sheetName val="7__매출_투입_취하4"/>
      <sheetName val="개시대사_(2)4"/>
      <sheetName val="계측_내역서3"/>
      <sheetName val="Sheet_13"/>
      <sheetName val="준검_내역서3"/>
      <sheetName val="Regenerator__Concrete_Structur3"/>
      <sheetName val="member_design2"/>
      <sheetName val="design_criteria2"/>
      <sheetName val="working_load_at_the_btm_ft_2"/>
      <sheetName val="plan&amp;section_of_foundation2"/>
      <sheetName val="SPT_vs_PHI2"/>
      <sheetName val="soil_bearing_check2"/>
      <sheetName val="단면_(2)2"/>
      <sheetName val="ITB_COST2"/>
      <sheetName val="OCT_FDN1"/>
      <sheetName val="설산1_나1"/>
      <sheetName val="업무분장_1"/>
      <sheetName val="Cover_Daf_21"/>
      <sheetName val="SOS_PLC_&amp;_Panel1"/>
      <sheetName val="4_2_1_마루높이_검토1"/>
      <sheetName val="L_V_Separator1"/>
      <sheetName val="sow"/>
      <sheetName val="Bid Summary"/>
      <sheetName val="eq_data"/>
      <sheetName val="산출근거#2-3"/>
      <sheetName val="인원계획"/>
      <sheetName val="choose"/>
      <sheetName val="BLDG_DCI"/>
      <sheetName val="BLDG_MCI"/>
      <sheetName val="HX"/>
      <sheetName val="생산실적"/>
      <sheetName val="WIP"/>
      <sheetName val="품셈TABLE"/>
      <sheetName val="시설이용권명세서"/>
      <sheetName val="토공사"/>
      <sheetName val="COV"/>
      <sheetName val="TOTAL"/>
      <sheetName val="Lists"/>
      <sheetName val="石炭性状"/>
      <sheetName val="Inputs"/>
      <sheetName val="Eng_Hrs_(HO)"/>
      <sheetName val="Bid_Summary"/>
      <sheetName val="9_Material_Rates"/>
      <sheetName val="구매요청서_2차"/>
      <sheetName val="U-TYPE(1)"/>
      <sheetName val="Basic Data"/>
      <sheetName val="Calculation Cover Sheet"/>
      <sheetName val="单价分析表2"/>
      <sheetName val="MECHANICAL（水处理厂2)"/>
      <sheetName val="현금흐름"/>
      <sheetName val="유림콘도"/>
      <sheetName val="건축내역"/>
      <sheetName val="Grunddaten"/>
      <sheetName val="Produktdaten"/>
      <sheetName val="평균터파기고(1-2,ASP)"/>
      <sheetName val="CBD"/>
      <sheetName val="실행내역"/>
      <sheetName val="손익계산서(管理)"/>
      <sheetName val="Pipe and Shell"/>
      <sheetName val="Nozzle"/>
      <sheetName val="BQ AC - JATAKE II"/>
      <sheetName val="CASE A1 CPP"/>
      <sheetName val="DTCT"/>
      <sheetName val="plumbing"/>
      <sheetName val="Ex_Rate"/>
      <sheetName val="CIP_USD"/>
      <sheetName val="SUMMFA-USD"/>
      <sheetName val="Investment"/>
      <sheetName val="A3_USD_PL02"/>
      <sheetName val="ShareCapital"/>
      <sheetName val="Inventories"/>
      <sheetName val="CL-Cr-Process"/>
      <sheetName val="Div2"/>
      <sheetName val="골조시행"/>
      <sheetName val="매출 (3)"/>
      <sheetName val="RING WALL"/>
      <sheetName val="LEGEND i"/>
      <sheetName val="DATE"/>
      <sheetName val="중기일위대가"/>
      <sheetName val="노임단가"/>
      <sheetName val="Analisa"/>
      <sheetName val="4-Basic Price"/>
      <sheetName val="BAG_2"/>
      <sheetName val="H_S_BAHAN"/>
      <sheetName val="terbilang"/>
      <sheetName val="H.BAHAN"/>
      <sheetName val="DATA PROYEK"/>
      <sheetName val="4"/>
      <sheetName val="D.UPH&amp;PEK"/>
      <sheetName val="4.Footing Design"/>
      <sheetName val="2.Load Calculation"/>
      <sheetName val="3.Check For Stability"/>
      <sheetName val="SKETCH"/>
      <sheetName val="boq"/>
      <sheetName val="VA_code"/>
      <sheetName val="조명시설"/>
      <sheetName val="수식변수"/>
      <sheetName val="查询"/>
      <sheetName val="P2-Project Data"/>
      <sheetName val="배수통관(좌)"/>
      <sheetName val="배수내역"/>
      <sheetName val="증감내역서"/>
      <sheetName val="실행철강하도"/>
      <sheetName val="수량산출"/>
      <sheetName val="금융비용"/>
      <sheetName val="Ball"/>
      <sheetName val="공통가설"/>
      <sheetName val="실행예산-변경분"/>
      <sheetName val="주현(해보)"/>
      <sheetName val="주현(영광)"/>
      <sheetName val="현황"/>
      <sheetName val="ABUT수량-A1"/>
      <sheetName val="BBM-03"/>
      <sheetName val="Material"/>
      <sheetName val="BQ (1)"/>
      <sheetName val="INPUT DATAS"/>
      <sheetName val="insulation"/>
      <sheetName val="EPF NO"/>
      <sheetName val="수로교총재료집계"/>
      <sheetName val="worksheet"/>
      <sheetName val="RC Tabulation"/>
      <sheetName val="Dir-Conc "/>
      <sheetName val="RC_Tabulation"/>
      <sheetName val="Dir-Conc_"/>
      <sheetName val="pricing"/>
      <sheetName val="Old"/>
      <sheetName val="pricelist 1"/>
      <sheetName val="Division 3000"/>
      <sheetName val="Tower 1 "/>
      <sheetName val="산출기준(파견전산실)"/>
      <sheetName val="Pengalaman Per"/>
      <sheetName val="Fill this out first___"/>
      <sheetName val="Data"/>
      <sheetName val="PPH21"/>
      <sheetName val="REFERENSI"/>
      <sheetName val="RAB"/>
      <sheetName val="견적서"/>
      <sheetName val="관급"/>
      <sheetName val="시중노임단가"/>
      <sheetName val="정렬"/>
      <sheetName val="전신환매도율"/>
      <sheetName val="공사개요"/>
      <sheetName val="PriceSummary"/>
      <sheetName val="97_사업추정(WEKI)6"/>
      <sheetName val="P_M_별6"/>
      <sheetName val="7__매출_투입_취하5"/>
      <sheetName val="개시대사_(2)5"/>
      <sheetName val="준검_내역서4"/>
      <sheetName val="계측_내역서4"/>
      <sheetName val="Sheet_14"/>
      <sheetName val="member_design3"/>
      <sheetName val="design_criteria3"/>
      <sheetName val="working_load_at_the_btm_ft_3"/>
      <sheetName val="plan&amp;section_of_foundation3"/>
      <sheetName val="Regenerator__Concrete_Structur4"/>
      <sheetName val="SPT_vs_PHI3"/>
      <sheetName val="soil_bearing_check3"/>
      <sheetName val="단면_(2)3"/>
      <sheetName val="ITB_COST3"/>
      <sheetName val="OCT_FDN2"/>
      <sheetName val="설산1_나2"/>
      <sheetName val="Cover_Daf_22"/>
      <sheetName val="업무분장_2"/>
      <sheetName val="SOS_PLC_&amp;_Panel2"/>
      <sheetName val="L_V_Separator2"/>
      <sheetName val="4_2_1_마루높이_검토2"/>
      <sheetName val="Eng_Hrs_(HO)1"/>
      <sheetName val="9_Material_Rates1"/>
      <sheetName val="Bid_Summary1"/>
      <sheetName val="구매요청서_2차1"/>
      <sheetName val="INPUT_DATA"/>
      <sheetName val="_ｹ-ﾌﾞﾙ"/>
      <sheetName val="일위대가표"/>
      <sheetName val="ﾄﾞﾊﾞｲFUEL GAS追見"/>
      <sheetName val="UPA(Part C,D,E,G,H)"/>
      <sheetName val="UPA(Part F)"/>
      <sheetName val="Materials"/>
      <sheetName val="일위대가 (Part C,D,E,G,H)"/>
      <sheetName val="GAE8'97"/>
      <sheetName val="94D"/>
      <sheetName val="95D"/>
      <sheetName val="공통비총괄표"/>
      <sheetName val="Assumptions"/>
      <sheetName val="List"/>
      <sheetName val="GAJI"/>
      <sheetName val="Rooms"/>
      <sheetName val="11 Hanwha add Oct"/>
      <sheetName val="COVER-P"/>
      <sheetName val="det"/>
      <sheetName val="deriv"/>
      <sheetName val="Sched of Rates"/>
      <sheetName val="RATES G-5"/>
      <sheetName val="RSB_RATIO"/>
      <sheetName val="05. VO Log (Master Data)"/>
      <sheetName val="Rebars"/>
      <sheetName val="float&amp;bear"/>
      <sheetName val="Kfracture"/>
      <sheetName val="Eq. Mobilization"/>
      <sheetName val="DESBAST"/>
      <sheetName val="마감물량"/>
      <sheetName val="차액보증"/>
      <sheetName val="Personnel"/>
      <sheetName val="MANHOLE"/>
      <sheetName val="チューブ仕様"/>
      <sheetName val="6PILE  (돌출)"/>
      <sheetName val="A"/>
      <sheetName val="RefG"/>
      <sheetName val="IRR sponsor"/>
      <sheetName val="D-3109"/>
      <sheetName val="U_A Input"/>
      <sheetName val="tabulation of deductions"/>
      <sheetName val="보온자재단가표"/>
      <sheetName val="RecoveredExternalLink1"/>
      <sheetName val="Equipment"/>
      <sheetName val="Labor"/>
      <sheetName val="4-Lane bridge"/>
      <sheetName val="Arch"/>
      <sheetName val="BOQp4"/>
      <sheetName val="EPS Chart_CRNv2"/>
      <sheetName val="유림골조"/>
      <sheetName val="EQUIP LIST"/>
      <sheetName val="협조전"/>
      <sheetName val="Z"/>
      <sheetName val="Cash2"/>
      <sheetName val="금액내역서"/>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sheetData sheetId="101"/>
      <sheetData sheetId="102"/>
      <sheetData sheetId="103"/>
      <sheetData sheetId="104"/>
      <sheetData sheetId="105"/>
      <sheetData sheetId="106"/>
      <sheetData sheetId="107"/>
      <sheetData sheetId="108" refreshError="1"/>
      <sheetData sheetId="109" refreshError="1"/>
      <sheetData sheetId="110" refreshError="1"/>
      <sheetData sheetId="111" refreshError="1"/>
      <sheetData sheetId="112" refreshError="1"/>
      <sheetData sheetId="113" refreshError="1"/>
      <sheetData sheetId="114"/>
      <sheetData sheetId="115"/>
      <sheetData sheetId="116"/>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sheetData sheetId="309"/>
      <sheetData sheetId="310"/>
      <sheetData sheetId="311"/>
      <sheetData sheetId="312" refreshError="1"/>
      <sheetData sheetId="313" refreshError="1"/>
      <sheetData sheetId="314" refreshError="1"/>
      <sheetData sheetId="315" refreshError="1"/>
      <sheetData sheetId="316" refreshError="1"/>
      <sheetData sheetId="317" refreshError="1"/>
      <sheetData sheetId="318"/>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sheetData sheetId="39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상반기손익차2총괄"/>
      <sheetName val="9-1차이내역"/>
      <sheetName val="수입"/>
      <sheetName val="INPUT DATA"/>
      <sheetName val="인원계획"/>
      <sheetName val="PRO_DCI"/>
      <sheetName val="INST_DCI"/>
      <sheetName val="HVAC_DCI"/>
      <sheetName val="PIPE_DCI"/>
      <sheetName val="영업소실적"/>
      <sheetName val="세금자료"/>
      <sheetName val="요약배부"/>
      <sheetName val="주관사업"/>
      <sheetName val="eq_data"/>
      <sheetName val="VC2 8.98"/>
      <sheetName val="Summary Sheets"/>
      <sheetName val="경제지표"/>
      <sheetName val="summ"/>
      <sheetName val="h-013211-2"/>
      <sheetName val="97 사업추정(WEKI)"/>
      <sheetName val="계약고변"/>
      <sheetName val="선투입재고 "/>
      <sheetName val="상반기 실적추정 총괄표 (2)"/>
      <sheetName val="상반기 실적추정 총괄표"/>
      <sheetName val="손익차상반기총괄"/>
      <sheetName val="설계명세서"/>
      <sheetName val="전기"/>
      <sheetName val="결산실적01"/>
      <sheetName val="변경품셈총괄"/>
      <sheetName val="사업추정"/>
      <sheetName val="일위대가"/>
      <sheetName val="단가대비표"/>
      <sheetName val="#REF"/>
      <sheetName val="노임단가"/>
      <sheetName val="수목데이타 "/>
      <sheetName val="견적"/>
      <sheetName val="간접비 총괄표"/>
      <sheetName val="안전장치"/>
      <sheetName val="실행내역 "/>
      <sheetName val="매각(6)"/>
      <sheetName val="집계표"/>
      <sheetName val="수량산출"/>
      <sheetName val="TT 매입율"/>
      <sheetName val="Sheet1"/>
      <sheetName val="부표총괄"/>
      <sheetName val="현장배치"/>
      <sheetName val="BOJUNGGM"/>
      <sheetName val="기성수금(단단위)"/>
      <sheetName val="원가매출(단단위)"/>
      <sheetName val="현장"/>
      <sheetName val="첨부1"/>
      <sheetName val="원가계산서(남측)"/>
      <sheetName val="1-11조직표"/>
      <sheetName val="금액결정"/>
      <sheetName val="총괄내역서"/>
      <sheetName val="남대문빌딩"/>
      <sheetName val="DATE"/>
      <sheetName val="개시전표"/>
      <sheetName val="공사집계"/>
      <sheetName val="1_11조직표"/>
      <sheetName val="Sheet4"/>
      <sheetName val="등급"/>
      <sheetName val="당초"/>
      <sheetName val="손익차9월2"/>
      <sheetName val="SIMULATION"/>
      <sheetName val="단가비교(TOTAL)"/>
      <sheetName val="실행대비"/>
      <sheetName val="공문"/>
      <sheetName val="소화실적"/>
      <sheetName val="산수배수"/>
      <sheetName val="자료"/>
      <sheetName val="유림골조"/>
      <sheetName val="대비"/>
      <sheetName val="직노"/>
      <sheetName val="설계예시"/>
      <sheetName val=" OVERALL"/>
      <sheetName val="SUMMARY"/>
      <sheetName val="1"/>
      <sheetName val="2.1"/>
      <sheetName val="2.2"/>
      <sheetName val="2.3"/>
      <sheetName val="2.4"/>
      <sheetName val="3"/>
      <sheetName val="4"/>
      <sheetName val="5.1"/>
      <sheetName val="5.2"/>
      <sheetName val="5.3"/>
      <sheetName val="6"/>
      <sheetName val="7"/>
      <sheetName val="8.1"/>
      <sheetName val="8.2"/>
      <sheetName val="9"/>
      <sheetName val="10"/>
      <sheetName val="11"/>
      <sheetName val="ATTACHMENT 1"/>
      <sheetName val="단가표"/>
      <sheetName val="INSTR"/>
      <sheetName val="MANHOLE"/>
      <sheetName val="95삼성급(본사)"/>
      <sheetName val="기준"/>
      <sheetName val="Basic"/>
      <sheetName val="inter"/>
      <sheetName val="sum3"/>
      <sheetName val="Cover"/>
      <sheetName val="제경비"/>
      <sheetName val="금액내역서"/>
      <sheetName val="Sheet2"/>
      <sheetName val="갑지"/>
      <sheetName val="산근"/>
      <sheetName val="사업부배부A"/>
      <sheetName val="97_사업추정(WEKI)"/>
      <sheetName val="노임9월"/>
      <sheetName val="노임"/>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sheetData sheetId="111" refreshError="1"/>
      <sheetData sheetId="112" refreshError="1"/>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97 사업추정(WEKI)"/>
      <sheetName val="97 사업추정_WEKI_"/>
      <sheetName val="상반기손익차2총괄"/>
      <sheetName val="1-11조직표"/>
      <sheetName val="수입"/>
      <sheetName val="손익차9월2"/>
      <sheetName val="시행예산"/>
      <sheetName val="RCF CLAIMED"/>
      <sheetName val="9-1차이내역"/>
      <sheetName val="전기"/>
      <sheetName val="환율"/>
      <sheetName val="Info"/>
      <sheetName val="회사99"/>
      <sheetName val="정부노임단가"/>
      <sheetName val="97 »ç¾÷ÃßÁ¤(WEKI)"/>
      <sheetName val="사업부배부A"/>
      <sheetName val="Sheet5"/>
      <sheetName val="영업소실적"/>
      <sheetName val="소화실적"/>
      <sheetName val="unit 4"/>
      <sheetName val="J直材4"/>
      <sheetName val="N賃率-職"/>
      <sheetName val="청산공사"/>
      <sheetName val="Sheet2"/>
      <sheetName val="#REF"/>
      <sheetName val="PumpSpec"/>
      <sheetName val="Sheet4"/>
      <sheetName val="EACT10"/>
      <sheetName val="일위대가"/>
      <sheetName val="직노"/>
      <sheetName val="수량집계"/>
      <sheetName val="총괄집계표"/>
      <sheetName val="97SAUPCU"/>
      <sheetName val="Expat Conditions"/>
      <sheetName val="투찰가"/>
      <sheetName val="eq_data"/>
      <sheetName val="97 ????(WEKI)"/>
      <sheetName val="현금"/>
      <sheetName val="fitting"/>
      <sheetName val="VENDOR LIST"/>
      <sheetName val="공통비"/>
      <sheetName val="Total"/>
      <sheetName val="단면가정"/>
      <sheetName val="Optio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손익차9월2"/>
      <sheetName val="97 사업추정(WEKI)"/>
      <sheetName val="eq_data"/>
      <sheetName val="인원계획"/>
      <sheetName val="수입"/>
      <sheetName val="9-1차이내역"/>
      <sheetName val="주관사업"/>
    </sheetNames>
    <sheetDataSet>
      <sheetData sheetId="0" refreshError="1"/>
      <sheetData sheetId="1" refreshError="1"/>
      <sheetData sheetId="2" refreshError="1"/>
      <sheetData sheetId="3" refreshError="1"/>
      <sheetData sheetId="4" refreshError="1"/>
      <sheetData sheetId="5" refreshError="1"/>
      <sheetData sheetId="6" refreshError="1"/>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주관사업"/>
      <sheetName val="세부기준"/>
      <sheetName val="2003.02월수금계획"/>
      <sheetName val="2002_건설용역비미수금현황"/>
      <sheetName val="영업소실적"/>
      <sheetName val="Piping Design Data"/>
      <sheetName val="현장"/>
      <sheetName val="MOKDONG(1)"/>
      <sheetName val="회사99"/>
      <sheetName val="9-1차이내역"/>
      <sheetName val="손익차9월2"/>
      <sheetName val="Sheet1"/>
      <sheetName val="공문"/>
      <sheetName val="97 사업추정(WEKI)"/>
      <sheetName val="손익차총괄2"/>
      <sheetName val="공통"/>
      <sheetName val="공통비총괄표"/>
      <sheetName val="Sheet2"/>
      <sheetName val="삭제금지단가"/>
      <sheetName val="P.M 별"/>
      <sheetName val="95삼성급(본사)"/>
      <sheetName val="95년12월말"/>
      <sheetName val="사업부배부"/>
      <sheetName val="계정실적"/>
      <sheetName val="계정보고"/>
      <sheetName val="계정보고 (2)"/>
      <sheetName val="요약배부"/>
      <sheetName val="요약배부 (보고)"/>
      <sheetName val="요약배부 (보고) (2)"/>
      <sheetName val="10월계정별"/>
      <sheetName val="10월년간추정"/>
      <sheetName val="배부부별"/>
      <sheetName val="배부비목"/>
      <sheetName val="임대원가"/>
      <sheetName val="기타매출"/>
      <sheetName val="기타매출 (2)"/>
      <sheetName val="기타매출 (3)"/>
      <sheetName val="새마을금고"/>
      <sheetName val="Module1"/>
      <sheetName val="참고인원"/>
      <sheetName val="설계"/>
      <sheetName val="품셈TABLE"/>
      <sheetName val="국내"/>
      <sheetName val="수입"/>
      <sheetName val="당초"/>
      <sheetName val="보온자재단가표"/>
      <sheetName val="단가표"/>
      <sheetName val="경비_원본"/>
      <sheetName val="노임단가"/>
      <sheetName val="삼보지질"/>
      <sheetName val="부표총괄"/>
      <sheetName val="품셈1-"/>
      <sheetName val="STAND20"/>
      <sheetName val="유림골조"/>
      <sheetName val="合成単価作成表-BLDG"/>
      <sheetName val="집계표(OPTION)"/>
      <sheetName val="정산표2"/>
      <sheetName val="정산표"/>
      <sheetName val="와동25-3(변경)"/>
      <sheetName val="상반기손익차2총괄"/>
      <sheetName val="부안일위"/>
      <sheetName val="2003_02월수금계획"/>
      <sheetName val="Piping_Design_Data"/>
      <sheetName val="97_사업추정(WEKI)"/>
      <sheetName val="P_M_별"/>
      <sheetName val="일위_파일"/>
      <sheetName val="M-EQPT-Z"/>
      <sheetName val="소화실적"/>
      <sheetName val="집계표"/>
      <sheetName val="개시대사 (2)"/>
      <sheetName val="보증금(전신전화가입권)"/>
      <sheetName val="RCF CLAIMED"/>
      <sheetName val="Equipment (5)"/>
      <sheetName val="KP1590_E"/>
      <sheetName val="JOB Assign"/>
      <sheetName val="#REF"/>
      <sheetName val="입찰안"/>
      <sheetName val="현금"/>
      <sheetName val="예가표"/>
      <sheetName val="INPUT DATA"/>
      <sheetName val="B"/>
      <sheetName val="Total"/>
      <sheetName val="Customer Databas"/>
      <sheetName val="EACT10"/>
      <sheetName val="가격조사서"/>
      <sheetName val="금액내역서"/>
      <sheetName val="내역서"/>
      <sheetName val="원가계산서"/>
      <sheetName val="Peralatan (2)"/>
      <sheetName val="건축"/>
      <sheetName val="Doha WBS Clean"/>
      <sheetName val="적용대가"/>
      <sheetName val="공사비PK5월"/>
      <sheetName val="DCS"/>
      <sheetName val="ANALYSER"/>
      <sheetName val="3.바닥판설계"/>
      <sheetName val="주형"/>
      <sheetName val="토사(PE)"/>
      <sheetName val="인원계획"/>
      <sheetName val="사업부배부A"/>
      <sheetName val="eq_data"/>
      <sheetName val="카메라"/>
      <sheetName val="제작비추산총괄표"/>
      <sheetName val="물가자료"/>
      <sheetName val="new급여T(4을-운전)"/>
      <sheetName val="총괄표"/>
      <sheetName val="구의33고"/>
      <sheetName val="BATCH"/>
      <sheetName val="Sheet3"/>
      <sheetName val="2003_02월수금계획1"/>
      <sheetName val="Piping_Design_Data1"/>
      <sheetName val="97_사업추정(WEKI)1"/>
      <sheetName val="P_M_별1"/>
      <sheetName val="계정보고_(2)"/>
      <sheetName val="요약배부_(보고)"/>
      <sheetName val="요약배부_(보고)_(2)"/>
      <sheetName val="기타매출_(2)"/>
      <sheetName val="기타매출_(3)"/>
      <sheetName val="개시대사_(2)"/>
      <sheetName val="RCF_CLAIMED"/>
      <sheetName val="Equipment_(5)"/>
      <sheetName val="JOB_Assign"/>
      <sheetName val="INPUT_DATA"/>
      <sheetName val="Customer_Databas"/>
      <sheetName val="Doha_WBS_Clean"/>
      <sheetName val="Peralatan_(2)"/>
      <sheetName val="3_바닥판설계"/>
      <sheetName val="Sheet11"/>
      <sheetName val="약품설비"/>
      <sheetName val="정부노임단가"/>
      <sheetName val="직S"/>
      <sheetName val="예산M2"/>
      <sheetName val="예산M12A"/>
      <sheetName val="공통가설"/>
      <sheetName val="CB"/>
      <sheetName val="노무비단가"/>
      <sheetName val="cable-data"/>
      <sheetName val="수안보-MBR1"/>
      <sheetName val="평균인원"/>
      <sheetName val="산출서"/>
      <sheetName val="간접"/>
      <sheetName val="전기혼잡제경비(45)"/>
      <sheetName val="6PILE  (돌출)"/>
      <sheetName val="95하U$가격"/>
      <sheetName val="건설성적"/>
      <sheetName val="1월"/>
      <sheetName val="터널조도"/>
      <sheetName val="년말집계"/>
      <sheetName val="OD5000"/>
      <sheetName val="WIND"/>
      <sheetName val="DATE"/>
      <sheetName val="COMPRESSOR"/>
      <sheetName val="배수공 주요자재 집계표"/>
      <sheetName val="WIND-EQ"/>
      <sheetName val="HORI. VESSEL"/>
      <sheetName val="CBE-VSL"/>
      <sheetName val="TTL"/>
      <sheetName val="공정회의자료(월요일 10시까지)"/>
      <sheetName val="수주추정"/>
      <sheetName val="기계사급자재"/>
      <sheetName val="Paint,Fire-Proof,Insul(48)"/>
      <sheetName val="DB"/>
      <sheetName val="BID"/>
      <sheetName val="설 계"/>
      <sheetName val="품셈표"/>
      <sheetName val="VXXXXXXX"/>
      <sheetName val="#3E1_GCR"/>
      <sheetName val="BRICK"/>
      <sheetName val="Tension"/>
      <sheetName val="15.도급예산대비표"/>
      <sheetName val="배수내역"/>
      <sheetName val="합계잔액시산표"/>
      <sheetName val="상품입고집계"/>
      <sheetName val="SCH"/>
      <sheetName val="조직표"/>
      <sheetName val="필리핀"/>
      <sheetName val="지사인원사무실"/>
      <sheetName val="적용토목"/>
      <sheetName val="평자재단가"/>
      <sheetName val="Summary Sheets"/>
      <sheetName val="B31.1"/>
      <sheetName val="PSIZE"/>
      <sheetName val="청산공사"/>
      <sheetName val="10현장조직"/>
      <sheetName val="협력업체전기요금"/>
      <sheetName val="COVER-P"/>
      <sheetName val="WORKER"/>
      <sheetName val="하조서"/>
      <sheetName val="sum"/>
      <sheetName val="토적계산"/>
      <sheetName val="표지"/>
      <sheetName val="96 능제취입"/>
      <sheetName val="content(내부)"/>
      <sheetName val="7.4.1.A(input)"/>
      <sheetName val="7.4.1(B) BOQ Breakdown"/>
      <sheetName val="7.4.1.C(scope)"/>
      <sheetName val="7.4.1.D(Basis)"/>
      <sheetName val="7.4.1.E(allow)"/>
      <sheetName val="7.4.2.A-Build(list)"/>
      <sheetName val="7.4.3.B-BOQ-SUM"/>
      <sheetName val="7.4.3(BOQ_각표지)"/>
      <sheetName val="7.4.3.A(Shelter)"/>
      <sheetName val="7.4.3.B(Module)"/>
      <sheetName val="7.4.3.C(Shelter-FLB)"/>
      <sheetName val="7.4.3.D(Brief Spec.)"/>
      <sheetName val="새공통"/>
      <sheetName val="수문일1"/>
      <sheetName val="일위대가"/>
      <sheetName val="돈"/>
      <sheetName val="기본단가"/>
      <sheetName val="신대방33(적용)"/>
      <sheetName val="수주실적0709"/>
      <sheetName val="실행철강하도"/>
      <sheetName val="1차배부(JB포함)"/>
      <sheetName val="마케팅"/>
      <sheetName val="9GNG운반"/>
      <sheetName val="경비공통"/>
      <sheetName val="VXXXXX"/>
      <sheetName val="도급"/>
      <sheetName val="BLIND FLANGE"/>
      <sheetName val="CAP"/>
      <sheetName val="ELBOW"/>
      <sheetName val="FLANGE"/>
      <sheetName val="PIPE NPS OD"/>
      <sheetName val="OLET"/>
      <sheetName val="REDUCER"/>
      <sheetName val="TEE"/>
      <sheetName val="공사비 내역 (가)"/>
      <sheetName val="INPUT DATA OF SCHEDULE"/>
      <sheetName val="2003_02월수금계획2"/>
      <sheetName val="Piping_Design_Data2"/>
      <sheetName val="97_사업추정(WEKI)2"/>
      <sheetName val="P_M_별2"/>
      <sheetName val="계정보고_(2)1"/>
      <sheetName val="요약배부_(보고)1"/>
      <sheetName val="요약배부_(보고)_(2)1"/>
      <sheetName val="기타매출_(2)1"/>
      <sheetName val="기타매출_(3)1"/>
      <sheetName val="개시대사_(2)1"/>
      <sheetName val="RCF_CLAIMED1"/>
      <sheetName val="BOROUGE2"/>
      <sheetName val="현대본사"/>
      <sheetName val="재료율"/>
      <sheetName val="제출내역 (2)"/>
      <sheetName val="직원동원SCH"/>
      <sheetName val="세금자료"/>
      <sheetName val="경제지표"/>
      <sheetName val="실적"/>
      <sheetName val="공통부대비"/>
      <sheetName val="99년하반기"/>
      <sheetName val="공사비내역"/>
      <sheetName val="차량별점검"/>
      <sheetName val="토목"/>
      <sheetName val="한화건설"/>
      <sheetName val="실행내역"/>
      <sheetName val="경상"/>
      <sheetName val="Sheet6"/>
      <sheetName val="BQ"/>
      <sheetName val="IMP(MAIN)"/>
      <sheetName val="IMP (REACTOR)"/>
      <sheetName val="Equipment_(5)1"/>
      <sheetName val="JOB_Assign1"/>
      <sheetName val="INPUT_DATA1"/>
      <sheetName val="Customer_Databas1"/>
      <sheetName val="Doha_WBS_Clean1"/>
      <sheetName val="3_바닥판설계1"/>
      <sheetName val="Peralatan_(2)1"/>
      <sheetName val="6PILE__(돌출)"/>
      <sheetName val="BLIND_FLANGE"/>
      <sheetName val="PIPE_NPS_OD"/>
      <sheetName val="설_계"/>
      <sheetName val="15_도급예산대비표"/>
      <sheetName val="Summary_Sheets"/>
      <sheetName val="B31_1"/>
      <sheetName val="8"/>
      <sheetName val="10"/>
      <sheetName val="12"/>
      <sheetName val="9"/>
      <sheetName val="11"/>
      <sheetName val="2"/>
      <sheetName val="내역표지"/>
      <sheetName val="VV보온LINK"/>
      <sheetName val="FIT보온LINK"/>
      <sheetName val="간접비 총괄표"/>
      <sheetName val="IT-BAT"/>
      <sheetName val="ysn"/>
      <sheetName val="갑지"/>
      <sheetName val="lab"/>
      <sheetName val="Weld, NDE (Pipe)"/>
      <sheetName val="ANX3A65"/>
      <sheetName val="할증 "/>
      <sheetName val="D-623D"/>
      <sheetName val="총괄-1"/>
      <sheetName val="CAT_5"/>
      <sheetName val="W42  "/>
      <sheetName val="NYS"/>
      <sheetName val="Regenerator  Concrete Structure"/>
      <sheetName val="96_능제취입"/>
      <sheetName val="PRO_A"/>
      <sheetName val="ELEC_MCI"/>
      <sheetName val="MAIN"/>
      <sheetName val="INST_MCI"/>
      <sheetName val="MECH_MCI"/>
      <sheetName val="PRO"/>
      <sheetName val="평3"/>
      <sheetName val="사급자재"/>
      <sheetName val="적용단가"/>
      <sheetName val="Malaysia incl. RET"/>
      <sheetName val="직노"/>
      <sheetName val="저"/>
      <sheetName val="수성페인트도장 내역서"/>
      <sheetName val="인건-측정"/>
      <sheetName val="자재단가"/>
      <sheetName val="Sheet5"/>
      <sheetName val="1.취수장"/>
      <sheetName val="토공사"/>
      <sheetName val="단가"/>
      <sheetName val="기초자료입력및 K치 확인"/>
      <sheetName val="재료"/>
      <sheetName val="내역_ver1.0"/>
      <sheetName val="내역서1"/>
      <sheetName val="교각1"/>
      <sheetName val="토목주소"/>
      <sheetName val="프랜트면허"/>
      <sheetName val="예산M6-B"/>
      <sheetName val="견적대비"/>
      <sheetName val="기안"/>
      <sheetName val="을"/>
      <sheetName val=" 냉각수펌프"/>
      <sheetName val="공조기휀"/>
      <sheetName val="AHU집계"/>
      <sheetName val="5사남"/>
      <sheetName val="기계내역"/>
      <sheetName val="FWBS7000,8000"/>
      <sheetName val="대전-교대(A1-A2)"/>
      <sheetName val="포장공"/>
      <sheetName val="변동률산출"/>
      <sheetName val="tcm_bq_MH"/>
      <sheetName val="982월원안"/>
      <sheetName val="견적단가"/>
      <sheetName val="DWG"/>
      <sheetName val="ELEC_DCI"/>
      <sheetName val="INST_DCI"/>
      <sheetName val=""/>
      <sheetName val="BLDG_DCI"/>
      <sheetName val="BLDG_MCI"/>
      <sheetName val="TOT-SUM"/>
      <sheetName val="Manmonth(입력)"/>
      <sheetName val="list"/>
      <sheetName val="BREAKDOWN(철거설치)"/>
      <sheetName val="PRO_DCI"/>
      <sheetName val="HVAC_DCI"/>
      <sheetName val="PIPE_DCI"/>
      <sheetName val="신표지1"/>
      <sheetName val="INPUT"/>
      <sheetName val="용소리교"/>
      <sheetName val="ACUNIT"/>
      <sheetName val="구조물공"/>
      <sheetName val="주beam"/>
      <sheetName val="VENDOR LIST"/>
      <sheetName val="선수금반제"/>
      <sheetName val="지사인원"/>
      <sheetName val="Basic"/>
      <sheetName val="기계"/>
      <sheetName val="토량산출서"/>
      <sheetName val="입찰보고"/>
      <sheetName val="산근터빈"/>
      <sheetName val="FAB별"/>
      <sheetName val="6호기"/>
      <sheetName val="평형공사비"/>
      <sheetName val="2.대외공문"/>
      <sheetName val="MEED"/>
      <sheetName val="¼ÕÀÍÂ÷9¿ù2"/>
      <sheetName val="견적서"/>
      <sheetName val="97 사업추정_WEKI_"/>
      <sheetName val="jobhist"/>
      <sheetName val="97"/>
      <sheetName val="General Data"/>
      <sheetName val="EQUIP"/>
      <sheetName val="무전표"/>
      <sheetName val="입찰"/>
      <sheetName val="현경"/>
      <sheetName val="식재인부"/>
      <sheetName val="경비2내역"/>
      <sheetName val="CAL(1)."/>
      <sheetName val="뜃맟뭁돽띿맟?-BLDG"/>
      <sheetName val="시공집계"/>
      <sheetName val="산출근거#2-3"/>
      <sheetName val="공사설계서"/>
      <sheetName val="공통비"/>
      <sheetName val="XL4Poppy"/>
      <sheetName val=" "/>
      <sheetName val="N賃率-職"/>
      <sheetName val="지급자재"/>
      <sheetName val="Cash"/>
      <sheetName val="금리계산"/>
      <sheetName val="단가산출"/>
      <sheetName val="토 적 표"/>
      <sheetName val="월별인건비현황"/>
      <sheetName val="data"/>
      <sheetName val="내역"/>
      <sheetName val="GAEYO"/>
      <sheetName val="음료실행"/>
      <sheetName val="시설물일위"/>
      <sheetName val="금액"/>
      <sheetName val="노임"/>
      <sheetName val="L V Separator"/>
      <sheetName val="2공구산출내역"/>
      <sheetName val="부대내역"/>
      <sheetName val="단가비교"/>
      <sheetName val="조경일람"/>
      <sheetName val="공정코드"/>
      <sheetName val="총괄집계 "/>
      <sheetName val="부속동"/>
      <sheetName val="배수내역 (2)"/>
      <sheetName val="BLR-S"/>
      <sheetName val="공정산출"/>
      <sheetName val="참고1"/>
      <sheetName val="insulation"/>
      <sheetName val="PRICE-COMP"/>
      <sheetName val="할증_"/>
      <sheetName val="전기단가조사서"/>
      <sheetName val="TABLE-A"/>
      <sheetName val="품조정율(97-99)"/>
      <sheetName val="내역(전력)"/>
      <sheetName val="98수문일위"/>
      <sheetName val="Container항차정리"/>
      <sheetName val="외화금융(97-03)"/>
      <sheetName val="조정전"/>
      <sheetName val="P_M 별"/>
      <sheetName val="설_계1"/>
      <sheetName val="15_도급예산대비표1"/>
      <sheetName val="Summary_Sheets1"/>
      <sheetName val="B31_11"/>
      <sheetName val="계정보고_(2)2"/>
      <sheetName val="요약배부_(보고)2"/>
      <sheetName val="요약배부_(보고)_(2)2"/>
      <sheetName val="기타매출_(2)2"/>
      <sheetName val="기타매출_(3)2"/>
      <sheetName val="15_도급예산대비표2"/>
      <sheetName val="설_계2"/>
      <sheetName val="Summary_Sheets2"/>
      <sheetName val="B31_12"/>
      <sheetName val="W42__"/>
      <sheetName val="원본"/>
      <sheetName val="작성기준"/>
      <sheetName val="남양내역"/>
      <sheetName val="내역서(당초변경)"/>
      <sheetName val="점수계산1-2"/>
      <sheetName val="원가"/>
      <sheetName val="AS복구"/>
      <sheetName val="중기터파기"/>
      <sheetName val="변수값"/>
      <sheetName val="중기상차"/>
      <sheetName val="공사진행"/>
      <sheetName val="문학간접"/>
      <sheetName val="Proposal"/>
      <sheetName val="단위가격"/>
      <sheetName val="관급"/>
      <sheetName val="tjexcel"/>
      <sheetName val="Prices"/>
      <sheetName val="Y-MOV2011"/>
      <sheetName val="ÁÖ°ü»ç¾÷"/>
      <sheetName val="#13_Electrical"/>
      <sheetName val="뜃맟뭁돽띿맟_-BLDG"/>
      <sheetName val="MOTOR"/>
      <sheetName val="DPRKMHDT"/>
      <sheetName val="공사비예산서(토목분)"/>
      <sheetName val="TB-내역서"/>
      <sheetName val="MACRO(전선관)"/>
      <sheetName val="명세서"/>
      <sheetName val="Quantity"/>
      <sheetName val="info"/>
      <sheetName val="98지급계획"/>
      <sheetName val="XXXXXXXX"/>
      <sheetName val="지장물조서"/>
      <sheetName val="토지조서"/>
      <sheetName val="비교재무제표"/>
      <sheetName val="표준지"/>
      <sheetName val="CF2"/>
      <sheetName val="CF4"/>
      <sheetName val="CF5"/>
      <sheetName val="CF7"/>
      <sheetName val="CF8"/>
      <sheetName val="GF3"/>
      <sheetName val="128M"/>
      <sheetName val="16EDO"/>
      <sheetName val="16SD"/>
      <sheetName val="16WB"/>
      <sheetName val="256M"/>
      <sheetName val="4M"/>
      <sheetName val="64EDO"/>
      <sheetName val="64SD"/>
      <sheetName val="DRD"/>
      <sheetName val="SRAM"/>
      <sheetName val="법곳동"/>
      <sheetName val="대화동"/>
      <sheetName val="명세표"/>
      <sheetName val="Intro2"/>
      <sheetName val="Id"/>
      <sheetName val="변수"/>
      <sheetName val="토지평가조서"/>
      <sheetName val="2차보상토지"/>
      <sheetName val="수식변수"/>
      <sheetName val="0고과평균 및 편차조정 (2)"/>
      <sheetName val="품셈1-26"/>
      <sheetName val="반포2차"/>
      <sheetName val="에너지동"/>
      <sheetName val="단가(LP)"/>
      <sheetName val="휴일check"/>
      <sheetName val="차액보증"/>
      <sheetName val="Code_Magics"/>
      <sheetName val="Code"/>
      <sheetName val="1련,2련"/>
      <sheetName val="변품8-37"/>
      <sheetName val="우수"/>
      <sheetName val="2003_02월수금계획3"/>
      <sheetName val="Piping_Design_Data3"/>
      <sheetName val="97_사업추정(WEKI)3"/>
      <sheetName val="P_M_별3"/>
      <sheetName val="개시대사_(2)2"/>
      <sheetName val="Equipment_(5)2"/>
      <sheetName val="RCF_CLAIMED2"/>
      <sheetName val="JOB_Assign2"/>
      <sheetName val="INPUT_DATA2"/>
      <sheetName val="Customer_Databas2"/>
      <sheetName val="Doha_WBS_Clean2"/>
      <sheetName val="Peralatan_(2)2"/>
      <sheetName val="3_바닥판설계2"/>
      <sheetName val="6PILE__(돌출)1"/>
      <sheetName val="BLIND_FLANGE1"/>
      <sheetName val="PIPE_NPS_OD1"/>
      <sheetName val="배수공_주요자재_집계표"/>
      <sheetName val="HORI__VESSEL"/>
      <sheetName val="7_4_1_A(input)"/>
      <sheetName val="7_4_1(B)_BOQ_Breakdown"/>
      <sheetName val="7_4_1_C(scope)"/>
      <sheetName val="7_4_1_D(Basis)"/>
      <sheetName val="7_4_1_E(allow)"/>
      <sheetName val="7_4_2_A-Build(list)"/>
      <sheetName val="7_4_3_B-BOQ-SUM"/>
      <sheetName val="7_4_3(BOQ_각표지)"/>
      <sheetName val="7_4_3_A(Shelter)"/>
      <sheetName val="7_4_3_B(Module)"/>
      <sheetName val="7_4_3_C(Shelter-FLB)"/>
      <sheetName val="7_4_3_D(Brief_Spec_)"/>
      <sheetName val="공정회의자료(월요일_10시까지)"/>
      <sheetName val="공사비_내역_(가)"/>
      <sheetName val="INPUT_DATA_OF_SCHEDULE"/>
      <sheetName val="제출내역_(2)"/>
      <sheetName val="IMP_(REACTOR)"/>
      <sheetName val="Malaysia_incl__RET"/>
      <sheetName val="대차대조표"/>
      <sheetName val="적금및발행어음계산"/>
      <sheetName val="참고"/>
      <sheetName val="광통신 견적내역서1"/>
      <sheetName val="15"/>
      <sheetName val="노무비"/>
      <sheetName val="일위대가표"/>
      <sheetName val="처리목록"/>
      <sheetName val="BOLT"/>
      <sheetName val="Sheet17"/>
      <sheetName val="매체인지도분석"/>
      <sheetName val="Asset9809CAK"/>
      <sheetName val="경"/>
      <sheetName val="플랜트 설치"/>
      <sheetName val="sheet4"/>
      <sheetName val="LEGEND"/>
      <sheetName val="Control"/>
      <sheetName val="-15.0"/>
      <sheetName val="ANX3A11"/>
      <sheetName val="bolts"/>
      <sheetName val="매립"/>
      <sheetName val="Curves"/>
      <sheetName val="Tables"/>
      <sheetName val="설계내역서"/>
      <sheetName val="간선계산"/>
      <sheetName val="소상 &quot;1&quot;"/>
      <sheetName val="200"/>
      <sheetName val="B2BERP"/>
      <sheetName val="데이타"/>
      <sheetName val="신우"/>
      <sheetName val="6동"/>
      <sheetName val="Z- GENERAL PRICE SUMMARY"/>
      <sheetName val=" Estimate  "/>
      <sheetName val="제잡비"/>
      <sheetName val="??-BLDG"/>
      <sheetName val="설비"/>
      <sheetName val="공비대비"/>
      <sheetName val="BOX 본체"/>
      <sheetName val="입출재고현황 (2)"/>
      <sheetName val="날개벽"/>
      <sheetName val="예정(3)"/>
      <sheetName val="견적대비표"/>
      <sheetName val="포장복구집계"/>
      <sheetName val="ITEM"/>
      <sheetName val="설계조건"/>
      <sheetName val="동원(3)"/>
      <sheetName val="화재 탐지 설비"/>
      <sheetName val="2000전체분"/>
      <sheetName val="G.R300경비"/>
      <sheetName val="AS포장복구 "/>
      <sheetName val="청천내"/>
      <sheetName val="기계경비(시간당)"/>
      <sheetName val="2000년1차"/>
      <sheetName val="단가일람"/>
      <sheetName val="단위량당중기"/>
      <sheetName val="램머"/>
      <sheetName val="Baby일위대가"/>
      <sheetName val="교대(A1)"/>
      <sheetName val="투찰가"/>
      <sheetName val="백호우계수"/>
      <sheetName val="Sheet1 (2)"/>
      <sheetName val="기준보온"/>
      <sheetName val="투찰내역"/>
      <sheetName val="자재일람"/>
      <sheetName val="조명율표"/>
      <sheetName val="환산매출"/>
      <sheetName val="해외 연수비용 계산-삭제"/>
      <sheetName val="해외 기술훈련비 (합계)"/>
      <sheetName val="마스터"/>
      <sheetName val="일반자료"/>
      <sheetName val="이름표"/>
      <sheetName val="회사정보"/>
      <sheetName val="guard(mac)"/>
      <sheetName val="F-1,2"/>
      <sheetName val="손익계산서(管理)"/>
      <sheetName val="Data_인원계획"/>
      <sheetName val="관계주식"/>
      <sheetName val="ITB COST"/>
      <sheetName val="DAF-2"/>
      <sheetName val="백분율"/>
      <sheetName val="DHEQSUPT"/>
      <sheetName val="간접비"/>
      <sheetName val="기기리스트"/>
      <sheetName val="영지실적"/>
      <sheetName val="교통대책내역"/>
      <sheetName val="인력정보"/>
      <sheetName val="data_dci"/>
      <sheetName val="data_mci"/>
      <sheetName val="behind"/>
      <sheetName val="TACE"/>
      <sheetName val="inter"/>
      <sheetName val="영동(D)"/>
      <sheetName val="부재치수입력"/>
      <sheetName val="노무산출서"/>
      <sheetName val="과천MAIN"/>
      <sheetName val="h-013211-2"/>
      <sheetName val="맨홀수량산출"/>
      <sheetName val="가감수량"/>
      <sheetName val="Process Piping"/>
      <sheetName val="현장지지물물량"/>
      <sheetName val="MIJIBI"/>
      <sheetName val="을지"/>
      <sheetName val="기계내역서"/>
      <sheetName val="2003_02월수금계획4"/>
      <sheetName val="Piping_Design_Data4"/>
      <sheetName val="97_사업추정(WEKI)4"/>
      <sheetName val="P_M_별4"/>
      <sheetName val="계정보고_(2)3"/>
      <sheetName val="요약배부_(보고)3"/>
      <sheetName val="요약배부_(보고)_(2)3"/>
      <sheetName val="기타매출_(2)3"/>
      <sheetName val="기타매출_(3)3"/>
      <sheetName val="개시대사_(2)3"/>
      <sheetName val="RCF_CLAIMED3"/>
      <sheetName val="Equipment_(5)3"/>
      <sheetName val="JOB_Assign3"/>
      <sheetName val="INPUT_DATA3"/>
      <sheetName val="Customer_Databas3"/>
      <sheetName val="Doha_WBS_Clean3"/>
      <sheetName val="Peralatan_(2)3"/>
      <sheetName val="3_바닥판설계3"/>
      <sheetName val="6PILE__(돌출)2"/>
      <sheetName val="설_계3"/>
      <sheetName val="15_도급예산대비표3"/>
      <sheetName val="Summary_Sheets3"/>
      <sheetName val="B31_13"/>
      <sheetName val="BLIND_FLANGE2"/>
      <sheetName val="PIPE_NPS_OD2"/>
      <sheetName val="공정회의자료(월요일_10시까지)1"/>
      <sheetName val="96_능제취입1"/>
      <sheetName val="7_4_1_A(input)1"/>
      <sheetName val="7_4_1(B)_BOQ_Breakdown1"/>
      <sheetName val="7_4_1_C(scope)1"/>
      <sheetName val="7_4_1_D(Basis)1"/>
      <sheetName val="7_4_1_E(allow)1"/>
      <sheetName val="7_4_2_A-Build(list)1"/>
      <sheetName val="7_4_3_B-BOQ-SUM1"/>
      <sheetName val="7_4_3(BOQ_각표지)1"/>
      <sheetName val="7_4_3_A(Shelter)1"/>
      <sheetName val="7_4_3_B(Module)1"/>
      <sheetName val="7_4_3_C(Shelter-FLB)1"/>
      <sheetName val="7_4_3_D(Brief_Spec_)1"/>
      <sheetName val="공사비_내역_(가)1"/>
      <sheetName val="INPUT_DATA_OF_SCHEDULE1"/>
      <sheetName val="배수공_주요자재_집계표1"/>
      <sheetName val="HORI__VESSEL1"/>
      <sheetName val="IMP_(REACTOR)1"/>
      <sheetName val="제출내역_(2)1"/>
      <sheetName val="W42__1"/>
      <sheetName val="간접비_총괄표"/>
      <sheetName val="Weld,_NDE_(Pipe)"/>
      <sheetName val="할증_1"/>
      <sheetName val="Malaysia_incl__RET1"/>
      <sheetName val="Regenerator__Concrete_Structure"/>
      <sheetName val="수성페인트도장_내역서"/>
      <sheetName val="1_취수장"/>
      <sheetName val="기초자료입력및_K치_확인"/>
      <sheetName val="내역_ver1_0"/>
      <sheetName val="_냉각수펌프"/>
      <sheetName val="97_사업추정_WEKI_"/>
      <sheetName val="VENDOR_LIST"/>
      <sheetName val="2_대외공문"/>
      <sheetName val="General_Data"/>
      <sheetName val="_"/>
      <sheetName val="토_적_표"/>
      <sheetName val="CAL(1)_"/>
      <sheetName val="총괄집계_"/>
      <sheetName val="배수내역_(2)"/>
      <sheetName val="P_M_별5"/>
      <sheetName val="L_V_Separator"/>
      <sheetName val="0고과평균_및_편차조정_(2)"/>
      <sheetName val="광통신_견적내역서1"/>
      <sheetName val="플랜트_설치"/>
      <sheetName val="소상_&quot;1&quot;"/>
      <sheetName val="-15_0"/>
      <sheetName val="Z-_GENERAL_PRICE_SUMMARY"/>
      <sheetName val="_Estimate__"/>
      <sheetName val="해외_연수비용_계산-삭제"/>
      <sheetName val="해외_기술훈련비_(합계)"/>
      <sheetName val="BOX_본체"/>
      <sheetName val="입출재고현황_(2)"/>
      <sheetName val="화재_탐지_설비"/>
      <sheetName val="ITB_COST"/>
      <sheetName val="G_R300경비"/>
      <sheetName val="AS포장복구_"/>
      <sheetName val="Sheet1_(2)"/>
      <sheetName val="2003_02월수금계획5"/>
      <sheetName val="Piping_Design_Data5"/>
      <sheetName val="97_사업추정(WEKI)5"/>
      <sheetName val="P_M_별6"/>
      <sheetName val="계정보고_(2)4"/>
      <sheetName val="요약배부_(보고)4"/>
      <sheetName val="요약배부_(보고)_(2)4"/>
      <sheetName val="기타매출_(2)4"/>
      <sheetName val="기타매출_(3)4"/>
      <sheetName val="개시대사_(2)4"/>
      <sheetName val="RCF_CLAIMED4"/>
      <sheetName val="Equipment_(5)4"/>
      <sheetName val="JOB_Assign4"/>
      <sheetName val="INPUT_DATA4"/>
      <sheetName val="Customer_Databas4"/>
      <sheetName val="Doha_WBS_Clean4"/>
      <sheetName val="Peralatan_(2)4"/>
      <sheetName val="3_바닥판설계4"/>
      <sheetName val="6PILE__(돌출)3"/>
      <sheetName val="설_계4"/>
      <sheetName val="15_도급예산대비표4"/>
      <sheetName val="Summary_Sheets4"/>
      <sheetName val="B31_14"/>
      <sheetName val="BLIND_FLANGE3"/>
      <sheetName val="PIPE_NPS_OD3"/>
      <sheetName val="공정회의자료(월요일_10시까지)2"/>
      <sheetName val="96_능제취입2"/>
      <sheetName val="7_4_1_A(input)2"/>
      <sheetName val="7_4_1(B)_BOQ_Breakdown2"/>
      <sheetName val="7_4_1_C(scope)2"/>
      <sheetName val="7_4_1_D(Basis)2"/>
      <sheetName val="7_4_1_E(allow)2"/>
      <sheetName val="7_4_2_A-Build(list)2"/>
      <sheetName val="7_4_3_B-BOQ-SUM2"/>
      <sheetName val="7_4_3(BOQ_각표지)2"/>
      <sheetName val="7_4_3_A(Shelter)2"/>
      <sheetName val="7_4_3_B(Module)2"/>
      <sheetName val="7_4_3_C(Shelter-FLB)2"/>
      <sheetName val="7_4_3_D(Brief_Spec_)2"/>
      <sheetName val="공사비_내역_(가)2"/>
      <sheetName val="INPUT_DATA_OF_SCHEDULE2"/>
      <sheetName val="배수공_주요자재_집계표2"/>
      <sheetName val="HORI__VESSEL2"/>
      <sheetName val="IMP_(REACTOR)2"/>
      <sheetName val="제출내역_(2)2"/>
      <sheetName val="W42__2"/>
      <sheetName val="간접비_총괄표1"/>
      <sheetName val="Weld,_NDE_(Pipe)1"/>
      <sheetName val="할증_2"/>
      <sheetName val="Malaysia_incl__RET2"/>
      <sheetName val="Regenerator__Concrete_Structur1"/>
      <sheetName val="수성페인트도장_내역서1"/>
      <sheetName val="1_취수장1"/>
      <sheetName val="기초자료입력및_K치_확인1"/>
      <sheetName val="내역_ver1_01"/>
      <sheetName val="_냉각수펌프1"/>
      <sheetName val="97_사업추정_WEKI_1"/>
      <sheetName val="VENDOR_LIST1"/>
      <sheetName val="2_대외공문1"/>
      <sheetName val="General_Data1"/>
      <sheetName val="_1"/>
      <sheetName val="토_적_표1"/>
      <sheetName val="CAL(1)_1"/>
      <sheetName val="총괄집계_1"/>
      <sheetName val="배수내역_(2)1"/>
      <sheetName val="P_M_별7"/>
      <sheetName val="L_V_Separator1"/>
      <sheetName val="0고과평균_및_편차조정_(2)1"/>
      <sheetName val="광통신_견적내역서11"/>
      <sheetName val="플랜트_설치1"/>
      <sheetName val="소상_&quot;1&quot;1"/>
      <sheetName val="-15_01"/>
      <sheetName val="Z-_GENERAL_PRICE_SUMMARY1"/>
      <sheetName val="_Estimate__1"/>
      <sheetName val="해외_연수비용_계산-삭제1"/>
      <sheetName val="해외_기술훈련비_(합계)1"/>
      <sheetName val="BOX_본체1"/>
      <sheetName val="입출재고현황_(2)1"/>
      <sheetName val="화재_탐지_설비1"/>
      <sheetName val="ITB_COST1"/>
      <sheetName val="G_R300경비1"/>
      <sheetName val="AS포장복구_1"/>
      <sheetName val="Sheet1_(2)1"/>
      <sheetName val="Steel-Main Work"/>
      <sheetName val="총괄"/>
      <sheetName val="라이닝보강"/>
      <sheetName val="LO"/>
      <sheetName val="CJI3"/>
      <sheetName val="말뚝지지력산정"/>
      <sheetName val="Du toan"/>
      <sheetName val="단면검토"/>
      <sheetName val="급식예산"/>
      <sheetName val="인명부"/>
      <sheetName val="자료"/>
      <sheetName val="BASIC (2)"/>
      <sheetName val="Eq. Mobilization"/>
      <sheetName val="공사개요"/>
      <sheetName val="EF &amp; PF"/>
      <sheetName val="재료집계"/>
      <sheetName val="별표 "/>
      <sheetName val="진주방향"/>
      <sheetName val="마산방향"/>
      <sheetName val="남양시작동자105노65기1.3화1.2"/>
      <sheetName val="TOT"/>
      <sheetName val="내역(자100%,노100%)기아화성UD동"/>
      <sheetName val="Resource"/>
      <sheetName val="Exrate"/>
      <sheetName val="DAF_2"/>
      <sheetName val="Bhn"/>
      <sheetName val="7.4.3.D(Brief Spᵥc.)"/>
      <sheetName val="Malaysia_incl__R౅T"/>
      <sheetName val="Z- GENERAL PRICEРSUMMARY"/>
      <sheetName val="SRC-B3U2"/>
      <sheetName val="RV미수수익보정"/>
      <sheetName val="불균등-거치외(미수)"/>
      <sheetName val="불균등-TOP(선수)"/>
      <sheetName val="일반경비"/>
      <sheetName val="발생집계"/>
      <sheetName val="협조전"/>
      <sheetName val="수량산출서 갑지"/>
      <sheetName val="3월"/>
      <sheetName val="NOMUBI"/>
      <sheetName val="재료비"/>
      <sheetName val="도근좌표"/>
      <sheetName val="C.1"/>
      <sheetName val="C.10"/>
      <sheetName val="C.11"/>
      <sheetName val="C.12"/>
      <sheetName val="C.13"/>
      <sheetName val="C.14"/>
      <sheetName val="C.15"/>
      <sheetName val="C.16"/>
      <sheetName val="C.17"/>
      <sheetName val="C.19"/>
      <sheetName val="C.20"/>
      <sheetName val="C.21"/>
      <sheetName val="C.22"/>
      <sheetName val="C.23"/>
      <sheetName val="C.24"/>
      <sheetName val="C.25"/>
      <sheetName val="C.6"/>
      <sheetName val="C.7"/>
      <sheetName val="C.8"/>
      <sheetName val="C.9"/>
      <sheetName val="DATA LISTS"/>
      <sheetName val="__-BLDG"/>
      <sheetName val="STD"/>
      <sheetName val="Soil Parameter"/>
      <sheetName val="보일러"/>
      <sheetName val="Config"/>
      <sheetName val="현황CODE"/>
      <sheetName val="손익현황"/>
      <sheetName val="6.3.2"/>
      <sheetName val="4.1구조설계"/>
      <sheetName val="DESIGN"/>
      <sheetName val="BM DATA SHEET"/>
      <sheetName val="Rates"/>
      <sheetName val="取费基准"/>
      <sheetName val="DRUM"/>
      <sheetName val="NPV"/>
      <sheetName val="Architectural"/>
      <sheetName val="External"/>
      <sheetName val="Lift"/>
      <sheetName val=" Structural"/>
      <sheetName val="Travel.Cranes"/>
      <sheetName val="Recap Architect"/>
      <sheetName val="Recap External"/>
      <sheetName val="Recap Struct"/>
      <sheetName val="Recap Travel.Crane"/>
      <sheetName val="Package 1"/>
      <sheetName val="Recap Lift"/>
      <sheetName val="산근"/>
      <sheetName val="D_AWG"/>
      <sheetName val="T_Cu_ASTM"/>
      <sheetName val="투입실적"/>
      <sheetName val="설계명세서"/>
      <sheetName val="지수적용공사비내역서"/>
      <sheetName val="3-1-12"/>
      <sheetName val="BT"/>
      <sheetName val="화물기"/>
      <sheetName val="Sub-Activity"/>
      <sheetName val="철거산출근거"/>
      <sheetName val="조명시설"/>
      <sheetName val="이자율"/>
      <sheetName val="증감내역서"/>
      <sheetName val="삼성전기"/>
      <sheetName val="PIPE"/>
      <sheetName val="VALVE"/>
      <sheetName val="대운산출"/>
      <sheetName val="NNV"/>
      <sheetName val="매입세율"/>
      <sheetName val="목표세부명세"/>
      <sheetName val="Large_ISO BOM"/>
      <sheetName val="안정계산"/>
      <sheetName val="범례"/>
      <sheetName val="암거공"/>
      <sheetName val="0226"/>
      <sheetName val="조직"/>
      <sheetName val="AILC004"/>
      <sheetName val="유림콘도"/>
      <sheetName val="갑지(추정)"/>
      <sheetName val="검색표"/>
      <sheetName val="20-25"/>
      <sheetName val="물량투입계획"/>
      <sheetName val="간접경상비"/>
      <sheetName val="건축내역"/>
      <sheetName val="부대단위수량"/>
      <sheetName val="물량산출(철콘)"/>
      <sheetName val="평균터파기고(1-2,ASP)"/>
      <sheetName val="토공"/>
      <sheetName val="참조"/>
      <sheetName val="투찰(하수)"/>
      <sheetName val="DPRKM_x0000__x0000__x0005_"/>
      <sheetName val="암거날개벽"/>
      <sheetName val="차수"/>
      <sheetName val="ARP2"/>
      <sheetName val="FJK_01"/>
      <sheetName val="예산서"/>
      <sheetName val="토지조서(원본)"/>
      <sheetName val="적점"/>
      <sheetName val="당진1,2호기전선관설치및접지4차공사내역서-을지"/>
      <sheetName val="특수선일위대가"/>
      <sheetName val="99총공사내역서"/>
      <sheetName val="배수통관(좌)"/>
      <sheetName val="날개벽수량표"/>
      <sheetName val="대포2교접속"/>
      <sheetName val="천방교접속"/>
      <sheetName val="화해(함평)"/>
      <sheetName val="화해(장성)"/>
      <sheetName val="FORM1"/>
      <sheetName val="FINISHING"/>
      <sheetName val="2003_02월수금계획6"/>
      <sheetName val="Piping_Design_Data6"/>
      <sheetName val="97_사업추정(WEKI)6"/>
      <sheetName val="P_M_별8"/>
      <sheetName val="계정보고_(2)5"/>
      <sheetName val="요약배부_(보고)5"/>
      <sheetName val="요약배부_(보고)_(2)5"/>
      <sheetName val="기타매출_(2)5"/>
      <sheetName val="기타매출_(3)5"/>
      <sheetName val="개시대사_(2)5"/>
      <sheetName val="RCF_CLAIMED5"/>
      <sheetName val="Equipment_(5)5"/>
      <sheetName val="JOB_Assign5"/>
      <sheetName val="INPUT_DATA5"/>
      <sheetName val="Customer_Databas5"/>
      <sheetName val="Doha_WBS_Clean5"/>
      <sheetName val="3_바닥판설계5"/>
      <sheetName val="Peralatan_(2)5"/>
      <sheetName val="설_계5"/>
      <sheetName val="15_도급예산대비표5"/>
      <sheetName val="Summary_Sheets5"/>
      <sheetName val="B31_15"/>
      <sheetName val="6PILE__(돌출)4"/>
      <sheetName val="BLIND_FLANGE4"/>
      <sheetName val="PIPE_NPS_OD4"/>
      <sheetName val="배수공_주요자재_집계표3"/>
      <sheetName val="HORI__VESSEL3"/>
      <sheetName val="공정회의자료(월요일_10시까지)3"/>
      <sheetName val="96_능제취입3"/>
      <sheetName val="7_4_1_A(input)3"/>
      <sheetName val="7_4_1(B)_BOQ_Breakdown3"/>
      <sheetName val="7_4_1_C(scope)3"/>
      <sheetName val="7_4_1_D(Basis)3"/>
      <sheetName val="7_4_1_E(allow)3"/>
      <sheetName val="7_4_2_A-Build(list)3"/>
      <sheetName val="7_4_3_B-BOQ-SUM3"/>
      <sheetName val="7_4_3(BOQ_각표지)3"/>
      <sheetName val="7_4_3_A(Shelter)3"/>
      <sheetName val="7_4_3_B(Module)3"/>
      <sheetName val="7_4_3_C(Shelter-FLB)3"/>
      <sheetName val="7_4_3_D(Brief_Spec_)3"/>
      <sheetName val="공사비_내역_(가)3"/>
      <sheetName val="INPUT_DATA_OF_SCHEDULE3"/>
      <sheetName val="제출내역_(2)3"/>
      <sheetName val="W42__3"/>
      <sheetName val="Regenerator__Concrete_Structur2"/>
      <sheetName val="간접비_총괄표2"/>
      <sheetName val="IMP_(REACTOR)3"/>
      <sheetName val="Weld,_NDE_(Pipe)2"/>
      <sheetName val="할증_3"/>
      <sheetName val="Malaysia_incl__RET3"/>
      <sheetName val="수성페인트도장_내역서2"/>
      <sheetName val="1_취수장2"/>
      <sheetName val="기초자료입력및_K치_확인2"/>
      <sheetName val="내역_ver1_02"/>
      <sheetName val="_냉각수펌프2"/>
      <sheetName val="VENDOR_LIST2"/>
      <sheetName val="2_대외공문2"/>
      <sheetName val="General_Data2"/>
      <sheetName val="97_사업추정_WEKI_2"/>
      <sheetName val="_2"/>
      <sheetName val="토_적_표2"/>
      <sheetName val="CAL(1)_2"/>
      <sheetName val="총괄집계_2"/>
      <sheetName val="배수내역_(2)2"/>
      <sheetName val="P_M_별9"/>
      <sheetName val="L_V_Separator2"/>
      <sheetName val="0고과평균_및_편차조정_(2)2"/>
      <sheetName val="광통신_견적내역서12"/>
      <sheetName val="플랜트_설치2"/>
      <sheetName val="소상_&quot;1&quot;2"/>
      <sheetName val="-15_02"/>
      <sheetName val="Z-_GENERAL_PRICE_SUMMARY2"/>
      <sheetName val="_Estimate__2"/>
      <sheetName val="해외_연수비용_계산-삭제2"/>
      <sheetName val="해외_기술훈련비_(합계)2"/>
      <sheetName val="ITB_COST2"/>
      <sheetName val="BOX_본체2"/>
      <sheetName val="입출재고현황_(2)2"/>
      <sheetName val="화재_탐지_설비2"/>
      <sheetName val="G_R300경비2"/>
      <sheetName val="AS포장복구_2"/>
      <sheetName val="Sheet1_(2)2"/>
      <sheetName val="C_1"/>
      <sheetName val="C_10"/>
      <sheetName val="C_11"/>
      <sheetName val="C_12"/>
      <sheetName val="C_13"/>
      <sheetName val="C_14"/>
      <sheetName val="C_15"/>
      <sheetName val="C_16"/>
      <sheetName val="C_17"/>
      <sheetName val="C_19"/>
      <sheetName val="C_20"/>
      <sheetName val="C_21"/>
      <sheetName val="C_22"/>
      <sheetName val="C_23"/>
      <sheetName val="C_24"/>
      <sheetName val="C_25"/>
      <sheetName val="C_6"/>
      <sheetName val="C_7"/>
      <sheetName val="C_8"/>
      <sheetName val="C_9"/>
      <sheetName val="Steel-Main_Work"/>
      <sheetName val="Du_toan"/>
      <sheetName val="Process_Piping"/>
      <sheetName val="H.Satuan"/>
      <sheetName val="수량산출"/>
      <sheetName val="월별cashflow"/>
      <sheetName val="PipWT"/>
      <sheetName val="UPRI"/>
      <sheetName val="월간"/>
      <sheetName val="항목(1)"/>
      <sheetName val="BOOK4"/>
      <sheetName val="TYPE-A"/>
      <sheetName val="Volume"/>
      <sheetName val="Penjumlahan"/>
      <sheetName val="Currency Rate"/>
      <sheetName val="Salesdata01-10 2004"/>
      <sheetName val="BP"/>
      <sheetName val="REKAP A BESAR"/>
      <sheetName val="PNT-QUOT-#3"/>
      <sheetName val="COAT&amp;WRAP-QIOT-#3"/>
      <sheetName val="BAG_2"/>
      <sheetName val="7-2"/>
      <sheetName val="CS_SS892"/>
      <sheetName val="CS_SS191"/>
      <sheetName val="CS_SS192"/>
      <sheetName val="CS_SS961"/>
      <sheetName val="CS_SS391"/>
      <sheetName val="CS_SS791"/>
      <sheetName val="CS_SS491"/>
      <sheetName val="CS_SS492"/>
      <sheetName val="MVCable"/>
      <sheetName val="COCable"/>
      <sheetName val="Div2"/>
      <sheetName val="trf(36%)"/>
      <sheetName val="2Angles"/>
      <sheetName val="UPAH DAN BAHAN"/>
      <sheetName val="4-Basic Price"/>
      <sheetName val="D8(1)"/>
      <sheetName val="HRG DSR UPAH &amp; BAHAN"/>
      <sheetName val="5-ALAT (2)"/>
      <sheetName val="D10 LS-Rutin"/>
      <sheetName val="D9"/>
      <sheetName val="BOQ"/>
      <sheetName val="Analisa"/>
      <sheetName val="DAF-5"/>
      <sheetName val="SPT vs PHI"/>
      <sheetName val="member design"/>
      <sheetName val="design criteria"/>
      <sheetName val="working load at the btm ft."/>
      <sheetName val="plan&amp;section of foundation"/>
      <sheetName val="Bill 1 - 9"/>
      <sheetName val="Bill 12"/>
      <sheetName val="Bill 10"/>
      <sheetName val="harsat"/>
      <sheetName val="rab - persiapan &amp; lantai-1"/>
      <sheetName val="dongia (2)"/>
      <sheetName val="giathanh1"/>
      <sheetName val="THPDMoi  (2)"/>
      <sheetName val="lam-moi"/>
      <sheetName val="gtrinh"/>
      <sheetName val="thao-go"/>
      <sheetName val="CHITIET VL-NC-TT -1p"/>
      <sheetName val="VC"/>
      <sheetName val="TH XL"/>
      <sheetName val="chitiet"/>
      <sheetName val="CHITIET VL-NC-TT-3p"/>
      <sheetName val="TONGKE-HT"/>
      <sheetName val="t-h HA THE"/>
      <sheetName val="TDTKP1"/>
      <sheetName val="KPVC-BD "/>
      <sheetName val="TOTAL 2"/>
      <sheetName val="pw&amp;shs"/>
      <sheetName val="struktur"/>
      <sheetName val="Cost Proposal (lyn)"/>
      <sheetName val="4-Lane bridge"/>
      <sheetName val="worksheet"/>
      <sheetName val="RATES G-5"/>
      <sheetName val="RC Tabulation"/>
      <sheetName val="Cost_Proposal_(lyn)"/>
      <sheetName val="4-Lane_bridge"/>
      <sheetName val="RATES_G-5"/>
      <sheetName val="RC_Tabulation"/>
      <sheetName val="4.boq-site(o)"/>
      <sheetName val="revised#1"/>
      <sheetName val="Project list"/>
      <sheetName val="BILLING SUMMARY"/>
      <sheetName val="Others"/>
      <sheetName val="sum mdc"/>
      <sheetName val="Arch"/>
      <sheetName val="D-3"/>
      <sheetName val="sal"/>
      <sheetName val="일위대가(가설)"/>
      <sheetName val="CTEMCOST"/>
      <sheetName val="wall"/>
      <sheetName val="Front"/>
      <sheetName val="PumpSpec"/>
      <sheetName val="Material"/>
      <sheetName val="REMUNERASISTANDAR"/>
      <sheetName val="TABEL-DETASIR"/>
      <sheetName val="DESCRIPTION"/>
      <sheetName val="Anls"/>
      <sheetName val="Alat"/>
      <sheetName val="Persiapan"/>
      <sheetName val="rap rinci"/>
      <sheetName val="Tender Info"/>
      <sheetName val="H-Bahan"/>
      <sheetName val="3-DIV4"/>
      <sheetName val="DAFTAR HARGA"/>
      <sheetName val="HRG BHN"/>
      <sheetName val="REF.ONLY"/>
      <sheetName val="Cover"/>
      <sheetName val="EQ_an"/>
      <sheetName val="bhn FINAL"/>
      <sheetName val="H-BHN"/>
      <sheetName val="EQ"/>
      <sheetName val="MTa"/>
      <sheetName val="villa"/>
      <sheetName val="Bank"/>
      <sheetName val="6-AGREGAT"/>
      <sheetName val="온도cycle"/>
      <sheetName val="역T형"/>
      <sheetName val="수량산출서_갑지"/>
      <sheetName val="BASIC_(2)"/>
      <sheetName val="Eq__Mobilization"/>
      <sheetName val="별표_"/>
      <sheetName val="남양시작동자105노65기1_3화1_2"/>
      <sheetName val="EF_&amp;_PF"/>
      <sheetName val="7_4_3_D(Brief_Spᵥc_)"/>
      <sheetName val="Z-_GENERAL_PRICEРSUMMARY"/>
      <sheetName val="DATA_LISTS"/>
      <sheetName val="Soil_Parameter"/>
      <sheetName val="6_3_2"/>
      <sheetName val="4_1구조설계"/>
      <sheetName val="BM_DATA_SHEET"/>
      <sheetName val="안산기계장치"/>
      <sheetName val="지변률공시지가"/>
      <sheetName val="Index"/>
      <sheetName val="노임이"/>
      <sheetName val="Assumption"/>
      <sheetName val="지급어음"/>
      <sheetName val="Large_ISO_BOM"/>
      <sheetName val="Voucher"/>
      <sheetName val="보고"/>
      <sheetName val="옵션DB(단계3)"/>
      <sheetName val="EJ"/>
      <sheetName val="건축2"/>
      <sheetName val="89평단가"/>
      <sheetName val="84평단가"/>
      <sheetName val="건물"/>
      <sheetName val="목차"/>
      <sheetName val="8. Arch."/>
      <sheetName val="S-Curve"/>
      <sheetName val="0. PM"/>
      <sheetName val="2. Piping"/>
      <sheetName val="choose"/>
      <sheetName val="재무가정"/>
      <sheetName val="SKEDUL AV-05"/>
      <sheetName val="WL"/>
      <sheetName val="CONCRETE"/>
      <sheetName val="지질조사"/>
      <sheetName val="CERTIFICATE"/>
      <sheetName val="Demolition"/>
      <sheetName val="C9901"/>
      <sheetName val="단가기준"/>
      <sheetName val="PCSUM"/>
      <sheetName val="VARNS"/>
      <sheetName val="2.주요계수총괄"/>
      <sheetName val="인사자료총집계"/>
      <sheetName val="DPRKM"/>
      <sheetName val="co-no.2"/>
      <sheetName val="Building"/>
      <sheetName val="Schedule_Sheet"/>
      <sheetName val="Calculation"/>
      <sheetName val="Civil"/>
      <sheetName val="Electrical"/>
      <sheetName val="Equipment"/>
      <sheetName val="Instrument"/>
      <sheetName val="Overall"/>
      <sheetName val="Painting"/>
      <sheetName val="Progress_Data"/>
      <sheetName val="Pipe Fabrication"/>
      <sheetName val="Steel"/>
      <sheetName val="DB BIDDER"/>
      <sheetName val="Data Table"/>
      <sheetName val="SUMMARY"/>
      <sheetName val="tabel berat"/>
      <sheetName val="TJ1Q47"/>
      <sheetName val="N-AC"/>
      <sheetName val="L 1"/>
      <sheetName val="FAB4생산"/>
      <sheetName val="단양 00 아파트-세부내역"/>
      <sheetName val="장비 (2)"/>
      <sheetName val="골조"/>
      <sheetName val="직종표"/>
      <sheetName val="Sheet389"/>
      <sheetName val="가공비"/>
      <sheetName val="대공종"/>
      <sheetName val="전체내역 (2)"/>
      <sheetName val="2003_02월수금계획8"/>
      <sheetName val="Piping_Design_Data8"/>
      <sheetName val="97_사업추정(WEKI)8"/>
      <sheetName val="계정보고_(2)7"/>
      <sheetName val="요약배부_(보고)7"/>
      <sheetName val="요약배부_(보고)_(2)7"/>
      <sheetName val="기타매출_(2)7"/>
      <sheetName val="기타매출_(3)7"/>
      <sheetName val="Equipment_(5)7"/>
      <sheetName val="개시대사_(2)7"/>
      <sheetName val="RCF_CLAIMED7"/>
      <sheetName val="JOB_Assign7"/>
      <sheetName val="INPUT_DATA7"/>
      <sheetName val="Customer_Databas7"/>
      <sheetName val="Doha_WBS_Clean7"/>
      <sheetName val="3_바닥판설계7"/>
      <sheetName val="Peralatan_(2)7"/>
      <sheetName val="6PILE__(돌출)6"/>
      <sheetName val="BLIND_FLANGE6"/>
      <sheetName val="PIPE_NPS_OD6"/>
      <sheetName val="설_계6"/>
      <sheetName val="15_도급예산대비표6"/>
      <sheetName val="Summary_Sheets6"/>
      <sheetName val="B31_16"/>
      <sheetName val="배수공_주요자재_집계표6"/>
      <sheetName val="HORI__VESSEL6"/>
      <sheetName val="공정회의자료(월요일_10시까지)6"/>
      <sheetName val="96_능제취입6"/>
      <sheetName val="7_4_1_A(input)6"/>
      <sheetName val="7_4_1(B)_BOQ_Breakdown6"/>
      <sheetName val="7_4_1_C(scope)6"/>
      <sheetName val="7_4_1_D(Basis)6"/>
      <sheetName val="7_4_1_E(allow)6"/>
      <sheetName val="7_4_2_A-Build(list)6"/>
      <sheetName val="7_4_3_B-BOQ-SUM6"/>
      <sheetName val="7_4_3(BOQ_각표지)6"/>
      <sheetName val="7_4_3_A(Shelter)6"/>
      <sheetName val="7_4_3_B(Module)6"/>
      <sheetName val="7_4_3_C(Shelter-FLB)6"/>
      <sheetName val="7_4_3_D(Brief_Spec_)6"/>
      <sheetName val="배수공_주요자재_집계표4"/>
      <sheetName val="HORI__VESSEL4"/>
      <sheetName val="공정회의자료(월요일_10시까지)4"/>
      <sheetName val="96_능제취입4"/>
      <sheetName val="7_4_1_A(input)4"/>
      <sheetName val="7_4_1(B)_BOQ_Breakdown4"/>
      <sheetName val="7_4_1_C(scope)4"/>
      <sheetName val="7_4_1_D(Basis)4"/>
      <sheetName val="7_4_1_E(allow)4"/>
      <sheetName val="7_4_2_A-Build(list)4"/>
      <sheetName val="7_4_3_B-BOQ-SUM4"/>
      <sheetName val="7_4_3(BOQ_각표지)4"/>
      <sheetName val="7_4_3_A(Shelter)4"/>
      <sheetName val="7_4_3_B(Module)4"/>
      <sheetName val="7_4_3_C(Shelter-FLB)4"/>
      <sheetName val="7_4_3_D(Brief_Spec_)4"/>
      <sheetName val="2003_02월수금계획7"/>
      <sheetName val="Piping_Design_Data7"/>
      <sheetName val="97_사업추정(WEKI)7"/>
      <sheetName val="계정보고_(2)6"/>
      <sheetName val="요약배부_(보고)6"/>
      <sheetName val="요약배부_(보고)_(2)6"/>
      <sheetName val="기타매출_(2)6"/>
      <sheetName val="기타매출_(3)6"/>
      <sheetName val="Equipment_(5)6"/>
      <sheetName val="개시대사_(2)6"/>
      <sheetName val="RCF_CLAIMED6"/>
      <sheetName val="JOB_Assign6"/>
      <sheetName val="INPUT_DATA6"/>
      <sheetName val="Customer_Databas6"/>
      <sheetName val="Doha_WBS_Clean6"/>
      <sheetName val="3_바닥판설계6"/>
      <sheetName val="Peralatan_(2)6"/>
      <sheetName val="6PILE__(돌출)5"/>
      <sheetName val="BLIND_FLANGE5"/>
      <sheetName val="PIPE_NPS_OD5"/>
      <sheetName val="배수공_주요자재_집계표5"/>
      <sheetName val="HORI__VESSEL5"/>
      <sheetName val="공정회의자료(월요일_10시까지)5"/>
      <sheetName val="96_능제취입5"/>
      <sheetName val="7_4_1_A(input)5"/>
      <sheetName val="7_4_1(B)_BOQ_Breakdown5"/>
      <sheetName val="7_4_1_C(scope)5"/>
      <sheetName val="7_4_1_D(Basis)5"/>
      <sheetName val="7_4_1_E(allow)5"/>
      <sheetName val="7_4_2_A-Build(list)5"/>
      <sheetName val="7_4_3_B-BOQ-SUM5"/>
      <sheetName val="7_4_3(BOQ_각표지)5"/>
      <sheetName val="7_4_3_A(Shelter)5"/>
      <sheetName val="7_4_3_B(Module)5"/>
      <sheetName val="7_4_3_C(Shelter-FLB)5"/>
      <sheetName val="7_4_3_D(Brief_Spec_)5"/>
      <sheetName val="QPL"/>
      <sheetName val="EPC Summary"/>
      <sheetName val="Macro-Dexterne"/>
      <sheetName val="Macro-cons"/>
      <sheetName val="Macro-Epaisseur"/>
      <sheetName val="Macro-Diam-interne"/>
      <sheetName val="Macro-press"/>
      <sheetName val="Macro-Long"/>
      <sheetName val="AN2"/>
      <sheetName val="50  Equipment Pricing xxx"/>
      <sheetName val="업무처리전"/>
      <sheetName val="반응조"/>
      <sheetName val="A:\평균인원.95"/>
      <sheetName val="ABUT수량-A1"/>
      <sheetName val="품목"/>
      <sheetName val="CBL_SIZE"/>
      <sheetName val="CBL_OD"/>
      <sheetName val="공조기"/>
      <sheetName val="할증_4"/>
      <sheetName val="잡철물"/>
      <sheetName val="1_취수장3"/>
      <sheetName val="W42__4"/>
      <sheetName val="수성페인트도장_내역서3"/>
      <sheetName val="기초자료입력및_K치_확인3"/>
      <sheetName val="내역_ver1_03"/>
      <sheetName val="Regenerator__Concrete_Structur3"/>
      <sheetName val="2_대외공문3"/>
      <sheetName val="토_적_표3"/>
      <sheetName val="VENDOR_LIST3"/>
      <sheetName val="간접비_총괄표3"/>
      <sheetName val="총괄집계_3"/>
      <sheetName val="Weld,_NDE_(Pipe)3"/>
      <sheetName val="배수내역_(2)3"/>
      <sheetName val="P_M_별10"/>
      <sheetName val="_냉각수펌프3"/>
      <sheetName val="97_사업추정_WEKI_3"/>
      <sheetName val="General_Data3"/>
      <sheetName val="_3"/>
      <sheetName val="CAL(1)_3"/>
      <sheetName val="L_V_Separator3"/>
      <sheetName val="BASIC_(2)2"/>
      <sheetName val="Eq__Mobilization2"/>
      <sheetName val="BOX_본체3"/>
      <sheetName val="입출재고현황_(2)3"/>
      <sheetName val="화재_탐지_설비3"/>
      <sheetName val="G_R300경비3"/>
      <sheetName val="AS포장복구_3"/>
      <sheetName val="Sheet1_(2)3"/>
      <sheetName val="별표_2"/>
      <sheetName val="남양시작동자105노65기1_3화1_22"/>
      <sheetName val="EF_&amp;_PF2"/>
      <sheetName val="Steel-Main_Work2"/>
      <sheetName val="Du_toan2"/>
      <sheetName val="Process_Piping2"/>
      <sheetName val="Large_ISO_BOM2"/>
      <sheetName val="BASIC_(2)1"/>
      <sheetName val="Eq__Mobilization1"/>
      <sheetName val="별표_1"/>
      <sheetName val="남양시작동자105노65기1_3화1_21"/>
      <sheetName val="EF_&amp;_PF1"/>
      <sheetName val="Steel-Main_Work1"/>
      <sheetName val="Du_toan1"/>
      <sheetName val="Process_Piping1"/>
      <sheetName val="Large_ISO_BOM1"/>
      <sheetName val="자재단가비교표"/>
      <sheetName val="VS배관내역서"/>
      <sheetName val="경비"/>
      <sheetName val="example (2)"/>
      <sheetName val="PMfee산정"/>
      <sheetName val="임대사례선정"/>
      <sheetName val="거래사례선정"/>
      <sheetName val="구분1"/>
      <sheetName val="구분2"/>
      <sheetName val="동명"/>
      <sheetName val="동_임대"/>
      <sheetName val="블럭명"/>
      <sheetName val="Home"/>
      <sheetName val="소재지"/>
      <sheetName val="소재지_임대"/>
      <sheetName val="Sheet3 (2)"/>
      <sheetName val="E_Summary"/>
      <sheetName val="D_Cntnts"/>
      <sheetName val="5_1_1 Cut-off SS install"/>
      <sheetName val="Foot,col,parapt.Reinf"/>
      <sheetName val="공내역"/>
      <sheetName val="MGR &amp;ASS.MGR"/>
      <sheetName val="GAJI"/>
      <sheetName val="신규블록"/>
      <sheetName val="Z"/>
      <sheetName val="Cash2"/>
      <sheetName val="Cash Flow bulanan"/>
      <sheetName val="HX"/>
      <sheetName val="10매출"/>
      <sheetName val="조건표"/>
      <sheetName val="DPRKMß_x0000_Ԁ"/>
      <sheetName val="총원"/>
      <sheetName val="품셈총괄표"/>
      <sheetName val="시설물기초"/>
      <sheetName val="정렬"/>
      <sheetName val="터파기및재료"/>
      <sheetName val="INSTR"/>
      <sheetName val="Definitions"/>
      <sheetName val="Accretion Output"/>
      <sheetName val="NewCo to RLRN"/>
      <sheetName val="Projections vs Consensus"/>
      <sheetName val="Projections"/>
      <sheetName val="Football Field"/>
      <sheetName val="Data Kebutuhan"/>
      <sheetName val="D.Base"/>
      <sheetName val="Contractor RFP Template"/>
      <sheetName val="Site Infrastructure"/>
      <sheetName val="Catcher 1"/>
      <sheetName val="Catcher 5"/>
      <sheetName val="Instructions"/>
      <sheetName val="Office"/>
      <sheetName val="ROMP01"/>
      <sheetName val="ROMP02"/>
      <sheetName val="ROMP03"/>
      <sheetName val="ROMP04"/>
      <sheetName val="ROMP05"/>
      <sheetName val="ROMP06"/>
      <sheetName val="ROMP07"/>
      <sheetName val="ROMP08"/>
      <sheetName val="Shell &amp; Core"/>
      <sheetName val="BAG-2"/>
      <sheetName val="부대공Ⅱ"/>
      <sheetName val="Inputs"/>
      <sheetName val="BD"/>
      <sheetName val="Ex-Rate"/>
      <sheetName val="look up"/>
      <sheetName val="DERIVE"/>
      <sheetName val="EQPT - SP"/>
      <sheetName val="XZLC003_PART1"/>
      <sheetName val="barchart"/>
      <sheetName val="INDENTIFICATION"/>
      <sheetName val="PARA"/>
      <sheetName val="도기류"/>
      <sheetName val="LABOR"/>
      <sheetName val="Equipt Rental"/>
      <sheetName val="float&amp;bear"/>
      <sheetName val="Kfracture"/>
      <sheetName val="Insulation_Utl_Off"/>
      <sheetName val="Note_Piping"/>
      <sheetName val="4300 UTILITY BLDG (2)"/>
      <sheetName val="MAY 00-Bobbins"/>
      <sheetName val="Vari by Vendor"/>
      <sheetName val="UPA(Part C,D,E,G,H)"/>
      <sheetName val="UPA(Part F)"/>
      <sheetName val="CapitalMetrics"/>
      <sheetName val="BOQp4"/>
      <sheetName val="VA_code"/>
    </sheetNames>
    <sheetDataSet>
      <sheetData sheetId="0"/>
      <sheetData sheetId="1"/>
      <sheetData sheetId="2"/>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refreshError="1"/>
      <sheetData sheetId="4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sheetData sheetId="99"/>
      <sheetData sheetId="100"/>
      <sheetData sheetId="101"/>
      <sheetData sheetId="102"/>
      <sheetData sheetId="103"/>
      <sheetData sheetId="104" refreshError="1"/>
      <sheetData sheetId="105" refreshError="1"/>
      <sheetData sheetId="106" refreshError="1"/>
      <sheetData sheetId="107"/>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sheetData sheetId="147" refreshError="1"/>
      <sheetData sheetId="148"/>
      <sheetData sheetId="149" refreshError="1"/>
      <sheetData sheetId="150" refreshError="1"/>
      <sheetData sheetId="151" refreshError="1"/>
      <sheetData sheetId="152" refreshError="1"/>
      <sheetData sheetId="153" refreshError="1"/>
      <sheetData sheetId="154" refreshError="1"/>
      <sheetData sheetId="155"/>
      <sheetData sheetId="156"/>
      <sheetData sheetId="157"/>
      <sheetData sheetId="158"/>
      <sheetData sheetId="159"/>
      <sheetData sheetId="160"/>
      <sheetData sheetId="16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sheetData sheetId="225" refreshError="1"/>
      <sheetData sheetId="226" refreshError="1"/>
      <sheetData sheetId="227" refreshError="1"/>
      <sheetData sheetId="228" refreshError="1"/>
      <sheetData sheetId="229"/>
      <sheetData sheetId="230"/>
      <sheetData sheetId="231"/>
      <sheetData sheetId="232"/>
      <sheetData sheetId="233"/>
      <sheetData sheetId="234"/>
      <sheetData sheetId="235"/>
      <sheetData sheetId="236"/>
      <sheetData sheetId="237"/>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sheetData sheetId="298" refreshError="1"/>
      <sheetData sheetId="299" refreshError="1"/>
      <sheetData sheetId="300" refreshError="1"/>
      <sheetData sheetId="301" refreshError="1"/>
      <sheetData sheetId="302" refreshError="1"/>
      <sheetData sheetId="303" refreshError="1"/>
      <sheetData sheetId="304" refreshError="1"/>
      <sheetData sheetId="305"/>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sheetData sheetId="540"/>
      <sheetData sheetId="541"/>
      <sheetData sheetId="542"/>
      <sheetData sheetId="543"/>
      <sheetData sheetId="544"/>
      <sheetData sheetId="545"/>
      <sheetData sheetId="546" refreshError="1"/>
      <sheetData sheetId="547" refreshError="1"/>
      <sheetData sheetId="548" refreshError="1"/>
      <sheetData sheetId="549"/>
      <sheetData sheetId="550"/>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sheetData sheetId="1151"/>
      <sheetData sheetId="1152"/>
      <sheetData sheetId="1153"/>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refreshError="1"/>
      <sheetData sheetId="1207" refreshError="1"/>
      <sheetData sheetId="1208" refreshError="1"/>
      <sheetData sheetId="1209" refreshError="1"/>
      <sheetData sheetId="1210" refreshError="1"/>
      <sheetData sheetId="1211" refreshError="1"/>
      <sheetData sheetId="1212"/>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sheetData sheetId="1263" refreshError="1"/>
      <sheetData sheetId="1264" refreshError="1"/>
      <sheetData sheetId="1265" refreshError="1"/>
      <sheetData sheetId="1266"/>
      <sheetData sheetId="1267" refreshError="1"/>
      <sheetData sheetId="1268" refreshError="1"/>
      <sheetData sheetId="1269" refreshError="1"/>
      <sheetData sheetId="1270"/>
      <sheetData sheetId="1271"/>
      <sheetData sheetId="1272"/>
      <sheetData sheetId="1273"/>
      <sheetData sheetId="1274"/>
      <sheetData sheetId="1275"/>
      <sheetData sheetId="1276"/>
      <sheetData sheetId="1277"/>
      <sheetData sheetId="1278"/>
      <sheetData sheetId="1279"/>
      <sheetData sheetId="1280"/>
      <sheetData sheetId="1281"/>
      <sheetData sheetId="1282"/>
      <sheetData sheetId="1283"/>
      <sheetData sheetId="1284"/>
      <sheetData sheetId="1285"/>
      <sheetData sheetId="1286"/>
      <sheetData sheetId="1287"/>
      <sheetData sheetId="1288"/>
      <sheetData sheetId="1289"/>
      <sheetData sheetId="1290"/>
      <sheetData sheetId="1291"/>
      <sheetData sheetId="1292"/>
      <sheetData sheetId="1293"/>
      <sheetData sheetId="1294"/>
      <sheetData sheetId="1295"/>
      <sheetData sheetId="1296"/>
      <sheetData sheetId="1297"/>
      <sheetData sheetId="1298"/>
      <sheetData sheetId="1299"/>
      <sheetData sheetId="1300"/>
      <sheetData sheetId="1301"/>
      <sheetData sheetId="1302"/>
      <sheetData sheetId="1303"/>
      <sheetData sheetId="1304"/>
      <sheetData sheetId="1305"/>
      <sheetData sheetId="1306"/>
      <sheetData sheetId="1307"/>
      <sheetData sheetId="1308"/>
      <sheetData sheetId="1309"/>
      <sheetData sheetId="1310"/>
      <sheetData sheetId="1311"/>
      <sheetData sheetId="1312"/>
      <sheetData sheetId="1313"/>
      <sheetData sheetId="1314"/>
      <sheetData sheetId="1315"/>
      <sheetData sheetId="1316"/>
      <sheetData sheetId="1317"/>
      <sheetData sheetId="1318"/>
      <sheetData sheetId="1319"/>
      <sheetData sheetId="1320"/>
      <sheetData sheetId="1321"/>
      <sheetData sheetId="1322"/>
      <sheetData sheetId="1323"/>
      <sheetData sheetId="1324"/>
      <sheetData sheetId="1325"/>
      <sheetData sheetId="1326"/>
      <sheetData sheetId="1327"/>
      <sheetData sheetId="1328"/>
      <sheetData sheetId="1329"/>
      <sheetData sheetId="1330"/>
      <sheetData sheetId="1331"/>
      <sheetData sheetId="1332"/>
      <sheetData sheetId="1333"/>
      <sheetData sheetId="1334"/>
      <sheetData sheetId="1335"/>
      <sheetData sheetId="1336"/>
      <sheetData sheetId="1337"/>
      <sheetData sheetId="1338"/>
      <sheetData sheetId="1339"/>
      <sheetData sheetId="1340"/>
      <sheetData sheetId="1341"/>
      <sheetData sheetId="1342"/>
      <sheetData sheetId="1343"/>
      <sheetData sheetId="1344"/>
      <sheetData sheetId="1345"/>
      <sheetData sheetId="1346"/>
      <sheetData sheetId="1347"/>
      <sheetData sheetId="1348"/>
      <sheetData sheetId="1349"/>
      <sheetData sheetId="1350"/>
      <sheetData sheetId="1351"/>
      <sheetData sheetId="1352"/>
      <sheetData sheetId="1353"/>
      <sheetData sheetId="1354"/>
      <sheetData sheetId="1355"/>
      <sheetData sheetId="1356"/>
      <sheetData sheetId="1357"/>
      <sheetData sheetId="1358"/>
      <sheetData sheetId="1359"/>
      <sheetData sheetId="1360"/>
      <sheetData sheetId="136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sheetData sheetId="1375" refreshError="1"/>
      <sheetData sheetId="1376" refreshError="1"/>
      <sheetData sheetId="1377" refreshError="1"/>
      <sheetData sheetId="1378" refreshError="1"/>
      <sheetData sheetId="1379" refreshError="1"/>
      <sheetData sheetId="1380"/>
      <sheetData sheetId="1381" refreshError="1"/>
      <sheetData sheetId="1382"/>
      <sheetData sheetId="1383"/>
      <sheetData sheetId="1384"/>
      <sheetData sheetId="1385"/>
      <sheetData sheetId="1386"/>
      <sheetData sheetId="1387"/>
      <sheetData sheetId="1388"/>
      <sheetData sheetId="1389"/>
      <sheetData sheetId="1390"/>
      <sheetData sheetId="1391"/>
      <sheetData sheetId="1392"/>
      <sheetData sheetId="1393"/>
      <sheetData sheetId="1394"/>
      <sheetData sheetId="1395"/>
      <sheetData sheetId="1396"/>
      <sheetData sheetId="1397"/>
      <sheetData sheetId="1398"/>
      <sheetData sheetId="1399"/>
      <sheetData sheetId="1400"/>
      <sheetData sheetId="1401"/>
      <sheetData sheetId="1402"/>
      <sheetData sheetId="1403"/>
      <sheetData sheetId="1404"/>
      <sheetData sheetId="1405"/>
      <sheetData sheetId="1406"/>
      <sheetData sheetId="1407"/>
      <sheetData sheetId="1408"/>
      <sheetData sheetId="1409"/>
      <sheetData sheetId="1410"/>
      <sheetData sheetId="1411"/>
      <sheetData sheetId="1412"/>
      <sheetData sheetId="1413"/>
      <sheetData sheetId="1414"/>
      <sheetData sheetId="1415"/>
      <sheetData sheetId="1416"/>
      <sheetData sheetId="1417"/>
      <sheetData sheetId="1418"/>
      <sheetData sheetId="1419"/>
      <sheetData sheetId="1420"/>
      <sheetData sheetId="1421"/>
      <sheetData sheetId="1422"/>
      <sheetData sheetId="1423"/>
      <sheetData sheetId="1424"/>
      <sheetData sheetId="1425"/>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 sheetId="1490" refreshError="1"/>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사업부배부"/>
      <sheetName val="9901사업부배부"/>
      <sheetName val="Sheet1"/>
      <sheetName val="계정실적"/>
      <sheetName val="계정보고"/>
      <sheetName val="계정보고 (2)"/>
      <sheetName val="99년1월추정실적 (2)"/>
      <sheetName val="요약배부"/>
      <sheetName val="요약배부 (보고)"/>
      <sheetName val="요약배부 (보고) (2)"/>
      <sheetName val="12월계정별 (2)"/>
      <sheetName val="배부부별"/>
      <sheetName val="배부비목"/>
      <sheetName val="임대원가"/>
      <sheetName val="기타매출"/>
      <sheetName val="기타매출 (2)"/>
      <sheetName val="기타매출 (3)"/>
      <sheetName val="기타매출 (4)"/>
      <sheetName val="영업소실적"/>
      <sheetName val="새마을금고"/>
      <sheetName val="Module1"/>
      <sheetName val="참고인원"/>
      <sheetName val="INSTR"/>
      <sheetName val="직원동원SCH"/>
      <sheetName val="수입"/>
      <sheetName val="eq_data"/>
      <sheetName val="주관사업"/>
      <sheetName val="95삼성급(본사)"/>
      <sheetName val="mom"/>
      <sheetName val="carboline price"/>
      <sheetName val="Piping Design Data"/>
      <sheetName val="PipWT"/>
      <sheetName val="UG분석표"/>
      <sheetName val="VV보온LINK"/>
      <sheetName val="FIT보온LINK"/>
      <sheetName val="정부노임단가"/>
      <sheetName val="INST_DCI"/>
      <sheetName val="HVAC_DCI"/>
      <sheetName val="PIPE_DCI"/>
      <sheetName val="PRO_DCI"/>
      <sheetName val="pnt-sigma"/>
      <sheetName val="갑지"/>
      <sheetName val="PumpSpec"/>
      <sheetName val="표지"/>
      <sheetName val="사업부배부A"/>
      <sheetName val="상반기손익차2총괄"/>
      <sheetName val="집계표"/>
      <sheetName val="개시대사 (2)"/>
      <sheetName val="OD5000"/>
      <sheetName val="배부9901"/>
      <sheetName val="97 사업추정(WEKI)"/>
      <sheetName val="기계내역서"/>
      <sheetName val="IT-BAT"/>
      <sheetName val="45,46"/>
      <sheetName val="h-013211-2"/>
      <sheetName val="단가조사"/>
      <sheetName val="Total"/>
      <sheetName val="TYPE-B 평균H"/>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lculation"/>
      <sheetName val="XZLC004_PART2"/>
      <sheetName val="XZLC003_PART1"/>
      <sheetName val="7.6.3(B) UG Piping"/>
      <sheetName val="공사비SUM"/>
      <sheetName val="EQUIPMENT -2"/>
      <sheetName val="#REF"/>
      <sheetName val="MTL(AG)"/>
      <sheetName val="당초"/>
      <sheetName val="갑지"/>
      <sheetName val="C-18"/>
      <sheetName val="COA-17"/>
      <sheetName val="노임"/>
      <sheetName val="Part2"/>
      <sheetName val=" ｹ-ﾌﾞﾙ"/>
      <sheetName val="견"/>
      <sheetName val="내역서"/>
      <sheetName val="투찰(하수)"/>
      <sheetName val="최종견"/>
      <sheetName val="견적"/>
      <sheetName val="1.취수장"/>
      <sheetName val="단가"/>
      <sheetName val="표지"/>
      <sheetName val="200"/>
      <sheetName val="예산M11A"/>
      <sheetName val="Basic_Info"/>
      <sheetName val="BREAKDOWN(철거설치)"/>
      <sheetName val="COVER-P"/>
      <sheetName val="HVAC"/>
      <sheetName val="attach(2)"/>
      <sheetName val="주관사업"/>
      <sheetName val="상반기손익차2총괄"/>
      <sheetName val="WIP"/>
      <sheetName val="BID"/>
      <sheetName val="A-4"/>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작성기준"/>
      <sheetName val="inspecton plan"/>
      <sheetName val="Sheet1"/>
      <sheetName val="valve설치"/>
      <sheetName val="valve수량"/>
      <sheetName val="건설공사비"/>
      <sheetName val="견적기준"/>
      <sheetName val="배관 공사 물량"/>
      <sheetName val="XZLC004_PART2"/>
      <sheetName val="XZLC003_PART1"/>
      <sheetName val="Administrative Prices"/>
      <sheetName val="Summary"/>
      <sheetName val="CAT_5"/>
      <sheetName val="Curves"/>
      <sheetName val="Tables"/>
      <sheetName val="견"/>
      <sheetName val="F-302"/>
      <sheetName val="F301.303"/>
      <sheetName val="산근"/>
      <sheetName val="단가비교"/>
      <sheetName val="data_dci"/>
      <sheetName val="data_mci"/>
      <sheetName val="behind"/>
      <sheetName val="Main"/>
      <sheetName val="지계"/>
      <sheetName val="CAMP - CONSTRUCTION"/>
      <sheetName val="Tipo Terzi"/>
      <sheetName val="lookup"/>
      <sheetName val="Sheet5"/>
      <sheetName val="Cost_total_배관-3차_한남현"/>
      <sheetName val="Inputs"/>
      <sheetName val="BD"/>
      <sheetName val="EQUIPMENT -2"/>
      <sheetName val="INPUT"/>
      <sheetName val="STATIC"/>
      <sheetName val="CCC"/>
      <sheetName val="MTL(AG)"/>
      <sheetName val="당초"/>
      <sheetName val="ABUT수량-A1"/>
      <sheetName val="갑지"/>
      <sheetName val="Summary Sheets"/>
      <sheetName val="Factor"/>
      <sheetName val="상수도토공집계표"/>
      <sheetName val="기계내역서"/>
      <sheetName val="Activity(new)"/>
      <sheetName val="BOQ"/>
      <sheetName val="Equipment"/>
      <sheetName val="Labor"/>
      <sheetName val="PIPE"/>
      <sheetName val="Note"/>
      <sheetName val="Heads"/>
      <sheetName val="Dbase"/>
      <sheetName val="Page 2"/>
      <sheetName val="노임"/>
      <sheetName val=" ｹ-ﾌﾞﾙ"/>
      <sheetName val="내역서"/>
      <sheetName val="투찰(하수)"/>
      <sheetName val="최종견"/>
      <sheetName val="견적"/>
      <sheetName val="MTO"/>
      <sheetName val="Price Comparison"/>
      <sheetName val="Equip Sch."/>
      <sheetName val="Code03"/>
      <sheetName val="QMCT"/>
      <sheetName val="LinerWt"/>
      <sheetName val="기본DATA"/>
      <sheetName val="DCS"/>
      <sheetName val="ANALYSER"/>
      <sheetName val="주관사업"/>
      <sheetName val="요약배부"/>
      <sheetName val="품셈(기초)"/>
      <sheetName val="CAL(1)."/>
      <sheetName val="일위대가표"/>
      <sheetName val="6.Base"/>
      <sheetName val="Cash2"/>
      <sheetName val="Z"/>
      <sheetName val="DATA"/>
      <sheetName val="Pipe Hot"/>
      <sheetName val="LV induction motors"/>
      <sheetName val="Precios por Administración"/>
      <sheetName val="Resumen"/>
      <sheetName val="Precios Unitario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내역서"/>
      <sheetName val="견적대비"/>
      <sheetName val="GAEYO"/>
      <sheetName val="갑지"/>
      <sheetName val="갑지(추정)"/>
    </sheetNames>
    <sheetDataSet>
      <sheetData sheetId="0"/>
      <sheetData sheetId="1"/>
      <sheetData sheetId="2" refreshError="1"/>
      <sheetData sheetId="3" refreshError="1"/>
      <sheetData sheetId="4" refreshError="1"/>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akedişkapak"/>
      <sheetName val="yap.işl.lis."/>
      <sheetName val="yeş.iç-2"/>
      <sheetName val="METRAJ"/>
      <sheetName val="METRAJ (2)"/>
      <sheetName val="METRAJ (3)"/>
      <sheetName val="07005K-1"/>
      <sheetName val="Rate-Code"/>
      <sheetName val="Finansal tamamlanma Eğrisi"/>
      <sheetName val="tahakkuk müzekkeresi_1"/>
      <sheetName val="Tut 1"/>
      <sheetName val="Quantity"/>
      <sheetName val="Sayfa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
      <sheetName val="Content"/>
      <sheetName val="Project Outline"/>
      <sheetName val="주요공사"/>
      <sheetName val="Contractual Amount"/>
      <sheetName val="시헹예산"/>
      <sheetName val="TENDER vs BUDGET"/>
      <sheetName val="직영 vs 하청 - 2"/>
      <sheetName val="96 당초Schedule"/>
      <sheetName val="96 Performance"/>
      <sheetName val="소화-투입 분석표"/>
      <sheetName val="STF ORG(K)"/>
      <sheetName val="Staff Org. Chart"/>
      <sheetName val="Scope of Work"/>
      <sheetName val="Design Status"/>
      <sheetName val="DWG Status"/>
      <sheetName val="MAT'L Status"/>
      <sheetName val="장비동원"/>
      <sheetName val="근로자동원"/>
      <sheetName val="Install Status"/>
      <sheetName val="Staff Mob. Plan"/>
      <sheetName val="M.P Mob. Plan"/>
      <sheetName val="Eq. Mobilization"/>
      <sheetName val="간접비 총괄표"/>
      <sheetName val="을지"/>
      <sheetName val="Eq_ Mobilization"/>
      <sheetName val="안전장치"/>
      <sheetName val="VC2 9.98"/>
      <sheetName val="HKDSUMM"/>
      <sheetName val="산거각호표"/>
      <sheetName val="수입"/>
      <sheetName val="유림골조"/>
      <sheetName val="Sheet1"/>
      <sheetName val="공통비총괄표"/>
      <sheetName val="잡비계산"/>
      <sheetName val="집계표(육상)"/>
      <sheetName val="지급자재"/>
      <sheetName val="11월 실적"/>
      <sheetName val="내역서"/>
      <sheetName val="h-013211-2"/>
      <sheetName val="slipsumpR"/>
      <sheetName val="TUAS"/>
      <sheetName val="STAND20"/>
      <sheetName val="직원동원SCH"/>
      <sheetName val="#REF"/>
      <sheetName val="Cash2"/>
      <sheetName val="Z"/>
      <sheetName val="손익차9월2"/>
      <sheetName val="VC2 8.98"/>
      <sheetName val="개시전표"/>
      <sheetName val="공사집계"/>
      <sheetName val="카메라"/>
      <sheetName val="TOWER 12TON"/>
      <sheetName val="TOWER 10TON"/>
      <sheetName val="가제당공사비"/>
      <sheetName val="기초처리공사비"/>
      <sheetName val="복통공사비"/>
      <sheetName val="본제당공사비"/>
      <sheetName val="시험비"/>
      <sheetName val="자재대"/>
      <sheetName val="중기운반비"/>
      <sheetName val="진입도로공사비"/>
      <sheetName val="취수탑공사비"/>
      <sheetName val="토취장복구"/>
      <sheetName val="Sheet2"/>
      <sheetName val="기구조직"/>
      <sheetName val="데이타"/>
      <sheetName val="식재인부"/>
      <sheetName val="JIB CRANE,HOIST"/>
      <sheetName val="대비표"/>
      <sheetName val="집계표(OPTION)"/>
      <sheetName val="당초"/>
      <sheetName val="집계표"/>
      <sheetName val="P.M 별"/>
      <sheetName val="BM"/>
      <sheetName val="사업부배부A"/>
      <sheetName val="TTL"/>
      <sheetName val="청산공사"/>
      <sheetName val="금액내역서"/>
      <sheetName val="8.PILE  (돌출)"/>
      <sheetName val="6PILE  (돌출)"/>
      <sheetName val="예정(3)"/>
      <sheetName val="기준"/>
      <sheetName val="PRO_DCI"/>
      <sheetName val="ELEC_DCI"/>
      <sheetName val="INST_DCI"/>
      <sheetName val="발주코드"/>
      <sheetName val="2.1.2예정공정율(칼라)"/>
      <sheetName val="2000.11월설계내역"/>
      <sheetName val="주관사업"/>
      <sheetName val="수주추진리스트"/>
      <sheetName val="TK판매비impact"/>
      <sheetName val="TK판매비"/>
      <sheetName val="수주집계"/>
      <sheetName val="TK외판매비impact"/>
      <sheetName val="Vendors"/>
      <sheetName val="운반"/>
      <sheetName val="단중"/>
      <sheetName val="품셈표"/>
      <sheetName val="Sheet4"/>
      <sheetName val="D-623D"/>
      <sheetName val="연돌일위집계"/>
      <sheetName val="산근"/>
      <sheetName val="업체별SV단가"/>
      <sheetName val="ITC현황"/>
      <sheetName val="ITC 현황"/>
      <sheetName val="일위대가"/>
      <sheetName val="가격조사서"/>
      <sheetName val="대비표(실행)"/>
      <sheetName val="현장관리비증감내역"/>
      <sheetName val="부대공사비(실행)"/>
      <sheetName val="내역서(ITC)"/>
      <sheetName val="1.1 Overall Progress"/>
      <sheetName val="Cover_Sheet"/>
      <sheetName val="Project_Outline"/>
      <sheetName val="Contractual_Amount"/>
      <sheetName val="TENDER_vs_BUDGET"/>
      <sheetName val="직영_vs_하청_-_2"/>
      <sheetName val="96_당초Schedule"/>
      <sheetName val="96_Performance"/>
      <sheetName val="소화-투입_분석표"/>
      <sheetName val="STF_ORG(K)"/>
      <sheetName val="Staff_Org__Chart"/>
      <sheetName val="Scope_of_Work"/>
      <sheetName val="Design_Status"/>
      <sheetName val="DWG_Status"/>
      <sheetName val="MAT'L_Status"/>
      <sheetName val="Install_Status"/>
      <sheetName val="Staff_Mob__Plan"/>
      <sheetName val="M_P_Mob__Plan"/>
      <sheetName val="Eq__Mobilization"/>
      <sheetName val="Eq__Mobilization1"/>
      <sheetName val="VC2_9_98"/>
      <sheetName val="11월_실적"/>
      <sheetName val="간접비_총괄표"/>
      <sheetName val="VC2_8_98"/>
      <sheetName val="TOWER_12TON"/>
      <sheetName val="TOWER_10TON"/>
      <sheetName val="JIB_CRANE,HOIST"/>
      <sheetName val="4.0 (2)"/>
      <sheetName val="단가대비표"/>
      <sheetName val="일위대가(가설)"/>
      <sheetName val="노임단가"/>
      <sheetName val="예가표"/>
      <sheetName val="지급제한자"/>
      <sheetName val="BQMPALOC"/>
      <sheetName val="부대집계표(목표반영)"/>
      <sheetName val="개요"/>
      <sheetName val="배수내역"/>
      <sheetName val="M-EQPT-Z"/>
      <sheetName val="B"/>
      <sheetName val="찍기"/>
      <sheetName val="15 문제점"/>
      <sheetName val="공사비집계"/>
      <sheetName val="_"/>
      <sheetName val="REPORT07"/>
      <sheetName val="소화실적"/>
      <sheetName val="단가비교"/>
      <sheetName val="99년하반기"/>
      <sheetName val="매각(6)"/>
      <sheetName val="상반기손익차2총괄"/>
      <sheetName val="공문"/>
      <sheetName val="과제정의서"/>
      <sheetName val="Sheet7"/>
      <sheetName val="노동부"/>
      <sheetName val="BQMP"/>
      <sheetName val="Rate Analysis"/>
      <sheetName val="95삼성급(본사)"/>
      <sheetName val="5사남"/>
      <sheetName val="드롭다운"/>
      <sheetName val="등급기준"/>
      <sheetName val="Disc WF (최종)"/>
      <sheetName val="Weekly WV %"/>
      <sheetName val="구분정의"/>
      <sheetName val="산출근거"/>
      <sheetName val="수지계산"/>
      <sheetName val="안산기계장치"/>
      <sheetName val="차트 (2)"/>
      <sheetName val=""/>
      <sheetName val="업무분장"/>
      <sheetName val="Sheet3"/>
      <sheetName val="Work Trade Code"/>
      <sheetName val="목록 &amp; 환율표"/>
      <sheetName val="DHEQSUPT"/>
      <sheetName val="Cover_Sheet1"/>
      <sheetName val="Project_Outline1"/>
      <sheetName val="Contractual_Amount1"/>
      <sheetName val="TENDER_vs_BUDGET1"/>
      <sheetName val="직영_vs_하청_-_21"/>
      <sheetName val="96_당초Schedule1"/>
      <sheetName val="96_Performance1"/>
      <sheetName val="소화-투입_분석표1"/>
      <sheetName val="STF_ORG(K)1"/>
      <sheetName val="Staff_Org__Chart1"/>
      <sheetName val="Scope_of_Work1"/>
      <sheetName val="Design_Status1"/>
      <sheetName val="DWG_Status1"/>
      <sheetName val="MAT'L_Status1"/>
      <sheetName val="Install_Status1"/>
      <sheetName val="Staff_Mob__Plan1"/>
      <sheetName val="M_P_Mob__Plan1"/>
      <sheetName val="Eq__Mobilization2"/>
      <sheetName val="Eq__Mobilization3"/>
      <sheetName val="VC2_9_981"/>
      <sheetName val="11월_실적1"/>
      <sheetName val="간접비_총괄표1"/>
      <sheetName val="VC2_8_981"/>
      <sheetName val="TOWER_12TON1"/>
      <sheetName val="TOWER_10TON1"/>
      <sheetName val="JIB_CRANE,HOIST1"/>
      <sheetName val="P_M_별"/>
      <sheetName val="8_PILE__(돌출)"/>
      <sheetName val="6PILE__(돌출)"/>
      <sheetName val="2000_11월설계내역"/>
      <sheetName val="2_1_2예정공정율(칼라)"/>
      <sheetName val="1_1_Overall_Progress"/>
      <sheetName val="ITC_현황"/>
      <sheetName val="4_0_(2)"/>
      <sheetName val="건설기계"/>
      <sheetName val="노임"/>
      <sheetName val="단가산출"/>
      <sheetName val="사급자재"/>
      <sheetName val="SHEET"/>
      <sheetName val="토목"/>
      <sheetName val="인원계획"/>
      <sheetName val="연수원"/>
      <sheetName val="97년 SEACO예산"/>
      <sheetName val="영업소실적"/>
      <sheetName val="MEED"/>
      <sheetName val="표지"/>
      <sheetName val="DRUM"/>
      <sheetName val="4.3물량INDEX검토"/>
      <sheetName val="목록"/>
      <sheetName val="명부(최종)"/>
      <sheetName val="조합원세부항목(작업)"/>
      <sheetName val="50%"/>
      <sheetName val="명부"/>
      <sheetName val="선택목록"/>
      <sheetName val="공통부대비"/>
      <sheetName val="인력(현장,직원)"/>
      <sheetName val="8-31-98"/>
      <sheetName val="worksheet inchican"/>
      <sheetName val="combined 9-30"/>
      <sheetName val="실행내역"/>
      <sheetName val="제출계산서"/>
      <sheetName val="Embank"/>
      <sheetName val="12CGOU"/>
      <sheetName val="입찰내역 발주처 양식"/>
      <sheetName val="0.간접비기준"/>
      <sheetName val="Lumpsum-1"/>
      <sheetName val="Lumpsum-3"/>
      <sheetName val="1.설계조건"/>
      <sheetName val="G.R300경비"/>
      <sheetName val="간접비(1)"/>
      <sheetName val="A-4"/>
      <sheetName val="내역"/>
      <sheetName val="종후자산호수별가격"/>
      <sheetName val="경영현황"/>
      <sheetName val="BOJUNGGM"/>
      <sheetName val="A"/>
      <sheetName val="AC"/>
      <sheetName val="수주현황2월"/>
      <sheetName val="환율"/>
      <sheetName val="1"/>
      <sheetName val="FitOutConfCentre"/>
      <sheetName val="BOQ"/>
      <sheetName val="PROGRAM"/>
      <sheetName val="CASHFLOW"/>
      <sheetName val="정형의견"/>
      <sheetName val="은행"/>
      <sheetName val="7.4 유가 변동 예비비"/>
      <sheetName val="4KEB"/>
      <sheetName val="상 부"/>
      <sheetName val="목표세부명세"/>
      <sheetName val="실행철강하도"/>
      <sheetName val="4. 해외출장비"/>
      <sheetName val="inter"/>
      <sheetName val="Perm. Test"/>
      <sheetName val="Daftar Sewa"/>
      <sheetName val="Peralatan"/>
      <sheetName val="Peralatan (2)"/>
      <sheetName val="Analisa Alat"/>
      <sheetName val="Option"/>
      <sheetName val="p&amp;m"/>
      <sheetName val="97 사업추정(WEKI)"/>
      <sheetName val="통합"/>
      <sheetName val="실행예산SHEET도장재검토"/>
      <sheetName val="jadw"/>
      <sheetName val="Rate_Analysis"/>
      <sheetName val="15_문제점"/>
      <sheetName val="ESCON"/>
      <sheetName val="EE-PROP"/>
      <sheetName val="공사비총괄표"/>
      <sheetName val="성광벤드"/>
      <sheetName val="GRP PIPING"/>
      <sheetName val="현장지지물물량"/>
      <sheetName val="Summary"/>
      <sheetName val="견적기준"/>
      <sheetName val="P-LIST"/>
      <sheetName val="물가자료"/>
      <sheetName val="2000년1차"/>
      <sheetName val="단가집"/>
      <sheetName val="전열면적"/>
      <sheetName val="SEPARATOR"/>
      <sheetName val="BM "/>
      <sheetName val="DWG LIST"/>
      <sheetName val="자격 땡겨오기"/>
      <sheetName val="VAE264_VALVES"/>
      <sheetName val="5.소재"/>
      <sheetName val="B101"/>
      <sheetName val="COA-17"/>
      <sheetName val="C-18"/>
      <sheetName val="MOB-MAN1"/>
      <sheetName val="예제"/>
      <sheetName val="기준표"/>
      <sheetName val="규격"/>
      <sheetName val="노점수분"/>
      <sheetName val="자재사용현황"/>
      <sheetName val="w't table"/>
      <sheetName val="INDEX"/>
      <sheetName val="DI-ESTI"/>
      <sheetName val="KH-Q1,Q2,01"/>
      <sheetName val="NYS"/>
      <sheetName val="CAT_5"/>
      <sheetName val="kich thuoc"/>
      <sheetName val="DTHH"/>
      <sheetName val="WE'T"/>
      <sheetName val="REDUCER"/>
      <sheetName val="임율 Data"/>
      <sheetName val="Lists"/>
      <sheetName val="REV 4"/>
      <sheetName val="COL"/>
      <sheetName val="Sheet5"/>
      <sheetName val="BEND LOSS"/>
      <sheetName val="CI "/>
      <sheetName val="CI"/>
      <sheetName val="FM"/>
      <sheetName val="piedathot"/>
      <sheetName val="projcasflo"/>
      <sheetName val="Parameter"/>
      <sheetName val="금융"/>
      <sheetName val="SG"/>
      <sheetName val="Dropdown"/>
      <sheetName val="Database"/>
      <sheetName val="조도"/>
      <sheetName val="1-Schedule"/>
      <sheetName val="0-Quantity"/>
      <sheetName val="Grf"/>
      <sheetName val="TRUCK HAUL CYCLE-waste"/>
      <sheetName val="Land Dev't. Ph-1"/>
      <sheetName val="Shut down"/>
      <sheetName val="Building"/>
      <sheetName val="Schedule S-Curve Revision#3"/>
      <sheetName val="Table"/>
      <sheetName val="Parameters"/>
      <sheetName val="0000"/>
      <sheetName val="GAE8'97"/>
      <sheetName val="03"/>
      <sheetName val="DESIGN"/>
      <sheetName val="DESBASTE"/>
      <sheetName val="Code 07"/>
      <sheetName val="추가예산"/>
      <sheetName val="Cover_Sheet2"/>
      <sheetName val="Project_Outline2"/>
      <sheetName val="Contractual_Amount2"/>
      <sheetName val="TENDER_vs_BUDGET2"/>
      <sheetName val="직영_vs_하청_-_22"/>
      <sheetName val="96_당초Schedule2"/>
      <sheetName val="96_Performance2"/>
      <sheetName val="소화-투입_분석표2"/>
      <sheetName val="STF_ORG(K)2"/>
      <sheetName val="Staff_Org__Chart2"/>
      <sheetName val="Scope_of_Work2"/>
      <sheetName val="Design_Status2"/>
      <sheetName val="DWG_Status2"/>
      <sheetName val="MAT'L_Status2"/>
      <sheetName val="Install_Status2"/>
      <sheetName val="Staff_Mob__Plan2"/>
      <sheetName val="M_P_Mob__Plan2"/>
      <sheetName val="Eq__Mobilization4"/>
      <sheetName val="Eq__Mobilization5"/>
      <sheetName val="VC2_9_982"/>
      <sheetName val="11월_실적2"/>
      <sheetName val="간접비_총괄표2"/>
      <sheetName val="VC2_8_982"/>
      <sheetName val="TOWER_12TON2"/>
      <sheetName val="TOWER_10TON2"/>
      <sheetName val="JIB_CRANE,HOIST2"/>
      <sheetName val="P_M_별1"/>
      <sheetName val="8_PILE__(돌출)1"/>
      <sheetName val="6PILE__(돌출)1"/>
      <sheetName val="2000_11월설계내역1"/>
      <sheetName val="2_1_2예정공정율(칼라)1"/>
      <sheetName val="1_1_Overall_Progress1"/>
      <sheetName val="ITC_현황1"/>
      <sheetName val="4_0_(2)1"/>
      <sheetName val="시산표"/>
      <sheetName val="1-G1"/>
      <sheetName val="자바라1"/>
      <sheetName val="해외 연수비용 계산-삭제"/>
      <sheetName val="Wind Load(3.1) (2)"/>
      <sheetName val="Wind Load(3.2)"/>
      <sheetName val="Wind Load(3.4)"/>
      <sheetName val="Ord"/>
      <sheetName val="Key Data"/>
      <sheetName val="CTEMCOST"/>
      <sheetName val="금융비용"/>
      <sheetName val="교각계산"/>
      <sheetName val="INPUT"/>
      <sheetName val="터파기및재료"/>
      <sheetName val="수안보-MBR1"/>
      <sheetName val="2.2 띠장의 설계"/>
      <sheetName val="간지"/>
      <sheetName val="1_설계조건"/>
      <sheetName val="Disc_WF_(최종)"/>
      <sheetName val="Weekly_WV_%"/>
      <sheetName val="차트_(2)"/>
      <sheetName val="Work_Trade_Code"/>
      <sheetName val="목록_&amp;_환율표"/>
      <sheetName val="97년_SEACO예산"/>
      <sheetName val="상_부"/>
      <sheetName val="4_3물량INDEX검토"/>
      <sheetName val="G_R300경비"/>
      <sheetName val="worksheet_inchican"/>
      <sheetName val="combined_9-30"/>
      <sheetName val="입찰내역_발주처_양식"/>
      <sheetName val="0_간접비기준"/>
      <sheetName val="Labour"/>
      <sheetName val="Material"/>
      <sheetName val="Plant &amp;  Machinery"/>
      <sheetName val="_REF"/>
      <sheetName val="갑지"/>
      <sheetName val="Курсы"/>
      <sheetName val="Power &amp; control cables"/>
      <sheetName val="Earthing Cables "/>
      <sheetName val="tabulation of deductions"/>
      <sheetName val="Civilwks.Deriv"/>
      <sheetName val="Str.Deriv"/>
      <sheetName val="Existing PC Pavement"/>
      <sheetName val="Subgrade"/>
      <sheetName val="data"/>
      <sheetName val="2.223M_due to adj profit"/>
      <sheetName val="PROCURE"/>
      <sheetName val="Dico"/>
      <sheetName val="Cover"/>
      <sheetName val="Beams"/>
      <sheetName val="CABLE DATA"/>
      <sheetName val="laborrates"/>
      <sheetName val="100(4)"/>
      <sheetName val="GESTION FICHE"/>
      <sheetName val="TRADUCTION LISTES"/>
      <sheetName val="PSV2701F"/>
      <sheetName val="Costi di prod. E1 02"/>
      <sheetName val="breakdown"/>
      <sheetName val="RefG"/>
      <sheetName val="IRR sponsor"/>
      <sheetName val="CFA"/>
      <sheetName val="Material Price"/>
      <sheetName val="REBAR"/>
      <sheetName val="Assump (Time) - Project Co."/>
      <sheetName val="Arch"/>
      <sheetName val="Benchmark"/>
      <sheetName val="MOS"/>
      <sheetName val="지원시설 내역서(154kV)"/>
      <sheetName val="카5"/>
      <sheetName val="Soil Parameter"/>
      <sheetName val="PCV"/>
      <sheetName val="Register"/>
      <sheetName val="Cashflow Analysis"/>
      <sheetName val="BILL"/>
      <sheetName val="DAF-4"/>
      <sheetName val="DHS AC"/>
      <sheetName val="DAF-5"/>
      <sheetName val="iTEM hARSAT"/>
      <sheetName val="analis standar(20m)"/>
      <sheetName val="ANAL BETON"/>
      <sheetName val="Pipe"/>
      <sheetName val="DESCRIPTION"/>
      <sheetName val="BM DATA SHEET"/>
      <sheetName val="BAG-III"/>
      <sheetName val="DATA PROYEK"/>
      <sheetName val="rab"/>
      <sheetName val="BA Evaluasi"/>
      <sheetName val="Permhnan CCO"/>
      <sheetName val="Persetujuan CCO"/>
      <sheetName val="Rekap MC"/>
      <sheetName val="Penyampaian Evaluasi"/>
      <sheetName val="R. RapatCCO"/>
      <sheetName val="DAFTAR HARGA"/>
      <sheetName val="Fill this out first..."/>
      <sheetName val="21"/>
      <sheetName val="analisa"/>
      <sheetName val="Master 1.0"/>
      <sheetName val="Bahan"/>
      <sheetName val="Code"/>
      <sheetName val="Default"/>
      <sheetName val="Rekap Addendum"/>
      <sheetName val="4-MVAC"/>
      <sheetName val="H.Satuan"/>
      <sheetName val="SEX"/>
      <sheetName val="7. Comparison of Asphalt etc"/>
      <sheetName val="harsat"/>
      <sheetName val="Div2"/>
      <sheetName val="Exterior"/>
      <sheetName val="Analisa Harga Satuan"/>
      <sheetName val="Hit Vol Str Jambi"/>
      <sheetName val="PE-F-33 Rev 02 Basic Proj.Info"/>
      <sheetName val="PE-F-31 Rev 01 Coversheet"/>
      <sheetName val=" PE-F-42 MR 9 Manpower"/>
      <sheetName val="AT 2"/>
      <sheetName val="615E101AB(CASE85F)"/>
      <sheetName val="BL"/>
      <sheetName val="FINAL"/>
      <sheetName val="RESUME"/>
      <sheetName val="DAPRO"/>
      <sheetName val="Mob"/>
      <sheetName val="DAFTAR ISI"/>
      <sheetName val="SUMMARY (2)"/>
      <sheetName val="CIVIL"/>
      <sheetName val="MEP"/>
      <sheetName val="QUOTATION"/>
      <sheetName val="ELECTRIC"/>
      <sheetName val="page 6"/>
      <sheetName val="INSTR"/>
      <sheetName val="Piping Design Data"/>
      <sheetName val="조명시설"/>
      <sheetName val="TB"/>
      <sheetName val="BS"/>
      <sheetName val="石炭性状"/>
      <sheetName val="Takeoff"/>
      <sheetName val="N賃率-職"/>
      <sheetName val="부산제일극장"/>
      <sheetName val="Analisa (me)"/>
      <sheetName val="pro ra op"/>
      <sheetName val="grafik"/>
      <sheetName val="Indirect"/>
      <sheetName val="Rekap (2)"/>
      <sheetName val="Analisa Transport"/>
      <sheetName val="electrical Work Price List (2)"/>
      <sheetName val="ANALISA CABLE"/>
      <sheetName val="갑지(추정)"/>
      <sheetName val="Cover_Sheet3"/>
      <sheetName val="Project_Outline3"/>
      <sheetName val="Contractual_Amount3"/>
      <sheetName val="TENDER_vs_BUDGET3"/>
      <sheetName val="직영_vs_하청_-_23"/>
      <sheetName val="96_당초Schedule3"/>
      <sheetName val="96_Performance3"/>
      <sheetName val="소화-투입_분석표3"/>
      <sheetName val="STF_ORG(K)3"/>
      <sheetName val="Staff_Org__Chart3"/>
      <sheetName val="Scope_of_Work3"/>
      <sheetName val="Design_Status3"/>
      <sheetName val="DWG_Status3"/>
      <sheetName val="MAT'L_Status3"/>
      <sheetName val="Install_Status3"/>
      <sheetName val="Staff_Mob__Plan3"/>
      <sheetName val="M_P_Mob__Plan3"/>
      <sheetName val="Eq__Mobilization6"/>
      <sheetName val="Eq__Mobilization7"/>
      <sheetName val="VC2_9_983"/>
      <sheetName val="11월_실적3"/>
      <sheetName val="간접비_총괄표3"/>
      <sheetName val="VC2_8_983"/>
      <sheetName val="ITC_현황2"/>
      <sheetName val="TOWER_12TON3"/>
      <sheetName val="TOWER_10TON3"/>
      <sheetName val="P_M_별2"/>
      <sheetName val="JIB_CRANE,HOIST3"/>
      <sheetName val="8_PILE__(돌출)2"/>
      <sheetName val="6PILE__(돌출)2"/>
      <sheetName val="1_설계조건1"/>
      <sheetName val="2000_11월설계내역2"/>
      <sheetName val="2_1_2예정공정율(칼라)2"/>
      <sheetName val="1_1_Overall_Progress2"/>
      <sheetName val="4_0_(2)2"/>
      <sheetName val="15_문제점1"/>
      <sheetName val="Rate_Analysis1"/>
      <sheetName val="Disc_WF_(최종)1"/>
      <sheetName val="Weekly_WV_%1"/>
      <sheetName val="차트_(2)1"/>
      <sheetName val="Work_Trade_Code1"/>
      <sheetName val="목록_&amp;_환율표1"/>
      <sheetName val="97년_SEACO예산1"/>
      <sheetName val="4_3물량INDEX검토1"/>
      <sheetName val="G_R300경비1"/>
      <sheetName val="worksheet_inchican1"/>
      <sheetName val="combined_9-301"/>
      <sheetName val="입찰내역_발주처_양식1"/>
      <sheetName val="0_간접비기준1"/>
      <sheetName val="4__해외출장비"/>
      <sheetName val="상_부1"/>
      <sheetName val="Perm__Test"/>
      <sheetName val="Daftar_Sewa"/>
      <sheetName val="Peralatan_(2)"/>
      <sheetName val="Analisa_Alat"/>
      <sheetName val="97_사업추정(WEKI)"/>
      <sheetName val="7_4_유가_변동_예비비"/>
      <sheetName val="GRP_PIPING"/>
      <sheetName val="BM_"/>
      <sheetName val="DWG_LIST"/>
      <sheetName val="자격_땡겨오기"/>
      <sheetName val="5_소재"/>
      <sheetName val="w't_table"/>
      <sheetName val="kich_thuoc"/>
      <sheetName val="임율_Data"/>
      <sheetName val="REV_4"/>
      <sheetName val="BEND_LOSS"/>
      <sheetName val="CI_"/>
      <sheetName val="TRUCK_HAUL_CYCLE-waste"/>
      <sheetName val="Land_Dev't__Ph-1"/>
      <sheetName val="Shut_down"/>
      <sheetName val="Schedule_S-Curve_Revision#3"/>
      <sheetName val="Code_07"/>
      <sheetName val="해외_연수비용_계산-삭제"/>
      <sheetName val="Wind_Load(3_1)_(2)"/>
      <sheetName val="Wind_Load(3_2)"/>
      <sheetName val="Wind_Load(3_4)"/>
      <sheetName val="Key_Data"/>
      <sheetName val="2_2_띠장의_설계"/>
      <sheetName val="코드"/>
      <sheetName val="조정사유"/>
      <sheetName val="(110919)부산정관집단에너지사업차환현안검토.xlsx"/>
      <sheetName val="1-1"/>
      <sheetName val="Status by Codes"/>
      <sheetName val="MHRS"/>
      <sheetName val="UPH,BHN,ALT"/>
      <sheetName val="Analis harga"/>
      <sheetName val="UNIT 3"/>
      <sheetName val="Utility and Fire flange"/>
      <sheetName val="Power_&amp;_control_cables"/>
      <sheetName val="Earthing_Cables_"/>
      <sheetName val="tabulation_of_deductions"/>
      <sheetName val="Civilwks_Deriv"/>
      <sheetName val="Str_Deriv"/>
      <sheetName val="Existing_PC_Pavement"/>
      <sheetName val="2_223M_due_to_adj_profit"/>
      <sheetName val="CABLE_DATA"/>
      <sheetName val="GESTION_FICHE"/>
      <sheetName val="TRADUCTION_LISTES"/>
      <sheetName val="Costi_di_prod__E1_02"/>
      <sheetName val="IRR_sponsor"/>
      <sheetName val="Material_Price"/>
      <sheetName val="Assump_(Time)_-_Project_Co_"/>
      <sheetName val="지원시설_내역서(154kV)"/>
      <sheetName val="F4-F7"/>
      <sheetName val="cash budget"/>
      <sheetName val="Referencias"/>
      <sheetName val="OCT"/>
      <sheetName val="Material Selections"/>
      <sheetName val="Rates"/>
      <sheetName val="전기 BM_revA('090624).xls"/>
      <sheetName val="表二"/>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sheetData sheetId="97" refreshError="1"/>
      <sheetData sheetId="98" refreshError="1"/>
      <sheetData sheetId="99" refreshError="1"/>
      <sheetData sheetId="100" refreshError="1"/>
      <sheetData sheetId="101" refreshError="1"/>
      <sheetData sheetId="102" refreshError="1"/>
      <sheetData sheetId="103" refreshError="1"/>
      <sheetData sheetId="104"/>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sheetData sheetId="518"/>
      <sheetData sheetId="519"/>
      <sheetData sheetId="520"/>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x-Rate"/>
      <sheetName val="Adopt (SS)"/>
      <sheetName val="115 GIS"/>
      <sheetName val="CVT"/>
      <sheetName val="SA"/>
      <sheetName val="PI"/>
      <sheetName val="C&amp;P"/>
      <sheetName val="C&amp;P(검토)"/>
      <sheetName val="C&amp;P(검토) (2)"/>
      <sheetName val="MDFOTE"/>
      <sheetName val="FR SOE Scada SDH DSM"/>
      <sheetName val="LVAC"/>
      <sheetName val="Steel"/>
      <sheetName val="Hardware"/>
      <sheetName val="LV CBL"/>
      <sheetName val="Grounding"/>
      <sheetName val="Others"/>
      <sheetName val="SUP TRN FAT"/>
      <sheetName val="TPI"/>
      <sheetName val="토건"/>
      <sheetName val="Access Road"/>
      <sheetName val="기계"/>
      <sheetName val="인건비"/>
      <sheetName val="장비비"/>
      <sheetName val="TnC"/>
      <sheetName val="자재부대"/>
      <sheetName val="해상운반"/>
      <sheetName val="육상운반"/>
      <sheetName val="부대공통"/>
      <sheetName val="#REF"/>
    </sheetNames>
    <sheetDataSet>
      <sheetData sheetId="0">
        <row r="6">
          <cell r="C6">
            <v>1.1097999999999999</v>
          </cell>
        </row>
        <row r="7">
          <cell r="C7">
            <v>1.3873</v>
          </cell>
        </row>
        <row r="8">
          <cell r="C8">
            <v>0.54159999999999997</v>
          </cell>
        </row>
        <row r="9">
          <cell r="C9">
            <v>7.593</v>
          </cell>
        </row>
        <row r="10">
          <cell r="C10">
            <v>925</v>
          </cell>
        </row>
        <row r="13">
          <cell r="C13">
            <v>3.6728000000000001</v>
          </cell>
        </row>
        <row r="14">
          <cell r="C14">
            <v>0.29120000000000001</v>
          </cell>
        </row>
        <row r="15">
          <cell r="C15">
            <v>1.5321</v>
          </cell>
        </row>
        <row r="16">
          <cell r="C16">
            <v>1</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refreshError="1"/>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A_code"/>
      <sheetName val="Sheet1"/>
      <sheetName val="Sheet1 (2)"/>
      <sheetName val="CAT_5"/>
      <sheetName val="Elec_BOQ"/>
      <sheetName val="95삼성급(본사)"/>
      <sheetName val="LV CDB"/>
      <sheetName val="집계표"/>
      <sheetName val="개시대사 (2)"/>
      <sheetName val="95삼성급_본사_"/>
      <sheetName val="valve_code"/>
      <sheetName val="Titles"/>
      <sheetName val="Information"/>
      <sheetName val="전차선로 물량표"/>
      <sheetName val="B31.1"/>
      <sheetName val="PSIZE"/>
      <sheetName val="ASA"/>
      <sheetName val="MC-1"/>
      <sheetName val="MixBed"/>
      <sheetName val="CondPol"/>
      <sheetName val="7.6.3(B) UG Piping"/>
      <sheetName val="교각1"/>
      <sheetName val="BQ"/>
      <sheetName val="Sheet1_(2)"/>
      <sheetName val="개시대사_(2)"/>
      <sheetName val="LV_CDB"/>
      <sheetName val="CB"/>
      <sheetName val="EQUIP-H"/>
      <sheetName val="경제성분석"/>
      <sheetName val="원가현황"/>
      <sheetName val="DATA"/>
      <sheetName val="단가 및 재료비"/>
      <sheetName val="영업소실적"/>
      <sheetName val="data_dci"/>
      <sheetName val="data_mci"/>
      <sheetName val="behind"/>
      <sheetName val="Main"/>
      <sheetName val="XZLC004_PART2"/>
      <sheetName val="ABAD"/>
      <sheetName val="A1기성"/>
      <sheetName val="BGT"/>
      <sheetName val="CHAVOSH"/>
      <sheetName val="ZAR SAZ"/>
      <sheetName val="Sheet6"/>
      <sheetName val="Pipe"/>
      <sheetName val="Valve"/>
      <sheetName val="Specialty Item"/>
      <sheetName val="eq_data"/>
      <sheetName val="기계내역서"/>
      <sheetName val="TDC_ADMIN"/>
      <sheetName val="Requisitions"/>
      <sheetName val="ICDS"/>
      <sheetName val="´çÃÊ"/>
      <sheetName val="작성기준"/>
      <sheetName val="내역"/>
      <sheetName val="I一般比"/>
      <sheetName val="N賃率-職"/>
      <sheetName val="내역서"/>
      <sheetName val="Sum by Departments (3)"/>
      <sheetName val="Data Complete (2)"/>
      <sheetName val="포장복구집계"/>
      <sheetName val="CAMP - CONSTRUCTION"/>
      <sheetName val="Sheet1_(2)1"/>
      <sheetName val="개시대사_(2)1"/>
      <sheetName val="전차선로_물량표"/>
      <sheetName val="B31_1"/>
      <sheetName val="LV_CDB1"/>
      <sheetName val="7_6_3(B)_UG_Piping"/>
      <sheetName val="단가_및_재료비"/>
      <sheetName val="ZAR_SAZ"/>
      <sheetName val="Specialty_Item"/>
      <sheetName val="GTG TR"/>
      <sheetName val="주관사업"/>
      <sheetName val="DRUM"/>
      <sheetName val="소일위대가코드표"/>
      <sheetName val="Activity(new)"/>
      <sheetName val="상반기손익차2총괄"/>
      <sheetName val="RENUN"/>
      <sheetName val="간선계산"/>
      <sheetName val="TIE-IN"/>
      <sheetName val="수입"/>
      <sheetName val="jobhist"/>
      <sheetName val="공문"/>
      <sheetName val="요약배부"/>
      <sheetName val="공사비 내역 (가)"/>
      <sheetName val="LEGEND"/>
      <sheetName val="PARAMETER"/>
      <sheetName val="choose"/>
      <sheetName val="환율표"/>
      <sheetName val="Sheet5"/>
      <sheetName val="Z"/>
      <sheetName val="ExchRate"/>
      <sheetName val="IMPEADENCE MAP 취수장"/>
      <sheetName val="Macro3"/>
      <sheetName val="공사내역"/>
      <sheetName val="노임단가"/>
      <sheetName val="Sheet2"/>
      <sheetName val="Sheet1_(2)2"/>
      <sheetName val="개시대사_(2)2"/>
      <sheetName val="전차선로_물량표1"/>
      <sheetName val="B31_11"/>
      <sheetName val="LV_CDB2"/>
      <sheetName val="7_6_3(B)_UG_Piping1"/>
      <sheetName val="PRICE-COMP"/>
      <sheetName val="4.TANK Farm"/>
      <sheetName val="EQUIPMENT"/>
      <sheetName val="Insts"/>
      <sheetName val="기초자료"/>
      <sheetName val="INSTR"/>
      <sheetName val="Rates"/>
      <sheetName val="B31.1_Table"/>
      <sheetName val="ASME_Size"/>
      <sheetName val="unit"/>
      <sheetName val="ABUT수량-A1"/>
      <sheetName val="general"/>
      <sheetName val="A1"/>
      <sheetName val="A4"/>
      <sheetName val="용소리교"/>
      <sheetName val="부표총괄"/>
      <sheetName val="암거공"/>
      <sheetName val="LOAD 5 Wind "/>
      <sheetName val="Assadsaid"/>
      <sheetName val="BQ (rev2)"/>
      <sheetName val="KCC"/>
      <sheetName val="Kettaneh"/>
      <sheetName val="MMG(2)"/>
      <sheetName val="BLDG_DCI"/>
      <sheetName val="BLDG_MCI"/>
      <sheetName val="BE.4"/>
      <sheetName val="4.Footing Design"/>
      <sheetName val="2.Load Calculation"/>
      <sheetName val="3.Check For Stability"/>
      <sheetName val="So lieu chung"/>
      <sheetName val="Curves"/>
      <sheetName val="Tables"/>
      <sheetName val="견적집계표"/>
      <sheetName val="기준액"/>
      <sheetName val="단중표"/>
      <sheetName val="실행내역"/>
      <sheetName val="산근"/>
      <sheetName val="입찰안"/>
      <sheetName val="Basic_Info"/>
      <sheetName val="Master"/>
      <sheetName val="VLOOKUP"/>
      <sheetName val="cal-foamglass"/>
      <sheetName val="뜃맟뭁돽띿맟?-BLDG"/>
      <sheetName val="ITEM-LIST"/>
      <sheetName val="뜃맟뭁돽띿맟_-BLDG"/>
      <sheetName val="15100"/>
      <sheetName val="Summary Sheets"/>
      <sheetName val="총괄표"/>
      <sheetName val="미드수량"/>
      <sheetName val="SPEC-DT2"/>
      <sheetName val="Basic"/>
      <sheetName val="품셈표"/>
      <sheetName val="Sheet1_(2)3"/>
      <sheetName val="7_6_3(B)_UG_Piping2"/>
      <sheetName val="개시대사_(2)3"/>
      <sheetName val="LV_CDB3"/>
      <sheetName val="전차선로_물량표2"/>
      <sheetName val="B31_12"/>
      <sheetName val="단가_및_재료비1"/>
      <sheetName val="ZAR_SAZ1"/>
      <sheetName val="Specialty_Item1"/>
      <sheetName val="Sum_by_Departments_(3)"/>
      <sheetName val="Data_Complete_(2)"/>
      <sheetName val="GTG_TR"/>
      <sheetName val="CAMP_-_CONSTRUCTION"/>
      <sheetName val="So_lieu_chung"/>
      <sheetName val="공사비_내역_(가)"/>
      <sheetName val="float&amp;bear"/>
      <sheetName val="305c-101"/>
      <sheetName val="MCC제원"/>
      <sheetName val="PSV"/>
      <sheetName val="Gasoline Treating Sec."/>
      <sheetName val="PBS"/>
      <sheetName val="CLAY"/>
      <sheetName val="Compiled BoQ"/>
      <sheetName val="VS배관내역서"/>
      <sheetName val="4.1-Cable Trench"/>
      <sheetName val="Cash2"/>
      <sheetName val="차수"/>
      <sheetName val="x"/>
      <sheetName val="Finansal tamamlanma Eğrisi"/>
      <sheetName val="ELEC_DCI"/>
      <sheetName val="INST_DCI"/>
      <sheetName val="97 사업추정(WEKI)"/>
      <sheetName val="9-1차이내역"/>
      <sheetName val="SHUTDOWN VALVE"/>
      <sheetName val="Scope"/>
      <sheetName val="BE_4"/>
      <sheetName val="LOAD_5_Wind_"/>
      <sheetName val="BQ_(rev2)"/>
      <sheetName val="IMPEADENCE_MAP_취수장"/>
      <sheetName val="4_TANK_Farm"/>
      <sheetName val="CONS. EQUIP.  "/>
      <sheetName val="Sheet1_(2)4"/>
      <sheetName val="개시대사_(2)4"/>
      <sheetName val="LV_CDB4"/>
      <sheetName val="전차선로_물량표3"/>
      <sheetName val="7_6_3(B)_UG_Piping3"/>
      <sheetName val="B31_13"/>
      <sheetName val="단가_및_재료비2"/>
      <sheetName val="Specialty_Item2"/>
      <sheetName val="ZAR_SAZ2"/>
      <sheetName val="Sum_by_Departments_(3)1"/>
      <sheetName val="Data_Complete_(2)1"/>
      <sheetName val="GTG_TR1"/>
      <sheetName val="CAMP_-_CONSTRUCTION1"/>
      <sheetName val="공사비_내역_(가)1"/>
      <sheetName val="BE_41"/>
      <sheetName val="4_Footing_Design"/>
      <sheetName val="2_Load_Calculation"/>
      <sheetName val="3_Check_For_Stability"/>
      <sheetName val="4_TANK_Farm1"/>
      <sheetName val="LOAD_5_Wind_1"/>
      <sheetName val="BQ_(rev2)1"/>
      <sheetName val="Summary_Sheets"/>
      <sheetName val="IMPEADENCE_MAP_취수장1"/>
      <sheetName val="B31_1_Table"/>
      <sheetName val="CONS__EQUIP___"/>
      <sheetName val="So_lieu_chung1"/>
      <sheetName val="Gasoline_Treating_Sec_"/>
      <sheetName val="SHUTDOWN_VALVE"/>
      <sheetName val="Compiled_BoQ"/>
      <sheetName val="4_1-Cable_Trench"/>
      <sheetName val="Finansal_tamamlanma_Eğrisi"/>
      <sheetName val="97_사업추정(WEKI)"/>
      <sheetName val="Sheet1_(2)5"/>
      <sheetName val="LV_CDB5"/>
      <sheetName val="개시대사_(2)5"/>
      <sheetName val="전차선로_물량표4"/>
      <sheetName val="B31_14"/>
      <sheetName val="7_6_3(B)_UG_Piping4"/>
      <sheetName val="단가_및_재료비3"/>
      <sheetName val="ZAR_SAZ3"/>
      <sheetName val="Specialty_Item3"/>
      <sheetName val="Sum_by_Departments_(3)2"/>
      <sheetName val="Data_Complete_(2)2"/>
      <sheetName val="CAMP_-_CONSTRUCTION2"/>
      <sheetName val="GTG_TR2"/>
      <sheetName val="공사비_내역_(가)2"/>
      <sheetName val="B31_1_Table1"/>
      <sheetName val="4_Footing_Design1"/>
      <sheetName val="2_Load_Calculation1"/>
      <sheetName val="3_Check_For_Stability1"/>
      <sheetName val="So_lieu_chung2"/>
      <sheetName val="Summary_Sheets1"/>
      <sheetName val="Gasoline_Treating_Sec_1"/>
      <sheetName val="SHUTDOWN_VALVE1"/>
      <sheetName val="Compiled_BoQ1"/>
      <sheetName val="4_1-Cable_Trench1"/>
      <sheetName val="Finansal_tamamlanma_Eğrisi1"/>
      <sheetName val="97_사업추정(WEKI)1"/>
      <sheetName val="TOT"/>
      <sheetName val="손익차9월2"/>
      <sheetName val="inter"/>
      <sheetName val="BHIT_hrs_dd"/>
      <sheetName val="5"/>
      <sheetName val="pri-com"/>
      <sheetName val="Cal"/>
      <sheetName val="4-3LEVEL-5 epic.4"/>
      <sheetName val="갑지"/>
      <sheetName val="PAGE"/>
      <sheetName val="현장관리비"/>
      <sheetName val="Koordinat"/>
      <sheetName val="화산경계"/>
      <sheetName val="임금대장"/>
      <sheetName val="AILC004"/>
      <sheetName val="하자전장"/>
      <sheetName val="토사(PE)"/>
      <sheetName val="ATTFLG"/>
      <sheetName val="BOLTUP"/>
      <sheetName val="KGFLANGE"/>
      <sheetName val="KGELBOW2"/>
      <sheetName val="KGMCS"/>
      <sheetName val="KGVALVE"/>
      <sheetName val="shphdlelb"/>
      <sheetName val="SHPHDL"/>
      <sheetName val="SPLEREC"/>
      <sheetName val="fldhdlelb"/>
      <sheetName val="VLVHDL"/>
      <sheetName val="CUT2BVLWLD"/>
      <sheetName val="Dwg_List"/>
      <sheetName val="ACTIVITY"/>
      <sheetName val="환율"/>
      <sheetName val="J"/>
      <sheetName val="Working"/>
      <sheetName val="L"/>
      <sheetName val="h-013211-2"/>
      <sheetName val="AN"/>
      <sheetName val="Assumptions"/>
      <sheetName val="@risk rents and incentives"/>
      <sheetName val="Car park lease"/>
      <sheetName val="Net rent analysis"/>
      <sheetName val="BID"/>
      <sheetName val="Sheet1_(2)6"/>
      <sheetName val="Sheet1_(2)7"/>
      <sheetName val="Sheet1_(2)8"/>
      <sheetName val="Sheet1_(2)9"/>
      <sheetName val="Sheet1_(2)10"/>
      <sheetName val="Sheet1_(2)11"/>
      <sheetName val="Cost"/>
      <sheetName val="Budget"/>
      <sheetName val="Sheet1_(2)12"/>
      <sheetName val="FACTORS"/>
      <sheetName val="EC(Rev)"/>
      <sheetName val="협조전"/>
      <sheetName val="교통대책내역"/>
      <sheetName val="예가표"/>
      <sheetName val="정부노임단가"/>
      <sheetName val="DROPDOWNS"/>
      <sheetName val="Breadown"/>
      <sheetName val="Site"/>
      <sheetName val="Code Index"/>
      <sheetName val="Eng'g-Standard"/>
      <sheetName val="Library"/>
      <sheetName val="Project 가설공사 개요"/>
      <sheetName val="ERECTION"/>
      <sheetName val="plan&amp;section of foundation"/>
      <sheetName val="design criteria"/>
      <sheetName val="일위대가"/>
      <sheetName val="시중노임"/>
      <sheetName val="Regenerator  Concrete Structure"/>
      <sheetName val="content"/>
      <sheetName val="HB "/>
      <sheetName val="SAT-PEK"/>
      <sheetName val="pipa"/>
      <sheetName val="PRO_A"/>
      <sheetName val="ELEC_MCI"/>
      <sheetName val="INST_MCI"/>
      <sheetName val="MECH_MCI"/>
      <sheetName val="PRO"/>
      <sheetName val="BQ JBT"/>
      <sheetName val="Breakdown"/>
      <sheetName val="auto-lock"/>
      <sheetName val="Data Induk"/>
      <sheetName val="boq"/>
      <sheetName val="Analisa"/>
      <sheetName val="CAL."/>
      <sheetName val="접속슬래브"/>
      <sheetName val="BOX"/>
      <sheetName val="rumus"/>
      <sheetName val="SKETCH"/>
      <sheetName val="REBAR"/>
      <sheetName val="4_TANK_Farm2"/>
      <sheetName val="IMPEADENCE_MAP_취수장2"/>
      <sheetName val="LOAD_5_Wind_2"/>
      <sheetName val="BQ_(rev2)2"/>
      <sheetName val="BE_42"/>
      <sheetName val="CONS__EQUIP___1"/>
      <sheetName val="결론"/>
      <sheetName val="TIE-INS"/>
      <sheetName val="BM"/>
      <sheetName val="LOADS"/>
      <sheetName val="REINF."/>
      <sheetName val="본지점중"/>
      <sheetName val="98수문일위"/>
      <sheetName val="개시대사_(2)6"/>
      <sheetName val="LV_CDB6"/>
      <sheetName val="전차선로_물량표5"/>
      <sheetName val="7_6_3(B)_UG_Piping5"/>
      <sheetName val="B31_15"/>
      <sheetName val="단가_및_재료비4"/>
      <sheetName val="ZAR_SAZ4"/>
      <sheetName val="Specialty_Item4"/>
      <sheetName val="Sum_by_Departments_(3)3"/>
      <sheetName val="Data_Complete_(2)3"/>
      <sheetName val="GTG_TR3"/>
      <sheetName val="CAMP_-_CONSTRUCTION3"/>
      <sheetName val="So_lieu_chung3"/>
      <sheetName val="공사비_내역_(가)3"/>
      <sheetName val="B31_1_Table2"/>
      <sheetName val="4_Footing_Design2"/>
      <sheetName val="2_Load_Calculation2"/>
      <sheetName val="3_Check_For_Stability2"/>
      <sheetName val="4-3LEVEL-5_epic_4"/>
      <sheetName val="Summary_Sheets2"/>
      <sheetName val="Gasoline_Treating_Sec_2"/>
      <sheetName val="SHUTDOWN_VALVE2"/>
      <sheetName val="Compiled_BoQ2"/>
      <sheetName val="4_1-Cable_Trench2"/>
      <sheetName val="Finansal_tamamlanma_Eğrisi2"/>
      <sheetName val="97_사업추정(WEKI)2"/>
      <sheetName val="ST pg1"/>
      <sheetName val="Urugan Pasir"/>
      <sheetName val="Analisa Harga Satuan"/>
      <sheetName val="Hit Vol Str Jambi"/>
      <sheetName val="anal rab"/>
      <sheetName val="IPL_SCHEDULE"/>
      <sheetName val="crude.SLAB RE-bar"/>
      <sheetName val="CRUDE RE-bar"/>
      <sheetName val="Progres Rasio LR"/>
      <sheetName val="RAP Change"/>
      <sheetName val="DATA PROYEK"/>
      <sheetName val="Analisa Harsat"/>
      <sheetName val="Analisa Harsat CCO Intern"/>
      <sheetName val="AnHarSat Real Saat Ini"/>
      <sheetName val="AnHarSat Real Sd Saat Lalu"/>
      <sheetName val="RAB"/>
      <sheetName val="Rekap RAP"/>
      <sheetName val="BUL"/>
      <sheetName val="Cost Control Utk Perub RAP"/>
      <sheetName val="Daftar Alat"/>
      <sheetName val="RAP"/>
      <sheetName val="Sel Dev"/>
      <sheetName val="Progress Ekstern"/>
      <sheetName val="Harsat Alat"/>
      <sheetName val="Harsat Bahan"/>
      <sheetName val="Harsat SubKon"/>
      <sheetName val="Harsat Upah"/>
      <sheetName val="Laporan Harian"/>
      <sheetName val="Hrn I"/>
      <sheetName val="Hrn II"/>
      <sheetName val="Hrn III"/>
      <sheetName val="BA Pemeriksaan"/>
      <sheetName val="R. RapatCCO"/>
      <sheetName val="Biaya LONSTAD"/>
      <sheetName val="Laporan Mingguan"/>
      <sheetName val="BAP"/>
      <sheetName val="Rekap MC"/>
      <sheetName val="BA Fisik"/>
      <sheetName val="Evaluasi CCO"/>
      <sheetName val="Hsl Evaluasi"/>
      <sheetName val="Lap Pek 2"/>
      <sheetName val="Lap Pek 1"/>
      <sheetName val="Penilaian Hasil FHO"/>
      <sheetName val="Penilaian Hasil PHO"/>
      <sheetName val="Penyampaian Evaluasi"/>
      <sheetName val="Permhnan CCO2"/>
      <sheetName val="Permhnan FHO"/>
      <sheetName val="Permhnan PHO"/>
      <sheetName val="Persetujuan CCO2"/>
      <sheetName val="Proposal"/>
      <sheetName val="Pemakaian Bahan"/>
      <sheetName val="Pengadaan Bahan"/>
      <sheetName val="Volume Mingguan"/>
      <sheetName val="Laporan Bulanan"/>
      <sheetName val="Schedule Ekstern"/>
      <sheetName val="Rekap Sisa Bahan"/>
      <sheetName val="RAP Sisa"/>
      <sheetName val="EARNED VALUE"/>
      <sheetName val="Permhnan UM"/>
      <sheetName val="Und. RptFHO"/>
      <sheetName val="Und. RptPHO"/>
      <sheetName val="DIV1"/>
      <sheetName val="Anal-SNI"/>
      <sheetName val="DAF.TUL"/>
      <sheetName val="rap rinci"/>
      <sheetName val="Hargamat"/>
      <sheetName val="Sat Bah &amp; Up"/>
      <sheetName val="Daf 1"/>
      <sheetName val="HARSAT"/>
      <sheetName val="Master 1.0"/>
      <sheetName val="I-KAMAR"/>
      <sheetName val="Fill this out first..."/>
      <sheetName val="DASAR"/>
      <sheetName val="lap-bulan"/>
      <sheetName val="AN Tdr"/>
      <sheetName val="harga"/>
      <sheetName val="upah"/>
      <sheetName val="H-Bahan"/>
      <sheetName val="3-DIV4"/>
      <sheetName val="Bank"/>
      <sheetName val="Bunga"/>
      <sheetName val="BAHAN"/>
      <sheetName val="Mark-up"/>
      <sheetName val="DQE-MEN-EXT"/>
      <sheetName val="DAF-3"/>
      <sheetName val="SEX"/>
      <sheetName val="JADWAL"/>
      <sheetName val="bhn,uph,alt"/>
      <sheetName val="5-Peralatan"/>
      <sheetName val="hsp-STR-ARS"/>
    </sheetNames>
    <sheetDataSet>
      <sheetData sheetId="0" refreshError="1"/>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sheetData sheetId="59"/>
      <sheetData sheetId="60" refreshError="1"/>
      <sheetData sheetId="61" refreshError="1"/>
      <sheetData sheetId="62"/>
      <sheetData sheetId="63"/>
      <sheetData sheetId="64"/>
      <sheetData sheetId="65"/>
      <sheetData sheetId="66"/>
      <sheetData sheetId="67"/>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sheetData sheetId="190"/>
      <sheetData sheetId="191" refreshError="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refreshError="1"/>
      <sheetData sheetId="218" refreshError="1"/>
      <sheetData sheetId="219" refreshError="1"/>
      <sheetData sheetId="220" refreshError="1"/>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sheetData sheetId="297"/>
      <sheetData sheetId="298"/>
      <sheetData sheetId="299"/>
      <sheetData sheetId="300"/>
      <sheetData sheetId="301"/>
      <sheetData sheetId="302" refreshError="1"/>
      <sheetData sheetId="303" refreshError="1"/>
      <sheetData sheetId="304"/>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sheetData sheetId="346"/>
      <sheetData sheetId="347"/>
      <sheetData sheetId="348"/>
      <sheetData sheetId="349"/>
      <sheetData sheetId="350"/>
      <sheetData sheetId="351" refreshError="1"/>
      <sheetData sheetId="352" refreshError="1"/>
      <sheetData sheetId="353" refreshError="1"/>
      <sheetData sheetId="354" refreshError="1"/>
      <sheetData sheetId="355" refreshError="1"/>
      <sheetData sheetId="356" refreshError="1"/>
      <sheetData sheetId="357" refreshError="1"/>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AMENDMENT"/>
      <sheetName val="EXCHANGE RATE"/>
      <sheetName val="SUMMARY"/>
      <sheetName val="BREAKDOWN"/>
      <sheetName val="KOREAN STAFF SALARY_BREAKDOWN"/>
      <sheetName val="KOREAN STAFF SALARY - HOME"/>
      <sheetName val="KOREAN STAFF SALARY - SITE"/>
      <sheetName val="KOREAN STAFF SALARY - BRANCH"/>
      <sheetName val="KOREAN STAFF SALARY - 현지불 수당"/>
      <sheetName val="KOREAN STAFF SALARY - 연장수당"/>
      <sheetName val="KOREAN STAFF SALARY - 직책수당"/>
      <sheetName val="KOREAN STAFF SALARY - 단신부임수당"/>
      <sheetName val="KOREAN STAFF SALARY - SUMMARY"/>
      <sheetName val="KOREAN STAFF SARARY - ALLOWANCE"/>
      <sheetName val="EUR, TCN &amp; LOC STAFF SALARY"/>
      <sheetName val="INDIRECT SALARY"/>
      <sheetName val="STAFF&amp;INDIRECT SALARY - SUMMARY"/>
      <sheetName val="MANPOWER MOBILIZATION"/>
      <sheetName val="PERSONNEL SETUP"/>
      <sheetName val="STAFF MOBILIZATION PLAN"/>
      <sheetName val="INDIRECT MOBILIZATION PLAN"/>
      <sheetName val="LABOR MOBILIZATION PLAN"/>
      <sheetName val="VEHICLE - MOBILIZATION PLAN"/>
      <sheetName val="MEDICAL TEST - SEOUL"/>
      <sheetName val="LIST OF AIR FARE"/>
      <sheetName val="BUSINESS TRIP-TRAVELING EXPENSE"/>
      <sheetName val="BUSINESS TRIP - FROM SEOUL"/>
      <sheetName val="BUSINESS TRIP - FROM SITE"/>
      <sheetName val="OPERATING COST - AIR FARE"/>
      <sheetName val="LIST OF OFFICE EQUIPMENT"/>
      <sheetName val="사무기기 - 유지보수"/>
      <sheetName val="사무기기 - 소모품 구입"/>
      <sheetName val="INSURANCE - KOREAN STAFF"/>
      <sheetName val="INSURANCE - KOREAN INDIRECT"/>
      <sheetName val="WELFARE COST - SITE"/>
      <sheetName val="CAMP OPERATING COST"/>
      <sheetName val="CLOTHES PAYMENT CONDITION"/>
      <sheetName val="VEHICLE - COST SUMMARY"/>
      <sheetName val="VISA &amp; PERMIT - SUMMARY"/>
      <sheetName val="WATER SUPPLY"/>
      <sheetName val="ELECTRICITY SUPPLY"/>
      <sheetName val="ELECTRIC POWER CONSUMPTION"/>
      <sheetName val="CAMP - CONSTRUCTION"/>
      <sheetName val="CAMP - RENTAL (AL-SUWAIDI)"/>
      <sheetName val="CAMP - RENTAL (RED SEA)"/>
      <sheetName val="CAMP - RENTAL &amp; CONSTRUCTION"/>
      <sheetName val="CAMP - COMPARATIVE TABLE"/>
      <sheetName val="CAMP - COMMON FACILITIES"/>
      <sheetName val="TEMPORARY FACILITIES"/>
      <sheetName val="COMMUNICATION"/>
      <sheetName val="VA_code"/>
      <sheetName val="PRO_A"/>
      <sheetName val="ELEC_MCI"/>
      <sheetName val="MAIN"/>
      <sheetName val="INST_MCI"/>
      <sheetName val="MECH_MCI"/>
      <sheetName val="PRO"/>
      <sheetName val="Sheet5"/>
      <sheetName val="MC-1"/>
      <sheetName val="교각1"/>
      <sheetName val="CAT_5"/>
      <sheetName val="RENUN"/>
      <sheetName val="DSLP"/>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Q_sheet"/>
      <sheetName val="LEGEND"/>
      <sheetName val="Cover"/>
      <sheetName val="Summary"/>
      <sheetName val="Total"/>
      <sheetName val="TIE-IN"/>
      <sheetName val="ISBL"/>
      <sheetName val="OSBL"/>
      <sheetName val="Equipment"/>
      <sheetName val="Consumable"/>
      <sheetName val="AILC004"/>
      <sheetName val="말뚝물량"/>
      <sheetName val="#REF"/>
      <sheetName val="Quantity"/>
      <sheetName val="수_01"/>
      <sheetName val="설비비4"/>
      <sheetName val="당초"/>
      <sheetName val="pw&amp;shs"/>
      <sheetName val="MixBed"/>
      <sheetName val="CondPol"/>
      <sheetName val="look-up"/>
      <sheetName val="Summary-Mechanical"/>
      <sheetName val="VA_code"/>
      <sheetName val="V-VESSEL (WITH DEMISTER)"/>
      <sheetName val="General Data"/>
      <sheetName val="BATCH"/>
      <sheetName val="9-1차이내역"/>
      <sheetName val="CAL(1)."/>
    </sheetNames>
    <sheetDataSet>
      <sheetData sheetId="0"/>
      <sheetData sheetId="1"/>
      <sheetData sheetId="2"/>
      <sheetData sheetId="3"/>
      <sheetData sheetId="4"/>
      <sheetData sheetId="5"/>
      <sheetData sheetId="6"/>
      <sheetData sheetId="7"/>
      <sheetData sheetId="8"/>
      <sheetData sheetId="9"/>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9-1차이내역"/>
      <sheetName val="연습"/>
      <sheetName val="9_1차이내역"/>
      <sheetName val="영업소실적"/>
      <sheetName val="첨1.4"/>
      <sheetName val="첨1.5"/>
      <sheetName val="첨1.3"/>
      <sheetName val="2.1.1"/>
      <sheetName val="9-1Â÷ÀÌ³»¿ª"/>
      <sheetName val="VA_code"/>
      <sheetName val="주관사업"/>
      <sheetName val="산출근거#2-3"/>
      <sheetName val="96CONF"/>
      <sheetName val="AILC004"/>
      <sheetName val="세금자료"/>
      <sheetName val="경제지표"/>
      <sheetName val="수입"/>
      <sheetName val="수주현황2월"/>
      <sheetName val="소화실적"/>
      <sheetName val="97 사업추정(WEKI)"/>
      <sheetName val="집계표"/>
      <sheetName val="개시대사 (2)"/>
      <sheetName val="세부내역"/>
      <sheetName val="총괄표양식"/>
      <sheetName val="차량운영비"/>
      <sheetName val="E_Rate PM"/>
      <sheetName val="용수량"/>
      <sheetName val="견적조건"/>
      <sheetName val="사업부배부A"/>
      <sheetName val="eq_data"/>
      <sheetName val="상반기손익차2총괄"/>
      <sheetName val="BLDG_DCI"/>
      <sheetName val="BLDG_MCI"/>
      <sheetName val="내역서"/>
      <sheetName val="cp1"/>
      <sheetName val="#REF"/>
      <sheetName val="일위대가"/>
      <sheetName val="data_dci"/>
      <sheetName val="data_mci"/>
      <sheetName val="behind"/>
      <sheetName val="Main"/>
      <sheetName val="예산"/>
      <sheetName val="개시대사_(2)"/>
      <sheetName val="E_Rate_PM"/>
      <sheetName val="97_사업추정(WEKI)"/>
      <sheetName val="sum"/>
      <sheetName val="DATE"/>
      <sheetName val="sw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Data"/>
      <sheetName val="Calc"/>
      <sheetName val="Finish"/>
      <sheetName val="Misc"/>
      <sheetName val="BQ"/>
      <sheetName val="Ref"/>
      <sheetName val="LEGEND"/>
    </sheetNames>
    <sheetDataSet>
      <sheetData sheetId="0" refreshError="1"/>
      <sheetData sheetId="1">
        <row r="14">
          <cell r="E14" t="str">
            <v>Q-CHEM</v>
          </cell>
        </row>
      </sheetData>
      <sheetData sheetId="2"/>
      <sheetData sheetId="3" refreshError="1"/>
      <sheetData sheetId="4" refreshError="1"/>
      <sheetData sheetId="5" refreshError="1"/>
      <sheetData sheetId="6" refreshError="1"/>
      <sheetData sheetId="7" refreshError="1"/>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작성기준"/>
      <sheetName val="Sheet2"/>
      <sheetName val="Sheet1"/>
      <sheetName val="건설공사비"/>
      <sheetName val="견적기준"/>
      <sheetName val="Data"/>
      <sheetName val="Calc"/>
      <sheetName val="LEGEND"/>
      <sheetName val="Alum."/>
      <sheetName val="Summary Sheets"/>
      <sheetName val="Factor"/>
      <sheetName val="BSD (2)"/>
      <sheetName val="AILC004"/>
      <sheetName val="BLDG_DCI"/>
      <sheetName val="BLDG_MCI"/>
      <sheetName val="GC_1_4,000"/>
      <sheetName val="Electrical (2)"/>
      <sheetName val="Main"/>
      <sheetName val="Cost_total_배관-이창수2차"/>
      <sheetName val="look-up"/>
      <sheetName val="Fax"/>
      <sheetName val="´çÃÊ"/>
      <sheetName val="CAT_5"/>
      <sheetName val="ANX3A11"/>
      <sheetName val="BQ"/>
      <sheetName val="F-302"/>
      <sheetName val="F301.303"/>
      <sheetName val="Inputs"/>
      <sheetName val="Engrg Est"/>
      <sheetName val="SILICATE"/>
      <sheetName val="S0"/>
      <sheetName val="송라터널총괄"/>
      <sheetName val="203 Eqpt r1"/>
      <sheetName val="XZLC004_PART2"/>
      <sheetName val="XZLC003_PART1"/>
      <sheetName val="당초"/>
      <sheetName val="도급"/>
      <sheetName val="공정계획(내부계획25%,내부w.f)"/>
      <sheetName val="95삼성급(본사)"/>
      <sheetName val="B31.1"/>
      <sheetName val="PSIZE"/>
      <sheetName val="guard(mac)"/>
      <sheetName val="DNT OSBL"/>
      <sheetName val="PIPE"/>
      <sheetName val="Joints"/>
      <sheetName val="ASME B 36.10 M"/>
      <sheetName val="parts-V2"/>
      <sheetName val="적용환율"/>
      <sheetName val="계화배수(3대)"/>
      <sheetName val="DESIGN"/>
      <sheetName val="내역서"/>
      <sheetName val="대비표"/>
      <sheetName val="POWER"/>
      <sheetName val="laroux"/>
      <sheetName val="ITB COST"/>
      <sheetName val="Price Sheet"/>
      <sheetName val="1"/>
      <sheetName val="2"/>
      <sheetName val="3"/>
      <sheetName val="4"/>
      <sheetName val="5"/>
      <sheetName val="6"/>
      <sheetName val="7"/>
      <sheetName val="8"/>
      <sheetName val="9"/>
      <sheetName val="10"/>
      <sheetName val="11"/>
      <sheetName val="12"/>
      <sheetName val="13"/>
      <sheetName val="14"/>
      <sheetName val="15"/>
      <sheetName val="16"/>
      <sheetName val="17"/>
      <sheetName val="18"/>
      <sheetName val="19"/>
      <sheetName val="20"/>
      <sheetName val="21"/>
      <sheetName val="22"/>
      <sheetName val="23"/>
      <sheetName val="24"/>
      <sheetName val="25"/>
      <sheetName val="26"/>
      <sheetName val="27"/>
      <sheetName val="28"/>
      <sheetName val="29"/>
      <sheetName val="30"/>
      <sheetName val="31"/>
      <sheetName val="32"/>
      <sheetName val="33"/>
      <sheetName val="34"/>
      <sheetName val="35"/>
      <sheetName val="36"/>
      <sheetName val="37"/>
      <sheetName val="38"/>
      <sheetName val="39"/>
      <sheetName val="40"/>
      <sheetName val="41"/>
      <sheetName val="42"/>
      <sheetName val="43"/>
      <sheetName val="44"/>
      <sheetName val="45"/>
      <sheetName val="46"/>
      <sheetName val="47"/>
      <sheetName val="48"/>
      <sheetName val="49"/>
      <sheetName val="50"/>
      <sheetName val="Allowances"/>
      <sheetName val="EPC"/>
      <sheetName val="GTG"/>
    </sheetNames>
    <sheetDataSet>
      <sheetData sheetId="0" refreshError="1"/>
      <sheetData sheetId="1"/>
      <sheetData sheetId="2"/>
      <sheetData sheetId="3"/>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Set>
  </externalBook>
</externalLink>
</file>

<file path=xl/externalLinks/externalLink5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점검표"/>
      <sheetName val="Cover"/>
      <sheetName val="TABLE"/>
      <sheetName val="총괄표(통합)"/>
      <sheetName val="총괄표(OOK)"/>
      <sheetName val="총괄표(IK)"/>
      <sheetName val="공사개요"/>
      <sheetName val="공정표"/>
      <sheetName val="조직표"/>
      <sheetName val="MCA 토건(IK)"/>
      <sheetName val="HPB 기계(OOK)"/>
      <sheetName val="HPA 전기자재(OOK)"/>
      <sheetName val="HE 전기설계(OOK)"/>
      <sheetName val="MPA 전기자재(IK)"/>
      <sheetName val="MCC 전기(IK)"/>
      <sheetName val="HPX 자재부대(OOK)"/>
      <sheetName val="MPX 자재부대(IK)"/>
      <sheetName val="MR 하자보수(IK)"/>
      <sheetName val="HCO 감독지원(OOK)"/>
      <sheetName val="MCO 감독지원(IK)"/>
      <sheetName val="MKA 가설총괄(IK)"/>
      <sheetName val="MKB 부대총괄(IK)"/>
      <sheetName val="HKC 경상비(OOK)"/>
      <sheetName val="MKC 경상비(IK)"/>
      <sheetName val="4.1 자재부대비"/>
      <sheetName val="4.1 운송비"/>
      <sheetName val="4.2 가설내역"/>
      <sheetName val="4.3 부대공통내역"/>
      <sheetName val="4.4 경상비내역"/>
      <sheetName val="4.5 토건상세내역"/>
      <sheetName val="4.6 SPVR"/>
      <sheetName val="4.6 TRAING"/>
      <sheetName val="4.6 Inspectn"/>
      <sheetName val="인건비(IK)"/>
      <sheetName val="장비비(IK)"/>
    </sheetNames>
    <sheetDataSet>
      <sheetData sheetId="0"/>
      <sheetData sheetId="1"/>
      <sheetData sheetId="2"/>
      <sheetData sheetId="3"/>
      <sheetData sheetId="4">
        <row r="6">
          <cell r="Q6">
            <v>3.75</v>
          </cell>
        </row>
        <row r="10">
          <cell r="Q10">
            <v>0.59189999999999998</v>
          </cell>
        </row>
        <row r="15">
          <cell r="P15" t="str">
            <v>2009 B/R = 1 USD = 107 YEN = 1/1.4 EUR = 3.75 SR = 1,100 WON</v>
          </cell>
        </row>
      </sheetData>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Set>
  </externalBook>
</externalLink>
</file>

<file path=xl/externalLinks/externalLink5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A"/>
      <sheetName val="cover-B"/>
      <sheetName val="cover-c"/>
      <sheetName val="BRICK"/>
      <sheetName val="WATERPROOFING"/>
      <sheetName val="DEDUCTION LIST"/>
      <sheetName val="DEDUCTION MANPOWER"/>
      <sheetName val="MONTHLY PAYMNET"/>
      <sheetName val="B31.1"/>
      <sheetName val="PSIZE"/>
      <sheetName val="RCF CLAIMED"/>
      <sheetName val="집계표"/>
      <sheetName val="Summary Sheets"/>
      <sheetName val="BLDG_DCI"/>
      <sheetName val="BLDG_MCI"/>
      <sheetName val="현장별총괄"/>
      <sheetName val="9-1차이내역"/>
      <sheetName val="정산표實"/>
      <sheetName val="97년 SEACO예산"/>
      <sheetName val="WORKER"/>
      <sheetName val="RENUN"/>
      <sheetName val="95삼성급(본사)"/>
      <sheetName val="평균환율-USD"/>
      <sheetName val="5공사비"/>
      <sheetName val="수주실적0709"/>
      <sheetName val="LEGEND"/>
      <sheetName val="환율표"/>
      <sheetName val="계화배수(3대)"/>
      <sheetName val="Control Rates"/>
      <sheetName val="Regenerator  Concrete Structure"/>
      <sheetName val="포장복구집계"/>
      <sheetName val="OCT"/>
      <sheetName val="수입"/>
      <sheetName val="BOQ(매출)"/>
      <sheetName val="DEDUCTION_LIST"/>
      <sheetName val="DEDUCTION_MANPOWER"/>
      <sheetName val="MONTHLY_PAYMNET"/>
      <sheetName val="B31_1"/>
      <sheetName val="RCF_CLAIMED"/>
      <sheetName val="Summary_Sheets"/>
      <sheetName val="97년_SEACO예산"/>
      <sheetName val="Control_Rates"/>
      <sheetName val="Regenerator__Concrete_Structure"/>
      <sheetName val="간접비(1)"/>
      <sheetName val=""/>
      <sheetName val="영업소실적"/>
      <sheetName val="TST"/>
      <sheetName val="BREAKDOWN"/>
      <sheetName val="일반관리비"/>
      <sheetName val="DESIGN"/>
      <sheetName val="BASE-PL1(H-shape)(OLD)"/>
    </sheetNames>
    <sheetDataSet>
      <sheetData sheetId="0">
        <row r="8">
          <cell r="B8" t="str">
            <v>INLET</v>
          </cell>
        </row>
      </sheetData>
      <sheetData sheetId="1">
        <row r="8">
          <cell r="B8" t="str">
            <v>INLET</v>
          </cell>
        </row>
      </sheetData>
      <sheetData sheetId="2"/>
      <sheetData sheetId="3" refreshError="1">
        <row r="8">
          <cell r="B8" t="str">
            <v>INLET</v>
          </cell>
        </row>
        <row r="10">
          <cell r="B10" t="str">
            <v>Common brickwork, thickness not exceeding</v>
          </cell>
        </row>
        <row r="11">
          <cell r="B11" t="str">
            <v>150 mm, vertical straight walls.</v>
          </cell>
          <cell r="C11" t="str">
            <v>m2</v>
          </cell>
          <cell r="D11">
            <v>180</v>
          </cell>
          <cell r="E11">
            <v>30.4</v>
          </cell>
          <cell r="F11">
            <v>5472</v>
          </cell>
          <cell r="H11">
            <v>0</v>
          </cell>
          <cell r="I11">
            <v>0</v>
          </cell>
          <cell r="J11">
            <v>0</v>
          </cell>
          <cell r="L11">
            <v>0</v>
          </cell>
        </row>
        <row r="13">
          <cell r="B13" t="str">
            <v>Ditto, thickness 150 - 250 mm, ditto.</v>
          </cell>
          <cell r="C13" t="str">
            <v>m2</v>
          </cell>
          <cell r="D13">
            <v>10885</v>
          </cell>
          <cell r="E13">
            <v>58.9</v>
          </cell>
          <cell r="F13">
            <v>641126.5</v>
          </cell>
          <cell r="G13">
            <v>945.59</v>
          </cell>
          <cell r="H13">
            <v>55695.25</v>
          </cell>
          <cell r="I13">
            <v>240.7399999999999</v>
          </cell>
          <cell r="J13">
            <v>14179.589999999997</v>
          </cell>
          <cell r="K13">
            <v>1186.33</v>
          </cell>
          <cell r="L13">
            <v>69874.84</v>
          </cell>
        </row>
        <row r="15">
          <cell r="B15" t="str">
            <v>Common brickwork ancillaries, joint</v>
          </cell>
        </row>
        <row r="16">
          <cell r="B16" t="str">
            <v>reinforcement, thickness not exceeding 150mm.</v>
          </cell>
          <cell r="C16" t="str">
            <v>m</v>
          </cell>
          <cell r="D16">
            <v>526</v>
          </cell>
          <cell r="E16">
            <v>0.95</v>
          </cell>
          <cell r="F16">
            <v>499.7</v>
          </cell>
          <cell r="H16">
            <v>0</v>
          </cell>
          <cell r="I16">
            <v>0</v>
          </cell>
          <cell r="J16">
            <v>0</v>
          </cell>
          <cell r="L16">
            <v>0</v>
          </cell>
        </row>
        <row r="18">
          <cell r="B18" t="str">
            <v xml:space="preserve">Common brickwork ancillaries, damp proof </v>
          </cell>
        </row>
        <row r="19">
          <cell r="B19" t="str">
            <v>course, thickness 150 - 250 mm.</v>
          </cell>
          <cell r="C19" t="str">
            <v>m</v>
          </cell>
          <cell r="D19">
            <v>472</v>
          </cell>
          <cell r="E19">
            <v>1.71</v>
          </cell>
          <cell r="F19">
            <v>807.12</v>
          </cell>
          <cell r="H19">
            <v>0</v>
          </cell>
          <cell r="I19">
            <v>0</v>
          </cell>
          <cell r="J19">
            <v>0</v>
          </cell>
          <cell r="L19">
            <v>0</v>
          </cell>
        </row>
        <row r="21">
          <cell r="B21" t="str">
            <v>Common brickwork ancillaries, fixings and</v>
          </cell>
        </row>
        <row r="22">
          <cell r="B22" t="str">
            <v>ties.</v>
          </cell>
          <cell r="C22" t="str">
            <v>m2</v>
          </cell>
          <cell r="D22">
            <v>1392</v>
          </cell>
          <cell r="E22">
            <v>4.28</v>
          </cell>
          <cell r="F22">
            <v>5957.76</v>
          </cell>
          <cell r="G22">
            <v>132.53</v>
          </cell>
          <cell r="H22">
            <v>567.23</v>
          </cell>
          <cell r="I22">
            <v>38.370000000000005</v>
          </cell>
          <cell r="J22">
            <v>164.22000000000003</v>
          </cell>
          <cell r="K22">
            <v>170.9</v>
          </cell>
          <cell r="L22">
            <v>731.45</v>
          </cell>
        </row>
        <row r="24">
          <cell r="B24" t="str">
            <v>Lightweight blockwork, precast concrete</v>
          </cell>
        </row>
        <row r="25">
          <cell r="B25" t="str">
            <v>vent, thickness 150 - 250 mm, vertical</v>
          </cell>
        </row>
        <row r="26">
          <cell r="B26" t="str">
            <v>straight walls.</v>
          </cell>
          <cell r="C26" t="str">
            <v>m2</v>
          </cell>
          <cell r="D26">
            <v>11</v>
          </cell>
          <cell r="E26">
            <v>78.849999999999994</v>
          </cell>
          <cell r="F26">
            <v>867.34999999999991</v>
          </cell>
          <cell r="H26">
            <v>0</v>
          </cell>
          <cell r="I26">
            <v>0</v>
          </cell>
          <cell r="J26">
            <v>0</v>
          </cell>
          <cell r="L26">
            <v>0</v>
          </cell>
        </row>
        <row r="28">
          <cell r="B28" t="str">
            <v>Lightweight blockwork ancillaries, damp</v>
          </cell>
        </row>
        <row r="29">
          <cell r="B29" t="str">
            <v>proof courses, thickness 150 - 250 mm.</v>
          </cell>
          <cell r="C29" t="str">
            <v>m</v>
          </cell>
          <cell r="D29">
            <v>8</v>
          </cell>
          <cell r="E29">
            <v>1.71</v>
          </cell>
          <cell r="F29">
            <v>13.68</v>
          </cell>
          <cell r="H29">
            <v>0</v>
          </cell>
          <cell r="I29">
            <v>0</v>
          </cell>
          <cell r="J29">
            <v>0</v>
          </cell>
          <cell r="L29">
            <v>0</v>
          </cell>
        </row>
        <row r="31">
          <cell r="A31" t="str">
            <v>SUB-TOTAL</v>
          </cell>
          <cell r="F31">
            <v>654744.11</v>
          </cell>
          <cell r="H31">
            <v>56262.48</v>
          </cell>
          <cell r="J31">
            <v>14343.80999999999</v>
          </cell>
          <cell r="L31">
            <v>70606.289999999994</v>
          </cell>
          <cell r="M31">
            <v>0.10783799185303095</v>
          </cell>
        </row>
        <row r="33">
          <cell r="B33" t="str">
            <v>BATTERIES A &amp; B</v>
          </cell>
        </row>
        <row r="35">
          <cell r="B35" t="str">
            <v>Common brickwork, thickness 150 - 250 mm,</v>
          </cell>
        </row>
        <row r="36">
          <cell r="B36" t="str">
            <v>vertical straight walls.</v>
          </cell>
          <cell r="C36" t="str">
            <v>m2</v>
          </cell>
          <cell r="D36">
            <v>6607</v>
          </cell>
          <cell r="E36">
            <v>58.9</v>
          </cell>
          <cell r="F36">
            <v>389152.3</v>
          </cell>
          <cell r="H36">
            <v>0</v>
          </cell>
          <cell r="I36">
            <v>0</v>
          </cell>
          <cell r="J36">
            <v>0</v>
          </cell>
          <cell r="L36">
            <v>0</v>
          </cell>
        </row>
        <row r="38">
          <cell r="B38" t="str">
            <v>Common brickwork ancillaries, fixings and ties.</v>
          </cell>
          <cell r="C38" t="str">
            <v>m2</v>
          </cell>
          <cell r="D38">
            <v>482</v>
          </cell>
          <cell r="E38">
            <v>4.28</v>
          </cell>
          <cell r="F38">
            <v>2062.96</v>
          </cell>
          <cell r="H38">
            <v>0</v>
          </cell>
          <cell r="I38">
            <v>0</v>
          </cell>
          <cell r="J38">
            <v>0</v>
          </cell>
          <cell r="L38">
            <v>0</v>
          </cell>
        </row>
        <row r="40">
          <cell r="A40" t="str">
            <v>SUB-TOTAL</v>
          </cell>
          <cell r="F40">
            <v>391215.26</v>
          </cell>
          <cell r="H40">
            <v>0</v>
          </cell>
          <cell r="L40">
            <v>0</v>
          </cell>
          <cell r="M40">
            <v>0</v>
          </cell>
        </row>
        <row r="42">
          <cell r="B42" t="str">
            <v>POWER HOUSE</v>
          </cell>
        </row>
        <row r="44">
          <cell r="B44" t="str">
            <v>Common brickwork, thickness not exceeding</v>
          </cell>
        </row>
        <row r="45">
          <cell r="B45" t="str">
            <v>150 mm, vertical straight walls.</v>
          </cell>
          <cell r="C45" t="str">
            <v>m2</v>
          </cell>
          <cell r="D45">
            <v>580</v>
          </cell>
          <cell r="E45">
            <v>30.4</v>
          </cell>
          <cell r="F45">
            <v>17632</v>
          </cell>
          <cell r="H45">
            <v>0</v>
          </cell>
          <cell r="I45">
            <v>0</v>
          </cell>
          <cell r="J45">
            <v>0</v>
          </cell>
          <cell r="L45">
            <v>0</v>
          </cell>
        </row>
        <row r="47">
          <cell r="B47" t="str">
            <v>Ditto, thickness 150 - 250 mm, ditto.</v>
          </cell>
          <cell r="C47" t="str">
            <v>m2</v>
          </cell>
          <cell r="D47">
            <v>4615</v>
          </cell>
          <cell r="E47">
            <v>58.9</v>
          </cell>
          <cell r="F47">
            <v>271823.5</v>
          </cell>
          <cell r="H47">
            <v>0</v>
          </cell>
          <cell r="I47">
            <v>121.17</v>
          </cell>
          <cell r="J47">
            <v>7136.91</v>
          </cell>
          <cell r="K47">
            <v>121.17</v>
          </cell>
          <cell r="L47">
            <v>7136.91</v>
          </cell>
        </row>
        <row r="49">
          <cell r="B49" t="str">
            <v>Common brickwork ancillaries, joint</v>
          </cell>
        </row>
        <row r="50">
          <cell r="B50" t="str">
            <v>reinforcement, thickness not exceeding 150mm.</v>
          </cell>
          <cell r="C50" t="str">
            <v>m</v>
          </cell>
          <cell r="D50">
            <v>2051</v>
          </cell>
          <cell r="E50">
            <v>0.95</v>
          </cell>
          <cell r="F50">
            <v>1948.4499999999998</v>
          </cell>
          <cell r="H50">
            <v>0</v>
          </cell>
          <cell r="I50">
            <v>0</v>
          </cell>
          <cell r="J50">
            <v>0</v>
          </cell>
          <cell r="L50">
            <v>0</v>
          </cell>
        </row>
        <row r="52">
          <cell r="B52" t="str">
            <v xml:space="preserve">Common brickwork ancillaries, damp proof </v>
          </cell>
        </row>
        <row r="53">
          <cell r="B53" t="str">
            <v>course, thickness 150 - 250 mm.</v>
          </cell>
          <cell r="C53" t="str">
            <v>m</v>
          </cell>
          <cell r="D53">
            <v>123</v>
          </cell>
          <cell r="E53">
            <v>1.71</v>
          </cell>
          <cell r="F53">
            <v>210.32999999999998</v>
          </cell>
          <cell r="H53">
            <v>0</v>
          </cell>
          <cell r="I53">
            <v>0</v>
          </cell>
          <cell r="J53">
            <v>0</v>
          </cell>
          <cell r="L53">
            <v>0</v>
          </cell>
        </row>
        <row r="55">
          <cell r="B55" t="str">
            <v>Common brickwork ancillaries, fixings and</v>
          </cell>
        </row>
        <row r="56">
          <cell r="B56" t="str">
            <v>ties.</v>
          </cell>
          <cell r="C56" t="str">
            <v>m2</v>
          </cell>
          <cell r="D56">
            <v>510</v>
          </cell>
          <cell r="E56">
            <v>4.28</v>
          </cell>
          <cell r="F56">
            <v>2182.8000000000002</v>
          </cell>
          <cell r="H56">
            <v>0</v>
          </cell>
          <cell r="I56">
            <v>15.6</v>
          </cell>
          <cell r="J56">
            <v>66.77</v>
          </cell>
          <cell r="K56">
            <v>15.6</v>
          </cell>
          <cell r="L56">
            <v>66.77</v>
          </cell>
        </row>
        <row r="58">
          <cell r="B58" t="str">
            <v>Lightweight blockwork, precast concrete</v>
          </cell>
        </row>
        <row r="59">
          <cell r="B59" t="str">
            <v>vent, thickness 150 - 250 mm, vertical</v>
          </cell>
        </row>
        <row r="60">
          <cell r="B60" t="str">
            <v>straight walls.</v>
          </cell>
          <cell r="C60" t="str">
            <v>m2</v>
          </cell>
          <cell r="D60">
            <v>16</v>
          </cell>
          <cell r="E60">
            <v>78.849999999999994</v>
          </cell>
          <cell r="F60">
            <v>1261.5999999999999</v>
          </cell>
          <cell r="H60">
            <v>0</v>
          </cell>
          <cell r="I60">
            <v>0</v>
          </cell>
          <cell r="J60">
            <v>0</v>
          </cell>
          <cell r="L60">
            <v>0</v>
          </cell>
        </row>
        <row r="62">
          <cell r="B62" t="str">
            <v>Lightweight blockwork ancillaries, damp</v>
          </cell>
        </row>
        <row r="63">
          <cell r="B63" t="str">
            <v>proof courses, thickness 150 - 250 mm.</v>
          </cell>
          <cell r="C63" t="str">
            <v>m</v>
          </cell>
          <cell r="D63">
            <v>11</v>
          </cell>
          <cell r="E63">
            <v>1.71</v>
          </cell>
          <cell r="F63">
            <v>18.809999999999999</v>
          </cell>
          <cell r="H63">
            <v>0</v>
          </cell>
          <cell r="I63">
            <v>0</v>
          </cell>
          <cell r="J63">
            <v>0</v>
          </cell>
          <cell r="L63">
            <v>0</v>
          </cell>
        </row>
        <row r="65">
          <cell r="A65" t="str">
            <v>SUB-TOTAL</v>
          </cell>
          <cell r="F65">
            <v>295077.49</v>
          </cell>
          <cell r="H65">
            <v>0</v>
          </cell>
          <cell r="J65">
            <v>7203.68</v>
          </cell>
          <cell r="L65">
            <v>7203.68</v>
          </cell>
          <cell r="M65">
            <v>2.4412841521730445E-2</v>
          </cell>
        </row>
        <row r="68">
          <cell r="A68" t="str">
            <v>TOTAL</v>
          </cell>
          <cell r="F68">
            <v>1341036.8600000001</v>
          </cell>
          <cell r="H68">
            <v>56262.48</v>
          </cell>
          <cell r="J68">
            <v>21547.489999999998</v>
          </cell>
          <cell r="L68">
            <v>77809.97</v>
          </cell>
          <cell r="M68">
            <v>5.802224556303396E-2</v>
          </cell>
        </row>
      </sheetData>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Set>
  </externalBook>
</externalLink>
</file>

<file path=xl/externalLinks/externalLink5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기성내역"/>
      <sheetName val="COVER"/>
      <sheetName val="작성기준"/>
      <sheetName val="insulation"/>
      <sheetName val="Sheet5"/>
      <sheetName val="#3E1_GCR"/>
      <sheetName val="Summary Sheets"/>
      <sheetName val="15100"/>
      <sheetName val="PRICE-COMP"/>
      <sheetName val="BQMPALOC"/>
      <sheetName val="LEGEND"/>
      <sheetName val="BSD (2)"/>
      <sheetName val="보온자재단가표"/>
      <sheetName val="Data"/>
      <sheetName val="Calc"/>
      <sheetName val="BATCH"/>
      <sheetName val="Electrical"/>
      <sheetName val="PIPE"/>
      <sheetName val="FLANGE"/>
      <sheetName val="VALVE"/>
      <sheetName val="DATE"/>
      <sheetName val="기계내역서"/>
      <sheetName val="General Data"/>
      <sheetName val="산근"/>
      <sheetName val="공사비예산서(토목분)"/>
      <sheetName val="12CGOU"/>
      <sheetName val="Summary_Sheets"/>
      <sheetName val="BSD_(2)"/>
      <sheetName val="Summary_Sheets1"/>
      <sheetName val="BSD_(2)1"/>
      <sheetName val="2M"/>
      <sheetName val="95삼성급(본사)"/>
      <sheetName val="C3"/>
      <sheetName val="Alum."/>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sheetData sheetId="27" refreshError="1"/>
      <sheetData sheetId="28" refreshError="1"/>
      <sheetData sheetId="29" refreshError="1"/>
      <sheetData sheetId="30" refreshError="1"/>
      <sheetData sheetId="31" refreshError="1"/>
      <sheetData sheetId="32" refreshError="1"/>
      <sheetData sheetId="33" refreshError="1"/>
    </sheetDataSet>
  </externalBook>
</externalLink>
</file>

<file path=xl/externalLinks/externalLink5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Cover page"/>
      <sheetName val="REVISION"/>
      <sheetName val="job description"/>
      <sheetName val="Manmonths (2)"/>
      <sheetName val="Manmonths"/>
      <sheetName val="Salary"/>
      <sheetName val="Tipo Terzi"/>
      <sheetName val="HO DATA"/>
      <sheetName val="HOME OFFICE"/>
      <sheetName val=" SITE 1 DATA"/>
      <sheetName val="SITE 1"/>
      <sheetName val="SITE 2 DATA"/>
      <sheetName val="SITE 2"/>
      <sheetName val="SITE 3 DATA"/>
      <sheetName val="SITE 3"/>
      <sheetName val="SITE 4 DATA"/>
      <sheetName val="SITE 4"/>
      <sheetName val="SITE 5 DATA "/>
      <sheetName val="SITE 5"/>
      <sheetName val="SITE 6 DATA  "/>
      <sheetName val="SITE 6"/>
      <sheetName val="SITE 7 DATA "/>
      <sheetName val="SITE 7"/>
      <sheetName val="Synthese"/>
      <sheetName val="EXPATRIATION "/>
      <sheetName val="CAMP OPERATING COST"/>
      <sheetName val="PERSONNEL SETUP"/>
      <sheetName val="LIST OF OFFICE EQUIPMENT"/>
      <sheetName val="STAFF&amp;INDIRECT SALARY - SUMMARY"/>
      <sheetName val="KOREAN STAFF SALARY_BREAKDOWN"/>
      <sheetName val="BREAKDOWN"/>
      <sheetName val="WELFARE COST - SITE"/>
      <sheetName val="BRICK"/>
      <sheetName val="CAMP - CONSTRUCTION"/>
      <sheetName val="VA_code"/>
      <sheetName val="공사비 내역 (가)"/>
      <sheetName val="Sheet5"/>
      <sheetName val="A020075 - PMT SMT Costa Azul Te"/>
      <sheetName val="주관사업"/>
      <sheetName val="요약배부"/>
      <sheetName val="MC-1"/>
      <sheetName val="CAT_5"/>
      <sheetName val="작성기준"/>
      <sheetName val="Eq. Mobilization"/>
      <sheetName val="와동25-3(변경)"/>
      <sheetName val="M+1"/>
    </sheetNames>
    <definedNames>
      <definedName name="Button3_Click"/>
    </definedNames>
    <sheetDataSet>
      <sheetData sheetId="0" refreshError="1"/>
      <sheetData sheetId="1" refreshError="1"/>
      <sheetData sheetId="2" refreshError="1"/>
      <sheetData sheetId="3" refreshError="1"/>
      <sheetData sheetId="4" refreshError="1"/>
      <sheetData sheetId="5" refreshError="1"/>
      <sheetData sheetId="6" refreshError="1">
        <row r="2">
          <cell r="L2" t="str">
            <v>Single</v>
          </cell>
        </row>
        <row r="3">
          <cell r="A3" t="str">
            <v>SENIOR MANAGER</v>
          </cell>
          <cell r="L3" t="str">
            <v>Familly</v>
          </cell>
        </row>
        <row r="4">
          <cell r="A4" t="str">
            <v>MID MANAGER</v>
          </cell>
          <cell r="L4" t="str">
            <v>TCN</v>
          </cell>
        </row>
        <row r="5">
          <cell r="A5" t="str">
            <v>MANAGER</v>
          </cell>
          <cell r="L5" t="str">
            <v>Local1</v>
          </cell>
        </row>
        <row r="6">
          <cell r="A6" t="str">
            <v>JUNIOR MANAGER</v>
          </cell>
          <cell r="L6" t="str">
            <v>Local2</v>
          </cell>
        </row>
        <row r="7">
          <cell r="A7" t="str">
            <v>MARINE OFFICER</v>
          </cell>
          <cell r="L7" t="str">
            <v>Local3</v>
          </cell>
        </row>
        <row r="8">
          <cell r="A8" t="str">
            <v>WHITE COLLAR 4</v>
          </cell>
          <cell r="L8" t="str">
            <v>Local4</v>
          </cell>
        </row>
        <row r="9">
          <cell r="A9" t="str">
            <v>WHITE COLLAR 3</v>
          </cell>
          <cell r="L9" t="str">
            <v>Local5</v>
          </cell>
        </row>
        <row r="10">
          <cell r="A10" t="str">
            <v>WHITE COLLAR 2</v>
          </cell>
          <cell r="L10" t="str">
            <v>Local6</v>
          </cell>
        </row>
        <row r="11">
          <cell r="A11" t="str">
            <v>WHITE COLLAR 1</v>
          </cell>
          <cell r="L11" t="str">
            <v>Local7</v>
          </cell>
        </row>
        <row r="12">
          <cell r="A12" t="str">
            <v>MARINE CREW</v>
          </cell>
          <cell r="L12" t="str">
            <v>Partners</v>
          </cell>
        </row>
        <row r="13">
          <cell r="A13" t="str">
            <v>BLUE COLLAR</v>
          </cell>
        </row>
      </sheetData>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Set>
  </externalBook>
</externalLink>
</file>

<file path=xl/externalLinks/externalLink5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현장 개요"/>
      <sheetName val="공통비 예산 편성 내역"/>
      <sheetName val="공통부대"/>
      <sheetName val="경상비"/>
      <sheetName val="서울사무소"/>
      <sheetName val="인원분석"/>
      <sheetName val="직원동원계획(서울)"/>
      <sheetName val="직원동원계획(현장)"/>
      <sheetName val="현채직원(현장)"/>
      <sheetName val="간접인원동원계획(현장)"/>
      <sheetName val="직원급여"/>
      <sheetName val="임금인상"/>
      <sheetName val="차량동원계획"/>
      <sheetName val="차량 구매 및 보험료"/>
    </sheetNames>
    <sheetDataSet>
      <sheetData sheetId="0">
        <row r="9">
          <cell r="D9">
            <v>1050</v>
          </cell>
        </row>
        <row r="10">
          <cell r="D10">
            <v>0.83333333333333337</v>
          </cell>
        </row>
        <row r="11">
          <cell r="D11">
            <v>20.834199999999999</v>
          </cell>
        </row>
        <row r="15">
          <cell r="D15">
            <v>3386232391</v>
          </cell>
        </row>
        <row r="29">
          <cell r="G29">
            <v>512782393.68384862</v>
          </cell>
        </row>
        <row r="31">
          <cell r="G31">
            <v>36</v>
          </cell>
        </row>
        <row r="47">
          <cell r="C47">
            <v>1.2</v>
          </cell>
          <cell r="E47">
            <v>0.2</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Set>
  </externalBook>
</externalLink>
</file>

<file path=xl/externalLinks/externalLink5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주관사업"/>
      <sheetName val="사업부배부"/>
      <sheetName val="계정실적"/>
      <sheetName val="계정보고"/>
      <sheetName val="계정보고 (2)"/>
      <sheetName val="요약배부"/>
      <sheetName val="요약배부 (보고)"/>
      <sheetName val="요약배부 (보고) (2)"/>
      <sheetName val="10월계정별"/>
      <sheetName val="10월년간추정"/>
      <sheetName val="배부부별"/>
      <sheetName val="배부비목"/>
      <sheetName val="임대원가"/>
      <sheetName val="기타매출"/>
      <sheetName val="기타매출 (2)"/>
      <sheetName val="기타매출 (3)"/>
      <sheetName val="영업소실적"/>
      <sheetName val="새마을금고"/>
      <sheetName val="Module1"/>
      <sheetName val="참고인원"/>
      <sheetName val="표지"/>
      <sheetName val="content(내부)"/>
      <sheetName val="7.4.1.A(input)"/>
      <sheetName val="7.4.1(B) BOQ Breakdown"/>
      <sheetName val="7.4.1.C(scope)"/>
      <sheetName val="7.4.1.D(Basis)"/>
      <sheetName val="7.4.1.E(allow)"/>
      <sheetName val="7.4.2.A-Build(list)"/>
      <sheetName val="7.4.3.B-BOQ-SUM"/>
      <sheetName val="7.4.3(BOQ_각표지)"/>
      <sheetName val="7.4.3.A(Shelter)"/>
      <sheetName val="7.4.3.B(Module)"/>
      <sheetName val="7.4.3.C(Shelter-FLB)"/>
      <sheetName val="7.4.3.D(Brief Spec.)"/>
      <sheetName val="평균인원"/>
      <sheetName val="인원계획"/>
      <sheetName val="Sheet1"/>
      <sheetName val="eq_data"/>
      <sheetName val="9-1차이내역"/>
      <sheetName val="IT-BAT"/>
      <sheetName val="PRO_A"/>
      <sheetName val="ELEC_MCI"/>
      <sheetName val="MAIN"/>
      <sheetName val="INST_MCI"/>
      <sheetName val="MECH_MCI"/>
      <sheetName val="PRO"/>
      <sheetName val="할증 "/>
      <sheetName val="Sheet5"/>
      <sheetName val="10현장조직"/>
      <sheetName val="세부기준"/>
      <sheetName val="2003.02월수금계획"/>
      <sheetName val="2002_건설용역비미수금현황"/>
      <sheetName val="Piping Design Data"/>
      <sheetName val="현장"/>
      <sheetName val="MOKDONG(1)"/>
      <sheetName val="손익차9월2"/>
      <sheetName val="97 사업추정(WEKI)"/>
      <sheetName val="손익차총괄2"/>
      <sheetName val="공통비총괄표"/>
      <sheetName val="Sheet2"/>
      <sheetName val="P.M 별"/>
      <sheetName val="회사99"/>
      <sheetName val="공통"/>
      <sheetName val="삭제금지단가"/>
      <sheetName val="공문"/>
      <sheetName val="설계"/>
      <sheetName val="품셈TABLE"/>
      <sheetName val="국내"/>
      <sheetName val="수입"/>
      <sheetName val="당초"/>
      <sheetName val="보온자재단가표"/>
      <sheetName val="단가표"/>
      <sheetName val="경비_원본"/>
      <sheetName val="노임단가"/>
      <sheetName val="삼보지질"/>
      <sheetName val="부표총괄"/>
      <sheetName val="품셈1-"/>
      <sheetName val="STAND20"/>
      <sheetName val="95년12월말"/>
      <sheetName val="유림골조"/>
      <sheetName val="95삼성급(본사)"/>
      <sheetName val="合成単価作成表-BLDG"/>
      <sheetName val="집계표(OPTION)"/>
      <sheetName val="정산표"/>
      <sheetName val="와동25-3(변경)"/>
      <sheetName val="M-EQPT-Z"/>
      <sheetName val="소화실적"/>
      <sheetName val="집계표"/>
      <sheetName val="개시대사 (2)"/>
      <sheetName val="정산표2"/>
      <sheetName val="RCF CLAIMED"/>
      <sheetName val="입찰안"/>
      <sheetName val="일위_파일"/>
      <sheetName val="상반기손익차2총괄"/>
      <sheetName val="현금"/>
      <sheetName val="Equipment (5)"/>
      <sheetName val="#REF"/>
      <sheetName val="KP1590_E"/>
      <sheetName val="Customer Databas"/>
      <sheetName val="EACT10"/>
      <sheetName val="가격조사서"/>
      <sheetName val="금액내역서"/>
      <sheetName val="JOB Assign"/>
      <sheetName val="보증금(전신전화가입권)"/>
      <sheetName val="부안일위"/>
      <sheetName val="2003_02월수금계획"/>
      <sheetName val="Piping_Design_Data"/>
      <sheetName val="97_사업추정(WEKI)"/>
      <sheetName val="P_M_별"/>
      <sheetName val="Total"/>
      <sheetName val="원가계산서"/>
      <sheetName val="적용대가"/>
      <sheetName val="공사비PK5월"/>
      <sheetName val="3.바닥판설계"/>
      <sheetName val="주형"/>
      <sheetName val="토사(PE)"/>
      <sheetName val="예가표"/>
      <sheetName val="내역서"/>
      <sheetName val="INPUT DATA"/>
      <sheetName val="B"/>
      <sheetName val="건축"/>
      <sheetName val="Doha WBS Clean"/>
      <sheetName val="new급여T(4을-운전)"/>
      <sheetName val="정부노임단가"/>
      <sheetName val="예산M2"/>
      <sheetName val="예산M12A"/>
      <sheetName val="Sheet11"/>
      <sheetName val="Peralatan (2)"/>
      <sheetName val="DCS"/>
      <sheetName val="ANALYSER"/>
      <sheetName val="공통가설"/>
      <sheetName val="CB"/>
      <sheetName val="카메라"/>
      <sheetName val="제작비추산총괄표"/>
      <sheetName val="물가자료"/>
      <sheetName val="노무비단가"/>
      <sheetName val="BATCH"/>
      <sheetName val="구의33고"/>
      <sheetName val="약품설비"/>
      <sheetName val="사업부배부A"/>
      <sheetName val="총괄표"/>
      <sheetName val="Sheet3"/>
      <sheetName val="2003_02월수금계획1"/>
      <sheetName val="Piping_Design_Data1"/>
      <sheetName val="97_사업추정(WEKI)1"/>
      <sheetName val="P_M_별1"/>
      <sheetName val="계정보고_(2)"/>
      <sheetName val="요약배부_(보고)"/>
      <sheetName val="요약배부_(보고)_(2)"/>
      <sheetName val="기타매출_(2)"/>
      <sheetName val="기타매출_(3)"/>
      <sheetName val="개시대사_(2)"/>
      <sheetName val="RCF_CLAIMED"/>
      <sheetName val="Equipment_(5)"/>
      <sheetName val="JOB_Assign"/>
      <sheetName val="INPUT_DATA"/>
      <sheetName val="Customer_Databas"/>
      <sheetName val="Doha_WBS_Clean"/>
      <sheetName val="Peralatan_(2)"/>
      <sheetName val="3_바닥판설계"/>
      <sheetName val="cable-data"/>
      <sheetName val="수안보-MBR1"/>
      <sheetName val="전기혼잡제경비(45)"/>
      <sheetName val="간접"/>
      <sheetName val="직S"/>
      <sheetName val="sum"/>
      <sheetName val="6PILE  (돌출)"/>
      <sheetName val="건설성적"/>
      <sheetName val="1월"/>
      <sheetName val="터널조도"/>
      <sheetName val="산출서"/>
      <sheetName val="95하U$가격"/>
      <sheetName val="기계사급자재"/>
      <sheetName val="Paint,Fire-Proof,Insul(48)"/>
      <sheetName val="DB"/>
      <sheetName val="BID"/>
      <sheetName val="설 계"/>
      <sheetName val="품셈표"/>
      <sheetName val="VXXXXXXX"/>
      <sheetName val="#3E1_GCR"/>
      <sheetName val="BRICK"/>
      <sheetName val="Tension"/>
      <sheetName val="15.도급예산대비표"/>
      <sheetName val="배수내역"/>
      <sheetName val="합계잔액시산표"/>
      <sheetName val="상품입고집계"/>
      <sheetName val="SCH"/>
      <sheetName val="조직표"/>
      <sheetName val="필리핀"/>
      <sheetName val="Summary Sheets"/>
      <sheetName val="B31.1"/>
      <sheetName val="PSIZE"/>
      <sheetName val="적용토목"/>
      <sheetName val="평자재단가"/>
      <sheetName val="지사인원사무실"/>
      <sheetName val="COVER-P"/>
      <sheetName val="토적계산"/>
      <sheetName val="96 능제취입"/>
      <sheetName val="새공통"/>
      <sheetName val="협력업체전기요금"/>
      <sheetName val="수문일1"/>
      <sheetName val="일위대가"/>
      <sheetName val="돈"/>
      <sheetName val="기본단가"/>
      <sheetName val="신대방33(적용)"/>
      <sheetName val="수주실적0709"/>
      <sheetName val="실행철강하도"/>
      <sheetName val="청산공사"/>
      <sheetName val="1차배부(JB포함)"/>
      <sheetName val="마케팅"/>
      <sheetName val="9GNG운반"/>
      <sheetName val="경비공통"/>
      <sheetName val="VXXXXX"/>
      <sheetName val="도급"/>
      <sheetName val="WORKER"/>
      <sheetName val="하조서"/>
      <sheetName val="공통부대비"/>
      <sheetName val="년말집계"/>
      <sheetName val="직원동원SCH"/>
      <sheetName val="99년하반기"/>
      <sheetName val="공사비내역"/>
      <sheetName val="차량별점검"/>
      <sheetName val="토목"/>
      <sheetName val="한화건설"/>
      <sheetName val="실행내역"/>
      <sheetName val="경상"/>
      <sheetName val="Sheet6"/>
      <sheetName val="BLIND FLANGE"/>
      <sheetName val="CAP"/>
      <sheetName val="ELBOW"/>
      <sheetName val="FLANGE"/>
      <sheetName val="PIPE NPS OD"/>
      <sheetName val="OLET"/>
      <sheetName val="REDUCER"/>
      <sheetName val="TEE"/>
      <sheetName val="CBE-VSL"/>
      <sheetName val="TTL"/>
      <sheetName val="공정회의자료(월요일 10시까지)"/>
      <sheetName val="수주추정"/>
      <sheetName val="OD5000"/>
      <sheetName val="2003_02월수금계획2"/>
      <sheetName val="Piping_Design_Data2"/>
      <sheetName val="계정보고_(2)1"/>
      <sheetName val="요약배부_(보고)1"/>
      <sheetName val="요약배부_(보고)_(2)1"/>
      <sheetName val="기타매출_(2)1"/>
      <sheetName val="기타매출_(3)1"/>
      <sheetName val="97_사업추정(WEKI)2"/>
      <sheetName val="P_M_별2"/>
      <sheetName val="개시대사_(2)1"/>
      <sheetName val="RCF_CLAIMED1"/>
      <sheetName val="Equipment_(5)1"/>
      <sheetName val="JOB_Assign1"/>
      <sheetName val="Customer_Databas1"/>
      <sheetName val="3_바닥판설계1"/>
      <sheetName val="INPUT_DATA1"/>
      <sheetName val="Doha_WBS_Clean1"/>
      <sheetName val="Peralatan_(2)1"/>
      <sheetName val="DATE"/>
      <sheetName val="WIND"/>
      <sheetName val="COMPRESSOR"/>
      <sheetName val="배수공 주요자재 집계표"/>
      <sheetName val="WIND-EQ"/>
      <sheetName val="HORI. VESSEL"/>
      <sheetName val="BOROUGE2"/>
      <sheetName val="공사비 내역 (가)"/>
      <sheetName val="INPUT DATA OF SCHEDULE"/>
      <sheetName val="직노"/>
      <sheetName val="저"/>
      <sheetName val="NYS"/>
      <sheetName val="인건-측정"/>
      <sheetName val="자재단가"/>
      <sheetName val="수성페인트도장 내역서"/>
      <sheetName val="1.취수장"/>
      <sheetName val="W42  "/>
      <sheetName val="세금자료"/>
      <sheetName val="경제지표"/>
      <sheetName val="실적"/>
      <sheetName val="제출내역 (2)"/>
      <sheetName val="사급자재"/>
      <sheetName val="FWBS7000,8000"/>
      <sheetName val="8"/>
      <sheetName val="10"/>
      <sheetName val="12"/>
      <sheetName val="9"/>
      <sheetName val="11"/>
      <sheetName val="2"/>
      <sheetName val="6PILE__(돌출)"/>
      <sheetName val="BLIND_FLANGE"/>
      <sheetName val="PIPE_NPS_OD"/>
      <sheetName val="설_계"/>
      <sheetName val="15_도급예산대비표"/>
      <sheetName val="Summary_Sheets"/>
      <sheetName val="B31_1"/>
      <sheetName val="현대본사"/>
      <sheetName val="총괄-1"/>
      <sheetName val="CAT_5"/>
      <sheetName val="포장공"/>
      <sheetName val="Regenerator  Concrete Structure"/>
      <sheetName val="내역표지"/>
      <sheetName val="VV보온LINK"/>
      <sheetName val="FIT보온LINK"/>
      <sheetName val="간접비 총괄표"/>
      <sheetName val="ysn"/>
      <sheetName val="갑지"/>
      <sheetName val="lab"/>
      <sheetName val="96_능제취입"/>
      <sheetName val="재료율"/>
      <sheetName val="BQ"/>
      <sheetName val="IMP(MAIN)"/>
      <sheetName val="IMP (REACTOR)"/>
      <sheetName val="D-623D"/>
      <sheetName val="Weld, NDE (Pipe)"/>
      <sheetName val="ANX3A65"/>
      <sheetName val="평3"/>
      <sheetName val="견적단가"/>
      <sheetName val="Malaysia incl. RET"/>
      <sheetName val="적용단가"/>
      <sheetName val="토공사"/>
      <sheetName val="단가"/>
      <sheetName val="기초자료입력및 K치 확인"/>
      <sheetName val="재료"/>
      <sheetName val="내역_ver1.0"/>
      <sheetName val="내역서1"/>
      <sheetName val="교각1"/>
      <sheetName val="토목주소"/>
      <sheetName val="프랜트면허"/>
      <sheetName val="예산M6-B"/>
      <sheetName val="견적대비"/>
      <sheetName val="기안"/>
      <sheetName val="을"/>
      <sheetName val=" 냉각수펌프"/>
      <sheetName val="공조기휀"/>
      <sheetName val="AHU집계"/>
      <sheetName val="5사남"/>
      <sheetName val="기계내역"/>
      <sheetName val="대전-교대(A1-A2)"/>
      <sheetName val="변동률산출"/>
      <sheetName val="tcm_bq_MH"/>
      <sheetName val="DWG"/>
      <sheetName val="ELEC_DCI"/>
      <sheetName val="INST_DCI"/>
      <sheetName val=""/>
      <sheetName val="BLDG_DCI"/>
      <sheetName val="BLDG_MCI"/>
      <sheetName val="VENDOR LIST"/>
      <sheetName val="기계"/>
      <sheetName val="토량산출서"/>
      <sheetName val="입찰보고"/>
      <sheetName val="INPUT"/>
      <sheetName val="2.대외공문"/>
      <sheetName val="PRO_DCI"/>
      <sheetName val="HVAC_DCI"/>
      <sheetName val="PIPE_DCI"/>
      <sheetName val="신표지1"/>
      <sheetName val="General Data"/>
      <sheetName val="EQUIP"/>
      <sheetName val="982월원안"/>
      <sheetName val="TOT-SUM"/>
      <sheetName val="Manmonth(입력)"/>
      <sheetName val="list"/>
      <sheetName val="BREAKDOWN(철거설치)"/>
      <sheetName val="시공집계"/>
      <sheetName val="용소리교"/>
      <sheetName val="ACUNIT"/>
      <sheetName val="구조물공"/>
      <sheetName val="주beam"/>
      <sheetName val="선수금반제"/>
      <sheetName val="지사인원"/>
      <sheetName val="Basic"/>
      <sheetName val="산근터빈"/>
      <sheetName val="FAB별"/>
      <sheetName val="6호기"/>
      <sheetName val="평형공사비"/>
      <sheetName val="무전표"/>
      <sheetName val="입찰"/>
      <sheetName val="현경"/>
      <sheetName val="식재인부"/>
      <sheetName val="경비2내역"/>
      <sheetName val="MEED"/>
      <sheetName val="¼ÕÀÍÂ÷9¿ù2"/>
      <sheetName val="견적서"/>
      <sheetName val="97 사업추정_WEKI_"/>
      <sheetName val="jobhist"/>
      <sheetName val="97"/>
      <sheetName val="공사설계서"/>
      <sheetName val="CAL(1)."/>
      <sheetName val="뜃맟뭁돽띿맟?-BLDG"/>
      <sheetName val="공통비"/>
      <sheetName val="XL4Poppy"/>
      <sheetName val="Cash"/>
      <sheetName val="금리계산"/>
      <sheetName val="단가산출"/>
      <sheetName val="토 적 표"/>
      <sheetName val="N賃率-職"/>
      <sheetName val="지급자재"/>
      <sheetName val=" "/>
      <sheetName val="insulation"/>
      <sheetName val="PRICE-COMP"/>
      <sheetName val="할증_"/>
      <sheetName val="전기단가조사서"/>
      <sheetName val="TABLE-A"/>
      <sheetName val="부대내역"/>
      <sheetName val="품조정율(97-99)"/>
      <sheetName val="조경일람"/>
      <sheetName val="내역"/>
      <sheetName val="공정코드"/>
      <sheetName val="총괄집계 "/>
      <sheetName val="단가비교"/>
      <sheetName val="내역(전력)"/>
      <sheetName val="98수문일위"/>
      <sheetName val="월별인건비현황"/>
      <sheetName val="data"/>
      <sheetName val="부속동"/>
      <sheetName val="Container항차정리"/>
      <sheetName val="외화금융(97-03)"/>
      <sheetName val="조정전"/>
      <sheetName val="배수내역 (2)"/>
      <sheetName val="설_계1"/>
      <sheetName val="15_도급예산대비표1"/>
      <sheetName val="Summary_Sheets1"/>
      <sheetName val="B31_11"/>
      <sheetName val="계정보고_(2)2"/>
      <sheetName val="요약배부_(보고)2"/>
      <sheetName val="요약배부_(보고)_(2)2"/>
      <sheetName val="기타매출_(2)2"/>
      <sheetName val="기타매출_(3)2"/>
      <sheetName val="15_도급예산대비표2"/>
      <sheetName val="설_계2"/>
      <sheetName val="Summary_Sheets2"/>
      <sheetName val="B31_12"/>
      <sheetName val="W42__"/>
      <sheetName val="원본"/>
      <sheetName val="점수계산1-2"/>
      <sheetName val="내역서(당초변경)"/>
      <sheetName val="시설물일위"/>
      <sheetName val="금액"/>
      <sheetName val="노임"/>
      <sheetName val="P_M 별"/>
      <sheetName val="작성기준"/>
      <sheetName val="남양내역"/>
      <sheetName val="원가"/>
      <sheetName val="2공구산출내역"/>
      <sheetName val="BLR-S"/>
      <sheetName val="공정산출"/>
      <sheetName val="공사진행"/>
      <sheetName val="문학간접"/>
      <sheetName val="AS복구"/>
      <sheetName val="중기터파기"/>
      <sheetName val="변수값"/>
      <sheetName val="중기상차"/>
      <sheetName val="산출근거#2-3"/>
      <sheetName val="단위가격"/>
      <sheetName val="관급"/>
      <sheetName val="tjexcel"/>
      <sheetName val="Prices"/>
      <sheetName val="Y-MOV2011"/>
      <sheetName val="Proposal"/>
      <sheetName val="GAEYO"/>
      <sheetName val="음료실행"/>
      <sheetName val="참고1"/>
      <sheetName val="L V Separator"/>
      <sheetName val="#13_Electrical"/>
      <sheetName val="DPRKMHDT"/>
      <sheetName val="공사비예산서(토목분)"/>
      <sheetName val="ÁÖ°ü»ç¾÷"/>
      <sheetName val="MOTOR"/>
      <sheetName val="TB-내역서"/>
      <sheetName val="MACRO(전선관)"/>
      <sheetName val="뜃맟뭁돽띿맟_-BLDG"/>
      <sheetName val="Quantity"/>
      <sheetName val="info"/>
      <sheetName val="LEGEND"/>
      <sheetName val="Control"/>
      <sheetName val="단가(LP)"/>
      <sheetName val="휴일check"/>
      <sheetName val="차액보증"/>
      <sheetName val="1련,2련"/>
      <sheetName val="변품8-37"/>
      <sheetName val="에너지동"/>
      <sheetName val="명세서"/>
      <sheetName val="98지급계획"/>
      <sheetName val="XXXXXXXX"/>
      <sheetName val="지장물조서"/>
      <sheetName val="토지조서"/>
      <sheetName val="비교재무제표"/>
      <sheetName val="표준지"/>
      <sheetName val="CF2"/>
      <sheetName val="CF4"/>
      <sheetName val="CF5"/>
      <sheetName val="CF7"/>
      <sheetName val="CF8"/>
      <sheetName val="GF3"/>
      <sheetName val="128M"/>
      <sheetName val="16EDO"/>
      <sheetName val="16SD"/>
      <sheetName val="16WB"/>
      <sheetName val="256M"/>
      <sheetName val="4M"/>
      <sheetName val="64EDO"/>
      <sheetName val="64SD"/>
      <sheetName val="DRD"/>
      <sheetName val="SRAM"/>
      <sheetName val="법곳동"/>
      <sheetName val="대화동"/>
      <sheetName val="명세표"/>
      <sheetName val="Intro2"/>
      <sheetName val="Id"/>
      <sheetName val="변수"/>
      <sheetName val="토지평가조서"/>
      <sheetName val="2차보상토지"/>
      <sheetName val="수식변수"/>
      <sheetName val="0고과평균 및 편차조정 (2)"/>
      <sheetName val="품셈1-26"/>
      <sheetName val="반포2차"/>
      <sheetName val="Code_Magics"/>
      <sheetName val="Code"/>
      <sheetName val="우수"/>
      <sheetName val="대차대조표"/>
      <sheetName val="적금및발행어음계산"/>
      <sheetName val="참고"/>
      <sheetName val="2003_02월수금계획3"/>
      <sheetName val="Piping_Design_Data3"/>
      <sheetName val="97_사업추정(WEKI)3"/>
      <sheetName val="P_M_별3"/>
      <sheetName val="개시대사_(2)2"/>
      <sheetName val="Equipment_(5)2"/>
      <sheetName val="RCF_CLAIMED2"/>
      <sheetName val="JOB_Assign2"/>
      <sheetName val="INPUT_DATA2"/>
      <sheetName val="Customer_Databas2"/>
      <sheetName val="Doha_WBS_Clean2"/>
      <sheetName val="Peralatan_(2)2"/>
      <sheetName val="3_바닥판설계2"/>
      <sheetName val="6PILE__(돌출)1"/>
      <sheetName val="BLIND_FLANGE1"/>
      <sheetName val="PIPE_NPS_OD1"/>
      <sheetName val="배수공_주요자재_집계표"/>
      <sheetName val="HORI__VESSEL"/>
      <sheetName val="7_4_1_A(input)"/>
      <sheetName val="7_4_1(B)_BOQ_Breakdown"/>
      <sheetName val="7_4_1_C(scope)"/>
      <sheetName val="7_4_1_D(Basis)"/>
      <sheetName val="7_4_1_E(allow)"/>
      <sheetName val="7_4_2_A-Build(list)"/>
      <sheetName val="7_4_3_B-BOQ-SUM"/>
      <sheetName val="7_4_3(BOQ_각표지)"/>
      <sheetName val="7_4_3_A(Shelter)"/>
      <sheetName val="7_4_3_B(Module)"/>
      <sheetName val="7_4_3_C(Shelter-FLB)"/>
      <sheetName val="7_4_3_D(Brief_Spec_)"/>
      <sheetName val="공정회의자료(월요일_10시까지)"/>
      <sheetName val="공사비_내역_(가)"/>
      <sheetName val="INPUT_DATA_OF_SCHEDULE"/>
      <sheetName val="제출내역_(2)"/>
      <sheetName val="IMP_(REACTOR)"/>
      <sheetName val="Malaysia_incl__RET"/>
      <sheetName val="경"/>
      <sheetName val="광통신 견적내역서1"/>
      <sheetName val="15"/>
      <sheetName val="노무비"/>
      <sheetName val="일위대가표"/>
      <sheetName val="처리목록"/>
      <sheetName val="BOLT"/>
      <sheetName val="Sheet17"/>
      <sheetName val="매체인지도분석"/>
      <sheetName val="Asset9809CAK"/>
      <sheetName val="플랜트 설치"/>
      <sheetName val="sheet4"/>
      <sheetName val="-15.0"/>
      <sheetName val="ANX3A11"/>
      <sheetName val="bolts"/>
      <sheetName val="매립"/>
      <sheetName val="Curves"/>
      <sheetName val="Tables"/>
      <sheetName val="설계내역서"/>
      <sheetName val="간선계산"/>
      <sheetName val="소상 &quot;1&quot;"/>
      <sheetName val="Z- GENERAL PRICE SUMMARY"/>
      <sheetName val=" Estimate  "/>
      <sheetName val="200"/>
      <sheetName val="B2BERP"/>
      <sheetName val="데이타"/>
      <sheetName val="신우"/>
      <sheetName val="6동"/>
      <sheetName val="환산매출"/>
      <sheetName val="해외 연수비용 계산-삭제"/>
      <sheetName val="해외 기술훈련비 (합계)"/>
      <sheetName val="마스터"/>
      <sheetName val="일반자료"/>
      <sheetName val="이름표"/>
      <sheetName val="회사정보"/>
      <sheetName val="guard(mac)"/>
      <sheetName val="F-1,2"/>
      <sheetName val="손익계산서(管理)"/>
      <sheetName val="Data_인원계획"/>
      <sheetName val="관계주식"/>
      <sheetName val="ITB COST"/>
      <sheetName val="제잡비"/>
      <sheetName val="??-BLDG"/>
      <sheetName val="DAF-2"/>
      <sheetName val="설비"/>
      <sheetName val="영지실적"/>
      <sheetName val="교통대책내역"/>
      <sheetName val="공비대비"/>
      <sheetName val="BOX 본체"/>
      <sheetName val="입출재고현황 (2)"/>
      <sheetName val="날개벽"/>
      <sheetName val="예정(3)"/>
      <sheetName val="견적대비표"/>
      <sheetName val="포장복구집계"/>
      <sheetName val="ITEM"/>
      <sheetName val="설계조건"/>
      <sheetName val="동원(3)"/>
      <sheetName val="화재 탐지 설비"/>
      <sheetName val="2000전체분"/>
      <sheetName val="G.R300경비"/>
      <sheetName val="AS포장복구 "/>
      <sheetName val="청천내"/>
      <sheetName val="기계경비(시간당)"/>
      <sheetName val="2000년1차"/>
      <sheetName val="단가일람"/>
      <sheetName val="단위량당중기"/>
      <sheetName val="램머"/>
      <sheetName val="Baby일위대가"/>
      <sheetName val="교대(A1)"/>
      <sheetName val="투찰가"/>
      <sheetName val="백호우계수"/>
      <sheetName val="Sheet1 (2)"/>
      <sheetName val="기준보온"/>
      <sheetName val="투찰내역"/>
      <sheetName val="자재일람"/>
      <sheetName val="조명율표"/>
      <sheetName val="인력정보"/>
      <sheetName val="data_dci"/>
      <sheetName val="data_mci"/>
      <sheetName val="behind"/>
      <sheetName val="TACE"/>
      <sheetName val="inter"/>
      <sheetName val="영동(D)"/>
      <sheetName val="h-013211-2"/>
      <sheetName val="기계내역서"/>
      <sheetName val="맨홀수량산출"/>
      <sheetName val="가감수량"/>
      <sheetName val="백분율"/>
      <sheetName val="DHEQSUPT"/>
      <sheetName val="간접비"/>
      <sheetName val="Process Piping"/>
      <sheetName val="기기리스트"/>
      <sheetName val="CJI3"/>
      <sheetName val="과천MAIN"/>
      <sheetName val="노무산출서"/>
      <sheetName val="H.Satua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efreshError="1"/>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sheetData sheetId="99"/>
      <sheetData sheetId="100"/>
      <sheetData sheetId="101"/>
      <sheetData sheetId="102" refreshError="1"/>
      <sheetData sheetId="103" refreshError="1"/>
      <sheetData sheetId="104" refreshError="1"/>
      <sheetData sheetId="105" refreshError="1"/>
      <sheetData sheetId="106" refreshError="1"/>
      <sheetData sheetId="107" refreshError="1"/>
      <sheetData sheetId="108" refreshError="1"/>
      <sheetData sheetId="109"/>
      <sheetData sheetId="110"/>
      <sheetData sheetId="111"/>
      <sheetData sheetId="112"/>
      <sheetData sheetId="113"/>
      <sheetData sheetId="114"/>
      <sheetData sheetId="115"/>
      <sheetData sheetId="116" refreshError="1"/>
      <sheetData sheetId="117"/>
      <sheetData sheetId="118" refreshError="1"/>
      <sheetData sheetId="119" refreshError="1"/>
      <sheetData sheetId="120"/>
      <sheetData sheetId="121"/>
      <sheetData sheetId="122" refreshError="1"/>
      <sheetData sheetId="123" refreshError="1"/>
      <sheetData sheetId="124" refreshError="1"/>
      <sheetData sheetId="125" refreshError="1"/>
      <sheetData sheetId="126" refreshError="1"/>
      <sheetData sheetId="127"/>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sheetData sheetId="545"/>
      <sheetData sheetId="546"/>
      <sheetData sheetId="547"/>
      <sheetData sheetId="548"/>
      <sheetData sheetId="549"/>
      <sheetData sheetId="550"/>
      <sheetData sheetId="551" refreshError="1"/>
      <sheetData sheetId="552" refreshError="1"/>
      <sheetData sheetId="553" refreshError="1"/>
      <sheetData sheetId="554"/>
      <sheetData sheetId="555"/>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Set>
  </externalBook>
</externalLink>
</file>

<file path=xl/externalLinks/externalLink5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AMENDMENT"/>
      <sheetName val="EXCHANGE RATE"/>
      <sheetName val="SUMMARY"/>
      <sheetName val="BREAKDOWN"/>
      <sheetName val="KOREAN STAFF SALARY_BREAKDOWN"/>
      <sheetName val="KOREAN STAFF SALARY - HOME"/>
      <sheetName val="KOREAN STAFF SALARY - SITE"/>
      <sheetName val="KOREAN STAFF SALARY - BRANCH"/>
      <sheetName val="KOREAN STAFF SALARY - 현지불 수당"/>
      <sheetName val="KOREAN STAFF SALARY - 연장수당"/>
      <sheetName val="KOREAN STAFF SALARY - 직책수당"/>
      <sheetName val="KOREAN STAFF SALARY - 단신부임수당"/>
      <sheetName val="KOREAN STAFF SALARY - SUMMARY"/>
      <sheetName val="KOREAN STAFF SARARY - ALLOWANCE"/>
      <sheetName val="EUR, TCN &amp; LOC STAFF SALARY"/>
      <sheetName val="INDIRECT SALARY"/>
      <sheetName val="STAFF&amp;INDIRECT SALARY - SUMMARY"/>
      <sheetName val="PERSONNEL SETUP"/>
      <sheetName val="STAFF MOBILIZATION PLAN"/>
      <sheetName val="INDIRECT MOBILIZATION PLAN"/>
      <sheetName val="LABOR MOBILIZATION PLAN"/>
      <sheetName val="MEDICAL TEST - SEOUL"/>
      <sheetName val="LIST OF AIR FARE"/>
      <sheetName val="BUSINESS TRIP-TRAVELING EXPENSE"/>
      <sheetName val="BUSINESS TRIP - SEOUL OFFICE"/>
      <sheetName val="BUSINESS TRIP - SITE"/>
      <sheetName val="OPERATING COST - AIR FARE"/>
      <sheetName val="LIST OF OFFICE EQUIPMENT"/>
      <sheetName val="CAMP OPERATING COST"/>
      <sheetName val="WELFARE COST - SITE"/>
      <sheetName val="CLOTHES PAYMENT CONDITION"/>
      <sheetName val="VEHICLE - MOBILIZATION PLAN"/>
      <sheetName val="VEHICLE - COST SUMMARY"/>
      <sheetName val="QUANTITY OF WATER"/>
      <sheetName val="사무기기 - 유지보수"/>
      <sheetName val="사무기기 - 소모품 구입"/>
      <sheetName val="VISA &amp; PERMIT - SUMMARY"/>
      <sheetName val="CAMP - CONSTRUCTION"/>
      <sheetName val="CAMP - RENTAL (AL-SUWAIDI)"/>
      <sheetName val="CAMP - RENTAL (RED SEA)"/>
      <sheetName val="CAMP - COMPARATIVE TABLE"/>
      <sheetName val="INSURANCE - KOREAN STAFF"/>
      <sheetName val="INSURANCE - KOREAN INDIRECT"/>
      <sheetName val="환율"/>
      <sheetName val="RFP007"/>
      <sheetName val="RFP006"/>
      <sheetName val="RFP009"/>
      <sheetName val="주관사업"/>
      <sheetName val="요약배부"/>
      <sheetName val="PRO_A"/>
      <sheetName val="DWG"/>
      <sheetName val="MAIN"/>
      <sheetName val="PRO"/>
      <sheetName val="장비동원"/>
      <sheetName val="VA_code"/>
      <sheetName val="VV보온LINK"/>
      <sheetName val="FIT보온LINK"/>
      <sheetName val="EXCHANGE_RATE"/>
      <sheetName val="KOREAN_STAFF_SALARY_BREAKDOWN"/>
      <sheetName val="KOREAN_STAFF_SALARY_-_HOME"/>
      <sheetName val="KOREAN_STAFF_SALARY_-_SITE"/>
      <sheetName val="KOREAN_STAFF_SALARY_-_BRANCH"/>
      <sheetName val="KOREAN_STAFF_SALARY_-_현지불_수당"/>
      <sheetName val="KOREAN_STAFF_SALARY_-_연장수당"/>
      <sheetName val="KOREAN_STAFF_SALARY_-_직책수당"/>
      <sheetName val="KOREAN_STAFF_SALARY_-_단신부임수당"/>
      <sheetName val="KOREAN_STAFF_SALARY_-_SUMMARY"/>
      <sheetName val="KOREAN_STAFF_SARARY_-_ALLOWANCE"/>
      <sheetName val="EUR,_TCN_&amp;_LOC_STAFF_SALARY"/>
      <sheetName val="INDIRECT_SALARY"/>
      <sheetName val="STAFF&amp;INDIRECT_SALARY_-_SUMMARY"/>
      <sheetName val="PERSONNEL_SETUP"/>
      <sheetName val="STAFF_MOBILIZATION_PLAN"/>
      <sheetName val="INDIRECT_MOBILIZATION_PLAN"/>
      <sheetName val="LABOR_MOBILIZATION_PLAN"/>
      <sheetName val="MEDICAL_TEST_-_SEOUL"/>
      <sheetName val="LIST_OF_AIR_FARE"/>
      <sheetName val="BUSINESS_TRIP-TRAVELING_EXPENSE"/>
      <sheetName val="BUSINESS_TRIP_-_SEOUL_OFFICE"/>
      <sheetName val="BUSINESS_TRIP_-_SITE"/>
      <sheetName val="OPERATING_COST_-_AIR_FARE"/>
      <sheetName val="LIST_OF_OFFICE_EQUIPMENT"/>
      <sheetName val="CAMP_OPERATING_COST"/>
      <sheetName val="WELFARE_COST_-_SITE"/>
      <sheetName val="CLOTHES_PAYMENT_CONDITION"/>
      <sheetName val="VEHICLE_-_MOBILIZATION_PLAN"/>
      <sheetName val="VEHICLE_-_COST_SUMMARY"/>
      <sheetName val="QUANTITY_OF_WATER"/>
      <sheetName val="사무기기_-_유지보수"/>
      <sheetName val="사무기기_-_소모품_구입"/>
      <sheetName val="VISA_&amp;_PERMIT_-_SUMMARY"/>
      <sheetName val="CAMP_-_CONSTRUCTION"/>
      <sheetName val="CAMP_-_RENTAL_(AL-SUWAIDI)"/>
      <sheetName val="CAMP_-_RENTAL_(RED_SEA)"/>
      <sheetName val="CAMP_-_COMPARATIVE_TABLE"/>
      <sheetName val="INSURANCE_-_KOREAN_STAFF"/>
      <sheetName val="INSURANCE_-_KOREAN_INDIRECT"/>
    </sheetNames>
    <sheetDataSet>
      <sheetData sheetId="0" refreshError="1"/>
      <sheetData sheetId="1" refreshError="1"/>
      <sheetData sheetId="2" refreshError="1"/>
      <sheetData sheetId="3" refreshError="1">
        <row r="52">
          <cell r="F52" t="str">
            <v>KOR</v>
          </cell>
          <cell r="J52">
            <v>15</v>
          </cell>
          <cell r="K52" t="str">
            <v>Person</v>
          </cell>
          <cell r="N52">
            <v>446</v>
          </cell>
          <cell r="O52" t="str">
            <v>MM</v>
          </cell>
          <cell r="P52">
            <v>2949.9905175635281</v>
          </cell>
          <cell r="Q52" t="str">
            <v>USD/MM</v>
          </cell>
          <cell r="R52">
            <v>1315695.7708333335</v>
          </cell>
        </row>
        <row r="53">
          <cell r="F53" t="str">
            <v>EUR</v>
          </cell>
          <cell r="J53">
            <v>0</v>
          </cell>
          <cell r="K53" t="str">
            <v>Person</v>
          </cell>
          <cell r="N53">
            <v>0</v>
          </cell>
          <cell r="O53" t="str">
            <v>MM</v>
          </cell>
          <cell r="P53">
            <v>0</v>
          </cell>
          <cell r="Q53" t="str">
            <v>USD/MM</v>
          </cell>
          <cell r="R53">
            <v>0</v>
          </cell>
        </row>
        <row r="54">
          <cell r="F54" t="str">
            <v>TCN</v>
          </cell>
          <cell r="J54">
            <v>0</v>
          </cell>
          <cell r="K54" t="str">
            <v>Person</v>
          </cell>
          <cell r="N54">
            <v>0</v>
          </cell>
          <cell r="O54" t="str">
            <v>MM</v>
          </cell>
          <cell r="P54">
            <v>0</v>
          </cell>
          <cell r="Q54" t="str">
            <v>USD/MM</v>
          </cell>
          <cell r="R54">
            <v>0</v>
          </cell>
        </row>
      </sheetData>
      <sheetData sheetId="4" refreshError="1">
        <row r="40">
          <cell r="F40" t="str">
            <v>SM</v>
          </cell>
          <cell r="G40">
            <v>3980000</v>
          </cell>
          <cell r="H40">
            <v>3760000</v>
          </cell>
          <cell r="I40">
            <v>3560000</v>
          </cell>
          <cell r="J40">
            <v>3020000</v>
          </cell>
          <cell r="K40">
            <v>4340000</v>
          </cell>
          <cell r="L40">
            <v>0</v>
          </cell>
        </row>
        <row r="41">
          <cell r="F41" t="str">
            <v>SB</v>
          </cell>
          <cell r="G41">
            <v>3680000</v>
          </cell>
          <cell r="H41">
            <v>3470000</v>
          </cell>
          <cell r="I41">
            <v>3290000</v>
          </cell>
          <cell r="J41">
            <v>2800000</v>
          </cell>
          <cell r="K41">
            <v>4010000</v>
          </cell>
          <cell r="L41">
            <v>0</v>
          </cell>
        </row>
        <row r="42">
          <cell r="F42" t="str">
            <v>SBD</v>
          </cell>
          <cell r="G42">
            <v>3400000</v>
          </cell>
          <cell r="H42">
            <v>3210000</v>
          </cell>
          <cell r="I42">
            <v>3020000</v>
          </cell>
          <cell r="J42">
            <v>2570000</v>
          </cell>
          <cell r="K42">
            <v>3680000</v>
          </cell>
          <cell r="L42">
            <v>0</v>
          </cell>
        </row>
        <row r="43">
          <cell r="F43" t="str">
            <v>BJ</v>
          </cell>
          <cell r="G43">
            <v>3400000</v>
          </cell>
          <cell r="H43">
            <v>3210000</v>
          </cell>
          <cell r="I43">
            <v>3020000</v>
          </cell>
          <cell r="J43">
            <v>2570000</v>
          </cell>
          <cell r="K43">
            <v>3680000</v>
          </cell>
          <cell r="L43">
            <v>0</v>
          </cell>
        </row>
        <row r="44">
          <cell r="F44" t="str">
            <v>BD</v>
          </cell>
          <cell r="G44">
            <v>3220000</v>
          </cell>
          <cell r="H44">
            <v>3060000</v>
          </cell>
          <cell r="I44">
            <v>2860000</v>
          </cell>
          <cell r="J44">
            <v>2450000</v>
          </cell>
          <cell r="K44">
            <v>3510000</v>
          </cell>
          <cell r="L44">
            <v>0</v>
          </cell>
        </row>
        <row r="45">
          <cell r="F45" t="str">
            <v>CJ</v>
          </cell>
          <cell r="G45">
            <v>2930000</v>
          </cell>
          <cell r="H45">
            <v>2780000</v>
          </cell>
          <cell r="I45">
            <v>2600000</v>
          </cell>
          <cell r="J45">
            <v>2220000</v>
          </cell>
          <cell r="K45">
            <v>3200000</v>
          </cell>
          <cell r="L45">
            <v>0</v>
          </cell>
        </row>
        <row r="46">
          <cell r="F46" t="str">
            <v>GJ</v>
          </cell>
          <cell r="G46">
            <v>2600000</v>
          </cell>
          <cell r="H46">
            <v>2470000</v>
          </cell>
          <cell r="I46">
            <v>2290000</v>
          </cell>
          <cell r="J46">
            <v>1960000</v>
          </cell>
          <cell r="K46">
            <v>2830000</v>
          </cell>
          <cell r="L46">
            <v>0</v>
          </cell>
        </row>
        <row r="47">
          <cell r="F47" t="str">
            <v>DR</v>
          </cell>
          <cell r="G47">
            <v>2290000</v>
          </cell>
          <cell r="H47">
            <v>2180000</v>
          </cell>
          <cell r="I47">
            <v>2020000</v>
          </cell>
          <cell r="J47">
            <v>1730000</v>
          </cell>
          <cell r="K47">
            <v>2500000</v>
          </cell>
          <cell r="L47">
            <v>0</v>
          </cell>
        </row>
        <row r="48">
          <cell r="F48" t="str">
            <v>4SW</v>
          </cell>
          <cell r="G48">
            <v>2030000</v>
          </cell>
          <cell r="H48">
            <v>1940000</v>
          </cell>
          <cell r="I48">
            <v>1780000</v>
          </cell>
          <cell r="J48">
            <v>1530000</v>
          </cell>
          <cell r="K48">
            <v>2200000</v>
          </cell>
          <cell r="L48">
            <v>0</v>
          </cell>
        </row>
        <row r="49">
          <cell r="F49" t="str">
            <v>5SW</v>
          </cell>
          <cell r="G49">
            <v>1870000</v>
          </cell>
          <cell r="H49">
            <v>1680000</v>
          </cell>
        </row>
      </sheetData>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row r="69">
          <cell r="I69">
            <v>81</v>
          </cell>
          <cell r="J69">
            <v>2543</v>
          </cell>
        </row>
        <row r="70">
          <cell r="G70" t="str">
            <v>PHL</v>
          </cell>
          <cell r="I70">
            <v>14</v>
          </cell>
          <cell r="J70">
            <v>310</v>
          </cell>
        </row>
        <row r="71">
          <cell r="G71" t="str">
            <v>THL</v>
          </cell>
          <cell r="I71">
            <v>0</v>
          </cell>
          <cell r="J71">
            <v>0</v>
          </cell>
        </row>
        <row r="72">
          <cell r="G72" t="str">
            <v>IND</v>
          </cell>
          <cell r="I72">
            <v>35</v>
          </cell>
          <cell r="J72">
            <v>1197</v>
          </cell>
        </row>
        <row r="73">
          <cell r="G73" t="str">
            <v>BNG</v>
          </cell>
          <cell r="I73">
            <v>32</v>
          </cell>
          <cell r="J73">
            <v>1036</v>
          </cell>
        </row>
      </sheetData>
      <sheetData sheetId="17" refreshError="1">
        <row r="18">
          <cell r="D18" t="str">
            <v>STAFF</v>
          </cell>
          <cell r="J18">
            <v>256</v>
          </cell>
          <cell r="K18">
            <v>6821</v>
          </cell>
          <cell r="L18">
            <v>48</v>
          </cell>
          <cell r="M18">
            <v>1014</v>
          </cell>
          <cell r="O18">
            <v>6280</v>
          </cell>
          <cell r="P18">
            <v>6280</v>
          </cell>
          <cell r="Q18">
            <v>1014</v>
          </cell>
          <cell r="R18">
            <v>1014</v>
          </cell>
          <cell r="T18">
            <v>23</v>
          </cell>
          <cell r="U18">
            <v>541</v>
          </cell>
          <cell r="V18">
            <v>0</v>
          </cell>
          <cell r="W18">
            <v>0</v>
          </cell>
        </row>
        <row r="19">
          <cell r="F19" t="str">
            <v>KOR</v>
          </cell>
          <cell r="J19">
            <v>113</v>
          </cell>
          <cell r="K19">
            <v>2760</v>
          </cell>
          <cell r="L19">
            <v>48</v>
          </cell>
          <cell r="M19">
            <v>1005</v>
          </cell>
          <cell r="O19">
            <v>92</v>
          </cell>
          <cell r="P19">
            <v>2430</v>
          </cell>
          <cell r="Q19">
            <v>48</v>
          </cell>
          <cell r="R19">
            <v>1005</v>
          </cell>
          <cell r="T19">
            <v>13</v>
          </cell>
          <cell r="U19">
            <v>330</v>
          </cell>
          <cell r="V19">
            <v>0</v>
          </cell>
          <cell r="W19">
            <v>0</v>
          </cell>
        </row>
        <row r="20">
          <cell r="F20" t="str">
            <v>EUR</v>
          </cell>
          <cell r="J20">
            <v>1</v>
          </cell>
          <cell r="K20">
            <v>41</v>
          </cell>
          <cell r="L20">
            <v>0</v>
          </cell>
          <cell r="M20">
            <v>0</v>
          </cell>
          <cell r="O20">
            <v>1</v>
          </cell>
          <cell r="P20">
            <v>41</v>
          </cell>
          <cell r="Q20">
            <v>0</v>
          </cell>
          <cell r="R20">
            <v>0</v>
          </cell>
          <cell r="T20">
            <v>0</v>
          </cell>
          <cell r="U20">
            <v>0</v>
          </cell>
          <cell r="V20">
            <v>0</v>
          </cell>
          <cell r="W20">
            <v>0</v>
          </cell>
        </row>
        <row r="21">
          <cell r="F21" t="str">
            <v>TCN</v>
          </cell>
          <cell r="J21">
            <v>128</v>
          </cell>
          <cell r="K21">
            <v>3336</v>
          </cell>
          <cell r="L21">
            <v>3</v>
          </cell>
          <cell r="M21">
            <v>9</v>
          </cell>
          <cell r="O21">
            <v>121</v>
          </cell>
          <cell r="P21">
            <v>3125</v>
          </cell>
          <cell r="Q21">
            <v>3</v>
          </cell>
          <cell r="R21">
            <v>9</v>
          </cell>
          <cell r="T21">
            <v>10</v>
          </cell>
          <cell r="U21">
            <v>211</v>
          </cell>
          <cell r="V21">
            <v>0</v>
          </cell>
          <cell r="W21">
            <v>0</v>
          </cell>
        </row>
        <row r="22">
          <cell r="H22" t="str">
            <v>PHL</v>
          </cell>
          <cell r="J22">
            <v>114</v>
          </cell>
          <cell r="K22">
            <v>2665</v>
          </cell>
          <cell r="L22">
            <v>0</v>
          </cell>
          <cell r="M22">
            <v>0</v>
          </cell>
          <cell r="O22">
            <v>107</v>
          </cell>
          <cell r="P22">
            <v>2454</v>
          </cell>
          <cell r="Q22">
            <v>0</v>
          </cell>
          <cell r="R22">
            <v>0</v>
          </cell>
          <cell r="T22">
            <v>10</v>
          </cell>
          <cell r="U22">
            <v>211</v>
          </cell>
          <cell r="V22">
            <v>0</v>
          </cell>
          <cell r="W22">
            <v>0</v>
          </cell>
        </row>
        <row r="23">
          <cell r="H23" t="str">
            <v>THL</v>
          </cell>
          <cell r="J23">
            <v>0</v>
          </cell>
          <cell r="K23">
            <v>0</v>
          </cell>
          <cell r="L23">
            <v>0</v>
          </cell>
          <cell r="M23">
            <v>0</v>
          </cell>
          <cell r="O23">
            <v>0</v>
          </cell>
          <cell r="P23">
            <v>0</v>
          </cell>
          <cell r="Q23">
            <v>0</v>
          </cell>
          <cell r="R23">
            <v>0</v>
          </cell>
          <cell r="T23">
            <v>0</v>
          </cell>
          <cell r="U23">
            <v>0</v>
          </cell>
          <cell r="V23">
            <v>0</v>
          </cell>
          <cell r="W23">
            <v>0</v>
          </cell>
        </row>
        <row r="24">
          <cell r="H24" t="str">
            <v>IND</v>
          </cell>
          <cell r="J24">
            <v>35</v>
          </cell>
          <cell r="K24">
            <v>671</v>
          </cell>
          <cell r="L24">
            <v>3</v>
          </cell>
          <cell r="M24">
            <v>9</v>
          </cell>
          <cell r="O24">
            <v>35</v>
          </cell>
          <cell r="P24">
            <v>671</v>
          </cell>
          <cell r="Q24">
            <v>3</v>
          </cell>
          <cell r="R24">
            <v>9</v>
          </cell>
          <cell r="T24">
            <v>0</v>
          </cell>
          <cell r="U24">
            <v>0</v>
          </cell>
          <cell r="V24">
            <v>0</v>
          </cell>
          <cell r="W24">
            <v>0</v>
          </cell>
        </row>
        <row r="25">
          <cell r="H25" t="str">
            <v>BNG</v>
          </cell>
          <cell r="J25">
            <v>0</v>
          </cell>
          <cell r="K25">
            <v>0</v>
          </cell>
          <cell r="L25">
            <v>0</v>
          </cell>
          <cell r="M25">
            <v>0</v>
          </cell>
          <cell r="O25">
            <v>0</v>
          </cell>
          <cell r="P25">
            <v>0</v>
          </cell>
          <cell r="Q25">
            <v>0</v>
          </cell>
          <cell r="R25">
            <v>0</v>
          </cell>
          <cell r="T25">
            <v>0</v>
          </cell>
          <cell r="U25">
            <v>0</v>
          </cell>
          <cell r="V25">
            <v>0</v>
          </cell>
          <cell r="W25">
            <v>0</v>
          </cell>
        </row>
        <row r="26">
          <cell r="H26" t="str">
            <v>CHN</v>
          </cell>
          <cell r="J26">
            <v>0</v>
          </cell>
          <cell r="K26">
            <v>0</v>
          </cell>
          <cell r="L26">
            <v>0</v>
          </cell>
          <cell r="M26">
            <v>0</v>
          </cell>
          <cell r="O26">
            <v>0</v>
          </cell>
          <cell r="P26">
            <v>0</v>
          </cell>
          <cell r="Q26">
            <v>0</v>
          </cell>
          <cell r="R26">
            <v>0</v>
          </cell>
          <cell r="T26">
            <v>0</v>
          </cell>
          <cell r="U26">
            <v>0</v>
          </cell>
          <cell r="V26">
            <v>0</v>
          </cell>
          <cell r="W26">
            <v>0</v>
          </cell>
        </row>
        <row r="27">
          <cell r="F27" t="str">
            <v>LOC</v>
          </cell>
          <cell r="J27">
            <v>25</v>
          </cell>
          <cell r="K27">
            <v>684</v>
          </cell>
          <cell r="L27">
            <v>0</v>
          </cell>
          <cell r="M27">
            <v>0</v>
          </cell>
          <cell r="O27">
            <v>25</v>
          </cell>
          <cell r="P27">
            <v>684</v>
          </cell>
          <cell r="Q27">
            <v>0</v>
          </cell>
          <cell r="R27">
            <v>0</v>
          </cell>
          <cell r="T27">
            <v>0</v>
          </cell>
          <cell r="U27">
            <v>0</v>
          </cell>
          <cell r="V27">
            <v>0</v>
          </cell>
          <cell r="W27">
            <v>0</v>
          </cell>
        </row>
        <row r="30">
          <cell r="D30" t="str">
            <v>INDIRECT</v>
          </cell>
          <cell r="J30">
            <v>103</v>
          </cell>
          <cell r="K30">
            <v>3298</v>
          </cell>
          <cell r="L30">
            <v>15</v>
          </cell>
          <cell r="M30">
            <v>446</v>
          </cell>
          <cell r="O30">
            <v>103</v>
          </cell>
          <cell r="P30">
            <v>3298</v>
          </cell>
          <cell r="Q30">
            <v>15</v>
          </cell>
          <cell r="R30">
            <v>446</v>
          </cell>
          <cell r="T30">
            <v>0</v>
          </cell>
          <cell r="U30">
            <v>0</v>
          </cell>
          <cell r="V30">
            <v>0</v>
          </cell>
          <cell r="W30">
            <v>0</v>
          </cell>
        </row>
        <row r="31">
          <cell r="F31" t="str">
            <v>KOR</v>
          </cell>
          <cell r="J31">
            <v>7</v>
          </cell>
          <cell r="K31">
            <v>262</v>
          </cell>
          <cell r="L31">
            <v>15</v>
          </cell>
          <cell r="M31">
            <v>446</v>
          </cell>
          <cell r="O31">
            <v>7</v>
          </cell>
          <cell r="P31">
            <v>262</v>
          </cell>
          <cell r="Q31">
            <v>15</v>
          </cell>
          <cell r="R31">
            <v>446</v>
          </cell>
          <cell r="T31">
            <v>0</v>
          </cell>
          <cell r="U31">
            <v>0</v>
          </cell>
          <cell r="V31">
            <v>0</v>
          </cell>
          <cell r="W31">
            <v>0</v>
          </cell>
        </row>
        <row r="32">
          <cell r="F32" t="str">
            <v>EUR</v>
          </cell>
          <cell r="J32">
            <v>0</v>
          </cell>
          <cell r="K32">
            <v>0</v>
          </cell>
          <cell r="L32">
            <v>0</v>
          </cell>
          <cell r="M32">
            <v>0</v>
          </cell>
          <cell r="O32">
            <v>0</v>
          </cell>
          <cell r="P32">
            <v>0</v>
          </cell>
          <cell r="Q32">
            <v>0</v>
          </cell>
          <cell r="R32">
            <v>0</v>
          </cell>
          <cell r="T32">
            <v>0</v>
          </cell>
          <cell r="U32">
            <v>0</v>
          </cell>
          <cell r="V32">
            <v>0</v>
          </cell>
          <cell r="W32">
            <v>0</v>
          </cell>
        </row>
        <row r="33">
          <cell r="F33" t="str">
            <v>TCN</v>
          </cell>
          <cell r="J33">
            <v>81</v>
          </cell>
          <cell r="K33">
            <v>2543</v>
          </cell>
          <cell r="L33">
            <v>0</v>
          </cell>
          <cell r="M33">
            <v>0</v>
          </cell>
          <cell r="O33">
            <v>81</v>
          </cell>
          <cell r="P33">
            <v>2543</v>
          </cell>
          <cell r="Q33">
            <v>0</v>
          </cell>
          <cell r="R33">
            <v>0</v>
          </cell>
          <cell r="T33">
            <v>0</v>
          </cell>
          <cell r="U33">
            <v>0</v>
          </cell>
          <cell r="V33">
            <v>0</v>
          </cell>
          <cell r="W33">
            <v>0</v>
          </cell>
        </row>
        <row r="34">
          <cell r="H34" t="str">
            <v>PHL</v>
          </cell>
          <cell r="J34">
            <v>14</v>
          </cell>
          <cell r="K34">
            <v>310</v>
          </cell>
          <cell r="L34">
            <v>0</v>
          </cell>
          <cell r="M34">
            <v>0</v>
          </cell>
          <cell r="O34">
            <v>14</v>
          </cell>
          <cell r="P34">
            <v>310</v>
          </cell>
          <cell r="Q34">
            <v>0</v>
          </cell>
          <cell r="R34">
            <v>0</v>
          </cell>
          <cell r="T34">
            <v>0</v>
          </cell>
          <cell r="U34">
            <v>0</v>
          </cell>
          <cell r="V34">
            <v>0</v>
          </cell>
          <cell r="W34">
            <v>0</v>
          </cell>
        </row>
        <row r="35">
          <cell r="H35" t="str">
            <v>THL</v>
          </cell>
          <cell r="J35">
            <v>0</v>
          </cell>
          <cell r="K35">
            <v>0</v>
          </cell>
          <cell r="L35">
            <v>0</v>
          </cell>
          <cell r="M35">
            <v>0</v>
          </cell>
          <cell r="O35">
            <v>0</v>
          </cell>
          <cell r="P35">
            <v>0</v>
          </cell>
          <cell r="Q35">
            <v>0</v>
          </cell>
          <cell r="R35">
            <v>0</v>
          </cell>
          <cell r="T35">
            <v>0</v>
          </cell>
          <cell r="U35">
            <v>0</v>
          </cell>
          <cell r="V35">
            <v>0</v>
          </cell>
          <cell r="W35">
            <v>0</v>
          </cell>
        </row>
        <row r="36">
          <cell r="H36" t="str">
            <v>IND</v>
          </cell>
          <cell r="J36">
            <v>35</v>
          </cell>
          <cell r="K36">
            <v>1197</v>
          </cell>
          <cell r="L36">
            <v>0</v>
          </cell>
          <cell r="M36">
            <v>0</v>
          </cell>
          <cell r="O36">
            <v>35</v>
          </cell>
          <cell r="P36">
            <v>1197</v>
          </cell>
          <cell r="Q36">
            <v>0</v>
          </cell>
          <cell r="R36">
            <v>0</v>
          </cell>
          <cell r="T36">
            <v>0</v>
          </cell>
          <cell r="U36">
            <v>0</v>
          </cell>
          <cell r="V36">
            <v>0</v>
          </cell>
          <cell r="W36">
            <v>0</v>
          </cell>
        </row>
        <row r="37">
          <cell r="H37" t="str">
            <v>BNG</v>
          </cell>
          <cell r="J37">
            <v>32</v>
          </cell>
          <cell r="K37">
            <v>1036</v>
          </cell>
          <cell r="L37">
            <v>0</v>
          </cell>
          <cell r="M37">
            <v>0</v>
          </cell>
          <cell r="O37">
            <v>32</v>
          </cell>
          <cell r="P37">
            <v>1036</v>
          </cell>
          <cell r="Q37">
            <v>0</v>
          </cell>
          <cell r="R37">
            <v>0</v>
          </cell>
          <cell r="T37">
            <v>0</v>
          </cell>
          <cell r="U37">
            <v>0</v>
          </cell>
          <cell r="V37">
            <v>0</v>
          </cell>
          <cell r="W37">
            <v>0</v>
          </cell>
        </row>
        <row r="38">
          <cell r="H38" t="str">
            <v>CHN</v>
          </cell>
          <cell r="J38">
            <v>0</v>
          </cell>
          <cell r="K38">
            <v>0</v>
          </cell>
          <cell r="L38">
            <v>0</v>
          </cell>
          <cell r="M38">
            <v>0</v>
          </cell>
          <cell r="O38">
            <v>0</v>
          </cell>
          <cell r="P38">
            <v>0</v>
          </cell>
          <cell r="Q38">
            <v>0</v>
          </cell>
          <cell r="R38">
            <v>0</v>
          </cell>
          <cell r="T38">
            <v>0</v>
          </cell>
          <cell r="U38">
            <v>0</v>
          </cell>
          <cell r="V38">
            <v>0</v>
          </cell>
          <cell r="W38">
            <v>0</v>
          </cell>
        </row>
        <row r="39">
          <cell r="F39" t="str">
            <v>LOC</v>
          </cell>
          <cell r="J39">
            <v>15</v>
          </cell>
          <cell r="K39">
            <v>493</v>
          </cell>
          <cell r="L39">
            <v>0</v>
          </cell>
          <cell r="M39">
            <v>0</v>
          </cell>
          <cell r="O39">
            <v>15</v>
          </cell>
          <cell r="P39">
            <v>493</v>
          </cell>
          <cell r="Q39">
            <v>0</v>
          </cell>
          <cell r="R39">
            <v>0</v>
          </cell>
          <cell r="T39">
            <v>0</v>
          </cell>
          <cell r="U39">
            <v>0</v>
          </cell>
          <cell r="V39">
            <v>0</v>
          </cell>
          <cell r="W39">
            <v>0</v>
          </cell>
        </row>
        <row r="42">
          <cell r="D42" t="str">
            <v>LABOR</v>
          </cell>
          <cell r="J42">
            <v>2892</v>
          </cell>
          <cell r="K42">
            <v>51874</v>
          </cell>
          <cell r="L42">
            <v>0</v>
          </cell>
          <cell r="M42">
            <v>0</v>
          </cell>
          <cell r="O42">
            <v>2892</v>
          </cell>
          <cell r="P42">
            <v>51874</v>
          </cell>
          <cell r="Q42">
            <v>0</v>
          </cell>
          <cell r="R42">
            <v>0</v>
          </cell>
          <cell r="T42">
            <v>0</v>
          </cell>
          <cell r="U42">
            <v>0</v>
          </cell>
          <cell r="V42">
            <v>0</v>
          </cell>
          <cell r="W42">
            <v>0</v>
          </cell>
        </row>
        <row r="43">
          <cell r="F43" t="str">
            <v>KOR</v>
          </cell>
          <cell r="J43">
            <v>41</v>
          </cell>
          <cell r="K43">
            <v>743</v>
          </cell>
          <cell r="L43">
            <v>0</v>
          </cell>
          <cell r="M43">
            <v>0</v>
          </cell>
          <cell r="O43">
            <v>41</v>
          </cell>
          <cell r="P43">
            <v>743</v>
          </cell>
          <cell r="Q43">
            <v>0</v>
          </cell>
          <cell r="R43">
            <v>0</v>
          </cell>
          <cell r="T43">
            <v>0</v>
          </cell>
          <cell r="U43">
            <v>0</v>
          </cell>
          <cell r="V43">
            <v>0</v>
          </cell>
          <cell r="W43">
            <v>0</v>
          </cell>
        </row>
        <row r="44">
          <cell r="F44" t="str">
            <v>TCN</v>
          </cell>
          <cell r="J44">
            <v>2075</v>
          </cell>
          <cell r="K44">
            <v>33106</v>
          </cell>
          <cell r="L44">
            <v>0</v>
          </cell>
          <cell r="M44">
            <v>0</v>
          </cell>
          <cell r="O44">
            <v>2075</v>
          </cell>
          <cell r="P44">
            <v>33106</v>
          </cell>
          <cell r="Q44">
            <v>0</v>
          </cell>
          <cell r="R44">
            <v>0</v>
          </cell>
          <cell r="T44">
            <v>0</v>
          </cell>
          <cell r="U44">
            <v>0</v>
          </cell>
          <cell r="V44">
            <v>0</v>
          </cell>
          <cell r="W44">
            <v>0</v>
          </cell>
        </row>
        <row r="45">
          <cell r="H45" t="str">
            <v>PHL</v>
          </cell>
          <cell r="J45">
            <v>0</v>
          </cell>
          <cell r="K45">
            <v>0</v>
          </cell>
          <cell r="L45">
            <v>0</v>
          </cell>
          <cell r="M45">
            <v>0</v>
          </cell>
        </row>
        <row r="46">
          <cell r="H46" t="str">
            <v>THL</v>
          </cell>
          <cell r="J46">
            <v>0</v>
          </cell>
          <cell r="K46">
            <v>0</v>
          </cell>
          <cell r="L46">
            <v>0</v>
          </cell>
          <cell r="M46">
            <v>0</v>
          </cell>
        </row>
        <row r="47">
          <cell r="H47" t="str">
            <v>IND</v>
          </cell>
          <cell r="J47">
            <v>0</v>
          </cell>
          <cell r="K47">
            <v>0</v>
          </cell>
          <cell r="L47">
            <v>0</v>
          </cell>
          <cell r="M47">
            <v>0</v>
          </cell>
        </row>
        <row r="48">
          <cell r="H48" t="str">
            <v>BNG</v>
          </cell>
          <cell r="J48">
            <v>0</v>
          </cell>
          <cell r="K48">
            <v>0</v>
          </cell>
          <cell r="L48">
            <v>0</v>
          </cell>
          <cell r="M48">
            <v>0</v>
          </cell>
        </row>
        <row r="49">
          <cell r="H49" t="str">
            <v>CHN</v>
          </cell>
          <cell r="J49">
            <v>0</v>
          </cell>
          <cell r="K49">
            <v>0</v>
          </cell>
          <cell r="L49">
            <v>0</v>
          </cell>
          <cell r="M49">
            <v>0</v>
          </cell>
        </row>
        <row r="50">
          <cell r="F50" t="str">
            <v>LOC</v>
          </cell>
          <cell r="J50">
            <v>962</v>
          </cell>
          <cell r="K50">
            <v>18023</v>
          </cell>
          <cell r="L50">
            <v>0</v>
          </cell>
          <cell r="M50">
            <v>0</v>
          </cell>
          <cell r="O50">
            <v>962</v>
          </cell>
          <cell r="P50">
            <v>18023</v>
          </cell>
          <cell r="Q50">
            <v>0</v>
          </cell>
          <cell r="R50">
            <v>0</v>
          </cell>
          <cell r="T50">
            <v>0</v>
          </cell>
          <cell r="U50">
            <v>0</v>
          </cell>
          <cell r="V50">
            <v>0</v>
          </cell>
          <cell r="W50">
            <v>0</v>
          </cell>
        </row>
        <row r="58">
          <cell r="D58" t="str">
            <v>JM</v>
          </cell>
          <cell r="J58">
            <v>0</v>
          </cell>
          <cell r="K58">
            <v>0</v>
          </cell>
          <cell r="L58">
            <v>0</v>
          </cell>
          <cell r="M58">
            <v>0</v>
          </cell>
          <cell r="O58">
            <v>0</v>
          </cell>
          <cell r="P58">
            <v>0</v>
          </cell>
          <cell r="Q58">
            <v>0</v>
          </cell>
          <cell r="R58">
            <v>0</v>
          </cell>
          <cell r="T58">
            <v>0</v>
          </cell>
          <cell r="U58">
            <v>0</v>
          </cell>
          <cell r="V58">
            <v>0</v>
          </cell>
          <cell r="W58">
            <v>0</v>
          </cell>
        </row>
        <row r="59">
          <cell r="D59" t="str">
            <v>SM</v>
          </cell>
          <cell r="J59">
            <v>0</v>
          </cell>
          <cell r="K59">
            <v>0</v>
          </cell>
          <cell r="L59">
            <v>0</v>
          </cell>
          <cell r="M59">
            <v>0</v>
          </cell>
          <cell r="O59">
            <v>0</v>
          </cell>
          <cell r="P59">
            <v>0</v>
          </cell>
          <cell r="Q59">
            <v>0</v>
          </cell>
          <cell r="R59">
            <v>0</v>
          </cell>
          <cell r="T59">
            <v>0</v>
          </cell>
          <cell r="U59">
            <v>0</v>
          </cell>
          <cell r="V59">
            <v>0</v>
          </cell>
          <cell r="W59">
            <v>0</v>
          </cell>
        </row>
        <row r="60">
          <cell r="D60" t="str">
            <v>SB</v>
          </cell>
          <cell r="J60">
            <v>1</v>
          </cell>
          <cell r="K60">
            <v>38</v>
          </cell>
          <cell r="L60">
            <v>1</v>
          </cell>
          <cell r="M60">
            <v>11</v>
          </cell>
          <cell r="O60">
            <v>1</v>
          </cell>
          <cell r="P60">
            <v>38</v>
          </cell>
          <cell r="Q60">
            <v>1</v>
          </cell>
          <cell r="R60">
            <v>11</v>
          </cell>
          <cell r="T60">
            <v>0</v>
          </cell>
          <cell r="U60">
            <v>0</v>
          </cell>
          <cell r="V60">
            <v>0</v>
          </cell>
          <cell r="W60">
            <v>0</v>
          </cell>
        </row>
        <row r="61">
          <cell r="D61" t="str">
            <v>SBD</v>
          </cell>
          <cell r="J61">
            <v>0</v>
          </cell>
          <cell r="K61">
            <v>0</v>
          </cell>
          <cell r="L61">
            <v>0</v>
          </cell>
          <cell r="M61">
            <v>0</v>
          </cell>
          <cell r="O61">
            <v>0</v>
          </cell>
          <cell r="P61">
            <v>0</v>
          </cell>
          <cell r="Q61">
            <v>0</v>
          </cell>
          <cell r="R61">
            <v>0</v>
          </cell>
          <cell r="T61">
            <v>0</v>
          </cell>
          <cell r="U61">
            <v>0</v>
          </cell>
          <cell r="V61">
            <v>0</v>
          </cell>
          <cell r="W61">
            <v>0</v>
          </cell>
        </row>
        <row r="62">
          <cell r="D62" t="str">
            <v>BJ</v>
          </cell>
          <cell r="J62">
            <v>5</v>
          </cell>
          <cell r="K62">
            <v>133</v>
          </cell>
          <cell r="L62">
            <v>4</v>
          </cell>
          <cell r="M62">
            <v>64</v>
          </cell>
          <cell r="O62">
            <v>4</v>
          </cell>
          <cell r="P62">
            <v>107</v>
          </cell>
          <cell r="Q62">
            <v>4</v>
          </cell>
          <cell r="R62">
            <v>64</v>
          </cell>
          <cell r="T62">
            <v>1</v>
          </cell>
          <cell r="U62">
            <v>26</v>
          </cell>
          <cell r="V62">
            <v>0</v>
          </cell>
          <cell r="W62">
            <v>0</v>
          </cell>
        </row>
        <row r="63">
          <cell r="D63" t="str">
            <v>BD</v>
          </cell>
          <cell r="J63">
            <v>11</v>
          </cell>
          <cell r="K63">
            <v>244</v>
          </cell>
          <cell r="L63">
            <v>8</v>
          </cell>
          <cell r="M63">
            <v>146</v>
          </cell>
          <cell r="O63">
            <v>10</v>
          </cell>
          <cell r="P63">
            <v>225</v>
          </cell>
          <cell r="Q63">
            <v>8</v>
          </cell>
          <cell r="R63">
            <v>146</v>
          </cell>
          <cell r="T63">
            <v>1</v>
          </cell>
          <cell r="U63">
            <v>19</v>
          </cell>
          <cell r="V63">
            <v>0</v>
          </cell>
          <cell r="W63">
            <v>0</v>
          </cell>
        </row>
        <row r="64">
          <cell r="D64" t="str">
            <v>CJ</v>
          </cell>
          <cell r="J64">
            <v>34</v>
          </cell>
          <cell r="K64">
            <v>919</v>
          </cell>
          <cell r="L64">
            <v>16</v>
          </cell>
          <cell r="M64">
            <v>334</v>
          </cell>
          <cell r="O64">
            <v>29</v>
          </cell>
          <cell r="P64">
            <v>744</v>
          </cell>
          <cell r="Q64">
            <v>16</v>
          </cell>
          <cell r="R64">
            <v>334</v>
          </cell>
          <cell r="T64">
            <v>7</v>
          </cell>
          <cell r="U64">
            <v>175</v>
          </cell>
          <cell r="V64">
            <v>0</v>
          </cell>
          <cell r="W64">
            <v>0</v>
          </cell>
        </row>
        <row r="65">
          <cell r="D65" t="str">
            <v>GJ</v>
          </cell>
          <cell r="J65">
            <v>31</v>
          </cell>
          <cell r="K65">
            <v>872</v>
          </cell>
          <cell r="L65">
            <v>13</v>
          </cell>
          <cell r="M65">
            <v>255</v>
          </cell>
          <cell r="O65">
            <v>29</v>
          </cell>
          <cell r="P65">
            <v>806</v>
          </cell>
          <cell r="Q65">
            <v>13</v>
          </cell>
          <cell r="R65">
            <v>255</v>
          </cell>
          <cell r="T65">
            <v>2</v>
          </cell>
          <cell r="U65">
            <v>66</v>
          </cell>
          <cell r="V65">
            <v>0</v>
          </cell>
          <cell r="W65">
            <v>0</v>
          </cell>
        </row>
        <row r="66">
          <cell r="D66" t="str">
            <v>DR</v>
          </cell>
          <cell r="J66">
            <v>18</v>
          </cell>
          <cell r="K66">
            <v>451</v>
          </cell>
          <cell r="L66">
            <v>8</v>
          </cell>
          <cell r="M66">
            <v>108</v>
          </cell>
          <cell r="O66">
            <v>16</v>
          </cell>
          <cell r="P66">
            <v>407</v>
          </cell>
          <cell r="Q66">
            <v>8</v>
          </cell>
          <cell r="R66">
            <v>108</v>
          </cell>
          <cell r="T66">
            <v>2</v>
          </cell>
          <cell r="U66">
            <v>44</v>
          </cell>
          <cell r="V66">
            <v>0</v>
          </cell>
          <cell r="W66">
            <v>0</v>
          </cell>
        </row>
        <row r="67">
          <cell r="D67" t="str">
            <v>4SW</v>
          </cell>
          <cell r="J67">
            <v>5</v>
          </cell>
          <cell r="K67">
            <v>103</v>
          </cell>
          <cell r="L67">
            <v>4</v>
          </cell>
          <cell r="M67">
            <v>87</v>
          </cell>
          <cell r="O67">
            <v>5</v>
          </cell>
          <cell r="P67">
            <v>103</v>
          </cell>
          <cell r="Q67">
            <v>4</v>
          </cell>
          <cell r="R67">
            <v>87</v>
          </cell>
          <cell r="T67">
            <v>0</v>
          </cell>
          <cell r="U67">
            <v>0</v>
          </cell>
          <cell r="V67">
            <v>0</v>
          </cell>
          <cell r="W67">
            <v>0</v>
          </cell>
        </row>
      </sheetData>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row r="20">
          <cell r="E20" t="str">
            <v>DESKTOP COMPUTER</v>
          </cell>
          <cell r="L20">
            <v>926.15980466447752</v>
          </cell>
        </row>
        <row r="21">
          <cell r="E21" t="str">
            <v>Desktop Computer</v>
          </cell>
          <cell r="H21" t="str">
            <v>HP: DX7400</v>
          </cell>
          <cell r="J21">
            <v>926.15980466447752</v>
          </cell>
          <cell r="L21">
            <v>926.15980466447752</v>
          </cell>
          <cell r="O21" t="str">
            <v>Hyundai C&amp;I</v>
          </cell>
        </row>
        <row r="22">
          <cell r="E22" t="str">
            <v>LCD Monitor (17")</v>
          </cell>
          <cell r="H22" t="str">
            <v xml:space="preserve"> -</v>
          </cell>
          <cell r="J22">
            <v>0</v>
          </cell>
          <cell r="L22">
            <v>0</v>
          </cell>
          <cell r="O22" t="str">
            <v>Included in Price of Desktop Computer</v>
          </cell>
        </row>
        <row r="23">
          <cell r="E23" t="str">
            <v>LAPTOP COMPUTER</v>
          </cell>
          <cell r="H23" t="str">
            <v>HP: Business Notebook 8510P</v>
          </cell>
          <cell r="J23">
            <v>1220.8470152395385</v>
          </cell>
          <cell r="L23">
            <v>1220.8470152395385</v>
          </cell>
        </row>
        <row r="24">
          <cell r="E24" t="str">
            <v>3D MODELING WORKSTATION</v>
          </cell>
          <cell r="H24" t="str">
            <v>HP: Workstation XW-8600 Base</v>
          </cell>
          <cell r="J24">
            <v>5760.7139850130507</v>
          </cell>
          <cell r="L24">
            <v>5760.7139850130507</v>
          </cell>
          <cell r="O24" t="str">
            <v>LCD Monitor is included.</v>
          </cell>
        </row>
        <row r="25">
          <cell r="E25" t="str">
            <v>SERVER</v>
          </cell>
        </row>
        <row r="26">
          <cell r="E26" t="str">
            <v>FILE / FTP SERVER</v>
          </cell>
          <cell r="H26" t="str">
            <v>HP: ML380</v>
          </cell>
          <cell r="J26">
            <v>9261.5980466447745</v>
          </cell>
          <cell r="L26">
            <v>9261.5980466447745</v>
          </cell>
          <cell r="O26" t="str">
            <v>Hyundai C&amp;I</v>
          </cell>
        </row>
        <row r="27">
          <cell r="E27" t="str">
            <v>UPS</v>
          </cell>
          <cell r="H27" t="str">
            <v>HP: T1000, IEC-320-C14</v>
          </cell>
          <cell r="J27">
            <v>673.57076702871097</v>
          </cell>
          <cell r="L27">
            <v>673.57076702871097</v>
          </cell>
          <cell r="O27" t="str">
            <v>Hyundai C&amp;I</v>
          </cell>
        </row>
        <row r="28">
          <cell r="E28" t="str">
            <v>BACK-UP EQUIPMENT</v>
          </cell>
          <cell r="H28" t="str">
            <v>HP: Ultrium 920</v>
          </cell>
          <cell r="J28">
            <v>7998.6528584659427</v>
          </cell>
          <cell r="L28">
            <v>7998.6528584659427</v>
          </cell>
          <cell r="O28" t="str">
            <v>Hyundai C&amp;I</v>
          </cell>
        </row>
        <row r="29">
          <cell r="E29" t="str">
            <v>PRINTER</v>
          </cell>
        </row>
        <row r="30">
          <cell r="E30" t="str">
            <v>Monochrome Laser Printer</v>
          </cell>
          <cell r="H30" t="str">
            <v>HP: LaserJet 9040n</v>
          </cell>
          <cell r="J30">
            <v>2610.0867222362549</v>
          </cell>
          <cell r="L30">
            <v>2610.0867222362549</v>
          </cell>
          <cell r="O30" t="str">
            <v>Average Price of DANAWA</v>
          </cell>
        </row>
        <row r="31">
          <cell r="E31" t="str">
            <v>Color Laser Printer</v>
          </cell>
          <cell r="H31" t="str">
            <v>HP: Color LaserJet 5550DN</v>
          </cell>
          <cell r="J31">
            <v>3536.2465269007325</v>
          </cell>
          <cell r="L31">
            <v>3536.2465269007325</v>
          </cell>
          <cell r="O31" t="str">
            <v>Hyundai C&amp;I</v>
          </cell>
        </row>
        <row r="32">
          <cell r="E32" t="str">
            <v>Desktop Monochrome Laser Printer</v>
          </cell>
          <cell r="H32" t="str">
            <v>HP: LaserJet P2014</v>
          </cell>
          <cell r="J32">
            <v>198.70337627346973</v>
          </cell>
          <cell r="L32">
            <v>198.70337627346973</v>
          </cell>
          <cell r="O32" t="str">
            <v>Average Price of DANAWA</v>
          </cell>
        </row>
        <row r="33">
          <cell r="E33" t="str">
            <v>PHOTOCOPY MACHINE</v>
          </cell>
          <cell r="H33" t="str">
            <v>FUJI XEROX: DCII2055CP-W</v>
          </cell>
          <cell r="J33">
            <v>4630.7990233223873</v>
          </cell>
          <cell r="L33">
            <v>4630.7990233223873</v>
          </cell>
        </row>
        <row r="34">
          <cell r="E34" t="str">
            <v>PLOTTER</v>
          </cell>
          <cell r="H34" t="str">
            <v>FUJI XEROX: DW6050 MF</v>
          </cell>
          <cell r="J34">
            <v>41677.191209901488</v>
          </cell>
          <cell r="L34">
            <v>41677.191209901488</v>
          </cell>
        </row>
        <row r="35">
          <cell r="E35" t="str">
            <v>FAX MACHINE</v>
          </cell>
          <cell r="H35" t="str">
            <v>CANON: FAX-L120</v>
          </cell>
          <cell r="J35">
            <v>404.14246021722658</v>
          </cell>
          <cell r="L35">
            <v>404.14246021722658</v>
          </cell>
          <cell r="O35" t="str">
            <v>Hyundai C&amp;I</v>
          </cell>
        </row>
        <row r="36">
          <cell r="E36" t="str">
            <v>SCANNER</v>
          </cell>
        </row>
        <row r="37">
          <cell r="E37" t="str">
            <v>Color Scanner</v>
          </cell>
          <cell r="H37" t="str">
            <v>CANON: DR-5010C</v>
          </cell>
          <cell r="J37">
            <v>4630.7990233223873</v>
          </cell>
          <cell r="L37">
            <v>4630.7990233223873</v>
          </cell>
          <cell r="O37" t="str">
            <v>sdcd.co.kr</v>
          </cell>
        </row>
        <row r="38">
          <cell r="E38" t="str">
            <v>Monochrome Scanner</v>
          </cell>
          <cell r="H38" t="str">
            <v>CANON: DR-1210C</v>
          </cell>
          <cell r="J38">
            <v>606.21369032583982</v>
          </cell>
          <cell r="L38">
            <v>606.21369032583982</v>
          </cell>
          <cell r="O38" t="str">
            <v>Average Price of DANAWA</v>
          </cell>
        </row>
        <row r="39">
          <cell r="E39" t="str">
            <v>PROJECTOR</v>
          </cell>
          <cell r="H39" t="str">
            <v>EPSON: EMP-1815</v>
          </cell>
          <cell r="J39">
            <v>2197.5246274311694</v>
          </cell>
          <cell r="L39">
            <v>2197.5246274311694</v>
          </cell>
          <cell r="O39" t="str">
            <v>Including Screen &amp; Installation Cost</v>
          </cell>
        </row>
        <row r="40">
          <cell r="E40" t="str">
            <v>CALCULATOR</v>
          </cell>
          <cell r="J40">
            <v>4.2098172939294436</v>
          </cell>
          <cell r="L40">
            <v>4.2098172939294436</v>
          </cell>
        </row>
        <row r="41">
          <cell r="E41" t="str">
            <v>TELEPHONE</v>
          </cell>
        </row>
        <row r="42">
          <cell r="E42" t="str">
            <v>Digital Phone</v>
          </cell>
          <cell r="H42" t="str">
            <v>PANASONIC: 7665</v>
          </cell>
          <cell r="J42">
            <v>294.68721057506104</v>
          </cell>
          <cell r="L42">
            <v>294.68721057506104</v>
          </cell>
          <cell r="O42" t="str">
            <v>Hyundai C&amp;I</v>
          </cell>
        </row>
        <row r="43">
          <cell r="E43" t="str">
            <v>Analog Phone</v>
          </cell>
          <cell r="H43" t="str">
            <v>PANASONIC: T500</v>
          </cell>
          <cell r="J43">
            <v>42.098172939294436</v>
          </cell>
          <cell r="L43">
            <v>42.098172939294436</v>
          </cell>
          <cell r="O43" t="str">
            <v>Hyundai C&amp;I</v>
          </cell>
        </row>
        <row r="44">
          <cell r="E44" t="str">
            <v>SOFTWARE</v>
          </cell>
        </row>
        <row r="45">
          <cell r="E45" t="str">
            <v>SmartPlant Instrumentation</v>
          </cell>
          <cell r="J45">
            <v>0</v>
          </cell>
          <cell r="L45">
            <v>0</v>
          </cell>
        </row>
        <row r="46">
          <cell r="E46" t="str">
            <v>ETAP</v>
          </cell>
          <cell r="J46">
            <v>0</v>
          </cell>
          <cell r="L46">
            <v>0</v>
          </cell>
        </row>
        <row r="47">
          <cell r="E47" t="str">
            <v>SmartPlant Review</v>
          </cell>
          <cell r="J47">
            <v>0</v>
          </cell>
          <cell r="L47">
            <v>0</v>
          </cell>
        </row>
        <row r="48">
          <cell r="E48" t="str">
            <v>SmartPlant Electrical</v>
          </cell>
          <cell r="J48">
            <v>0</v>
          </cell>
          <cell r="L48">
            <v>0</v>
          </cell>
        </row>
        <row r="49">
          <cell r="E49" t="str">
            <v>SmartPlant PID</v>
          </cell>
          <cell r="J49">
            <v>0</v>
          </cell>
          <cell r="L49">
            <v>0</v>
          </cell>
        </row>
        <row r="50">
          <cell r="E50" t="str">
            <v>PDS 3D</v>
          </cell>
          <cell r="J50">
            <v>0</v>
          </cell>
          <cell r="L50">
            <v>0</v>
          </cell>
        </row>
        <row r="51">
          <cell r="E51" t="str">
            <v>Microstation</v>
          </cell>
          <cell r="J51">
            <v>0</v>
          </cell>
          <cell r="L51">
            <v>0</v>
          </cell>
        </row>
        <row r="52">
          <cell r="E52" t="str">
            <v>AutoCAD</v>
          </cell>
          <cell r="J52">
            <v>0</v>
          </cell>
          <cell r="L52">
            <v>0</v>
          </cell>
        </row>
        <row r="53">
          <cell r="E53" t="str">
            <v>Primavera P3 Project Planner</v>
          </cell>
          <cell r="J53">
            <v>0</v>
          </cell>
          <cell r="L53">
            <v>0</v>
          </cell>
        </row>
        <row r="54">
          <cell r="E54" t="str">
            <v>ICAPS</v>
          </cell>
          <cell r="J54">
            <v>0</v>
          </cell>
          <cell r="L54">
            <v>0</v>
          </cell>
          <cell r="O54" t="str">
            <v>Included in Pre-Comm. Direct Cost</v>
          </cell>
        </row>
        <row r="55">
          <cell r="E55" t="str">
            <v>Microsoft Windows Vista</v>
          </cell>
          <cell r="J55">
            <v>0</v>
          </cell>
          <cell r="L55">
            <v>0</v>
          </cell>
          <cell r="O55" t="str">
            <v>Included in H.W. Price</v>
          </cell>
        </row>
        <row r="56">
          <cell r="E56" t="str">
            <v>Microsoft Office</v>
          </cell>
          <cell r="J56">
            <v>0</v>
          </cell>
          <cell r="L56">
            <v>0</v>
          </cell>
          <cell r="O56" t="str">
            <v>Use the HDEC's License</v>
          </cell>
        </row>
        <row r="57">
          <cell r="E57" t="str">
            <v>Adobe Acrobat Professional 8.0</v>
          </cell>
          <cell r="J57">
            <v>544.58196514271276</v>
          </cell>
          <cell r="L57">
            <v>544.58196514271276</v>
          </cell>
        </row>
        <row r="61">
          <cell r="E61" t="str">
            <v>DESKTOP COMPUTER</v>
          </cell>
          <cell r="L61">
            <v>833.54382419802982</v>
          </cell>
        </row>
        <row r="62">
          <cell r="E62" t="str">
            <v>Desktop Computer</v>
          </cell>
          <cell r="H62" t="str">
            <v>HP: DX7400</v>
          </cell>
          <cell r="J62">
            <v>833.54382419802982</v>
          </cell>
          <cell r="L62">
            <v>833.54382419802982</v>
          </cell>
          <cell r="O62" t="str">
            <v>Hyundai C&amp;I</v>
          </cell>
        </row>
        <row r="63">
          <cell r="E63" t="str">
            <v>LCD Monitor (17")</v>
          </cell>
          <cell r="H63" t="str">
            <v xml:space="preserve"> -</v>
          </cell>
          <cell r="J63">
            <v>0</v>
          </cell>
          <cell r="L63">
            <v>0</v>
          </cell>
          <cell r="O63" t="str">
            <v>Included in Price of Desktop Computer</v>
          </cell>
        </row>
        <row r="64">
          <cell r="E64" t="str">
            <v>LAPTOP COMPUTER</v>
          </cell>
          <cell r="H64" t="str">
            <v>HP: Business Notebook 8510P</v>
          </cell>
          <cell r="J64">
            <v>1220.8470152395385</v>
          </cell>
          <cell r="L64">
            <v>1220.8470152395385</v>
          </cell>
          <cell r="O64" t="str">
            <v>Hyundai C&amp;I, Apply the Unit Price of SEOUL OFFICE</v>
          </cell>
        </row>
        <row r="65">
          <cell r="E65" t="str">
            <v>3D MODELING WORKSTATION</v>
          </cell>
          <cell r="H65" t="str">
            <v>HP: Workstation XW-8600 Base</v>
          </cell>
          <cell r="J65">
            <v>5184.6425865117453</v>
          </cell>
          <cell r="L65">
            <v>5184.6425865117453</v>
          </cell>
          <cell r="O65" t="str">
            <v>LCD Monitor is included.</v>
          </cell>
        </row>
        <row r="66">
          <cell r="E66" t="str">
            <v>SERVER</v>
          </cell>
        </row>
        <row r="67">
          <cell r="E67" t="str">
            <v>DB SERVER</v>
          </cell>
          <cell r="H67" t="str">
            <v>HP: ML380</v>
          </cell>
          <cell r="J67">
            <v>9093.2053548875974</v>
          </cell>
          <cell r="L67">
            <v>9093.2053548875974</v>
          </cell>
          <cell r="O67" t="str">
            <v>Hyundai C&amp;I</v>
          </cell>
        </row>
        <row r="68">
          <cell r="E68" t="str">
            <v>FILE / FTP SERVER</v>
          </cell>
          <cell r="H68" t="str">
            <v>HP: ML380</v>
          </cell>
          <cell r="J68">
            <v>8335.4382419802969</v>
          </cell>
          <cell r="L68">
            <v>8335.4382419802969</v>
          </cell>
          <cell r="O68" t="str">
            <v>Hyundai C&amp;I</v>
          </cell>
        </row>
        <row r="69">
          <cell r="E69" t="str">
            <v>UPS</v>
          </cell>
          <cell r="H69" t="str">
            <v>HP: T1000, IEC-320-C14</v>
          </cell>
          <cell r="J69">
            <v>1212.4273806516796</v>
          </cell>
          <cell r="L69">
            <v>1212.4273806516796</v>
          </cell>
          <cell r="O69" t="str">
            <v>Hyundai C&amp;I</v>
          </cell>
        </row>
        <row r="70">
          <cell r="E70" t="str">
            <v>BACK-UP EQUIPMENT</v>
          </cell>
          <cell r="H70" t="str">
            <v>HP: Ultrium 920</v>
          </cell>
          <cell r="J70">
            <v>7198.7875726193479</v>
          </cell>
          <cell r="L70">
            <v>7198.7875726193479</v>
          </cell>
          <cell r="O70" t="str">
            <v>Hyundai C&amp;I</v>
          </cell>
        </row>
        <row r="71">
          <cell r="E71" t="str">
            <v>PRINTER</v>
          </cell>
        </row>
        <row r="72">
          <cell r="E72" t="str">
            <v>Monochrome Laser Printer</v>
          </cell>
          <cell r="H72" t="str">
            <v>HP: LaserJet 9040n</v>
          </cell>
          <cell r="J72">
            <v>2349.0780500126293</v>
          </cell>
          <cell r="L72">
            <v>2349.0780500126293</v>
          </cell>
          <cell r="O72" t="str">
            <v>Average Price of DANAWA</v>
          </cell>
        </row>
        <row r="73">
          <cell r="E73" t="str">
            <v>Color Laser Printer</v>
          </cell>
          <cell r="H73" t="str">
            <v>HP: Color LaserJet 5550DN</v>
          </cell>
          <cell r="J73">
            <v>3182.6218742106589</v>
          </cell>
          <cell r="L73">
            <v>3182.6218742106589</v>
          </cell>
          <cell r="O73" t="str">
            <v>Hyundai C&amp;I</v>
          </cell>
        </row>
        <row r="74">
          <cell r="E74" t="str">
            <v>Desktop Monochrome Laser Printer</v>
          </cell>
          <cell r="H74" t="str">
            <v>HP: LaserJet P2014</v>
          </cell>
          <cell r="J74">
            <v>178.83303864612276</v>
          </cell>
          <cell r="L74">
            <v>178.83303864612276</v>
          </cell>
          <cell r="O74" t="str">
            <v>Average Price of DANAWA</v>
          </cell>
        </row>
        <row r="75">
          <cell r="E75" t="str">
            <v>PHOTOCOPY MACHINE</v>
          </cell>
          <cell r="H75" t="str">
            <v>FUJI XEROX: DCII2055CP-W</v>
          </cell>
          <cell r="J75">
            <v>4167.7191209901484</v>
          </cell>
          <cell r="L75">
            <v>4167.7191209901484</v>
          </cell>
        </row>
        <row r="76">
          <cell r="E76" t="str">
            <v>PLOTTER</v>
          </cell>
          <cell r="H76" t="str">
            <v>FUJI XEROX: DW6050 MF</v>
          </cell>
          <cell r="J76">
            <v>37509.472088911338</v>
          </cell>
          <cell r="L76">
            <v>37509.472088911338</v>
          </cell>
        </row>
        <row r="77">
          <cell r="E77" t="str">
            <v>FAX MACHINE</v>
          </cell>
          <cell r="H77" t="str">
            <v>CANON: FAX-L120</v>
          </cell>
          <cell r="J77">
            <v>363.72821419550388</v>
          </cell>
          <cell r="L77">
            <v>363.72821419550388</v>
          </cell>
          <cell r="O77" t="str">
            <v>Average Price of DANAWA</v>
          </cell>
        </row>
        <row r="78">
          <cell r="E78" t="str">
            <v>SCANNER</v>
          </cell>
        </row>
        <row r="79">
          <cell r="E79" t="str">
            <v>Color Scanner</v>
          </cell>
          <cell r="H79" t="str">
            <v>CANON: DR-5010C</v>
          </cell>
          <cell r="J79">
            <v>4167.7191209901484</v>
          </cell>
          <cell r="L79">
            <v>4167.7191209901484</v>
          </cell>
          <cell r="O79" t="str">
            <v>sdcd.co.kr</v>
          </cell>
        </row>
        <row r="80">
          <cell r="E80" t="str">
            <v>Monochrome Scanner</v>
          </cell>
          <cell r="H80" t="str">
            <v>CANON: DR-1210C</v>
          </cell>
          <cell r="J80">
            <v>545.59232129325585</v>
          </cell>
          <cell r="L80">
            <v>545.59232129325585</v>
          </cell>
          <cell r="O80" t="str">
            <v>Average Price of DANAWA</v>
          </cell>
        </row>
        <row r="81">
          <cell r="E81" t="str">
            <v>PROJECTOR</v>
          </cell>
          <cell r="H81" t="str">
            <v>EPSON: EMP-1815</v>
          </cell>
          <cell r="J81">
            <v>1977.7721646880525</v>
          </cell>
          <cell r="L81">
            <v>1977.7721646880525</v>
          </cell>
          <cell r="O81" t="str">
            <v>Including Screen &amp; Installation Cost</v>
          </cell>
        </row>
        <row r="82">
          <cell r="E82" t="str">
            <v>CAMERA</v>
          </cell>
        </row>
        <row r="83">
          <cell r="E83" t="str">
            <v>Camera for Schedule Control</v>
          </cell>
          <cell r="H83" t="str">
            <v>NIKON: D300</v>
          </cell>
          <cell r="J83">
            <v>1333.6701187168476</v>
          </cell>
          <cell r="L83">
            <v>1333.6701187168476</v>
          </cell>
          <cell r="O83" t="str">
            <v>Average Price of DANAWA</v>
          </cell>
        </row>
        <row r="84">
          <cell r="E84" t="str">
            <v>General Digital Camera</v>
          </cell>
          <cell r="H84" t="str">
            <v>CANON: EOS 1000D</v>
          </cell>
          <cell r="J84">
            <v>469.81561000252589</v>
          </cell>
          <cell r="L84">
            <v>469.81561000252589</v>
          </cell>
          <cell r="O84" t="str">
            <v>Average Price of DANAWA</v>
          </cell>
        </row>
        <row r="85">
          <cell r="E85" t="str">
            <v>Video Camera</v>
          </cell>
          <cell r="H85" t="str">
            <v>SONY: HandyCam HDR-CX12</v>
          </cell>
          <cell r="J85">
            <v>689.56807274564278</v>
          </cell>
          <cell r="L85">
            <v>689.56807274564278</v>
          </cell>
          <cell r="O85" t="str">
            <v>Average Price of DANAWA</v>
          </cell>
        </row>
        <row r="86">
          <cell r="E86" t="str">
            <v>CALCULATOR</v>
          </cell>
          <cell r="J86">
            <v>3.7888355645364991</v>
          </cell>
          <cell r="L86">
            <v>3.7888355645364991</v>
          </cell>
        </row>
        <row r="87">
          <cell r="E87" t="str">
            <v>TELEPHONE</v>
          </cell>
        </row>
        <row r="88">
          <cell r="E88" t="str">
            <v>Digital Phone</v>
          </cell>
          <cell r="H88" t="str">
            <v>PANASONIC: 7665</v>
          </cell>
          <cell r="J88">
            <v>265.21848951755493</v>
          </cell>
          <cell r="L88">
            <v>265.21848951755493</v>
          </cell>
          <cell r="O88" t="str">
            <v>Hyundai C&amp;I</v>
          </cell>
        </row>
        <row r="89">
          <cell r="E89" t="str">
            <v>Analog Phone</v>
          </cell>
          <cell r="H89" t="str">
            <v>PANASONIC: T500</v>
          </cell>
          <cell r="J89">
            <v>37.888355645364989</v>
          </cell>
          <cell r="L89">
            <v>37.888355645364989</v>
          </cell>
          <cell r="O89" t="str">
            <v>Hyundai C&amp;I</v>
          </cell>
        </row>
        <row r="90">
          <cell r="E90" t="str">
            <v>WALKIE TALKIE</v>
          </cell>
          <cell r="H90" t="str">
            <v>MOTOROLA: GP-328PLUS</v>
          </cell>
          <cell r="J90">
            <v>515.28163677696386</v>
          </cell>
          <cell r="L90">
            <v>515.28163677696386</v>
          </cell>
        </row>
        <row r="91">
          <cell r="E91" t="str">
            <v>SOFTWARE</v>
          </cell>
        </row>
        <row r="92">
          <cell r="E92" t="str">
            <v>SmartPlant Instrumentation</v>
          </cell>
          <cell r="J92">
            <v>0</v>
          </cell>
          <cell r="L92">
            <v>0</v>
          </cell>
        </row>
        <row r="93">
          <cell r="E93" t="str">
            <v>ETAP</v>
          </cell>
          <cell r="J93">
            <v>0</v>
          </cell>
          <cell r="L93">
            <v>0</v>
          </cell>
        </row>
        <row r="94">
          <cell r="E94" t="str">
            <v>SmartPlant Review</v>
          </cell>
          <cell r="J94">
            <v>0</v>
          </cell>
          <cell r="L94">
            <v>0</v>
          </cell>
        </row>
        <row r="95">
          <cell r="E95" t="str">
            <v>SmartPlant Electrical</v>
          </cell>
          <cell r="J95">
            <v>0</v>
          </cell>
          <cell r="L95">
            <v>0</v>
          </cell>
        </row>
        <row r="96">
          <cell r="E96" t="str">
            <v>SmartPlant PID</v>
          </cell>
          <cell r="J96">
            <v>0</v>
          </cell>
          <cell r="L96">
            <v>0</v>
          </cell>
        </row>
        <row r="97">
          <cell r="E97" t="str">
            <v>PDS 3D</v>
          </cell>
          <cell r="J97">
            <v>0</v>
          </cell>
          <cell r="L97">
            <v>0</v>
          </cell>
        </row>
        <row r="98">
          <cell r="E98" t="str">
            <v>Microstation</v>
          </cell>
          <cell r="J98">
            <v>0</v>
          </cell>
          <cell r="L98">
            <v>0</v>
          </cell>
        </row>
        <row r="99">
          <cell r="E99" t="str">
            <v>AutoCAD</v>
          </cell>
          <cell r="J99">
            <v>0</v>
          </cell>
          <cell r="L99">
            <v>0</v>
          </cell>
        </row>
        <row r="100">
          <cell r="E100" t="str">
            <v>Primavera P3 Project Planner</v>
          </cell>
          <cell r="J100">
            <v>0</v>
          </cell>
          <cell r="L100">
            <v>0</v>
          </cell>
        </row>
        <row r="101">
          <cell r="E101" t="str">
            <v>ICAPS</v>
          </cell>
          <cell r="J101">
            <v>0</v>
          </cell>
          <cell r="L101">
            <v>0</v>
          </cell>
          <cell r="O101" t="str">
            <v>Included in Pre-Comm. Direct Cost</v>
          </cell>
        </row>
        <row r="102">
          <cell r="E102" t="str">
            <v>Microsoft Windows Vista</v>
          </cell>
          <cell r="J102">
            <v>0</v>
          </cell>
          <cell r="L102">
            <v>0</v>
          </cell>
          <cell r="O102" t="str">
            <v>Included in H.W. Price</v>
          </cell>
        </row>
        <row r="103">
          <cell r="E103" t="str">
            <v>Microsoft Office</v>
          </cell>
          <cell r="J103">
            <v>0</v>
          </cell>
          <cell r="L103">
            <v>0</v>
          </cell>
          <cell r="O103" t="str">
            <v>Use the HDEC's License</v>
          </cell>
        </row>
        <row r="104">
          <cell r="E104" t="str">
            <v>Adobe Acrobat Professional 8.0</v>
          </cell>
          <cell r="J104">
            <v>490.1237686284415</v>
          </cell>
          <cell r="L104">
            <v>490.1237686284415</v>
          </cell>
        </row>
      </sheetData>
      <sheetData sheetId="28" refreshError="1">
        <row r="18">
          <cell r="E18" t="str">
            <v>KOR</v>
          </cell>
          <cell r="F18">
            <v>113</v>
          </cell>
          <cell r="G18">
            <v>2760</v>
          </cell>
          <cell r="I18">
            <v>5</v>
          </cell>
          <cell r="J18">
            <v>13800</v>
          </cell>
          <cell r="L18">
            <v>4</v>
          </cell>
          <cell r="M18">
            <v>11040</v>
          </cell>
          <cell r="O18">
            <v>5</v>
          </cell>
          <cell r="P18">
            <v>13800</v>
          </cell>
          <cell r="R18">
            <v>30</v>
          </cell>
          <cell r="S18">
            <v>82800</v>
          </cell>
          <cell r="U18">
            <v>50</v>
          </cell>
          <cell r="V18">
            <v>138000</v>
          </cell>
          <cell r="X18">
            <v>259440</v>
          </cell>
        </row>
        <row r="19">
          <cell r="E19" t="str">
            <v>EUR</v>
          </cell>
          <cell r="F19">
            <v>1</v>
          </cell>
          <cell r="G19">
            <v>41</v>
          </cell>
          <cell r="I19">
            <v>5</v>
          </cell>
          <cell r="J19">
            <v>205</v>
          </cell>
          <cell r="L19">
            <v>4</v>
          </cell>
          <cell r="M19">
            <v>164</v>
          </cell>
          <cell r="O19">
            <v>5</v>
          </cell>
          <cell r="P19">
            <v>205</v>
          </cell>
          <cell r="R19">
            <v>30</v>
          </cell>
          <cell r="S19">
            <v>1230</v>
          </cell>
          <cell r="U19">
            <v>50</v>
          </cell>
          <cell r="V19">
            <v>2050</v>
          </cell>
          <cell r="X19">
            <v>3854</v>
          </cell>
        </row>
        <row r="20">
          <cell r="E20" t="str">
            <v>TCN</v>
          </cell>
          <cell r="F20">
            <v>128</v>
          </cell>
          <cell r="G20">
            <v>3336</v>
          </cell>
          <cell r="I20">
            <v>5</v>
          </cell>
          <cell r="J20">
            <v>16680</v>
          </cell>
          <cell r="L20">
            <v>4</v>
          </cell>
          <cell r="M20">
            <v>13344</v>
          </cell>
          <cell r="O20">
            <v>5</v>
          </cell>
          <cell r="P20">
            <v>16680</v>
          </cell>
          <cell r="R20">
            <v>15</v>
          </cell>
          <cell r="S20">
            <v>50040</v>
          </cell>
          <cell r="U20">
            <v>25</v>
          </cell>
          <cell r="V20">
            <v>83400</v>
          </cell>
          <cell r="X20">
            <v>180144</v>
          </cell>
        </row>
        <row r="21">
          <cell r="E21" t="str">
            <v>LOC</v>
          </cell>
          <cell r="F21">
            <v>25</v>
          </cell>
          <cell r="G21">
            <v>684</v>
          </cell>
          <cell r="I21">
            <v>5</v>
          </cell>
          <cell r="J21">
            <v>3420</v>
          </cell>
          <cell r="L21">
            <v>4</v>
          </cell>
          <cell r="M21">
            <v>2736</v>
          </cell>
          <cell r="O21">
            <v>5</v>
          </cell>
          <cell r="P21">
            <v>3420</v>
          </cell>
          <cell r="R21">
            <v>30</v>
          </cell>
          <cell r="S21">
            <v>20520</v>
          </cell>
          <cell r="U21">
            <v>25</v>
          </cell>
          <cell r="V21">
            <v>17100</v>
          </cell>
          <cell r="X21">
            <v>47196</v>
          </cell>
        </row>
        <row r="22">
          <cell r="E22" t="str">
            <v>KOR</v>
          </cell>
          <cell r="F22">
            <v>7</v>
          </cell>
          <cell r="G22">
            <v>262</v>
          </cell>
          <cell r="I22">
            <v>5</v>
          </cell>
          <cell r="J22">
            <v>1310</v>
          </cell>
          <cell r="L22">
            <v>4</v>
          </cell>
          <cell r="M22">
            <v>1048</v>
          </cell>
          <cell r="O22">
            <v>5</v>
          </cell>
          <cell r="P22">
            <v>1310</v>
          </cell>
          <cell r="R22">
            <v>30</v>
          </cell>
          <cell r="S22">
            <v>7860</v>
          </cell>
          <cell r="U22">
            <v>50</v>
          </cell>
          <cell r="V22">
            <v>13100</v>
          </cell>
          <cell r="X22">
            <v>24628</v>
          </cell>
        </row>
        <row r="23">
          <cell r="E23" t="str">
            <v>EUR</v>
          </cell>
          <cell r="F23">
            <v>0</v>
          </cell>
          <cell r="G23">
            <v>0</v>
          </cell>
          <cell r="I23">
            <v>5</v>
          </cell>
          <cell r="J23">
            <v>0</v>
          </cell>
          <cell r="L23">
            <v>4</v>
          </cell>
          <cell r="M23">
            <v>0</v>
          </cell>
          <cell r="O23">
            <v>5</v>
          </cell>
          <cell r="P23">
            <v>0</v>
          </cell>
          <cell r="R23">
            <v>30</v>
          </cell>
          <cell r="S23">
            <v>0</v>
          </cell>
          <cell r="U23">
            <v>50</v>
          </cell>
          <cell r="V23">
            <v>0</v>
          </cell>
          <cell r="X23">
            <v>0</v>
          </cell>
        </row>
        <row r="24">
          <cell r="E24" t="str">
            <v>TCN</v>
          </cell>
          <cell r="F24">
            <v>81</v>
          </cell>
          <cell r="G24">
            <v>2543</v>
          </cell>
          <cell r="J24">
            <v>0</v>
          </cell>
          <cell r="M24">
            <v>0</v>
          </cell>
          <cell r="P24">
            <v>0</v>
          </cell>
          <cell r="S24">
            <v>0</v>
          </cell>
          <cell r="V24">
            <v>0</v>
          </cell>
          <cell r="X24">
            <v>0</v>
          </cell>
        </row>
        <row r="25">
          <cell r="E25" t="str">
            <v>LOC</v>
          </cell>
          <cell r="F25">
            <v>15</v>
          </cell>
          <cell r="G25">
            <v>493</v>
          </cell>
          <cell r="I25">
            <v>5</v>
          </cell>
          <cell r="J25">
            <v>2465</v>
          </cell>
          <cell r="L25">
            <v>4</v>
          </cell>
          <cell r="M25">
            <v>1972</v>
          </cell>
          <cell r="O25">
            <v>5</v>
          </cell>
          <cell r="P25">
            <v>2465</v>
          </cell>
          <cell r="R25">
            <v>30</v>
          </cell>
          <cell r="S25">
            <v>14790</v>
          </cell>
          <cell r="U25">
            <v>25</v>
          </cell>
          <cell r="V25">
            <v>12325</v>
          </cell>
          <cell r="X25">
            <v>34017</v>
          </cell>
        </row>
        <row r="26">
          <cell r="E26" t="str">
            <v>KOR</v>
          </cell>
          <cell r="F26">
            <v>41</v>
          </cell>
          <cell r="G26">
            <v>743</v>
          </cell>
          <cell r="I26">
            <v>5</v>
          </cell>
          <cell r="J26">
            <v>3715</v>
          </cell>
          <cell r="L26">
            <v>4</v>
          </cell>
          <cell r="M26">
            <v>2972</v>
          </cell>
          <cell r="O26">
            <v>5</v>
          </cell>
          <cell r="P26">
            <v>3715</v>
          </cell>
          <cell r="R26">
            <v>30</v>
          </cell>
          <cell r="S26">
            <v>22290</v>
          </cell>
          <cell r="U26">
            <v>25</v>
          </cell>
          <cell r="V26">
            <v>18575</v>
          </cell>
          <cell r="X26">
            <v>51267</v>
          </cell>
        </row>
        <row r="27">
          <cell r="E27" t="str">
            <v>TCN</v>
          </cell>
          <cell r="F27">
            <v>2075</v>
          </cell>
          <cell r="G27">
            <v>33106</v>
          </cell>
          <cell r="J27">
            <v>0</v>
          </cell>
          <cell r="M27">
            <v>0</v>
          </cell>
          <cell r="P27">
            <v>0</v>
          </cell>
          <cell r="S27">
            <v>0</v>
          </cell>
          <cell r="V27">
            <v>0</v>
          </cell>
          <cell r="X27">
            <v>0</v>
          </cell>
        </row>
        <row r="28">
          <cell r="E28" t="str">
            <v>LOC</v>
          </cell>
          <cell r="F28">
            <v>962</v>
          </cell>
          <cell r="G28">
            <v>18023</v>
          </cell>
          <cell r="J28">
            <v>0</v>
          </cell>
          <cell r="M28">
            <v>0</v>
          </cell>
          <cell r="P28">
            <v>0</v>
          </cell>
          <cell r="S28">
            <v>0</v>
          </cell>
          <cell r="V28">
            <v>0</v>
          </cell>
          <cell r="X28">
            <v>0</v>
          </cell>
        </row>
      </sheetData>
      <sheetData sheetId="29" refreshError="1">
        <row r="18">
          <cell r="E18" t="str">
            <v>KOR</v>
          </cell>
          <cell r="F18">
            <v>113</v>
          </cell>
          <cell r="G18">
            <v>2760</v>
          </cell>
          <cell r="I18">
            <v>730</v>
          </cell>
          <cell r="J18">
            <v>30</v>
          </cell>
          <cell r="K18">
            <v>2097600</v>
          </cell>
          <cell r="M18">
            <v>25</v>
          </cell>
          <cell r="N18">
            <v>69000</v>
          </cell>
          <cell r="P18">
            <v>100</v>
          </cell>
          <cell r="Q18">
            <v>276000</v>
          </cell>
          <cell r="S18">
            <v>20</v>
          </cell>
          <cell r="T18">
            <v>55200</v>
          </cell>
          <cell r="V18">
            <v>100</v>
          </cell>
          <cell r="W18">
            <v>276000</v>
          </cell>
          <cell r="Y18">
            <v>16.502483792203417</v>
          </cell>
          <cell r="Z18">
            <v>45546.855266481434</v>
          </cell>
          <cell r="AB18">
            <v>2773800</v>
          </cell>
        </row>
        <row r="19">
          <cell r="E19" t="str">
            <v>EUR</v>
          </cell>
          <cell r="F19">
            <v>1</v>
          </cell>
          <cell r="G19">
            <v>41</v>
          </cell>
          <cell r="I19">
            <v>730</v>
          </cell>
          <cell r="J19">
            <v>30</v>
          </cell>
          <cell r="K19">
            <v>31160</v>
          </cell>
          <cell r="M19">
            <v>25</v>
          </cell>
          <cell r="N19">
            <v>1025</v>
          </cell>
          <cell r="P19">
            <v>100</v>
          </cell>
          <cell r="Q19">
            <v>4100</v>
          </cell>
          <cell r="S19">
            <v>20</v>
          </cell>
          <cell r="T19">
            <v>820</v>
          </cell>
          <cell r="V19">
            <v>100</v>
          </cell>
          <cell r="W19">
            <v>4100</v>
          </cell>
          <cell r="Y19">
            <v>16.502483792203417</v>
          </cell>
          <cell r="Z19">
            <v>676.60183548034013</v>
          </cell>
          <cell r="AB19">
            <v>41205</v>
          </cell>
        </row>
        <row r="20">
          <cell r="E20" t="str">
            <v>TCN</v>
          </cell>
          <cell r="F20">
            <v>128</v>
          </cell>
          <cell r="G20">
            <v>3336</v>
          </cell>
          <cell r="I20">
            <v>115</v>
          </cell>
          <cell r="J20">
            <v>10</v>
          </cell>
          <cell r="K20">
            <v>417000</v>
          </cell>
          <cell r="M20">
            <v>20</v>
          </cell>
          <cell r="N20">
            <v>66720</v>
          </cell>
          <cell r="P20">
            <v>50</v>
          </cell>
          <cell r="Q20">
            <v>166800</v>
          </cell>
          <cell r="S20">
            <v>20</v>
          </cell>
          <cell r="T20">
            <v>66720</v>
          </cell>
          <cell r="V20">
            <v>20</v>
          </cell>
          <cell r="W20">
            <v>66720</v>
          </cell>
          <cell r="Y20">
            <v>13.639808032331397</v>
          </cell>
          <cell r="Z20">
            <v>45502.39959585754</v>
          </cell>
          <cell r="AB20">
            <v>783960</v>
          </cell>
        </row>
        <row r="21">
          <cell r="E21" t="str">
            <v>LOC</v>
          </cell>
          <cell r="F21">
            <v>25</v>
          </cell>
          <cell r="G21">
            <v>684</v>
          </cell>
          <cell r="I21">
            <v>115</v>
          </cell>
          <cell r="J21">
            <v>10</v>
          </cell>
          <cell r="K21">
            <v>85500</v>
          </cell>
          <cell r="M21">
            <v>20</v>
          </cell>
          <cell r="N21">
            <v>13680</v>
          </cell>
          <cell r="P21">
            <v>50</v>
          </cell>
          <cell r="Q21">
            <v>34200</v>
          </cell>
          <cell r="S21">
            <v>20</v>
          </cell>
          <cell r="T21">
            <v>13680</v>
          </cell>
          <cell r="V21">
            <v>20</v>
          </cell>
          <cell r="W21">
            <v>13680</v>
          </cell>
          <cell r="Y21">
            <v>13.639808032331397</v>
          </cell>
          <cell r="Z21">
            <v>9329.6286941146755</v>
          </cell>
          <cell r="AB21">
            <v>160740</v>
          </cell>
        </row>
        <row r="22">
          <cell r="E22" t="str">
            <v>KOR</v>
          </cell>
          <cell r="F22">
            <v>7</v>
          </cell>
          <cell r="G22">
            <v>262</v>
          </cell>
          <cell r="I22">
            <v>730</v>
          </cell>
          <cell r="J22">
            <v>30</v>
          </cell>
          <cell r="K22">
            <v>199120</v>
          </cell>
          <cell r="M22">
            <v>25</v>
          </cell>
          <cell r="N22">
            <v>6550</v>
          </cell>
          <cell r="P22">
            <v>75</v>
          </cell>
          <cell r="Q22">
            <v>19650</v>
          </cell>
          <cell r="S22">
            <v>20</v>
          </cell>
          <cell r="T22">
            <v>5240</v>
          </cell>
          <cell r="V22">
            <v>100</v>
          </cell>
          <cell r="W22">
            <v>26200</v>
          </cell>
          <cell r="Y22">
            <v>11.064803120877887</v>
          </cell>
          <cell r="Z22">
            <v>2898.9784176700064</v>
          </cell>
          <cell r="AB22">
            <v>256760</v>
          </cell>
        </row>
        <row r="23">
          <cell r="E23" t="str">
            <v>EUR</v>
          </cell>
          <cell r="F23">
            <v>0</v>
          </cell>
          <cell r="G23">
            <v>0</v>
          </cell>
          <cell r="I23">
            <v>215</v>
          </cell>
          <cell r="J23">
            <v>30</v>
          </cell>
          <cell r="K23">
            <v>0</v>
          </cell>
          <cell r="M23">
            <v>25</v>
          </cell>
          <cell r="N23">
            <v>0</v>
          </cell>
          <cell r="P23">
            <v>75</v>
          </cell>
          <cell r="Q23">
            <v>0</v>
          </cell>
          <cell r="S23">
            <v>20</v>
          </cell>
          <cell r="T23">
            <v>0</v>
          </cell>
          <cell r="V23">
            <v>100</v>
          </cell>
          <cell r="W23">
            <v>0</v>
          </cell>
          <cell r="Y23">
            <v>11.064803120877887</v>
          </cell>
          <cell r="Z23">
            <v>0</v>
          </cell>
          <cell r="AB23">
            <v>0</v>
          </cell>
        </row>
        <row r="24">
          <cell r="E24" t="str">
            <v>TCN</v>
          </cell>
          <cell r="F24">
            <v>81</v>
          </cell>
          <cell r="G24">
            <v>2543</v>
          </cell>
          <cell r="I24">
            <v>115</v>
          </cell>
          <cell r="J24">
            <v>5</v>
          </cell>
          <cell r="K24">
            <v>305160</v>
          </cell>
          <cell r="M24">
            <v>20</v>
          </cell>
          <cell r="N24">
            <v>50860</v>
          </cell>
          <cell r="P24">
            <v>50</v>
          </cell>
          <cell r="Q24">
            <v>127150</v>
          </cell>
          <cell r="S24">
            <v>10</v>
          </cell>
          <cell r="T24">
            <v>25430</v>
          </cell>
          <cell r="V24">
            <v>20</v>
          </cell>
          <cell r="W24">
            <v>50860</v>
          </cell>
          <cell r="Y24">
            <v>9.4931379978108943</v>
          </cell>
          <cell r="Z24">
            <v>24141.049928433105</v>
          </cell>
          <cell r="AB24">
            <v>559460</v>
          </cell>
        </row>
        <row r="25">
          <cell r="E25" t="str">
            <v>LOC</v>
          </cell>
          <cell r="F25">
            <v>15</v>
          </cell>
          <cell r="G25">
            <v>493</v>
          </cell>
          <cell r="I25">
            <v>115</v>
          </cell>
          <cell r="J25">
            <v>5</v>
          </cell>
          <cell r="K25">
            <v>59160</v>
          </cell>
          <cell r="M25">
            <v>20</v>
          </cell>
          <cell r="N25">
            <v>9860</v>
          </cell>
          <cell r="P25">
            <v>50</v>
          </cell>
          <cell r="Q25">
            <v>24650</v>
          </cell>
          <cell r="S25">
            <v>10</v>
          </cell>
          <cell r="T25">
            <v>4930</v>
          </cell>
          <cell r="V25">
            <v>20</v>
          </cell>
          <cell r="W25">
            <v>9860</v>
          </cell>
          <cell r="Y25">
            <v>9.4931379978108943</v>
          </cell>
          <cell r="Z25">
            <v>4680.1170329207707</v>
          </cell>
          <cell r="AB25">
            <v>108460</v>
          </cell>
        </row>
        <row r="26">
          <cell r="E26" t="str">
            <v>KOR</v>
          </cell>
          <cell r="F26">
            <v>41</v>
          </cell>
          <cell r="G26">
            <v>743</v>
          </cell>
          <cell r="I26">
            <v>0</v>
          </cell>
          <cell r="J26">
            <v>0</v>
          </cell>
          <cell r="K26">
            <v>0</v>
          </cell>
          <cell r="M26">
            <v>0</v>
          </cell>
          <cell r="N26">
            <v>0</v>
          </cell>
          <cell r="P26">
            <v>75</v>
          </cell>
          <cell r="Q26">
            <v>55725</v>
          </cell>
          <cell r="S26">
            <v>0</v>
          </cell>
          <cell r="T26">
            <v>0</v>
          </cell>
          <cell r="V26">
            <v>0</v>
          </cell>
          <cell r="W26">
            <v>0</v>
          </cell>
          <cell r="Y26">
            <v>0</v>
          </cell>
          <cell r="Z26">
            <v>0</v>
          </cell>
          <cell r="AB26">
            <v>55725</v>
          </cell>
        </row>
        <row r="27">
          <cell r="E27" t="str">
            <v>TCN</v>
          </cell>
          <cell r="F27">
            <v>2075</v>
          </cell>
          <cell r="G27">
            <v>33106</v>
          </cell>
          <cell r="I27">
            <v>0</v>
          </cell>
          <cell r="J27">
            <v>0</v>
          </cell>
          <cell r="K27">
            <v>0</v>
          </cell>
          <cell r="M27">
            <v>0</v>
          </cell>
          <cell r="N27">
            <v>0</v>
          </cell>
          <cell r="P27">
            <v>0</v>
          </cell>
          <cell r="Q27">
            <v>0</v>
          </cell>
          <cell r="S27">
            <v>0</v>
          </cell>
          <cell r="T27">
            <v>0</v>
          </cell>
          <cell r="V27">
            <v>0</v>
          </cell>
          <cell r="W27">
            <v>0</v>
          </cell>
          <cell r="Y27">
            <v>0</v>
          </cell>
          <cell r="Z27">
            <v>0</v>
          </cell>
          <cell r="AB27">
            <v>0</v>
          </cell>
        </row>
        <row r="28">
          <cell r="E28" t="str">
            <v>LOC</v>
          </cell>
          <cell r="F28">
            <v>962</v>
          </cell>
          <cell r="G28">
            <v>18023</v>
          </cell>
          <cell r="I28">
            <v>0</v>
          </cell>
          <cell r="J28">
            <v>0</v>
          </cell>
          <cell r="K28">
            <v>0</v>
          </cell>
          <cell r="M28">
            <v>0</v>
          </cell>
          <cell r="N28">
            <v>0</v>
          </cell>
          <cell r="P28">
            <v>0</v>
          </cell>
          <cell r="Q28">
            <v>0</v>
          </cell>
          <cell r="S28">
            <v>0</v>
          </cell>
          <cell r="T28">
            <v>0</v>
          </cell>
          <cell r="V28">
            <v>0</v>
          </cell>
          <cell r="W28">
            <v>0</v>
          </cell>
          <cell r="Y28">
            <v>0</v>
          </cell>
          <cell r="Z28">
            <v>0</v>
          </cell>
          <cell r="AB28">
            <v>0</v>
          </cell>
        </row>
      </sheetData>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Set>
  </externalBook>
</externalLink>
</file>

<file path=xl/externalLinks/externalLink6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in"/>
      <sheetName val="Correct"/>
      <sheetName val="Data"/>
      <sheetName val="Temp"/>
      <sheetName val="Code"/>
      <sheetName val="WorkTitle"/>
      <sheetName val="Cover"/>
      <sheetName val="Summary"/>
      <sheetName val="Total"/>
      <sheetName val="TIE-IN"/>
      <sheetName val="ISBL"/>
      <sheetName val="OSBL"/>
      <sheetName val="Equipment"/>
      <sheetName val="Consumable"/>
      <sheetName val="작성기준"/>
      <sheetName val="XZLC004_PART2"/>
    </sheetNames>
    <sheetDataSet>
      <sheetData sheetId="0"/>
      <sheetData sheetId="1" refreshError="1"/>
      <sheetData sheetId="2"/>
      <sheetData sheetId="3" refreshError="1"/>
      <sheetData sheetId="4" refreshError="1"/>
      <sheetData sheetId="5" refreshError="1"/>
      <sheetData sheetId="6"/>
      <sheetData sheetId="7"/>
      <sheetData sheetId="8"/>
      <sheetData sheetId="9"/>
      <sheetData sheetId="10"/>
      <sheetData sheetId="11"/>
      <sheetData sheetId="12"/>
      <sheetData sheetId="13"/>
      <sheetData sheetId="14" refreshError="1"/>
      <sheetData sheetId="15" refreshError="1"/>
    </sheetDataSet>
  </externalBook>
</externalLink>
</file>

<file path=xl/externalLinks/externalLink6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b_Master"/>
      <sheetName val="#REF"/>
      <sheetName val="PRO_A"/>
      <sheetName val="DWG"/>
      <sheetName val="MAIN"/>
      <sheetName val="PRO"/>
      <sheetName val="계화배수(3대)"/>
      <sheetName val="포장복구집계"/>
      <sheetName val="BLDG_DCI"/>
      <sheetName val="BLDG_MCI"/>
      <sheetName val="Tipo Terzi"/>
      <sheetName val="ELEC_MCI"/>
      <sheetName val="INST_MCI"/>
      <sheetName val="MECH_MCI"/>
      <sheetName val="BRICK"/>
      <sheetName val="Sheet5"/>
      <sheetName val="BSD (2)"/>
      <sheetName val="손익차9월2"/>
      <sheetName val="주관사업"/>
      <sheetName val="기계내역"/>
      <sheetName val="P.M 별"/>
      <sheetName val="구분자"/>
      <sheetName val="ironmongery"/>
      <sheetName val="집 계 표"/>
      <sheetName val="직노"/>
      <sheetName val="PESOCHNAYA_INITIAL BUDGET_Eng"/>
      <sheetName val="FitOutConfCentre"/>
      <sheetName val="tj定额"/>
      <sheetName val="SILICATE"/>
      <sheetName val="定额"/>
      <sheetName val="Sheet1"/>
      <sheetName val="tower 10ton"/>
      <sheetName val="tower 12ton"/>
      <sheetName val="JIB CRANE,HOIST"/>
      <sheetName val=" GULF"/>
      <sheetName val="조명시설"/>
      <sheetName val="TST"/>
      <sheetName val="노임단가"/>
      <sheetName val="공통부대비"/>
      <sheetName val="사업부배부A"/>
      <sheetName val="95신규호표"/>
      <sheetName val="갑지(추정)"/>
      <sheetName val="PE-F-42 Rev 01 Manpower"/>
      <sheetName val=" Est "/>
      <sheetName val="IPS현황"/>
      <sheetName val="갑지1"/>
      <sheetName val="98수문일위"/>
      <sheetName val="Cash2"/>
      <sheetName val="Z"/>
      <sheetName val="UPA-struc"/>
      <sheetName val="Division 3000"/>
      <sheetName val="BM"/>
      <sheetName val="C&amp;IEVA"/>
      <sheetName val="Plumbing"/>
      <sheetName val="proj description final"/>
      <sheetName val="Masonry"/>
      <sheetName val="GMQ"/>
      <sheetName val="BOQ1"/>
      <sheetName val="NSC"/>
      <sheetName val="PRELIMS"/>
      <sheetName val="Inputs"/>
      <sheetName val="Lookup"/>
      <sheetName val="BD"/>
      <sheetName val="ceiling"/>
      <sheetName val="interior"/>
      <sheetName val="Finishes"/>
      <sheetName val="SANTOGO"/>
      <sheetName val="SANBAISU"/>
      <sheetName val="건축공사실행"/>
      <sheetName val="MixBed"/>
      <sheetName val="CondPol"/>
      <sheetName val="건축원가"/>
      <sheetName val="Sheet2"/>
      <sheetName val="공사수행방안"/>
      <sheetName val="JOB_INFO"/>
      <sheetName val="Code"/>
      <sheetName val="Opening"/>
      <sheetName val="BUR "/>
      <sheetName val="Trade Summary"/>
      <sheetName val="TSA"/>
      <sheetName val="15.rd"/>
      <sheetName val="견적기준"/>
      <sheetName val="기둥(하중)"/>
      <sheetName val="Internal Finishes"/>
      <sheetName val="Col"/>
      <sheetName val="Code03"/>
      <sheetName val="Summary"/>
      <sheetName val="inter"/>
      <sheetName val="예산M6-B"/>
      <sheetName val="insumos en $us"/>
      <sheetName val="jobhist"/>
      <sheetName val="Parameter"/>
      <sheetName val="Config"/>
      <sheetName val="TRANSFER"/>
      <sheetName val="ANAL"/>
      <sheetName val="Matls"/>
      <sheetName val="Labor"/>
      <sheetName val="dervstruc"/>
      <sheetName val="bill_02 CIV. WRKS."/>
      <sheetName val="ph2B_cnstrction_sched_"/>
      <sheetName val="일반공사"/>
      <sheetName val="Others"/>
      <sheetName val="sum mdc"/>
      <sheetName val="CD"/>
      <sheetName val="CI"/>
      <sheetName val="CP"/>
      <sheetName val="Distribuciones"/>
      <sheetName val="DC"/>
      <sheetName val="Schedule_S-Curve_Revision#3"/>
      <sheetName val="GAE8'97"/>
      <sheetName val="CFA"/>
      <sheetName val="Material Price"/>
      <sheetName val="co-no.2"/>
      <sheetName val="주식"/>
      <sheetName val="LIST"/>
      <sheetName val="요약"/>
      <sheetName val="Baby일위대가"/>
      <sheetName val="Schedule_S-Curve_(new_scheme)"/>
      <sheetName val="DATA"/>
      <sheetName val="Info"/>
      <sheetName val="analysi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sheetData sheetId="115" refreshError="1"/>
      <sheetData sheetId="116" refreshError="1"/>
      <sheetData sheetId="117" refreshError="1"/>
      <sheetData sheetId="118" refreshError="1"/>
      <sheetData sheetId="119" refreshError="1"/>
      <sheetData sheetId="120" refreshError="1"/>
    </sheetDataSet>
  </externalBook>
</externalLink>
</file>

<file path=xl/externalLinks/externalLink6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Sheet2"/>
      <sheetName val="Sheet3"/>
      <sheetName val="est"/>
      <sheetName val="Piping System - HYL"/>
      <sheetName val="section prices"/>
      <sheetName val="Cover Page"/>
      <sheetName val="Estimate Total € equiv."/>
      <sheetName val="合成単価作成表-BLDG"/>
      <sheetName val="SILICATE"/>
      <sheetName val="jobhist"/>
      <sheetName val="2,000"/>
      <sheetName val="6,000"/>
      <sheetName val="GC_1_4,000"/>
      <sheetName val="#REF"/>
      <sheetName val="Price Calculation Summary"/>
      <sheetName val="Estimate QR port."/>
      <sheetName val="Estimate € port."/>
      <sheetName val="Estimate Total USD equiv."/>
      <sheetName val="Temp. Facilities &amp; Living Camp"/>
      <sheetName val="Indirect Mhrs"/>
      <sheetName val="Cost of Dir. mhrs TOT"/>
      <sheetName val="INPUT DATA OF SCHEDULE"/>
      <sheetName val="lookup"/>
      <sheetName val="대비내역"/>
      <sheetName val="Tipo Terzi"/>
      <sheetName val="w't table"/>
      <sheetName val="작성기준"/>
      <sheetName val="Indirect-Sum"/>
      <sheetName val="DATA"/>
      <sheetName val="CAMP OPERATING COST"/>
      <sheetName val="PERSONNEL SETUP"/>
      <sheetName val="STAFF&amp;INDIRECT SALARY - SUMMARY"/>
      <sheetName val="KOREAN STAFF SALARY_BREAKDOWN"/>
      <sheetName val="BREAKDOWN"/>
      <sheetName val="WELFARE COST - SITE"/>
      <sheetName val="ITB COST"/>
      <sheetName val="CAMP - CONSTRUCTION"/>
    </sheetNames>
    <sheetDataSet>
      <sheetData sheetId="0"/>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Set>
  </externalBook>
</externalLink>
</file>

<file path=xl/externalLinks/externalLink6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현장 개요"/>
      <sheetName val="공통비 예산 편성 내역"/>
      <sheetName val="공통부대"/>
      <sheetName val="경상비"/>
      <sheetName val="서울사무소"/>
      <sheetName val="인원분석"/>
      <sheetName val="직원동원계획(서울)"/>
      <sheetName val="직원동원계획(현장)"/>
      <sheetName val="현채직원(서울)"/>
      <sheetName val="현채직원(현장)"/>
      <sheetName val="간접인원동원계획(현장)"/>
      <sheetName val="직원급여"/>
      <sheetName val="임금인상"/>
      <sheetName val="차량동원계획"/>
      <sheetName val="차량 구매 및 보험료"/>
    </sheetNames>
    <sheetDataSet>
      <sheetData sheetId="0">
        <row r="9">
          <cell r="D9">
            <v>1050</v>
          </cell>
        </row>
        <row r="15">
          <cell r="G15">
            <v>485181858</v>
          </cell>
        </row>
      </sheetData>
      <sheetData sheetId="1"/>
      <sheetData sheetId="2"/>
      <sheetData sheetId="3">
        <row r="79">
          <cell r="M79">
            <v>4848.4834710743798</v>
          </cell>
        </row>
      </sheetData>
      <sheetData sheetId="4"/>
      <sheetData sheetId="5"/>
      <sheetData sheetId="6"/>
      <sheetData sheetId="7"/>
      <sheetData sheetId="8"/>
      <sheetData sheetId="9"/>
      <sheetData sheetId="10"/>
      <sheetData sheetId="11"/>
      <sheetData sheetId="12"/>
      <sheetData sheetId="13"/>
      <sheetData sheetId="14"/>
    </sheetDataSet>
  </externalBook>
</externalLink>
</file>

<file path=xl/externalLinks/externalLink6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9-1차이내역"/>
      <sheetName val="9_1차이내역"/>
      <sheetName val="주관사업"/>
      <sheetName val="9-1Â÷ÀÌ³»¿ª"/>
      <sheetName val="산출근거#2-3"/>
      <sheetName val="영업소실적"/>
      <sheetName val="96CONF"/>
      <sheetName val="AILC004"/>
      <sheetName val="연습"/>
      <sheetName val="수입"/>
      <sheetName val="집계표"/>
      <sheetName val="개시대사 (2)"/>
      <sheetName val="세금자료"/>
      <sheetName val="경제지표"/>
      <sheetName val="세부내역"/>
      <sheetName val="총괄표양식"/>
      <sheetName val="차량운영비"/>
      <sheetName val="E_Rate PM"/>
      <sheetName val="용수량"/>
      <sheetName val="견적조건"/>
      <sheetName val="97 사업추정(WEKI)"/>
      <sheetName val="사업부배부A"/>
      <sheetName val="VA_code"/>
      <sheetName val="eq_data"/>
      <sheetName val="상반기손익차2총괄"/>
      <sheetName val="BLDG_DCI"/>
      <sheetName val="BLDG_MCI"/>
      <sheetName val="내역서"/>
      <sheetName val="수주현황2월"/>
      <sheetName val="소화실적"/>
      <sheetName val="#REF"/>
      <sheetName val="cp1"/>
      <sheetName val="일위대가"/>
      <sheetName val="개시대사_(2)"/>
      <sheetName val="E_Rate_PM"/>
      <sheetName val="97_사업추정(WEKI)"/>
      <sheetName val="data_dci"/>
      <sheetName val="data_mci"/>
      <sheetName val="behind"/>
      <sheetName val="Main"/>
      <sheetName val="sw1"/>
      <sheetName val="예산"/>
      <sheetName val="정 "/>
      <sheetName val="정산서  (2)"/>
      <sheetName val="DATE"/>
      <sheetName val="120"/>
      <sheetName val="130"/>
      <sheetName val="100"/>
      <sheetName val="101"/>
      <sheetName val="102"/>
      <sheetName val="103"/>
      <sheetName val="106"/>
      <sheetName val="108"/>
      <sheetName val="109"/>
      <sheetName val="131"/>
      <sheetName val="110"/>
      <sheetName val="111"/>
      <sheetName val="114"/>
      <sheetName val="116"/>
      <sheetName val="132"/>
      <sheetName val="140"/>
      <sheetName val="141"/>
      <sheetName val="142"/>
      <sheetName val="143"/>
      <sheetName val="144"/>
      <sheetName val="145"/>
      <sheetName val="146"/>
      <sheetName val="121"/>
      <sheetName val="147"/>
      <sheetName val="148"/>
      <sheetName val="160"/>
      <sheetName val="164"/>
      <sheetName val="Flaer Area"/>
      <sheetName val="123"/>
      <sheetName val="124"/>
      <sheetName val="125"/>
      <sheetName val="126"/>
      <sheetName val="127"/>
      <sheetName val="128"/>
      <sheetName val="129"/>
      <sheetName val="HVAC집계"/>
      <sheetName val="손익차9월2"/>
      <sheetName val="bahan"/>
      <sheetName val="Upah"/>
      <sheetName val="95삼성급(본사)"/>
      <sheetName val="RENUN"/>
      <sheetName val="lookup"/>
      <sheetName val="VXXXXXXX"/>
      <sheetName val="sum"/>
      <sheetName val="Sheet1"/>
      <sheetName val="건축"/>
      <sheetName val="간접비내역-1"/>
      <sheetName val="대치판정"/>
      <sheetName val="CAT_5"/>
      <sheetName val="DATA"/>
      <sheetName val="기타경비"/>
      <sheetName val="분개"/>
      <sheetName val="자재"/>
      <sheetName val="장산"/>
      <sheetName val="인산"/>
      <sheetName val="인원현황"/>
      <sheetName val="B31.1"/>
      <sheetName val="PSIZE"/>
      <sheetName val="기술개발"/>
      <sheetName val="수익증대"/>
      <sheetName val="독서"/>
      <sheetName val="Cyber"/>
      <sheetName val="전문기량"/>
      <sheetName val="신우"/>
      <sheetName val="정부노임단가"/>
      <sheetName val="경상"/>
      <sheetName val="9-1????"/>
      <sheetName val="9-1____"/>
      <sheetName val="정산표2"/>
      <sheetName val="General"/>
      <sheetName val="Menus"/>
      <sheetName val="일위대가(가설)"/>
      <sheetName val="Sheet6"/>
      <sheetName val="CAL(1)."/>
      <sheetName val="7.3.2.D(BASE)_Sorting"/>
      <sheetName val="7.3.2.E(OPTION)_Sorting"/>
      <sheetName val="Questions to Vendor"/>
      <sheetName val="내역"/>
      <sheetName val="Articoli da prezziario"/>
      <sheetName val="첨1.4"/>
      <sheetName val="첨1.5"/>
      <sheetName val="첨1.3"/>
      <sheetName val="2.1.1"/>
      <sheetName val="남양시작동자105노65기1.3화1.2"/>
      <sheetName val="EQUIPMENT"/>
      <sheetName val="다이꾸"/>
      <sheetName val="집계표(OPTION)"/>
      <sheetName val="인원계획"/>
      <sheetName val="분전함신설"/>
      <sheetName val="접지1종"/>
      <sheetName val="COMPARISON TABLE"/>
      <sheetName val="중기비"/>
      <sheetName val="BATCH"/>
      <sheetName val="Billing and Status Register"/>
      <sheetName val="Information"/>
      <sheetName val="T1"/>
      <sheetName val="자료입력"/>
      <sheetName val="카니발(자105노60)"/>
      <sheetName val="Regenerator  Concrete Structure"/>
    </sheetNames>
    <sheetDataSet>
      <sheetData sheetId="0"/>
      <sheetData sheetId="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Set>
  </externalBook>
</externalLink>
</file>

<file path=xl/externalLinks/externalLink6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근로자동원계획 (PKG-1)"/>
      <sheetName val="INSPECTOR (PKG-1)"/>
      <sheetName val="근로자동원계획 (PKG-4)"/>
      <sheetName val="INSPECTOR (PKG-4)"/>
      <sheetName val="Saudization"/>
      <sheetName val="Inspector 비교"/>
    </sheetNames>
    <sheetDataSet>
      <sheetData sheetId="0">
        <row r="128">
          <cell r="U128">
            <v>2</v>
          </cell>
        </row>
      </sheetData>
      <sheetData sheetId="1">
        <row r="8">
          <cell r="D8">
            <v>10</v>
          </cell>
        </row>
      </sheetData>
      <sheetData sheetId="2">
        <row r="159">
          <cell r="I159">
            <v>0</v>
          </cell>
        </row>
      </sheetData>
      <sheetData sheetId="3">
        <row r="8">
          <cell r="D8">
            <v>10</v>
          </cell>
        </row>
      </sheetData>
      <sheetData sheetId="4" refreshError="1"/>
      <sheetData sheetId="5" refreshError="1"/>
    </sheetDataSet>
  </externalBook>
</externalLink>
</file>

<file path=xl/externalLinks/externalLink6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97 사업추정(WEKI)"/>
      <sheetName val="eq_data"/>
      <sheetName val="97 사업추정_WEKI_"/>
      <sheetName val="수입"/>
      <sheetName val="PriceBreakdown"/>
      <sheetName val="2"/>
      <sheetName val="요약"/>
      <sheetName val="간접비"/>
      <sheetName val="9-1차이내역"/>
      <sheetName val="PumpSpec"/>
      <sheetName val="수량집계"/>
      <sheetName val="총괄집계표"/>
      <sheetName val="상반기손익차2총괄"/>
      <sheetName val="97SAUPCU"/>
      <sheetName val="Expat Conditions"/>
      <sheetName val="RCF CLAIMED"/>
      <sheetName val="투찰가"/>
      <sheetName val="단면가정"/>
      <sheetName val="손익차9월2"/>
      <sheetName val="시행예산"/>
      <sheetName val="95삼성급(본사)"/>
      <sheetName val="Total"/>
      <sheetName val="fitting"/>
      <sheetName val="VENDOR LIST"/>
      <sheetName val="공통비"/>
      <sheetName val="ITB COST"/>
      <sheetName val="영업소실적"/>
      <sheetName val="TTL"/>
      <sheetName val="터널조도"/>
      <sheetName val="환율"/>
      <sheetName val="정부노임단가"/>
      <sheetName val="PBS"/>
      <sheetName val="SILICATE"/>
      <sheetName val="h-013211-2"/>
      <sheetName val="main-sht"/>
      <sheetName val="단가비교(TOTAL)"/>
      <sheetName val="PRO_A"/>
      <sheetName val="ELEC_MCI"/>
      <sheetName val="MAIN"/>
      <sheetName val="INST_MCI"/>
      <sheetName val="MECH_MCI"/>
      <sheetName val="PRO"/>
      <sheetName val="주관사업"/>
      <sheetName val="Summary Sheets"/>
      <sheetName val="AP1"/>
      <sheetName val="Sheet1"/>
      <sheetName val="요약배부"/>
      <sheetName val="Graph (LGEN)"/>
      <sheetName val="out_prog"/>
      <sheetName val="선적schedule (2)"/>
      <sheetName val="Steam-Sys"/>
      <sheetName val="Option"/>
      <sheetName val="Instruction"/>
      <sheetName val="VA_code"/>
      <sheetName val="97 »ç¾÷ÃßÁ¤(WEKI)"/>
      <sheetName val="Sheet5"/>
      <sheetName val="사업부배부A"/>
      <sheetName val="unit 4"/>
      <sheetName val="J直材4"/>
      <sheetName val="N賃率-職"/>
      <sheetName val="소화실적"/>
      <sheetName val="청산공사"/>
      <sheetName val="Sheet2"/>
      <sheetName val="#REF"/>
      <sheetName val="EACT10"/>
      <sheetName val="일위대가"/>
      <sheetName val="직노"/>
      <sheetName val="Sheet4"/>
      <sheetName val="현금"/>
      <sheetName val="97 ????(WEKI)"/>
      <sheetName val="간접비 총괄표"/>
      <sheetName val="공사비 내역 (가)"/>
      <sheetName val="무전표"/>
      <sheetName val="Regenerator  Concrete Structure"/>
      <sheetName val="인원계획"/>
      <sheetName val="Rekap A"/>
      <sheetName val="CAL."/>
      <sheetName val="회사99"/>
      <sheetName val="VL"/>
      <sheetName val="대비내역"/>
      <sheetName val="보온자재단가표"/>
      <sheetName val="lookup"/>
      <sheetName val="DATE"/>
      <sheetName val="Macro"/>
      <sheetName val="Taux"/>
      <sheetName val="6,000"/>
      <sheetName val="DOC"/>
      <sheetName val="BM DATA SHEET"/>
      <sheetName val="CAMP OPERATING COST"/>
      <sheetName val="PERSONNEL SETUP"/>
      <sheetName val="LIST OF OFFICE EQUIPMENT"/>
      <sheetName val="STAFF&amp;INDIRECT SALARY - SUMMARY"/>
      <sheetName val="KOREAN STAFF SALARY_BREAKDOWN"/>
      <sheetName val="BREAKDOWN"/>
      <sheetName val="WELFARE COST - SITE"/>
      <sheetName val="General Data"/>
      <sheetName val="FORCE"/>
      <sheetName val="6호기"/>
      <sheetName val="단가비교표"/>
      <sheetName val="집계표"/>
      <sheetName val="개시대사 (2)"/>
      <sheetName val="간접비내역-1"/>
      <sheetName val="차량운영비"/>
      <sheetName val="E_Rate PM"/>
      <sheetName val="세부내역"/>
      <sheetName val="guard(mac)"/>
      <sheetName val="B"/>
      <sheetName val="COA-17"/>
      <sheetName val="C-18"/>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Set>
  </externalBook>
</externalLink>
</file>

<file path=xl/externalLinks/externalLink6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hart2"/>
      <sheetName val="Chart1"/>
      <sheetName val="Sheet2"/>
      <sheetName val="Sheet1"/>
      <sheetName val="C-F"/>
      <sheetName val="Chart(국내)"/>
      <sheetName val="Chart(해외)"/>
      <sheetName val="Chart(발전)"/>
      <sheetName val="Chart(플랜트계)"/>
      <sheetName val="변경내용"/>
      <sheetName val="갑지"/>
      <sheetName val="이사회보고대비"/>
      <sheetName val="이사회보고대비 (2)"/>
      <sheetName val="당초계획대비PL"/>
      <sheetName val="간접비비율"/>
      <sheetName val="부사장보고대비"/>
      <sheetName val="05년계획부문PL"/>
      <sheetName val="04년영업외손익"/>
      <sheetName val="부문별매출이익"/>
      <sheetName val="수주목표"/>
      <sheetName val="05년수주이익"/>
      <sheetName val="PJT별수주내역"/>
      <sheetName val="PJT별매출내역"/>
      <sheetName val="PJT별매출내역 ($)"/>
      <sheetName val="PJT별원가내역"/>
      <sheetName val="PJT별이익내역"/>
      <sheetName val="05국내(상)"/>
      <sheetName val="05발전(상)"/>
      <sheetName val="05해외원화(상)"/>
      <sheetName val="05해외USD(상)"/>
      <sheetName val="05통신(상)"/>
      <sheetName val="국내&amp;해외 판매비"/>
      <sheetName val="05판매비(상)"/>
      <sheetName val="05하자보수비(상)"/>
      <sheetName val="05일반관리비(상)"/>
      <sheetName val="관리04실적D"/>
      <sheetName val="pivot04"/>
      <sheetName val="관리비05계획D"/>
      <sheetName val="pivot1"/>
      <sheetName val="pivot2"/>
      <sheetName val="pivot3"/>
      <sheetName val="일반관리비실적"/>
      <sheetName val="04년간접비"/>
      <sheetName val="C-F (간접비포함)"/>
      <sheetName val="Chart(국내) (2)"/>
      <sheetName val="Chart(해외) (2)"/>
      <sheetName val="Chart(발전) (2)"/>
      <sheetName val="Chart(플랜트계) (2)"/>
      <sheetName val="Chart(플랜트계) (3)"/>
      <sheetName val="PCMS09"/>
      <sheetName val="수금09"/>
      <sheetName val="수주실적09"/>
      <sheetName val="sum"/>
      <sheetName val="6월추정대비PL"/>
      <sheetName val="9월추정대비PL"/>
      <sheetName val="부문간접비(9월)"/>
      <sheetName val="수주"/>
      <sheetName val="2-1 Overall"/>
      <sheetName val="2-2 Status"/>
      <sheetName val="2-3 Cashflow"/>
      <sheetName val="2-4 CO Status"/>
      <sheetName val="# Cashflow"/>
      <sheetName val="#3 자금수지"/>
      <sheetName val="#4 구매비"/>
      <sheetName val="1-1 Overall"/>
      <sheetName val="1-2 Status"/>
      <sheetName val="1-3 Cashflow"/>
      <sheetName val="1-4 자금수지"/>
      <sheetName val="별첨 6 구매비"/>
      <sheetName val="별5 CO Status"/>
      <sheetName val="Chart3"/>
      <sheetName val="Summary"/>
      <sheetName val="Status"/>
      <sheetName val="완성예측 Trend"/>
      <sheetName val="사업계획"/>
      <sheetName val="Cashflow"/>
      <sheetName val="자금수지"/>
      <sheetName val="Sheet3"/>
      <sheetName val="07_사확"/>
      <sheetName val="07_수주"/>
      <sheetName val="03_수주-07년"/>
      <sheetName val="07_매출"/>
      <sheetName val="사업대상 확보 (03월)"/>
      <sheetName val="수주 (03월)"/>
      <sheetName val="PL (03월)"/>
      <sheetName val="매출 (03월)"/>
      <sheetName val="01_종합 (2)"/>
      <sheetName val="원가율(03월) (2)"/>
      <sheetName val="원가율(03월)"/>
      <sheetName val="간접비 (03)"/>
      <sheetName val="수금(03월) (2)"/>
      <sheetName val="수금 (03)"/>
      <sheetName val="매출채권 (3)"/>
      <sheetName val="제안사항"/>
      <sheetName val="제안사항 (2)"/>
      <sheetName val="설비"/>
      <sheetName val="총괄(세부)"/>
      <sheetName val="순공사비집계"/>
      <sheetName val="요율"/>
      <sheetName val="보할"/>
      <sheetName val="집계표"/>
      <sheetName val="건축내역서"/>
      <sheetName val="(설비)집계표"/>
      <sheetName val="(설비)내역서"/>
      <sheetName val="전기"/>
      <sheetName val="전기내역서"/>
      <sheetName val="통신내역서"/>
      <sheetName val="분석"/>
      <sheetName val="분석 (2)"/>
      <sheetName val="분석 (3)"/>
      <sheetName val="분석 (4)"/>
      <sheetName val="매출"/>
      <sheetName val="갑지 (증감분)"/>
      <sheetName val="항목"/>
      <sheetName val="사업수지대비"/>
      <sheetName val="추정대비"/>
      <sheetName val="항목 (2)"/>
      <sheetName val="첨부1"/>
      <sheetName val="첨부3"/>
      <sheetName val="첨부3 (화강석수정)"/>
      <sheetName val="칸막이(외벽제외)"/>
      <sheetName val="첨부2"/>
      <sheetName val="보고쉬트"/>
      <sheetName val="보고쉬트 (2)"/>
      <sheetName val="CHECKLIST(동래)"/>
      <sheetName val="CHECKLIST(작성용) "/>
      <sheetName val="공사개요"/>
      <sheetName val="APT"/>
      <sheetName val="부속동"/>
      <sheetName val="철콘비교표"/>
      <sheetName val="보고서"/>
      <sheetName val="대비표(총괄인상적용시)"/>
      <sheetName val="대비표(형틀)"/>
      <sheetName val="대비표(철근)"/>
      <sheetName val="대비표(conc)"/>
      <sheetName val="단가적용기준"/>
      <sheetName val="조사대상"/>
      <sheetName val="조사방법"/>
      <sheetName val="대비표(인상전)"/>
      <sheetName val="대비표(인상적용시)"/>
      <sheetName val="특화"/>
      <sheetName val="특화 (2)"/>
      <sheetName val="표지"/>
      <sheetName val="목차"/>
      <sheetName val="조직도"/>
      <sheetName val="사업수지"/>
      <sheetName val="특화관련"/>
      <sheetName val="특화관련 (2)"/>
      <sheetName val="실제사업계획및실적"/>
      <sheetName val="주요현안 및 해결방안"/>
      <sheetName val="공사진행현황1-2-3 "/>
      <sheetName val="민원현황도 (2)"/>
      <sheetName val="민원현황도"/>
      <sheetName val="Sheet1 (2)"/>
      <sheetName val="방문 1차"/>
      <sheetName val="방문 2차"/>
      <sheetName val="실적분석"/>
      <sheetName val="사유 및 대책"/>
      <sheetName val="수정사업계획"/>
      <sheetName val="실적현황"/>
      <sheetName val="Master Schedule"/>
      <sheetName val="보할공정표(PM)"/>
      <sheetName val="사유 및 대책 (3)"/>
      <sheetName val="사업수지최종"/>
      <sheetName val="변동현황"/>
      <sheetName val="공통가설"/>
      <sheetName val="건축집계표"/>
      <sheetName val="골조집계표"/>
      <sheetName val="아파트상부동"/>
      <sheetName val="주차장+부속동"/>
      <sheetName val="골조공사분석"/>
      <sheetName val="주방가구내역"/>
      <sheetName val="토목공사"/>
      <sheetName val="갑지2"/>
      <sheetName val="포인트도출"/>
      <sheetName val="Action plan"/>
      <sheetName val="포인트도출 (2)"/>
      <sheetName val="원가율변동"/>
      <sheetName val="통합발주"/>
      <sheetName val="원가율"/>
      <sheetName val="목표관리금액"/>
      <sheetName val="1-1.공사개요"/>
      <sheetName val="1-1-1.인원투입"/>
      <sheetName val="1-1-2.자재투입"/>
      <sheetName val="1-2.지질주상도 (TYPICAL SECTION)"/>
      <sheetName val="1-3.PANEL LAYOUT"/>
      <sheetName val="2.원가분석"/>
      <sheetName val="2-1.원가분석"/>
      <sheetName val="2-2.TO"/>
      <sheetName val="2-2.TO-인쇄용"/>
      <sheetName val="증감내역"/>
      <sheetName val="2-3.COST ANALYSIS"/>
      <sheetName val="3.시공상 특기사항"/>
      <sheetName val="4.별첨(수량산출근거)"/>
      <sheetName val="수량산출근거"/>
      <sheetName val="5.지하연속벽산출"/>
      <sheetName val="철근집계표"/>
      <sheetName val="철근"/>
      <sheetName val="철근 (2)"/>
      <sheetName val="3-2.CONCRETE SUIVI"/>
      <sheetName val="CONCRETE"/>
      <sheetName val="3-3.EXCAVATION SUIVI"/>
      <sheetName val="EXCAVATION(HF4000)"/>
      <sheetName val="작업분석(HF4000)"/>
      <sheetName val="작업분석2(HF4000)"/>
      <sheetName val="굴착효율(HF4000)"/>
      <sheetName val="굴착효율2(HF4000)"/>
      <sheetName val="EXCAVATION(HF12000)"/>
      <sheetName val="작업분석(HF12000)"/>
      <sheetName val="작업분석2(HF12000)"/>
      <sheetName val="굴착효율(HF12000)"/>
      <sheetName val="굴착효율2(HF12000)"/>
      <sheetName val="3-4.BREAKDOWN SUIVI"/>
      <sheetName val="BREAK DOWN(HF4000)"/>
      <sheetName val="BREAK DOWN(HF12000)"/>
      <sheetName val="전체 계약내역서 기준 감액공사비디월만"/>
      <sheetName val="임원KPI"/>
      <sheetName val="자리이동"/>
      <sheetName val="집계"/>
      <sheetName val="임원별평가"/>
      <sheetName val="총괄표"/>
      <sheetName val="건축공사 내역서(MODERN TYPE)"/>
      <sheetName val="건축공사 내역서 (CLASSIC TYPE) "/>
      <sheetName val="갑지양식"/>
      <sheetName val="을지양식"/>
      <sheetName val="건축공사"/>
      <sheetName val="본사보고"/>
      <sheetName val="DATA2"/>
      <sheetName val="DATA"/>
      <sheetName val="DATA-설비"/>
      <sheetName val="DATA-전기"/>
      <sheetName val="갑지(보고용)"/>
      <sheetName val="trend분석"/>
      <sheetName val="총괄"/>
      <sheetName val="계약현황"/>
      <sheetName val="분석 (4분기)"/>
      <sheetName val="07.미수채권회수목표"/>
      <sheetName val="2006년 실적"/>
      <sheetName val="참조_05년 자료-준공미수채권 회수율 (2)"/>
      <sheetName val="총괄 집계"/>
      <sheetName val="건축집계"/>
      <sheetName val="전기집계"/>
      <sheetName val="설비집계"/>
      <sheetName val="건축내역대비"/>
      <sheetName val="Plant-건축내역"/>
      <sheetName val="Arch-건축내역"/>
      <sheetName val="elec-건축내역"/>
      <sheetName val="첨부물"/>
      <sheetName val="첨부물-2"/>
      <sheetName val="첨부물-3"/>
      <sheetName val="첨부물-3 Rev.1"/>
      <sheetName val="첨부물 (4)"/>
      <sheetName val="12.20일 협의사항 정리"/>
      <sheetName val="경비제외"/>
      <sheetName val="12.20일 협의사항 (2)"/>
      <sheetName val="경비포함됨"/>
      <sheetName val="12.20일 협의사항"/>
      <sheetName val="당초계획대비PL (억)"/>
      <sheetName val="05년손익대비표 (억)"/>
      <sheetName val="간접비비율 (억)"/>
      <sheetName val="부문별매출이익(억)"/>
      <sheetName val="05년손익대비표"/>
      <sheetName val="당초계획대비PL (억)-보고용"/>
      <sheetName val="부문별매출이익(억)-보고용"/>
      <sheetName val="수주대비표"/>
      <sheetName val="05년증감사유"/>
      <sheetName val="05간접비 추정"/>
      <sheetName val="산업환경(대비)"/>
      <sheetName val="전력(대비)"/>
      <sheetName val="해외원화(대비)"/>
      <sheetName val="해외USD(대비)"/>
      <sheetName val="통신(대비)"/>
      <sheetName val="06부문(상)"/>
      <sheetName val="06산업플랜트(상)"/>
      <sheetName val="06전력(상)"/>
      <sheetName val="(상)"/>
      <sheetName val="(상1)"/>
      <sheetName val="06통신(상)"/>
      <sheetName val="06하자보수비(상)"/>
      <sheetName val="06판매비(상)"/>
      <sheetName val="06일반관리비(상)"/>
      <sheetName val="06금융비용(상)"/>
      <sheetName val="실적→"/>
      <sheetName val="수금10"/>
      <sheetName val="PCMS10"/>
      <sheetName val="사업계획(하)"/>
      <sheetName val="사업계획(상)"/>
      <sheetName val="04년실적"/>
      <sheetName val="일반관리비배분-화공"/>
      <sheetName val="일반관리비배분-산업"/>
      <sheetName val="증감2"/>
      <sheetName val="변경"/>
      <sheetName val="합계"/>
      <sheetName val="화공-국내"/>
      <sheetName val="화공-지원A"/>
      <sheetName val="화공-지원B"/>
      <sheetName val="산업-지원A"/>
      <sheetName val="산업-전력"/>
      <sheetName val="산업-산업환경"/>
      <sheetName val="산업-통신"/>
      <sheetName val="비교"/>
      <sheetName val="비교 (2)"/>
      <sheetName val="월별"/>
      <sheetName val="원자력"/>
      <sheetName val="방폐장"/>
      <sheetName val="복합화력(C)"/>
      <sheetName val="화력(PC)"/>
      <sheetName val="복합화력(PC)"/>
      <sheetName val="열병합"/>
      <sheetName val="평택고덕"/>
      <sheetName val="TL"/>
      <sheetName val="열배관"/>
      <sheetName val="해외Summary"/>
      <sheetName val="멕시코 GRUPO"/>
      <sheetName val="가나CCPP"/>
      <sheetName val="스리랑카CCPP"/>
      <sheetName val="멕시코 T-L"/>
      <sheetName val="제목"/>
      <sheetName val="첨부1.채용대상Project별인원채용계획"/>
      <sheetName val="A. 06년9월계획"/>
      <sheetName val="BMW분석"/>
      <sheetName val="C-2 BMW"/>
      <sheetName val="D. 06년사업계획기준인원및 06.3월인워계획분석"/>
      <sheetName val="E. 채용계획1"/>
      <sheetName val="E. 채용계획2"/>
      <sheetName val="본부별,function"/>
      <sheetName val="생산석분석"/>
      <sheetName val="년평균인력+생산성분석"/>
      <sheetName val="01_집계 (Review)"/>
      <sheetName val="2월(대비)"/>
      <sheetName val="만회방안"/>
      <sheetName val="그래프"/>
      <sheetName val="사확-07 계획"/>
      <sheetName val="수주-07 계획"/>
      <sheetName val="07년 4월 실적"/>
      <sheetName val="최초보고안"/>
      <sheetName val="협의안(070403 Rev.1"/>
      <sheetName val="협의안(070403 Rev.2"/>
      <sheetName val="협의안(070403 Rev.2 (첨부용)"/>
      <sheetName val="최초제출본(0609)"/>
      <sheetName val="협의안(070403 Rev.0)"/>
      <sheetName val="대명최종제시금액"/>
      <sheetName val="도급증액협의"/>
      <sheetName val="입찰결과"/>
      <sheetName val="간접비(빠뽀용)"/>
      <sheetName val="총괄(빠뽀용)"/>
      <sheetName val="직접비(빠뽀용)"/>
      <sheetName val="PKG실행A4"/>
      <sheetName val="증액추정"/>
      <sheetName val="ITC 빠뽀"/>
      <sheetName val="07년"/>
      <sheetName val="08년"/>
      <sheetName val="중국 VendorList"/>
      <sheetName val="Sheet1 (3)"/>
      <sheetName val="07년계획 r2-자산기준 배부+ 전사간접비 조정"/>
      <sheetName val="07년계획 -전사간접비 조정전"/>
      <sheetName val="화공플랜트 Variation 조정"/>
      <sheetName val="07년계획 r2-자산기준 배부"/>
      <sheetName val="07년계획 r1"/>
      <sheetName val="06년 계획"/>
      <sheetName val="06년 계획 r1-자산기준배부"/>
      <sheetName val="06년실적 r1-자산기준배부"/>
      <sheetName val="05년 계획 "/>
      <sheetName val="05년 실적"/>
      <sheetName val="04년 계획"/>
      <sheetName val="04년 실적 "/>
      <sheetName val="03년 계획 "/>
      <sheetName val="03년 실적"/>
      <sheetName val="이전 sheet들"/>
      <sheetName val="05년 계획"/>
      <sheetName val="산업플랜트"/>
      <sheetName val="07년계획"/>
      <sheetName val="06년 계획 (2)"/>
      <sheetName val="VXXXXX"/>
      <sheetName val="제1장"/>
      <sheetName val="제2장"/>
      <sheetName val="제3장"/>
      <sheetName val="제4장"/>
      <sheetName val="5장공내역서"/>
      <sheetName val="제6장"/>
      <sheetName val="7작업장인수인계서"/>
      <sheetName val="직불동의서"/>
      <sheetName val="확약서"/>
      <sheetName val="전자입찰"/>
      <sheetName val="소비자가"/>
      <sheetName val="hvac(제어동)"/>
      <sheetName val="Chart18"/>
      <sheetName val="USD-KRW simul"/>
      <sheetName val="1"/>
      <sheetName val="2"/>
      <sheetName val="3"/>
      <sheetName val=".xls)환변동보험손익"/>
      <sheetName val=".xls)해외PJT"/>
      <sheetName val="USD-KRW 변동"/>
      <sheetName val=".xls)멕시코"/>
      <sheetName val="환변동보험 (2)"/>
      <sheetName val=".xls)IB"/>
      <sheetName val="설계"/>
      <sheetName val="사업"/>
      <sheetName val="부분합계"/>
      <sheetName val="지원A - G&amp;A"/>
      <sheetName val="지원B - G&amp;A"/>
      <sheetName val="지원B - PROPOSAL"/>
      <sheetName val="지원B - PROJECT"/>
      <sheetName val="지원C - G&amp;A"/>
      <sheetName val="지원D - G&amp;A"/>
      <sheetName val="지원D- PROPOSAL"/>
      <sheetName val="지원D - PROJECT"/>
      <sheetName val="기타 PD"/>
      <sheetName val="국내"/>
      <sheetName val="작성방법"/>
      <sheetName val="07일반관리비"/>
      <sheetName val="을"/>
      <sheetName val="데이타"/>
      <sheetName val="식재인부"/>
      <sheetName val="ChartWizardSheet"/>
      <sheetName val="08년 수주"/>
      <sheetName val="Chart15"/>
      <sheetName val="Sheet7"/>
      <sheetName val="Sheet6"/>
      <sheetName val="Sheet5"/>
      <sheetName val="Sheet4"/>
      <sheetName val="PL(억원) (법인포함)"/>
      <sheetName val="PL(백만원) (법인포함)"/>
      <sheetName val="PL(억원)"/>
      <sheetName val="PL(백만원)"/>
      <sheetName val="수주실적"/>
      <sheetName val="증감사유"/>
      <sheetName val="계획대비추정"/>
      <sheetName val="국내(대비)"/>
      <sheetName val="05Summary(추정)"/>
      <sheetName val="08국내(추정)"/>
      <sheetName val="08해외원화(추정)"/>
      <sheetName val="08해외USD(추정)"/>
      <sheetName val="08판매비(추정)"/>
      <sheetName val="08하자보수비(추정)"/>
      <sheetName val="08일반관리비(추정)"/>
      <sheetName val="08금융비용(추정)"/>
      <sheetName val="08금융비용(추정) (2)"/>
      <sheetName val="실적자료→"/>
      <sheetName val="PCMS12"/>
      <sheetName val="PCMS01"/>
      <sheetName val="PCMS02"/>
      <sheetName val="PCMS03"/>
      <sheetName val="PCMS04"/>
      <sheetName val="PCMS05"/>
      <sheetName val="PCMS06"/>
      <sheetName val="수금01"/>
      <sheetName val="수금02"/>
      <sheetName val="수금03"/>
      <sheetName val="수금04"/>
      <sheetName val="수금05"/>
      <sheetName val="수금06"/>
      <sheetName val="08년 BL 부록"/>
      <sheetName val="수주LIST"/>
      <sheetName val="내역서"/>
      <sheetName val="갑지(추정)"/>
      <sheetName val="플랜트 설치"/>
      <sheetName val="MONTHLY PO"/>
      <sheetName val="TOTAL"/>
      <sheetName val="플랜트담당"/>
      <sheetName val="화플"/>
      <sheetName val="화플#01"/>
      <sheetName val="화플#02"/>
      <sheetName val="화플#03"/>
      <sheetName val="산플"/>
      <sheetName val="산플#01"/>
      <sheetName val="산플#02"/>
      <sheetName val="U사업"/>
      <sheetName val="WVAL"/>
      <sheetName val="기성신청"/>
      <sheetName val="전기일위대가"/>
      <sheetName val="일위대가"/>
      <sheetName val="BOQ건축"/>
      <sheetName val="설계서"/>
      <sheetName val="금융비용"/>
      <sheetName val="#REF"/>
      <sheetName val="Chart4"/>
      <sheetName val="I. 수주"/>
      <sheetName val="I-1.1 (R)"/>
      <sheetName val="I-1.1"/>
      <sheetName val="I-2.1 (화플1)"/>
      <sheetName val="I-2.1 (화플2)"/>
      <sheetName val="I-2.1 (화플3)"/>
      <sheetName val="I-2.1 (산플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sheetData sheetId="224"/>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sheetData sheetId="374"/>
      <sheetData sheetId="375"/>
      <sheetData sheetId="376"/>
      <sheetData sheetId="377"/>
      <sheetData sheetId="378"/>
      <sheetData sheetId="379"/>
      <sheetData sheetId="380"/>
      <sheetData sheetId="381"/>
      <sheetData sheetId="382"/>
      <sheetData sheetId="383"/>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Set>
  </externalBook>
</externalLink>
</file>

<file path=xl/externalLinks/externalLink6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REF"/>
      <sheetName val="유림골조"/>
      <sheetName val="와동25-3(변경)"/>
      <sheetName val="공통부대비"/>
      <sheetName val="새공통(96임금인상기준)"/>
      <sheetName val="유림총괄"/>
      <sheetName val="비교1"/>
      <sheetName val="봉천제출"/>
      <sheetName val="구의33고"/>
      <sheetName val="공통비(전체)"/>
      <sheetName val="태화42 "/>
      <sheetName val="토목공사"/>
      <sheetName val="단가표"/>
      <sheetName val="001 연결끊기용(내용없음)"/>
      <sheetName val="유림콘도"/>
      <sheetName val="삭제금지단가"/>
      <sheetName val="XL4Poppy"/>
      <sheetName val="상반기손익차2총괄"/>
      <sheetName val="영업소실적"/>
      <sheetName val="97 사업추정(WEKI)"/>
      <sheetName val="9-1차이내역"/>
      <sheetName val="주관사업"/>
      <sheetName val="손익차9월2"/>
      <sheetName val="수입"/>
      <sheetName val="작업지시서-1호"/>
      <sheetName val="Sheet4"/>
      <sheetName val="물량내역서"/>
      <sheetName val="공통가설"/>
      <sheetName val="1월"/>
      <sheetName val="신대방33(적용)"/>
      <sheetName val="동별 및 층별 면적표"/>
      <sheetName val="기본데이타"/>
      <sheetName val="일위대가"/>
      <sheetName val="실행갑지"/>
      <sheetName val="2공구산출내역"/>
      <sheetName val="목표세부명세"/>
      <sheetName val="database"/>
      <sheetName val="현장경비"/>
      <sheetName val="방배동내역(리라)"/>
      <sheetName val="현장관리비"/>
      <sheetName val="건축원가"/>
      <sheetName val="건축공사실행"/>
      <sheetName val="건축공사집계표"/>
      <sheetName val="방배동내역 (총괄)"/>
      <sheetName val="부대공사총괄"/>
      <sheetName val="공사개요"/>
      <sheetName val="1차설계변경내역"/>
      <sheetName val="01"/>
      <sheetName val="Sheet2"/>
      <sheetName val="급여관련자료"/>
      <sheetName val="대비"/>
      <sheetName val="맨홀"/>
      <sheetName val="5.공종별예산내역서"/>
      <sheetName val=""/>
      <sheetName val="을지"/>
      <sheetName val="최적단면"/>
      <sheetName val="99년하반기"/>
      <sheetName val="BSD (2)"/>
      <sheetName val="철근집계표"/>
      <sheetName val="공통비총괄표"/>
      <sheetName val="일반공사"/>
      <sheetName val="돈암사업"/>
      <sheetName val="노임이"/>
      <sheetName val="CONCRETE"/>
      <sheetName val="견적조건"/>
      <sheetName val="Sheet5"/>
      <sheetName val="갑지(추정)"/>
      <sheetName val="esc"/>
      <sheetName val="동해title"/>
      <sheetName val="대비표(토공1안)"/>
      <sheetName val="BSD _2_"/>
      <sheetName val="새공통"/>
      <sheetName val="unit 4"/>
      <sheetName val="입찰내역 발주처 양식"/>
      <sheetName val="총괄"/>
      <sheetName val="태화42_"/>
      <sheetName val="001_연결끊기용(내용없음)"/>
      <sheetName val="97_사업추정(WEKI)"/>
      <sheetName val="#3E1_GCR"/>
      <sheetName val="조명시설"/>
      <sheetName val="터파기및재료"/>
      <sheetName val="갑지"/>
      <sheetName val="공조기"/>
      <sheetName val="물량산출근거"/>
      <sheetName val="저"/>
      <sheetName val="대비표"/>
      <sheetName val="동별내역-3월5일"/>
      <sheetName val="부대시설"/>
      <sheetName val="Apt내역"/>
      <sheetName val="예적금"/>
      <sheetName val="부대내역"/>
      <sheetName val="인천제철"/>
      <sheetName val="견적내역서"/>
      <sheetName val="실행철강하도"/>
      <sheetName val="(0"/>
      <sheetName val="공통비"/>
      <sheetName val="의뢰서"/>
      <sheetName val="P.M 별"/>
      <sheetName val="견적서"/>
      <sheetName val="기본자료"/>
      <sheetName val="유효성검사"/>
      <sheetName val="건물개요"/>
      <sheetName val="투자산정"/>
      <sheetName val="토지조서"/>
      <sheetName val="A&amp;R"/>
      <sheetName val="6조직표"/>
      <sheetName val="일반수량 총집"/>
      <sheetName val="철근수량 총집"/>
      <sheetName val="단면 (2)"/>
      <sheetName val="데이타"/>
      <sheetName val="Cash2"/>
      <sheetName val="Z"/>
      <sheetName val="인제내역"/>
      <sheetName val="FAB별"/>
      <sheetName val="목차"/>
      <sheetName val="6PILE  (돌출)"/>
      <sheetName val="금액내역서"/>
      <sheetName val="DRUM"/>
      <sheetName val="안산기계장치"/>
      <sheetName val="물량표S"/>
      <sheetName val="기타비용(추가)"/>
      <sheetName val="약품공급2"/>
      <sheetName val="수량산출서 갑지"/>
      <sheetName val="수량산출"/>
      <sheetName val="임대차전략"/>
      <sheetName val="CostData"/>
      <sheetName val="IncomeData"/>
      <sheetName val="Summary"/>
      <sheetName val="PropertyData"/>
      <sheetName val="인사자료총집계"/>
      <sheetName val="plan&amp;section of foundation"/>
      <sheetName val="design criteria"/>
      <sheetName val="LTG_DATA"/>
      <sheetName val="구천"/>
      <sheetName val="동별_및_층별_면적표"/>
      <sheetName val="운반비(시흥)"/>
      <sheetName val="F4-F7"/>
      <sheetName val="공문"/>
      <sheetName val="내역서"/>
      <sheetName val="금융비용"/>
      <sheetName val="0226"/>
      <sheetName val="견적의뢰"/>
      <sheetName val="CTEMCOST"/>
      <sheetName val="실행"/>
      <sheetName val="노임단가"/>
      <sheetName val="간접비"/>
      <sheetName val="TOWER 10TON"/>
      <sheetName val="식재인부"/>
      <sheetName val="DATA"/>
      <sheetName val="주식"/>
      <sheetName val="집계표"/>
      <sheetName val="표지"/>
      <sheetName val="일위"/>
      <sheetName val="Total"/>
      <sheetName val="변경내역대비표(2)"/>
      <sheetName val="중기사용료"/>
      <sheetName val="1~9 하중계산"/>
      <sheetName val="대전21토목내역서"/>
      <sheetName val="매크로"/>
      <sheetName val="교통대책내역"/>
      <sheetName val="예산실적전체당월"/>
      <sheetName val="프랜트면허"/>
      <sheetName val="토목주소"/>
      <sheetName val="철골공사"/>
      <sheetName val="DATA1"/>
      <sheetName val="8.PILE  (돌출)"/>
      <sheetName val="본사공가현황"/>
      <sheetName val="일위대가(가설)"/>
      <sheetName val="리스(CIF)산출"/>
      <sheetName val="工완성공사율"/>
      <sheetName val="Variable"/>
      <sheetName val="경비"/>
      <sheetName val="2.대외공문"/>
      <sheetName val="CODE"/>
      <sheetName val="COVER"/>
      <sheetName val="건축집계표"/>
      <sheetName val="ELECTRIC"/>
      <sheetName val="연돌일위집계"/>
      <sheetName val="TTL"/>
      <sheetName val="BQMPALOC"/>
      <sheetName val="TOWER 12TON"/>
      <sheetName val="203"/>
      <sheetName val="인건비"/>
      <sheetName val="단중표"/>
      <sheetName val="단가조견표"/>
      <sheetName val="수량(육교용)"/>
      <sheetName val="수량증감"/>
      <sheetName val="수량집계표"/>
      <sheetName val="경비실"/>
      <sheetName val="산근"/>
      <sheetName val="아파트 기성내역서"/>
      <sheetName val="차액보증"/>
      <sheetName val="자료"/>
      <sheetName val="단"/>
      <sheetName val="갑지1"/>
      <sheetName val="BOQ건축"/>
      <sheetName val="고자현황"/>
      <sheetName val="99노임기준"/>
      <sheetName val="단가"/>
      <sheetName val="1.공사개요(입력)"/>
      <sheetName val="COMPARISON TABLE"/>
      <sheetName val="태화42_1"/>
      <sheetName val="001_연결끊기용(내용없음)1"/>
      <sheetName val="97_사업추정(WEKI)1"/>
      <sheetName val="방배동내역_(총괄)"/>
      <sheetName val="BSD_(2)"/>
      <sheetName val="BSD__2_"/>
      <sheetName val="5_공종별예산내역서"/>
      <sheetName val="unit_4"/>
      <sheetName val="입찰내역_발주처_양식"/>
      <sheetName val="P_M_별"/>
      <sheetName val="일반수량_총집"/>
      <sheetName val="철근수량_총집"/>
      <sheetName val="단면_(2)"/>
      <sheetName val="6PILE__(돌출)"/>
      <sheetName val="설계예산서"/>
      <sheetName val="설계"/>
      <sheetName val="B"/>
      <sheetName val="SCHEDULE"/>
      <sheetName val="분양가표"/>
      <sheetName val="APT-Info"/>
      <sheetName val="세대별 가격산출"/>
      <sheetName val="역T형옹벽(3.0)"/>
      <sheetName val="물건조서"/>
      <sheetName val="보고"/>
      <sheetName val="지장물평가기준"/>
      <sheetName val="C.배수관공"/>
      <sheetName val="배수내역"/>
      <sheetName val="Drop_menu"/>
      <sheetName val="BLDG_Prime_list"/>
      <sheetName val="DHEQSUPT"/>
      <sheetName val="예가표"/>
      <sheetName val="FB25JN"/>
      <sheetName val="계산근거"/>
      <sheetName val="N賃率-職"/>
      <sheetName val="본사출하"/>
      <sheetName val="현지요약"/>
      <sheetName val="転記用"/>
      <sheetName val="賃貸条件"/>
      <sheetName val="방배2E"/>
      <sheetName val="예산내역서"/>
      <sheetName val="II손익관리"/>
      <sheetName val="Baby일위대가"/>
      <sheetName val="추가예산"/>
      <sheetName val="대림경상68억"/>
      <sheetName val="인원계획-미화"/>
      <sheetName val="Door"/>
      <sheetName val="EW"/>
      <sheetName val="IW"/>
      <sheetName val="Wdw"/>
      <sheetName val="LISTS"/>
      <sheetName val="단면가정"/>
      <sheetName val="은행"/>
      <sheetName val="입력"/>
      <sheetName val="일집"/>
      <sheetName val="40총괄"/>
      <sheetName val="40집계"/>
      <sheetName val="1.설계기준"/>
      <sheetName val="전체내역서"/>
      <sheetName val="기성내역"/>
      <sheetName val="산출근거"/>
      <sheetName val="전신환매도율"/>
      <sheetName val="본선 토공 분배표"/>
      <sheetName val="대비2"/>
      <sheetName val="당초"/>
      <sheetName val="설계내역서"/>
      <sheetName val="품셈TABLE"/>
      <sheetName val="가설배관"/>
      <sheetName val="공비대비"/>
      <sheetName val="3.공통공사대비"/>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sheetData sheetId="77"/>
      <sheetData sheetId="78"/>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sheetData sheetId="253" refreshError="1"/>
      <sheetData sheetId="254" refreshError="1"/>
      <sheetData sheetId="255" refreshError="1"/>
      <sheetData sheetId="256"/>
      <sheetData sheetId="257"/>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Set>
  </externalBook>
</externalLink>
</file>

<file path=xl/externalLinks/externalLink6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산근"/>
      <sheetName val="갑지"/>
      <sheetName val="PROPOSAL"/>
      <sheetName val="Piping Design Data"/>
      <sheetName val="Sheet4"/>
      <sheetName val="재료비"/>
      <sheetName val="#REF"/>
      <sheetName val="갑지(추정)"/>
      <sheetName val="2-Conc"/>
      <sheetName val="VXXXXX"/>
      <sheetName val="할증 "/>
      <sheetName val="INSTR"/>
      <sheetName val="연돌일위집계"/>
      <sheetName val="TOTAL"/>
      <sheetName val="M 11"/>
      <sheetName val="Data"/>
      <sheetName val="집계표(OPTION)"/>
      <sheetName val="2,000"/>
      <sheetName val="Chiet tinh dz35"/>
      <sheetName val="Chiet tinh dz22"/>
      <sheetName val="CT Thang Mo"/>
      <sheetName val="CT  PL"/>
      <sheetName val="MTP"/>
      <sheetName val="MTP1"/>
      <sheetName val="금액내역서"/>
      <sheetName val="M3산출"/>
      <sheetName val="BAND(200)"/>
      <sheetName val="EL 표면적"/>
      <sheetName val="부하(성남)"/>
      <sheetName val="기성내역"/>
      <sheetName val="BW"/>
      <sheetName val="COVER"/>
      <sheetName val="BQMPALOC"/>
      <sheetName val="공사비예산서(토목분)"/>
      <sheetName val="LEGEND"/>
      <sheetName val="대비표"/>
      <sheetName val="footing"/>
      <sheetName val="AREA"/>
      <sheetName val="찍기"/>
      <sheetName val="BQ List"/>
      <sheetName val="pipe"/>
      <sheetName val="10241PIP1ON-SITE"/>
      <sheetName val="10241EQLIST"/>
      <sheetName val="jobhist"/>
      <sheetName val="Quantity"/>
      <sheetName val="EQUIP LIST"/>
      <sheetName val="Process Piping"/>
      <sheetName val="SPEC"/>
      <sheetName val="Sheet1"/>
      <sheetName val="단면가정"/>
      <sheetName val="설계조건"/>
      <sheetName val="MTO REV.2(ARMOR)"/>
      <sheetName val="D-3109"/>
      <sheetName val="anti-termite"/>
      <sheetName val="공문"/>
      <sheetName val="HX"/>
      <sheetName val="D-623D"/>
      <sheetName val="B"/>
      <sheetName val="97년추정손익계산서"/>
      <sheetName val="15100"/>
      <sheetName val="견적"/>
      <sheetName val="000000"/>
      <sheetName val="indice"/>
      <sheetName val="BOQ"/>
      <sheetName val="General Data"/>
      <sheetName val="PROCURE"/>
      <sheetName val="배명(단가)"/>
      <sheetName val="자재단가"/>
      <sheetName val="Civil"/>
      <sheetName val="DB@Acess"/>
      <sheetName val="6PILE  (돌출)"/>
      <sheetName val="HRB"/>
      <sheetName val="Payroll_Deduction-Feb 2008"/>
      <sheetName val="견"/>
      <sheetName val="Zinsen"/>
      <sheetName val="Piping_Design_Data"/>
      <sheetName val="할증_"/>
      <sheetName val="equiplist"/>
      <sheetName val="INPUT DATA OF SCHEDULE"/>
      <sheetName val="PI"/>
      <sheetName val="Ummantelung"/>
      <sheetName val=" Armaflex "/>
      <sheetName val="Drahtnetzmatte"/>
      <sheetName val="   Basis-Kalk.   "/>
      <sheetName val="MW-Schale, alukasch."/>
      <sheetName val="UK, Kleinmaterial"/>
      <sheetName val="PUR, FOAMGLAS"/>
      <sheetName val="INVOICE_CERT EIV'S"/>
      <sheetName val="Finansal tamamlanma Eğrisi"/>
      <sheetName val="M_11"/>
      <sheetName val="Chiet_tinh_dz35"/>
      <sheetName val="Chiet_tinh_dz22"/>
      <sheetName val="CT_Thang_Mo"/>
      <sheetName val="CT__PL"/>
      <sheetName val="EL_표면적"/>
      <sheetName val="BQ_List"/>
      <sheetName val="EQUIP_LIST"/>
      <sheetName val="Process_Piping"/>
      <sheetName val="MTO_REV_2(ARMOR)"/>
      <sheetName val="Backup"/>
      <sheetName val="insulation"/>
      <sheetName val="PipWT"/>
      <sheetName val="자바라1"/>
      <sheetName val="해외 연수비용 계산-삭제"/>
      <sheetName val="해외 기술훈련비 (합계)"/>
      <sheetName val="조도계산서 (도서)"/>
      <sheetName val="일위대가목차"/>
      <sheetName val="Equip Sch."/>
      <sheetName val="SCHED PROGRESS"/>
      <sheetName val="INVOICE_CERT_EIV'S"/>
      <sheetName val="Equip_Sch_"/>
      <sheetName val="SCHED_PROGRESS"/>
      <sheetName val="내역"/>
      <sheetName val="INDEX"/>
      <sheetName val="PLANT"/>
      <sheetName val="SUM FSBLT"/>
      <sheetName val="VOLSUM"/>
      <sheetName val="WPSUM"/>
      <sheetName val="PCWBS_MAP"/>
      <sheetName val="WKFRM1"/>
      <sheetName val="WKFRM2"/>
      <sheetName val="SQNC-1"/>
      <sheetName val="SQNC-2"/>
      <sheetName val="SQNC-3"/>
      <sheetName val="MILSTN"/>
      <sheetName val="MASTSCH"/>
      <sheetName val="MOBALL"/>
      <sheetName val="CRDIDX"/>
      <sheetName val="PROGALL"/>
      <sheetName val="2538M"/>
      <sheetName val="ORGZN"/>
      <sheetName val="STAFSCH"/>
      <sheetName val="SUB_Map"/>
      <sheetName val="PERFEVA"/>
      <sheetName val="PIPE50%A"/>
      <sheetName val="PIPE50%B"/>
      <sheetName val="STFMHANZ"/>
      <sheetName val="CMHANZ"/>
      <sheetName val="MPDATA1000"/>
      <sheetName val="MPDATA2000"/>
      <sheetName val="MPDATA3000"/>
      <sheetName val="MPDATA4000"/>
      <sheetName val="MPDATA5000"/>
      <sheetName val="MPDATA6000"/>
      <sheetName val="MPDATA7000"/>
      <sheetName val="MPDATA8000"/>
      <sheetName val="MPDATA9_A_B"/>
      <sheetName val="BQCONV"/>
      <sheetName val="SCINF1"/>
      <sheetName val="SCINF2"/>
      <sheetName val="KNOWHOW_MEMO"/>
      <sheetName val="EQUIPMOB"/>
      <sheetName val="TEMP_FAC"/>
      <sheetName val="7000(rev)"/>
      <sheetName val="SUMMARY"/>
      <sheetName val="3000-A"/>
      <sheetName val="5000-A"/>
      <sheetName val="6000-A"/>
      <sheetName val="9000-A"/>
      <sheetName val="管道资料"/>
      <sheetName val="9DATA"/>
      <sheetName val="A000-A"/>
      <sheetName val="0DATA"/>
      <sheetName val="9管道资料"/>
      <sheetName val="FWBS 9000"/>
      <sheetName val="Overall Project"/>
      <sheetName val="Overall Process"/>
      <sheetName val="Overall Utility"/>
      <sheetName val="1000"/>
      <sheetName val="FWBS 1000"/>
      <sheetName val="2000"/>
      <sheetName val="FWBS 2000"/>
      <sheetName val="3000"/>
      <sheetName val="FWBS 3000"/>
      <sheetName val="5000"/>
      <sheetName val="FWBS 5000"/>
      <sheetName val="6000"/>
      <sheetName val="FWBS 6000"/>
      <sheetName val="7000"/>
      <sheetName val="FWBS 7000"/>
      <sheetName val="8000"/>
      <sheetName val="FWBS 8000"/>
      <sheetName val="9000"/>
      <sheetName val="A000"/>
      <sheetName val="FWBS A000"/>
      <sheetName val="B000"/>
      <sheetName val="FWBS B000"/>
      <sheetName val="Z000"/>
      <sheetName val="FWBS Z000"/>
      <sheetName val="TYPE-A"/>
      <sheetName val="12CGOU"/>
      <sheetName val="Final(1)summary"/>
      <sheetName val="Chart"/>
      <sheetName val="SUM_FSBLT"/>
      <sheetName val="FWBS_9000"/>
      <sheetName val="Overall_Project"/>
      <sheetName val="Overall_Process"/>
      <sheetName val="Overall_Utility"/>
      <sheetName val="FWBS_1000"/>
      <sheetName val="FWBS_2000"/>
      <sheetName val="FWBS_3000"/>
      <sheetName val="FWBS_5000"/>
      <sheetName val="FWBS_6000"/>
      <sheetName val="FWBS_7000"/>
      <sheetName val="FWBS_8000"/>
      <sheetName val="FWBS_A000"/>
      <sheetName val="FWBS_B000"/>
      <sheetName val="FWBS_Z000"/>
      <sheetName val="COA-17"/>
      <sheetName val="C-18"/>
      <sheetName val="95신규호표"/>
      <sheetName val="SALA-002"/>
      <sheetName val="A"/>
      <sheetName val="PNTEXT"/>
      <sheetName val="Planning&amp;reporting"/>
      <sheetName val="Cash2"/>
      <sheetName val="Z"/>
      <sheetName val="EE-PROP"/>
      <sheetName val="DRUM"/>
      <sheetName val="집계표"/>
      <sheetName val="Basic"/>
      <sheetName val="Building BD"/>
      <sheetName val="0000"/>
      <sheetName val="Onerous Terms"/>
      <sheetName val="EQUIPMENT"/>
      <sheetName val="嗔5喸5"/>
      <sheetName val="표지"/>
      <sheetName val="자금운영"/>
      <sheetName val="도"/>
      <sheetName val=" Sum"/>
      <sheetName val="33628-Rev. A"/>
      <sheetName val="TTL"/>
      <sheetName val="실제 도면출도"/>
      <sheetName val="SOHAR(2nd)"/>
      <sheetName val="공사비 내역 (가)"/>
      <sheetName val="ENE-CAL"/>
      <sheetName val="plan&amp;section of foundation"/>
      <sheetName val="design criteria"/>
      <sheetName val="CAL"/>
      <sheetName val="w't table"/>
      <sheetName val="BQMP"/>
      <sheetName val="DESCRIPTION"/>
      <sheetName val="BM DATA SHEET"/>
      <sheetName val="Eq. Mobilization"/>
      <sheetName val="당초"/>
      <sheetName val="CÓDIGOS"/>
      <sheetName val="정부노임단가"/>
      <sheetName val="플랜트 설치"/>
      <sheetName val="월별"/>
      <sheetName val="inter"/>
      <sheetName val="PIPE-HOT"/>
      <sheetName val="CODE"/>
      <sheetName val="단면검토"/>
      <sheetName val="Default"/>
      <sheetName val="C &amp; G RHS"/>
      <sheetName val="95삼성급(본사)"/>
      <sheetName val="SHL"/>
      <sheetName val="WBS 44"/>
      <sheetName val="WBS 41"/>
      <sheetName val="실행내역"/>
      <sheetName val="MEASURE LIST"/>
      <sheetName val="Code_Magics"/>
      <sheetName val="Default_Magics"/>
      <sheetName val="bldg list"/>
      <sheetName val="의왕"/>
      <sheetName val="Piping_Design_Data1"/>
      <sheetName val="할증_1"/>
      <sheetName val="M_111"/>
      <sheetName val="EL_표면적1"/>
      <sheetName val="Chiet_tinh_dz351"/>
      <sheetName val="Chiet_tinh_dz221"/>
      <sheetName val="CT_Thang_Mo1"/>
      <sheetName val="CT__PL1"/>
      <sheetName val="BQ_List1"/>
      <sheetName val="Process_Piping1"/>
      <sheetName val="EQUIP_LIST1"/>
      <sheetName val="MTO_REV_2(ARMOR)1"/>
      <sheetName val="6PILE__(돌출)"/>
      <sheetName val="General_Data"/>
      <sheetName val="_Armaflex_"/>
      <sheetName val="___Basis-Kalk____"/>
      <sheetName val="MW-Schale,_alukasch_"/>
      <sheetName val="UK,_Kleinmaterial"/>
      <sheetName val="PUR,_FOAMGLAS"/>
      <sheetName val="Payroll_Deduction-Feb_2008"/>
      <sheetName val="INPUT_DATA_OF_SCHEDULE"/>
      <sheetName val="Finansal_tamamlanma_Eğrisi"/>
      <sheetName val="해외_연수비용_계산-삭제"/>
      <sheetName val="해외_기술훈련비_(합계)"/>
      <sheetName val="Piping_Design_Data2"/>
      <sheetName val="할증_2"/>
      <sheetName val="M_112"/>
      <sheetName val="EL_표면적2"/>
      <sheetName val="Chiet_tinh_dz352"/>
      <sheetName val="Chiet_tinh_dz222"/>
      <sheetName val="CT_Thang_Mo2"/>
      <sheetName val="CT__PL2"/>
      <sheetName val="BQ_List2"/>
      <sheetName val="Process_Piping2"/>
      <sheetName val="EQUIP_LIST2"/>
      <sheetName val="MTO_REV_2(ARMOR)2"/>
      <sheetName val="6PILE__(돌출)1"/>
      <sheetName val="General_Data1"/>
      <sheetName val="_Armaflex_1"/>
      <sheetName val="___Basis-Kalk____1"/>
      <sheetName val="MW-Schale,_alukasch_1"/>
      <sheetName val="UK,_Kleinmaterial1"/>
      <sheetName val="PUR,_FOAMGLAS1"/>
      <sheetName val="Payroll_Deduction-Feb_20081"/>
      <sheetName val="INPUT_DATA_OF_SCHEDULE1"/>
      <sheetName val="INVOICE_CERT_EIV'S1"/>
      <sheetName val="Finansal_tamamlanma_Eğrisi1"/>
      <sheetName val="해외_연수비용_계산-삭제1"/>
      <sheetName val="해외_기술훈련비_(합계)1"/>
      <sheetName val="Piping_Design_Data3"/>
      <sheetName val="할증_3"/>
      <sheetName val="M_113"/>
      <sheetName val="EL_표면적3"/>
      <sheetName val="Chiet_tinh_dz353"/>
      <sheetName val="Chiet_tinh_dz223"/>
      <sheetName val="CT_Thang_Mo3"/>
      <sheetName val="CT__PL3"/>
      <sheetName val="BQ_List3"/>
      <sheetName val="Process_Piping3"/>
      <sheetName val="EQUIP_LIST3"/>
      <sheetName val="MTO_REV_2(ARMOR)3"/>
      <sheetName val="6PILE__(돌출)2"/>
      <sheetName val="General_Data2"/>
      <sheetName val="_Armaflex_2"/>
      <sheetName val="___Basis-Kalk____2"/>
      <sheetName val="MW-Schale,_alukasch_2"/>
      <sheetName val="UK,_Kleinmaterial2"/>
      <sheetName val="PUR,_FOAMGLAS2"/>
      <sheetName val="Payroll_Deduction-Feb_20082"/>
      <sheetName val="INPUT_DATA_OF_SCHEDULE2"/>
      <sheetName val="INVOICE_CERT_EIV'S2"/>
      <sheetName val="Finansal_tamamlanma_Eğrisi2"/>
      <sheetName val="해외_연수비용_계산-삭제2"/>
      <sheetName val="해외_기술훈련비_(합계)2"/>
      <sheetName val="Piping_Design_Data4"/>
      <sheetName val="할증_4"/>
      <sheetName val="M_114"/>
      <sheetName val="EL_표면적4"/>
      <sheetName val="Chiet_tinh_dz354"/>
      <sheetName val="Chiet_tinh_dz224"/>
      <sheetName val="CT_Thang_Mo4"/>
      <sheetName val="CT__PL4"/>
      <sheetName val="BQ_List4"/>
      <sheetName val="Process_Piping4"/>
      <sheetName val="EQUIP_LIST4"/>
      <sheetName val="MTO_REV_2(ARMOR)4"/>
      <sheetName val="6PILE__(돌출)3"/>
      <sheetName val="General_Data3"/>
      <sheetName val="_Armaflex_3"/>
      <sheetName val="___Basis-Kalk____3"/>
      <sheetName val="MW-Schale,_alukasch_3"/>
      <sheetName val="UK,_Kleinmaterial3"/>
      <sheetName val="PUR,_FOAMGLAS3"/>
      <sheetName val="Payroll_Deduction-Feb_20083"/>
      <sheetName val="INPUT_DATA_OF_SCHEDULE3"/>
      <sheetName val="INVOICE_CERT_EIV'S3"/>
      <sheetName val="Finansal_tamamlanma_Eğrisi3"/>
      <sheetName val="해외_연수비용_계산-삭제3"/>
      <sheetName val="해외_기술훈련비_(합계)3"/>
      <sheetName val="Piping_Design_Data5"/>
      <sheetName val="할증_5"/>
      <sheetName val="M_115"/>
      <sheetName val="EL_표면적5"/>
      <sheetName val="Chiet_tinh_dz355"/>
      <sheetName val="Chiet_tinh_dz225"/>
      <sheetName val="CT_Thang_Mo5"/>
      <sheetName val="CT__PL5"/>
      <sheetName val="BQ_List5"/>
      <sheetName val="Process_Piping5"/>
      <sheetName val="EQUIP_LIST5"/>
      <sheetName val="MTO_REV_2(ARMOR)5"/>
      <sheetName val="6PILE__(돌출)4"/>
      <sheetName val="General_Data4"/>
      <sheetName val="_Armaflex_4"/>
      <sheetName val="___Basis-Kalk____4"/>
      <sheetName val="MW-Schale,_alukasch_4"/>
      <sheetName val="UK,_Kleinmaterial4"/>
      <sheetName val="PUR,_FOAMGLAS4"/>
      <sheetName val="Payroll_Deduction-Feb_20084"/>
      <sheetName val="INPUT_DATA_OF_SCHEDULE4"/>
      <sheetName val="INVOICE_CERT_EIV'S4"/>
      <sheetName val="Finansal_tamamlanma_Eğrisi4"/>
      <sheetName val="해외_연수비용_계산-삭제4"/>
      <sheetName val="해외_기술훈련비_(합계)4"/>
      <sheetName val="07-Raw Mill Grinding"/>
      <sheetName val="08-Farin Silo"/>
      <sheetName val="10-Pre Heater"/>
      <sheetName val="11-Rotary Kiln"/>
      <sheetName val="12+13 Clinker Cooler"/>
      <sheetName val=" 15-Clinker Storage"/>
      <sheetName val="17+18 Lineer Storage"/>
      <sheetName val="20 Cement Mill Dept."/>
      <sheetName val="22 Cement Silos Truck"/>
      <sheetName val="23 Cement Silos Train"/>
      <sheetName val="24+26 Cement Packing Truck"/>
      <sheetName val="25+27 Cement Packing Train"/>
      <sheetName val="DATABASE"/>
      <sheetName val="AG Pipe Qty Analysis"/>
      <sheetName val="Proj Cost Sumry"/>
      <sheetName val="Equip_Sch_1"/>
      <sheetName val="SCHED_PROGRESS1"/>
      <sheetName val="조도계산서_(도서)"/>
      <sheetName val="SUM_FSBLT1"/>
      <sheetName val="FWBS_90001"/>
      <sheetName val="Overall_Project1"/>
      <sheetName val="Overall_Process1"/>
      <sheetName val="Overall_Utility1"/>
      <sheetName val="FWBS_10001"/>
      <sheetName val="FWBS_20001"/>
      <sheetName val="FWBS_30001"/>
      <sheetName val="FWBS_50001"/>
      <sheetName val="FWBS_60001"/>
      <sheetName val="FWBS_70001"/>
      <sheetName val="FWBS_80001"/>
      <sheetName val="FWBS_A0001"/>
      <sheetName val="FWBS_B0001"/>
      <sheetName val="FWBS_Z0001"/>
      <sheetName val="Building_BD"/>
      <sheetName val="Onerous_Terms"/>
      <sheetName val="_Sum"/>
      <sheetName val="33628-Rev__A"/>
      <sheetName val="실제_도면출도"/>
      <sheetName val="공사비_내역_(가)"/>
      <sheetName val="plan&amp;section_of_foundation"/>
      <sheetName val="design_criteria"/>
      <sheetName val="w't_table"/>
      <sheetName val="BM_DATA_SHEET"/>
      <sheetName val="Eq__Mobilization"/>
      <sheetName val="플랜트_설치"/>
      <sheetName val="C_&amp;_G_RHS"/>
      <sheetName val="AG_Pipe_Qty_Analysis"/>
      <sheetName val="Proj_Cost_Sumry"/>
      <sheetName val="Rates"/>
      <sheetName val="DropLists"/>
      <sheetName val="Appendix A14"/>
      <sheetName val="M"/>
      <sheetName val="Kiss"/>
      <sheetName val="List"/>
      <sheetName val="ITI"/>
      <sheetName val="IS"/>
      <sheetName val="MCS"/>
      <sheetName val="Act"/>
      <sheetName val="Late"/>
      <sheetName val="Disc"/>
      <sheetName val="PO-MFG-CT"/>
      <sheetName val="Sheet2"/>
      <sheetName val="Input"/>
      <sheetName val="03년 현장공사비 실적 총괄"/>
      <sheetName val="03년 현장공사비 실적 상세"/>
      <sheetName val="03년 현장자재 및 장비비 실적총괄"/>
      <sheetName val="03년 현장 외주비.자재 및 장비비 실적"/>
      <sheetName val="5대총괄"/>
      <sheetName val="??"/>
      <sheetName val="__"/>
      <sheetName val="97 사업추정(WEKI)"/>
      <sheetName val="Appendix_A14"/>
      <sheetName val="03년_현장공사비_실적_총괄"/>
      <sheetName val="03년_현장공사비_실적_상세"/>
      <sheetName val="03년_현장자재_및_장비비_실적총괄"/>
      <sheetName val="03년_현장_외주비_자재_및_장비비_실적"/>
      <sheetName val="97_사업추정(WEKI)"/>
      <sheetName val="운반"/>
      <sheetName val="ASCEandUBC"/>
      <sheetName val="trf(36%)"/>
      <sheetName val="증감대비"/>
      <sheetName val="공종단가"/>
      <sheetName val="단면치수"/>
      <sheetName val="별표총괄"/>
      <sheetName val="예총"/>
      <sheetName val="Tables 3.1 to 3.5 EXH G"/>
      <sheetName val="BQB000"/>
      <sheetName val="MEASURE_LIST"/>
      <sheetName val="Cashflow Analysis"/>
      <sheetName val="PROC%"/>
      <sheetName val="Riesgos y Oportunidades"/>
      <sheetName val="人工时台账"/>
      <sheetName val="Estimating"/>
      <sheetName val="DB_ET200(R. A)"/>
      <sheetName val="Parameters"/>
      <sheetName val="HO Staff Rates 2018-I scale"/>
      <sheetName val="Crew Summary"/>
      <sheetName val="Master Field Staff List"/>
      <sheetName val="PRO_DCI"/>
      <sheetName val="INST_DCI"/>
      <sheetName val="HVAC_DCI"/>
      <sheetName val="PIPE_DCI"/>
      <sheetName val="EQUIPMENT _2"/>
      <sheetName val="Indirect"/>
      <sheetName val="Schedule "/>
      <sheetName val="Loading Struc"/>
      <sheetName val="Loading Pip"/>
      <sheetName val="Loading Overall (BASE Proposal)"/>
      <sheetName val="SCaffold"/>
      <sheetName val="Steel Structure"/>
      <sheetName val="UR"/>
      <sheetName val="Ref-Str"/>
      <sheetName val="PIPING AG-UG_NEW UNITS"/>
      <sheetName val="MEC_PIPING PREFABR"/>
      <sheetName val="Ref-Pip"/>
      <sheetName val="Working File-Pip"/>
      <sheetName val="Consumables"/>
      <sheetName val="NDT"/>
      <sheetName val="VALVES"/>
      <sheetName val="Supports"/>
      <sheetName val="Miscellaneous"/>
      <sheetName val="Equip_ISBL &amp; OSBL "/>
      <sheetName val="Painting"/>
      <sheetName val="INS-Piping"/>
      <sheetName val="INS-Equipment"/>
      <sheetName val="ELECTRICITY"/>
      <sheetName val="INSTRUMENTATION"/>
      <sheetName val="Piping_Design_Data6"/>
      <sheetName val="할증_6"/>
      <sheetName val="M_116"/>
      <sheetName val="Chiet_tinh_dz356"/>
      <sheetName val="Chiet_tinh_dz226"/>
      <sheetName val="CT_Thang_Mo6"/>
      <sheetName val="CT__PL6"/>
      <sheetName val="EQUIP_LIST6"/>
      <sheetName val="Process_Piping6"/>
      <sheetName val="EL_표면적6"/>
      <sheetName val="MTO_REV_2(ARMOR)6"/>
      <sheetName val="BQ_List6"/>
      <sheetName val="Finansal_tamamlanma_Eğrisi5"/>
      <sheetName val="6PILE__(돌출)5"/>
      <sheetName val="_Armaflex_5"/>
      <sheetName val="___Basis-Kalk____5"/>
      <sheetName val="MW-Schale,_alukasch_5"/>
      <sheetName val="UK,_Kleinmaterial5"/>
      <sheetName val="PUR,_FOAMGLAS5"/>
      <sheetName val="General_Data5"/>
      <sheetName val="Payroll_Deduction-Feb_20085"/>
      <sheetName val="INPUT_DATA_OF_SCHEDULE5"/>
      <sheetName val="INVOICE_CERT_EIV'S5"/>
      <sheetName val="해외_연수비용_계산-삭제5"/>
      <sheetName val="해외_기술훈련비_(합계)5"/>
      <sheetName val="07-Raw_Mill_Grinding"/>
      <sheetName val="08-Farin_Silo"/>
      <sheetName val="10-Pre_Heater"/>
      <sheetName val="11-Rotary_Kiln"/>
      <sheetName val="12+13_Clinker_Cooler"/>
      <sheetName val="_15-Clinker_Storage"/>
      <sheetName val="17+18_Lineer_Storage"/>
      <sheetName val="20_Cement_Mill_Dept_"/>
      <sheetName val="22_Cement_Silos_Truck"/>
      <sheetName val="23_Cement_Silos_Train"/>
      <sheetName val="24+26_Cement_Packing_Truck"/>
      <sheetName val="25+27_Cement_Packing_Train"/>
      <sheetName val="bldg_list"/>
      <sheetName val="WBS_44"/>
      <sheetName val="WBS_41"/>
      <sheetName val="공사내역"/>
      <sheetName val="HOJA DE CONTROL "/>
      <sheetName val="환율"/>
      <sheetName val="경영현황"/>
      <sheetName val="설산1.나"/>
      <sheetName val="본사S"/>
      <sheetName val="Orbit"/>
      <sheetName val="No Inspection"/>
      <sheetName val="예산"/>
      <sheetName val="손익차9월2"/>
      <sheetName val="Total Staff"/>
      <sheetName val="0. SUMMARY"/>
      <sheetName val="1. Engineering"/>
      <sheetName val="2. Check point"/>
      <sheetName val="II Changes 1"/>
      <sheetName val="III Changes 2"/>
      <sheetName val="Qty."/>
      <sheetName val="MP"/>
      <sheetName val="EQP"/>
      <sheetName val="OQC Summary"/>
      <sheetName val="6.Unit Rates"/>
      <sheetName val="전기"/>
      <sheetName val="S1BOQ"/>
      <sheetName val="01"/>
      <sheetName val="02"/>
      <sheetName val="03"/>
      <sheetName val="04"/>
      <sheetName val="P-Ins &amp; Bonds"/>
      <sheetName val="Analysis"/>
      <sheetName val="FitOutConfCentre"/>
      <sheetName val="拆除费用表"/>
      <sheetName val="gsde01"/>
      <sheetName val="万元指标1"/>
      <sheetName val="建筑定额"/>
      <sheetName val="HRG BAHAN &amp; UPAH okk"/>
      <sheetName val="Analis Kusen okk"/>
      <sheetName val="30万表三"/>
      <sheetName val="GRSummary"/>
      <sheetName val="예산작성기준(전기)"/>
      <sheetName val="영동(D)"/>
      <sheetName val="상반기손익차2총괄"/>
      <sheetName val="PTTLNG - Staff Dipatch plan_130"/>
      <sheetName val="EQT-ESTN"/>
      <sheetName val="SUM_FSBLT2"/>
      <sheetName val="FWBS_90002"/>
      <sheetName val="Overall_Project2"/>
      <sheetName val="Overall_Process2"/>
      <sheetName val="Overall_Utility2"/>
      <sheetName val="FWBS_10002"/>
      <sheetName val="FWBS_20002"/>
      <sheetName val="FWBS_30002"/>
      <sheetName val="FWBS_50002"/>
      <sheetName val="FWBS_60002"/>
      <sheetName val="FWBS_70002"/>
      <sheetName val="FWBS_80002"/>
      <sheetName val="FWBS_A0002"/>
      <sheetName val="FWBS_B0002"/>
      <sheetName val="FWBS_Z0002"/>
      <sheetName val="Building_BD1"/>
      <sheetName val="Onerous_Terms1"/>
      <sheetName val="_Sum1"/>
      <sheetName val="33628-Rev__A1"/>
      <sheetName val="실제_도면출도1"/>
      <sheetName val="공사비_내역_(가)1"/>
      <sheetName val="plan&amp;section_of_foundation1"/>
      <sheetName val="design_criteria1"/>
      <sheetName val="w't_table1"/>
      <sheetName val="BM_DATA_SHEET1"/>
      <sheetName val="Eq__Mobilization1"/>
      <sheetName val="조도계산서_(도서)1"/>
      <sheetName val="플랜트_설치1"/>
      <sheetName val="SUM_FSBLT3"/>
      <sheetName val="FWBS_90003"/>
      <sheetName val="Overall_Project3"/>
      <sheetName val="Overall_Process3"/>
      <sheetName val="Overall_Utility3"/>
      <sheetName val="FWBS_10003"/>
      <sheetName val="FWBS_20003"/>
      <sheetName val="FWBS_30003"/>
      <sheetName val="FWBS_50003"/>
      <sheetName val="FWBS_60003"/>
      <sheetName val="FWBS_70003"/>
      <sheetName val="FWBS_80003"/>
      <sheetName val="FWBS_A0003"/>
      <sheetName val="FWBS_B0003"/>
      <sheetName val="FWBS_Z0003"/>
      <sheetName val="Building_BD2"/>
      <sheetName val="Onerous_Terms2"/>
      <sheetName val="_Sum2"/>
      <sheetName val="33628-Rev__A2"/>
      <sheetName val="실제_도면출도2"/>
      <sheetName val="공사비_내역_(가)2"/>
      <sheetName val="plan&amp;section_of_foundation2"/>
      <sheetName val="design_criteria2"/>
      <sheetName val="w't_table2"/>
      <sheetName val="BM_DATA_SHEET2"/>
      <sheetName val="Eq__Mobilization2"/>
      <sheetName val="조도계산서_(도서)2"/>
      <sheetName val="플랜트_설치2"/>
      <sheetName val="Calculation"/>
      <sheetName val="NEW FREIGHT DETERMINATION "/>
      <sheetName val="1.Heavy Cost"/>
      <sheetName val="2.Secondhandling Cost"/>
      <sheetName val="MECH_PKG#3_FCC(FCC)"/>
      <sheetName val="laborrates "/>
      <sheetName val="equip rates as provided to Peme"/>
      <sheetName val="raw equipment rates"/>
      <sheetName val="Auriga crane company rates"/>
      <sheetName val="TA calc_manhours_cheatsheet"/>
      <sheetName val="OLD FREIGHT DETERMINATION"/>
      <sheetName val="Quote summary"/>
      <sheetName val="STORM"/>
      <sheetName val="Currencies"/>
      <sheetName val="Schedule"/>
      <sheetName val="Cash flow"/>
      <sheetName val="Settings"/>
      <sheetName val="data_OH"/>
      <sheetName val="data_analysis"/>
      <sheetName val="F1 subcontract prrice "/>
      <sheetName val="Form 1"/>
      <sheetName val="F2 Direct"/>
      <sheetName val="F3 Material"/>
      <sheetName val="F4 D-Labor"/>
      <sheetName val="F5 Equipt"/>
      <sheetName val="F6 T&amp;C"/>
      <sheetName val="F7 IN-Labor"/>
      <sheetName val="F8 TF"/>
      <sheetName val="F9 Exp"/>
      <sheetName val="F10 Ins"/>
      <sheetName val="F11 HSE"/>
      <sheetName val="F12 O&amp;P"/>
      <sheetName val="F13 Tax"/>
      <sheetName val="LATAM Personnel Cost Prices"/>
      <sheetName val="장비"/>
      <sheetName val="노무"/>
      <sheetName val="자재"/>
      <sheetName val="산근1"/>
      <sheetName val="BID"/>
      <sheetName val="판가반영"/>
      <sheetName val="351BQMCN"/>
      <sheetName val="INST"/>
      <sheetName val="choose"/>
      <sheetName val="수입"/>
      <sheetName val="GeneralFeedDevices_Labels"/>
      <sheetName val="CalmingSection_Labels"/>
      <sheetName val="Welcome"/>
      <sheetName val="WIP"/>
      <sheetName val="현장관리비"/>
      <sheetName val="KP1590_E"/>
      <sheetName val="구성비"/>
      <sheetName val="References"/>
      <sheetName val="7.1유효폭"/>
      <sheetName val="금융비용"/>
      <sheetName val="토목주소"/>
      <sheetName val="프랜트면허"/>
      <sheetName val="영업소실적"/>
      <sheetName val="9-1차이내역"/>
      <sheetName val="TACE"/>
      <sheetName val="소화실적"/>
      <sheetName val="10현장조직"/>
      <sheetName val="간접비 총괄표"/>
      <sheetName val="주관사업"/>
      <sheetName val="GAEYO"/>
      <sheetName val="음료실행"/>
      <sheetName val="Piping_Design_Data7"/>
      <sheetName val="할증_7"/>
      <sheetName val="M_117"/>
      <sheetName val="Chiet_tinh_dz357"/>
      <sheetName val="Chiet_tinh_dz227"/>
      <sheetName val="CT_Thang_Mo7"/>
      <sheetName val="CT__PL7"/>
      <sheetName val="EL_표면적7"/>
      <sheetName val="BQ_List7"/>
      <sheetName val="EQUIP_LIST7"/>
      <sheetName val="Process_Piping7"/>
      <sheetName val="MTO_REV_2(ARMOR)7"/>
      <sheetName val="6PILE__(돌출)6"/>
      <sheetName val="_Armaflex_6"/>
      <sheetName val="___Basis-Kalk____6"/>
      <sheetName val="MW-Schale,_alukasch_6"/>
      <sheetName val="UK,_Kleinmaterial6"/>
      <sheetName val="PUR,_FOAMGLAS6"/>
      <sheetName val="General_Data6"/>
      <sheetName val="Payroll_Deduction-Feb_20086"/>
      <sheetName val="INVOICE_CERT_EIV'S6"/>
      <sheetName val="Finansal_tamamlanma_Eğrisi6"/>
      <sheetName val="INPUT_DATA_OF_SCHEDULE6"/>
      <sheetName val="해외_연수비용_계산-삭제6"/>
      <sheetName val="해외_기술훈련비_(합계)6"/>
      <sheetName val="Equip_Sch_2"/>
      <sheetName val="SCHED_PROGRESS2"/>
      <sheetName val="C_&amp;_G_RHS1"/>
      <sheetName val="MEASURE_LIST1"/>
      <sheetName val="WBS_441"/>
      <sheetName val="WBS_411"/>
      <sheetName val="bldg_list1"/>
      <sheetName val="Cashflow_Analysis"/>
      <sheetName val="AG_Pipe_Qty_Analysis1"/>
      <sheetName val="Proj_Cost_Sumry1"/>
      <sheetName val="EQUIPMENT__2"/>
      <sheetName val="Riesgos_y_Oportunidades"/>
      <sheetName val="07-Raw_Mill_Grinding1"/>
      <sheetName val="08-Farin_Silo1"/>
      <sheetName val="10-Pre_Heater1"/>
      <sheetName val="11-Rotary_Kiln1"/>
      <sheetName val="12+13_Clinker_Cooler1"/>
      <sheetName val="_15-Clinker_Storage1"/>
      <sheetName val="17+18_Lineer_Storage1"/>
      <sheetName val="20_Cement_Mill_Dept_1"/>
      <sheetName val="22_Cement_Silos_Truck1"/>
      <sheetName val="23_Cement_Silos_Train1"/>
      <sheetName val="24+26_Cement_Packing_Truck1"/>
      <sheetName val="25+27_Cement_Packing_Train1"/>
      <sheetName val="Tables_3_1_to_3_5_EXH_G"/>
      <sheetName val="Appendix_A141"/>
      <sheetName val="03년_현장공사비_실적_총괄1"/>
      <sheetName val="03년_현장공사비_실적_상세1"/>
      <sheetName val="03년_현장자재_및_장비비_실적총괄1"/>
      <sheetName val="03년_현장_외주비_자재_및_장비비_실적1"/>
      <sheetName val="97_사업추정(WEKI)1"/>
      <sheetName val="DB_ET200(R__A)"/>
      <sheetName val="HO_Staff_Rates_2018-I_scale"/>
      <sheetName val="Crew_Summary"/>
      <sheetName val="Master_Field_Staff_List"/>
      <sheetName val="Schedule_"/>
      <sheetName val="Loading_Struc"/>
      <sheetName val="Loading_Pip"/>
      <sheetName val="Loading_Overall_(BASE_Proposal)"/>
      <sheetName val="Steel_Structure"/>
      <sheetName val="PIPING_AG-UG_NEW_UNITS"/>
      <sheetName val="MEC_PIPING_PREFABR"/>
      <sheetName val="Working_File-Pip"/>
      <sheetName val="Equip_ISBL_&amp;_OSBL_"/>
      <sheetName val="Total_Staff"/>
      <sheetName val="0__SUMMARY"/>
      <sheetName val="1__Engineering"/>
      <sheetName val="2__Check_point"/>
      <sheetName val="II_Changes_1"/>
      <sheetName val="III_Changes_2"/>
      <sheetName val="Qty_"/>
      <sheetName val="OQC_Summary"/>
      <sheetName val="6_Unit_Rates"/>
      <sheetName val="P-Ins_&amp;_Bonds"/>
      <sheetName val="HOJA_DE_CONTROL_"/>
      <sheetName val="설산1_나"/>
      <sheetName val="No_Inspection"/>
      <sheetName val="Pag.5"/>
      <sheetName val="liste"/>
      <sheetName val="CLASS OF GOODS"/>
      <sheetName val="MECPFA-DISCIPLINA"/>
      <sheetName val="Rev.0 rebid - option1"/>
      <sheetName val="Leggimi"/>
      <sheetName val="General"/>
      <sheetName val="EQUIPMENT -2"/>
      <sheetName val="Piping_Design_Data8"/>
      <sheetName val="할증_8"/>
      <sheetName val="M_118"/>
      <sheetName val="Chiet_tinh_dz358"/>
      <sheetName val="Chiet_tinh_dz228"/>
      <sheetName val="CT_Thang_Mo8"/>
      <sheetName val="CT__PL8"/>
      <sheetName val="EL_표면적8"/>
      <sheetName val="BQ_List8"/>
      <sheetName val="EQUIP_LIST8"/>
      <sheetName val="Process_Piping8"/>
      <sheetName val="MTO_REV_2(ARMOR)8"/>
      <sheetName val="INVOICE_CERT_EIV'S7"/>
      <sheetName val="6PILE__(돌출)7"/>
      <sheetName val="_Armaflex_7"/>
      <sheetName val="___Basis-Kalk____7"/>
      <sheetName val="MW-Schale,_alukasch_7"/>
      <sheetName val="UK,_Kleinmaterial7"/>
      <sheetName val="PUR,_FOAMGLAS7"/>
      <sheetName val="General_Data7"/>
      <sheetName val="Payroll_Deduction-Feb_20087"/>
      <sheetName val="Finansal_tamamlanma_Eğrisi7"/>
      <sheetName val="INPUT_DATA_OF_SCHEDULE7"/>
      <sheetName val="해외_연수비용_계산-삭제7"/>
      <sheetName val="해외_기술훈련비_(합계)7"/>
      <sheetName val="Equip_Sch_3"/>
      <sheetName val="SCHED_PROGRESS3"/>
      <sheetName val="C_&amp;_G_RHS2"/>
      <sheetName val="WBS_442"/>
      <sheetName val="WBS_412"/>
      <sheetName val="bldg_list2"/>
      <sheetName val="MEASURE_LIST2"/>
      <sheetName val="AG_Pipe_Qty_Analysis2"/>
      <sheetName val="Proj_Cost_Sumry2"/>
      <sheetName val="Riesgos_y_Oportunidades1"/>
      <sheetName val="Cashflow_Analysis1"/>
      <sheetName val="07-Raw_Mill_Grinding2"/>
      <sheetName val="08-Farin_Silo2"/>
      <sheetName val="10-Pre_Heater2"/>
      <sheetName val="11-Rotary_Kiln2"/>
      <sheetName val="12+13_Clinker_Cooler2"/>
      <sheetName val="_15-Clinker_Storage2"/>
      <sheetName val="17+18_Lineer_Storage2"/>
      <sheetName val="20_Cement_Mill_Dept_2"/>
      <sheetName val="22_Cement_Silos_Truck2"/>
      <sheetName val="23_Cement_Silos_Train2"/>
      <sheetName val="24+26_Cement_Packing_Truck2"/>
      <sheetName val="25+27_Cement_Packing_Train2"/>
      <sheetName val="Appendix_A142"/>
      <sheetName val="03년_현장공사비_실적_총괄2"/>
      <sheetName val="03년_현장공사비_실적_상세2"/>
      <sheetName val="03년_현장자재_및_장비비_실적총괄2"/>
      <sheetName val="03년_현장_외주비_자재_및_장비비_실적2"/>
      <sheetName val="97_사업추정(WEKI)2"/>
      <sheetName val="Tables_3_1_to_3_5_EXH_G1"/>
      <sheetName val="DB_ET200(R__A)1"/>
      <sheetName val="HO_Staff_Rates_2018-I_scale1"/>
      <sheetName val="Crew_Summary1"/>
      <sheetName val="Master_Field_Staff_List1"/>
      <sheetName val="EQUIPMENT__21"/>
      <sheetName val="Total_Staff1"/>
      <sheetName val="0__SUMMARY1"/>
      <sheetName val="1__Engineering1"/>
      <sheetName val="2__Check_point1"/>
      <sheetName val="II_Changes_11"/>
      <sheetName val="III_Changes_21"/>
      <sheetName val="Qty_1"/>
      <sheetName val="OQC_Summary1"/>
      <sheetName val="6_Unit_Rates1"/>
      <sheetName val="P-Ins_&amp;_Bonds1"/>
      <sheetName val="Schedule_1"/>
      <sheetName val="Loading_Struc1"/>
      <sheetName val="Loading_Pip1"/>
      <sheetName val="Loading_Overall_(BASE_Proposal1"/>
      <sheetName val="Steel_Structure1"/>
      <sheetName val="PIPING_AG-UG_NEW_UNITS1"/>
      <sheetName val="MEC_PIPING_PREFABR1"/>
      <sheetName val="Working_File-Pip1"/>
      <sheetName val="Equip_ISBL_&amp;_OSBL_1"/>
      <sheetName val="HOJA_DE_CONTROL_1"/>
      <sheetName val="설산1_나1"/>
      <sheetName val="No_Inspection1"/>
      <sheetName val="CONST"/>
      <sheetName val="BASEINPUT"/>
      <sheetName val="PTTLNG_-_Staff_Dipatch_plan_130"/>
      <sheetName val="HRG_BAHAN_&amp;_UPAH_okk"/>
      <sheetName val="Analis_Kusen_okk"/>
      <sheetName val="F1_subcontract_prrice_"/>
      <sheetName val="Form_1"/>
      <sheetName val="F2_Direct"/>
      <sheetName val="F3_Material"/>
      <sheetName val="F4_D-Labor"/>
      <sheetName val="F5_Equipt"/>
      <sheetName val="F6_T&amp;C"/>
      <sheetName val="F7_IN-Labor"/>
      <sheetName val="F8_TF"/>
      <sheetName val="F9_Exp"/>
      <sheetName val="F10_Ins"/>
      <sheetName val="F11_HSE"/>
      <sheetName val="F12_O&amp;P"/>
      <sheetName val="F13_Tax"/>
      <sheetName val="LATAM_Personnel_Cost_Prices"/>
      <sheetName val="NEW_FREIGHT_DETERMINATION_"/>
      <sheetName val="1_Heavy_Cost"/>
      <sheetName val="2_Secondhandling_Cost"/>
      <sheetName val="laborrates_"/>
      <sheetName val="equip_rates_as_provided_to_Peme"/>
      <sheetName val="raw_equipment_rates"/>
      <sheetName val="Auriga_crane_company_rates"/>
      <sheetName val="TA_calc_manhours_cheatsheet"/>
      <sheetName val="OLD_FREIGHT_DETERMINATION"/>
      <sheetName val="Quote_summary"/>
      <sheetName val="Cash_flow"/>
      <sheetName val="MH RATE"/>
      <sheetName val="ALLOWANCE"/>
      <sheetName val="Rate"/>
      <sheetName val="Bid Summary"/>
      <sheetName val="Memb Schd"/>
      <sheetName val="Personnel"/>
      <sheetName val="Sch.6"/>
      <sheetName val="RAP"/>
      <sheetName val="3"/>
      <sheetName val="HYDROTEST DIAGRAM"/>
      <sheetName val="TIE-INS"/>
      <sheetName val="LUGS"/>
      <sheetName val="Earthing"/>
      <sheetName val="Termination"/>
      <sheetName val="name"/>
      <sheetName val="BoQ_Int"/>
      <sheetName val="RAB"/>
      <sheetName val="RAB_ALT (2)"/>
      <sheetName val="PaintBreak"/>
      <sheetName val="INSSUBCON"/>
      <sheetName val="Memb_Schd"/>
      <sheetName val="Sch_6"/>
      <sheetName val="DATASHT"/>
      <sheetName val="Basic Price"/>
      <sheetName val="NP"/>
      <sheetName val="HARVEST02"/>
      <sheetName val="FWBS 1530"/>
      <sheetName val="영업2"/>
      <sheetName val="영업3"/>
      <sheetName val="Utility and Fire flange"/>
      <sheetName val="RFP003D"/>
      <sheetName val="Master_Data"/>
      <sheetName val="97"/>
      <sheetName val="ERECT"/>
      <sheetName val="表六 "/>
      <sheetName val="AHS"/>
      <sheetName val="VC2 10.99"/>
      <sheetName val="Peralatan (2)"/>
      <sheetName val="BQ GEDUNG"/>
      <sheetName val="Peralatan"/>
      <sheetName val="BM"/>
      <sheetName val="일위대가"/>
      <sheetName val="수질정화시설"/>
      <sheetName val="alat (2)"/>
      <sheetName val="I-KAMAR"/>
      <sheetName val="Ahs.2"/>
      <sheetName val="Ahs.1"/>
      <sheetName val="MAPP"/>
      <sheetName val="sal"/>
      <sheetName val="LTR-2"/>
      <sheetName val="XZLC003_PART1"/>
      <sheetName val="XZLC004_PART2"/>
      <sheetName val="Precios por Administración"/>
      <sheetName val="Resumen"/>
      <sheetName val="Precios Unitarios"/>
      <sheetName val="PL PBC"/>
      <sheetName val="Material "/>
      <sheetName val="Labour &amp; Plant"/>
      <sheetName val="Galian 1"/>
      <sheetName val="an. struktur"/>
      <sheetName val="harsat"/>
      <sheetName val="Dashboard"/>
      <sheetName val="Harga Bahan &amp; Upah "/>
      <sheetName val="GKP"/>
      <sheetName val="Bill rekap"/>
      <sheetName val="Bill of Qty"/>
      <sheetName val="Bahan"/>
      <sheetName val="Analisa Upah &amp; Bahan Plum"/>
      <sheetName val="POL6차-PIPING"/>
      <sheetName val="물량"/>
      <sheetName val="WEIGHT LIST"/>
      <sheetName val="산#2-1 (2)"/>
      <sheetName val="산#3-1"/>
      <sheetName val="SAFETY-FACTOR"/>
      <sheetName val="escon"/>
      <sheetName val="Ex_Rate"/>
      <sheetName val="Koordinat"/>
      <sheetName val="LOKASI"/>
      <sheetName val="IGCC査定"/>
      <sheetName val="Pengalaman Per"/>
      <sheetName val="5.Cennik"/>
      <sheetName val="Piping_Design_Data9"/>
      <sheetName val="할증_9"/>
      <sheetName val="M_119"/>
      <sheetName val="Chiet_tinh_dz359"/>
      <sheetName val="Chiet_tinh_dz229"/>
      <sheetName val="CT_Thang_Mo9"/>
      <sheetName val="CT__PL9"/>
      <sheetName val="EL_표면적9"/>
      <sheetName val="BQ_List9"/>
      <sheetName val="EQUIP_LIST9"/>
      <sheetName val="Process_Piping9"/>
      <sheetName val="MTO_REV_2(ARMOR)9"/>
      <sheetName val="INVOICE_CERT_EIV'S8"/>
      <sheetName val="6PILE__(돌출)8"/>
      <sheetName val="_Armaflex_8"/>
      <sheetName val="___Basis-Kalk____8"/>
      <sheetName val="MW-Schale,_alukasch_8"/>
      <sheetName val="UK,_Kleinmaterial8"/>
      <sheetName val="PUR,_FOAMGLAS8"/>
      <sheetName val="General_Data8"/>
      <sheetName val="Payroll_Deduction-Feb_20088"/>
      <sheetName val="Finansal_tamamlanma_Eğrisi8"/>
      <sheetName val="INPUT_DATA_OF_SCHEDULE8"/>
      <sheetName val="SUM_FSBLT4"/>
      <sheetName val="FWBS_90004"/>
      <sheetName val="Overall_Project4"/>
      <sheetName val="Overall_Process4"/>
      <sheetName val="Overall_Utility4"/>
      <sheetName val="FWBS_10004"/>
      <sheetName val="FWBS_20004"/>
      <sheetName val="FWBS_30004"/>
      <sheetName val="FWBS_50004"/>
      <sheetName val="FWBS_60004"/>
      <sheetName val="FWBS_70004"/>
      <sheetName val="FWBS_80004"/>
      <sheetName val="FWBS_A0004"/>
      <sheetName val="FWBS_B0004"/>
      <sheetName val="FWBS_Z0004"/>
      <sheetName val="Building_BD3"/>
      <sheetName val="Onerous_Terms3"/>
      <sheetName val="_Sum3"/>
      <sheetName val="33628-Rev__A3"/>
      <sheetName val="실제_도면출도3"/>
      <sheetName val="공사비_내역_(가)3"/>
      <sheetName val="plan&amp;section_of_foundation3"/>
      <sheetName val="design_criteria3"/>
      <sheetName val="w't_table3"/>
      <sheetName val="BM_DATA_SHEET3"/>
      <sheetName val="Eq__Mobilization3"/>
      <sheetName val="조도계산서_(도서)3"/>
      <sheetName val="해외_연수비용_계산-삭제8"/>
      <sheetName val="해외_기술훈련비_(합계)8"/>
      <sheetName val="플랜트_설치3"/>
      <sheetName val="Equip_Sch_4"/>
      <sheetName val="SCHED_PROGRESS4"/>
      <sheetName val="C_&amp;_G_RHS3"/>
      <sheetName val="WBS_443"/>
      <sheetName val="WBS_413"/>
      <sheetName val="bldg_list3"/>
      <sheetName val="MEASURE_LIST3"/>
      <sheetName val="AG_Pipe_Qty_Analysis3"/>
      <sheetName val="Proj_Cost_Sumry3"/>
      <sheetName val="Riesgos_y_Oportunidades2"/>
      <sheetName val="Cashflow_Analysis2"/>
      <sheetName val="07-Raw_Mill_Grinding3"/>
      <sheetName val="08-Farin_Silo3"/>
      <sheetName val="10-Pre_Heater3"/>
      <sheetName val="11-Rotary_Kiln3"/>
      <sheetName val="12+13_Clinker_Cooler3"/>
      <sheetName val="_15-Clinker_Storage3"/>
      <sheetName val="17+18_Lineer_Storage3"/>
      <sheetName val="20_Cement_Mill_Dept_3"/>
      <sheetName val="22_Cement_Silos_Truck3"/>
      <sheetName val="23_Cement_Silos_Train3"/>
      <sheetName val="24+26_Cement_Packing_Truck3"/>
      <sheetName val="25+27_Cement_Packing_Train3"/>
      <sheetName val="Appendix_A143"/>
      <sheetName val="03년_현장공사비_실적_총괄3"/>
      <sheetName val="03년_현장공사비_실적_상세3"/>
      <sheetName val="03년_현장자재_및_장비비_실적총괄3"/>
      <sheetName val="03년_현장_외주비_자재_및_장비비_실적3"/>
      <sheetName val="97_사업추정(WEKI)3"/>
      <sheetName val="Tables_3_1_to_3_5_EXH_G2"/>
      <sheetName val="DB_ET200(R__A)2"/>
      <sheetName val="HO_Staff_Rates_2018-I_scale2"/>
      <sheetName val="Crew_Summary2"/>
      <sheetName val="Master_Field_Staff_List2"/>
      <sheetName val="EQUIPMENT__22"/>
      <sheetName val="Total_Staff2"/>
      <sheetName val="0__SUMMARY2"/>
      <sheetName val="1__Engineering2"/>
      <sheetName val="2__Check_point2"/>
      <sheetName val="II_Changes_12"/>
      <sheetName val="III_Changes_22"/>
      <sheetName val="Qty_2"/>
      <sheetName val="OQC_Summary2"/>
      <sheetName val="6_Unit_Rates2"/>
      <sheetName val="P-Ins_&amp;_Bonds2"/>
      <sheetName val="Schedule_2"/>
      <sheetName val="Loading_Struc2"/>
      <sheetName val="Loading_Pip2"/>
      <sheetName val="Loading_Overall_(BASE_Proposal2"/>
      <sheetName val="Steel_Structure2"/>
      <sheetName val="PIPING_AG-UG_NEW_UNITS2"/>
      <sheetName val="MEC_PIPING_PREFABR2"/>
      <sheetName val="Working_File-Pip2"/>
      <sheetName val="Equip_ISBL_&amp;_OSBL_2"/>
      <sheetName val="HOJA_DE_CONTROL_2"/>
      <sheetName val="설산1_나2"/>
      <sheetName val="No_Inspection2"/>
      <sheetName val="EQUIPMENT_-2"/>
      <sheetName val="Pag_5"/>
      <sheetName val="CLASS_OF_GOODS"/>
      <sheetName val="Rev_0_rebid_-_option1"/>
      <sheetName val="Lookups"/>
      <sheetName val="Paint Mat Summ"/>
      <sheetName val="PP"/>
      <sheetName val="Hot "/>
      <sheetName val="0.INDIRECTS"/>
      <sheetName val="1. Civil Works"/>
      <sheetName val="2. Struct. Steel_SST"/>
      <sheetName val="3. Fireproofing_SST"/>
      <sheetName val="4.2. Fireproofing_EQU"/>
      <sheetName val="4.1. Equipment"/>
      <sheetName val="4.1. Equipment (Tag)"/>
      <sheetName val="BoQ Equipment"/>
      <sheetName val="4.3. Insulation for Equip"/>
      <sheetName val="4.4. Structural Steel_EQU"/>
      <sheetName val="4.5. Heavy Lifting"/>
      <sheetName val="5.1. AG PIPING"/>
      <sheetName val="1A.AG PIPING_PREFABRICATION"/>
      <sheetName val="5.2.UG PIPING"/>
      <sheetName val="5.3a.VALVES"/>
      <sheetName val="5.3b.INLINE INST."/>
      <sheetName val="5.3c.FLANGE BOLTED JOINTS"/>
      <sheetName val="5.4. SUPPORTS"/>
      <sheetName val="5.5. WRAPPING"/>
      <sheetName val="5.6. PAINT"/>
      <sheetName val="5.7. INSULATION"/>
      <sheetName val="5.8. NDT"/>
      <sheetName val="5.9. PWHT"/>
      <sheetName val="5.10.TIE-INS"/>
      <sheetName val="6. Pipeline Works"/>
      <sheetName val="7.1. Cathodic Protection Erec"/>
      <sheetName val="7.2. CP Auxiliary Prices"/>
      <sheetName val="8.1. Electrical Erection"/>
      <sheetName val="8.2. Instruments Erection"/>
      <sheetName val="8.3. Telecom Erection"/>
      <sheetName val="9.1. HSE - Inside Bldg"/>
      <sheetName val="9.2. HSE - Outside Bldg"/>
      <sheetName val="21. MODIFICATION PRICES"/>
      <sheetName val="2. CHANGES-1"/>
      <sheetName val="3. CHANGES-2"/>
      <sheetName val="5. CHANGES-4"/>
      <sheetName val="업무분장"/>
      <sheetName val="schedule nos"/>
      <sheetName val=""/>
      <sheetName val="HRG_BAHAN_&amp;_UPAH_okk1"/>
      <sheetName val="Analis_Kusen_okk1"/>
      <sheetName val="PTTLNG_-_Staff_Dipatch_plan_131"/>
      <sheetName val="F1_subcontract_prrice_1"/>
      <sheetName val="Form_11"/>
      <sheetName val="F2_Direct1"/>
      <sheetName val="F3_Material1"/>
      <sheetName val="F4_D-Labor1"/>
      <sheetName val="F5_Equipt1"/>
      <sheetName val="F6_T&amp;C1"/>
      <sheetName val="F7_IN-Labor1"/>
      <sheetName val="F8_TF1"/>
      <sheetName val="F9_Exp1"/>
      <sheetName val="F10_Ins1"/>
      <sheetName val="F11_HSE1"/>
      <sheetName val="F12_O&amp;P1"/>
      <sheetName val="F13_Tax1"/>
      <sheetName val="LATAM_Personnel_Cost_Prices1"/>
      <sheetName val="NEW_FREIGHT_DETERMINATION_1"/>
      <sheetName val="1_Heavy_Cost1"/>
      <sheetName val="2_Secondhandling_Cost1"/>
      <sheetName val="laborrates_1"/>
      <sheetName val="equip_rates_as_provided_to_Pem1"/>
      <sheetName val="raw_equipment_rates1"/>
      <sheetName val="Auriga_crane_company_rates1"/>
      <sheetName val="TA_calc_manhours_cheatsheet1"/>
      <sheetName val="OLD_FREIGHT_DETERMINATION1"/>
      <sheetName val="Quote_summary1"/>
      <sheetName val="Cash_flow1"/>
      <sheetName val="HYDROTEST_DIAGRAM"/>
      <sheetName val="Bid_Summary"/>
      <sheetName val="Memb_Schd1"/>
      <sheetName val="Sch_61"/>
      <sheetName val="RAB_ALT_(2)"/>
      <sheetName val="Basic_Price"/>
      <sheetName val="MH_RATE"/>
      <sheetName val="FWBS_1530"/>
      <sheetName val="Utility_and_Fire_flange"/>
      <sheetName val="表六_"/>
      <sheetName val="VC2_10_99"/>
      <sheetName val="Peralatan_(2)"/>
      <sheetName val="BQ_GEDUNG"/>
      <sheetName val="alat_(2)"/>
      <sheetName val="Ahs_2"/>
      <sheetName val="Ahs_1"/>
      <sheetName val="Piping_Design_Data10"/>
      <sheetName val="할증_10"/>
      <sheetName val="M_1110"/>
      <sheetName val="Chiet_tinh_dz3510"/>
      <sheetName val="Chiet_tinh_dz2210"/>
      <sheetName val="CT_Thang_Mo10"/>
      <sheetName val="CT__PL10"/>
      <sheetName val="EL_표면적10"/>
      <sheetName val="BQ_List10"/>
      <sheetName val="EQUIP_LIST10"/>
      <sheetName val="Process_Piping10"/>
      <sheetName val="MTO_REV_2(ARMOR)10"/>
      <sheetName val="INVOICE_CERT_EIV'S9"/>
      <sheetName val="Finansal_tamamlanma_Eğrisi9"/>
      <sheetName val="SUM_FSBLT5"/>
      <sheetName val="FWBS_90005"/>
      <sheetName val="Overall_Project5"/>
      <sheetName val="Overall_Process5"/>
      <sheetName val="Overall_Utility5"/>
      <sheetName val="FWBS_10005"/>
      <sheetName val="FWBS_20005"/>
      <sheetName val="FWBS_30005"/>
      <sheetName val="FWBS_50005"/>
      <sheetName val="FWBS_60005"/>
      <sheetName val="FWBS_70005"/>
      <sheetName val="FWBS_80005"/>
      <sheetName val="FWBS_A0005"/>
      <sheetName val="FWBS_B0005"/>
      <sheetName val="FWBS_Z0005"/>
      <sheetName val="Building_BD4"/>
      <sheetName val="Onerous_Terms4"/>
      <sheetName val="_Sum4"/>
      <sheetName val="33628-Rev__A4"/>
      <sheetName val="실제_도면출도4"/>
      <sheetName val="공사비_내역_(가)4"/>
      <sheetName val="plan&amp;section_of_foundation4"/>
      <sheetName val="design_criteria4"/>
      <sheetName val="w't_table4"/>
      <sheetName val="BM_DATA_SHEET4"/>
      <sheetName val="Eq__Mobilization4"/>
      <sheetName val="6PILE__(돌출)9"/>
      <sheetName val="_Armaflex_9"/>
      <sheetName val="___Basis-Kalk____9"/>
      <sheetName val="MW-Schale,_alukasch_9"/>
      <sheetName val="UK,_Kleinmaterial9"/>
      <sheetName val="PUR,_FOAMGLAS9"/>
      <sheetName val="General_Data9"/>
      <sheetName val="Payroll_Deduction-Feb_20089"/>
      <sheetName val="INPUT_DATA_OF_SCHEDULE9"/>
      <sheetName val="조도계산서_(도서)4"/>
      <sheetName val="플랜트_설치4"/>
      <sheetName val="해외_연수비용_계산-삭제9"/>
      <sheetName val="해외_기술훈련비_(합계)9"/>
      <sheetName val="Equip_Sch_5"/>
      <sheetName val="SCHED_PROGRESS5"/>
      <sheetName val="C_&amp;_G_RHS4"/>
      <sheetName val="WBS_444"/>
      <sheetName val="WBS_414"/>
      <sheetName val="bldg_list4"/>
      <sheetName val="MEASURE_LIST4"/>
      <sheetName val="AG_Pipe_Qty_Analysis4"/>
      <sheetName val="Proj_Cost_Sumry4"/>
      <sheetName val="07-Raw_Mill_Grinding4"/>
      <sheetName val="08-Farin_Silo4"/>
      <sheetName val="10-Pre_Heater4"/>
      <sheetName val="11-Rotary_Kiln4"/>
      <sheetName val="12+13_Clinker_Cooler4"/>
      <sheetName val="_15-Clinker_Storage4"/>
      <sheetName val="17+18_Lineer_Storage4"/>
      <sheetName val="20_Cement_Mill_Dept_4"/>
      <sheetName val="22_Cement_Silos_Truck4"/>
      <sheetName val="23_Cement_Silos_Train4"/>
      <sheetName val="24+26_Cement_Packing_Truck4"/>
      <sheetName val="25+27_Cement_Packing_Train4"/>
      <sheetName val="Appendix_A144"/>
      <sheetName val="03년_현장공사비_실적_총괄4"/>
      <sheetName val="03년_현장공사비_실적_상세4"/>
      <sheetName val="03년_현장자재_및_장비비_실적총괄4"/>
      <sheetName val="03년_현장_외주비_자재_및_장비비_실적4"/>
      <sheetName val="97_사업추정(WEKI)4"/>
      <sheetName val="Tables_3_1_to_3_5_EXH_G3"/>
      <sheetName val="Cashflow_Analysis3"/>
      <sheetName val="HO_Staff_Rates_2018-I_scale3"/>
      <sheetName val="Crew_Summary3"/>
      <sheetName val="Master_Field_Staff_List3"/>
      <sheetName val="DB_ET200(R__A)3"/>
      <sheetName val="EQUIPMENT__23"/>
      <sheetName val="Riesgos_y_Oportunidades3"/>
      <sheetName val="Schedule_3"/>
      <sheetName val="Loading_Struc3"/>
      <sheetName val="Loading_Pip3"/>
      <sheetName val="Loading_Overall_(BASE_Proposal3"/>
      <sheetName val="Steel_Structure3"/>
      <sheetName val="PIPING_AG-UG_NEW_UNITS3"/>
      <sheetName val="MEC_PIPING_PREFABR3"/>
      <sheetName val="Working_File-Pip3"/>
      <sheetName val="Equip_ISBL_&amp;_OSBL_3"/>
      <sheetName val="Total_Staff3"/>
      <sheetName val="0__SUMMARY3"/>
      <sheetName val="1__Engineering3"/>
      <sheetName val="2__Check_point3"/>
      <sheetName val="II_Changes_13"/>
      <sheetName val="III_Changes_23"/>
      <sheetName val="Qty_3"/>
      <sheetName val="OQC_Summary3"/>
      <sheetName val="6_Unit_Rates3"/>
      <sheetName val="HOJA_DE_CONTROL_3"/>
      <sheetName val="설산1_나3"/>
      <sheetName val="No_Inspection3"/>
      <sheetName val="P-Ins_&amp;_Bonds3"/>
      <sheetName val="HRG_BAHAN_&amp;_UPAH_okk2"/>
      <sheetName val="Analis_Kusen_okk2"/>
      <sheetName val="PTTLNG_-_Staff_Dipatch_plan_132"/>
      <sheetName val="F1_subcontract_prrice_2"/>
      <sheetName val="Form_12"/>
      <sheetName val="F2_Direct2"/>
      <sheetName val="F3_Material2"/>
      <sheetName val="F4_D-Labor2"/>
      <sheetName val="F5_Equipt2"/>
      <sheetName val="F6_T&amp;C2"/>
      <sheetName val="F7_IN-Labor2"/>
      <sheetName val="F8_TF2"/>
      <sheetName val="F9_Exp2"/>
      <sheetName val="F10_Ins2"/>
      <sheetName val="F11_HSE2"/>
      <sheetName val="F12_O&amp;P2"/>
      <sheetName val="F13_Tax2"/>
      <sheetName val="LATAM_Personnel_Cost_Prices2"/>
      <sheetName val="NEW_FREIGHT_DETERMINATION_2"/>
      <sheetName val="1_Heavy_Cost2"/>
      <sheetName val="2_Secondhandling_Cost2"/>
      <sheetName val="laborrates_2"/>
      <sheetName val="equip_rates_as_provided_to_Pem2"/>
      <sheetName val="raw_equipment_rates2"/>
      <sheetName val="Auriga_crane_company_rates2"/>
      <sheetName val="TA_calc_manhours_cheatsheet2"/>
      <sheetName val="OLD_FREIGHT_DETERMINATION2"/>
      <sheetName val="Quote_summary2"/>
      <sheetName val="Cash_flow2"/>
      <sheetName val="Pag_51"/>
      <sheetName val="CLASS_OF_GOODS1"/>
      <sheetName val="Rev_0_rebid_-_option11"/>
      <sheetName val="EQUIPMENT_-21"/>
      <sheetName val="MH_RATE1"/>
      <sheetName val="Bid_Summary1"/>
      <sheetName val="Memb_Schd2"/>
      <sheetName val="Sch_62"/>
      <sheetName val="HYDROTEST_DIAGRAM1"/>
      <sheetName val="RAB_ALT_(2)1"/>
      <sheetName val="Basic_Price1"/>
      <sheetName val="FWBS_15301"/>
      <sheetName val="Utility_and_Fire_flange1"/>
      <sheetName val="表六_1"/>
      <sheetName val="VC2_10_991"/>
      <sheetName val="Peralatan_(2)1"/>
      <sheetName val="BQ_GEDUNG1"/>
      <sheetName val="alat_(2)1"/>
      <sheetName val="Ahs_21"/>
      <sheetName val="Ahs_11"/>
      <sheetName val="Precios_por_Administración"/>
      <sheetName val="Precios_Unitarios"/>
      <sheetName val="7_1유효폭"/>
      <sheetName val="간접비_총괄표"/>
      <sheetName val="WEIGHT_LIST"/>
      <sheetName val="산#2-1_(2)"/>
      <sheetName val="0_INDIRECTS"/>
      <sheetName val="1__Civil_Works"/>
      <sheetName val="2__Struct__Steel_SST"/>
      <sheetName val="3__Fireproofing_SST"/>
      <sheetName val="4_2__Fireproofing_EQU"/>
      <sheetName val="4_1__Equipment"/>
      <sheetName val="4_1__Equipment_(Tag)"/>
      <sheetName val="BoQ_Equipment"/>
      <sheetName val="4_3__Insulation_for_Equip"/>
      <sheetName val="4_4__Structural_Steel_EQU"/>
      <sheetName val="4_5__Heavy_Lifting"/>
      <sheetName val="5_1__AG_PIPING"/>
      <sheetName val="1A_AG_PIPING_PREFABRICATION"/>
      <sheetName val="5_2_UG_PIPING"/>
      <sheetName val="5_3a_VALVES"/>
      <sheetName val="5_3b_INLINE_INST_"/>
      <sheetName val="5_3c_FLANGE_BOLTED_JOINTS"/>
      <sheetName val="5_4__SUPPORTS"/>
      <sheetName val="5_5__WRAPPING"/>
      <sheetName val="5_6__PAINT"/>
      <sheetName val="5_7__INSULATION"/>
      <sheetName val="5_8__NDT"/>
      <sheetName val="5_9__PWHT"/>
      <sheetName val="5_10_TIE-INS"/>
      <sheetName val="6__Pipeline_Works"/>
      <sheetName val="7_1__Cathodic_Protection_Erec"/>
      <sheetName val="7_2__CP_Auxiliary_Prices"/>
      <sheetName val="8_1__Electrical_Erection"/>
      <sheetName val="8_2__Instruments_Erection"/>
      <sheetName val="8_3__Telecom_Erection"/>
      <sheetName val="9_1__HSE_-_Inside_Bldg"/>
      <sheetName val="9_2__HSE_-_Outside_Bldg"/>
      <sheetName val="21__MODIFICATION_PRICES"/>
      <sheetName val="2__CHANGES-1"/>
      <sheetName val="3__CHANGES-2"/>
      <sheetName val="5__CHANGES-4"/>
      <sheetName val="PL_PBC"/>
      <sheetName val="Material_"/>
      <sheetName val="Labour_&amp;_Plant"/>
      <sheetName val="Galian_1"/>
      <sheetName val="an__struktur"/>
      <sheetName val="Harga_Bahan_&amp;_Upah_"/>
      <sheetName val="Bill_rekap"/>
      <sheetName val="Bill_of_Qty"/>
      <sheetName val="Analisa_Upah_&amp;_Bahan_Plum"/>
      <sheetName val="5_Cennik"/>
      <sheetName val="PriceSummary"/>
      <sheetName val="S. Détail Matériel"/>
      <sheetName val="COEF KV"/>
      <sheetName val="bau"/>
      <sheetName val="GAJI"/>
      <sheetName val="REKAP"/>
      <sheetName val="여흥"/>
      <sheetName val="Curves"/>
      <sheetName val="Note"/>
      <sheetName val="Tables"/>
      <sheetName val="AILC004"/>
      <sheetName val="작성기준"/>
      <sheetName val="조명시설"/>
      <sheetName val="CAP"/>
      <sheetName val="Var."/>
      <sheetName val="R"/>
      <sheetName val="정리"/>
      <sheetName val="dV&amp;Cl"/>
      <sheetName val="을"/>
      <sheetName val="CTEMCOST"/>
      <sheetName val="유림골조"/>
      <sheetName val="주식"/>
      <sheetName val="COVER-P"/>
      <sheetName val="설계내역서"/>
      <sheetName val="Equip. Sch"/>
      <sheetName val="Labor"/>
      <sheetName val="SB"/>
      <sheetName val="config"/>
      <sheetName val="1) COMMON FACILITIES"/>
      <sheetName val="Summary Sheets"/>
      <sheetName val="TABLE"/>
      <sheetName val="Titles"/>
      <sheetName val="Information"/>
      <sheetName val="UNIT PRICE"/>
      <sheetName val="Rekapitulasi"/>
      <sheetName val="BUL"/>
      <sheetName val="기본대가"/>
      <sheetName val="Basis of Unit Price"/>
      <sheetName val="7. Comparison of Asphalt etc"/>
      <sheetName val="7a. Compar.Asphalt (Machine)"/>
      <sheetName val="4.Equipment Cost"/>
      <sheetName val="1. Coeficient"/>
      <sheetName val="6. Comparison of Sand Volume"/>
      <sheetName val="5a. Excav. (Machine)"/>
      <sheetName val="2. Coeficient butt fushion"/>
      <sheetName val="upah_borong"/>
      <sheetName val="satuan_pek"/>
      <sheetName val="DAF-4"/>
      <sheetName val="DAF-5"/>
      <sheetName val="iTEM hARSAT"/>
      <sheetName val="Daf 1"/>
      <sheetName val="EXTERNAL WORK"/>
      <sheetName val="ANAL.BOW"/>
      <sheetName val="SEX"/>
      <sheetName val="Unit-P"/>
      <sheetName val="61004"/>
      <sheetName val="61005"/>
      <sheetName val="61006"/>
      <sheetName val="61007"/>
      <sheetName val="61008"/>
      <sheetName val="Own"/>
      <sheetName val="Dash"/>
      <sheetName val="BREAKSCD"/>
      <sheetName val="DQE-MEN-EXT"/>
      <sheetName val="Paint_Mat_Summ"/>
      <sheetName val="Hot_"/>
      <sheetName val="1)_COMMON_FACILITIES"/>
      <sheetName val="Summary_Sheets"/>
      <sheetName val="Hist Fcst"/>
      <sheetName val="DB"/>
      <sheetName val="Administrative Prices"/>
      <sheetName val="GRAPH_DATA"/>
      <sheetName val="x"/>
      <sheetName val="DHEQSUPT"/>
      <sheetName val="office"/>
      <sheetName val="Lab"/>
      <sheetName val="Ra  stair"/>
      <sheetName val="Basis"/>
      <sheetName val="Day work"/>
      <sheetName val="Assumptions"/>
      <sheetName val="@risk rents and incentives"/>
      <sheetName val="Car park lease"/>
      <sheetName val="Net rent analysis"/>
      <sheetName val="Bill No. 3 Podium"/>
      <sheetName val="Sheet9"/>
      <sheetName val="チューブ仕様"/>
      <sheetName val="P-Ins_&amp;_Bonds4"/>
      <sheetName val="Piping_Design_Data11"/>
      <sheetName val="할증_11"/>
      <sheetName val="EQUIP_LIST11"/>
      <sheetName val="M_1111"/>
      <sheetName val="Chiet_tinh_dz3511"/>
      <sheetName val="Chiet_tinh_dz2211"/>
      <sheetName val="CT_Thang_Mo11"/>
      <sheetName val="CT__PL11"/>
      <sheetName val="EL_표면적11"/>
      <sheetName val="BQ_List11"/>
      <sheetName val="Process_Piping11"/>
      <sheetName val="MTO_REV_2(ARMOR)11"/>
      <sheetName val="INVOICE_CERT_EIV'S10"/>
      <sheetName val="Finansal_tamamlanma_Eğrisi10"/>
      <sheetName val="SUM_FSBLT6"/>
      <sheetName val="FWBS_90006"/>
      <sheetName val="Overall_Project6"/>
      <sheetName val="Overall_Process6"/>
      <sheetName val="Overall_Utility6"/>
      <sheetName val="FWBS_10006"/>
      <sheetName val="FWBS_20006"/>
      <sheetName val="FWBS_30006"/>
      <sheetName val="FWBS_50006"/>
      <sheetName val="FWBS_60006"/>
      <sheetName val="FWBS_70006"/>
      <sheetName val="FWBS_80006"/>
      <sheetName val="FWBS_A0006"/>
      <sheetName val="FWBS_B0006"/>
      <sheetName val="FWBS_Z0006"/>
      <sheetName val="Building_BD5"/>
      <sheetName val="Onerous_Terms5"/>
      <sheetName val="_Sum5"/>
      <sheetName val="33628-Rev__A5"/>
      <sheetName val="실제_도면출도5"/>
      <sheetName val="공사비_내역_(가)5"/>
      <sheetName val="plan&amp;section_of_foundation5"/>
      <sheetName val="design_criteria5"/>
      <sheetName val="w't_table5"/>
      <sheetName val="BM_DATA_SHEET5"/>
      <sheetName val="Eq__Mobilization5"/>
      <sheetName val="6PILE__(돌출)10"/>
      <sheetName val="_Armaflex_10"/>
      <sheetName val="___Basis-Kalk____10"/>
      <sheetName val="MW-Schale,_alukasch_10"/>
      <sheetName val="UK,_Kleinmaterial10"/>
      <sheetName val="PUR,_FOAMGLAS10"/>
      <sheetName val="General_Data10"/>
      <sheetName val="Payroll_Deduction-Feb_200810"/>
      <sheetName val="플랜트_설치5"/>
      <sheetName val="INPUT_DATA_OF_SCHEDULE10"/>
      <sheetName val="조도계산서_(도서)5"/>
      <sheetName val="해외_연수비용_계산-삭제10"/>
      <sheetName val="해외_기술훈련비_(합계)10"/>
      <sheetName val="Equip_Sch_6"/>
      <sheetName val="SCHED_PROGRESS6"/>
      <sheetName val="bldg_list5"/>
      <sheetName val="MEASURE_LIST5"/>
      <sheetName val="P-Ins_&amp;_Bonds5"/>
      <sheetName val="C_&amp;_G_RHS5"/>
      <sheetName val="WBS_445"/>
      <sheetName val="WBS_415"/>
      <sheetName val="AG_Pipe_Qty_Analysis5"/>
      <sheetName val="Proj_Cost_Sumry5"/>
      <sheetName val="07-Raw_Mill_Grinding5"/>
      <sheetName val="08-Farin_Silo5"/>
      <sheetName val="10-Pre_Heater5"/>
      <sheetName val="11-Rotary_Kiln5"/>
      <sheetName val="12+13_Clinker_Cooler5"/>
      <sheetName val="_15-Clinker_Storage5"/>
      <sheetName val="17+18_Lineer_Storage5"/>
      <sheetName val="20_Cement_Mill_Dept_5"/>
      <sheetName val="22_Cement_Silos_Truck5"/>
      <sheetName val="23_Cement_Silos_Train5"/>
      <sheetName val="24+26_Cement_Packing_Truck5"/>
      <sheetName val="25+27_Cement_Packing_Train5"/>
      <sheetName val="Riesgos_y_Oportunidades4"/>
      <sheetName val="Appendix_A145"/>
      <sheetName val="03년_현장공사비_실적_총괄5"/>
      <sheetName val="03년_현장공사비_실적_상세5"/>
      <sheetName val="03년_현장자재_및_장비비_실적총괄5"/>
      <sheetName val="03년_현장_외주비_자재_및_장비비_실적5"/>
      <sheetName val="97_사업추정(WEKI)5"/>
      <sheetName val="Cashflow_Analysis4"/>
      <sheetName val="Tables_3_1_to_3_5_EXH_G4"/>
      <sheetName val="DB_ET200(R__A)4"/>
      <sheetName val="HO_Staff_Rates_2018-I_scale4"/>
      <sheetName val="Crew_Summary4"/>
      <sheetName val="Master_Field_Staff_List4"/>
      <sheetName val="EQUIPMENT__24"/>
      <sheetName val="Schedule_4"/>
      <sheetName val="Loading_Struc4"/>
      <sheetName val="Loading_Pip4"/>
      <sheetName val="Loading_Overall_(BASE_Proposal4"/>
      <sheetName val="Steel_Structure4"/>
      <sheetName val="PIPING_AG-UG_NEW_UNITS4"/>
      <sheetName val="MEC_PIPING_PREFABR4"/>
      <sheetName val="Working_File-Pip4"/>
      <sheetName val="Equip_ISBL_&amp;_OSBL_4"/>
      <sheetName val="Total_Staff4"/>
      <sheetName val="0__SUMMARY4"/>
      <sheetName val="1__Engineering4"/>
      <sheetName val="2__Check_point4"/>
      <sheetName val="II_Changes_14"/>
      <sheetName val="III_Changes_24"/>
      <sheetName val="Qty_4"/>
      <sheetName val="OQC_Summary4"/>
      <sheetName val="6_Unit_Rates4"/>
      <sheetName val="HOJA_DE_CONTROL_4"/>
      <sheetName val="설산1_나4"/>
      <sheetName val="No_Inspection4"/>
      <sheetName val="HRG_BAHAN_&amp;_UPAH_okk3"/>
      <sheetName val="Analis_Kusen_okk3"/>
      <sheetName val="PTTLNG_-_Staff_Dipatch_plan_133"/>
      <sheetName val="F1_subcontract_prrice_3"/>
      <sheetName val="Form_13"/>
      <sheetName val="F2_Direct3"/>
      <sheetName val="F3_Material3"/>
      <sheetName val="F4_D-Labor3"/>
      <sheetName val="F5_Equipt3"/>
      <sheetName val="F6_T&amp;C3"/>
      <sheetName val="F7_IN-Labor3"/>
      <sheetName val="F8_TF3"/>
      <sheetName val="F9_Exp3"/>
      <sheetName val="F10_Ins3"/>
      <sheetName val="F11_HSE3"/>
      <sheetName val="F12_O&amp;P3"/>
      <sheetName val="F13_Tax3"/>
      <sheetName val="LATAM_Personnel_Cost_Prices3"/>
      <sheetName val="NEW_FREIGHT_DETERMINATION_3"/>
      <sheetName val="1_Heavy_Cost3"/>
      <sheetName val="2_Secondhandling_Cost3"/>
      <sheetName val="laborrates_3"/>
      <sheetName val="equip_rates_as_provided_to_Pem3"/>
      <sheetName val="raw_equipment_rates3"/>
      <sheetName val="Auriga_crane_company_rates3"/>
      <sheetName val="TA_calc_manhours_cheatsheet3"/>
      <sheetName val="OLD_FREIGHT_DETERMINATION3"/>
      <sheetName val="Quote_summary3"/>
      <sheetName val="Cash_flow3"/>
      <sheetName val="EQUIPMENT_-22"/>
      <sheetName val="Pag_52"/>
      <sheetName val="CLASS_OF_GOODS2"/>
      <sheetName val="Rev_0_rebid_-_option12"/>
      <sheetName val="Precios_por_Administración1"/>
      <sheetName val="Precios_Unitarios1"/>
      <sheetName val="Bid_Summary2"/>
      <sheetName val="Memb_Schd3"/>
      <sheetName val="Sch_63"/>
      <sheetName val="7_1유효폭1"/>
      <sheetName val="간접비_총괄표1"/>
      <sheetName val="MH_RATE2"/>
      <sheetName val="PL_PBC1"/>
      <sheetName val="Material_1"/>
      <sheetName val="Labour_&amp;_Plant1"/>
      <sheetName val="HYDROTEST_DIAGRAM2"/>
      <sheetName val="RAB_ALT_(2)2"/>
      <sheetName val="Basic_Price2"/>
      <sheetName val="FWBS_15302"/>
      <sheetName val="Utility_and_Fire_flange2"/>
      <sheetName val="表六_2"/>
      <sheetName val="VC2_10_992"/>
      <sheetName val="Peralatan_(2)2"/>
      <sheetName val="BQ_GEDUNG2"/>
      <sheetName val="alat_(2)2"/>
      <sheetName val="Ahs_22"/>
      <sheetName val="Ahs_12"/>
      <sheetName val="0_INDIRECTS1"/>
      <sheetName val="1__Civil_Works1"/>
      <sheetName val="2__Struct__Steel_SST1"/>
      <sheetName val="3__Fireproofing_SST1"/>
      <sheetName val="4_2__Fireproofing_EQU1"/>
      <sheetName val="4_1__Equipment1"/>
      <sheetName val="4_1__Equipment_(Tag)1"/>
      <sheetName val="BoQ_Equipment1"/>
      <sheetName val="4_3__Insulation_for_Equip1"/>
      <sheetName val="4_4__Structural_Steel_EQU1"/>
      <sheetName val="4_5__Heavy_Lifting1"/>
      <sheetName val="5_1__AG_PIPING1"/>
      <sheetName val="1A_AG_PIPING_PREFABRICATION1"/>
      <sheetName val="5_2_UG_PIPING1"/>
      <sheetName val="5_3a_VALVES1"/>
      <sheetName val="5_3b_INLINE_INST_1"/>
      <sheetName val="5_3c_FLANGE_BOLTED_JOINTS1"/>
      <sheetName val="5_4__SUPPORTS1"/>
      <sheetName val="5_5__WRAPPING1"/>
      <sheetName val="5_6__PAINT1"/>
      <sheetName val="5_7__INSULATION1"/>
      <sheetName val="5_8__NDT1"/>
      <sheetName val="5_9__PWHT1"/>
      <sheetName val="5_10_TIE-INS1"/>
      <sheetName val="6__Pipeline_Works1"/>
      <sheetName val="7_1__Cathodic_Protection_Erec1"/>
      <sheetName val="7_2__CP_Auxiliary_Prices1"/>
      <sheetName val="8_1__Electrical_Erection1"/>
      <sheetName val="8_2__Instruments_Erection1"/>
      <sheetName val="8_3__Telecom_Erection1"/>
      <sheetName val="9_1__HSE_-_Inside_Bldg1"/>
      <sheetName val="9_2__HSE_-_Outside_Bldg1"/>
      <sheetName val="21__MODIFICATION_PRICES1"/>
      <sheetName val="2__CHANGES-11"/>
      <sheetName val="3__CHANGES-21"/>
      <sheetName val="5__CHANGES-41"/>
      <sheetName val="WEIGHT_LIST1"/>
      <sheetName val="산#2-1_(2)1"/>
      <sheetName val="5_Cennik1"/>
      <sheetName val="S__Détail_Matériel"/>
      <sheetName val="COEF_KV"/>
      <sheetName val="an__struktur1"/>
      <sheetName val="Harga_Bahan_&amp;_Upah_1"/>
      <sheetName val="Analisa_Upah_&amp;_Bahan_Plum1"/>
      <sheetName val="Bill_rekap1"/>
      <sheetName val="Bill_of_Qty1"/>
      <sheetName val="Galian_11"/>
      <sheetName val="Piping_Design_Data12"/>
      <sheetName val="할증_12"/>
      <sheetName val="M_1112"/>
      <sheetName val="Chiet_tinh_dz3512"/>
      <sheetName val="Chiet_tinh_dz2212"/>
      <sheetName val="CT_Thang_Mo12"/>
      <sheetName val="CT__PL12"/>
      <sheetName val="EL_표면적12"/>
      <sheetName val="BQ_List12"/>
      <sheetName val="EQUIP_LIST12"/>
      <sheetName val="Process_Piping12"/>
      <sheetName val="MTO_REV_2(ARMOR)12"/>
      <sheetName val="INVOICE_CERT_EIV'S11"/>
      <sheetName val="SUM_FSBLT7"/>
      <sheetName val="FWBS_90007"/>
      <sheetName val="Overall_Project7"/>
      <sheetName val="Overall_Process7"/>
      <sheetName val="Overall_Utility7"/>
      <sheetName val="FWBS_10007"/>
      <sheetName val="FWBS_20007"/>
      <sheetName val="FWBS_30007"/>
      <sheetName val="FWBS_50007"/>
      <sheetName val="FWBS_60007"/>
      <sheetName val="FWBS_70007"/>
      <sheetName val="FWBS_80007"/>
      <sheetName val="FWBS_A0007"/>
      <sheetName val="FWBS_B0007"/>
      <sheetName val="FWBS_Z0007"/>
      <sheetName val="Building_BD6"/>
      <sheetName val="Onerous_Terms6"/>
      <sheetName val="_Sum6"/>
      <sheetName val="33628-Rev__A6"/>
      <sheetName val="실제_도면출도6"/>
      <sheetName val="공사비_내역_(가)6"/>
      <sheetName val="plan&amp;section_of_foundation6"/>
      <sheetName val="design_criteria6"/>
      <sheetName val="w't_table6"/>
      <sheetName val="BM_DATA_SHEET6"/>
      <sheetName val="Eq__Mobilization6"/>
      <sheetName val="Finansal_tamamlanma_Eğrisi11"/>
      <sheetName val="6PILE__(돌출)11"/>
      <sheetName val="_Armaflex_11"/>
      <sheetName val="___Basis-Kalk____11"/>
      <sheetName val="MW-Schale,_alukasch_11"/>
      <sheetName val="UK,_Kleinmaterial11"/>
      <sheetName val="PUR,_FOAMGLAS11"/>
      <sheetName val="General_Data11"/>
      <sheetName val="Payroll_Deduction-Feb_200811"/>
      <sheetName val="플랜트_설치6"/>
      <sheetName val="INPUT_DATA_OF_SCHEDULE11"/>
      <sheetName val="조도계산서_(도서)6"/>
      <sheetName val="해외_연수비용_계산-삭제11"/>
      <sheetName val="해외_기술훈련비_(합계)11"/>
      <sheetName val="Equip_Sch_7"/>
      <sheetName val="SCHED_PROGRESS7"/>
      <sheetName val="C_&amp;_G_RHS6"/>
      <sheetName val="WBS_446"/>
      <sheetName val="WBS_416"/>
      <sheetName val="bldg_list6"/>
      <sheetName val="MEASURE_LIST6"/>
      <sheetName val="AG_Pipe_Qty_Analysis6"/>
      <sheetName val="Proj_Cost_Sumry6"/>
      <sheetName val="07-Raw_Mill_Grinding6"/>
      <sheetName val="08-Farin_Silo6"/>
      <sheetName val="10-Pre_Heater6"/>
      <sheetName val="11-Rotary_Kiln6"/>
      <sheetName val="12+13_Clinker_Cooler6"/>
      <sheetName val="_15-Clinker_Storage6"/>
      <sheetName val="17+18_Lineer_Storage6"/>
      <sheetName val="20_Cement_Mill_Dept_6"/>
      <sheetName val="22_Cement_Silos_Truck6"/>
      <sheetName val="23_Cement_Silos_Train6"/>
      <sheetName val="24+26_Cement_Packing_Truck6"/>
      <sheetName val="25+27_Cement_Packing_Train6"/>
      <sheetName val="Riesgos_y_Oportunidades5"/>
      <sheetName val="Appendix_A146"/>
      <sheetName val="03년_현장공사비_실적_총괄6"/>
      <sheetName val="03년_현장공사비_실적_상세6"/>
      <sheetName val="03년_현장자재_및_장비비_실적총괄6"/>
      <sheetName val="03년_현장_외주비_자재_및_장비비_실적6"/>
      <sheetName val="97_사업추정(WEKI)6"/>
      <sheetName val="Cashflow_Analysis5"/>
      <sheetName val="Tables_3_1_to_3_5_EXH_G5"/>
      <sheetName val="DB_ET200(R__A)5"/>
      <sheetName val="HO_Staff_Rates_2018-I_scale5"/>
      <sheetName val="Crew_Summary5"/>
      <sheetName val="Master_Field_Staff_List5"/>
      <sheetName val="EQUIPMENT__25"/>
      <sheetName val="Schedule_5"/>
      <sheetName val="Loading_Struc5"/>
      <sheetName val="Loading_Pip5"/>
      <sheetName val="Loading_Overall_(BASE_Proposal5"/>
      <sheetName val="Steel_Structure5"/>
      <sheetName val="PIPING_AG-UG_NEW_UNITS5"/>
      <sheetName val="MEC_PIPING_PREFABR5"/>
      <sheetName val="Working_File-Pip5"/>
      <sheetName val="Equip_ISBL_&amp;_OSBL_5"/>
      <sheetName val="Total_Staff5"/>
      <sheetName val="0__SUMMARY5"/>
      <sheetName val="1__Engineering5"/>
      <sheetName val="2__Check_point5"/>
      <sheetName val="II_Changes_15"/>
      <sheetName val="III_Changes_25"/>
      <sheetName val="Qty_5"/>
      <sheetName val="OQC_Summary5"/>
      <sheetName val="6_Unit_Rates5"/>
      <sheetName val="HOJA_DE_CONTROL_5"/>
      <sheetName val="설산1_나5"/>
      <sheetName val="No_Inspection5"/>
      <sheetName val="HRG_BAHAN_&amp;_UPAH_okk4"/>
      <sheetName val="Analis_Kusen_okk4"/>
      <sheetName val="PTTLNG_-_Staff_Dipatch_plan_134"/>
      <sheetName val="F1_subcontract_prrice_4"/>
      <sheetName val="Form_14"/>
      <sheetName val="F2_Direct4"/>
      <sheetName val="F3_Material4"/>
      <sheetName val="F4_D-Labor4"/>
      <sheetName val="F5_Equipt4"/>
      <sheetName val="F6_T&amp;C4"/>
      <sheetName val="F7_IN-Labor4"/>
      <sheetName val="F8_TF4"/>
      <sheetName val="F9_Exp4"/>
      <sheetName val="F10_Ins4"/>
      <sheetName val="F11_HSE4"/>
      <sheetName val="F12_O&amp;P4"/>
      <sheetName val="F13_Tax4"/>
      <sheetName val="LATAM_Personnel_Cost_Prices4"/>
      <sheetName val="NEW_FREIGHT_DETERMINATION_4"/>
      <sheetName val="1_Heavy_Cost4"/>
      <sheetName val="2_Secondhandling_Cost4"/>
      <sheetName val="laborrates_4"/>
      <sheetName val="equip_rates_as_provided_to_Pem4"/>
      <sheetName val="raw_equipment_rates4"/>
      <sheetName val="Auriga_crane_company_rates4"/>
      <sheetName val="TA_calc_manhours_cheatsheet4"/>
      <sheetName val="OLD_FREIGHT_DETERMINATION4"/>
      <sheetName val="Quote_summary4"/>
      <sheetName val="Cash_flow4"/>
      <sheetName val="EQUIPMENT_-23"/>
      <sheetName val="Pag_53"/>
      <sheetName val="CLASS_OF_GOODS3"/>
      <sheetName val="Rev_0_rebid_-_option13"/>
      <sheetName val="Precios_por_Administración2"/>
      <sheetName val="Precios_Unitarios2"/>
      <sheetName val="Bid_Summary3"/>
      <sheetName val="Memb_Schd4"/>
      <sheetName val="Sch_64"/>
      <sheetName val="7_1유효폭2"/>
      <sheetName val="간접비_총괄표2"/>
      <sheetName val="MH_RATE3"/>
      <sheetName val="PL_PBC2"/>
      <sheetName val="Material_2"/>
      <sheetName val="Labour_&amp;_Plant2"/>
      <sheetName val="HYDROTEST_DIAGRAM3"/>
      <sheetName val="RAB_ALT_(2)3"/>
      <sheetName val="Basic_Price3"/>
      <sheetName val="FWBS_15303"/>
      <sheetName val="Utility_and_Fire_flange3"/>
      <sheetName val="表六_3"/>
      <sheetName val="VC2_10_993"/>
      <sheetName val="Peralatan_(2)3"/>
      <sheetName val="BQ_GEDUNG3"/>
      <sheetName val="alat_(2)3"/>
      <sheetName val="Ahs_23"/>
      <sheetName val="Ahs_13"/>
      <sheetName val="0_INDIRECTS2"/>
      <sheetName val="1__Civil_Works2"/>
      <sheetName val="2__Struct__Steel_SST2"/>
      <sheetName val="3__Fireproofing_SST2"/>
      <sheetName val="4_2__Fireproofing_EQU2"/>
      <sheetName val="4_1__Equipment2"/>
      <sheetName val="4_1__Equipment_(Tag)2"/>
      <sheetName val="BoQ_Equipment2"/>
      <sheetName val="4_3__Insulation_for_Equip2"/>
      <sheetName val="4_4__Structural_Steel_EQU2"/>
      <sheetName val="4_5__Heavy_Lifting2"/>
      <sheetName val="5_1__AG_PIPING2"/>
      <sheetName val="1A_AG_PIPING_PREFABRICATION2"/>
      <sheetName val="5_2_UG_PIPING2"/>
      <sheetName val="5_3a_VALVES2"/>
      <sheetName val="5_3b_INLINE_INST_2"/>
      <sheetName val="5_3c_FLANGE_BOLTED_JOINTS2"/>
      <sheetName val="5_4__SUPPORTS2"/>
      <sheetName val="5_5__WRAPPING2"/>
      <sheetName val="5_6__PAINT2"/>
      <sheetName val="5_7__INSULATION2"/>
      <sheetName val="5_8__NDT2"/>
      <sheetName val="5_9__PWHT2"/>
      <sheetName val="5_10_TIE-INS2"/>
      <sheetName val="6__Pipeline_Works2"/>
      <sheetName val="7_1__Cathodic_Protection_Erec2"/>
      <sheetName val="7_2__CP_Auxiliary_Prices2"/>
      <sheetName val="8_1__Electrical_Erection2"/>
      <sheetName val="8_2__Instruments_Erection2"/>
      <sheetName val="8_3__Telecom_Erection2"/>
      <sheetName val="9_1__HSE_-_Inside_Bldg2"/>
      <sheetName val="9_2__HSE_-_Outside_Bldg2"/>
      <sheetName val="21__MODIFICATION_PRICES2"/>
      <sheetName val="2__CHANGES-12"/>
      <sheetName val="3__CHANGES-22"/>
      <sheetName val="5__CHANGES-42"/>
      <sheetName val="WEIGHT_LIST2"/>
      <sheetName val="산#2-1_(2)2"/>
      <sheetName val="5_Cennik2"/>
      <sheetName val="1)_COMMON_FACILITIES1"/>
      <sheetName val="Summary_Sheets1"/>
      <sheetName val="S__Détail_Matériel1"/>
      <sheetName val="COEF_KV1"/>
      <sheetName val="an__struktur2"/>
      <sheetName val="Harga_Bahan_&amp;_Upah_2"/>
      <sheetName val="Analisa_Upah_&amp;_Bahan_Plum2"/>
      <sheetName val="Bill_rekap2"/>
      <sheetName val="Bill_of_Qty2"/>
      <sheetName val="Galian_12"/>
      <sheetName val="PT_DPT_Manifold (TR)"/>
      <sheetName val="PT_DPT_Seal (TR)"/>
      <sheetName val="Item Details"/>
      <sheetName val="각입중량산출서"/>
      <sheetName val="Buildg-200"/>
      <sheetName val="Pengalaman_Per"/>
      <sheetName val="分析"/>
      <sheetName val="海盐加工装置"/>
      <sheetName val="内外控制表"/>
      <sheetName val="Statement"/>
      <sheetName val="CTRs (HOURS) "/>
      <sheetName val="价差测算"/>
      <sheetName val="参数表"/>
      <sheetName val="Paint_Mat_Summ1"/>
      <sheetName val="Hot_1"/>
      <sheetName val="schedule_nos"/>
      <sheetName val="MTO-5"/>
      <sheetName val="입찰안"/>
      <sheetName val="계약"/>
      <sheetName val="BGC_Cashcalls.MID"/>
      <sheetName val="cost curve calc"/>
      <sheetName val="Tbl 1y 4"/>
      <sheetName val="tifico"/>
      <sheetName val="表四"/>
      <sheetName val="gd_02"/>
      <sheetName val="电气b2"/>
      <sheetName val="机务b2"/>
      <sheetName val="土建b2"/>
      <sheetName val="Hardware"/>
      <sheetName val="ADI Edison Termoelettrica"/>
      <sheetName val="B1"/>
      <sheetName val="configuration"/>
      <sheetName val="Service List"/>
      <sheetName val="pile Fabrication"/>
      <sheetName val="Arch"/>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sheetData sheetId="148" refreshError="1"/>
      <sheetData sheetId="149" refreshError="1"/>
      <sheetData sheetId="150" refreshError="1"/>
      <sheetData sheetId="151" refreshError="1"/>
      <sheetData sheetId="152" refreshError="1"/>
      <sheetData sheetId="153"/>
      <sheetData sheetId="154"/>
      <sheetData sheetId="155"/>
      <sheetData sheetId="156"/>
      <sheetData sheetId="157"/>
      <sheetData sheetId="158"/>
      <sheetData sheetId="159"/>
      <sheetData sheetId="160"/>
      <sheetData sheetId="161"/>
      <sheetData sheetId="162"/>
      <sheetData sheetId="163"/>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sheetData sheetId="461"/>
      <sheetData sheetId="462"/>
      <sheetData sheetId="463"/>
      <sheetData sheetId="464"/>
      <sheetData sheetId="465"/>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sheetData sheetId="477" refreshError="1"/>
      <sheetData sheetId="478" refreshError="1"/>
      <sheetData sheetId="479" refreshError="1"/>
      <sheetData sheetId="480"/>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sheetData sheetId="595"/>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refreshError="1"/>
      <sheetData sheetId="1119" refreshError="1"/>
      <sheetData sheetId="1120" refreshError="1"/>
      <sheetData sheetId="1121" refreshError="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refreshError="1"/>
      <sheetData sheetId="1159" refreshError="1"/>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sheetData sheetId="1277"/>
      <sheetData sheetId="1278"/>
      <sheetData sheetId="1279"/>
      <sheetData sheetId="1280"/>
      <sheetData sheetId="1281"/>
      <sheetData sheetId="1282"/>
      <sheetData sheetId="1283"/>
      <sheetData sheetId="1284"/>
      <sheetData sheetId="1285"/>
      <sheetData sheetId="1286"/>
      <sheetData sheetId="1287"/>
      <sheetData sheetId="1288"/>
      <sheetData sheetId="1289"/>
      <sheetData sheetId="1290"/>
      <sheetData sheetId="1291"/>
      <sheetData sheetId="1292"/>
      <sheetData sheetId="1293"/>
      <sheetData sheetId="1294"/>
      <sheetData sheetId="1295"/>
      <sheetData sheetId="1296"/>
      <sheetData sheetId="1297"/>
      <sheetData sheetId="1298"/>
      <sheetData sheetId="1299"/>
      <sheetData sheetId="1300"/>
      <sheetData sheetId="1301"/>
      <sheetData sheetId="1302"/>
      <sheetData sheetId="1303"/>
      <sheetData sheetId="1304"/>
      <sheetData sheetId="1305"/>
      <sheetData sheetId="1306"/>
      <sheetData sheetId="1307"/>
      <sheetData sheetId="1308"/>
      <sheetData sheetId="1309"/>
      <sheetData sheetId="1310"/>
      <sheetData sheetId="1311"/>
      <sheetData sheetId="1312"/>
      <sheetData sheetId="1313"/>
      <sheetData sheetId="1314"/>
      <sheetData sheetId="1315"/>
      <sheetData sheetId="1316"/>
      <sheetData sheetId="1317"/>
      <sheetData sheetId="1318"/>
      <sheetData sheetId="1319"/>
      <sheetData sheetId="1320"/>
      <sheetData sheetId="1321"/>
      <sheetData sheetId="1322"/>
      <sheetData sheetId="1323"/>
      <sheetData sheetId="1324"/>
      <sheetData sheetId="1325"/>
      <sheetData sheetId="1326"/>
      <sheetData sheetId="1327"/>
      <sheetData sheetId="1328"/>
      <sheetData sheetId="1329"/>
      <sheetData sheetId="1330"/>
      <sheetData sheetId="1331"/>
      <sheetData sheetId="1332"/>
      <sheetData sheetId="1333"/>
      <sheetData sheetId="1334"/>
      <sheetData sheetId="1335"/>
      <sheetData sheetId="1336"/>
      <sheetData sheetId="1337"/>
      <sheetData sheetId="1338"/>
      <sheetData sheetId="1339"/>
      <sheetData sheetId="1340"/>
      <sheetData sheetId="1341"/>
      <sheetData sheetId="1342"/>
      <sheetData sheetId="1343"/>
      <sheetData sheetId="1344"/>
      <sheetData sheetId="1345"/>
      <sheetData sheetId="1346"/>
      <sheetData sheetId="1347"/>
      <sheetData sheetId="1348"/>
      <sheetData sheetId="1349"/>
      <sheetData sheetId="1350"/>
      <sheetData sheetId="1351"/>
      <sheetData sheetId="1352"/>
      <sheetData sheetId="1353"/>
      <sheetData sheetId="1354"/>
      <sheetData sheetId="1355"/>
      <sheetData sheetId="1356"/>
      <sheetData sheetId="1357"/>
      <sheetData sheetId="1358"/>
      <sheetData sheetId="1359"/>
      <sheetData sheetId="1360"/>
      <sheetData sheetId="1361"/>
      <sheetData sheetId="1362"/>
      <sheetData sheetId="1363"/>
      <sheetData sheetId="1364"/>
      <sheetData sheetId="1365"/>
      <sheetData sheetId="1366"/>
      <sheetData sheetId="1367"/>
      <sheetData sheetId="1368"/>
      <sheetData sheetId="1369"/>
      <sheetData sheetId="1370"/>
      <sheetData sheetId="1371"/>
      <sheetData sheetId="1372"/>
      <sheetData sheetId="1373"/>
      <sheetData sheetId="1374"/>
      <sheetData sheetId="1375"/>
      <sheetData sheetId="1376"/>
      <sheetData sheetId="1377"/>
      <sheetData sheetId="1378"/>
      <sheetData sheetId="1379"/>
      <sheetData sheetId="1380"/>
      <sheetData sheetId="1381"/>
      <sheetData sheetId="1382"/>
      <sheetData sheetId="1383"/>
      <sheetData sheetId="1384"/>
      <sheetData sheetId="1385"/>
      <sheetData sheetId="1386"/>
      <sheetData sheetId="1387"/>
      <sheetData sheetId="1388"/>
      <sheetData sheetId="1389"/>
      <sheetData sheetId="1390"/>
      <sheetData sheetId="1391"/>
      <sheetData sheetId="1392"/>
      <sheetData sheetId="1393"/>
      <sheetData sheetId="1394"/>
      <sheetData sheetId="1395"/>
      <sheetData sheetId="1396"/>
      <sheetData sheetId="1397"/>
      <sheetData sheetId="1398"/>
      <sheetData sheetId="1399"/>
      <sheetData sheetId="1400"/>
      <sheetData sheetId="1401"/>
      <sheetData sheetId="1402"/>
      <sheetData sheetId="1403"/>
      <sheetData sheetId="1404"/>
      <sheetData sheetId="1405"/>
      <sheetData sheetId="1406"/>
      <sheetData sheetId="1407"/>
      <sheetData sheetId="1408"/>
      <sheetData sheetId="1409"/>
      <sheetData sheetId="1410"/>
      <sheetData sheetId="1411"/>
      <sheetData sheetId="1412"/>
      <sheetData sheetId="1413"/>
      <sheetData sheetId="1414"/>
      <sheetData sheetId="1415"/>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sheetData sheetId="1482"/>
      <sheetData sheetId="1483"/>
      <sheetData sheetId="1484"/>
      <sheetData sheetId="1485" refreshError="1"/>
      <sheetData sheetId="1486" refreshError="1"/>
      <sheetData sheetId="1487" refreshError="1"/>
      <sheetData sheetId="1488" refreshError="1"/>
      <sheetData sheetId="1489" refreshError="1"/>
      <sheetData sheetId="1490" refreshError="1"/>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sheetData sheetId="1504"/>
      <sheetData sheetId="1505"/>
      <sheetData sheetId="1506"/>
      <sheetData sheetId="1507"/>
      <sheetData sheetId="1508"/>
      <sheetData sheetId="1509"/>
      <sheetData sheetId="1510"/>
      <sheetData sheetId="1511"/>
      <sheetData sheetId="1512"/>
      <sheetData sheetId="1513"/>
      <sheetData sheetId="1514"/>
      <sheetData sheetId="1515"/>
      <sheetData sheetId="1516"/>
      <sheetData sheetId="1517"/>
      <sheetData sheetId="1518"/>
      <sheetData sheetId="1519"/>
      <sheetData sheetId="1520"/>
      <sheetData sheetId="1521"/>
      <sheetData sheetId="1522"/>
      <sheetData sheetId="1523"/>
      <sheetData sheetId="1524"/>
      <sheetData sheetId="1525"/>
      <sheetData sheetId="1526"/>
      <sheetData sheetId="1527"/>
      <sheetData sheetId="1528"/>
      <sheetData sheetId="1529"/>
      <sheetData sheetId="1530"/>
      <sheetData sheetId="1531"/>
      <sheetData sheetId="1532"/>
      <sheetData sheetId="1533"/>
      <sheetData sheetId="1534"/>
      <sheetData sheetId="1535"/>
      <sheetData sheetId="1536"/>
      <sheetData sheetId="1537"/>
      <sheetData sheetId="1538"/>
      <sheetData sheetId="1539"/>
      <sheetData sheetId="1540"/>
      <sheetData sheetId="1541"/>
      <sheetData sheetId="1542"/>
      <sheetData sheetId="1543"/>
      <sheetData sheetId="1544"/>
      <sheetData sheetId="1545"/>
      <sheetData sheetId="1546"/>
      <sheetData sheetId="1547"/>
      <sheetData sheetId="1548"/>
      <sheetData sheetId="1549"/>
      <sheetData sheetId="1550"/>
      <sheetData sheetId="1551"/>
      <sheetData sheetId="1552"/>
      <sheetData sheetId="1553"/>
      <sheetData sheetId="1554"/>
      <sheetData sheetId="1555"/>
      <sheetData sheetId="1556"/>
      <sheetData sheetId="1557"/>
      <sheetData sheetId="1558"/>
      <sheetData sheetId="1559"/>
      <sheetData sheetId="1560"/>
      <sheetData sheetId="1561"/>
      <sheetData sheetId="1562"/>
      <sheetData sheetId="1563"/>
      <sheetData sheetId="1564"/>
      <sheetData sheetId="1565"/>
      <sheetData sheetId="1566"/>
      <sheetData sheetId="1567"/>
      <sheetData sheetId="1568"/>
      <sheetData sheetId="1569"/>
      <sheetData sheetId="1570"/>
      <sheetData sheetId="1571"/>
      <sheetData sheetId="1572"/>
      <sheetData sheetId="1573"/>
      <sheetData sheetId="1574"/>
      <sheetData sheetId="1575"/>
      <sheetData sheetId="1576"/>
      <sheetData sheetId="1577"/>
      <sheetData sheetId="1578"/>
      <sheetData sheetId="1579"/>
      <sheetData sheetId="1580"/>
      <sheetData sheetId="1581"/>
      <sheetData sheetId="1582"/>
      <sheetData sheetId="1583"/>
      <sheetData sheetId="1584"/>
      <sheetData sheetId="1585"/>
      <sheetData sheetId="1586"/>
      <sheetData sheetId="1587"/>
      <sheetData sheetId="1588"/>
      <sheetData sheetId="1589"/>
      <sheetData sheetId="1590"/>
      <sheetData sheetId="1591"/>
      <sheetData sheetId="1592"/>
      <sheetData sheetId="1593"/>
      <sheetData sheetId="1594"/>
      <sheetData sheetId="1595"/>
      <sheetData sheetId="1596"/>
      <sheetData sheetId="1597"/>
      <sheetData sheetId="1598"/>
      <sheetData sheetId="1599"/>
      <sheetData sheetId="1600"/>
      <sheetData sheetId="1601"/>
      <sheetData sheetId="1602"/>
      <sheetData sheetId="1603"/>
      <sheetData sheetId="1604"/>
      <sheetData sheetId="1605"/>
      <sheetData sheetId="1606"/>
      <sheetData sheetId="1607"/>
      <sheetData sheetId="1608"/>
      <sheetData sheetId="1609"/>
      <sheetData sheetId="1610"/>
      <sheetData sheetId="1611"/>
      <sheetData sheetId="1612"/>
      <sheetData sheetId="1613"/>
      <sheetData sheetId="1614"/>
      <sheetData sheetId="1615"/>
      <sheetData sheetId="1616"/>
      <sheetData sheetId="1617"/>
      <sheetData sheetId="1618"/>
      <sheetData sheetId="1619"/>
      <sheetData sheetId="1620"/>
      <sheetData sheetId="1621"/>
      <sheetData sheetId="1622"/>
      <sheetData sheetId="1623"/>
      <sheetData sheetId="1624"/>
      <sheetData sheetId="1625"/>
      <sheetData sheetId="1626"/>
      <sheetData sheetId="1627"/>
      <sheetData sheetId="1628"/>
      <sheetData sheetId="1629"/>
      <sheetData sheetId="1630"/>
      <sheetData sheetId="1631"/>
      <sheetData sheetId="1632"/>
      <sheetData sheetId="1633"/>
      <sheetData sheetId="1634"/>
      <sheetData sheetId="1635"/>
      <sheetData sheetId="1636"/>
      <sheetData sheetId="1637"/>
      <sheetData sheetId="1638"/>
      <sheetData sheetId="1639"/>
      <sheetData sheetId="1640"/>
      <sheetData sheetId="1641"/>
      <sheetData sheetId="1642"/>
      <sheetData sheetId="1643"/>
      <sheetData sheetId="1644"/>
      <sheetData sheetId="1645"/>
      <sheetData sheetId="1646"/>
      <sheetData sheetId="1647"/>
      <sheetData sheetId="1648"/>
      <sheetData sheetId="1649"/>
      <sheetData sheetId="1650"/>
      <sheetData sheetId="1651"/>
      <sheetData sheetId="1652"/>
      <sheetData sheetId="1653"/>
      <sheetData sheetId="1654"/>
      <sheetData sheetId="1655"/>
      <sheetData sheetId="1656"/>
      <sheetData sheetId="1657"/>
      <sheetData sheetId="1658"/>
      <sheetData sheetId="1659"/>
      <sheetData sheetId="1660"/>
      <sheetData sheetId="1661"/>
      <sheetData sheetId="1662"/>
      <sheetData sheetId="1663"/>
      <sheetData sheetId="1664"/>
      <sheetData sheetId="1665"/>
      <sheetData sheetId="1666"/>
      <sheetData sheetId="1667"/>
      <sheetData sheetId="1668"/>
      <sheetData sheetId="1669"/>
      <sheetData sheetId="1670"/>
      <sheetData sheetId="1671"/>
      <sheetData sheetId="1672"/>
      <sheetData sheetId="1673"/>
      <sheetData sheetId="1674"/>
      <sheetData sheetId="1675"/>
      <sheetData sheetId="1676"/>
      <sheetData sheetId="1677"/>
      <sheetData sheetId="1678"/>
      <sheetData sheetId="1679"/>
      <sheetData sheetId="1680"/>
      <sheetData sheetId="1681"/>
      <sheetData sheetId="1682"/>
      <sheetData sheetId="1683"/>
      <sheetData sheetId="1684"/>
      <sheetData sheetId="1685"/>
      <sheetData sheetId="1686"/>
      <sheetData sheetId="1687"/>
      <sheetData sheetId="1688"/>
      <sheetData sheetId="1689"/>
      <sheetData sheetId="1690"/>
      <sheetData sheetId="1691"/>
      <sheetData sheetId="1692"/>
      <sheetData sheetId="1693"/>
      <sheetData sheetId="1694"/>
      <sheetData sheetId="1695"/>
      <sheetData sheetId="1696"/>
      <sheetData sheetId="1697"/>
      <sheetData sheetId="1698"/>
      <sheetData sheetId="1699"/>
      <sheetData sheetId="1700"/>
      <sheetData sheetId="1701"/>
      <sheetData sheetId="1702"/>
      <sheetData sheetId="1703"/>
      <sheetData sheetId="1704"/>
      <sheetData sheetId="1705"/>
      <sheetData sheetId="1706"/>
      <sheetData sheetId="1707"/>
      <sheetData sheetId="1708"/>
      <sheetData sheetId="1709"/>
      <sheetData sheetId="1710"/>
      <sheetData sheetId="1711"/>
      <sheetData sheetId="1712"/>
      <sheetData sheetId="1713"/>
      <sheetData sheetId="1714"/>
      <sheetData sheetId="1715"/>
      <sheetData sheetId="1716"/>
      <sheetData sheetId="1717"/>
      <sheetData sheetId="1718"/>
      <sheetData sheetId="1719"/>
      <sheetData sheetId="1720"/>
      <sheetData sheetId="1721"/>
      <sheetData sheetId="1722"/>
      <sheetData sheetId="1723"/>
      <sheetData sheetId="1724"/>
      <sheetData sheetId="1725"/>
      <sheetData sheetId="1726"/>
      <sheetData sheetId="1727"/>
      <sheetData sheetId="1728"/>
      <sheetData sheetId="1729"/>
      <sheetData sheetId="1730"/>
      <sheetData sheetId="1731"/>
      <sheetData sheetId="1732"/>
      <sheetData sheetId="1733"/>
      <sheetData sheetId="1734"/>
      <sheetData sheetId="1735"/>
      <sheetData sheetId="1736"/>
      <sheetData sheetId="1737"/>
      <sheetData sheetId="1738"/>
      <sheetData sheetId="1739"/>
      <sheetData sheetId="1740"/>
      <sheetData sheetId="1741"/>
      <sheetData sheetId="1742"/>
      <sheetData sheetId="1743"/>
      <sheetData sheetId="1744"/>
      <sheetData sheetId="1745"/>
      <sheetData sheetId="1746"/>
      <sheetData sheetId="1747"/>
      <sheetData sheetId="1748"/>
      <sheetData sheetId="1749"/>
      <sheetData sheetId="1750"/>
      <sheetData sheetId="1751"/>
      <sheetData sheetId="1752"/>
      <sheetData sheetId="1753"/>
      <sheetData sheetId="1754"/>
      <sheetData sheetId="1755"/>
      <sheetData sheetId="1756"/>
      <sheetData sheetId="1757"/>
      <sheetData sheetId="1758"/>
      <sheetData sheetId="1759"/>
      <sheetData sheetId="1760"/>
      <sheetData sheetId="1761"/>
      <sheetData sheetId="1762"/>
      <sheetData sheetId="1763"/>
      <sheetData sheetId="1764"/>
      <sheetData sheetId="1765"/>
      <sheetData sheetId="1766"/>
      <sheetData sheetId="1767"/>
      <sheetData sheetId="1768"/>
      <sheetData sheetId="1769"/>
      <sheetData sheetId="1770"/>
      <sheetData sheetId="1771"/>
      <sheetData sheetId="1772"/>
      <sheetData sheetId="1773"/>
      <sheetData sheetId="1774"/>
      <sheetData sheetId="1775"/>
      <sheetData sheetId="1776"/>
      <sheetData sheetId="1777"/>
      <sheetData sheetId="1778"/>
      <sheetData sheetId="1779"/>
      <sheetData sheetId="1780"/>
      <sheetData sheetId="1781"/>
      <sheetData sheetId="1782"/>
      <sheetData sheetId="1783"/>
      <sheetData sheetId="1784"/>
      <sheetData sheetId="1785"/>
      <sheetData sheetId="1786"/>
      <sheetData sheetId="1787"/>
      <sheetData sheetId="1788"/>
      <sheetData sheetId="1789"/>
      <sheetData sheetId="1790"/>
      <sheetData sheetId="1791"/>
      <sheetData sheetId="1792"/>
      <sheetData sheetId="1793"/>
      <sheetData sheetId="1794"/>
      <sheetData sheetId="1795"/>
      <sheetData sheetId="1796"/>
      <sheetData sheetId="1797"/>
      <sheetData sheetId="1798"/>
      <sheetData sheetId="1799"/>
      <sheetData sheetId="1800"/>
      <sheetData sheetId="1801"/>
      <sheetData sheetId="1802"/>
      <sheetData sheetId="1803"/>
      <sheetData sheetId="1804"/>
      <sheetData sheetId="1805"/>
      <sheetData sheetId="1806"/>
      <sheetData sheetId="1807"/>
      <sheetData sheetId="1808"/>
      <sheetData sheetId="1809"/>
      <sheetData sheetId="1810"/>
      <sheetData sheetId="1811"/>
      <sheetData sheetId="1812"/>
      <sheetData sheetId="1813"/>
      <sheetData sheetId="1814"/>
      <sheetData sheetId="1815"/>
      <sheetData sheetId="1816"/>
      <sheetData sheetId="1817"/>
      <sheetData sheetId="1818"/>
      <sheetData sheetId="1819"/>
      <sheetData sheetId="1820"/>
      <sheetData sheetId="1821"/>
      <sheetData sheetId="1822"/>
      <sheetData sheetId="1823"/>
      <sheetData sheetId="1824"/>
      <sheetData sheetId="1825"/>
      <sheetData sheetId="1826"/>
      <sheetData sheetId="1827"/>
      <sheetData sheetId="1828"/>
      <sheetData sheetId="1829"/>
      <sheetData sheetId="1830"/>
      <sheetData sheetId="1831"/>
      <sheetData sheetId="1832"/>
      <sheetData sheetId="1833"/>
      <sheetData sheetId="1834"/>
      <sheetData sheetId="1835"/>
      <sheetData sheetId="1836"/>
      <sheetData sheetId="1837"/>
      <sheetData sheetId="1838"/>
      <sheetData sheetId="1839"/>
      <sheetData sheetId="1840"/>
      <sheetData sheetId="1841"/>
      <sheetData sheetId="1842"/>
      <sheetData sheetId="1843"/>
      <sheetData sheetId="1844"/>
      <sheetData sheetId="1845"/>
      <sheetData sheetId="1846"/>
      <sheetData sheetId="1847"/>
      <sheetData sheetId="1848"/>
      <sheetData sheetId="1849"/>
      <sheetData sheetId="1850"/>
      <sheetData sheetId="1851"/>
      <sheetData sheetId="1852"/>
      <sheetData sheetId="1853"/>
      <sheetData sheetId="1854"/>
      <sheetData sheetId="1855"/>
      <sheetData sheetId="1856"/>
      <sheetData sheetId="1857"/>
      <sheetData sheetId="1858"/>
      <sheetData sheetId="1859"/>
      <sheetData sheetId="1860"/>
      <sheetData sheetId="1861"/>
      <sheetData sheetId="1862"/>
      <sheetData sheetId="1863"/>
      <sheetData sheetId="1864"/>
      <sheetData sheetId="1865"/>
      <sheetData sheetId="1866"/>
      <sheetData sheetId="1867"/>
      <sheetData sheetId="1868"/>
      <sheetData sheetId="1869"/>
      <sheetData sheetId="1870"/>
      <sheetData sheetId="1871"/>
      <sheetData sheetId="1872"/>
      <sheetData sheetId="1873"/>
      <sheetData sheetId="1874"/>
      <sheetData sheetId="1875"/>
      <sheetData sheetId="1876"/>
      <sheetData sheetId="1877"/>
      <sheetData sheetId="1878"/>
      <sheetData sheetId="1879"/>
      <sheetData sheetId="1880"/>
      <sheetData sheetId="1881"/>
      <sheetData sheetId="1882"/>
      <sheetData sheetId="1883"/>
      <sheetData sheetId="1884"/>
      <sheetData sheetId="1885"/>
      <sheetData sheetId="1886"/>
      <sheetData sheetId="1887"/>
      <sheetData sheetId="1888"/>
      <sheetData sheetId="1889"/>
      <sheetData sheetId="1890"/>
      <sheetData sheetId="1891"/>
      <sheetData sheetId="1892"/>
      <sheetData sheetId="1893"/>
      <sheetData sheetId="1894"/>
      <sheetData sheetId="1895"/>
      <sheetData sheetId="1896"/>
      <sheetData sheetId="1897"/>
      <sheetData sheetId="1898"/>
      <sheetData sheetId="1899"/>
      <sheetData sheetId="1900"/>
      <sheetData sheetId="1901"/>
      <sheetData sheetId="1902"/>
      <sheetData sheetId="1903"/>
      <sheetData sheetId="1904"/>
      <sheetData sheetId="1905"/>
      <sheetData sheetId="1906"/>
      <sheetData sheetId="1907"/>
      <sheetData sheetId="1908"/>
      <sheetData sheetId="1909"/>
      <sheetData sheetId="1910"/>
      <sheetData sheetId="1911"/>
      <sheetData sheetId="1912"/>
      <sheetData sheetId="1913"/>
      <sheetData sheetId="1914"/>
      <sheetData sheetId="1915"/>
      <sheetData sheetId="1916"/>
      <sheetData sheetId="1917"/>
      <sheetData sheetId="1918"/>
      <sheetData sheetId="1919"/>
      <sheetData sheetId="1920"/>
      <sheetData sheetId="1921"/>
      <sheetData sheetId="1922"/>
      <sheetData sheetId="1923"/>
      <sheetData sheetId="1924"/>
      <sheetData sheetId="1925"/>
      <sheetData sheetId="1926"/>
      <sheetData sheetId="1927"/>
      <sheetData sheetId="1928"/>
      <sheetData sheetId="1929"/>
      <sheetData sheetId="1930"/>
      <sheetData sheetId="1931"/>
      <sheetData sheetId="1932"/>
      <sheetData sheetId="1933"/>
      <sheetData sheetId="1934" refreshError="1"/>
      <sheetData sheetId="1935" refreshError="1"/>
      <sheetData sheetId="1936"/>
      <sheetData sheetId="1937" refreshError="1"/>
      <sheetData sheetId="1938" refreshError="1"/>
      <sheetData sheetId="1939" refreshError="1"/>
      <sheetData sheetId="1940" refreshError="1"/>
      <sheetData sheetId="1941" refreshError="1"/>
      <sheetData sheetId="1942" refreshError="1"/>
      <sheetData sheetId="1943" refreshError="1"/>
      <sheetData sheetId="1944"/>
      <sheetData sheetId="1945"/>
      <sheetData sheetId="1946"/>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Set>
  </externalBook>
</externalLink>
</file>

<file path=xl/externalLinks/externalLink7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nual"/>
      <sheetName val="equipment"/>
      <sheetName val="eq_data"/>
      <sheetName val="out_put"/>
      <sheetName val="drawing"/>
      <sheetName val="Loading"/>
      <sheetName val="Sheet1"/>
      <sheetName val="Sheet2"/>
      <sheetName val="Sheet3"/>
      <sheetName val="정부노임단가"/>
      <sheetName val="INSTR"/>
      <sheetName val="환율표"/>
      <sheetName val="Cover"/>
      <sheetName val="수입"/>
      <sheetName val="data_dci"/>
      <sheetName val="data_mci"/>
      <sheetName val="behind"/>
      <sheetName val="Main"/>
      <sheetName val="BB2현대건설견적"/>
      <sheetName val="Resource"/>
      <sheetName val="h-013211-2"/>
      <sheetName val="A"/>
      <sheetName val="ELEC_DCI"/>
      <sheetName val="INST_DCI"/>
      <sheetName val="일위대가"/>
      <sheetName val="일위대가표"/>
      <sheetName val="7.6.3(B) UG Piping"/>
      <sheetName val="Elect (3)"/>
      <sheetName val="crude.SLAB RE-bar"/>
      <sheetName val="CRUDE RE-bar"/>
      <sheetName val="공사내역"/>
      <sheetName val="SUMMARY (0)"/>
    </sheetNames>
    <sheetDataSet>
      <sheetData sheetId="0"/>
      <sheetData sheetId="1"/>
      <sheetData sheetId="2">
        <row r="5">
          <cell r="C5" t="str">
            <v>Isolated type</v>
          </cell>
        </row>
      </sheetData>
      <sheetData sheetId="3"/>
      <sheetData sheetId="4"/>
      <sheetData sheetId="5"/>
      <sheetData sheetId="6"/>
      <sheetData sheetId="7"/>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Set>
  </externalBook>
</externalLink>
</file>

<file path=xl/externalLinks/externalLink7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A"/>
      <sheetName val="총괄표"/>
      <sheetName val="h-013211-2"/>
    </sheetNames>
    <sheetDataSet>
      <sheetData sheetId="0"/>
      <sheetData sheetId="1" refreshError="1"/>
      <sheetData sheetId="2" refreshError="1"/>
    </sheetDataSet>
  </externalBook>
</externalLink>
</file>

<file path=xl/externalLinks/externalLink7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97 사업추정(WEKI)"/>
      <sheetName val="97 사업추정_WEKI_"/>
      <sheetName val="9-1차이내역"/>
      <sheetName val="PumpSpec"/>
      <sheetName val="수량집계"/>
      <sheetName val="총괄집계표"/>
      <sheetName val="상반기손익차2총괄"/>
      <sheetName val="97SAUPCU"/>
      <sheetName val="Expat Conditions"/>
      <sheetName val="RCF CLAIMED"/>
      <sheetName val="투찰가"/>
      <sheetName val="eq_data"/>
      <sheetName val="단면가정"/>
      <sheetName val="수입"/>
      <sheetName val="손익차9월2"/>
      <sheetName val="시행예산"/>
      <sheetName val="95삼성급(본사)"/>
      <sheetName val="Total"/>
      <sheetName val="fitting"/>
      <sheetName val="VENDOR LIST"/>
      <sheetName val="공통비"/>
      <sheetName val="ITB COST"/>
      <sheetName val="영업소실적"/>
      <sheetName val="TTL"/>
      <sheetName val="터널조도"/>
      <sheetName val="환율"/>
      <sheetName val="PRO_A"/>
      <sheetName val="ELEC_MCI"/>
      <sheetName val="MAIN"/>
      <sheetName val="INST_MCI"/>
      <sheetName val="MECH_MCI"/>
      <sheetName val="PRO"/>
      <sheetName val="정부노임단가"/>
      <sheetName val="PBS"/>
      <sheetName val="SILICATE"/>
      <sheetName val="h-013211-2"/>
      <sheetName val="main-sht"/>
      <sheetName val="요약배부"/>
      <sheetName val="주관사업"/>
      <sheetName val="Option"/>
      <sheetName val="Graph (LGEN)"/>
      <sheetName val="out_prog"/>
      <sheetName val="선적schedule (2)"/>
      <sheetName val="단가비교(TOTAL)"/>
      <sheetName val="Summary Sheets"/>
      <sheetName val="AP1"/>
      <sheetName val="Sheet1"/>
      <sheetName val="VA_code"/>
      <sheetName val="인원계획"/>
      <sheetName val="Regenerator  Concrete Structure"/>
      <sheetName val="97 »ç¾÷ÃßÁ¤(WEKI)"/>
      <sheetName val="Sheet5"/>
      <sheetName val="사업부배부A"/>
      <sheetName val="unit 4"/>
      <sheetName val="J直材4"/>
      <sheetName val="N賃率-職"/>
      <sheetName val="소화실적"/>
      <sheetName val="청산공사"/>
      <sheetName val="Sheet2"/>
      <sheetName val="#REF"/>
      <sheetName val="EACT10"/>
      <sheetName val="일위대가"/>
      <sheetName val="직노"/>
      <sheetName val="Sheet4"/>
      <sheetName val="현금"/>
      <sheetName val="97 ????(WEKI)"/>
      <sheetName val="간접비 총괄표"/>
      <sheetName val="공사비 내역 (가)"/>
      <sheetName val="무전표"/>
      <sheetName val="Steam-Sys"/>
      <sheetName val="Rekap A"/>
      <sheetName val="대비내역"/>
      <sheetName val="보온자재단가표"/>
      <sheetName val="Instruction"/>
      <sheetName val="CAL."/>
      <sheetName val="회사99"/>
      <sheetName val="VL"/>
      <sheetName val="lookup"/>
      <sheetName val="DATE"/>
      <sheetName val="Macro"/>
      <sheetName val="Taux"/>
      <sheetName val="6,000"/>
      <sheetName val="DOC"/>
      <sheetName val="BM DATA SHEET"/>
      <sheetName val="CAMP OPERATING COST"/>
      <sheetName val="PERSONNEL SETUP"/>
      <sheetName val="LIST OF OFFICE EQUIPMENT"/>
      <sheetName val="STAFF&amp;INDIRECT SALARY - SUMMARY"/>
      <sheetName val="KOREAN STAFF SALARY_BREAKDOWN"/>
      <sheetName val="BREAKDOWN"/>
      <sheetName val="WELFARE COST - SITE"/>
      <sheetName val="General Data"/>
      <sheetName val="FORCE"/>
      <sheetName val="6호기"/>
      <sheetName val="단가비교표"/>
      <sheetName val="간접비내역-1"/>
      <sheetName val="차량운영비"/>
      <sheetName val="E_Rate PM"/>
      <sheetName val="세부내역"/>
      <sheetName val="guard(mac)"/>
      <sheetName val="B"/>
      <sheetName val="COA-17"/>
      <sheetName val="C-18"/>
      <sheetName val="집계표"/>
      <sheetName val="개시대사 (2)"/>
      <sheetName val="MEXICO-C"/>
      <sheetName val="견적기준"/>
      <sheetName val="inter"/>
      <sheetName val="1-11조직표"/>
      <sheetName val="전기"/>
      <sheetName val="Info"/>
      <sheetName val="97_사업추정(WEKI)"/>
      <sheetName val="97_사업추정_WEKI_"/>
      <sheetName val="RCF_CLAIMED"/>
      <sheetName val="PRO_DCI"/>
      <sheetName val="INST_DCI"/>
      <sheetName val="HVAC_DCI"/>
      <sheetName val="PIPE_DCI"/>
      <sheetName val="설계내"/>
      <sheetName val="TABLE 2-3"/>
      <sheetName val="CB"/>
      <sheetName val="EQUIP"/>
      <sheetName val="뜃맟뭁돽띿맟?-BLDG"/>
      <sheetName val="인원현황"/>
      <sheetName val="Tipo Terzi"/>
      <sheetName val="실행내역"/>
      <sheetName val="97 ____(WEKI)"/>
      <sheetName val="기둥(원형)"/>
      <sheetName val="Library"/>
      <sheetName val="D2old"/>
      <sheetName val="R2_0908"/>
      <sheetName val="ELEC_DCI"/>
      <sheetName val="가도공"/>
      <sheetName val="ELECTRICAL"/>
      <sheetName val="DATA"/>
      <sheetName val="CAT_5"/>
      <sheetName val="DATA1"/>
      <sheetName val="노임"/>
      <sheetName val="Cal"/>
      <sheetName val="Data_ST"/>
      <sheetName val="총괄표양식"/>
      <sheetName val="유림골조"/>
      <sheetName val="경영혁신본부"/>
      <sheetName val="잡비"/>
      <sheetName val="총체보활공정표"/>
      <sheetName val="기간등록"/>
      <sheetName val="개시전표"/>
      <sheetName val="공사집계"/>
      <sheetName val="차수"/>
      <sheetName val="공통부대비"/>
      <sheetName val="pier(각형)"/>
      <sheetName val="교각1"/>
      <sheetName val="구조물공"/>
      <sheetName val="배수공"/>
      <sheetName val="부대공"/>
      <sheetName val="토공"/>
      <sheetName val="포장공"/>
      <sheetName val="내역"/>
      <sheetName val="재집"/>
      <sheetName val="M-EQPT-Z"/>
      <sheetName val="비교1"/>
      <sheetName val="공통"/>
      <sheetName val="Baby일위대가"/>
      <sheetName val="Sheet2 (2)"/>
      <sheetName val="연결임시"/>
      <sheetName val="구의33고"/>
      <sheetName val="기계공사"/>
      <sheetName val="Dbase"/>
      <sheetName val="가설건물"/>
      <sheetName val="을지"/>
      <sheetName val="기초단가"/>
      <sheetName val="내역서"/>
      <sheetName val="가로등내역서"/>
      <sheetName val="일반공사"/>
      <sheetName val="저"/>
      <sheetName val="토공검토G"/>
      <sheetName val="C급보 "/>
      <sheetName val="Eq. Mobilization"/>
      <sheetName val="Raw Data"/>
      <sheetName val="97SAUPCU.XLS"/>
      <sheetName val="Long Son"/>
      <sheetName val="costing_FE"/>
      <sheetName val="세금자료"/>
      <sheetName val="간접비총괄"/>
      <sheetName val="Unit 49_분개표"/>
      <sheetName val="Unit 76_분개표"/>
      <sheetName val="UnitList"/>
      <sheetName val="ANALYSER"/>
      <sheetName val="S0"/>
      <sheetName val="15100"/>
      <sheetName val="일위대가(가설)"/>
      <sheetName val="공통비총괄표"/>
      <sheetName val="매각(6)"/>
      <sheetName val="공정표 "/>
      <sheetName val="배수내역"/>
      <sheetName val="1단계"/>
      <sheetName val="계수시트"/>
      <sheetName val="부속동"/>
      <sheetName val="P.M 별"/>
      <sheetName val="TUAS"/>
      <sheetName val="1월"/>
      <sheetName val="정산표實"/>
      <sheetName val="sum"/>
      <sheetName val="L형 옹벽"/>
      <sheetName val="3)교육종류"/>
      <sheetName val="Macro3"/>
      <sheetName val="자재목록"/>
      <sheetName val="sort"/>
      <sheetName val="평형공사비"/>
      <sheetName val="터파기및재료"/>
      <sheetName val="사급자재"/>
      <sheetName val="경상"/>
      <sheetName val="96.12"/>
      <sheetName val="APT"/>
      <sheetName val="토공(우물통,기타) "/>
      <sheetName val="철거산출근거"/>
      <sheetName val="기계경비(시간당)"/>
      <sheetName val="램머"/>
      <sheetName val="공사비_NDE"/>
      <sheetName val="공사금액 내역 (1)"/>
      <sheetName val="단가조사"/>
      <sheetName val="노임단가"/>
      <sheetName val="ABUT수량-A1"/>
      <sheetName val="RFP007"/>
      <sheetName val="INPUT DATA"/>
      <sheetName val="CIVIL WORK"/>
      <sheetName val="직원동원계획"/>
      <sheetName val="REDUCER"/>
      <sheetName val="WE'T"/>
      <sheetName val="OFFER RATE"/>
      <sheetName val="Mech CIF"/>
      <sheetName val="COVERSHEET PAGE"/>
      <sheetName val="본지점중"/>
      <sheetName val="TABLE2-2 OSBL-(SITE PREP)"/>
      <sheetName val="BOQ"/>
      <sheetName val="OSBL-TOTAL (OTHER WORK)"/>
      <sheetName val="OSBL-TOTAL (SEA WATER)"/>
      <sheetName val="OSBL-TOTAL (CIVIL WORK)"/>
      <sheetName val="공통가설"/>
      <sheetName val="토목공사"/>
      <sheetName val="마산월령동골조물량변경"/>
      <sheetName val="건축원가"/>
      <sheetName val="물건조서"/>
      <sheetName val="안산기계장치"/>
      <sheetName val="리스(CIF)산출"/>
      <sheetName val="콤보박스와 리스트박스의 연결"/>
      <sheetName val="용산1(해보)"/>
      <sheetName val="개별요인비교번호"/>
      <sheetName val="일반자료"/>
      <sheetName val="기본자료"/>
      <sheetName val="PriceBreakdown"/>
      <sheetName val="2"/>
      <sheetName val="요약"/>
      <sheetName val="간접비"/>
      <sheetName val="뜃맟뭁돽띿맟_-BLDG"/>
      <sheetName val="PROJECT"/>
      <sheetName val="총괄표"/>
      <sheetName val="Y-WORK"/>
      <sheetName val="DWG"/>
      <sheetName val="Invoice Backup"/>
      <sheetName val="LABTOTAL"/>
      <sheetName val="3.Standard Drawing"/>
      <sheetName val="노무비"/>
      <sheetName val="205동"/>
      <sheetName val="지사"/>
      <sheetName val="COMPRESSOR"/>
      <sheetName val="배수공 주요자재 집계표"/>
      <sheetName val="WIND-EQ"/>
      <sheetName val="HORI. VESSEL"/>
      <sheetName val="D-3503"/>
      <sheetName val="plan&amp;section of foundation"/>
      <sheetName val="working load at the btm ft."/>
      <sheetName val="stability check"/>
      <sheetName val="design criteria"/>
      <sheetName val="2.설계제원"/>
      <sheetName val="calcul"/>
      <sheetName val="input"/>
      <sheetName val="5"/>
      <sheetName val="BCPAB"/>
      <sheetName val="공정회의자료(월요일 10시까지)"/>
      <sheetName val="cover"/>
      <sheetName val="정산표"/>
      <sheetName val="년말집계"/>
      <sheetName val="관급"/>
      <sheetName val="화재 탐지 설비"/>
      <sheetName val="내역서(당초변경)"/>
      <sheetName val="M+1"/>
      <sheetName val="변수데이타"/>
      <sheetName val="PLAN_FEB97"/>
      <sheetName val="직원동원SCH"/>
      <sheetName val="실행철강하도"/>
      <sheetName val="평균환율-USD"/>
      <sheetName val="Personnel Assignment Schedule"/>
      <sheetName val="적용 환율"/>
      <sheetName val="Spread_sht"/>
      <sheetName val="SHEET 19"/>
      <sheetName val="PAGE 2"/>
      <sheetName val="IN"/>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Set>
  </externalBook>
</externalLink>
</file>

<file path=xl/externalLinks/externalLink7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nual"/>
      <sheetName val="equipment"/>
      <sheetName val="eq_data"/>
      <sheetName val="out_put"/>
      <sheetName val="drawing"/>
      <sheetName val="Loading"/>
      <sheetName val="Content"/>
      <sheetName val="7.5.1(A) Data"/>
      <sheetName val="7.5.1(B) BOQ Breakdown"/>
      <sheetName val="7.5.1(C) Scope"/>
      <sheetName val="7.5.1(D) Basis"/>
      <sheetName val="7.5.1(E) Allowance"/>
      <sheetName val="7.5.2 BOQ Summary"/>
      <sheetName val="7.5.3 BOQ"/>
      <sheetName val="A. Erec_BOQ(Shop)"/>
      <sheetName val="B. Erec_BOQ(Field)"/>
      <sheetName val="C. Surface_Protection"/>
      <sheetName val="A. Erec_BOQ(Shop) (2)"/>
      <sheetName val="B. Erec_BOQ(Field) (2)"/>
      <sheetName val="C. Surf_Protection"/>
      <sheetName val="Attachment #1"/>
      <sheetName val="Attachment #2"/>
      <sheetName val="LIST"/>
      <sheetName val="301"/>
      <sheetName val="302 C1"/>
      <sheetName val="302 C2"/>
      <sheetName val="302"/>
      <sheetName val="SUPPLY (2)"/>
      <sheetName val="RETURN (2)"/>
      <sheetName val="SUPPLY"/>
      <sheetName val="RETURN"/>
      <sheetName val="303"/>
      <sheetName val="303 (2)"/>
      <sheetName val="304"/>
      <sheetName val="305"/>
      <sheetName val="306"/>
      <sheetName val="307"/>
      <sheetName val="308"/>
      <sheetName val="308 (2)"/>
      <sheetName val="309"/>
      <sheetName val="309 (2)"/>
      <sheetName val="fdn_bm_pro"/>
      <sheetName val="Cover"/>
      <sheetName val="산출기준"/>
      <sheetName val="CABLE"/>
      <sheetName val="JUNCTION BOX"/>
      <sheetName val="TRAY"/>
      <sheetName val="PIPE"/>
      <sheetName val="PIPE FITTING"/>
      <sheetName val="TUBE"/>
      <sheetName val="TUBE FITTING"/>
      <sheetName val="CABLE GLAND"/>
      <sheetName val="VALVE"/>
      <sheetName val="MCT"/>
      <sheetName val="SUPPORT"/>
      <sheetName val="예산서"/>
      <sheetName val="수입"/>
      <sheetName val="P3"/>
      <sheetName val="Sheet1"/>
      <sheetName val="전기일위대가"/>
      <sheetName val="BLR 1"/>
      <sheetName val="GEN"/>
      <sheetName val="GAS"/>
      <sheetName val="DEAE"/>
      <sheetName val="BLR2"/>
      <sheetName val="BLR3"/>
      <sheetName val="BLR4"/>
      <sheetName val="BLR5"/>
      <sheetName val="DEM"/>
      <sheetName val="SAM"/>
      <sheetName val="CHEM"/>
      <sheetName val="COP"/>
      <sheetName val="TOEC"/>
      <sheetName val="갑지(추정)"/>
      <sheetName val="CAT_5"/>
      <sheetName val="CONS. EQUIP.  "/>
      <sheetName val="투입실적"/>
      <sheetName val="A"/>
      <sheetName val="일위대가"/>
      <sheetName val="T1"/>
      <sheetName val="기별수량산출서"/>
      <sheetName val="출력X"/>
      <sheetName val="가시설공"/>
      <sheetName val="VA_code"/>
      <sheetName val="REINF."/>
      <sheetName val="SKETCH"/>
      <sheetName val="LOADS"/>
      <sheetName val="CHECK1"/>
      <sheetName val="ELEC_DCI"/>
      <sheetName val="INST_DCI"/>
      <sheetName val="PRO_A"/>
      <sheetName val="DWG"/>
      <sheetName val="ELEC_MCI"/>
      <sheetName val="MAIN"/>
      <sheetName val="INST_MCI"/>
      <sheetName val="MECH_MCI"/>
      <sheetName val="PRO"/>
      <sheetName val="환율표"/>
      <sheetName val="ITB COST"/>
      <sheetName val="SPEC"/>
      <sheetName val="ACTDATA"/>
      <sheetName val="PIP"/>
      <sheetName val="건축"/>
      <sheetName val="97 사업추정(WEKI)"/>
      <sheetName val="인건비"/>
      <sheetName val="보온 회사분"/>
      <sheetName val="토공"/>
      <sheetName val="TL,Termination"/>
      <sheetName val="Cable,Conduit"/>
      <sheetName val="WORK"/>
      <sheetName val="h-013211-2"/>
      <sheetName val="소비자가"/>
      <sheetName val="FACTOR"/>
      <sheetName val="90EL JACKET"/>
      <sheetName val="BAND(200)"/>
      <sheetName val="보온재"/>
      <sheetName val="7_5_1(A)_Data"/>
      <sheetName val="7_5_1(B)_BOQ_Breakdown"/>
      <sheetName val="7_5_1(C)_Scope"/>
      <sheetName val="7_5_1(D)_Basis"/>
      <sheetName val="7_5_1(E)_Allowance"/>
      <sheetName val="7_5_2_BOQ_Summary"/>
      <sheetName val="7_5_3_BOQ"/>
      <sheetName val="A__Erec_BOQ(Shop)"/>
      <sheetName val="B__Erec_BOQ(Field)"/>
      <sheetName val="C__Surface_Protection"/>
      <sheetName val="A__Erec_BOQ(Shop)_(2)"/>
      <sheetName val="B__Erec_BOQ(Field)_(2)"/>
      <sheetName val="C__Surf_Protection"/>
      <sheetName val="Attachment_#1"/>
      <sheetName val="Attachment_#2"/>
      <sheetName val="302_C1"/>
      <sheetName val="302_C2"/>
      <sheetName val="SUPPLY_(2)"/>
      <sheetName val="RETURN_(2)"/>
      <sheetName val="303_(2)"/>
      <sheetName val="308_(2)"/>
      <sheetName val="309_(2)"/>
      <sheetName val="JUNCTION_BOX"/>
      <sheetName val="PIPE_FITTING"/>
      <sheetName val="TUBE_FITTING"/>
      <sheetName val="CABLE_GLAND"/>
      <sheetName val="BLR_1"/>
      <sheetName val="CONS__EQUIP___"/>
      <sheetName val="REINF_"/>
      <sheetName val="예산"/>
      <sheetName val="Cost control"/>
      <sheetName val="#REF"/>
      <sheetName val="부표총괄"/>
      <sheetName val="을"/>
      <sheetName val="Elect"/>
      <sheetName val="FIRE FIGHTING"/>
      <sheetName val="내역"/>
      <sheetName val="내역서"/>
      <sheetName val="Macro(전선)"/>
      <sheetName val="배관"/>
      <sheetName val="9-1차이내역"/>
      <sheetName val="Tipo Terzi"/>
      <sheetName val="plan&amp;section of foundation"/>
      <sheetName val="design criteria"/>
      <sheetName val="주관사업"/>
      <sheetName val="요약배부"/>
      <sheetName val="DESCRIPTION"/>
      <sheetName val="BM DATA SHEET"/>
      <sheetName val="Y-WORK"/>
      <sheetName val="DATA"/>
      <sheetName val="PBS"/>
      <sheetName val="costing_CV"/>
      <sheetName val="costing_ESDV"/>
      <sheetName val="costing_FE"/>
      <sheetName val="costing_Misc"/>
      <sheetName val="costing_MOV"/>
      <sheetName val="costing_Press"/>
      <sheetName val="PRC-SUM"/>
      <sheetName val="Dati"/>
      <sheetName val="DN"/>
      <sheetName val="Fluidi"/>
      <sheetName val="Temperatura"/>
      <sheetName val="Mat Stelo"/>
      <sheetName val="CIVIL"/>
      <sheetName val="N+"/>
      <sheetName val="DWTables"/>
      <sheetName val="도"/>
      <sheetName val="CHK_OUT_BM_090914"/>
      <sheetName val="Unit SUM"/>
      <sheetName val="BB2현대건설견적"/>
      <sheetName val="SHL"/>
      <sheetName val="1.설계기준"/>
      <sheetName val="working load at the btm ft."/>
      <sheetName val="stability check"/>
      <sheetName val="환율"/>
      <sheetName val="DATA1"/>
      <sheetName val="HRS"/>
      <sheetName val="BREAKDOWN"/>
      <sheetName val="Resource"/>
      <sheetName val="R2_0908"/>
      <sheetName val="BAP"/>
      <sheetName val="OUTER AREA(겹침없음)"/>
      <sheetName val="JACKET(50,50)"/>
      <sheetName val="FLANGE"/>
      <sheetName val="조경"/>
      <sheetName val="AILC004"/>
      <sheetName val="Schedule(1)"/>
      <sheetName val="95삼성급(본사)"/>
      <sheetName val="IT-BAT"/>
      <sheetName val="Total"/>
      <sheetName val="dnc4"/>
      <sheetName val="Page2"/>
      <sheetName val="bill 2"/>
      <sheetName val="Sheet2"/>
      <sheetName val="Material Specification"/>
      <sheetName val="special item 양진규 작성"/>
      <sheetName val="MOTOR"/>
      <sheetName val="CODE"/>
      <sheetName val="방유제용량 계산서"/>
      <sheetName val="SILICATE"/>
      <sheetName val="Sch.6"/>
      <sheetName val="Tables"/>
      <sheetName val="Break Dw"/>
      <sheetName val="TblPriceDB"/>
      <sheetName val="sum"/>
      <sheetName val="정부노임단가"/>
      <sheetName val="인원계획"/>
      <sheetName val="CAPVC"/>
      <sheetName val="Condition"/>
      <sheetName val="표지 (2)"/>
      <sheetName val="UNSTEADY"/>
      <sheetName val="CAL"/>
      <sheetName val="제품현황"/>
      <sheetName val="pile bearing capa &amp; arrenge"/>
      <sheetName val="design load"/>
      <sheetName val="oper_load"/>
      <sheetName val="evap"/>
      <sheetName val="Fab. Skid"/>
      <sheetName val="lookup"/>
      <sheetName val="세금자료"/>
      <sheetName val="경제지표"/>
      <sheetName val="대비내역"/>
      <sheetName val="자료"/>
      <sheetName val="CAMP OPERATING COST"/>
      <sheetName val="PERSONNEL SETUP"/>
      <sheetName val="LIST OF OFFICE EQUIPMENT"/>
      <sheetName val="STAFF&amp;INDIRECT SALARY - SUMMARY"/>
      <sheetName val="KOREAN STAFF SALARY_BREAKDOWN"/>
      <sheetName val="WELFARE COST - SITE"/>
      <sheetName val="combi(wall)"/>
      <sheetName val="仪表分析表"/>
      <sheetName val="개시대사 (2)"/>
      <sheetName val="집계표"/>
      <sheetName val="data_dci"/>
      <sheetName val="data_mci"/>
      <sheetName val="behind"/>
      <sheetName val="입고장부 (4)"/>
      <sheetName val="공통비"/>
      <sheetName val="FEUILLE INTERNE"/>
      <sheetName val="단가정보"/>
      <sheetName val="INPUT DATA"/>
      <sheetName val="CSTSUM"/>
      <sheetName val="Sheet5"/>
      <sheetName val="ITB_COST"/>
      <sheetName val="Mat_Stelo"/>
      <sheetName val="Unit_SUM"/>
      <sheetName val="sheeet2"/>
      <sheetName val="7_5_1(A)_Data1"/>
      <sheetName val="7_5_1(B)_BOQ_Breakdown1"/>
      <sheetName val="7_5_1(C)_Scope1"/>
      <sheetName val="7_5_1(D)_Basis1"/>
      <sheetName val="7_5_1(E)_Allowance1"/>
      <sheetName val="7_5_2_BOQ_Summary1"/>
      <sheetName val="7_5_3_BOQ1"/>
      <sheetName val="A__Erec_BOQ(Shop)1"/>
      <sheetName val="B__Erec_BOQ(Field)1"/>
      <sheetName val="C__Surface_Protection1"/>
      <sheetName val="A__Erec_BOQ(Shop)_(2)1"/>
      <sheetName val="B__Erec_BOQ(Field)_(2)1"/>
      <sheetName val="C__Surf_Protection1"/>
      <sheetName val="Attachment_#11"/>
      <sheetName val="Attachment_#21"/>
      <sheetName val="302_C11"/>
      <sheetName val="302_C21"/>
      <sheetName val="SUPPLY_(2)1"/>
      <sheetName val="RETURN_(2)1"/>
      <sheetName val="303_(2)1"/>
      <sheetName val="308_(2)1"/>
      <sheetName val="309_(2)1"/>
      <sheetName val="JUNCTION_BOX1"/>
      <sheetName val="PIPE_FITTING1"/>
      <sheetName val="TUBE_FITTING1"/>
      <sheetName val="CABLE_GLAND1"/>
      <sheetName val="CONS__EQUIP___1"/>
      <sheetName val="REINF_1"/>
      <sheetName val="BLR_11"/>
      <sheetName val="97_사업추정(WEKI)"/>
      <sheetName val="Cost_control"/>
      <sheetName val="90EL_JACKET"/>
      <sheetName val="보온_회사분"/>
      <sheetName val="FIRE_FIGHTING"/>
      <sheetName val="Tipo_Terzi"/>
      <sheetName val="plan&amp;section_of_foundation"/>
      <sheetName val="design_criteria"/>
      <sheetName val="BM_DATA_SHEET"/>
      <sheetName val="A-4"/>
      <sheetName val="변수적용"/>
      <sheetName val="평3"/>
      <sheetName val="IBL-C"/>
      <sheetName val="e4-6-%"/>
      <sheetName val="설계조건"/>
      <sheetName val="조명시설"/>
      <sheetName val="심사계산"/>
      <sheetName val="심사물량"/>
      <sheetName val="역T형"/>
      <sheetName val="인원현황"/>
      <sheetName val="BLDG_MCI"/>
      <sheetName val="건축내역"/>
      <sheetName val="eq_data _x0000__x0000__x0000__x0000_"/>
      <sheetName val="COMPARISON TABLE"/>
      <sheetName val="L V Separator"/>
      <sheetName val="CAMP - CONSTRUCTION"/>
      <sheetName val="EG-09"/>
      <sheetName val="총괄표양식"/>
      <sheetName val="차량운영비"/>
      <sheetName val="세부내역"/>
      <sheetName val="E_Rate PM"/>
      <sheetName val="Schedule 2 and 3"/>
      <sheetName val="갑지"/>
      <sheetName val="견적의뢰"/>
      <sheetName val="input"/>
      <sheetName val="CAL."/>
      <sheetName val="BOQ건축"/>
      <sheetName val="LD-OVERALL"/>
      <sheetName val="BOQ"/>
      <sheetName val="7_5_1(A)_Data2"/>
      <sheetName val="7_5_1(B)_BOQ_Breakdown2"/>
      <sheetName val="7_5_1(C)_Scope2"/>
      <sheetName val="7_5_1(D)_Basis2"/>
      <sheetName val="7_5_1(E)_Allowance2"/>
      <sheetName val="7_5_2_BOQ_Summary2"/>
      <sheetName val="7_5_3_BOQ2"/>
      <sheetName val="A__Erec_BOQ(Shop)2"/>
      <sheetName val="B__Erec_BOQ(Field)2"/>
      <sheetName val="C__Surface_Protection2"/>
      <sheetName val="A__Erec_BOQ(Shop)_(2)2"/>
      <sheetName val="B__Erec_BOQ(Field)_(2)2"/>
      <sheetName val="C__Surf_Protection2"/>
      <sheetName val="Attachment_#12"/>
      <sheetName val="Attachment_#22"/>
      <sheetName val="302_C12"/>
      <sheetName val="302_C22"/>
      <sheetName val="SUPPLY_(2)2"/>
      <sheetName val="RETURN_(2)2"/>
      <sheetName val="303_(2)2"/>
      <sheetName val="308_(2)2"/>
      <sheetName val="309_(2)2"/>
      <sheetName val="JUNCTION_BOX2"/>
      <sheetName val="PIPE_FITTING2"/>
      <sheetName val="TUBE_FITTING2"/>
      <sheetName val="CABLE_GLAND2"/>
      <sheetName val="CONS__EQUIP___2"/>
      <sheetName val="BLR_12"/>
      <sheetName val="REINF_2"/>
      <sheetName val="ITB_COST1"/>
      <sheetName val="97_사업추정(WEKI)1"/>
      <sheetName val="Cost_control1"/>
      <sheetName val="90EL_JACKET1"/>
      <sheetName val="보온_회사분1"/>
      <sheetName val="FIRE_FIGHTING1"/>
      <sheetName val="NDOCBT"/>
      <sheetName val="Summary"/>
      <sheetName val="Definitions"/>
      <sheetName val="LABTOTAL"/>
      <sheetName val="Contents"/>
      <sheetName val="Summary Sheets"/>
      <sheetName val="Sheet6"/>
      <sheetName val="Design"/>
      <sheetName val="RFP002"/>
      <sheetName val="BSD (2)"/>
      <sheetName val="KLHT"/>
      <sheetName val="General"/>
      <sheetName val="Menus"/>
      <sheetName val="단가"/>
      <sheetName val="TRAY BM"/>
      <sheetName val="Set"/>
      <sheetName val="기둥(원형)"/>
      <sheetName val="기계공사비집계(원안)"/>
      <sheetName val="10현장조직"/>
      <sheetName val="예산M11A"/>
      <sheetName val="Graph (LGEN)"/>
      <sheetName val="out_prog"/>
      <sheetName val="선적schedule (2)"/>
      <sheetName val="원본"/>
      <sheetName val="Cover sheet"/>
      <sheetName val="실행내역"/>
      <sheetName val="가도공"/>
      <sheetName val="공사"/>
      <sheetName val="MyLists"/>
      <sheetName val="산근"/>
      <sheetName val="대치판정"/>
      <sheetName val="품셈1-17"/>
      <sheetName val="11.자재단가"/>
      <sheetName val="Imp-Data"/>
      <sheetName val="PROJECT"/>
      <sheetName val="1 OF 9"/>
      <sheetName val="EE-PROP"/>
      <sheetName val="을지"/>
      <sheetName val="#3E1_GCR"/>
      <sheetName val="Sheet3"/>
      <sheetName val="영업2"/>
      <sheetName val="영업3"/>
      <sheetName val="Code_Magics"/>
      <sheetName val="Titel"/>
      <sheetName val="1_설계기준"/>
      <sheetName val="bill_2"/>
      <sheetName val="NAMES"/>
      <sheetName val="NPC500"/>
      <sheetName val="표지"/>
      <sheetName val="데이타"/>
      <sheetName val="11"/>
      <sheetName val="Sheet10"/>
      <sheetName val="품셈 "/>
      <sheetName val="PAINT"/>
      <sheetName val="방화도료"/>
      <sheetName val="plan&amp;section_of_foundation1"/>
      <sheetName val="design_criteria1"/>
      <sheetName val="Tipo_Terzi1"/>
      <sheetName val="BM_DATA_SHEET1"/>
      <sheetName val="Mat_Stelo1"/>
      <sheetName val="working_load_at_the_btm_ft_"/>
      <sheetName val="stability_check"/>
      <sheetName val="Unit_SUM1"/>
      <sheetName val="Break_Dw"/>
      <sheetName val="방유제용량_계산서"/>
      <sheetName val="INPUT_DATA"/>
      <sheetName val="special_item_양진규_작성"/>
      <sheetName val="OUTER_AREA(겹침없음)"/>
      <sheetName val="Material_Specification"/>
      <sheetName val="개시대사_(2)"/>
      <sheetName val="pile_bearing_capa_&amp;_arrenge"/>
      <sheetName val="design_load"/>
      <sheetName val="표지_(2)"/>
      <sheetName val="Sch_6"/>
      <sheetName val="Fab__Skid"/>
      <sheetName val="CAMP_OPERATING_COST"/>
      <sheetName val="PERSONNEL_SETUP"/>
      <sheetName val="LIST_OF_OFFICE_EQUIPMENT"/>
      <sheetName val="STAFF&amp;INDIRECT_SALARY_-_SUMMARY"/>
      <sheetName val="KOREAN_STAFF_SALARY_BREAKDOWN"/>
      <sheetName val="WELFARE_COST_-_SITE"/>
      <sheetName val="입고장부_(4)"/>
      <sheetName val="FEUILLE_INTERNE"/>
      <sheetName val="11_자재단가"/>
      <sheetName val="1_OF_9"/>
      <sheetName val="COMPARISON_TABLE"/>
      <sheetName val="L_V_Separator"/>
      <sheetName val="CAMP_-_CONSTRUCTION"/>
      <sheetName val="E_Rate_PM"/>
      <sheetName val="Schedule_2_and_3"/>
      <sheetName val="sc0314 Index"/>
      <sheetName val="종목코드"/>
      <sheetName val="COPING"/>
      <sheetName val="COA-17"/>
      <sheetName val="C-18"/>
      <sheetName val="NC"/>
      <sheetName val="Resource summary"/>
      <sheetName val="작성기준"/>
      <sheetName val="TB-내역서"/>
      <sheetName val="SG"/>
      <sheetName val="Data_Vert"/>
      <sheetName val="Rebar"/>
      <sheetName val="Data_ST"/>
      <sheetName val="Load"/>
      <sheetName val="건축집계"/>
      <sheetName val="Diainch"/>
      <sheetName val="Source"/>
      <sheetName val="Preface"/>
      <sheetName val="급여일반"/>
      <sheetName val="Lists"/>
      <sheetName val="B"/>
      <sheetName val="new급여T(4을-운전)"/>
      <sheetName val="INSTR"/>
      <sheetName val="공사비_NDE"/>
      <sheetName val="OUT"/>
      <sheetName val="영업소실적"/>
      <sheetName val="직원동원계획"/>
      <sheetName val="CONTROL-100"/>
      <sheetName val="General Data"/>
      <sheetName val="PRICE COMP"/>
      <sheetName val="본지점중"/>
      <sheetName val="A(Rev.3)"/>
      <sheetName val="static.cal"/>
      <sheetName val="crude.SLAB RE-bar"/>
      <sheetName val="ANX3A65"/>
      <sheetName val="BOQ0822"/>
      <sheetName val="7.6.3(B) UG Piping"/>
      <sheetName val="Lup"/>
      <sheetName val="Information"/>
      <sheetName val="WORKER"/>
      <sheetName val="PRICE LIST"/>
      <sheetName val="PipWT"/>
      <sheetName val="IBASE"/>
      <sheetName val="내역(한신APT)"/>
      <sheetName val="현황CODE"/>
      <sheetName val="손익현황"/>
      <sheetName val="BOM_DWG"/>
      <sheetName val="회사99"/>
      <sheetName val="laroux"/>
      <sheetName val="7.5.2 BOQ Summary "/>
      <sheetName val="Perfiles"/>
      <sheetName val="PumpSpec"/>
      <sheetName val="Rekap A"/>
      <sheetName val="RFP009"/>
      <sheetName val="RFP007"/>
      <sheetName val="NP"/>
      <sheetName val="견적기준"/>
      <sheetName val="OD5000"/>
      <sheetName val="upah"/>
      <sheetName val="bahan"/>
      <sheetName val="measure"/>
      <sheetName val="paint mat"/>
      <sheetName val="工완성공사율"/>
      <sheetName val="IN"/>
      <sheetName val="TTL"/>
      <sheetName val="VE Estimate"/>
      <sheetName val="CALCULATION"/>
      <sheetName val="COMPRESSOR"/>
      <sheetName val="D=700"/>
      <sheetName val="TABLE2-2 OSBL-(SITE PREP)"/>
      <sheetName val="Units"/>
      <sheetName val="Instructions"/>
      <sheetName val="OFFER RATE"/>
      <sheetName val="Job Data"/>
      <sheetName val="Piping Design Data"/>
      <sheetName val="BCPAB"/>
      <sheetName val="Summary 2002"/>
      <sheetName val="98TSON4A"/>
      <sheetName val="Feuil2"/>
      <sheetName val="노임"/>
      <sheetName val="총괄표"/>
      <sheetName val="ANALYSER"/>
      <sheetName val="ASME B 36.10 M"/>
      <sheetName val="일위대가표"/>
      <sheetName val="D-3"/>
      <sheetName val="w't table"/>
      <sheetName val="Tiburon"/>
      <sheetName val="차액보증"/>
      <sheetName val="말뚝지지력산정"/>
      <sheetName val="단중표"/>
      <sheetName val="choose"/>
      <sheetName val="당초"/>
      <sheetName val="eq_data _x005f_x0000__x005f_x0000__x005f_x0000__x"/>
      <sheetName val="cashflow"/>
      <sheetName val="Quotation"/>
      <sheetName val="Info"/>
      <sheetName val="SORTING"/>
      <sheetName val="배관물량 (STEEL)"/>
      <sheetName val="Sheet 1"/>
      <sheetName val="Offertemodel"/>
      <sheetName val="3.0 Overall Progress S-curve"/>
      <sheetName val="3-4 SPI"/>
      <sheetName val="VV-REV2"/>
      <sheetName val="-15.0"/>
      <sheetName val="부재치수입력"/>
      <sheetName val="BLDG_DCI"/>
      <sheetName val="BREAKDOWN(철거설치)"/>
      <sheetName val="맨홀수량산출"/>
      <sheetName val="단가비교"/>
      <sheetName val="Basic"/>
      <sheetName val="견적 집계"/>
      <sheetName val="PULLING SUPT등"/>
      <sheetName val="Sheet1 (2)"/>
      <sheetName val="SHIPPING"/>
      <sheetName val="DATE"/>
      <sheetName val="PAGE 1"/>
      <sheetName val="대공종"/>
      <sheetName val="_생산성_분석_체계_절차.xlsx"/>
      <sheetName val="Quantity"/>
      <sheetName val="General_Data"/>
      <sheetName val="PRICE_COMP"/>
      <sheetName val="A(Rev_3)"/>
      <sheetName val="단가비교(TOTAL)"/>
      <sheetName val="General_Data1"/>
      <sheetName val="PRICE_COMP1"/>
      <sheetName val="A(Rev_3)1"/>
      <sheetName val="pri-com"/>
      <sheetName val="기준"/>
      <sheetName val="BQ List"/>
      <sheetName val="노임단가"/>
      <sheetName val="BQLIST"/>
      <sheetName val="Struct-Grass root"/>
      <sheetName val="연돌일위집계"/>
      <sheetName val="품셈"/>
      <sheetName val="Break Down"/>
      <sheetName val="BQ"/>
      <sheetName val="22-Plant"/>
      <sheetName val="Supervision List"/>
      <sheetName val="Equip_Pipe_Insulation"/>
      <sheetName val="BQ_Piping"/>
      <sheetName val="PROCURE"/>
      <sheetName val="labor"/>
      <sheetName val="입력값"/>
      <sheetName val="제출계산서"/>
      <sheetName val="품셈1-26"/>
      <sheetName val="PAGE 2"/>
      <sheetName val="LEGEND"/>
      <sheetName val="KP1590_E"/>
      <sheetName val="Page 10"/>
      <sheetName val="한계원가"/>
      <sheetName val="미입고자재목록_설계1과"/>
      <sheetName val="SPEC-DT2"/>
      <sheetName val="북제주-표지"/>
      <sheetName val="_x0000_è"/>
      <sheetName val="자재군별"/>
      <sheetName val="재료내역"/>
      <sheetName val="간접비 총괄표"/>
      <sheetName val="Macro"/>
      <sheetName val="Taux"/>
      <sheetName val="Eng.hour_DB"/>
      <sheetName val="POWER"/>
      <sheetName val="SBR_CR"/>
      <sheetName val="CRUDE RE-bar"/>
      <sheetName val="database-emp"/>
      <sheetName val="평균환율-USD"/>
      <sheetName val="DUTCH CONE"/>
      <sheetName val="harga"/>
      <sheetName val="koef"/>
      <sheetName val="Resume"/>
      <sheetName val="C급보 "/>
      <sheetName val="EXCHANGE_RATE"/>
      <sheetName val="Scaffold"/>
      <sheetName val="Access"/>
      <sheetName val="PAGE 3_GENERAL DETAILS"/>
      <sheetName val="Proposal"/>
      <sheetName val="적용 환율"/>
      <sheetName val="Assumptions"/>
      <sheetName val="TDC_ADMIN"/>
      <sheetName val="Requisitions"/>
      <sheetName val="ICDS"/>
      <sheetName val="Rectangular Beam"/>
      <sheetName val="현금"/>
      <sheetName val="CARBOLINE분석"/>
      <sheetName val="요율"/>
      <sheetName val="자재대"/>
      <sheetName val="eq_data _x0000__x0000__x0000__x"/>
      <sheetName val=""/>
      <sheetName val="나이대조표"/>
      <sheetName val="KP_List"/>
      <sheetName val="TIE-INS"/>
      <sheetName val="DDC"/>
      <sheetName val="COST UP"/>
      <sheetName val="PUMP SHT"/>
      <sheetName val="FLD"/>
      <sheetName val="norms"/>
      <sheetName val="HVAC"/>
      <sheetName val="공사내역"/>
      <sheetName val="八幡"/>
      <sheetName val="GM 000"/>
      <sheetName val="PRECAST lightconc-II"/>
      <sheetName val="csdim"/>
      <sheetName val="cdsload"/>
      <sheetName val="chsload"/>
      <sheetName val="CLAMP"/>
      <sheetName val="cvsload"/>
      <sheetName val="Cash2"/>
      <sheetName val="Z"/>
      <sheetName val="환산표"/>
      <sheetName val="Elect (3)"/>
      <sheetName val="El(Increased)"/>
      <sheetName val="Rev No"/>
      <sheetName val="COVER-P"/>
      <sheetName val="FC-01"/>
      <sheetName val="FC-06"/>
      <sheetName val="MC-01"/>
      <sheetName val="Sal"/>
      <sheetName val="수량산출"/>
      <sheetName val="REG-BASIS"/>
      <sheetName val="TENDER PROG."/>
      <sheetName val="PROC.PROG"/>
      <sheetName val="2.Calculation_1"/>
      <sheetName val="IBC(2006)DATA"/>
      <sheetName val="Datasheet GLL double weir (1)"/>
      <sheetName val="단면가정"/>
      <sheetName val="ITEM"/>
      <sheetName val="물량집계(전기)"/>
      <sheetName val="물량집계(계장)"/>
      <sheetName val="bdown"/>
      <sheetName val="33628-Rev. A"/>
      <sheetName val="TYPE-B 평균H"/>
      <sheetName val="SALA-002"/>
      <sheetName val="eq_data _x005f_x0000__x00"/>
      <sheetName val="DIAPHRAGM"/>
      <sheetName val="TG9504"/>
      <sheetName val="Block D"/>
      <sheetName val="PRICE-COMP"/>
      <sheetName val="Notes"/>
      <sheetName val="engg"/>
      <sheetName val="공수"/>
      <sheetName val="Table"/>
      <sheetName val=" "/>
      <sheetName val="간접비내역-1"/>
      <sheetName val="co-no.2"/>
      <sheetName val="PSV"/>
      <sheetName val="명단"/>
      <sheetName val="EST-1"/>
      <sheetName val="6.공사비 내역 (가)"/>
      <sheetName val="Sheet2 (2)"/>
      <sheetName val="6호기"/>
      <sheetName val="노임이"/>
      <sheetName val="Form A.1"/>
      <sheetName val="Form A.1.1"/>
      <sheetName val="BOM Indirect"/>
      <sheetName val="Form A.1.II.2"/>
      <sheetName val="94D"/>
      <sheetName val="95D"/>
      <sheetName val="6.GSTG PIPING"/>
      <sheetName val="INDEX"/>
      <sheetName val="Sheet4"/>
      <sheetName val="NONS  2,189"/>
      <sheetName val="P&amp;ID650"/>
      <sheetName val="Calculations"/>
      <sheetName val="대우단가(풍산)"/>
      <sheetName val="토공정보"/>
      <sheetName val="기초자료"/>
      <sheetName val="견적집계표"/>
      <sheetName val="7_5_1(A)_Data3"/>
      <sheetName val="7_5_1(B)_BOQ_Breakdown3"/>
      <sheetName val="7_5_1(C)_Scope3"/>
      <sheetName val="7_5_1(D)_Basis3"/>
      <sheetName val="7_5_1(E)_Allowance3"/>
      <sheetName val="7_5_2_BOQ_Summary3"/>
      <sheetName val="7_5_3_BOQ3"/>
      <sheetName val="A__Erec_BOQ(Shop)3"/>
      <sheetName val="B__Erec_BOQ(Field)3"/>
      <sheetName val="C__Surface_Protection3"/>
      <sheetName val="A__Erec_BOQ(Shop)_(2)3"/>
      <sheetName val="B__Erec_BOQ(Field)_(2)3"/>
      <sheetName val="C__Surf_Protection3"/>
      <sheetName val="Attachment_#13"/>
      <sheetName val="Attachment_#23"/>
      <sheetName val="302_C13"/>
      <sheetName val="302_C23"/>
      <sheetName val="SUPPLY_(2)3"/>
      <sheetName val="RETURN_(2)3"/>
      <sheetName val="303_(2)3"/>
      <sheetName val="308_(2)3"/>
      <sheetName val="309_(2)3"/>
      <sheetName val="JUNCTION_BOX3"/>
      <sheetName val="PIPE_FITTING3"/>
      <sheetName val="TUBE_FITTING3"/>
      <sheetName val="CABLE_GLAND3"/>
      <sheetName val="CONS__EQUIP___3"/>
      <sheetName val="BLR_13"/>
      <sheetName val="REINF_3"/>
      <sheetName val="ITB_COST2"/>
      <sheetName val="97_사업추정(WEKI)2"/>
      <sheetName val="90EL_JACKET2"/>
      <sheetName val="보온_회사분2"/>
      <sheetName val="Cost_control2"/>
      <sheetName val="FIRE_FIGHTING2"/>
      <sheetName val="Tipo_Terzi2"/>
      <sheetName val="plan&amp;section_of_foundation2"/>
      <sheetName val="design_criteria2"/>
      <sheetName val="BM_DATA_SHEET2"/>
      <sheetName val="working_load_at_the_btm_ft_1"/>
      <sheetName val="stability_check1"/>
      <sheetName val="Mat_Stelo2"/>
      <sheetName val="Unit_SUM2"/>
      <sheetName val="1_설계기준1"/>
      <sheetName val="OUTER_AREA(겹침없음)1"/>
      <sheetName val="bill_21"/>
      <sheetName val="표지_(2)1"/>
      <sheetName val="Break_Dw1"/>
      <sheetName val="방유제용량_계산서1"/>
      <sheetName val="Material_Specification1"/>
      <sheetName val="special_item_양진규_작성1"/>
      <sheetName val="Sch_61"/>
      <sheetName val="pile_bearing_capa_&amp;_arrenge1"/>
      <sheetName val="design_load1"/>
      <sheetName val="Fab__Skid1"/>
      <sheetName val="INPUT_DATA1"/>
      <sheetName val="CAMP_OPERATING_COST1"/>
      <sheetName val="PERSONNEL_SETUP1"/>
      <sheetName val="LIST_OF_OFFICE_EQUIPMENT1"/>
      <sheetName val="STAFF&amp;INDIRECT_SALARY_-_SUMMAR1"/>
      <sheetName val="KOREAN_STAFF_SALARY_BREAKDOWN1"/>
      <sheetName val="WELFARE_COST_-_SITE1"/>
      <sheetName val="개시대사_(2)1"/>
      <sheetName val="입고장부_(4)1"/>
      <sheetName val="FEUILLE_INTERNE1"/>
      <sheetName val="COMPARISON_TABLE1"/>
      <sheetName val="L_V_Separator1"/>
      <sheetName val="CAMP_-_CONSTRUCTION1"/>
      <sheetName val="E_Rate_PM1"/>
      <sheetName val="Schedule_2_and_31"/>
      <sheetName val="eq_data_"/>
      <sheetName val="Cover_sheet"/>
      <sheetName val="CAL_"/>
      <sheetName val="11_자재단가1"/>
      <sheetName val="1_OF_91"/>
      <sheetName val="BSD_(2)"/>
      <sheetName val="TRAY_BM"/>
      <sheetName val="Graph_(LGEN)"/>
      <sheetName val="선적schedule_(2)"/>
      <sheetName val="Summary_Sheets"/>
      <sheetName val="품셈_"/>
      <sheetName val="sc0314_Index"/>
      <sheetName val="Resource_summary"/>
      <sheetName val="w't_table"/>
      <sheetName val="eq_data__x005f_x0000__x005f_x0000__x005f_x0000__x"/>
      <sheetName val="static_cal"/>
      <sheetName val="crude_SLAB_RE-bar"/>
      <sheetName val="7_6_3(B)_UG_Piping"/>
      <sheetName val="PRICE_LIST"/>
      <sheetName val="7_5_2_BOQ_Summary_"/>
      <sheetName val="Rekap_A"/>
      <sheetName val="paint_mat"/>
      <sheetName val="VE_Estimate"/>
      <sheetName val="TABLE2-2_OSBL-(SITE_PREP)"/>
      <sheetName val="OFFER_RATE"/>
      <sheetName val="Job_Data"/>
      <sheetName val="Piping_Design_Data"/>
      <sheetName val="Summary_2002"/>
      <sheetName val="ASME_B_36_10_M"/>
      <sheetName val="3_0_Overall_Progress_S-curve"/>
      <sheetName val="3-4_SPI"/>
      <sheetName val="-15_0"/>
      <sheetName val="RFP005"/>
      <sheetName val="RFP006"/>
      <sheetName val="CostDB"/>
      <sheetName val="FWBS7000,8000"/>
      <sheetName val="Reference Table"/>
      <sheetName val="Lookups"/>
      <sheetName val="CAL(1)."/>
      <sheetName val="Activity(new)"/>
      <sheetName val="뜃맟뭁돽띿맟?-BLDG"/>
      <sheetName val="D-623D"/>
      <sheetName val="member design"/>
      <sheetName val="soil bearing check"/>
      <sheetName val="OCT.FDN"/>
      <sheetName val="PRI CIV"/>
      <sheetName val="FOR CIV"/>
      <sheetName val="SUB CIV"/>
      <sheetName val="ANA CIV"/>
      <sheetName val="AUX CIV"/>
      <sheetName val="내역서 "/>
      <sheetName val="hori. vessel(E-895)"/>
      <sheetName val="TS-TC"/>
      <sheetName val="DCS"/>
      <sheetName val="2.3"/>
      <sheetName val="대기업"/>
      <sheetName val="각종자료"/>
      <sheetName val="견적"/>
      <sheetName val="S N"/>
      <sheetName val="Sheet_1"/>
      <sheetName val="배관물량_(STEEL)"/>
      <sheetName val="PAGE_2"/>
      <sheetName val="Struct-Grass_root"/>
      <sheetName val="General_Data2"/>
      <sheetName val="PRICE_COMP2"/>
      <sheetName val="A(Rev_3)2"/>
      <sheetName val="견적_집계"/>
      <sheetName val="PULLING_SUPT등"/>
      <sheetName val="Sheet1_(2)"/>
      <sheetName val="PAGE_1"/>
      <sheetName val="_생산성_분석_체계_절차_xlsx"/>
      <sheetName val="BQ_List"/>
      <sheetName val="Break_Down"/>
      <sheetName val="Supervision_List"/>
      <sheetName val="PREAM"/>
      <sheetName val="LBR"/>
      <sheetName val="SUMMARY (0)"/>
      <sheetName val="PL-DATA"/>
      <sheetName val="FRP내역서"/>
      <sheetName val="7_5_1(A)_Data5"/>
      <sheetName val="7_5_1(B)_BOQ_Breakdown5"/>
      <sheetName val="7_5_1(C)_Scope5"/>
      <sheetName val="7_5_1(D)_Basis5"/>
      <sheetName val="7_5_1(E)_Allowance5"/>
      <sheetName val="7_5_2_BOQ_Summary5"/>
      <sheetName val="7_5_3_BOQ5"/>
      <sheetName val="A__Erec_BOQ(Shop)5"/>
      <sheetName val="B__Erec_BOQ(Field)5"/>
      <sheetName val="C__Surface_Protection5"/>
      <sheetName val="A__Erec_BOQ(Shop)_(2)5"/>
      <sheetName val="B__Erec_BOQ(Field)_(2)5"/>
      <sheetName val="C__Surf_Protection5"/>
      <sheetName val="Attachment_#15"/>
      <sheetName val="Attachment_#25"/>
      <sheetName val="302_C15"/>
      <sheetName val="302_C25"/>
      <sheetName val="SUPPLY_(2)5"/>
      <sheetName val="RETURN_(2)5"/>
      <sheetName val="303_(2)5"/>
      <sheetName val="308_(2)5"/>
      <sheetName val="309_(2)5"/>
      <sheetName val="JUNCTION_BOX5"/>
      <sheetName val="PIPE_FITTING5"/>
      <sheetName val="TUBE_FITTING5"/>
      <sheetName val="CABLE_GLAND5"/>
      <sheetName val="BLR_15"/>
      <sheetName val="CONS__EQUIP___5"/>
      <sheetName val="REINF_5"/>
      <sheetName val="ITB_COST4"/>
      <sheetName val="97_사업추정(WEKI)4"/>
      <sheetName val="FIRE_FIGHTING4"/>
      <sheetName val="Cost_control4"/>
      <sheetName val="90EL_JACKET4"/>
      <sheetName val="보온_회사분4"/>
      <sheetName val="plan&amp;section_of_foundation3"/>
      <sheetName val="design_criteria3"/>
      <sheetName val="BM_DATA_SHEET3"/>
      <sheetName val="Tipo_Terzi3"/>
      <sheetName val="Mat_Stelo3"/>
      <sheetName val="Sch_62"/>
      <sheetName val="bill_22"/>
      <sheetName val="1_설계기준2"/>
      <sheetName val="Unit_SUM3"/>
      <sheetName val="표지_(2)2"/>
      <sheetName val="Sheet_12"/>
      <sheetName val="배관물량_(STEEL)2"/>
      <sheetName val="working_load_at_the_btm_ft_2"/>
      <sheetName val="stability_check2"/>
      <sheetName val="Break_Dw2"/>
      <sheetName val="방유제용량_계산서2"/>
      <sheetName val="Material_Specification2"/>
      <sheetName val="special_item_양진규_작성2"/>
      <sheetName val="OUTER_AREA(겹침없음)2"/>
      <sheetName val="CAMP_OPERATING_COST2"/>
      <sheetName val="PERSONNEL_SETUP2"/>
      <sheetName val="LIST_OF_OFFICE_EQUIPMENT2"/>
      <sheetName val="STAFF&amp;INDIRECT_SALARY_-_SUMMAR2"/>
      <sheetName val="KOREAN_STAFF_SALARY_BREAKDOWN2"/>
      <sheetName val="WELFARE_COST_-_SITE2"/>
      <sheetName val="INPUT_DATA2"/>
      <sheetName val="개시대사_(2)2"/>
      <sheetName val="pile_bearing_capa_&amp;_arrenge2"/>
      <sheetName val="design_load2"/>
      <sheetName val="Fab__Skid2"/>
      <sheetName val="입고장부_(4)2"/>
      <sheetName val="FEUILLE_INTERNE2"/>
      <sheetName val="L_V_Separator2"/>
      <sheetName val="CAMP_-_CONSTRUCTION2"/>
      <sheetName val="E_Rate_PM2"/>
      <sheetName val="Schedule_2_and_32"/>
      <sheetName val="CAL_2"/>
      <sheetName val="COMPARISON_TABLE2"/>
      <sheetName val="3_0_Overall_Progress_S-curve2"/>
      <sheetName val="3-4_SPI2"/>
      <sheetName val="7_5_1(A)_Data4"/>
      <sheetName val="7_5_1(B)_BOQ_Breakdown4"/>
      <sheetName val="7_5_1(C)_Scope4"/>
      <sheetName val="7_5_1(D)_Basis4"/>
      <sheetName val="7_5_1(E)_Allowance4"/>
      <sheetName val="7_5_2_BOQ_Summary4"/>
      <sheetName val="7_5_3_BOQ4"/>
      <sheetName val="A__Erec_BOQ(Shop)4"/>
      <sheetName val="B__Erec_BOQ(Field)4"/>
      <sheetName val="C__Surface_Protection4"/>
      <sheetName val="A__Erec_BOQ(Shop)_(2)4"/>
      <sheetName val="B__Erec_BOQ(Field)_(2)4"/>
      <sheetName val="C__Surf_Protection4"/>
      <sheetName val="Attachment_#14"/>
      <sheetName val="Attachment_#24"/>
      <sheetName val="302_C14"/>
      <sheetName val="302_C24"/>
      <sheetName val="SUPPLY_(2)4"/>
      <sheetName val="RETURN_(2)4"/>
      <sheetName val="303_(2)4"/>
      <sheetName val="308_(2)4"/>
      <sheetName val="309_(2)4"/>
      <sheetName val="JUNCTION_BOX4"/>
      <sheetName val="PIPE_FITTING4"/>
      <sheetName val="TUBE_FITTING4"/>
      <sheetName val="CABLE_GLAND4"/>
      <sheetName val="BLR_14"/>
      <sheetName val="CONS__EQUIP___4"/>
      <sheetName val="REINF_4"/>
      <sheetName val="ITB_COST3"/>
      <sheetName val="97_사업추정(WEKI)3"/>
      <sheetName val="FIRE_FIGHTING3"/>
      <sheetName val="Cost_control3"/>
      <sheetName val="90EL_JACKET3"/>
      <sheetName val="보온_회사분3"/>
      <sheetName val="Sheet_11"/>
      <sheetName val="배관물량_(STEEL)1"/>
      <sheetName val="CAL_1"/>
      <sheetName val="3_0_Overall_Progress_S-curve1"/>
      <sheetName val="3-4_SPI1"/>
      <sheetName val="REF.ONLY"/>
      <sheetName val="CONCRETE"/>
      <sheetName val="PRO_DCI"/>
      <sheetName val="HVAC_DCI"/>
      <sheetName val="PIPE_DCI"/>
      <sheetName val="Loading Table"/>
      <sheetName val="BATCH"/>
      <sheetName val="Pipelines ASAB I-II Brownfield"/>
      <sheetName val="ORIGN"/>
      <sheetName val="P-Ph3-F-002"/>
      <sheetName val="전기"/>
      <sheetName val="200"/>
      <sheetName val="BM1"/>
      <sheetName val="REDUCER"/>
      <sheetName val="WE'T"/>
      <sheetName val="Vent Line size"/>
      <sheetName val="input data-090908"/>
      <sheetName val="LD-OVERA÷_x0000_"/>
      <sheetName val="LD-OVERA᯷㧓"/>
      <sheetName val="DIRECT-OFF"/>
      <sheetName val="PLAGCoct03"/>
      <sheetName val="表三甲"/>
      <sheetName val="调整"/>
      <sheetName val="Comp Rate "/>
      <sheetName val="HRG BHN"/>
      <sheetName val="4.1구조설계"/>
      <sheetName val="DOWNLOAD"/>
      <sheetName val="상반기손익차2총괄"/>
      <sheetName val="MH Estimation Guide"/>
      <sheetName val="CIV-DWG-ADA"/>
      <sheetName val="CIV-DOC-ADA"/>
      <sheetName val="공사비 내역 (가)"/>
      <sheetName val="STATIC"/>
      <sheetName val="diamètres"/>
      <sheetName val="설계예산서1"/>
      <sheetName val="내"/>
      <sheetName val="실행자재"/>
      <sheetName val="spinning1"/>
      <sheetName val="Tank"/>
      <sheetName val="Q5434 EQ LIST"/>
      <sheetName val="motor power"/>
      <sheetName val="Painting"/>
      <sheetName val="입사시직위"/>
      <sheetName val="MR"/>
      <sheetName val="Expenses per Cost Code "/>
      <sheetName val="공구"/>
      <sheetName val="PI"/>
      <sheetName val="집계표(OPTION)"/>
      <sheetName val="공문"/>
      <sheetName val="COMB MNG&amp;STAFF (ALL)  (2)"/>
      <sheetName val="Fill this out first..."/>
      <sheetName val="Fill this out first___"/>
      <sheetName val="공량예산"/>
      <sheetName val="예산M6-B"/>
      <sheetName val="Forecast Drivers"/>
      <sheetName val="REPORT"/>
      <sheetName val="공통가설"/>
      <sheetName val="MEASURE LIST"/>
      <sheetName val="Don gia"/>
      <sheetName val="Data 1"/>
      <sheetName val="뜃맟뭁돽띿맟_-BLDG"/>
      <sheetName val="SUBCON"/>
      <sheetName val="45,46"/>
      <sheetName val="01"/>
      <sheetName val="Unit Cost"/>
      <sheetName val="Total_mem"/>
      <sheetName val="Log"/>
      <sheetName val="Section 1~4(1)"/>
      <sheetName val="Section 1~4 "/>
      <sheetName val="Section 5"/>
      <sheetName val="Section 5.2"/>
      <sheetName val="Section 5.3"/>
      <sheetName val="Section 6"/>
      <sheetName val="Section 6.2"/>
      <sheetName val="Attachment 1"/>
      <sheetName val="Attachmenet 2"/>
      <sheetName val="Moment_Con_Capa"/>
      <sheetName val="Moment"/>
      <sheetName val="Shear_Con_Capa"/>
      <sheetName val="Shear"/>
      <sheetName val="PUMP_SHT"/>
      <sheetName val="Elect_(3)"/>
      <sheetName val="C급보_"/>
      <sheetName val="Rev_No"/>
      <sheetName val="Page_10"/>
      <sheetName val="Rectangular_Beam"/>
      <sheetName val="COST_UP"/>
      <sheetName val="간접비_총괄표"/>
      <sheetName val="Eng_hour_DB"/>
      <sheetName val="CRUDE_RE-bar"/>
      <sheetName val="DUTCH_CONE"/>
      <sheetName val="eq_data__x"/>
      <sheetName val="_"/>
      <sheetName val="2_Calculation_1"/>
      <sheetName val="PAGE_3_GENERAL_DETAILS"/>
      <sheetName val="적용_환율"/>
      <sheetName val="GM_000"/>
      <sheetName val="PRECAST_lightconc-II"/>
      <sheetName val="TENDER_PROG_"/>
      <sheetName val="PROC_PROG"/>
      <sheetName val="Block_D"/>
      <sheetName val="Datasheet_GLL_double_weir_(1)"/>
      <sheetName val="eq_data__x005f_x0000__x00"/>
      <sheetName val="33628-Rev__A"/>
      <sheetName val="TYPE-B_평균H"/>
      <sheetName val="Sheet2_(2)"/>
      <sheetName val="6_공사비_내역_(가)"/>
      <sheetName val="7.0 Crack Check"/>
      <sheetName val="축열조 기초"/>
      <sheetName val="M_B"/>
      <sheetName val="TACE"/>
      <sheetName val="기계공사비집계(珆꭭/"/>
      <sheetName val="FA"/>
      <sheetName val="Analisa HS"/>
      <sheetName val="Eng_Hrs"/>
      <sheetName val="NAME"/>
      <sheetName val="Coupling"/>
      <sheetName val="RAW MATERIALS "/>
      <sheetName val="COST-PERSON-J.O."/>
      <sheetName val="GT"/>
      <sheetName val="COST-EST LTI P5C"/>
      <sheetName val="기계시공"/>
      <sheetName val="SLEIPNER - ORMEN LANGE"/>
      <sheetName val="전기 BM_revA('090624).xls"/>
      <sheetName val="定额 (06)"/>
      <sheetName val="4-3LEVEL-5 epic.4"/>
      <sheetName val="COST-TZ"/>
      <sheetName val="Coeff."/>
      <sheetName val="대비"/>
      <sheetName val="SUMMARY_(0)"/>
      <sheetName val="SPrep_E4TK(R187)"/>
      <sheetName val="U00"/>
      <sheetName val="U01"/>
      <sheetName val="U02"/>
      <sheetName val="U03"/>
      <sheetName val="U06"/>
      <sheetName val="U07"/>
      <sheetName val="U08"/>
      <sheetName val="U09"/>
      <sheetName val="U10"/>
      <sheetName val="U11"/>
      <sheetName val="U13"/>
      <sheetName val="U21"/>
      <sheetName val="U25"/>
      <sheetName val="U26"/>
      <sheetName val="U29"/>
      <sheetName val="U30"/>
      <sheetName val="U31_Base"/>
      <sheetName val="U40"/>
      <sheetName val="U42"/>
      <sheetName val="U43"/>
      <sheetName val="U45"/>
      <sheetName val="U47"/>
      <sheetName val="U48"/>
      <sheetName val="U60"/>
      <sheetName val="4.단락전류"/>
      <sheetName val="[fdn_bm_pro.xls]기계공사비집계(珆꭭/"/>
      <sheetName val="Exchange rates"/>
      <sheetName val="P_x0007__x0000__x000e__x0000_"/>
      <sheetName val="7_5_1(A)_Data6"/>
      <sheetName val="7_5_1(B)_BOQ_Breakdown6"/>
      <sheetName val="7_5_1(C)_Scope6"/>
      <sheetName val="7_5_1(D)_Basis6"/>
      <sheetName val="7_5_1(E)_Allowance6"/>
      <sheetName val="7_5_2_BOQ_Summary6"/>
      <sheetName val="7_5_3_BOQ6"/>
      <sheetName val="A__Erec_BOQ(Shop)6"/>
      <sheetName val="B__Erec_BOQ(Field)6"/>
      <sheetName val="C__Surface_Protection6"/>
      <sheetName val="A__Erec_BOQ(Shop)_(2)6"/>
      <sheetName val="B__Erec_BOQ(Field)_(2)6"/>
      <sheetName val="C__Surf_Protection6"/>
      <sheetName val="Attachment_#16"/>
      <sheetName val="Attachment_#26"/>
      <sheetName val="302_C16"/>
      <sheetName val="302_C26"/>
      <sheetName val="SUPPLY_(2)6"/>
      <sheetName val="RETURN_(2)6"/>
      <sheetName val="303_(2)6"/>
      <sheetName val="308_(2)6"/>
      <sheetName val="309_(2)6"/>
      <sheetName val="JUNCTION_BOX6"/>
      <sheetName val="PIPE_FITTING6"/>
      <sheetName val="TUBE_FITTING6"/>
      <sheetName val="CABLE_GLAND6"/>
      <sheetName val="CONS__EQUIP___6"/>
      <sheetName val="BLR_16"/>
      <sheetName val="REINF_6"/>
      <sheetName val="ITB_COST5"/>
      <sheetName val="97_사업추정(WEKI)5"/>
      <sheetName val="Cost_control5"/>
      <sheetName val="90EL_JACKET5"/>
      <sheetName val="보온_회사분5"/>
      <sheetName val="FIRE_FIGHTING5"/>
      <sheetName val="Tipo_Terzi4"/>
      <sheetName val="plan&amp;section_of_foundation4"/>
      <sheetName val="design_criteria4"/>
      <sheetName val="BM_DATA_SHEET4"/>
      <sheetName val="Mat_Stelo4"/>
      <sheetName val="Unit_SUM4"/>
      <sheetName val="working_load_at_the_btm_ft_3"/>
      <sheetName val="stability_check3"/>
      <sheetName val="OUTER_AREA(겹침없음)3"/>
      <sheetName val="1_설계기준3"/>
      <sheetName val="bill_23"/>
      <sheetName val="표지_(2)3"/>
      <sheetName val="Break_Dw3"/>
      <sheetName val="방유제용량_계산서3"/>
      <sheetName val="Material_Specification3"/>
      <sheetName val="special_item_양진규_작성3"/>
      <sheetName val="Sch_63"/>
      <sheetName val="pile_bearing_capa_&amp;_arrenge3"/>
      <sheetName val="design_load3"/>
      <sheetName val="Fab__Skid3"/>
      <sheetName val="INPUT_DATA3"/>
      <sheetName val="CAMP_OPERATING_COST3"/>
      <sheetName val="PERSONNEL_SETUP3"/>
      <sheetName val="LIST_OF_OFFICE_EQUIPMENT3"/>
      <sheetName val="STAFF&amp;INDIRECT_SALARY_-_SUMMAR3"/>
      <sheetName val="KOREAN_STAFF_SALARY_BREAKDOWN3"/>
      <sheetName val="WELFARE_COST_-_SITE3"/>
      <sheetName val="개시대사_(2)3"/>
      <sheetName val="입고장부_(4)3"/>
      <sheetName val="FEUILLE_INTERNE3"/>
      <sheetName val="COMPARISON_TABLE3"/>
      <sheetName val="L_V_Separator3"/>
      <sheetName val="CAMP_-_CONSTRUCTION3"/>
      <sheetName val="E_Rate_PM3"/>
      <sheetName val="Schedule_2_and_33"/>
      <sheetName val="Cover_sheet1"/>
      <sheetName val="CAL_3"/>
      <sheetName val="Summary_Sheets1"/>
      <sheetName val="BSD_(2)1"/>
      <sheetName val="TRAY_BM1"/>
      <sheetName val="11_자재단가2"/>
      <sheetName val="1_OF_92"/>
      <sheetName val="품셈_1"/>
      <sheetName val="sc0314_Index1"/>
      <sheetName val="Graph_(LGEN)1"/>
      <sheetName val="선적schedule_(2)1"/>
      <sheetName val="Resource_summary1"/>
      <sheetName val="배관물량_(STEEL)3"/>
      <sheetName val="Sheet_13"/>
      <sheetName val="w't_table1"/>
      <sheetName val="eq_data__x005f_x0000__x005f_x0000__x005f_x0000__1"/>
      <sheetName val="Break_Down1"/>
      <sheetName val="Supervision_List1"/>
      <sheetName val="General_Data3"/>
      <sheetName val="PRICE_COMP3"/>
      <sheetName val="A(Rev_3)3"/>
      <sheetName val="static_cal1"/>
      <sheetName val="crude_SLAB_RE-bar1"/>
      <sheetName val="7_6_3(B)_UG_Piping1"/>
      <sheetName val="PRICE_LIST1"/>
      <sheetName val="7_5_2_BOQ_Summary_1"/>
      <sheetName val="Rekap_A1"/>
      <sheetName val="paint_mat1"/>
      <sheetName val="VE_Estimate1"/>
      <sheetName val="TABLE2-2_OSBL-(SITE_PREP)1"/>
      <sheetName val="OFFER_RATE1"/>
      <sheetName val="Job_Data1"/>
      <sheetName val="Piping_Design_Data1"/>
      <sheetName val="Summary_20021"/>
      <sheetName val="ASME_B_36_10_M1"/>
      <sheetName val="Struct-Grass_root1"/>
      <sheetName val="3_0_Overall_Progress_S-curve3"/>
      <sheetName val="3-4_SPI3"/>
      <sheetName val="-15_01"/>
      <sheetName val="견적_집계1"/>
      <sheetName val="PULLING_SUPT등1"/>
      <sheetName val="Sheet1_(2)1"/>
      <sheetName val="PAGE_11"/>
      <sheetName val="_생산성_분석_체계_절차_xlsx1"/>
      <sheetName val="BQ_List1"/>
      <sheetName val="PAGE_21"/>
      <sheetName val="Page_101"/>
      <sheetName val="C급보_1"/>
      <sheetName val="Rectangular_Beam1"/>
      <sheetName val="CRUDE_RE-bar1"/>
      <sheetName val="COST_UP1"/>
      <sheetName val="간접비_총괄표1"/>
      <sheetName val="Eng_hour_DB1"/>
      <sheetName val="DUTCH_CONE1"/>
      <sheetName val="2_Calculation_11"/>
      <sheetName val="PAGE_3_GENERAL_DETAILS1"/>
      <sheetName val="적용_환율1"/>
      <sheetName val="Elect_(3)1"/>
      <sheetName val="GM_0001"/>
      <sheetName val="PRECAST_lightconc-II1"/>
      <sheetName val="Rev_No1"/>
      <sheetName val="PUMP_SHT1"/>
      <sheetName val="Datasheet_GLL_double_weir_(1)1"/>
      <sheetName val="_1"/>
      <sheetName val="eq_data__x005f_x0000__x001"/>
      <sheetName val="TENDER_PROG_1"/>
      <sheetName val="PROC_PROG1"/>
      <sheetName val="Block_D1"/>
      <sheetName val="Sheet2_(2)1"/>
      <sheetName val="33628-Rev__A1"/>
      <sheetName val="TYPE-B_평균H1"/>
      <sheetName val="co-no_2"/>
      <sheetName val="6_공사비_내역_(가)1"/>
      <sheetName val="Form_A_1"/>
      <sheetName val="Form_A_1_1"/>
      <sheetName val="BOM_Indirect"/>
      <sheetName val="Form_A_1_II_2"/>
      <sheetName val="6_GSTG_PIPING"/>
      <sheetName val="NONS__2,189"/>
      <sheetName val="Reference_Table"/>
      <sheetName val="CAL(1)_"/>
      <sheetName val="member_design"/>
      <sheetName val="soil_bearing_check"/>
      <sheetName val="OCT_FDN"/>
      <sheetName val="PRI_CIV"/>
      <sheetName val="FOR_CIV"/>
      <sheetName val="SUB_CIV"/>
      <sheetName val="ANA_CIV"/>
      <sheetName val="AUX_CIV"/>
      <sheetName val="내역서_"/>
      <sheetName val="hori__vessel(E-895)"/>
      <sheetName val="2_3"/>
      <sheetName val="S_N"/>
      <sheetName val="REF_ONLY"/>
      <sheetName val="SUMMARY_(0)1"/>
      <sheetName val="Loading_Table"/>
      <sheetName val="Pipelines_ASAB_I-II_Brownfield"/>
      <sheetName val="Vent_Line_size"/>
      <sheetName val="4_1구조설계"/>
      <sheetName val="input_data-090908"/>
      <sheetName val="HRG_BHN"/>
      <sheetName val="MH_Estimation_Guide"/>
      <sheetName val="공사비_내역_(가)"/>
      <sheetName val="Comp_Rate_"/>
      <sheetName val="Expenses_per_Cost_Code_"/>
      <sheetName val="COMB_MNG&amp;STAFF_(ALL)__(2)"/>
      <sheetName val="Q5434_EQ_LIST"/>
      <sheetName val="motor_power"/>
      <sheetName val="Forecast_Drivers"/>
      <sheetName val="Fill_this_out_first___"/>
      <sheetName val="Fill_this_out_first___1"/>
      <sheetName val="7_0_Crack_Check"/>
      <sheetName val="축열조_기초"/>
      <sheetName val="Data_1"/>
      <sheetName val="Unit_Cost"/>
      <sheetName val="Section_1~4(1)"/>
      <sheetName val="Section_1~4_"/>
      <sheetName val="Section_5"/>
      <sheetName val="Section_5_2"/>
      <sheetName val="Section_5_3"/>
      <sheetName val="Section_6"/>
      <sheetName val="Section_6_2"/>
      <sheetName val="Attachment_1"/>
      <sheetName val="Attachmenet_2"/>
      <sheetName val="MEASURE_LIST"/>
      <sheetName val="Don_gia"/>
      <sheetName val="Analisa_HS"/>
      <sheetName val="COST-EST_LTI_P5C"/>
      <sheetName val="SLEIPNER_-_ORMEN_LANGE"/>
      <sheetName val="전기_BM_revA('090624)_xls"/>
      <sheetName val="定额_(06)"/>
      <sheetName val="Coeff_"/>
      <sheetName val="RAW_MATERIALS_"/>
      <sheetName val="COST-PERSON-J_O_"/>
      <sheetName val="4-3LEVEL-5_epic_4"/>
      <sheetName val="4_단락전류"/>
      <sheetName val="[fdn_bm_pro_xls]기계공사비집계(珆꭭/"/>
      <sheetName val="Exchange_rates"/>
      <sheetName val="P"/>
      <sheetName val="7_5_1(A)_Data7"/>
      <sheetName val="7_5_1(B)_BOQ_Breakdown7"/>
      <sheetName val="7_5_1(C)_Scope7"/>
      <sheetName val="7_5_1(D)_Basis7"/>
      <sheetName val="7_5_1(E)_Allowance7"/>
      <sheetName val="7_5_2_BOQ_Summary7"/>
      <sheetName val="7_5_3_BOQ7"/>
      <sheetName val="A__Erec_BOQ(Shop)7"/>
      <sheetName val="B__Erec_BOQ(Field)7"/>
      <sheetName val="C__Surface_Protection7"/>
      <sheetName val="A__Erec_BOQ(Shop)_(2)7"/>
      <sheetName val="B__Erec_BOQ(Field)_(2)7"/>
      <sheetName val="C__Surf_Protection7"/>
      <sheetName val="Attachment_#17"/>
      <sheetName val="Attachment_#27"/>
      <sheetName val="302_C17"/>
      <sheetName val="302_C27"/>
      <sheetName val="SUPPLY_(2)7"/>
      <sheetName val="RETURN_(2)7"/>
      <sheetName val="303_(2)7"/>
      <sheetName val="308_(2)7"/>
      <sheetName val="309_(2)7"/>
      <sheetName val="JUNCTION_BOX7"/>
      <sheetName val="PIPE_FITTING7"/>
      <sheetName val="TUBE_FITTING7"/>
      <sheetName val="CABLE_GLAND7"/>
      <sheetName val="CONS__EQUIP___7"/>
      <sheetName val="BLR_17"/>
      <sheetName val="REINF_7"/>
      <sheetName val="ITB_COST6"/>
      <sheetName val="97_사업추정(WEKI)6"/>
      <sheetName val="Cost_control6"/>
      <sheetName val="90EL_JACKET6"/>
      <sheetName val="보온_회사분6"/>
      <sheetName val="FIRE_FIGHTING6"/>
      <sheetName val="Tipo_Terzi5"/>
      <sheetName val="plan&amp;section_of_foundation5"/>
      <sheetName val="design_criteria5"/>
      <sheetName val="BM_DATA_SHEET5"/>
      <sheetName val="Mat_Stelo5"/>
      <sheetName val="Unit_SUM5"/>
      <sheetName val="working_load_at_the_btm_ft_4"/>
      <sheetName val="stability_check4"/>
      <sheetName val="OUTER_AREA(겹침없음)4"/>
      <sheetName val="1_설계기준4"/>
      <sheetName val="bill_24"/>
      <sheetName val="표지_(2)4"/>
      <sheetName val="Break_Dw4"/>
      <sheetName val="방유제용량_계산서4"/>
      <sheetName val="Material_Specification4"/>
      <sheetName val="special_item_양진규_작성4"/>
      <sheetName val="Sch_64"/>
      <sheetName val="pile_bearing_capa_&amp;_arrenge4"/>
      <sheetName val="design_load4"/>
      <sheetName val="Fab__Skid4"/>
      <sheetName val="INPUT_DATA4"/>
      <sheetName val="CAMP_OPERATING_COST4"/>
      <sheetName val="PERSONNEL_SETUP4"/>
      <sheetName val="LIST_OF_OFFICE_EQUIPMENT4"/>
      <sheetName val="STAFF&amp;INDIRECT_SALARY_-_SUMMAR4"/>
      <sheetName val="KOREAN_STAFF_SALARY_BREAKDOWN4"/>
      <sheetName val="WELFARE_COST_-_SITE4"/>
      <sheetName val="개시대사_(2)4"/>
      <sheetName val="입고장부_(4)4"/>
      <sheetName val="FEUILLE_INTERNE4"/>
      <sheetName val="COMPARISON_TABLE4"/>
      <sheetName val="L_V_Separator4"/>
      <sheetName val="CAMP_-_CONSTRUCTION4"/>
      <sheetName val="E_Rate_PM4"/>
      <sheetName val="Schedule_2_and_34"/>
      <sheetName val="Cover_sheet2"/>
      <sheetName val="CAL_4"/>
      <sheetName val="Summary_Sheets2"/>
      <sheetName val="BSD_(2)2"/>
      <sheetName val="TRAY_BM2"/>
      <sheetName val="11_자재단가3"/>
      <sheetName val="1_OF_93"/>
      <sheetName val="품셈_2"/>
      <sheetName val="sc0314_Index2"/>
      <sheetName val="Graph_(LGEN)2"/>
      <sheetName val="선적schedule_(2)2"/>
      <sheetName val="Resource_summary2"/>
      <sheetName val="배관물량_(STEEL)4"/>
      <sheetName val="Sheet_14"/>
      <sheetName val="w't_table2"/>
      <sheetName val="eq_data__x005f_x0000__x005f_x0000__x005f_x0000__2"/>
      <sheetName val="Break_Down2"/>
      <sheetName val="Supervision_List2"/>
      <sheetName val="General_Data4"/>
      <sheetName val="PRICE_COMP4"/>
      <sheetName val="A(Rev_3)4"/>
      <sheetName val="static_cal2"/>
      <sheetName val="crude_SLAB_RE-bar2"/>
      <sheetName val="7_6_3(B)_UG_Piping2"/>
      <sheetName val="PRICE_LIST2"/>
      <sheetName val="7_5_2_BOQ_Summary_2"/>
      <sheetName val="Rekap_A2"/>
      <sheetName val="paint_mat2"/>
      <sheetName val="VE_Estimate2"/>
      <sheetName val="TABLE2-2_OSBL-(SITE_PREP)2"/>
      <sheetName val="OFFER_RATE2"/>
      <sheetName val="Job_Data2"/>
      <sheetName val="Piping_Design_Data2"/>
      <sheetName val="Summary_20022"/>
      <sheetName val="ASME_B_36_10_M2"/>
      <sheetName val="Struct-Grass_root2"/>
      <sheetName val="3_0_Overall_Progress_S-curve4"/>
      <sheetName val="3-4_SPI4"/>
      <sheetName val="-15_02"/>
      <sheetName val="견적_집계2"/>
      <sheetName val="PULLING_SUPT등2"/>
      <sheetName val="Sheet1_(2)2"/>
      <sheetName val="PAGE_12"/>
      <sheetName val="_생산성_분석_체계_절차_xlsx2"/>
      <sheetName val="BQ_List2"/>
      <sheetName val="PAGE_22"/>
      <sheetName val="Page_102"/>
      <sheetName val="C급보_2"/>
      <sheetName val="Rectangular_Beam2"/>
      <sheetName val="CRUDE_RE-bar2"/>
      <sheetName val="COST_UP2"/>
      <sheetName val="간접비_총괄표2"/>
      <sheetName val="Eng_hour_DB2"/>
      <sheetName val="DUTCH_CONE2"/>
      <sheetName val="2_Calculation_12"/>
      <sheetName val="PAGE_3_GENERAL_DETAILS2"/>
      <sheetName val="적용_환율2"/>
      <sheetName val="Elect_(3)2"/>
      <sheetName val="GM_0002"/>
      <sheetName val="PRECAST_lightconc-II2"/>
      <sheetName val="Rev_No2"/>
      <sheetName val="PUMP_SHT2"/>
      <sheetName val="Datasheet_GLL_double_weir_(1)2"/>
      <sheetName val="_2"/>
      <sheetName val="eq_data__x005f_x0000__x002"/>
      <sheetName val="TENDER_PROG_2"/>
      <sheetName val="PROC_PROG2"/>
      <sheetName val="Block_D2"/>
      <sheetName val="Sheet2_(2)2"/>
      <sheetName val="33628-Rev__A2"/>
      <sheetName val="TYPE-B_평균H2"/>
      <sheetName val="co-no_21"/>
      <sheetName val="6_공사비_내역_(가)2"/>
      <sheetName val="Form_A_11"/>
      <sheetName val="Form_A_1_11"/>
      <sheetName val="BOM_Indirect1"/>
      <sheetName val="Form_A_1_II_21"/>
      <sheetName val="6_GSTG_PIPING1"/>
      <sheetName val="NONS__2,1891"/>
      <sheetName val="Reference_Table1"/>
      <sheetName val="CAL(1)_1"/>
      <sheetName val="member_design1"/>
      <sheetName val="soil_bearing_check1"/>
      <sheetName val="OCT_FDN1"/>
      <sheetName val="PRI_CIV1"/>
      <sheetName val="FOR_CIV1"/>
      <sheetName val="SUB_CIV1"/>
      <sheetName val="ANA_CIV1"/>
      <sheetName val="AUX_CIV1"/>
      <sheetName val="내역서_1"/>
      <sheetName val="hori__vessel(E-895)1"/>
      <sheetName val="2_31"/>
      <sheetName val="S_N1"/>
      <sheetName val="REF_ONLY1"/>
      <sheetName val="SUMMARY_(0)2"/>
      <sheetName val="Loading_Table1"/>
      <sheetName val="Pipelines_ASAB_I-II_Brownfield1"/>
      <sheetName val="Vent_Line_size1"/>
      <sheetName val="4_1구조설계1"/>
      <sheetName val="input_data-0909081"/>
      <sheetName val="HRG_BHN1"/>
      <sheetName val="MH_Estimation_Guide1"/>
      <sheetName val="공사비_내역_(가)1"/>
      <sheetName val="Comp_Rate_1"/>
      <sheetName val="Expenses_per_Cost_Code_1"/>
      <sheetName val="COMB_MNG&amp;STAFF_(ALL)__(2)1"/>
      <sheetName val="Q5434_EQ_LIST1"/>
      <sheetName val="motor_power1"/>
      <sheetName val="Forecast_Drivers1"/>
      <sheetName val="Fill_this_out_first___2"/>
      <sheetName val="Fill_this_out_first___3"/>
      <sheetName val="7_0_Crack_Check1"/>
      <sheetName val="축열조_기초1"/>
      <sheetName val="Data_11"/>
      <sheetName val="Unit_Cost1"/>
      <sheetName val="Section_1~4(1)1"/>
      <sheetName val="Section_1~4_1"/>
      <sheetName val="Section_51"/>
      <sheetName val="Section_5_21"/>
      <sheetName val="Section_5_31"/>
      <sheetName val="Section_61"/>
      <sheetName val="Section_6_21"/>
      <sheetName val="Attachment_11"/>
      <sheetName val="Attachmenet_21"/>
      <sheetName val="MEASURE_LIST1"/>
      <sheetName val="Don_gia1"/>
      <sheetName val="Analisa_HS1"/>
      <sheetName val="COST-EST_LTI_P5C1"/>
      <sheetName val="SLEIPNER_-_ORMEN_LANGE1"/>
      <sheetName val="전기_BM_revA('090624)_xls1"/>
      <sheetName val="定额_(06)1"/>
      <sheetName val="Coeff_1"/>
      <sheetName val="RAW_MATERIALS_1"/>
      <sheetName val="COST-PERSON-J_O_1"/>
      <sheetName val="4-3LEVEL-5_epic_41"/>
      <sheetName val="4_단락전류1"/>
      <sheetName val="[fdn_bm_pro_xls]기계공사비집계(珆꭭/1"/>
      <sheetName val="Exchange_rates1"/>
      <sheetName val="P_x0007_"/>
      <sheetName val="2-SITE "/>
      <sheetName val="COST-SUM"/>
      <sheetName val="PAD-F"/>
      <sheetName val="LME"/>
      <sheetName val="Tie Beam GN"/>
      <sheetName val="PileCap"/>
      <sheetName val="06-Progress"/>
      <sheetName val="04-Safety"/>
      <sheetName val="BM"/>
      <sheetName val="현장배치"/>
      <sheetName val="system &amp; LOOK_UP_FUNC"/>
      <sheetName val="Base_Data"/>
      <sheetName val="LABT橿⿋_x0000__x0000_"/>
      <sheetName val="96.12"/>
      <sheetName val="hvac내역서(제어동)"/>
      <sheetName val="Consumables"/>
      <sheetName val="Thick"/>
      <sheetName val="BID FORM"/>
      <sheetName val="Form of Bid"/>
      <sheetName val="건설성적"/>
      <sheetName val="삼성전기"/>
      <sheetName val="Grafenpa"/>
      <sheetName val="단가표"/>
      <sheetName val="노무비"/>
      <sheetName val="LOB"/>
      <sheetName val="등부표"/>
      <sheetName val="NPK_Gresik"/>
      <sheetName val="Finish list"/>
      <sheetName val="Bldg정보"/>
      <sheetName val="가동비율"/>
      <sheetName val="INST LIST"/>
      <sheetName val="터널조도"/>
      <sheetName val="Rekapsub-total-ME"/>
      <sheetName val="Item Dominan"/>
      <sheetName val="기계공사비집계(᝔턀"/>
      <sheetName val="기계공사비집계(ࠀᝋ턀"/>
      <sheetName val="기계공사비집계("/>
      <sheetName val="기계공사비집계(﹗맕ԯ"/>
      <sheetName val="기계공사비집계(ၩ_x0000_堀"/>
      <sheetName val="기계공사비집계(թ_x0000_缀"/>
      <sheetName val="기계공사비집계(썩"/>
      <sheetName val="기계공사비집계(ၩ_x0000_렀"/>
      <sheetName val="기계공사비집계(౩⁯吀"/>
      <sheetName val="기계공사비집계(偩⑔鰀"/>
      <sheetName val="기계공사비집계(i_x0000_ꀀ"/>
      <sheetName val="기계공사비집계(桩♗洀"/>
      <sheetName val="APP-9"/>
      <sheetName val="Indeks"/>
      <sheetName val="PCC EAF"/>
      <sheetName val="PCC LF"/>
      <sheetName val="5-ALAT(1)"/>
      <sheetName val="4-Basic Price"/>
      <sheetName val="1-Rekap"/>
      <sheetName val="기계공사비집계(珆꭭_"/>
      <sheetName val="_fdn_bm_pro.xls_기계공사비집계(珆꭭_"/>
      <sheetName val="STD"/>
      <sheetName val="MANPOWER DIRECT TRACKING"/>
      <sheetName val="Timescaled Data"/>
      <sheetName val="Home Office"/>
      <sheetName val="6-2차"/>
      <sheetName val="Code 02"/>
      <sheetName val="Code 03"/>
      <sheetName val="Code 04"/>
      <sheetName val="Code 05"/>
      <sheetName val="Code 06"/>
      <sheetName val="Code 07"/>
      <sheetName val="Code 09"/>
      <sheetName val="Code03"/>
      <sheetName val="5-Digit"/>
      <sheetName val="MixBed"/>
      <sheetName val="CondPol"/>
      <sheetName val="Inputs"/>
      <sheetName val="BD"/>
      <sheetName val="LAB"/>
      <sheetName val="4300 UTILITY BLDG (2)"/>
      <sheetName val="WT-LIST"/>
      <sheetName val="예가표"/>
      <sheetName val="자재단가"/>
      <sheetName val="Price Breakdown(Building)"/>
      <sheetName val="ECL"/>
      <sheetName val="Salary"/>
      <sheetName val="Dati base"/>
      <sheetName val="US Inflation Factors"/>
      <sheetName val="Ratios"/>
      <sheetName val="Cover Page"/>
      <sheetName val="유림골조"/>
      <sheetName val="sOURCES"/>
      <sheetName val="eq_data ????"/>
      <sheetName val="?è"/>
      <sheetName val="자재집계 &amp; 총괄표"/>
      <sheetName val="기계공사비집계(ၩ"/>
      <sheetName val="기계공사비집계(թ"/>
      <sheetName val="기계공사비집계(i"/>
      <sheetName val="Engrg Est"/>
      <sheetName val="7"/>
      <sheetName val="5_Peralatan"/>
      <sheetName val="Cover_Flex"/>
      <sheetName val="[fdn_bm_pro.xls]_fdn_bm_pro_x_2"/>
      <sheetName val="제직재"/>
      <sheetName val="설직재-1"/>
      <sheetName val="제-노임"/>
      <sheetName val="생산량"/>
      <sheetName val="가설개략"/>
      <sheetName val="dlvoid"/>
      <sheetName val="Unit. Price"/>
      <sheetName val="BD-PP-OFF"/>
      <sheetName val="M1"/>
      <sheetName val="InsertListDrawing 1 "/>
      <sheetName val="barTable"/>
      <sheetName val="Testing"/>
      <sheetName val="BILL Of QUANTITIES"/>
      <sheetName val="뜃맟뭁돽띿맟-BLDG"/>
      <sheetName val="기계공사비집계(珆꭭"/>
      <sheetName val="fdn_bm_pro.xls기계공사비집계(珆꭭"/>
      <sheetName val="H.Satuan"/>
      <sheetName val="Div26 - Elect"/>
      <sheetName val="2.4.1 Elec_BOQ"/>
      <sheetName val="2.4.1 Inst_BOQ"/>
      <sheetName val="PTF Report"/>
      <sheetName val="GASATAGG.XLS"/>
      <sheetName val="Informasi"/>
      <sheetName val="CBD"/>
      <sheetName val="6PILE  (돌출)"/>
      <sheetName val="SAT"/>
      <sheetName val="BEND LOSS"/>
      <sheetName val="page 142"/>
      <sheetName val="Listenfelder"/>
      <sheetName val="Tie_Beam_GN"/>
      <sheetName val="system_&amp;_LOOK_UP_FUNC"/>
      <sheetName val="96_12"/>
      <sheetName val="tabulación final"/>
      <sheetName val="選択リスト"/>
      <sheetName val="図面番号参照"/>
      <sheetName val="Forecast"/>
      <sheetName val="Sh_x0005__x0000__x0000_"/>
      <sheetName val="DataFormat"/>
      <sheetName val="DataPrep"/>
      <sheetName val="암거공"/>
      <sheetName val="Sh_x0005_"/>
      <sheetName val="NOC"/>
      <sheetName val="EMPLOYMENT CERTIFICATE"/>
      <sheetName val="Salary cer"/>
      <sheetName val="Master file"/>
      <sheetName val="Line dP"/>
      <sheetName val="Motor Table"/>
      <sheetName val=" Input "/>
      <sheetName val="77521"/>
      <sheetName val="Connections"/>
      <sheetName val="Calc"/>
      <sheetName val="3514-HV-0201"/>
      <sheetName val="Table-1"/>
      <sheetName val="금융비용"/>
      <sheetName val="ELECTRIC"/>
      <sheetName val="CTEMCOST"/>
      <sheetName val="SCHEDULE"/>
      <sheetName val="chart"/>
      <sheetName val="Bend_fact "/>
      <sheetName val="Bend_fact_"/>
      <sheetName val="982-6B@"/>
      <sheetName val="간접비"/>
      <sheetName val="system_&amp;_LOOK_UP_FUNC1"/>
      <sheetName val="PROCESS"/>
      <sheetName val="E.1"/>
      <sheetName val="OD"/>
      <sheetName val="Estimate"/>
      <sheetName val="Unitwise breakup"/>
      <sheetName val="실행철강하도"/>
      <sheetName val="Droplist"/>
      <sheetName val="tunda2"/>
      <sheetName val="rekap.c"/>
      <sheetName val="HARGA MATERIAL"/>
      <sheetName val="H_param"/>
      <sheetName val="BQ Arsit"/>
      <sheetName val="An HarSatPek"/>
      <sheetName val="Sat Bah &amp; Up"/>
      <sheetName val="1.사업개요"/>
      <sheetName val="HT-INTROD"/>
      <sheetName val="Site Expenses"/>
      <sheetName val="Récapitulatif"/>
      <sheetName val="ABUT수량-A1"/>
      <sheetName val="steel-gr"/>
      <sheetName val="Cause&amp;Effects"/>
      <sheetName val="Paint - Mat Summ"/>
      <sheetName val="Paint_-_Mat_Summ"/>
      <sheetName val="Piling &amp; Tk Fdn"/>
      <sheetName val="특수선일위대가"/>
      <sheetName val="95WBS"/>
      <sheetName val="RDLEVLST"/>
      <sheetName val="DTmpData"/>
      <sheetName val="eq_data _x00"/>
      <sheetName val="송강"/>
      <sheetName val="ADMIN TB-557066_00A"/>
      <sheetName val="LABORATORY TB-557091_00A"/>
      <sheetName val="OME5 TB-557088-001_00A"/>
      <sheetName val="OME4 TB-557087-001_00A"/>
      <sheetName val="OME3 TB-557086-001_00A"/>
      <sheetName val="CMB EMTS TB-557084_00A"/>
      <sheetName val="SLCB TB-557083-002_00B"/>
      <sheetName val="PIB9 TB-557082-003_00B"/>
      <sheetName val="PIB7 TB-557081-003_00B"/>
      <sheetName val="PIB6 TB-557080-003_00B"/>
      <sheetName val="PIB5 TB-557079-002_00B"/>
      <sheetName val="PIB4 TB-557078-002_00B"/>
      <sheetName val="PIB3 TB-557077-002_00B"/>
      <sheetName val="CCB TB-557075-001_00B"/>
      <sheetName val="CCB TB-557073-002_00B"/>
      <sheetName val="CCB TB-557072-001_00A"/>
      <sheetName val="CCB TB-557051_00B"/>
      <sheetName val="MASTER"/>
      <sheetName val="예정공정표 (2)"/>
      <sheetName val="공사계획서"/>
      <sheetName val="품셈표"/>
      <sheetName val="Budget Weight Instructions A"/>
      <sheetName val="P-base-1"/>
      <sheetName val="E-base-1"/>
      <sheetName val="Basic data"/>
      <sheetName val="Isolasi Luar Dalam"/>
      <sheetName val="Isolasi Luar"/>
      <sheetName val="AC"/>
      <sheetName val="PDMP"/>
      <sheetName val="PCE"/>
      <sheetName val="PRODUK"/>
      <sheetName val="TOOL-ME"/>
      <sheetName val="eq_data _x005f_x005f_x005f_x0000__x005f_x005f_x00"/>
      <sheetName val="eq_data _x005f_x005f_x005f_x0000__x00"/>
      <sheetName val="eq_data__x005f_x005f_x005f_x0000__x005f_x005f_x00"/>
      <sheetName val="7_5_1(A)_Data8"/>
      <sheetName val="7_5_1(B)_BOQ_Breakdown8"/>
      <sheetName val="7_5_1(C)_Scope8"/>
      <sheetName val="7_5_1(D)_Basis8"/>
      <sheetName val="7_5_1(E)_Allowance8"/>
      <sheetName val="7_5_2_BOQ_Summary8"/>
      <sheetName val="7_5_3_BOQ8"/>
      <sheetName val="A__Erec_BOQ(Shop)8"/>
      <sheetName val="B__Erec_BOQ(Field)8"/>
      <sheetName val="C__Surface_Protection8"/>
      <sheetName val="A__Erec_BOQ(Shop)_(2)8"/>
      <sheetName val="B__Erec_BOQ(Field)_(2)8"/>
      <sheetName val="C__Surf_Protection8"/>
      <sheetName val="Attachment_#18"/>
      <sheetName val="Attachment_#28"/>
      <sheetName val="302_C18"/>
      <sheetName val="302_C28"/>
      <sheetName val="SUPPLY_(2)8"/>
      <sheetName val="RETURN_(2)8"/>
      <sheetName val="303_(2)8"/>
      <sheetName val="308_(2)8"/>
      <sheetName val="309_(2)8"/>
      <sheetName val="JUNCTION_BOX8"/>
      <sheetName val="PIPE_FITTING8"/>
      <sheetName val="TUBE_FITTING8"/>
      <sheetName val="CABLE_GLAND8"/>
      <sheetName val="CONS__EQUIP___8"/>
      <sheetName val="BLR_18"/>
      <sheetName val="REINF_8"/>
      <sheetName val="ITB_COST7"/>
      <sheetName val="97_사업추정(WEKI)7"/>
      <sheetName val="90EL_JACKET7"/>
      <sheetName val="보온_회사분7"/>
      <sheetName val="Cost_control7"/>
      <sheetName val="FIRE_FIGHTING7"/>
      <sheetName val="Tipo_Terzi6"/>
      <sheetName val="plan&amp;section_of_foundation6"/>
      <sheetName val="design_criteria6"/>
      <sheetName val="BM_DATA_SHEET6"/>
      <sheetName val="Mat_Stelo6"/>
      <sheetName val="Unit_SUM6"/>
      <sheetName val="1_설계기준5"/>
      <sheetName val="working_load_at_the_btm_ft_5"/>
      <sheetName val="stability_check5"/>
      <sheetName val="Break_Dw5"/>
      <sheetName val="OUTER_AREA(겹침없음)5"/>
      <sheetName val="special_item_양진규_작성5"/>
      <sheetName val="개시대사_(2)5"/>
      <sheetName val="bill_25"/>
      <sheetName val="Material_Specification5"/>
      <sheetName val="방유제용량_계산서5"/>
      <sheetName val="Sch_65"/>
      <sheetName val="표지_(2)5"/>
      <sheetName val="INPUT_DATA5"/>
      <sheetName val="CAMP_OPERATING_COST5"/>
      <sheetName val="PERSONNEL_SETUP5"/>
      <sheetName val="LIST_OF_OFFICE_EQUIPMENT5"/>
      <sheetName val="STAFF&amp;INDIRECT_SALARY_-_SUMMAR5"/>
      <sheetName val="KOREAN_STAFF_SALARY_BREAKDOWN5"/>
      <sheetName val="WELFARE_COST_-_SITE5"/>
      <sheetName val="pile_bearing_capa_&amp;_arrenge5"/>
      <sheetName val="design_load5"/>
      <sheetName val="Fab__Skid5"/>
      <sheetName val="입고장부_(4)5"/>
      <sheetName val="FEUILLE_INTERNE5"/>
      <sheetName val="COMPARISON_TABLE5"/>
      <sheetName val="L_V_Separator5"/>
      <sheetName val="CAMP_-_CONSTRUCTION5"/>
      <sheetName val="E_Rate_PM5"/>
      <sheetName val="Schedule_2_and_35"/>
      <sheetName val="CAL_5"/>
      <sheetName val="BSD_(2)3"/>
      <sheetName val="TRAY_BM3"/>
      <sheetName val="eq_data_1"/>
      <sheetName val="Cover_sheet3"/>
      <sheetName val="11_자재단가4"/>
      <sheetName val="1_OF_94"/>
      <sheetName val="Graph_(LGEN)3"/>
      <sheetName val="선적schedule_(2)3"/>
      <sheetName val="Summary_Sheets3"/>
      <sheetName val="품셈_3"/>
      <sheetName val="sc0314_Index3"/>
      <sheetName val="Resource_summary3"/>
      <sheetName val="w't_table3"/>
      <sheetName val="eq_data__x005f_x0000__x005f_x0000__x005f_x0000__3"/>
      <sheetName val="General_Data5"/>
      <sheetName val="PRICE_COMP5"/>
      <sheetName val="A(Rev_3)5"/>
      <sheetName val="static_cal3"/>
      <sheetName val="crude_SLAB_RE-bar3"/>
      <sheetName val="7_6_3(B)_UG_Piping3"/>
      <sheetName val="PRICE_LIST3"/>
      <sheetName val="7_5_2_BOQ_Summary_3"/>
      <sheetName val="Rekap_A3"/>
      <sheetName val="paint_mat3"/>
      <sheetName val="VE_Estimate3"/>
      <sheetName val="TABLE2-2_OSBL-(SITE_PREP)3"/>
      <sheetName val="OFFER_RATE3"/>
      <sheetName val="Job_Data3"/>
      <sheetName val="Piping_Design_Data3"/>
      <sheetName val="Summary_20023"/>
      <sheetName val="ASME_B_36_10_M3"/>
      <sheetName val="배관물량_(STEEL)5"/>
      <sheetName val="Sheet_15"/>
      <sheetName val="3_0_Overall_Progress_S-curve5"/>
      <sheetName val="3-4_SPI5"/>
      <sheetName val="-15_03"/>
      <sheetName val="Struct-Grass_root3"/>
      <sheetName val="견적_집계3"/>
      <sheetName val="PULLING_SUPT등3"/>
      <sheetName val="Sheet1_(2)3"/>
      <sheetName val="PAGE_13"/>
      <sheetName val="_생산성_분석_체계_절차_xlsx3"/>
      <sheetName val="BQ_List3"/>
      <sheetName val="Break_Down3"/>
      <sheetName val="Supervision_List3"/>
      <sheetName val="PAGE_23"/>
      <sheetName val="Page_103"/>
      <sheetName val="간접비_총괄표3"/>
      <sheetName val="Eng_hour_DB3"/>
      <sheetName val="CRUDE_RE-bar3"/>
      <sheetName val="DUTCH_CONE3"/>
      <sheetName val="C급보_3"/>
      <sheetName val="Rectangular_Beam3"/>
      <sheetName val="COST_UP3"/>
      <sheetName val="PUMP_SHT3"/>
      <sheetName val="PAGE_3_GENERAL_DETAILS3"/>
      <sheetName val="적용_환율3"/>
      <sheetName val="GM_0003"/>
      <sheetName val="PRECAST_lightconc-II3"/>
      <sheetName val="Rev_No3"/>
      <sheetName val="Elect_(3)3"/>
      <sheetName val="2_Calculation_13"/>
      <sheetName val="TENDER_PROG_3"/>
      <sheetName val="PROC_PROG3"/>
      <sheetName val="Block_D3"/>
      <sheetName val="Datasheet_GLL_double_weir_(1)3"/>
      <sheetName val="_3"/>
      <sheetName val="eq_data__x005f_x0000__x003"/>
      <sheetName val="co-no_22"/>
      <sheetName val="33628-Rev__A3"/>
      <sheetName val="TYPE-B_평균H3"/>
      <sheetName val="6_공사비_내역_(가)3"/>
      <sheetName val="Sheet2_(2)3"/>
      <sheetName val="Form_A_12"/>
      <sheetName val="Form_A_1_12"/>
      <sheetName val="BOM_Indirect2"/>
      <sheetName val="Form_A_1_II_22"/>
      <sheetName val="6_GSTG_PIPING2"/>
      <sheetName val="NONS__2,1892"/>
      <sheetName val="내역서_2"/>
      <sheetName val="REF_ONLY2"/>
      <sheetName val="Reference_Table2"/>
      <sheetName val="CAL(1)_2"/>
      <sheetName val="member_design2"/>
      <sheetName val="soil_bearing_check2"/>
      <sheetName val="OCT_FDN2"/>
      <sheetName val="PRI_CIV2"/>
      <sheetName val="FOR_CIV2"/>
      <sheetName val="SUB_CIV2"/>
      <sheetName val="ANA_CIV2"/>
      <sheetName val="AUX_CIV2"/>
      <sheetName val="hori__vessel(E-895)2"/>
      <sheetName val="2_32"/>
      <sheetName val="S_N2"/>
      <sheetName val="Pipelines_ASAB_I-II_Brownfield2"/>
      <sheetName val="COMB_MNG&amp;STAFF_(ALL)__(2)2"/>
      <sheetName val="Loading_Table2"/>
      <sheetName val="SUMMARY_(0)3"/>
      <sheetName val="4_1구조설계2"/>
      <sheetName val="input_data-0909082"/>
      <sheetName val="Vent_Line_size2"/>
      <sheetName val="Expenses_per_Cost_Code_2"/>
      <sheetName val="MH_Estimation_Guide2"/>
      <sheetName val="공사비_내역_(가)2"/>
      <sheetName val="Comp_Rate_2"/>
      <sheetName val="HRG_BHN2"/>
      <sheetName val="Section_1~4(1)2"/>
      <sheetName val="Section_1~4_2"/>
      <sheetName val="Section_52"/>
      <sheetName val="Section_5_22"/>
      <sheetName val="Section_5_32"/>
      <sheetName val="Section_62"/>
      <sheetName val="Section_6_22"/>
      <sheetName val="Attachment_12"/>
      <sheetName val="Attachmenet_22"/>
      <sheetName val="Forecast_Drivers2"/>
      <sheetName val="Analisa_HS2"/>
      <sheetName val="Fill_this_out_first___4"/>
      <sheetName val="Fill_this_out_first___5"/>
      <sheetName val="RAW_MATERIALS_2"/>
      <sheetName val="COST-PERSON-J_O_2"/>
      <sheetName val="7_0_Crack_Check2"/>
      <sheetName val="축열조_기초2"/>
      <sheetName val="MEASURE_LIST2"/>
      <sheetName val="Don_gia2"/>
      <sheetName val="COST-EST_LTI_P5C2"/>
      <sheetName val="SLEIPNER_-_ORMEN_LANGE2"/>
      <sheetName val="전기_BM_revA('090624)_xls2"/>
      <sheetName val="定额_(06)2"/>
      <sheetName val="Q5434_EQ_LIST2"/>
      <sheetName val="motor_power2"/>
      <sheetName val="Data_12"/>
      <sheetName val="4-3LEVEL-5_epic_42"/>
      <sheetName val="Unit_Cost2"/>
      <sheetName val="4_단락전류2"/>
      <sheetName val="Coeff_2"/>
      <sheetName val="Exchange_rates2"/>
      <sheetName val="[fdn_bm_pro_xls]기계공사비집계(珆꭭/2"/>
      <sheetName val="Item_Dominan"/>
      <sheetName val="PCC_EAF"/>
      <sheetName val="PCC_LF"/>
      <sheetName val="4-Basic_Price"/>
      <sheetName val="_fdn_bm_pro_xls_기계공사비집계(珆꭭_"/>
      <sheetName val="BID_FORM"/>
      <sheetName val="Form_of_Bid"/>
      <sheetName val="INST_LIST"/>
      <sheetName val="MANPOWER_DIRECT_TRACKING"/>
      <sheetName val="Timescaled_Data"/>
      <sheetName val="Home_Office"/>
      <sheetName val="Code_02"/>
      <sheetName val="Code_03"/>
      <sheetName val="Code_04"/>
      <sheetName val="Code_05"/>
      <sheetName val="Code_06"/>
      <sheetName val="Code_07"/>
      <sheetName val="Code_09"/>
      <sheetName val="4300_UTILITY_BLDG_(2)"/>
      <sheetName val="Price_Breakdown(Building)"/>
      <sheetName val="2-SITE_"/>
      <sheetName val="eq_data_????"/>
      <sheetName val="자재집계_&amp;_총괄표"/>
      <sheetName val="Dati_base"/>
      <sheetName val="US_Inflation_Factors"/>
      <sheetName val="Cover_Page"/>
      <sheetName val="Finish_list"/>
      <sheetName val="Engrg_Est"/>
      <sheetName val="[fdn_bm_pro_xls]_fdn_bm_pro_x_2"/>
      <sheetName val="Unit__Price"/>
      <sheetName val="Div26_-_Elect"/>
      <sheetName val="eq_data__x1"/>
      <sheetName val="2_4_1_Elec_BOQ"/>
      <sheetName val="2_4_1_Inst_BOQ"/>
      <sheetName val="PTF_Report"/>
      <sheetName val="InsertListDrawing_1_"/>
      <sheetName val="BILL_Of_QUANTITIES"/>
      <sheetName val="fdn_bm_pro_xls기계공사비집계(珆꭭"/>
      <sheetName val="GASATAGG_XLS"/>
      <sheetName val="page_142"/>
      <sheetName val="가수금대체"/>
      <sheetName val="손익예상"/>
      <sheetName val="working"/>
      <sheetName val="배관내역"/>
      <sheetName val="공정현황"/>
      <sheetName val="PPJan'06"/>
      <sheetName val="PkRp"/>
      <sheetName val="Cost"/>
      <sheetName val="KEYS"/>
      <sheetName val="Eq. Mobilization"/>
      <sheetName val="COVER "/>
      <sheetName val="DTS schedule"/>
      <sheetName val="3.Procurement"/>
      <sheetName val="Data Pembukaan_1.1"/>
      <sheetName val="[fdn_bm_pro.xls]_fdn_bm_pro_x_3"/>
      <sheetName val="[fdn_bm_pro.xls]_fdn_bm_pro_x_4"/>
      <sheetName val="[fdn_bm_pro.xls]_fdn_bm_pro_x_5"/>
      <sheetName val="_fdn_bm_pro_xls_기계공사비집계(珆꭭_1"/>
      <sheetName val="eq_data ____"/>
      <sheetName val="_è"/>
      <sheetName val="_fdn_bm_pro.xls__fdn_bm_pro_x_2"/>
      <sheetName val="Pipe ID"/>
      <sheetName val="Step"/>
      <sheetName val="database"/>
      <sheetName val="5-Peralatan"/>
      <sheetName val="afis"/>
      <sheetName val="D&amp;W"/>
      <sheetName val="100"/>
      <sheetName val="104(1)a"/>
      <sheetName val="CT-35"/>
      <sheetName val="CT-0.4KV"/>
      <sheetName val="[fdn_bm_pro.xls]_fdn_bm_pro_x_6"/>
      <sheetName val="[fdn_bm_pro.xls]_fdn_bm_pro_x_7"/>
      <sheetName val="[fdn_bm_pro.xls]_fdn_bm_pro_x_8"/>
      <sheetName val="eq_data__x00"/>
      <sheetName val="listes"/>
      <sheetName val="Cutoff"/>
      <sheetName val="BEND_LOSS"/>
      <sheetName val="7_5_1(A)_Data9"/>
      <sheetName val="7_5_1(B)_BOQ_Breakdown9"/>
      <sheetName val="7_5_1(C)_Scope9"/>
      <sheetName val="7_5_1(D)_Basis9"/>
      <sheetName val="7_5_1(E)_Allowance9"/>
      <sheetName val="7_5_2_BOQ_Summary9"/>
      <sheetName val="7_5_3_BOQ9"/>
      <sheetName val="A__Erec_BOQ(Shop)9"/>
      <sheetName val="B__Erec_BOQ(Field)9"/>
      <sheetName val="C__Surface_Protection9"/>
      <sheetName val="A__Erec_BOQ(Shop)_(2)9"/>
      <sheetName val="B__Erec_BOQ(Field)_(2)9"/>
      <sheetName val="C__Surf_Protection9"/>
      <sheetName val="Attachment_#19"/>
      <sheetName val="Attachment_#29"/>
      <sheetName val="302_C19"/>
      <sheetName val="302_C29"/>
      <sheetName val="SUPPLY_(2)9"/>
      <sheetName val="RETURN_(2)9"/>
      <sheetName val="303_(2)9"/>
      <sheetName val="308_(2)9"/>
      <sheetName val="309_(2)9"/>
      <sheetName val="JUNCTION_BOX9"/>
      <sheetName val="PIPE_FITTING9"/>
      <sheetName val="TUBE_FITTING9"/>
      <sheetName val="CABLE_GLAND9"/>
      <sheetName val="CONS__EQUIP___9"/>
      <sheetName val="BLR_19"/>
      <sheetName val="REINF_9"/>
      <sheetName val="ITB_COST8"/>
      <sheetName val="97_사업추정(WEKI)8"/>
      <sheetName val="90EL_JACKET8"/>
      <sheetName val="보온_회사분8"/>
      <sheetName val="Cost_control8"/>
      <sheetName val="FIRE_FIGHTING8"/>
      <sheetName val="Tipo_Terzi7"/>
      <sheetName val="plan&amp;section_of_foundation7"/>
      <sheetName val="design_criteria7"/>
      <sheetName val="BM_DATA_SHEET7"/>
      <sheetName val="Mat_Stelo7"/>
      <sheetName val="Unit_SUM7"/>
      <sheetName val="1_설계기준6"/>
      <sheetName val="working_load_at_the_btm_ft_6"/>
      <sheetName val="stability_check6"/>
      <sheetName val="OUTER_AREA(겹침없음)6"/>
      <sheetName val="Material_Specification6"/>
      <sheetName val="special_item_양진규_작성6"/>
      <sheetName val="bill_26"/>
      <sheetName val="방유제용량_계산서6"/>
      <sheetName val="Break_Dw6"/>
      <sheetName val="표지_(2)6"/>
      <sheetName val="pile_bearing_capa_&amp;_arrenge6"/>
      <sheetName val="design_load6"/>
      <sheetName val="Fab__Skid6"/>
      <sheetName val="Sch_66"/>
      <sheetName val="INPUT_DATA6"/>
      <sheetName val="CAMP_OPERATING_COST6"/>
      <sheetName val="PERSONNEL_SETUP6"/>
      <sheetName val="LIST_OF_OFFICE_EQUIPMENT6"/>
      <sheetName val="STAFF&amp;INDIRECT_SALARY_-_SUMMAR6"/>
      <sheetName val="KOREAN_STAFF_SALARY_BREAKDOWN6"/>
      <sheetName val="WELFARE_COST_-_SITE6"/>
      <sheetName val="개시대사_(2)6"/>
      <sheetName val="입고장부_(4)6"/>
      <sheetName val="FEUILLE_INTERNE6"/>
      <sheetName val="COMPARISON_TABLE6"/>
      <sheetName val="L_V_Separator6"/>
      <sheetName val="CAMP_-_CONSTRUCTION6"/>
      <sheetName val="E_Rate_PM6"/>
      <sheetName val="Schedule_2_and_36"/>
      <sheetName val="CAL_6"/>
      <sheetName val="11_자재단가5"/>
      <sheetName val="1_OF_95"/>
      <sheetName val="Cover_sheet4"/>
      <sheetName val="BSD_(2)4"/>
      <sheetName val="TRAY_BM4"/>
      <sheetName val="Graph_(LGEN)4"/>
      <sheetName val="선적schedule_(2)4"/>
      <sheetName val="Summary_Sheets4"/>
      <sheetName val="품셈_4"/>
      <sheetName val="sc0314_Index4"/>
      <sheetName val="Resource_summary4"/>
      <sheetName val="배관물량_(STEEL)6"/>
      <sheetName val="Sheet_16"/>
      <sheetName val="w't_table4"/>
      <sheetName val="eq_data__x005f_x0000__x005f_x0000__x005f_x0000__4"/>
      <sheetName val="Struct-Grass_root4"/>
      <sheetName val="-15_04"/>
      <sheetName val="3_0_Overall_Progress_S-curve6"/>
      <sheetName val="3-4_SPI6"/>
      <sheetName val="General_Data6"/>
      <sheetName val="PRICE_COMP6"/>
      <sheetName val="A(Rev_3)6"/>
      <sheetName val="static_cal4"/>
      <sheetName val="crude_SLAB_RE-bar4"/>
      <sheetName val="7_6_3(B)_UG_Piping4"/>
      <sheetName val="PRICE_LIST4"/>
      <sheetName val="7_5_2_BOQ_Summary_4"/>
      <sheetName val="Rekap_A4"/>
      <sheetName val="paint_mat4"/>
      <sheetName val="VE_Estimate4"/>
      <sheetName val="TABLE2-2_OSBL-(SITE_PREP)4"/>
      <sheetName val="PAGE_24"/>
      <sheetName val="OFFER_RATE4"/>
      <sheetName val="Job_Data4"/>
      <sheetName val="Piping_Design_Data4"/>
      <sheetName val="Summary_20024"/>
      <sheetName val="ASME_B_36_10_M4"/>
      <sheetName val="Break_Down4"/>
      <sheetName val="Supervision_List4"/>
      <sheetName val="견적_집계4"/>
      <sheetName val="PULLING_SUPT등4"/>
      <sheetName val="Sheet1_(2)4"/>
      <sheetName val="PAGE_14"/>
      <sheetName val="_생산성_분석_체계_절차_xlsx4"/>
      <sheetName val="BQ_List4"/>
      <sheetName val="Page_104"/>
      <sheetName val="C급보_4"/>
      <sheetName val="Rectangular_Beam4"/>
      <sheetName val="간접비_총괄표4"/>
      <sheetName val="Eng_hour_DB4"/>
      <sheetName val="CRUDE_RE-bar4"/>
      <sheetName val="DUTCH_CONE4"/>
      <sheetName val="PAGE_3_GENERAL_DETAILS4"/>
      <sheetName val="적용_환율4"/>
      <sheetName val="GM_0004"/>
      <sheetName val="PRECAST_lightconc-II4"/>
      <sheetName val="Elect_(3)4"/>
      <sheetName val="Rev_No4"/>
      <sheetName val="COST_UP4"/>
      <sheetName val="PUMP_SHT4"/>
      <sheetName val="TENDER_PROG_4"/>
      <sheetName val="PROC_PROG4"/>
      <sheetName val="Block_D4"/>
      <sheetName val="2_Calculation_14"/>
      <sheetName val="Datasheet_GLL_double_weir_(1)4"/>
      <sheetName val="_4"/>
      <sheetName val="eq_data__x005f_x0000__x004"/>
      <sheetName val="33628-Rev__A4"/>
      <sheetName val="TYPE-B_평균H4"/>
      <sheetName val="6_공사비_내역_(가)4"/>
      <sheetName val="Sheet2_(2)4"/>
      <sheetName val="REF_ONLY3"/>
      <sheetName val="co-no_23"/>
      <sheetName val="Form_A_13"/>
      <sheetName val="Form_A_1_13"/>
      <sheetName val="BOM_Indirect3"/>
      <sheetName val="Form_A_1_II_23"/>
      <sheetName val="6_GSTG_PIPING3"/>
      <sheetName val="NONS__2,1893"/>
      <sheetName val="COMB_MNG&amp;STAFF_(ALL)__(2)3"/>
      <sheetName val="Reference_Table3"/>
      <sheetName val="CAL(1)_3"/>
      <sheetName val="member_design3"/>
      <sheetName val="soil_bearing_check3"/>
      <sheetName val="OCT_FDN3"/>
      <sheetName val="PRI_CIV3"/>
      <sheetName val="FOR_CIV3"/>
      <sheetName val="SUB_CIV3"/>
      <sheetName val="ANA_CIV3"/>
      <sheetName val="AUX_CIV3"/>
      <sheetName val="내역서_3"/>
      <sheetName val="hori__vessel(E-895)3"/>
      <sheetName val="2_33"/>
      <sheetName val="S_N3"/>
      <sheetName val="Loading_Table3"/>
      <sheetName val="SUMMARY_(0)4"/>
      <sheetName val="4_1구조설계3"/>
      <sheetName val="Pipelines_ASAB_I-II_Brownfield3"/>
      <sheetName val="MH_Estimation_Guide3"/>
      <sheetName val="공사비_내역_(가)3"/>
      <sheetName val="input_data-0909083"/>
      <sheetName val="HRG_BHN3"/>
      <sheetName val="Vent_Line_size3"/>
      <sheetName val="Expenses_per_Cost_Code_3"/>
      <sheetName val="Comp_Rate_3"/>
      <sheetName val="Analisa_HS3"/>
      <sheetName val="Section_1~4(1)3"/>
      <sheetName val="Section_1~4_3"/>
      <sheetName val="Section_53"/>
      <sheetName val="Section_5_23"/>
      <sheetName val="Section_5_33"/>
      <sheetName val="Section_63"/>
      <sheetName val="Section_6_23"/>
      <sheetName val="Attachment_13"/>
      <sheetName val="Attachmenet_23"/>
      <sheetName val="7_0_Crack_Check3"/>
      <sheetName val="축열조_기초3"/>
      <sheetName val="Fill_this_out_first___6"/>
      <sheetName val="Fill_this_out_first___7"/>
      <sheetName val="Forecast_Drivers3"/>
      <sheetName val="RAW_MATERIALS_3"/>
      <sheetName val="COST-PERSON-J_O_3"/>
      <sheetName val="MEASURE_LIST3"/>
      <sheetName val="Don_gia3"/>
      <sheetName val="COST-EST_LTI_P5C3"/>
      <sheetName val="SLEIPNER_-_ORMEN_LANGE3"/>
      <sheetName val="전기_BM_revA('090624)_xls3"/>
      <sheetName val="定额_(06)3"/>
      <sheetName val="Tie_Beam_GN1"/>
      <sheetName val="4_단락전류3"/>
      <sheetName val="Q5434_EQ_LIST3"/>
      <sheetName val="motor_power3"/>
      <sheetName val="Data_13"/>
      <sheetName val="4-3LEVEL-5_epic_43"/>
      <sheetName val="Unit_Cost3"/>
      <sheetName val="Coeff_3"/>
      <sheetName val="[fdn_bm_pro_xls]기계공사비집계(珆꭭/3"/>
      <sheetName val="96_121"/>
      <sheetName val="Exchange_rates3"/>
      <sheetName val="BID_FORM1"/>
      <sheetName val="Form_of_Bid1"/>
      <sheetName val="INST_LIST1"/>
      <sheetName val="Item_Dominan1"/>
      <sheetName val="Code_021"/>
      <sheetName val="Code_031"/>
      <sheetName val="Code_041"/>
      <sheetName val="Code_051"/>
      <sheetName val="Code_061"/>
      <sheetName val="Code_071"/>
      <sheetName val="Code_091"/>
      <sheetName val="4300_UTILITY_BLDG_(2)1"/>
      <sheetName val="Price_Breakdown(Building)1"/>
      <sheetName val="MANPOWER_DIRECT_TRACKING1"/>
      <sheetName val="Timescaled_Data1"/>
      <sheetName val="Home_Office1"/>
      <sheetName val="fdn_bm_pro_xls기계공사비집계(珆꭭1"/>
      <sheetName val="2-SITE_1"/>
      <sheetName val="eq_data_????1"/>
      <sheetName val="PCC_EAF1"/>
      <sheetName val="PCC_LF1"/>
      <sheetName val="4-Basic_Price1"/>
      <sheetName val="Finish_list1"/>
      <sheetName val="Dati_base1"/>
      <sheetName val="US_Inflation_Factors1"/>
      <sheetName val="Cover_Page1"/>
      <sheetName val="Unit__Price1"/>
      <sheetName val="자재집계_&amp;_총괄표1"/>
      <sheetName val="Engrg_Est1"/>
      <sheetName val="[fdn_bm_pro_xls]_fdn_bm_pro_x_1"/>
      <sheetName val="GASATAGG_XLS1"/>
      <sheetName val="BEND_LOSS1"/>
      <sheetName val="eq_data_2"/>
      <sheetName val="7_5_1(A)_Data10"/>
      <sheetName val="7_5_1(B)_BOQ_Breakdown10"/>
      <sheetName val="7_5_1(C)_Scope10"/>
      <sheetName val="7_5_1(D)_Basis10"/>
      <sheetName val="7_5_1(E)_Allowance10"/>
      <sheetName val="7_5_2_BOQ_Summary10"/>
      <sheetName val="7_5_3_BOQ10"/>
      <sheetName val="A__Erec_BOQ(Shop)10"/>
      <sheetName val="B__Erec_BOQ(Field)10"/>
      <sheetName val="C__Surface_Protection10"/>
      <sheetName val="A__Erec_BOQ(Shop)_(2)10"/>
      <sheetName val="B__Erec_BOQ(Field)_(2)10"/>
      <sheetName val="C__Surf_Protection10"/>
      <sheetName val="Attachment_#110"/>
      <sheetName val="Attachment_#210"/>
      <sheetName val="302_C110"/>
      <sheetName val="302_C210"/>
      <sheetName val="SUPPLY_(2)10"/>
      <sheetName val="RETURN_(2)10"/>
      <sheetName val="303_(2)10"/>
      <sheetName val="308_(2)10"/>
      <sheetName val="309_(2)10"/>
      <sheetName val="JUNCTION_BOX10"/>
      <sheetName val="PIPE_FITTING10"/>
      <sheetName val="TUBE_FITTING10"/>
      <sheetName val="CABLE_GLAND10"/>
      <sheetName val="CONS__EQUIP___10"/>
      <sheetName val="BLR_110"/>
      <sheetName val="REINF_10"/>
      <sheetName val="ITB_COST9"/>
      <sheetName val="97_사업추정(WEKI)9"/>
      <sheetName val="90EL_JACKET9"/>
      <sheetName val="보온_회사분9"/>
      <sheetName val="Cost_control9"/>
      <sheetName val="FIRE_FIGHTING9"/>
      <sheetName val="Tipo_Terzi8"/>
      <sheetName val="plan&amp;section_of_foundation8"/>
      <sheetName val="design_criteria8"/>
      <sheetName val="BM_DATA_SHEET8"/>
      <sheetName val="Mat_Stelo8"/>
      <sheetName val="Unit_SUM8"/>
      <sheetName val="1_설계기준7"/>
      <sheetName val="working_load_at_the_btm_ft_7"/>
      <sheetName val="stability_check7"/>
      <sheetName val="OUTER_AREA(겹침없음)7"/>
      <sheetName val="Material_Specification7"/>
      <sheetName val="special_item_양진규_작성7"/>
      <sheetName val="bill_27"/>
      <sheetName val="방유제용량_계산서7"/>
      <sheetName val="Break_Dw7"/>
      <sheetName val="표지_(2)7"/>
      <sheetName val="pile_bearing_capa_&amp;_arrenge7"/>
      <sheetName val="design_load7"/>
      <sheetName val="Fab__Skid7"/>
      <sheetName val="Sch_67"/>
      <sheetName val="INPUT_DATA7"/>
      <sheetName val="CAMP_OPERATING_COST7"/>
      <sheetName val="PERSONNEL_SETUP7"/>
      <sheetName val="LIST_OF_OFFICE_EQUIPMENT7"/>
      <sheetName val="STAFF&amp;INDIRECT_SALARY_-_SUMMAR7"/>
      <sheetName val="KOREAN_STAFF_SALARY_BREAKDOWN7"/>
      <sheetName val="WELFARE_COST_-_SITE7"/>
      <sheetName val="개시대사_(2)7"/>
      <sheetName val="입고장부_(4)7"/>
      <sheetName val="FEUILLE_INTERNE7"/>
      <sheetName val="COMPARISON_TABLE7"/>
      <sheetName val="L_V_Separator7"/>
      <sheetName val="CAMP_-_CONSTRUCTION7"/>
      <sheetName val="E_Rate_PM7"/>
      <sheetName val="Schedule_2_and_37"/>
      <sheetName val="CAL_7"/>
      <sheetName val="11_자재단가6"/>
      <sheetName val="1_OF_96"/>
      <sheetName val="Cover_sheet5"/>
      <sheetName val="BSD_(2)5"/>
      <sheetName val="TRAY_BM5"/>
      <sheetName val="Graph_(LGEN)5"/>
      <sheetName val="선적schedule_(2)5"/>
      <sheetName val="Summary_Sheets5"/>
      <sheetName val="품셈_5"/>
      <sheetName val="sc0314_Index5"/>
      <sheetName val="Resource_summary5"/>
      <sheetName val="배관물량_(STEEL)7"/>
      <sheetName val="Sheet_17"/>
      <sheetName val="w't_table5"/>
      <sheetName val="eq_data__x005f_x0000__x005f_x0000__x005f_x0000__5"/>
      <sheetName val="Struct-Grass_root5"/>
      <sheetName val="-15_05"/>
      <sheetName val="3_0_Overall_Progress_S-curve7"/>
      <sheetName val="3-4_SPI7"/>
      <sheetName val="General_Data7"/>
      <sheetName val="PRICE_COMP7"/>
      <sheetName val="A(Rev_3)7"/>
      <sheetName val="static_cal5"/>
      <sheetName val="crude_SLAB_RE-bar5"/>
      <sheetName val="7_6_3(B)_UG_Piping5"/>
      <sheetName val="PRICE_LIST5"/>
      <sheetName val="7_5_2_BOQ_Summary_5"/>
      <sheetName val="Rekap_A5"/>
      <sheetName val="paint_mat5"/>
      <sheetName val="VE_Estimate5"/>
      <sheetName val="TABLE2-2_OSBL-(SITE_PREP)5"/>
      <sheetName val="PAGE_25"/>
      <sheetName val="OFFER_RATE5"/>
      <sheetName val="Job_Data5"/>
      <sheetName val="Piping_Design_Data5"/>
      <sheetName val="Summary_20025"/>
      <sheetName val="ASME_B_36_10_M5"/>
      <sheetName val="Break_Down5"/>
      <sheetName val="Supervision_List5"/>
      <sheetName val="견적_집계5"/>
      <sheetName val="PULLING_SUPT등5"/>
      <sheetName val="Sheet1_(2)5"/>
      <sheetName val="PAGE_15"/>
      <sheetName val="_생산성_분석_체계_절차_xlsx5"/>
      <sheetName val="BQ_List5"/>
      <sheetName val="Page_105"/>
      <sheetName val="C급보_5"/>
      <sheetName val="Rectangular_Beam5"/>
      <sheetName val="간접비_총괄표5"/>
      <sheetName val="Eng_hour_DB5"/>
      <sheetName val="CRUDE_RE-bar5"/>
      <sheetName val="DUTCH_CONE5"/>
      <sheetName val="PAGE_3_GENERAL_DETAILS5"/>
      <sheetName val="적용_환율5"/>
      <sheetName val="GM_0005"/>
      <sheetName val="PRECAST_lightconc-II5"/>
      <sheetName val="Elect_(3)5"/>
      <sheetName val="Rev_No5"/>
      <sheetName val="COST_UP5"/>
      <sheetName val="PUMP_SHT5"/>
      <sheetName val="TENDER_PROG_5"/>
      <sheetName val="PROC_PROG5"/>
      <sheetName val="Block_D5"/>
      <sheetName val="2_Calculation_15"/>
      <sheetName val="Datasheet_GLL_double_weir_(1)5"/>
      <sheetName val="_5"/>
      <sheetName val="eq_data__x005f_x0000__x005"/>
      <sheetName val="33628-Rev__A5"/>
      <sheetName val="TYPE-B_평균H5"/>
      <sheetName val="6_공사비_내역_(가)5"/>
      <sheetName val="Sheet2_(2)5"/>
      <sheetName val="REF_ONLY4"/>
      <sheetName val="co-no_24"/>
      <sheetName val="Form_A_14"/>
      <sheetName val="Form_A_1_14"/>
      <sheetName val="BOM_Indirect4"/>
      <sheetName val="Form_A_1_II_24"/>
      <sheetName val="6_GSTG_PIPING4"/>
      <sheetName val="NONS__2,1894"/>
      <sheetName val="COMB_MNG&amp;STAFF_(ALL)__(2)4"/>
      <sheetName val="Reference_Table4"/>
      <sheetName val="CAL(1)_4"/>
      <sheetName val="member_design4"/>
      <sheetName val="soil_bearing_check4"/>
      <sheetName val="OCT_FDN4"/>
      <sheetName val="PRI_CIV4"/>
      <sheetName val="FOR_CIV4"/>
      <sheetName val="SUB_CIV4"/>
      <sheetName val="ANA_CIV4"/>
      <sheetName val="AUX_CIV4"/>
      <sheetName val="내역서_4"/>
      <sheetName val="hori__vessel(E-895)4"/>
      <sheetName val="2_34"/>
      <sheetName val="S_N4"/>
      <sheetName val="Loading_Table4"/>
      <sheetName val="SUMMARY_(0)5"/>
      <sheetName val="4_1구조설계4"/>
      <sheetName val="Pipelines_ASAB_I-II_Brownfield4"/>
      <sheetName val="MH_Estimation_Guide4"/>
      <sheetName val="공사비_내역_(가)4"/>
      <sheetName val="input_data-0909084"/>
      <sheetName val="HRG_BHN4"/>
      <sheetName val="Vent_Line_size4"/>
      <sheetName val="Expenses_per_Cost_Code_4"/>
      <sheetName val="Comp_Rate_4"/>
      <sheetName val="Analisa_HS4"/>
      <sheetName val="Section_1~4(1)4"/>
      <sheetName val="Section_1~4_4"/>
      <sheetName val="Section_54"/>
      <sheetName val="Section_5_24"/>
      <sheetName val="Section_5_34"/>
      <sheetName val="Section_64"/>
      <sheetName val="Section_6_24"/>
      <sheetName val="Attachment_14"/>
      <sheetName val="Attachmenet_24"/>
      <sheetName val="7_0_Crack_Check4"/>
      <sheetName val="축열조_기초4"/>
      <sheetName val="Fill_this_out_first___8"/>
      <sheetName val="Fill_this_out_first___9"/>
      <sheetName val="Forecast_Drivers4"/>
      <sheetName val="RAW_MATERIALS_4"/>
      <sheetName val="COST-PERSON-J_O_4"/>
      <sheetName val="MEASURE_LIST4"/>
      <sheetName val="Don_gia4"/>
      <sheetName val="COST-EST_LTI_P5C4"/>
      <sheetName val="SLEIPNER_-_ORMEN_LANGE4"/>
      <sheetName val="전기_BM_revA('090624)_xls4"/>
      <sheetName val="定额_(06)4"/>
      <sheetName val="Tie_Beam_GN2"/>
      <sheetName val="4_단락전류4"/>
      <sheetName val="system_&amp;_LOOK_UP_FUNC2"/>
      <sheetName val="Q5434_EQ_LIST4"/>
      <sheetName val="motor_power4"/>
      <sheetName val="Data_14"/>
      <sheetName val="4-3LEVEL-5_epic_44"/>
      <sheetName val="Unit_Cost4"/>
      <sheetName val="Coeff_4"/>
      <sheetName val="[fdn_bm_pro_xls]기계공사비집계(珆꭭/4"/>
      <sheetName val="96_122"/>
      <sheetName val="Exchange_rates4"/>
      <sheetName val="BID_FORM2"/>
      <sheetName val="Form_of_Bid2"/>
      <sheetName val="INST_LIST2"/>
      <sheetName val="Item_Dominan2"/>
      <sheetName val="Code_022"/>
      <sheetName val="Code_032"/>
      <sheetName val="Code_042"/>
      <sheetName val="Code_052"/>
      <sheetName val="Code_062"/>
      <sheetName val="Code_072"/>
      <sheetName val="Code_092"/>
      <sheetName val="4300_UTILITY_BLDG_(2)2"/>
      <sheetName val="Price_Breakdown(Building)2"/>
      <sheetName val="MANPOWER_DIRECT_TRACKING2"/>
      <sheetName val="Timescaled_Data2"/>
      <sheetName val="Home_Office2"/>
      <sheetName val="fdn_bm_pro_xls기계공사비집계(珆꭭2"/>
      <sheetName val="2-SITE_2"/>
      <sheetName val="eq_data_????2"/>
      <sheetName val="PCC_EAF2"/>
      <sheetName val="PCC_LF2"/>
      <sheetName val="4-Basic_Price2"/>
      <sheetName val="_fdn_bm_pro_xls_기계공사비집계(珆꭭_2"/>
      <sheetName val="Finish_list2"/>
      <sheetName val="Dati_base2"/>
      <sheetName val="US_Inflation_Factors2"/>
      <sheetName val="Cover_Page2"/>
      <sheetName val="Unit__Price2"/>
      <sheetName val="자재집계_&amp;_총괄표2"/>
      <sheetName val="Engrg_Est2"/>
      <sheetName val="[fdn_bm_pro_xls]_fdn_bm_pro_x_3"/>
      <sheetName val="GASATAGG_XLS2"/>
      <sheetName val="BEND_LOSS2"/>
      <sheetName val="eq_data_3"/>
      <sheetName val="7_5_1(A)_Data11"/>
      <sheetName val="7_5_1(B)_BOQ_Breakdown11"/>
      <sheetName val="7_5_1(C)_Scope11"/>
      <sheetName val="7_5_1(D)_Basis11"/>
      <sheetName val="7_5_1(E)_Allowance11"/>
      <sheetName val="7_5_2_BOQ_Summary11"/>
      <sheetName val="7_5_3_BOQ11"/>
      <sheetName val="A__Erec_BOQ(Shop)11"/>
      <sheetName val="B__Erec_BOQ(Field)11"/>
      <sheetName val="C__Surface_Protection11"/>
      <sheetName val="A__Erec_BOQ(Shop)_(2)11"/>
      <sheetName val="B__Erec_BOQ(Field)_(2)11"/>
      <sheetName val="C__Surf_Protection11"/>
      <sheetName val="Attachment_#111"/>
      <sheetName val="Attachment_#211"/>
      <sheetName val="302_C111"/>
      <sheetName val="302_C211"/>
      <sheetName val="SUPPLY_(2)11"/>
      <sheetName val="RETURN_(2)11"/>
      <sheetName val="303_(2)11"/>
      <sheetName val="308_(2)11"/>
      <sheetName val="309_(2)11"/>
      <sheetName val="JUNCTION_BOX11"/>
      <sheetName val="PIPE_FITTING11"/>
      <sheetName val="TUBE_FITTING11"/>
      <sheetName val="CABLE_GLAND11"/>
      <sheetName val="CONS__EQUIP___11"/>
      <sheetName val="BLR_111"/>
      <sheetName val="REINF_11"/>
      <sheetName val="ITB_COST10"/>
      <sheetName val="97_사업추정(WEKI)10"/>
      <sheetName val="90EL_JACKET10"/>
      <sheetName val="보온_회사분10"/>
      <sheetName val="Cost_control10"/>
      <sheetName val="FIRE_FIGHTING10"/>
      <sheetName val="Tipo_Terzi9"/>
      <sheetName val="plan&amp;section_of_foundation9"/>
      <sheetName val="design_criteria9"/>
      <sheetName val="BM_DATA_SHEET9"/>
      <sheetName val="Mat_Stelo9"/>
      <sheetName val="Unit_SUM9"/>
      <sheetName val="1_설계기준8"/>
      <sheetName val="working_load_at_the_btm_ft_8"/>
      <sheetName val="stability_check8"/>
      <sheetName val="OUTER_AREA(겹침없음)8"/>
      <sheetName val="Material_Specification8"/>
      <sheetName val="special_item_양진규_작성8"/>
      <sheetName val="bill_28"/>
      <sheetName val="방유제용량_계산서8"/>
      <sheetName val="Break_Dw8"/>
      <sheetName val="표지_(2)8"/>
      <sheetName val="pile_bearing_capa_&amp;_arrenge8"/>
      <sheetName val="design_load8"/>
      <sheetName val="Fab__Skid8"/>
      <sheetName val="Sch_68"/>
      <sheetName val="INPUT_DATA8"/>
      <sheetName val="CAMP_OPERATING_COST8"/>
      <sheetName val="PERSONNEL_SETUP8"/>
      <sheetName val="LIST_OF_OFFICE_EQUIPMENT8"/>
      <sheetName val="STAFF&amp;INDIRECT_SALARY_-_SUMMAR8"/>
      <sheetName val="KOREAN_STAFF_SALARY_BREAKDOWN8"/>
      <sheetName val="WELFARE_COST_-_SITE8"/>
      <sheetName val="개시대사_(2)8"/>
      <sheetName val="입고장부_(4)8"/>
      <sheetName val="FEUILLE_INTERNE8"/>
      <sheetName val="COMPARISON_TABLE8"/>
      <sheetName val="L_V_Separator8"/>
      <sheetName val="CAMP_-_CONSTRUCTION8"/>
      <sheetName val="E_Rate_PM8"/>
      <sheetName val="Schedule_2_and_38"/>
      <sheetName val="CAL_8"/>
      <sheetName val="11_자재단가7"/>
      <sheetName val="1_OF_97"/>
      <sheetName val="Cover_sheet6"/>
      <sheetName val="BSD_(2)6"/>
      <sheetName val="TRAY_BM6"/>
      <sheetName val="Graph_(LGEN)6"/>
      <sheetName val="선적schedule_(2)6"/>
      <sheetName val="Summary_Sheets6"/>
      <sheetName val="품셈_6"/>
      <sheetName val="sc0314_Index6"/>
      <sheetName val="Resource_summary6"/>
      <sheetName val="배관물량_(STEEL)8"/>
      <sheetName val="Sheet_18"/>
      <sheetName val="w't_table6"/>
      <sheetName val="eq_data__x005f_x0000__x005f_x0000__x005f_x0000__6"/>
      <sheetName val="Struct-Grass_root6"/>
      <sheetName val="-15_06"/>
      <sheetName val="3_0_Overall_Progress_S-curve8"/>
      <sheetName val="3-4_SPI8"/>
      <sheetName val="General_Data8"/>
      <sheetName val="PRICE_COMP8"/>
      <sheetName val="A(Rev_3)8"/>
      <sheetName val="static_cal6"/>
      <sheetName val="crude_SLAB_RE-bar6"/>
      <sheetName val="7_6_3(B)_UG_Piping6"/>
      <sheetName val="PRICE_LIST6"/>
      <sheetName val="7_5_2_BOQ_Summary_6"/>
      <sheetName val="Rekap_A6"/>
      <sheetName val="paint_mat6"/>
      <sheetName val="VE_Estimate6"/>
      <sheetName val="TABLE2-2_OSBL-(SITE_PREP)6"/>
      <sheetName val="PAGE_26"/>
      <sheetName val="OFFER_RATE6"/>
      <sheetName val="Job_Data6"/>
      <sheetName val="Piping_Design_Data6"/>
      <sheetName val="Summary_20026"/>
      <sheetName val="ASME_B_36_10_M6"/>
      <sheetName val="Break_Down6"/>
      <sheetName val="Supervision_List6"/>
      <sheetName val="견적_집계6"/>
      <sheetName val="PULLING_SUPT등6"/>
      <sheetName val="Sheet1_(2)6"/>
      <sheetName val="PAGE_16"/>
      <sheetName val="_생산성_분석_체계_절차_xlsx6"/>
      <sheetName val="BQ_List6"/>
      <sheetName val="Page_106"/>
      <sheetName val="C급보_6"/>
      <sheetName val="Rectangular_Beam6"/>
      <sheetName val="간접비_총괄표6"/>
      <sheetName val="Eng_hour_DB6"/>
      <sheetName val="CRUDE_RE-bar6"/>
      <sheetName val="DUTCH_CONE6"/>
      <sheetName val="PAGE_3_GENERAL_DETAILS6"/>
      <sheetName val="적용_환율6"/>
      <sheetName val="GM_0006"/>
      <sheetName val="PRECAST_lightconc-II6"/>
      <sheetName val="Elect_(3)6"/>
      <sheetName val="Rev_No6"/>
      <sheetName val="COST_UP6"/>
      <sheetName val="PUMP_SHT6"/>
      <sheetName val="TENDER_PROG_6"/>
      <sheetName val="PROC_PROG6"/>
      <sheetName val="Block_D6"/>
      <sheetName val="2_Calculation_16"/>
      <sheetName val="Datasheet_GLL_double_weir_(1)6"/>
      <sheetName val="_6"/>
      <sheetName val="eq_data__x005f_x0000__x006"/>
      <sheetName val="33628-Rev__A6"/>
      <sheetName val="TYPE-B_평균H6"/>
      <sheetName val="6_공사비_내역_(가)6"/>
      <sheetName val="Sheet2_(2)6"/>
      <sheetName val="REF_ONLY5"/>
      <sheetName val="co-no_25"/>
      <sheetName val="Form_A_15"/>
      <sheetName val="Form_A_1_15"/>
      <sheetName val="BOM_Indirect5"/>
      <sheetName val="Form_A_1_II_25"/>
      <sheetName val="6_GSTG_PIPING5"/>
      <sheetName val="NONS__2,1895"/>
      <sheetName val="COMB_MNG&amp;STAFF_(ALL)__(2)5"/>
      <sheetName val="Reference_Table5"/>
      <sheetName val="CAL(1)_5"/>
      <sheetName val="member_design5"/>
      <sheetName val="soil_bearing_check5"/>
      <sheetName val="OCT_FDN5"/>
      <sheetName val="PRI_CIV5"/>
      <sheetName val="FOR_CIV5"/>
      <sheetName val="SUB_CIV5"/>
      <sheetName val="ANA_CIV5"/>
      <sheetName val="AUX_CIV5"/>
      <sheetName val="내역서_5"/>
      <sheetName val="hori__vessel(E-895)5"/>
      <sheetName val="2_35"/>
      <sheetName val="S_N5"/>
      <sheetName val="Loading_Table5"/>
      <sheetName val="SUMMARY_(0)6"/>
      <sheetName val="4_1구조설계5"/>
      <sheetName val="Pipelines_ASAB_I-II_Brownfield5"/>
      <sheetName val="MH_Estimation_Guide5"/>
      <sheetName val="공사비_내역_(가)5"/>
      <sheetName val="input_data-0909085"/>
      <sheetName val="HRG_BHN5"/>
      <sheetName val="Vent_Line_size5"/>
      <sheetName val="Expenses_per_Cost_Code_5"/>
      <sheetName val="Comp_Rate_5"/>
      <sheetName val="Analisa_HS5"/>
      <sheetName val="Section_1~4(1)5"/>
      <sheetName val="Section_1~4_5"/>
      <sheetName val="Section_55"/>
      <sheetName val="Section_5_25"/>
      <sheetName val="Section_5_35"/>
      <sheetName val="Section_65"/>
      <sheetName val="Section_6_25"/>
      <sheetName val="Attachment_15"/>
      <sheetName val="Attachmenet_25"/>
      <sheetName val="7_0_Crack_Check5"/>
      <sheetName val="축열조_기초5"/>
      <sheetName val="Fill_this_out_first___10"/>
      <sheetName val="Fill_this_out_first___11"/>
      <sheetName val="Forecast_Drivers5"/>
      <sheetName val="RAW_MATERIALS_5"/>
      <sheetName val="COST-PERSON-J_O_5"/>
      <sheetName val="MEASURE_LIST5"/>
      <sheetName val="Don_gia5"/>
      <sheetName val="COST-EST_LTI_P5C5"/>
      <sheetName val="SLEIPNER_-_ORMEN_LANGE5"/>
      <sheetName val="전기_BM_revA('090624)_xls5"/>
      <sheetName val="定额_(06)5"/>
      <sheetName val="Tie_Beam_GN3"/>
      <sheetName val="4_단락전류5"/>
      <sheetName val="system_&amp;_LOOK_UP_FUNC3"/>
      <sheetName val="Q5434_EQ_LIST5"/>
      <sheetName val="motor_power5"/>
      <sheetName val="Data_15"/>
      <sheetName val="4-3LEVEL-5_epic_45"/>
      <sheetName val="Unit_Cost5"/>
      <sheetName val="Coeff_5"/>
      <sheetName val="[fdn_bm_pro_xls]기계공사비집계(珆꭭/5"/>
      <sheetName val="96_123"/>
      <sheetName val="Exchange_rates5"/>
      <sheetName val="BID_FORM3"/>
      <sheetName val="Form_of_Bid3"/>
      <sheetName val="INST_LIST3"/>
      <sheetName val="Item_Dominan3"/>
      <sheetName val="Code_023"/>
      <sheetName val="Code_033"/>
      <sheetName val="Code_043"/>
      <sheetName val="Code_053"/>
      <sheetName val="Code_063"/>
      <sheetName val="Code_073"/>
      <sheetName val="Code_093"/>
      <sheetName val="4300_UTILITY_BLDG_(2)3"/>
      <sheetName val="Price_Breakdown(Building)3"/>
      <sheetName val="MANPOWER_DIRECT_TRACKING3"/>
      <sheetName val="Timescaled_Data3"/>
      <sheetName val="Home_Office3"/>
      <sheetName val="fdn_bm_pro_xls기계공사비집계(珆꭭3"/>
      <sheetName val="2-SITE_3"/>
      <sheetName val="eq_data_????3"/>
      <sheetName val="PCC_EAF3"/>
      <sheetName val="PCC_LF3"/>
      <sheetName val="4-Basic_Price3"/>
      <sheetName val="_fdn_bm_pro_xls_기계공사비집계(珆꭭_3"/>
      <sheetName val="Finish_list3"/>
      <sheetName val="Dati_base3"/>
      <sheetName val="US_Inflation_Factors3"/>
      <sheetName val="Cover_Page3"/>
      <sheetName val="Unit__Price3"/>
      <sheetName val="자재집계_&amp;_총괄표3"/>
      <sheetName val="Engrg_Est3"/>
      <sheetName val="[fdn_bm_pro_xls]_fdn_bm_pro_x_4"/>
      <sheetName val="GASATAGG_XLS3"/>
      <sheetName val="BEND_LOSS3"/>
      <sheetName val="eq_data_4"/>
      <sheetName val="7_5_1(A)_Data12"/>
      <sheetName val="7_5_1(B)_BOQ_Breakdown12"/>
      <sheetName val="7_5_1(C)_Scope12"/>
      <sheetName val="7_5_1(D)_Basis12"/>
      <sheetName val="7_5_1(E)_Allowance12"/>
      <sheetName val="7_5_2_BOQ_Summary12"/>
      <sheetName val="7_5_3_BOQ12"/>
      <sheetName val="A__Erec_BOQ(Shop)12"/>
      <sheetName val="B__Erec_BOQ(Field)12"/>
      <sheetName val="C__Surface_Protection12"/>
      <sheetName val="A__Erec_BOQ(Shop)_(2)12"/>
      <sheetName val="B__Erec_BOQ(Field)_(2)12"/>
      <sheetName val="C__Surf_Protection12"/>
      <sheetName val="Attachment_#112"/>
      <sheetName val="Attachment_#212"/>
      <sheetName val="302_C112"/>
      <sheetName val="302_C212"/>
      <sheetName val="SUPPLY_(2)12"/>
      <sheetName val="RETURN_(2)12"/>
      <sheetName val="303_(2)12"/>
      <sheetName val="308_(2)12"/>
      <sheetName val="309_(2)12"/>
      <sheetName val="JUNCTION_BOX12"/>
      <sheetName val="PIPE_FITTING12"/>
      <sheetName val="TUBE_FITTING12"/>
      <sheetName val="CABLE_GLAND12"/>
      <sheetName val="CONS__EQUIP___12"/>
      <sheetName val="BLR_112"/>
      <sheetName val="REINF_12"/>
      <sheetName val="ITB_COST11"/>
      <sheetName val="97_사업추정(WEKI)11"/>
      <sheetName val="90EL_JACKET11"/>
      <sheetName val="보온_회사분11"/>
      <sheetName val="Cost_control11"/>
      <sheetName val="FIRE_FIGHTING11"/>
      <sheetName val="Tipo_Terzi10"/>
      <sheetName val="plan&amp;section_of_foundation10"/>
      <sheetName val="design_criteria10"/>
      <sheetName val="BM_DATA_SHEET10"/>
      <sheetName val="Mat_Stelo10"/>
      <sheetName val="Unit_SUM10"/>
      <sheetName val="1_설계기준9"/>
      <sheetName val="working_load_at_the_btm_ft_9"/>
      <sheetName val="stability_check9"/>
      <sheetName val="OUTER_AREA(겹침없음)9"/>
      <sheetName val="Material_Specification9"/>
      <sheetName val="special_item_양진규_작성9"/>
      <sheetName val="bill_29"/>
      <sheetName val="방유제용량_계산서9"/>
      <sheetName val="Break_Dw9"/>
      <sheetName val="표지_(2)9"/>
      <sheetName val="pile_bearing_capa_&amp;_arrenge9"/>
      <sheetName val="design_load9"/>
      <sheetName val="Fab__Skid9"/>
      <sheetName val="Sch_69"/>
      <sheetName val="INPUT_DATA9"/>
      <sheetName val="CAMP_OPERATING_COST9"/>
      <sheetName val="PERSONNEL_SETUP9"/>
      <sheetName val="LIST_OF_OFFICE_EQUIPMENT9"/>
      <sheetName val="STAFF&amp;INDIRECT_SALARY_-_SUMMAR9"/>
      <sheetName val="KOREAN_STAFF_SALARY_BREAKDOWN9"/>
      <sheetName val="WELFARE_COST_-_SITE9"/>
      <sheetName val="개시대사_(2)9"/>
      <sheetName val="입고장부_(4)9"/>
      <sheetName val="FEUILLE_INTERNE9"/>
      <sheetName val="COMPARISON_TABLE9"/>
      <sheetName val="L_V_Separator9"/>
      <sheetName val="CAMP_-_CONSTRUCTION9"/>
      <sheetName val="E_Rate_PM9"/>
      <sheetName val="Schedule_2_and_39"/>
      <sheetName val="CAL_9"/>
      <sheetName val="11_자재단가8"/>
      <sheetName val="1_OF_98"/>
      <sheetName val="Cover_sheet7"/>
      <sheetName val="BSD_(2)7"/>
      <sheetName val="TRAY_BM7"/>
      <sheetName val="Graph_(LGEN)7"/>
      <sheetName val="선적schedule_(2)7"/>
      <sheetName val="Summary_Sheets7"/>
      <sheetName val="품셈_7"/>
      <sheetName val="sc0314_Index7"/>
      <sheetName val="Resource_summary7"/>
      <sheetName val="배관물량_(STEEL)9"/>
      <sheetName val="Sheet_19"/>
      <sheetName val="w't_table7"/>
      <sheetName val="eq_data__x005f_x0000__x005f_x0000__x005f_x0000__7"/>
      <sheetName val="Struct-Grass_root7"/>
      <sheetName val="-15_07"/>
      <sheetName val="3_0_Overall_Progress_S-curve9"/>
      <sheetName val="3-4_SPI9"/>
      <sheetName val="General_Data9"/>
      <sheetName val="PRICE_COMP9"/>
      <sheetName val="A(Rev_3)9"/>
      <sheetName val="static_cal7"/>
      <sheetName val="crude_SLAB_RE-bar7"/>
      <sheetName val="7_6_3(B)_UG_Piping7"/>
      <sheetName val="PRICE_LIST7"/>
      <sheetName val="7_5_2_BOQ_Summary_7"/>
      <sheetName val="Rekap_A7"/>
      <sheetName val="paint_mat7"/>
      <sheetName val="VE_Estimate7"/>
      <sheetName val="TABLE2-2_OSBL-(SITE_PREP)7"/>
      <sheetName val="PAGE_27"/>
      <sheetName val="OFFER_RATE7"/>
      <sheetName val="Job_Data7"/>
      <sheetName val="Piping_Design_Data7"/>
      <sheetName val="Summary_20027"/>
      <sheetName val="ASME_B_36_10_M7"/>
      <sheetName val="Break_Down7"/>
      <sheetName val="Supervision_List7"/>
      <sheetName val="견적_집계7"/>
      <sheetName val="PULLING_SUPT등7"/>
      <sheetName val="Sheet1_(2)7"/>
      <sheetName val="PAGE_17"/>
      <sheetName val="_생산성_분석_체계_절차_xlsx7"/>
      <sheetName val="BQ_List7"/>
      <sheetName val="Page_107"/>
      <sheetName val="C급보_7"/>
      <sheetName val="Rectangular_Beam7"/>
      <sheetName val="간접비_총괄표7"/>
      <sheetName val="Eng_hour_DB7"/>
      <sheetName val="CRUDE_RE-bar7"/>
      <sheetName val="DUTCH_CONE7"/>
      <sheetName val="PAGE_3_GENERAL_DETAILS7"/>
      <sheetName val="적용_환율7"/>
      <sheetName val="GM_0007"/>
      <sheetName val="PRECAST_lightconc-II7"/>
      <sheetName val="Elect_(3)7"/>
      <sheetName val="Rev_No7"/>
      <sheetName val="COST_UP7"/>
      <sheetName val="PUMP_SHT7"/>
      <sheetName val="TENDER_PROG_7"/>
      <sheetName val="PROC_PROG7"/>
      <sheetName val="Block_D7"/>
      <sheetName val="2_Calculation_17"/>
      <sheetName val="Datasheet_GLL_double_weir_(1)7"/>
      <sheetName val="_7"/>
      <sheetName val="eq_data__x005f_x0000__x007"/>
      <sheetName val="33628-Rev__A7"/>
      <sheetName val="TYPE-B_평균H7"/>
      <sheetName val="6_공사비_내역_(가)7"/>
      <sheetName val="Sheet2_(2)7"/>
      <sheetName val="REF_ONLY6"/>
      <sheetName val="co-no_26"/>
      <sheetName val="Form_A_16"/>
      <sheetName val="Form_A_1_16"/>
      <sheetName val="BOM_Indirect6"/>
      <sheetName val="Form_A_1_II_26"/>
      <sheetName val="6_GSTG_PIPING6"/>
      <sheetName val="NONS__2,1896"/>
      <sheetName val="COMB_MNG&amp;STAFF_(ALL)__(2)6"/>
      <sheetName val="Reference_Table6"/>
      <sheetName val="CAL(1)_6"/>
      <sheetName val="member_design6"/>
      <sheetName val="soil_bearing_check6"/>
      <sheetName val="OCT_FDN6"/>
      <sheetName val="PRI_CIV6"/>
      <sheetName val="FOR_CIV6"/>
      <sheetName val="SUB_CIV6"/>
      <sheetName val="ANA_CIV6"/>
      <sheetName val="AUX_CIV6"/>
      <sheetName val="내역서_6"/>
      <sheetName val="hori__vessel(E-895)6"/>
      <sheetName val="2_36"/>
      <sheetName val="S_N6"/>
      <sheetName val="Loading_Table6"/>
      <sheetName val="SUMMARY_(0)7"/>
      <sheetName val="4_1구조설계6"/>
      <sheetName val="Pipelines_ASAB_I-II_Brownfield6"/>
      <sheetName val="MH_Estimation_Guide6"/>
      <sheetName val="공사비_내역_(가)6"/>
      <sheetName val="input_data-0909086"/>
      <sheetName val="HRG_BHN6"/>
      <sheetName val="Vent_Line_size6"/>
      <sheetName val="Expenses_per_Cost_Code_6"/>
      <sheetName val="Comp_Rate_6"/>
      <sheetName val="Analisa_HS6"/>
      <sheetName val="Section_1~4(1)6"/>
      <sheetName val="Section_1~4_6"/>
      <sheetName val="Section_56"/>
      <sheetName val="Section_5_26"/>
      <sheetName val="Section_5_36"/>
      <sheetName val="Section_66"/>
      <sheetName val="Section_6_26"/>
      <sheetName val="Attachment_16"/>
      <sheetName val="Attachmenet_26"/>
      <sheetName val="7_0_Crack_Check6"/>
      <sheetName val="축열조_기초6"/>
      <sheetName val="Fill_this_out_first___12"/>
      <sheetName val="Fill_this_out_first___13"/>
      <sheetName val="Forecast_Drivers6"/>
      <sheetName val="RAW_MATERIALS_6"/>
      <sheetName val="COST-PERSON-J_O_6"/>
      <sheetName val="MEASURE_LIST6"/>
      <sheetName val="Don_gia6"/>
      <sheetName val="COST-EST_LTI_P5C6"/>
      <sheetName val="SLEIPNER_-_ORMEN_LANGE6"/>
      <sheetName val="전기_BM_revA('090624)_xls6"/>
      <sheetName val="定额_(06)6"/>
      <sheetName val="Tie_Beam_GN4"/>
      <sheetName val="4_단락전류6"/>
      <sheetName val="system_&amp;_LOOK_UP_FUNC4"/>
      <sheetName val="Q5434_EQ_LIST6"/>
      <sheetName val="motor_power6"/>
      <sheetName val="Data_16"/>
      <sheetName val="4-3LEVEL-5_epic_46"/>
      <sheetName val="Unit_Cost6"/>
      <sheetName val="Coeff_6"/>
      <sheetName val="[fdn_bm_pro_xls]기계공사비집계(珆꭭/6"/>
      <sheetName val="96_124"/>
      <sheetName val="Exchange_rates6"/>
      <sheetName val="BID_FORM4"/>
      <sheetName val="Form_of_Bid4"/>
      <sheetName val="INST_LIST4"/>
      <sheetName val="Item_Dominan4"/>
      <sheetName val="Code_024"/>
      <sheetName val="Code_034"/>
      <sheetName val="Code_044"/>
      <sheetName val="Code_054"/>
      <sheetName val="Code_064"/>
      <sheetName val="Code_074"/>
      <sheetName val="Code_094"/>
      <sheetName val="4300_UTILITY_BLDG_(2)4"/>
      <sheetName val="Price_Breakdown(Building)4"/>
      <sheetName val="MANPOWER_DIRECT_TRACKING4"/>
      <sheetName val="Timescaled_Data4"/>
      <sheetName val="Home_Office4"/>
      <sheetName val="fdn_bm_pro_xls기계공사비집계(珆꭭4"/>
      <sheetName val="2-SITE_4"/>
      <sheetName val="eq_data_????4"/>
      <sheetName val="PCC_EAF4"/>
      <sheetName val="PCC_LF4"/>
      <sheetName val="4-Basic_Price4"/>
      <sheetName val="_fdn_bm_pro_xls_기계공사비집계(珆꭭_4"/>
      <sheetName val="Finish_list4"/>
      <sheetName val="Dati_base4"/>
      <sheetName val="US_Inflation_Factors4"/>
      <sheetName val="Cover_Page4"/>
      <sheetName val="Unit__Price4"/>
      <sheetName val="자재집계_&amp;_총괄표4"/>
      <sheetName val="Engrg_Est4"/>
      <sheetName val="[fdn_bm_pro_xls]_fdn_bm_pro_x_5"/>
      <sheetName val="GASATAGG_XLS4"/>
      <sheetName val="BEND_LOSS4"/>
      <sheetName val="eq_data_5"/>
      <sheetName val="7_5_1(A)_Data13"/>
      <sheetName val="7_5_1(B)_BOQ_Breakdown13"/>
      <sheetName val="7_5_1(C)_Scope13"/>
      <sheetName val="7_5_1(D)_Basis13"/>
      <sheetName val="7_5_1(E)_Allowance13"/>
      <sheetName val="7_5_2_BOQ_Summary13"/>
      <sheetName val="7_5_3_BOQ13"/>
      <sheetName val="A__Erec_BOQ(Shop)13"/>
      <sheetName val="B__Erec_BOQ(Field)13"/>
      <sheetName val="C__Surface_Protection13"/>
      <sheetName val="A__Erec_BOQ(Shop)_(2)13"/>
      <sheetName val="B__Erec_BOQ(Field)_(2)13"/>
      <sheetName val="C__Surf_Protection13"/>
      <sheetName val="Attachment_#113"/>
      <sheetName val="Attachment_#213"/>
      <sheetName val="302_C113"/>
      <sheetName val="302_C213"/>
      <sheetName val="SUPPLY_(2)13"/>
      <sheetName val="RETURN_(2)13"/>
      <sheetName val="303_(2)13"/>
      <sheetName val="308_(2)13"/>
      <sheetName val="309_(2)13"/>
      <sheetName val="JUNCTION_BOX13"/>
      <sheetName val="PIPE_FITTING13"/>
      <sheetName val="TUBE_FITTING13"/>
      <sheetName val="CABLE_GLAND13"/>
      <sheetName val="CONS__EQUIP___13"/>
      <sheetName val="BLR_113"/>
      <sheetName val="REINF_13"/>
      <sheetName val="ITB_COST12"/>
      <sheetName val="97_사업추정(WEKI)12"/>
      <sheetName val="90EL_JACKET12"/>
      <sheetName val="보온_회사분12"/>
      <sheetName val="Cost_control12"/>
      <sheetName val="FIRE_FIGHTING12"/>
      <sheetName val="Tipo_Terzi11"/>
      <sheetName val="plan&amp;section_of_foundation11"/>
      <sheetName val="design_criteria11"/>
      <sheetName val="BM_DATA_SHEET11"/>
      <sheetName val="Mat_Stelo11"/>
      <sheetName val="Unit_SUM11"/>
      <sheetName val="1_설계기준10"/>
      <sheetName val="working_load_at_the_btm_ft_10"/>
      <sheetName val="stability_check10"/>
      <sheetName val="OUTER_AREA(겹침없음)10"/>
      <sheetName val="Material_Specification10"/>
      <sheetName val="special_item_양진규_작성10"/>
      <sheetName val="bill_210"/>
      <sheetName val="방유제용량_계산서10"/>
      <sheetName val="Break_Dw10"/>
      <sheetName val="표지_(2)10"/>
      <sheetName val="pile_bearing_capa_&amp;_arrenge10"/>
      <sheetName val="design_load10"/>
      <sheetName val="Fab__Skid10"/>
      <sheetName val="Sch_610"/>
      <sheetName val="INPUT_DATA10"/>
      <sheetName val="CAMP_OPERATING_COST10"/>
      <sheetName val="PERSONNEL_SETUP10"/>
      <sheetName val="LIST_OF_OFFICE_EQUIPMENT10"/>
      <sheetName val="STAFF&amp;INDIRECT_SALARY_-_SUMMA10"/>
      <sheetName val="KOREAN_STAFF_SALARY_BREAKDOWN10"/>
      <sheetName val="WELFARE_COST_-_SITE10"/>
      <sheetName val="개시대사_(2)10"/>
      <sheetName val="입고장부_(4)10"/>
      <sheetName val="FEUILLE_INTERNE10"/>
      <sheetName val="COMPARISON_TABLE10"/>
      <sheetName val="L_V_Separator10"/>
      <sheetName val="CAMP_-_CONSTRUCTION10"/>
      <sheetName val="E_Rate_PM10"/>
      <sheetName val="Schedule_2_and_310"/>
      <sheetName val="CAL_10"/>
      <sheetName val="11_자재단가9"/>
      <sheetName val="1_OF_99"/>
      <sheetName val="Cover_sheet8"/>
      <sheetName val="BSD_(2)8"/>
      <sheetName val="TRAY_BM8"/>
      <sheetName val="Graph_(LGEN)8"/>
      <sheetName val="선적schedule_(2)8"/>
      <sheetName val="Summary_Sheets8"/>
      <sheetName val="품셈_8"/>
      <sheetName val="sc0314_Index8"/>
      <sheetName val="Resource_summary8"/>
      <sheetName val="배관물량_(STEEL)10"/>
      <sheetName val="Sheet_110"/>
      <sheetName val="w't_table8"/>
      <sheetName val="eq_data__x005f_x0000__x005f_x0000__x005f_x0000__8"/>
      <sheetName val="Struct-Grass_root8"/>
      <sheetName val="-15_08"/>
      <sheetName val="3_0_Overall_Progress_S-curve10"/>
      <sheetName val="3-4_SPI10"/>
      <sheetName val="General_Data10"/>
      <sheetName val="PRICE_COMP10"/>
      <sheetName val="A(Rev_3)10"/>
      <sheetName val="static_cal8"/>
      <sheetName val="crude_SLAB_RE-bar8"/>
      <sheetName val="7_6_3(B)_UG_Piping8"/>
      <sheetName val="PRICE_LIST8"/>
      <sheetName val="7_5_2_BOQ_Summary_8"/>
      <sheetName val="Rekap_A8"/>
      <sheetName val="paint_mat8"/>
      <sheetName val="VE_Estimate8"/>
      <sheetName val="TABLE2-2_OSBL-(SITE_PREP)8"/>
      <sheetName val="PAGE_28"/>
      <sheetName val="OFFER_RATE8"/>
      <sheetName val="Job_Data8"/>
      <sheetName val="Piping_Design_Data8"/>
      <sheetName val="Summary_20028"/>
      <sheetName val="ASME_B_36_10_M8"/>
      <sheetName val="Break_Down8"/>
      <sheetName val="Supervision_List8"/>
      <sheetName val="견적_집계8"/>
      <sheetName val="PULLING_SUPT등8"/>
      <sheetName val="Sheet1_(2)8"/>
      <sheetName val="PAGE_18"/>
      <sheetName val="_생산성_분석_체계_절차_xlsx8"/>
      <sheetName val="BQ_List8"/>
      <sheetName val="Page_108"/>
      <sheetName val="C급보_8"/>
      <sheetName val="Rectangular_Beam8"/>
      <sheetName val="간접비_총괄표8"/>
      <sheetName val="Eng_hour_DB8"/>
      <sheetName val="CRUDE_RE-bar8"/>
      <sheetName val="DUTCH_CONE8"/>
      <sheetName val="PAGE_3_GENERAL_DETAILS8"/>
      <sheetName val="적용_환율8"/>
      <sheetName val="GM_0008"/>
      <sheetName val="PRECAST_lightconc-II8"/>
      <sheetName val="Elect_(3)8"/>
      <sheetName val="Rev_No8"/>
      <sheetName val="COST_UP8"/>
      <sheetName val="PUMP_SHT8"/>
      <sheetName val="TENDER_PROG_8"/>
      <sheetName val="PROC_PROG8"/>
      <sheetName val="Block_D8"/>
      <sheetName val="2_Calculation_18"/>
      <sheetName val="Datasheet_GLL_double_weir_(1)8"/>
      <sheetName val="_8"/>
      <sheetName val="eq_data__x005f_x0000__x008"/>
      <sheetName val="33628-Rev__A8"/>
      <sheetName val="TYPE-B_평균H8"/>
      <sheetName val="6_공사비_내역_(가)8"/>
      <sheetName val="Sheet2_(2)8"/>
      <sheetName val="REF_ONLY7"/>
      <sheetName val="co-no_27"/>
      <sheetName val="Form_A_17"/>
      <sheetName val="Form_A_1_17"/>
      <sheetName val="BOM_Indirect7"/>
      <sheetName val="Form_A_1_II_27"/>
      <sheetName val="6_GSTG_PIPING7"/>
      <sheetName val="NONS__2,1897"/>
      <sheetName val="COMB_MNG&amp;STAFF_(ALL)__(2)7"/>
      <sheetName val="Reference_Table7"/>
      <sheetName val="CAL(1)_7"/>
      <sheetName val="member_design7"/>
      <sheetName val="soil_bearing_check7"/>
      <sheetName val="OCT_FDN7"/>
      <sheetName val="PRI_CIV7"/>
      <sheetName val="FOR_CIV7"/>
      <sheetName val="SUB_CIV7"/>
      <sheetName val="ANA_CIV7"/>
      <sheetName val="AUX_CIV7"/>
      <sheetName val="내역서_7"/>
      <sheetName val="hori__vessel(E-895)7"/>
      <sheetName val="2_37"/>
      <sheetName val="S_N7"/>
      <sheetName val="Loading_Table7"/>
      <sheetName val="SUMMARY_(0)8"/>
      <sheetName val="4_1구조설계7"/>
      <sheetName val="Pipelines_ASAB_I-II_Brownfield7"/>
      <sheetName val="MH_Estimation_Guide7"/>
      <sheetName val="공사비_내역_(가)7"/>
      <sheetName val="input_data-0909087"/>
      <sheetName val="HRG_BHN7"/>
      <sheetName val="Vent_Line_size7"/>
      <sheetName val="Expenses_per_Cost_Code_7"/>
      <sheetName val="Comp_Rate_7"/>
      <sheetName val="Analisa_HS7"/>
      <sheetName val="Section_1~4(1)7"/>
      <sheetName val="Section_1~4_7"/>
      <sheetName val="Section_57"/>
      <sheetName val="Section_5_27"/>
      <sheetName val="Section_5_37"/>
      <sheetName val="Section_67"/>
      <sheetName val="Section_6_27"/>
      <sheetName val="Attachment_17"/>
      <sheetName val="Attachmenet_27"/>
      <sheetName val="7_0_Crack_Check7"/>
      <sheetName val="축열조_기초7"/>
      <sheetName val="Fill_this_out_first___14"/>
      <sheetName val="Fill_this_out_first___15"/>
      <sheetName val="Forecast_Drivers7"/>
      <sheetName val="RAW_MATERIALS_7"/>
      <sheetName val="COST-PERSON-J_O_7"/>
      <sheetName val="MEASURE_LIST7"/>
      <sheetName val="Don_gia7"/>
      <sheetName val="COST-EST_LTI_P5C7"/>
      <sheetName val="SLEIPNER_-_ORMEN_LANGE7"/>
      <sheetName val="전기_BM_revA('090624)_xls7"/>
      <sheetName val="定额_(06)7"/>
      <sheetName val="Tie_Beam_GN5"/>
      <sheetName val="4_단락전류7"/>
      <sheetName val="system_&amp;_LOOK_UP_FUNC5"/>
      <sheetName val="Q5434_EQ_LIST7"/>
      <sheetName val="motor_power7"/>
      <sheetName val="Data_17"/>
      <sheetName val="4-3LEVEL-5_epic_47"/>
      <sheetName val="Unit_Cost7"/>
      <sheetName val="Coeff_7"/>
      <sheetName val="[fdn_bm_pro_xls]기계공사비집계(珆꭭/7"/>
      <sheetName val="96_125"/>
      <sheetName val="Exchange_rates7"/>
      <sheetName val="BID_FORM5"/>
      <sheetName val="Form_of_Bid5"/>
      <sheetName val="INST_LIST5"/>
      <sheetName val="Item_Dominan5"/>
      <sheetName val="Code_025"/>
      <sheetName val="Code_035"/>
      <sheetName val="Code_045"/>
      <sheetName val="Code_055"/>
      <sheetName val="Code_065"/>
      <sheetName val="Code_075"/>
      <sheetName val="Code_095"/>
      <sheetName val="4300_UTILITY_BLDG_(2)5"/>
      <sheetName val="Price_Breakdown(Building)5"/>
      <sheetName val="MANPOWER_DIRECT_TRACKING5"/>
      <sheetName val="Timescaled_Data5"/>
      <sheetName val="Home_Office5"/>
      <sheetName val="fdn_bm_pro_xls기계공사비집계(珆꭭5"/>
      <sheetName val="2-SITE_5"/>
      <sheetName val="eq_data_????5"/>
      <sheetName val="PCC_EAF5"/>
      <sheetName val="PCC_LF5"/>
      <sheetName val="4-Basic_Price5"/>
      <sheetName val="_fdn_bm_pro_xls_기계공사비집계(珆꭭_5"/>
      <sheetName val="Finish_list5"/>
      <sheetName val="Dati_base5"/>
      <sheetName val="US_Inflation_Factors5"/>
      <sheetName val="Cover_Page5"/>
      <sheetName val="Unit__Price5"/>
      <sheetName val="자재집계_&amp;_총괄표5"/>
      <sheetName val="Engrg_Est5"/>
      <sheetName val="[fdn_bm_pro_xls]_fdn_bm_pro_x_6"/>
      <sheetName val="GASATAGG_XLS5"/>
      <sheetName val="BEND_LOSS5"/>
      <sheetName val="eq_data_6"/>
      <sheetName val="7_5_1(A)_Data14"/>
      <sheetName val="7_5_1(B)_BOQ_Breakdown14"/>
      <sheetName val="7_5_1(C)_Scope14"/>
      <sheetName val="7_5_1(D)_Basis14"/>
      <sheetName val="7_5_1(E)_Allowance14"/>
      <sheetName val="7_5_2_BOQ_Summary14"/>
      <sheetName val="7_5_3_BOQ14"/>
      <sheetName val="A__Erec_BOQ(Shop)14"/>
      <sheetName val="B__Erec_BOQ(Field)14"/>
      <sheetName val="C__Surface_Protection14"/>
      <sheetName val="A__Erec_BOQ(Shop)_(2)14"/>
      <sheetName val="B__Erec_BOQ(Field)_(2)14"/>
      <sheetName val="C__Surf_Protection14"/>
      <sheetName val="Attachment_#114"/>
      <sheetName val="Attachment_#214"/>
      <sheetName val="302_C114"/>
      <sheetName val="302_C214"/>
      <sheetName val="SUPPLY_(2)14"/>
      <sheetName val="RETURN_(2)14"/>
      <sheetName val="303_(2)14"/>
      <sheetName val="308_(2)14"/>
      <sheetName val="309_(2)14"/>
      <sheetName val="JUNCTION_BOX14"/>
      <sheetName val="PIPE_FITTING14"/>
      <sheetName val="TUBE_FITTING14"/>
      <sheetName val="CABLE_GLAND14"/>
      <sheetName val="CONS__EQUIP___14"/>
      <sheetName val="BLR_114"/>
      <sheetName val="REINF_14"/>
      <sheetName val="ITB_COST13"/>
      <sheetName val="97_사업추정(WEKI)13"/>
      <sheetName val="90EL_JACKET13"/>
      <sheetName val="보온_회사분13"/>
      <sheetName val="Cost_control13"/>
      <sheetName val="FIRE_FIGHTING13"/>
      <sheetName val="Tipo_Terzi12"/>
      <sheetName val="plan&amp;section_of_foundation12"/>
      <sheetName val="design_criteria12"/>
      <sheetName val="BM_DATA_SHEET12"/>
      <sheetName val="Mat_Stelo12"/>
      <sheetName val="Unit_SUM12"/>
      <sheetName val="1_설계기준11"/>
      <sheetName val="working_load_at_the_btm_ft_11"/>
      <sheetName val="stability_check11"/>
      <sheetName val="OUTER_AREA(겹침없음)11"/>
      <sheetName val="Material_Specification11"/>
      <sheetName val="special_item_양진규_작성11"/>
      <sheetName val="bill_211"/>
      <sheetName val="방유제용량_계산서11"/>
      <sheetName val="Break_Dw11"/>
      <sheetName val="표지_(2)11"/>
      <sheetName val="pile_bearing_capa_&amp;_arrenge11"/>
      <sheetName val="design_load11"/>
      <sheetName val="Fab__Skid11"/>
      <sheetName val="Sch_611"/>
      <sheetName val="INPUT_DATA11"/>
      <sheetName val="CAMP_OPERATING_COST11"/>
      <sheetName val="PERSONNEL_SETUP11"/>
      <sheetName val="LIST_OF_OFFICE_EQUIPMENT11"/>
      <sheetName val="STAFF&amp;INDIRECT_SALARY_-_SUMMA11"/>
      <sheetName val="KOREAN_STAFF_SALARY_BREAKDOWN11"/>
      <sheetName val="WELFARE_COST_-_SITE11"/>
      <sheetName val="개시대사_(2)11"/>
      <sheetName val="입고장부_(4)11"/>
      <sheetName val="FEUILLE_INTERNE11"/>
      <sheetName val="COMPARISON_TABLE11"/>
      <sheetName val="L_V_Separator11"/>
      <sheetName val="CAMP_-_CONSTRUCTION11"/>
      <sheetName val="E_Rate_PM11"/>
      <sheetName val="Schedule_2_and_311"/>
      <sheetName val="CAL_11"/>
      <sheetName val="11_자재단가10"/>
      <sheetName val="1_OF_910"/>
      <sheetName val="Cover_sheet9"/>
      <sheetName val="BSD_(2)9"/>
      <sheetName val="TRAY_BM9"/>
      <sheetName val="Graph_(LGEN)9"/>
      <sheetName val="선적schedule_(2)9"/>
      <sheetName val="Summary_Sheets9"/>
      <sheetName val="품셈_9"/>
      <sheetName val="sc0314_Index9"/>
      <sheetName val="Resource_summary9"/>
      <sheetName val="배관물량_(STEEL)11"/>
      <sheetName val="Sheet_111"/>
      <sheetName val="w't_table9"/>
      <sheetName val="eq_data__x005f_x0000__x005f_x0000__x005f_x0000__9"/>
      <sheetName val="Struct-Grass_root9"/>
      <sheetName val="-15_09"/>
      <sheetName val="3_0_Overall_Progress_S-curve11"/>
      <sheetName val="3-4_SPI11"/>
      <sheetName val="General_Data11"/>
      <sheetName val="PRICE_COMP11"/>
      <sheetName val="A(Rev_3)11"/>
      <sheetName val="static_cal9"/>
      <sheetName val="crude_SLAB_RE-bar9"/>
      <sheetName val="7_6_3(B)_UG_Piping9"/>
      <sheetName val="PRICE_LIST9"/>
      <sheetName val="7_5_2_BOQ_Summary_9"/>
      <sheetName val="Rekap_A9"/>
      <sheetName val="paint_mat9"/>
      <sheetName val="VE_Estimate9"/>
      <sheetName val="TABLE2-2_OSBL-(SITE_PREP)9"/>
      <sheetName val="PAGE_29"/>
      <sheetName val="OFFER_RATE9"/>
      <sheetName val="Job_Data9"/>
      <sheetName val="Piping_Design_Data9"/>
      <sheetName val="Summary_20029"/>
      <sheetName val="ASME_B_36_10_M9"/>
      <sheetName val="Break_Down9"/>
      <sheetName val="Supervision_List9"/>
      <sheetName val="견적_집계9"/>
      <sheetName val="PULLING_SUPT등9"/>
      <sheetName val="Sheet1_(2)9"/>
      <sheetName val="PAGE_19"/>
      <sheetName val="_생산성_분석_체계_절차_xlsx9"/>
      <sheetName val="BQ_List9"/>
      <sheetName val="Page_109"/>
      <sheetName val="C급보_9"/>
      <sheetName val="Rectangular_Beam9"/>
      <sheetName val="간접비_총괄표9"/>
      <sheetName val="Eng_hour_DB9"/>
      <sheetName val="CRUDE_RE-bar9"/>
      <sheetName val="DUTCH_CONE9"/>
      <sheetName val="PAGE_3_GENERAL_DETAILS9"/>
      <sheetName val="적용_환율9"/>
      <sheetName val="GM_0009"/>
      <sheetName val="PRECAST_lightconc-II9"/>
      <sheetName val="Elect_(3)9"/>
      <sheetName val="Rev_No9"/>
      <sheetName val="COST_UP9"/>
      <sheetName val="PUMP_SHT9"/>
      <sheetName val="TENDER_PROG_9"/>
      <sheetName val="PROC_PROG9"/>
      <sheetName val="Block_D9"/>
      <sheetName val="2_Calculation_19"/>
      <sheetName val="Datasheet_GLL_double_weir_(1)9"/>
      <sheetName val="_9"/>
      <sheetName val="eq_data__x005f_x0000__x009"/>
      <sheetName val="33628-Rev__A9"/>
      <sheetName val="TYPE-B_평균H9"/>
      <sheetName val="6_공사비_내역_(가)9"/>
      <sheetName val="Sheet2_(2)9"/>
      <sheetName val="REF_ONLY8"/>
      <sheetName val="co-no_28"/>
      <sheetName val="Form_A_18"/>
      <sheetName val="Form_A_1_18"/>
      <sheetName val="BOM_Indirect8"/>
      <sheetName val="Form_A_1_II_28"/>
      <sheetName val="6_GSTG_PIPING8"/>
      <sheetName val="NONS__2,1898"/>
      <sheetName val="COMB_MNG&amp;STAFF_(ALL)__(2)8"/>
      <sheetName val="Reference_Table8"/>
      <sheetName val="CAL(1)_8"/>
      <sheetName val="member_design8"/>
      <sheetName val="soil_bearing_check8"/>
      <sheetName val="OCT_FDN8"/>
      <sheetName val="PRI_CIV8"/>
      <sheetName val="FOR_CIV8"/>
      <sheetName val="SUB_CIV8"/>
      <sheetName val="ANA_CIV8"/>
      <sheetName val="AUX_CIV8"/>
      <sheetName val="내역서_8"/>
      <sheetName val="hori__vessel(E-895)8"/>
      <sheetName val="2_38"/>
      <sheetName val="S_N8"/>
      <sheetName val="Loading_Table8"/>
      <sheetName val="SUMMARY_(0)9"/>
      <sheetName val="4_1구조설계8"/>
      <sheetName val="Pipelines_ASAB_I-II_Brownfield8"/>
      <sheetName val="MH_Estimation_Guide8"/>
      <sheetName val="공사비_내역_(가)8"/>
      <sheetName val="input_data-0909088"/>
      <sheetName val="HRG_BHN8"/>
      <sheetName val="Vent_Line_size8"/>
      <sheetName val="Expenses_per_Cost_Code_8"/>
      <sheetName val="Comp_Rate_8"/>
      <sheetName val="Analisa_HS8"/>
      <sheetName val="Section_1~4(1)8"/>
      <sheetName val="Section_1~4_8"/>
      <sheetName val="Section_58"/>
      <sheetName val="Section_5_28"/>
      <sheetName val="Section_5_38"/>
      <sheetName val="Section_68"/>
      <sheetName val="Section_6_28"/>
      <sheetName val="Attachment_18"/>
      <sheetName val="Attachmenet_28"/>
      <sheetName val="7_0_Crack_Check8"/>
      <sheetName val="축열조_기초8"/>
      <sheetName val="Fill_this_out_first___16"/>
      <sheetName val="Fill_this_out_first___17"/>
      <sheetName val="Forecast_Drivers8"/>
      <sheetName val="RAW_MATERIALS_8"/>
      <sheetName val="COST-PERSON-J_O_8"/>
      <sheetName val="MEASURE_LIST8"/>
      <sheetName val="Don_gia8"/>
      <sheetName val="COST-EST_LTI_P5C8"/>
      <sheetName val="SLEIPNER_-_ORMEN_LANGE8"/>
      <sheetName val="전기_BM_revA('090624)_xls8"/>
      <sheetName val="定额_(06)8"/>
      <sheetName val="Tie_Beam_GN6"/>
      <sheetName val="4_단락전류8"/>
      <sheetName val="system_&amp;_LOOK_UP_FUNC6"/>
      <sheetName val="Q5434_EQ_LIST8"/>
      <sheetName val="motor_power8"/>
      <sheetName val="Data_18"/>
      <sheetName val="4-3LEVEL-5_epic_48"/>
      <sheetName val="Unit_Cost8"/>
      <sheetName val="Coeff_8"/>
      <sheetName val="[fdn_bm_pro_xls]기계공사비집계(珆꭭/8"/>
      <sheetName val="96_126"/>
      <sheetName val="Exchange_rates8"/>
      <sheetName val="BID_FORM6"/>
      <sheetName val="Form_of_Bid6"/>
      <sheetName val="INST_LIST6"/>
      <sheetName val="Item_Dominan6"/>
      <sheetName val="Code_026"/>
      <sheetName val="Code_036"/>
      <sheetName val="Code_046"/>
      <sheetName val="Code_056"/>
      <sheetName val="Code_066"/>
      <sheetName val="Code_076"/>
      <sheetName val="Code_096"/>
      <sheetName val="4300_UTILITY_BLDG_(2)6"/>
      <sheetName val="Price_Breakdown(Building)6"/>
      <sheetName val="MANPOWER_DIRECT_TRACKING6"/>
      <sheetName val="Timescaled_Data6"/>
      <sheetName val="Home_Office6"/>
      <sheetName val="fdn_bm_pro_xls기계공사비집계(珆꭭6"/>
      <sheetName val="2-SITE_6"/>
      <sheetName val="eq_data_????6"/>
      <sheetName val="PCC_EAF6"/>
      <sheetName val="PCC_LF6"/>
      <sheetName val="4-Basic_Price6"/>
      <sheetName val="_fdn_bm_pro_xls_기계공사비집계(珆꭭_6"/>
      <sheetName val="Finish_list6"/>
      <sheetName val="Dati_base6"/>
      <sheetName val="US_Inflation_Factors6"/>
      <sheetName val="Cover_Page6"/>
      <sheetName val="Unit__Price6"/>
      <sheetName val="자재집계_&amp;_총괄표6"/>
      <sheetName val="Engrg_Est6"/>
      <sheetName val="[fdn_bm_pro_xls]_fdn_bm_pro_x_7"/>
      <sheetName val="GASATAGG_XLS6"/>
      <sheetName val="BEND_LOSS6"/>
      <sheetName val="eq_data_7"/>
      <sheetName val="PREMI"/>
      <sheetName val="직원동원SCH"/>
      <sheetName val="관람석제출"/>
      <sheetName val="GAJI"/>
      <sheetName val="H_Satuan"/>
      <sheetName val="6PILE__(돌출)"/>
      <sheetName val="tabulación_final"/>
      <sheetName val="예정공정표_(2)"/>
      <sheetName val="Sh"/>
      <sheetName val="ADMIN_TB-557066_00A"/>
      <sheetName val="LABORATORY_TB-557091_00A"/>
      <sheetName val="OME5_TB-557088-001_00A"/>
      <sheetName val="OME4_TB-557087-001_00A"/>
      <sheetName val="OME3_TB-557086-001_00A"/>
      <sheetName val="CMB_EMTS_TB-557084_00A"/>
      <sheetName val="SLCB_TB-557083-002_00B"/>
      <sheetName val="PIB9_TB-557082-003_00B"/>
      <sheetName val="PIB7_TB-557081-003_00B"/>
      <sheetName val="PIB6_TB-557080-003_00B"/>
      <sheetName val="PIB5_TB-557079-002_00B"/>
      <sheetName val="PIB4_TB-557078-002_00B"/>
      <sheetName val="PIB3_TB-557077-002_00B"/>
      <sheetName val="CCB_TB-557075-001_00B"/>
      <sheetName val="CCB_TB-557073-002_00B"/>
      <sheetName val="CCB_TB-557072-001_00A"/>
      <sheetName val="CCB_TB-557051_00B"/>
      <sheetName val="Budget_Weight_Instructions_A"/>
      <sheetName val="Basic_data"/>
      <sheetName val="Isolasi_Luar_Dalam"/>
      <sheetName val="Isolasi_Luar"/>
      <sheetName val="Sh"/>
      <sheetName val="EMPLOYMENT_CERTIFICATE"/>
      <sheetName val="Salary_cer"/>
      <sheetName val="Master_file"/>
      <sheetName val="eq_data__x2"/>
      <sheetName val="page_1421"/>
      <sheetName val="InsertListDrawing_1_1"/>
      <sheetName val="BILL_Of_QUANTITIES1"/>
      <sheetName val="H_Satuan1"/>
      <sheetName val="Div26_-_Elect1"/>
      <sheetName val="2_4_1_Elec_BOQ1"/>
      <sheetName val="2_4_1_Inst_BOQ1"/>
      <sheetName val="PTF_Report1"/>
      <sheetName val="6PILE__(돌출)1"/>
      <sheetName val="tabulación_final1"/>
      <sheetName val="예정공정표_(2)1"/>
      <sheetName val="ADMIN_TB-557066_00A1"/>
      <sheetName val="LABORATORY_TB-557091_00A1"/>
      <sheetName val="OME5_TB-557088-001_00A1"/>
      <sheetName val="OME4_TB-557087-001_00A1"/>
      <sheetName val="OME3_TB-557086-001_00A1"/>
      <sheetName val="CMB_EMTS_TB-557084_00A1"/>
      <sheetName val="SLCB_TB-557083-002_00B1"/>
      <sheetName val="PIB9_TB-557082-003_00B1"/>
      <sheetName val="PIB7_TB-557081-003_00B1"/>
      <sheetName val="PIB6_TB-557080-003_00B1"/>
      <sheetName val="PIB5_TB-557079-002_00B1"/>
      <sheetName val="PIB4_TB-557078-002_00B1"/>
      <sheetName val="PIB3_TB-557077-002_00B1"/>
      <sheetName val="CCB_TB-557075-001_00B1"/>
      <sheetName val="CCB_TB-557073-002_00B1"/>
      <sheetName val="CCB_TB-557072-001_00A1"/>
      <sheetName val="CCB_TB-557051_00B1"/>
      <sheetName val="Budget_Weight_Instructions_A1"/>
      <sheetName val="Basic_data1"/>
      <sheetName val="Isolasi_Luar_Dalam1"/>
      <sheetName val="Isolasi_Luar1"/>
      <sheetName val="EMPLOYMENT_CERTIFICATE1"/>
      <sheetName val="Salary_cer1"/>
      <sheetName val="Master_file1"/>
      <sheetName val="eq_data__x3"/>
      <sheetName val="page_1422"/>
      <sheetName val="InsertListDrawing_1_2"/>
      <sheetName val="BILL_Of_QUANTITIES2"/>
      <sheetName val="H_Satuan2"/>
      <sheetName val="Div26_-_Elect2"/>
      <sheetName val="2_4_1_Elec_BOQ2"/>
      <sheetName val="2_4_1_Inst_BOQ2"/>
      <sheetName val="PTF_Report2"/>
      <sheetName val="6PILE__(돌출)2"/>
      <sheetName val="tabulación_final2"/>
      <sheetName val="예정공정표_(2)2"/>
      <sheetName val="ADMIN_TB-557066_00A2"/>
      <sheetName val="LABORATORY_TB-557091_00A2"/>
      <sheetName val="OME5_TB-557088-001_00A2"/>
      <sheetName val="OME4_TB-557087-001_00A2"/>
      <sheetName val="OME3_TB-557086-001_00A2"/>
      <sheetName val="CMB_EMTS_TB-557084_00A2"/>
      <sheetName val="SLCB_TB-557083-002_00B2"/>
      <sheetName val="PIB9_TB-557082-003_00B2"/>
      <sheetName val="PIB7_TB-557081-003_00B2"/>
      <sheetName val="PIB6_TB-557080-003_00B2"/>
      <sheetName val="PIB5_TB-557079-002_00B2"/>
      <sheetName val="PIB4_TB-557078-002_00B2"/>
      <sheetName val="PIB3_TB-557077-002_00B2"/>
      <sheetName val="CCB_TB-557075-001_00B2"/>
      <sheetName val="CCB_TB-557073-002_00B2"/>
      <sheetName val="CCB_TB-557072-001_00A2"/>
      <sheetName val="CCB_TB-557051_00B2"/>
      <sheetName val="Budget_Weight_Instructions_A2"/>
      <sheetName val="Basic_data2"/>
      <sheetName val="Isolasi_Luar_Dalam2"/>
      <sheetName val="Isolasi_Luar2"/>
      <sheetName val="EMPLOYMENT_CERTIFICATE2"/>
      <sheetName val="Salary_cer2"/>
      <sheetName val="Master_file2"/>
      <sheetName val="eq_data__x4"/>
      <sheetName val="page_1423"/>
      <sheetName val="InsertListDrawing_1_3"/>
      <sheetName val="BILL_Of_QUANTITIES3"/>
      <sheetName val="H_Satuan3"/>
      <sheetName val="Div26_-_Elect3"/>
      <sheetName val="2_4_1_Elec_BOQ3"/>
      <sheetName val="2_4_1_Inst_BOQ3"/>
      <sheetName val="PTF_Report3"/>
      <sheetName val="6PILE__(돌출)3"/>
      <sheetName val="tabulación_final3"/>
      <sheetName val="예정공정표_(2)3"/>
      <sheetName val="ADMIN_TB-557066_00A3"/>
      <sheetName val="LABORATORY_TB-557091_00A3"/>
      <sheetName val="OME5_TB-557088-001_00A3"/>
      <sheetName val="OME4_TB-557087-001_00A3"/>
      <sheetName val="OME3_TB-557086-001_00A3"/>
      <sheetName val="CMB_EMTS_TB-557084_00A3"/>
      <sheetName val="SLCB_TB-557083-002_00B3"/>
      <sheetName val="PIB9_TB-557082-003_00B3"/>
      <sheetName val="PIB7_TB-557081-003_00B3"/>
      <sheetName val="PIB6_TB-557080-003_00B3"/>
      <sheetName val="PIB5_TB-557079-002_00B3"/>
      <sheetName val="PIB4_TB-557078-002_00B3"/>
      <sheetName val="PIB3_TB-557077-002_00B3"/>
      <sheetName val="CCB_TB-557075-001_00B3"/>
      <sheetName val="CCB_TB-557073-002_00B3"/>
      <sheetName val="CCB_TB-557072-001_00A3"/>
      <sheetName val="CCB_TB-557051_00B3"/>
      <sheetName val="Budget_Weight_Instructions_A3"/>
      <sheetName val="Basic_data3"/>
      <sheetName val="Isolasi_Luar_Dalam3"/>
      <sheetName val="Isolasi_Luar3"/>
      <sheetName val="EMPLOYMENT_CERTIFICATE3"/>
      <sheetName val="Salary_cer3"/>
      <sheetName val="Master_file3"/>
      <sheetName val="eq_data__x5"/>
      <sheetName val="page_1424"/>
      <sheetName val="InsertListDrawing_1_4"/>
      <sheetName val="BILL_Of_QUANTITIES4"/>
      <sheetName val="H_Satuan4"/>
      <sheetName val="Div26_-_Elect4"/>
      <sheetName val="2_4_1_Elec_BOQ4"/>
      <sheetName val="2_4_1_Inst_BOQ4"/>
      <sheetName val="PTF_Report4"/>
      <sheetName val="6PILE__(돌출)4"/>
      <sheetName val="tabulación_final4"/>
      <sheetName val="예정공정표_(2)4"/>
      <sheetName val="ADMIN_TB-557066_00A4"/>
      <sheetName val="LABORATORY_TB-557091_00A4"/>
      <sheetName val="OME5_TB-557088-001_00A4"/>
      <sheetName val="OME4_TB-557087-001_00A4"/>
      <sheetName val="OME3_TB-557086-001_00A4"/>
      <sheetName val="CMB_EMTS_TB-557084_00A4"/>
      <sheetName val="SLCB_TB-557083-002_00B4"/>
      <sheetName val="PIB9_TB-557082-003_00B4"/>
      <sheetName val="PIB7_TB-557081-003_00B4"/>
      <sheetName val="PIB6_TB-557080-003_00B4"/>
      <sheetName val="PIB5_TB-557079-002_00B4"/>
      <sheetName val="PIB4_TB-557078-002_00B4"/>
      <sheetName val="PIB3_TB-557077-002_00B4"/>
      <sheetName val="CCB_TB-557075-001_00B4"/>
      <sheetName val="CCB_TB-557073-002_00B4"/>
      <sheetName val="CCB_TB-557072-001_00A4"/>
      <sheetName val="CCB_TB-557051_00B4"/>
      <sheetName val="Budget_Weight_Instructions_A4"/>
      <sheetName val="Basic_data4"/>
      <sheetName val="Isolasi_Luar_Dalam4"/>
      <sheetName val="Isolasi_Luar4"/>
      <sheetName val="EMPLOYMENT_CERTIFICATE4"/>
      <sheetName val="Salary_cer4"/>
      <sheetName val="Master_file4"/>
      <sheetName val="eq_data__x6"/>
      <sheetName val="page_1425"/>
      <sheetName val="InsertListDrawing_1_5"/>
      <sheetName val="BILL_Of_QUANTITIES5"/>
      <sheetName val="H_Satuan5"/>
      <sheetName val="Div26_-_Elect5"/>
      <sheetName val="2_4_1_Elec_BOQ5"/>
      <sheetName val="2_4_1_Inst_BOQ5"/>
      <sheetName val="PTF_Report5"/>
      <sheetName val="6PILE__(돌출)5"/>
      <sheetName val="tabulación_final5"/>
      <sheetName val="예정공정표_(2)5"/>
      <sheetName val="ADMIN_TB-557066_00A5"/>
      <sheetName val="LABORATORY_TB-557091_00A5"/>
      <sheetName val="OME5_TB-557088-001_00A5"/>
      <sheetName val="OME4_TB-557087-001_00A5"/>
      <sheetName val="OME3_TB-557086-001_00A5"/>
      <sheetName val="CMB_EMTS_TB-557084_00A5"/>
      <sheetName val="SLCB_TB-557083-002_00B5"/>
      <sheetName val="PIB9_TB-557082-003_00B5"/>
      <sheetName val="PIB7_TB-557081-003_00B5"/>
      <sheetName val="PIB6_TB-557080-003_00B5"/>
      <sheetName val="PIB5_TB-557079-002_00B5"/>
      <sheetName val="PIB4_TB-557078-002_00B5"/>
      <sheetName val="PIB3_TB-557077-002_00B5"/>
      <sheetName val="CCB_TB-557075-001_00B5"/>
      <sheetName val="CCB_TB-557073-002_00B5"/>
      <sheetName val="CCB_TB-557072-001_00A5"/>
      <sheetName val="CCB_TB-557051_00B5"/>
      <sheetName val="Budget_Weight_Instructions_A5"/>
      <sheetName val="Basic_data5"/>
      <sheetName val="Isolasi_Luar_Dalam5"/>
      <sheetName val="Isolasi_Luar5"/>
      <sheetName val="EMPLOYMENT_CERTIFICATE5"/>
      <sheetName val="Salary_cer5"/>
      <sheetName val="Master_file5"/>
    </sheetNames>
    <sheetDataSet>
      <sheetData sheetId="0">
        <row r="5">
          <cell r="C5" t="str">
            <v>Isolated type</v>
          </cell>
        </row>
      </sheetData>
      <sheetData sheetId="1">
        <row r="5">
          <cell r="C5" t="str">
            <v>Isolated type</v>
          </cell>
        </row>
      </sheetData>
      <sheetData sheetId="2" refreshError="1">
        <row r="5">
          <cell r="C5" t="str">
            <v>Isolated type</v>
          </cell>
        </row>
        <row r="6">
          <cell r="C6" t="str">
            <v>Sleeper type</v>
          </cell>
        </row>
        <row r="7">
          <cell r="C7" t="str">
            <v xml:space="preserve"> Horizontal Vessel</v>
          </cell>
        </row>
        <row r="8">
          <cell r="C8" t="str">
            <v>Vertical vessel type</v>
          </cell>
        </row>
        <row r="9">
          <cell r="C9" t="str">
            <v>Pump Type</v>
          </cell>
        </row>
        <row r="10">
          <cell r="C10" t="str">
            <v>Combined type</v>
          </cell>
        </row>
        <row r="11">
          <cell r="C11" t="str">
            <v>기타1</v>
          </cell>
        </row>
        <row r="12">
          <cell r="C12" t="str">
            <v>기타2</v>
          </cell>
        </row>
        <row r="13">
          <cell r="C13" t="str">
            <v>기타3</v>
          </cell>
        </row>
        <row r="14">
          <cell r="C14" t="str">
            <v>기타4</v>
          </cell>
        </row>
        <row r="15">
          <cell r="C15" t="e">
            <v>#REF!</v>
          </cell>
        </row>
        <row r="16">
          <cell r="C16" t="e">
            <v>#REF!</v>
          </cell>
        </row>
        <row r="17">
          <cell r="C17" t="e">
            <v>#REF!</v>
          </cell>
        </row>
        <row r="18">
          <cell r="C18" t="e">
            <v>#REF!</v>
          </cell>
        </row>
        <row r="19">
          <cell r="C19" t="e">
            <v>#REF!</v>
          </cell>
        </row>
        <row r="20">
          <cell r="C20" t="e">
            <v>#REF!</v>
          </cell>
        </row>
        <row r="21">
          <cell r="C21" t="e">
            <v>#REF!</v>
          </cell>
        </row>
        <row r="22">
          <cell r="C22" t="e">
            <v>#REF!</v>
          </cell>
        </row>
        <row r="23">
          <cell r="C23" t="e">
            <v>#REF!</v>
          </cell>
        </row>
        <row r="24">
          <cell r="C24" t="e">
            <v>#REF!</v>
          </cell>
        </row>
        <row r="25">
          <cell r="C25" t="e">
            <v>#REF!</v>
          </cell>
        </row>
        <row r="26">
          <cell r="C26" t="e">
            <v>#REF!</v>
          </cell>
        </row>
        <row r="27">
          <cell r="C27" t="e">
            <v>#REF!</v>
          </cell>
        </row>
        <row r="28">
          <cell r="C28" t="e">
            <v>#REF!</v>
          </cell>
        </row>
        <row r="29">
          <cell r="C29" t="e">
            <v>#REF!</v>
          </cell>
        </row>
        <row r="30">
          <cell r="C30" t="e">
            <v>#REF!</v>
          </cell>
        </row>
        <row r="31">
          <cell r="C31" t="e">
            <v>#REF!</v>
          </cell>
        </row>
        <row r="32">
          <cell r="C32" t="e">
            <v>#REF!</v>
          </cell>
        </row>
        <row r="33">
          <cell r="C33" t="e">
            <v>#REF!</v>
          </cell>
        </row>
        <row r="34">
          <cell r="C34" t="e">
            <v>#REF!</v>
          </cell>
        </row>
        <row r="35">
          <cell r="C35" t="e">
            <v>#REF!</v>
          </cell>
        </row>
        <row r="36">
          <cell r="C36" t="e">
            <v>#REF!</v>
          </cell>
        </row>
        <row r="37">
          <cell r="C37" t="e">
            <v>#REF!</v>
          </cell>
        </row>
        <row r="38">
          <cell r="C38" t="e">
            <v>#REF!</v>
          </cell>
        </row>
        <row r="39">
          <cell r="C39" t="e">
            <v>#REF!</v>
          </cell>
        </row>
        <row r="40">
          <cell r="C40" t="e">
            <v>#REF!</v>
          </cell>
        </row>
        <row r="41">
          <cell r="C41" t="e">
            <v>#REF!</v>
          </cell>
        </row>
        <row r="42">
          <cell r="C42" t="e">
            <v>#REF!</v>
          </cell>
        </row>
        <row r="43">
          <cell r="C43" t="e">
            <v>#REF!</v>
          </cell>
        </row>
        <row r="44">
          <cell r="C44" t="e">
            <v>#REF!</v>
          </cell>
        </row>
        <row r="45">
          <cell r="C45" t="e">
            <v>#REF!</v>
          </cell>
        </row>
        <row r="46">
          <cell r="C46" t="e">
            <v>#REF!</v>
          </cell>
        </row>
        <row r="47">
          <cell r="C47" t="e">
            <v>#REF!</v>
          </cell>
        </row>
        <row r="48">
          <cell r="C48" t="e">
            <v>#REF!</v>
          </cell>
        </row>
        <row r="49">
          <cell r="C49" t="e">
            <v>#REF!</v>
          </cell>
        </row>
        <row r="50">
          <cell r="C50" t="e">
            <v>#REF!</v>
          </cell>
        </row>
        <row r="51">
          <cell r="C51" t="e">
            <v>#REF!</v>
          </cell>
        </row>
        <row r="52">
          <cell r="C52" t="e">
            <v>#REF!</v>
          </cell>
        </row>
        <row r="53">
          <cell r="C53" t="e">
            <v>#REF!</v>
          </cell>
        </row>
        <row r="54">
          <cell r="C54" t="e">
            <v>#REF!</v>
          </cell>
        </row>
      </sheetData>
      <sheetData sheetId="3">
        <row r="5">
          <cell r="C5" t="str">
            <v>Isolated type</v>
          </cell>
        </row>
      </sheetData>
      <sheetData sheetId="4"/>
      <sheetData sheetId="5"/>
      <sheetData sheetId="6">
        <row r="5">
          <cell r="C5" t="str">
            <v>PACKAGE NO.</v>
          </cell>
        </row>
      </sheetData>
      <sheetData sheetId="7">
        <row r="5">
          <cell r="C5" t="str">
            <v>PACKAGE NO.</v>
          </cell>
        </row>
      </sheetData>
      <sheetData sheetId="8">
        <row r="5">
          <cell r="C5" t="str">
            <v>PACKAGE NO.</v>
          </cell>
        </row>
      </sheetData>
      <sheetData sheetId="9">
        <row r="5">
          <cell r="C5" t="str">
            <v>PACKAGE NO.</v>
          </cell>
        </row>
      </sheetData>
      <sheetData sheetId="10">
        <row r="5">
          <cell r="C5" t="str">
            <v>PACKAGE NO.</v>
          </cell>
        </row>
      </sheetData>
      <sheetData sheetId="11">
        <row r="5">
          <cell r="C5" t="str">
            <v>PACKAGE NO.</v>
          </cell>
        </row>
      </sheetData>
      <sheetData sheetId="12">
        <row r="5">
          <cell r="C5" t="str">
            <v>PACKAGE NO.</v>
          </cell>
        </row>
      </sheetData>
      <sheetData sheetId="13">
        <row r="5">
          <cell r="C5" t="str">
            <v>PACKAGE NO.</v>
          </cell>
        </row>
      </sheetData>
      <sheetData sheetId="14">
        <row r="5">
          <cell r="C5" t="str">
            <v>PACKAGE NO.</v>
          </cell>
        </row>
      </sheetData>
      <sheetData sheetId="15">
        <row r="5">
          <cell r="C5" t="str">
            <v>PACKAGE NO.</v>
          </cell>
        </row>
      </sheetData>
      <sheetData sheetId="16">
        <row r="5">
          <cell r="C5" t="str">
            <v>PACKAGE NO.</v>
          </cell>
        </row>
      </sheetData>
      <sheetData sheetId="17" refreshError="1"/>
      <sheetData sheetId="18" refreshError="1"/>
      <sheetData sheetId="19" refreshError="1"/>
      <sheetData sheetId="20" refreshError="1"/>
      <sheetData sheetId="21" refreshError="1"/>
      <sheetData sheetId="22">
        <row r="5">
          <cell r="C5" t="str">
            <v>PACKAGE NO.</v>
          </cell>
        </row>
      </sheetData>
      <sheetData sheetId="23">
        <row r="5">
          <cell r="C5" t="str">
            <v>PACKAGE NO.</v>
          </cell>
        </row>
      </sheetData>
      <sheetData sheetId="24">
        <row r="5">
          <cell r="C5" t="str">
            <v>PACKAGE NO.</v>
          </cell>
        </row>
      </sheetData>
      <sheetData sheetId="25">
        <row r="5">
          <cell r="C5" t="str">
            <v>PACKAGE NO.</v>
          </cell>
        </row>
      </sheetData>
      <sheetData sheetId="26">
        <row r="5">
          <cell r="C5" t="str">
            <v>PACKAGE NO.</v>
          </cell>
        </row>
      </sheetData>
      <sheetData sheetId="27">
        <row r="5">
          <cell r="C5" t="str">
            <v>PACKAGE NO.</v>
          </cell>
        </row>
      </sheetData>
      <sheetData sheetId="28">
        <row r="5">
          <cell r="C5" t="str">
            <v>PACKAGE NO.</v>
          </cell>
        </row>
      </sheetData>
      <sheetData sheetId="29">
        <row r="5">
          <cell r="C5" t="str">
            <v>PACKAGE NO.</v>
          </cell>
        </row>
      </sheetData>
      <sheetData sheetId="30">
        <row r="5">
          <cell r="C5" t="str">
            <v>PACKAGE NO.</v>
          </cell>
        </row>
      </sheetData>
      <sheetData sheetId="31">
        <row r="5">
          <cell r="C5" t="str">
            <v>PACKAGE NO.</v>
          </cell>
        </row>
      </sheetData>
      <sheetData sheetId="32">
        <row r="5">
          <cell r="C5" t="str">
            <v>PACKAGE NO.</v>
          </cell>
        </row>
      </sheetData>
      <sheetData sheetId="33">
        <row r="5">
          <cell r="C5" t="str">
            <v>PACKAGE NO.</v>
          </cell>
        </row>
      </sheetData>
      <sheetData sheetId="34">
        <row r="5">
          <cell r="C5" t="str">
            <v>PACKAGE NO.</v>
          </cell>
        </row>
      </sheetData>
      <sheetData sheetId="35">
        <row r="5">
          <cell r="C5" t="str">
            <v>PACKAGE NO.</v>
          </cell>
        </row>
      </sheetData>
      <sheetData sheetId="36">
        <row r="5">
          <cell r="C5" t="str">
            <v>PACKAGE NO.</v>
          </cell>
        </row>
      </sheetData>
      <sheetData sheetId="37">
        <row r="5">
          <cell r="C5" t="str">
            <v>PACKAGE NO.</v>
          </cell>
        </row>
      </sheetData>
      <sheetData sheetId="38">
        <row r="5">
          <cell r="C5" t="str">
            <v>PACKAGE NO.</v>
          </cell>
        </row>
      </sheetData>
      <sheetData sheetId="39">
        <row r="5">
          <cell r="C5" t="str">
            <v>PACKAGE NO.</v>
          </cell>
        </row>
      </sheetData>
      <sheetData sheetId="40">
        <row r="5">
          <cell r="C5" t="str">
            <v>PACKAGE NO.</v>
          </cell>
        </row>
      </sheetData>
      <sheetData sheetId="41" refreshError="1"/>
      <sheetData sheetId="42">
        <row r="5">
          <cell r="C5" t="str">
            <v>PACKAGE NO.</v>
          </cell>
        </row>
      </sheetData>
      <sheetData sheetId="43">
        <row r="5">
          <cell r="C5" t="str">
            <v>PACKAGE NO.</v>
          </cell>
        </row>
      </sheetData>
      <sheetData sheetId="44">
        <row r="5">
          <cell r="C5" t="str">
            <v>PACKAGE NO.</v>
          </cell>
        </row>
      </sheetData>
      <sheetData sheetId="45">
        <row r="5">
          <cell r="C5" t="str">
            <v>PACKAGE NO.</v>
          </cell>
        </row>
      </sheetData>
      <sheetData sheetId="46">
        <row r="5">
          <cell r="C5" t="str">
            <v>PACKAGE NO.</v>
          </cell>
        </row>
      </sheetData>
      <sheetData sheetId="47">
        <row r="5">
          <cell r="C5" t="str">
            <v>PACKAGE NO.</v>
          </cell>
        </row>
      </sheetData>
      <sheetData sheetId="48">
        <row r="5">
          <cell r="C5" t="str">
            <v>PACKAGE NO.</v>
          </cell>
        </row>
      </sheetData>
      <sheetData sheetId="49">
        <row r="5">
          <cell r="C5" t="str">
            <v>PACKAGE NO.</v>
          </cell>
        </row>
      </sheetData>
      <sheetData sheetId="50">
        <row r="5">
          <cell r="C5" t="str">
            <v>PACKAGE NO.</v>
          </cell>
        </row>
      </sheetData>
      <sheetData sheetId="51">
        <row r="5">
          <cell r="C5" t="str">
            <v>PACKAGE NO.</v>
          </cell>
        </row>
      </sheetData>
      <sheetData sheetId="52">
        <row r="5">
          <cell r="C5" t="str">
            <v>PACKAGE NO.</v>
          </cell>
        </row>
      </sheetData>
      <sheetData sheetId="53">
        <row r="5">
          <cell r="C5" t="str">
            <v>PACKAGE NO.</v>
          </cell>
        </row>
      </sheetData>
      <sheetData sheetId="54">
        <row r="5">
          <cell r="C5" t="str">
            <v>PACKAGE NO.</v>
          </cell>
        </row>
      </sheetData>
      <sheetData sheetId="55" refreshError="1"/>
      <sheetData sheetId="56" refreshError="1"/>
      <sheetData sheetId="57" refreshError="1"/>
      <sheetData sheetId="58" refreshError="1"/>
      <sheetData sheetId="59"/>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ow r="5">
          <cell r="C5">
            <v>100</v>
          </cell>
        </row>
      </sheetData>
      <sheetData sheetId="740">
        <row r="5">
          <cell r="C5">
            <v>100</v>
          </cell>
        </row>
      </sheetData>
      <sheetData sheetId="741">
        <row r="5">
          <cell r="C5">
            <v>100</v>
          </cell>
        </row>
      </sheetData>
      <sheetData sheetId="742">
        <row r="5">
          <cell r="C5">
            <v>100</v>
          </cell>
        </row>
      </sheetData>
      <sheetData sheetId="743">
        <row r="5">
          <cell r="C5">
            <v>100</v>
          </cell>
        </row>
      </sheetData>
      <sheetData sheetId="744">
        <row r="5">
          <cell r="C5">
            <v>100</v>
          </cell>
        </row>
      </sheetData>
      <sheetData sheetId="745">
        <row r="5">
          <cell r="C5">
            <v>100</v>
          </cell>
        </row>
      </sheetData>
      <sheetData sheetId="746">
        <row r="5">
          <cell r="C5">
            <v>100</v>
          </cell>
        </row>
      </sheetData>
      <sheetData sheetId="747">
        <row r="5">
          <cell r="C5">
            <v>100</v>
          </cell>
        </row>
      </sheetData>
      <sheetData sheetId="748">
        <row r="5">
          <cell r="C5">
            <v>100</v>
          </cell>
        </row>
      </sheetData>
      <sheetData sheetId="749">
        <row r="5">
          <cell r="C5">
            <v>100</v>
          </cell>
        </row>
      </sheetData>
      <sheetData sheetId="750">
        <row r="5">
          <cell r="C5">
            <v>100</v>
          </cell>
        </row>
      </sheetData>
      <sheetData sheetId="751">
        <row r="5">
          <cell r="C5">
            <v>100</v>
          </cell>
        </row>
      </sheetData>
      <sheetData sheetId="752">
        <row r="5">
          <cell r="C5">
            <v>100</v>
          </cell>
        </row>
      </sheetData>
      <sheetData sheetId="753">
        <row r="5">
          <cell r="C5">
            <v>100</v>
          </cell>
        </row>
      </sheetData>
      <sheetData sheetId="754">
        <row r="5">
          <cell r="C5">
            <v>100</v>
          </cell>
        </row>
      </sheetData>
      <sheetData sheetId="755">
        <row r="5">
          <cell r="C5">
            <v>100</v>
          </cell>
        </row>
      </sheetData>
      <sheetData sheetId="756">
        <row r="5">
          <cell r="C5">
            <v>100</v>
          </cell>
        </row>
      </sheetData>
      <sheetData sheetId="757">
        <row r="5">
          <cell r="C5">
            <v>100</v>
          </cell>
        </row>
      </sheetData>
      <sheetData sheetId="758">
        <row r="5">
          <cell r="C5">
            <v>100</v>
          </cell>
        </row>
      </sheetData>
      <sheetData sheetId="759">
        <row r="5">
          <cell r="C5">
            <v>100</v>
          </cell>
        </row>
      </sheetData>
      <sheetData sheetId="760">
        <row r="5">
          <cell r="C5">
            <v>100</v>
          </cell>
        </row>
      </sheetData>
      <sheetData sheetId="761">
        <row r="5">
          <cell r="C5">
            <v>100</v>
          </cell>
        </row>
      </sheetData>
      <sheetData sheetId="762">
        <row r="5">
          <cell r="C5">
            <v>100</v>
          </cell>
        </row>
      </sheetData>
      <sheetData sheetId="763">
        <row r="5">
          <cell r="C5">
            <v>100</v>
          </cell>
        </row>
      </sheetData>
      <sheetData sheetId="764">
        <row r="5">
          <cell r="C5">
            <v>100</v>
          </cell>
        </row>
      </sheetData>
      <sheetData sheetId="765">
        <row r="5">
          <cell r="C5">
            <v>100</v>
          </cell>
        </row>
      </sheetData>
      <sheetData sheetId="766">
        <row r="5">
          <cell r="C5">
            <v>100</v>
          </cell>
        </row>
      </sheetData>
      <sheetData sheetId="767">
        <row r="5">
          <cell r="C5">
            <v>100</v>
          </cell>
        </row>
      </sheetData>
      <sheetData sheetId="768">
        <row r="5">
          <cell r="C5">
            <v>100</v>
          </cell>
        </row>
      </sheetData>
      <sheetData sheetId="769">
        <row r="5">
          <cell r="C5">
            <v>100</v>
          </cell>
        </row>
      </sheetData>
      <sheetData sheetId="770">
        <row r="5">
          <cell r="C5">
            <v>100</v>
          </cell>
        </row>
      </sheetData>
      <sheetData sheetId="771">
        <row r="5">
          <cell r="C5">
            <v>100</v>
          </cell>
        </row>
      </sheetData>
      <sheetData sheetId="772">
        <row r="5">
          <cell r="C5">
            <v>100</v>
          </cell>
        </row>
      </sheetData>
      <sheetData sheetId="773">
        <row r="5">
          <cell r="C5">
            <v>100</v>
          </cell>
        </row>
      </sheetData>
      <sheetData sheetId="774">
        <row r="5">
          <cell r="C5">
            <v>100</v>
          </cell>
        </row>
      </sheetData>
      <sheetData sheetId="775">
        <row r="5">
          <cell r="C5">
            <v>100</v>
          </cell>
        </row>
      </sheetData>
      <sheetData sheetId="776">
        <row r="5">
          <cell r="C5">
            <v>100</v>
          </cell>
        </row>
      </sheetData>
      <sheetData sheetId="777">
        <row r="5">
          <cell r="C5">
            <v>100</v>
          </cell>
        </row>
      </sheetData>
      <sheetData sheetId="778">
        <row r="5">
          <cell r="C5">
            <v>100</v>
          </cell>
        </row>
      </sheetData>
      <sheetData sheetId="779">
        <row r="5">
          <cell r="C5">
            <v>100</v>
          </cell>
        </row>
      </sheetData>
      <sheetData sheetId="780">
        <row r="5">
          <cell r="C5">
            <v>100</v>
          </cell>
        </row>
      </sheetData>
      <sheetData sheetId="781">
        <row r="5">
          <cell r="C5">
            <v>100</v>
          </cell>
        </row>
      </sheetData>
      <sheetData sheetId="782">
        <row r="5">
          <cell r="C5">
            <v>100</v>
          </cell>
        </row>
      </sheetData>
      <sheetData sheetId="783">
        <row r="5">
          <cell r="C5">
            <v>100</v>
          </cell>
        </row>
      </sheetData>
      <sheetData sheetId="784">
        <row r="5">
          <cell r="C5">
            <v>100</v>
          </cell>
        </row>
      </sheetData>
      <sheetData sheetId="785">
        <row r="5">
          <cell r="C5">
            <v>100</v>
          </cell>
        </row>
      </sheetData>
      <sheetData sheetId="786">
        <row r="5">
          <cell r="C5">
            <v>100</v>
          </cell>
        </row>
      </sheetData>
      <sheetData sheetId="787">
        <row r="5">
          <cell r="C5">
            <v>100</v>
          </cell>
        </row>
      </sheetData>
      <sheetData sheetId="788">
        <row r="5">
          <cell r="C5">
            <v>100</v>
          </cell>
        </row>
      </sheetData>
      <sheetData sheetId="789">
        <row r="5">
          <cell r="C5">
            <v>100</v>
          </cell>
        </row>
      </sheetData>
      <sheetData sheetId="790">
        <row r="5">
          <cell r="C5">
            <v>100</v>
          </cell>
        </row>
      </sheetData>
      <sheetData sheetId="791">
        <row r="5">
          <cell r="C5">
            <v>100</v>
          </cell>
        </row>
      </sheetData>
      <sheetData sheetId="792">
        <row r="5">
          <cell r="C5">
            <v>100</v>
          </cell>
        </row>
      </sheetData>
      <sheetData sheetId="793">
        <row r="5">
          <cell r="C5">
            <v>100</v>
          </cell>
        </row>
      </sheetData>
      <sheetData sheetId="794">
        <row r="5">
          <cell r="C5">
            <v>100</v>
          </cell>
        </row>
      </sheetData>
      <sheetData sheetId="795">
        <row r="5">
          <cell r="C5">
            <v>100</v>
          </cell>
        </row>
      </sheetData>
      <sheetData sheetId="796">
        <row r="5">
          <cell r="C5">
            <v>100</v>
          </cell>
        </row>
      </sheetData>
      <sheetData sheetId="797">
        <row r="5">
          <cell r="C5">
            <v>100</v>
          </cell>
        </row>
      </sheetData>
      <sheetData sheetId="798">
        <row r="5">
          <cell r="C5">
            <v>100</v>
          </cell>
        </row>
      </sheetData>
      <sheetData sheetId="799">
        <row r="5">
          <cell r="C5">
            <v>100</v>
          </cell>
        </row>
      </sheetData>
      <sheetData sheetId="800">
        <row r="5">
          <cell r="C5">
            <v>100</v>
          </cell>
        </row>
      </sheetData>
      <sheetData sheetId="801">
        <row r="5">
          <cell r="C5">
            <v>100</v>
          </cell>
        </row>
      </sheetData>
      <sheetData sheetId="802">
        <row r="5">
          <cell r="C5">
            <v>100</v>
          </cell>
        </row>
      </sheetData>
      <sheetData sheetId="803">
        <row r="5">
          <cell r="C5">
            <v>100</v>
          </cell>
        </row>
      </sheetData>
      <sheetData sheetId="804">
        <row r="5">
          <cell r="C5">
            <v>100</v>
          </cell>
        </row>
      </sheetData>
      <sheetData sheetId="805">
        <row r="5">
          <cell r="C5">
            <v>100</v>
          </cell>
        </row>
      </sheetData>
      <sheetData sheetId="806">
        <row r="5">
          <cell r="C5">
            <v>100</v>
          </cell>
        </row>
      </sheetData>
      <sheetData sheetId="807">
        <row r="5">
          <cell r="C5">
            <v>100</v>
          </cell>
        </row>
      </sheetData>
      <sheetData sheetId="808">
        <row r="5">
          <cell r="C5">
            <v>100</v>
          </cell>
        </row>
      </sheetData>
      <sheetData sheetId="809">
        <row r="5">
          <cell r="C5">
            <v>100</v>
          </cell>
        </row>
      </sheetData>
      <sheetData sheetId="810">
        <row r="5">
          <cell r="C5">
            <v>100</v>
          </cell>
        </row>
      </sheetData>
      <sheetData sheetId="811">
        <row r="5">
          <cell r="C5">
            <v>100</v>
          </cell>
        </row>
      </sheetData>
      <sheetData sheetId="812">
        <row r="5">
          <cell r="C5">
            <v>100</v>
          </cell>
        </row>
      </sheetData>
      <sheetData sheetId="813">
        <row r="5">
          <cell r="C5">
            <v>100</v>
          </cell>
        </row>
      </sheetData>
      <sheetData sheetId="814">
        <row r="5">
          <cell r="C5">
            <v>100</v>
          </cell>
        </row>
      </sheetData>
      <sheetData sheetId="815">
        <row r="5">
          <cell r="C5">
            <v>100</v>
          </cell>
        </row>
      </sheetData>
      <sheetData sheetId="816">
        <row r="5">
          <cell r="C5">
            <v>100</v>
          </cell>
        </row>
      </sheetData>
      <sheetData sheetId="817">
        <row r="5">
          <cell r="C5">
            <v>100</v>
          </cell>
        </row>
      </sheetData>
      <sheetData sheetId="818">
        <row r="5">
          <cell r="C5">
            <v>100</v>
          </cell>
        </row>
      </sheetData>
      <sheetData sheetId="819">
        <row r="5">
          <cell r="C5">
            <v>100</v>
          </cell>
        </row>
      </sheetData>
      <sheetData sheetId="820">
        <row r="5">
          <cell r="C5">
            <v>100</v>
          </cell>
        </row>
      </sheetData>
      <sheetData sheetId="821">
        <row r="5">
          <cell r="C5">
            <v>100</v>
          </cell>
        </row>
      </sheetData>
      <sheetData sheetId="822">
        <row r="5">
          <cell r="C5">
            <v>100</v>
          </cell>
        </row>
      </sheetData>
      <sheetData sheetId="823">
        <row r="5">
          <cell r="C5">
            <v>100</v>
          </cell>
        </row>
      </sheetData>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ow r="5">
          <cell r="C5">
            <v>100</v>
          </cell>
        </row>
      </sheetData>
      <sheetData sheetId="852">
        <row r="5">
          <cell r="C5">
            <v>100</v>
          </cell>
        </row>
      </sheetData>
      <sheetData sheetId="853">
        <row r="5">
          <cell r="C5">
            <v>100</v>
          </cell>
        </row>
      </sheetData>
      <sheetData sheetId="854">
        <row r="5">
          <cell r="C5">
            <v>100</v>
          </cell>
        </row>
      </sheetData>
      <sheetData sheetId="855">
        <row r="5">
          <cell r="C5">
            <v>100</v>
          </cell>
        </row>
      </sheetData>
      <sheetData sheetId="856">
        <row r="5">
          <cell r="C5">
            <v>100</v>
          </cell>
        </row>
      </sheetData>
      <sheetData sheetId="857">
        <row r="5">
          <cell r="C5">
            <v>100</v>
          </cell>
        </row>
      </sheetData>
      <sheetData sheetId="858">
        <row r="5">
          <cell r="C5">
            <v>100</v>
          </cell>
        </row>
      </sheetData>
      <sheetData sheetId="859">
        <row r="5">
          <cell r="C5">
            <v>100</v>
          </cell>
        </row>
      </sheetData>
      <sheetData sheetId="860">
        <row r="5">
          <cell r="C5">
            <v>100</v>
          </cell>
        </row>
      </sheetData>
      <sheetData sheetId="861">
        <row r="5">
          <cell r="C5">
            <v>100</v>
          </cell>
        </row>
      </sheetData>
      <sheetData sheetId="862">
        <row r="5">
          <cell r="C5">
            <v>100</v>
          </cell>
        </row>
      </sheetData>
      <sheetData sheetId="863">
        <row r="5">
          <cell r="C5">
            <v>100</v>
          </cell>
        </row>
      </sheetData>
      <sheetData sheetId="864">
        <row r="5">
          <cell r="C5">
            <v>100</v>
          </cell>
        </row>
      </sheetData>
      <sheetData sheetId="865">
        <row r="5">
          <cell r="C5">
            <v>100</v>
          </cell>
        </row>
      </sheetData>
      <sheetData sheetId="866" refreshError="1"/>
      <sheetData sheetId="867" refreshError="1"/>
      <sheetData sheetId="868" refreshError="1"/>
      <sheetData sheetId="869" refreshError="1"/>
      <sheetData sheetId="870" refreshError="1"/>
      <sheetData sheetId="871">
        <row r="5">
          <cell r="C5">
            <v>100</v>
          </cell>
        </row>
      </sheetData>
      <sheetData sheetId="872">
        <row r="5">
          <cell r="C5">
            <v>100</v>
          </cell>
        </row>
      </sheetData>
      <sheetData sheetId="873">
        <row r="5">
          <cell r="C5">
            <v>100</v>
          </cell>
        </row>
      </sheetData>
      <sheetData sheetId="874">
        <row r="5">
          <cell r="C5">
            <v>100</v>
          </cell>
        </row>
      </sheetData>
      <sheetData sheetId="875">
        <row r="5">
          <cell r="C5">
            <v>100</v>
          </cell>
        </row>
      </sheetData>
      <sheetData sheetId="876">
        <row r="5">
          <cell r="C5">
            <v>100</v>
          </cell>
        </row>
      </sheetData>
      <sheetData sheetId="877">
        <row r="5">
          <cell r="C5">
            <v>100</v>
          </cell>
        </row>
      </sheetData>
      <sheetData sheetId="878">
        <row r="5">
          <cell r="C5">
            <v>100</v>
          </cell>
        </row>
      </sheetData>
      <sheetData sheetId="879">
        <row r="5">
          <cell r="C5">
            <v>100</v>
          </cell>
        </row>
      </sheetData>
      <sheetData sheetId="880">
        <row r="5">
          <cell r="C5">
            <v>100</v>
          </cell>
        </row>
      </sheetData>
      <sheetData sheetId="881">
        <row r="5">
          <cell r="C5">
            <v>100</v>
          </cell>
        </row>
      </sheetData>
      <sheetData sheetId="882">
        <row r="5">
          <cell r="C5">
            <v>100</v>
          </cell>
        </row>
      </sheetData>
      <sheetData sheetId="883">
        <row r="5">
          <cell r="C5">
            <v>100</v>
          </cell>
        </row>
      </sheetData>
      <sheetData sheetId="884">
        <row r="5">
          <cell r="C5">
            <v>100</v>
          </cell>
        </row>
      </sheetData>
      <sheetData sheetId="885">
        <row r="5">
          <cell r="C5">
            <v>100</v>
          </cell>
        </row>
      </sheetData>
      <sheetData sheetId="886">
        <row r="5">
          <cell r="C5">
            <v>100</v>
          </cell>
        </row>
      </sheetData>
      <sheetData sheetId="887">
        <row r="5">
          <cell r="C5">
            <v>100</v>
          </cell>
        </row>
      </sheetData>
      <sheetData sheetId="888">
        <row r="5">
          <cell r="C5">
            <v>100</v>
          </cell>
        </row>
      </sheetData>
      <sheetData sheetId="889">
        <row r="5">
          <cell r="C5">
            <v>100</v>
          </cell>
        </row>
      </sheetData>
      <sheetData sheetId="890">
        <row r="5">
          <cell r="C5">
            <v>100</v>
          </cell>
        </row>
      </sheetData>
      <sheetData sheetId="891">
        <row r="5">
          <cell r="C5">
            <v>100</v>
          </cell>
        </row>
      </sheetData>
      <sheetData sheetId="892">
        <row r="5">
          <cell r="C5">
            <v>100</v>
          </cell>
        </row>
      </sheetData>
      <sheetData sheetId="893">
        <row r="5">
          <cell r="C5">
            <v>100</v>
          </cell>
        </row>
      </sheetData>
      <sheetData sheetId="894">
        <row r="5">
          <cell r="C5">
            <v>100</v>
          </cell>
        </row>
      </sheetData>
      <sheetData sheetId="895">
        <row r="5">
          <cell r="C5">
            <v>100</v>
          </cell>
        </row>
      </sheetData>
      <sheetData sheetId="896">
        <row r="5">
          <cell r="C5">
            <v>100</v>
          </cell>
        </row>
      </sheetData>
      <sheetData sheetId="897">
        <row r="5">
          <cell r="C5">
            <v>100</v>
          </cell>
        </row>
      </sheetData>
      <sheetData sheetId="898">
        <row r="5">
          <cell r="C5">
            <v>100</v>
          </cell>
        </row>
      </sheetData>
      <sheetData sheetId="899">
        <row r="5">
          <cell r="C5">
            <v>100</v>
          </cell>
        </row>
      </sheetData>
      <sheetData sheetId="900">
        <row r="5">
          <cell r="C5">
            <v>100</v>
          </cell>
        </row>
      </sheetData>
      <sheetData sheetId="901">
        <row r="5">
          <cell r="C5">
            <v>100</v>
          </cell>
        </row>
      </sheetData>
      <sheetData sheetId="902">
        <row r="5">
          <cell r="C5">
            <v>100</v>
          </cell>
        </row>
      </sheetData>
      <sheetData sheetId="903">
        <row r="5">
          <cell r="C5">
            <v>100</v>
          </cell>
        </row>
      </sheetData>
      <sheetData sheetId="904">
        <row r="5">
          <cell r="C5">
            <v>100</v>
          </cell>
        </row>
      </sheetData>
      <sheetData sheetId="905">
        <row r="5">
          <cell r="C5">
            <v>100</v>
          </cell>
        </row>
      </sheetData>
      <sheetData sheetId="906">
        <row r="5">
          <cell r="C5">
            <v>100</v>
          </cell>
        </row>
      </sheetData>
      <sheetData sheetId="907">
        <row r="5">
          <cell r="C5">
            <v>100</v>
          </cell>
        </row>
      </sheetData>
      <sheetData sheetId="908">
        <row r="5">
          <cell r="C5">
            <v>100</v>
          </cell>
        </row>
      </sheetData>
      <sheetData sheetId="909">
        <row r="5">
          <cell r="C5">
            <v>100</v>
          </cell>
        </row>
      </sheetData>
      <sheetData sheetId="910">
        <row r="5">
          <cell r="C5">
            <v>100</v>
          </cell>
        </row>
      </sheetData>
      <sheetData sheetId="911">
        <row r="5">
          <cell r="C5">
            <v>100</v>
          </cell>
        </row>
      </sheetData>
      <sheetData sheetId="912">
        <row r="5">
          <cell r="C5">
            <v>100</v>
          </cell>
        </row>
      </sheetData>
      <sheetData sheetId="913">
        <row r="5">
          <cell r="C5">
            <v>100</v>
          </cell>
        </row>
      </sheetData>
      <sheetData sheetId="914">
        <row r="5">
          <cell r="C5">
            <v>100</v>
          </cell>
        </row>
      </sheetData>
      <sheetData sheetId="915">
        <row r="5">
          <cell r="C5">
            <v>100</v>
          </cell>
        </row>
      </sheetData>
      <sheetData sheetId="916">
        <row r="5">
          <cell r="C5">
            <v>100</v>
          </cell>
        </row>
      </sheetData>
      <sheetData sheetId="917">
        <row r="5">
          <cell r="C5">
            <v>100</v>
          </cell>
        </row>
      </sheetData>
      <sheetData sheetId="918">
        <row r="5">
          <cell r="C5">
            <v>100</v>
          </cell>
        </row>
      </sheetData>
      <sheetData sheetId="919">
        <row r="5">
          <cell r="C5">
            <v>100</v>
          </cell>
        </row>
      </sheetData>
      <sheetData sheetId="920">
        <row r="5">
          <cell r="C5">
            <v>100</v>
          </cell>
        </row>
      </sheetData>
      <sheetData sheetId="921">
        <row r="5">
          <cell r="C5">
            <v>100</v>
          </cell>
        </row>
      </sheetData>
      <sheetData sheetId="922">
        <row r="5">
          <cell r="C5">
            <v>100</v>
          </cell>
        </row>
      </sheetData>
      <sheetData sheetId="923">
        <row r="5">
          <cell r="C5">
            <v>100</v>
          </cell>
        </row>
      </sheetData>
      <sheetData sheetId="924">
        <row r="5">
          <cell r="C5">
            <v>100</v>
          </cell>
        </row>
      </sheetData>
      <sheetData sheetId="925">
        <row r="5">
          <cell r="C5">
            <v>100</v>
          </cell>
        </row>
      </sheetData>
      <sheetData sheetId="926">
        <row r="5">
          <cell r="C5">
            <v>100</v>
          </cell>
        </row>
      </sheetData>
      <sheetData sheetId="927">
        <row r="5">
          <cell r="C5">
            <v>100</v>
          </cell>
        </row>
      </sheetData>
      <sheetData sheetId="928">
        <row r="5">
          <cell r="C5">
            <v>100</v>
          </cell>
        </row>
      </sheetData>
      <sheetData sheetId="929">
        <row r="5">
          <cell r="C5">
            <v>100</v>
          </cell>
        </row>
      </sheetData>
      <sheetData sheetId="930">
        <row r="5">
          <cell r="C5">
            <v>100</v>
          </cell>
        </row>
      </sheetData>
      <sheetData sheetId="931">
        <row r="5">
          <cell r="C5">
            <v>100</v>
          </cell>
        </row>
      </sheetData>
      <sheetData sheetId="932">
        <row r="5">
          <cell r="C5">
            <v>100</v>
          </cell>
        </row>
      </sheetData>
      <sheetData sheetId="933">
        <row r="5">
          <cell r="C5">
            <v>100</v>
          </cell>
        </row>
      </sheetData>
      <sheetData sheetId="934">
        <row r="5">
          <cell r="C5">
            <v>100</v>
          </cell>
        </row>
      </sheetData>
      <sheetData sheetId="935">
        <row r="5">
          <cell r="C5">
            <v>100</v>
          </cell>
        </row>
      </sheetData>
      <sheetData sheetId="936">
        <row r="5">
          <cell r="C5">
            <v>100</v>
          </cell>
        </row>
      </sheetData>
      <sheetData sheetId="937">
        <row r="5">
          <cell r="C5">
            <v>100</v>
          </cell>
        </row>
      </sheetData>
      <sheetData sheetId="938">
        <row r="5">
          <cell r="C5">
            <v>100</v>
          </cell>
        </row>
      </sheetData>
      <sheetData sheetId="939">
        <row r="5">
          <cell r="C5">
            <v>100</v>
          </cell>
        </row>
      </sheetData>
      <sheetData sheetId="940">
        <row r="5">
          <cell r="C5">
            <v>100</v>
          </cell>
        </row>
      </sheetData>
      <sheetData sheetId="941">
        <row r="5">
          <cell r="C5">
            <v>100</v>
          </cell>
        </row>
      </sheetData>
      <sheetData sheetId="942">
        <row r="5">
          <cell r="C5">
            <v>100</v>
          </cell>
        </row>
      </sheetData>
      <sheetData sheetId="943">
        <row r="5">
          <cell r="C5">
            <v>100</v>
          </cell>
        </row>
      </sheetData>
      <sheetData sheetId="944">
        <row r="5">
          <cell r="C5">
            <v>100</v>
          </cell>
        </row>
      </sheetData>
      <sheetData sheetId="945">
        <row r="5">
          <cell r="C5">
            <v>100</v>
          </cell>
        </row>
      </sheetData>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ow r="5">
          <cell r="C5">
            <v>100</v>
          </cell>
        </row>
      </sheetData>
      <sheetData sheetId="1004">
        <row r="5">
          <cell r="C5">
            <v>100</v>
          </cell>
        </row>
      </sheetData>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ow r="5">
          <cell r="C5">
            <v>100</v>
          </cell>
        </row>
      </sheetData>
      <sheetData sheetId="1052">
        <row r="5">
          <cell r="C5">
            <v>100</v>
          </cell>
        </row>
      </sheetData>
      <sheetData sheetId="1053">
        <row r="5">
          <cell r="C5">
            <v>100</v>
          </cell>
        </row>
      </sheetData>
      <sheetData sheetId="1054">
        <row r="5">
          <cell r="C5">
            <v>100</v>
          </cell>
        </row>
      </sheetData>
      <sheetData sheetId="1055">
        <row r="5">
          <cell r="C5">
            <v>100</v>
          </cell>
        </row>
      </sheetData>
      <sheetData sheetId="1056">
        <row r="5">
          <cell r="C5">
            <v>100</v>
          </cell>
        </row>
      </sheetData>
      <sheetData sheetId="1057">
        <row r="5">
          <cell r="C5">
            <v>100</v>
          </cell>
        </row>
      </sheetData>
      <sheetData sheetId="1058">
        <row r="5">
          <cell r="C5">
            <v>100</v>
          </cell>
        </row>
      </sheetData>
      <sheetData sheetId="1059">
        <row r="5">
          <cell r="C5">
            <v>100</v>
          </cell>
        </row>
      </sheetData>
      <sheetData sheetId="1060">
        <row r="5">
          <cell r="C5">
            <v>100</v>
          </cell>
        </row>
      </sheetData>
      <sheetData sheetId="1061">
        <row r="5">
          <cell r="C5">
            <v>100</v>
          </cell>
        </row>
      </sheetData>
      <sheetData sheetId="1062">
        <row r="5">
          <cell r="C5">
            <v>100</v>
          </cell>
        </row>
      </sheetData>
      <sheetData sheetId="1063">
        <row r="5">
          <cell r="C5">
            <v>100</v>
          </cell>
        </row>
      </sheetData>
      <sheetData sheetId="1064">
        <row r="5">
          <cell r="C5">
            <v>100</v>
          </cell>
        </row>
      </sheetData>
      <sheetData sheetId="1065">
        <row r="5">
          <cell r="C5">
            <v>100</v>
          </cell>
        </row>
      </sheetData>
      <sheetData sheetId="1066">
        <row r="5">
          <cell r="C5">
            <v>100</v>
          </cell>
        </row>
      </sheetData>
      <sheetData sheetId="1067">
        <row r="5">
          <cell r="C5">
            <v>100</v>
          </cell>
        </row>
      </sheetData>
      <sheetData sheetId="1068">
        <row r="5">
          <cell r="C5">
            <v>100</v>
          </cell>
        </row>
      </sheetData>
      <sheetData sheetId="1069">
        <row r="5">
          <cell r="C5">
            <v>100</v>
          </cell>
        </row>
      </sheetData>
      <sheetData sheetId="1070">
        <row r="5">
          <cell r="C5">
            <v>100</v>
          </cell>
        </row>
      </sheetData>
      <sheetData sheetId="1071">
        <row r="5">
          <cell r="C5">
            <v>100</v>
          </cell>
        </row>
      </sheetData>
      <sheetData sheetId="1072">
        <row r="5">
          <cell r="C5">
            <v>100</v>
          </cell>
        </row>
      </sheetData>
      <sheetData sheetId="1073">
        <row r="5">
          <cell r="C5">
            <v>100</v>
          </cell>
        </row>
      </sheetData>
      <sheetData sheetId="1074">
        <row r="5">
          <cell r="C5">
            <v>100</v>
          </cell>
        </row>
      </sheetData>
      <sheetData sheetId="1075">
        <row r="5">
          <cell r="C5">
            <v>100</v>
          </cell>
        </row>
      </sheetData>
      <sheetData sheetId="1076">
        <row r="5">
          <cell r="C5">
            <v>100</v>
          </cell>
        </row>
      </sheetData>
      <sheetData sheetId="1077">
        <row r="5">
          <cell r="C5">
            <v>100</v>
          </cell>
        </row>
      </sheetData>
      <sheetData sheetId="1078">
        <row r="5">
          <cell r="C5">
            <v>100</v>
          </cell>
        </row>
      </sheetData>
      <sheetData sheetId="1079">
        <row r="5">
          <cell r="C5">
            <v>100</v>
          </cell>
        </row>
      </sheetData>
      <sheetData sheetId="1080">
        <row r="5">
          <cell r="C5">
            <v>100</v>
          </cell>
        </row>
      </sheetData>
      <sheetData sheetId="1081">
        <row r="5">
          <cell r="C5">
            <v>100</v>
          </cell>
        </row>
      </sheetData>
      <sheetData sheetId="1082">
        <row r="5">
          <cell r="C5">
            <v>100</v>
          </cell>
        </row>
      </sheetData>
      <sheetData sheetId="1083">
        <row r="5">
          <cell r="C5">
            <v>100</v>
          </cell>
        </row>
      </sheetData>
      <sheetData sheetId="1084">
        <row r="5">
          <cell r="C5">
            <v>100</v>
          </cell>
        </row>
      </sheetData>
      <sheetData sheetId="1085">
        <row r="5">
          <cell r="C5">
            <v>100</v>
          </cell>
        </row>
      </sheetData>
      <sheetData sheetId="1086">
        <row r="5">
          <cell r="C5">
            <v>100</v>
          </cell>
        </row>
      </sheetData>
      <sheetData sheetId="1087">
        <row r="5">
          <cell r="C5">
            <v>100</v>
          </cell>
        </row>
      </sheetData>
      <sheetData sheetId="1088">
        <row r="5">
          <cell r="C5">
            <v>100</v>
          </cell>
        </row>
      </sheetData>
      <sheetData sheetId="1089">
        <row r="5">
          <cell r="C5">
            <v>100</v>
          </cell>
        </row>
      </sheetData>
      <sheetData sheetId="1090">
        <row r="5">
          <cell r="C5">
            <v>100</v>
          </cell>
        </row>
      </sheetData>
      <sheetData sheetId="1091">
        <row r="5">
          <cell r="C5">
            <v>100</v>
          </cell>
        </row>
      </sheetData>
      <sheetData sheetId="1092">
        <row r="5">
          <cell r="C5">
            <v>100</v>
          </cell>
        </row>
      </sheetData>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ow r="5">
          <cell r="C5">
            <v>100</v>
          </cell>
        </row>
      </sheetData>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ow r="5">
          <cell r="C5">
            <v>100</v>
          </cell>
        </row>
      </sheetData>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ow r="5">
          <cell r="C5" t="str">
            <v>PACKAGE NO.</v>
          </cell>
        </row>
      </sheetData>
      <sheetData sheetId="1146">
        <row r="5">
          <cell r="C5" t="str">
            <v>PACKAGE NO.</v>
          </cell>
        </row>
      </sheetData>
      <sheetData sheetId="1147">
        <row r="5">
          <cell r="C5" t="str">
            <v>PACKAGE NO.</v>
          </cell>
        </row>
      </sheetData>
      <sheetData sheetId="1148">
        <row r="5">
          <cell r="C5" t="str">
            <v>PACKAGE NO.</v>
          </cell>
        </row>
      </sheetData>
      <sheetData sheetId="1149">
        <row r="5">
          <cell r="C5" t="str">
            <v>PACKAGE NO.</v>
          </cell>
        </row>
      </sheetData>
      <sheetData sheetId="1150">
        <row r="5">
          <cell r="C5" t="str">
            <v>PACKAGE NO.</v>
          </cell>
        </row>
      </sheetData>
      <sheetData sheetId="1151">
        <row r="5">
          <cell r="C5" t="str">
            <v>PACKAGE NO.</v>
          </cell>
        </row>
      </sheetData>
      <sheetData sheetId="1152">
        <row r="5">
          <cell r="C5" t="str">
            <v>PACKAGE NO.</v>
          </cell>
        </row>
      </sheetData>
      <sheetData sheetId="1153">
        <row r="5">
          <cell r="C5" t="str">
            <v>PACKAGE NO.</v>
          </cell>
        </row>
      </sheetData>
      <sheetData sheetId="1154">
        <row r="5">
          <cell r="C5" t="str">
            <v>PACKAGE NO.</v>
          </cell>
        </row>
      </sheetData>
      <sheetData sheetId="1155">
        <row r="5">
          <cell r="C5" t="str">
            <v>PACKAGE NO.</v>
          </cell>
        </row>
      </sheetData>
      <sheetData sheetId="1156">
        <row r="5">
          <cell r="C5" t="str">
            <v>PACKAGE NO.</v>
          </cell>
        </row>
      </sheetData>
      <sheetData sheetId="1157">
        <row r="5">
          <cell r="C5" t="str">
            <v>PACKAGE NO.</v>
          </cell>
        </row>
      </sheetData>
      <sheetData sheetId="1158">
        <row r="5">
          <cell r="C5" t="str">
            <v>PACKAGE NO.</v>
          </cell>
        </row>
      </sheetData>
      <sheetData sheetId="1159">
        <row r="5">
          <cell r="C5" t="str">
            <v>PACKAGE NO.</v>
          </cell>
        </row>
      </sheetData>
      <sheetData sheetId="1160">
        <row r="5">
          <cell r="C5" t="str">
            <v>PACKAGE NO.</v>
          </cell>
        </row>
      </sheetData>
      <sheetData sheetId="1161">
        <row r="5">
          <cell r="C5" t="str">
            <v>PACKAGE NO.</v>
          </cell>
        </row>
      </sheetData>
      <sheetData sheetId="1162">
        <row r="5">
          <cell r="C5" t="str">
            <v>PACKAGE NO.</v>
          </cell>
        </row>
      </sheetData>
      <sheetData sheetId="1163">
        <row r="5">
          <cell r="C5" t="str">
            <v>PACKAGE NO.</v>
          </cell>
        </row>
      </sheetData>
      <sheetData sheetId="1164">
        <row r="5">
          <cell r="C5" t="str">
            <v>PACKAGE NO.</v>
          </cell>
        </row>
      </sheetData>
      <sheetData sheetId="1165">
        <row r="5">
          <cell r="C5" t="str">
            <v>PACKAGE NO.</v>
          </cell>
        </row>
      </sheetData>
      <sheetData sheetId="1166">
        <row r="5">
          <cell r="C5" t="str">
            <v>PACKAGE NO.</v>
          </cell>
        </row>
      </sheetData>
      <sheetData sheetId="1167">
        <row r="5">
          <cell r="C5" t="str">
            <v>PACKAGE NO.</v>
          </cell>
        </row>
      </sheetData>
      <sheetData sheetId="1168">
        <row r="5">
          <cell r="C5" t="str">
            <v>PACKAGE NO.</v>
          </cell>
        </row>
      </sheetData>
      <sheetData sheetId="1169">
        <row r="5">
          <cell r="C5" t="str">
            <v>PACKAGE NO.</v>
          </cell>
        </row>
      </sheetData>
      <sheetData sheetId="1170">
        <row r="5">
          <cell r="C5" t="str">
            <v>PACKAGE NO.</v>
          </cell>
        </row>
      </sheetData>
      <sheetData sheetId="1171">
        <row r="5">
          <cell r="C5" t="str">
            <v>PACKAGE NO.</v>
          </cell>
        </row>
      </sheetData>
      <sheetData sheetId="1172">
        <row r="5">
          <cell r="C5" t="str">
            <v>PACKAGE NO.</v>
          </cell>
        </row>
      </sheetData>
      <sheetData sheetId="1173">
        <row r="5">
          <cell r="C5" t="str">
            <v>PACKAGE NO.</v>
          </cell>
        </row>
      </sheetData>
      <sheetData sheetId="1174">
        <row r="5">
          <cell r="C5" t="str">
            <v>PACKAGE NO.</v>
          </cell>
        </row>
      </sheetData>
      <sheetData sheetId="1175">
        <row r="5">
          <cell r="C5" t="str">
            <v>PACKAGE NO.</v>
          </cell>
        </row>
      </sheetData>
      <sheetData sheetId="1176">
        <row r="5">
          <cell r="C5" t="str">
            <v>PACKAGE NO.</v>
          </cell>
        </row>
      </sheetData>
      <sheetData sheetId="1177">
        <row r="5">
          <cell r="C5" t="str">
            <v>PACKAGE NO.</v>
          </cell>
        </row>
      </sheetData>
      <sheetData sheetId="1178">
        <row r="5">
          <cell r="C5" t="str">
            <v>PACKAGE NO.</v>
          </cell>
        </row>
      </sheetData>
      <sheetData sheetId="1179">
        <row r="5">
          <cell r="C5" t="str">
            <v>PACKAGE NO.</v>
          </cell>
        </row>
      </sheetData>
      <sheetData sheetId="1180">
        <row r="5">
          <cell r="C5" t="str">
            <v>PACKAGE NO.</v>
          </cell>
        </row>
      </sheetData>
      <sheetData sheetId="1181">
        <row r="5">
          <cell r="C5" t="str">
            <v>PACKAGE NO.</v>
          </cell>
        </row>
      </sheetData>
      <sheetData sheetId="1182">
        <row r="5">
          <cell r="C5" t="str">
            <v>PACKAGE NO.</v>
          </cell>
        </row>
      </sheetData>
      <sheetData sheetId="1183">
        <row r="5">
          <cell r="C5" t="str">
            <v>PACKAGE NO.</v>
          </cell>
        </row>
      </sheetData>
      <sheetData sheetId="1184">
        <row r="5">
          <cell r="C5" t="str">
            <v>PACKAGE NO.</v>
          </cell>
        </row>
      </sheetData>
      <sheetData sheetId="1185">
        <row r="5">
          <cell r="C5" t="str">
            <v>PACKAGE NO.</v>
          </cell>
        </row>
      </sheetData>
      <sheetData sheetId="1186">
        <row r="5">
          <cell r="C5" t="str">
            <v>PACKAGE NO.</v>
          </cell>
        </row>
      </sheetData>
      <sheetData sheetId="1187">
        <row r="5">
          <cell r="C5" t="str">
            <v>PACKAGE NO.</v>
          </cell>
        </row>
      </sheetData>
      <sheetData sheetId="1188">
        <row r="5">
          <cell r="C5" t="str">
            <v>PACKAGE NO.</v>
          </cell>
        </row>
      </sheetData>
      <sheetData sheetId="1189">
        <row r="5">
          <cell r="C5" t="str">
            <v>PACKAGE NO.</v>
          </cell>
        </row>
      </sheetData>
      <sheetData sheetId="1190">
        <row r="5">
          <cell r="C5" t="str">
            <v>PACKAGE NO.</v>
          </cell>
        </row>
      </sheetData>
      <sheetData sheetId="1191">
        <row r="5">
          <cell r="C5" t="str">
            <v>PACKAGE NO.</v>
          </cell>
        </row>
      </sheetData>
      <sheetData sheetId="1192">
        <row r="5">
          <cell r="C5" t="str">
            <v>PACKAGE NO.</v>
          </cell>
        </row>
      </sheetData>
      <sheetData sheetId="1193">
        <row r="5">
          <cell r="C5" t="str">
            <v>PACKAGE NO.</v>
          </cell>
        </row>
      </sheetData>
      <sheetData sheetId="1194">
        <row r="5">
          <cell r="C5" t="str">
            <v>PACKAGE NO.</v>
          </cell>
        </row>
      </sheetData>
      <sheetData sheetId="1195">
        <row r="5">
          <cell r="C5" t="str">
            <v>PACKAGE NO.</v>
          </cell>
        </row>
      </sheetData>
      <sheetData sheetId="1196">
        <row r="5">
          <cell r="C5" t="str">
            <v>PACKAGE NO.</v>
          </cell>
        </row>
      </sheetData>
      <sheetData sheetId="1197">
        <row r="5">
          <cell r="C5" t="str">
            <v>PACKAGE NO.</v>
          </cell>
        </row>
      </sheetData>
      <sheetData sheetId="1198">
        <row r="5">
          <cell r="C5" t="str">
            <v>PACKAGE NO.</v>
          </cell>
        </row>
      </sheetData>
      <sheetData sheetId="1199">
        <row r="5">
          <cell r="C5" t="str">
            <v>PACKAGE NO.</v>
          </cell>
        </row>
      </sheetData>
      <sheetData sheetId="1200">
        <row r="5">
          <cell r="C5" t="str">
            <v>PACKAGE NO.</v>
          </cell>
        </row>
      </sheetData>
      <sheetData sheetId="1201">
        <row r="5">
          <cell r="C5" t="str">
            <v>PACKAGE NO.</v>
          </cell>
        </row>
      </sheetData>
      <sheetData sheetId="1202">
        <row r="5">
          <cell r="C5" t="str">
            <v>PACKAGE NO.</v>
          </cell>
        </row>
      </sheetData>
      <sheetData sheetId="1203">
        <row r="5">
          <cell r="C5" t="str">
            <v>PACKAGE NO.</v>
          </cell>
        </row>
      </sheetData>
      <sheetData sheetId="1204">
        <row r="5">
          <cell r="C5" t="str">
            <v>PACKAGE NO.</v>
          </cell>
        </row>
      </sheetData>
      <sheetData sheetId="1205">
        <row r="5">
          <cell r="C5" t="str">
            <v>PACKAGE NO.</v>
          </cell>
        </row>
      </sheetData>
      <sheetData sheetId="1206">
        <row r="5">
          <cell r="C5" t="str">
            <v>PACKAGE NO.</v>
          </cell>
        </row>
      </sheetData>
      <sheetData sheetId="1207">
        <row r="5">
          <cell r="C5" t="str">
            <v>PACKAGE NO.</v>
          </cell>
        </row>
      </sheetData>
      <sheetData sheetId="1208">
        <row r="5">
          <cell r="C5" t="str">
            <v>PACKAGE NO.</v>
          </cell>
        </row>
      </sheetData>
      <sheetData sheetId="1209">
        <row r="5">
          <cell r="C5" t="str">
            <v>PACKAGE NO.</v>
          </cell>
        </row>
      </sheetData>
      <sheetData sheetId="1210">
        <row r="5">
          <cell r="C5" t="str">
            <v>PACKAGE NO.</v>
          </cell>
        </row>
      </sheetData>
      <sheetData sheetId="1211">
        <row r="5">
          <cell r="C5" t="str">
            <v>PACKAGE NO.</v>
          </cell>
        </row>
      </sheetData>
      <sheetData sheetId="1212">
        <row r="5">
          <cell r="C5" t="str">
            <v>PACKAGE NO.</v>
          </cell>
        </row>
      </sheetData>
      <sheetData sheetId="1213">
        <row r="5">
          <cell r="C5" t="str">
            <v>PACKAGE NO.</v>
          </cell>
        </row>
      </sheetData>
      <sheetData sheetId="1214">
        <row r="5">
          <cell r="C5" t="str">
            <v>PACKAGE NO.</v>
          </cell>
        </row>
      </sheetData>
      <sheetData sheetId="1215">
        <row r="5">
          <cell r="C5" t="str">
            <v>PACKAGE NO.</v>
          </cell>
        </row>
      </sheetData>
      <sheetData sheetId="1216">
        <row r="5">
          <cell r="C5" t="str">
            <v>PACKAGE NO.</v>
          </cell>
        </row>
      </sheetData>
      <sheetData sheetId="1217">
        <row r="5">
          <cell r="C5" t="str">
            <v>PACKAGE NO.</v>
          </cell>
        </row>
      </sheetData>
      <sheetData sheetId="1218">
        <row r="5">
          <cell r="C5" t="str">
            <v>PACKAGE NO.</v>
          </cell>
        </row>
      </sheetData>
      <sheetData sheetId="1219">
        <row r="5">
          <cell r="C5" t="str">
            <v>PACKAGE NO.</v>
          </cell>
        </row>
      </sheetData>
      <sheetData sheetId="1220">
        <row r="5">
          <cell r="C5" t="str">
            <v>PACKAGE NO.</v>
          </cell>
        </row>
      </sheetData>
      <sheetData sheetId="1221">
        <row r="5">
          <cell r="C5" t="str">
            <v>PACKAGE NO.</v>
          </cell>
        </row>
      </sheetData>
      <sheetData sheetId="1222">
        <row r="5">
          <cell r="C5" t="str">
            <v>PACKAGE NO.</v>
          </cell>
        </row>
      </sheetData>
      <sheetData sheetId="1223">
        <row r="5">
          <cell r="C5" t="str">
            <v>PACKAGE NO.</v>
          </cell>
        </row>
      </sheetData>
      <sheetData sheetId="1224">
        <row r="5">
          <cell r="C5" t="str">
            <v>PACKAGE NO.</v>
          </cell>
        </row>
      </sheetData>
      <sheetData sheetId="1225">
        <row r="5">
          <cell r="C5" t="str">
            <v>PACKAGE NO.</v>
          </cell>
        </row>
      </sheetData>
      <sheetData sheetId="1226">
        <row r="5">
          <cell r="C5" t="str">
            <v>PACKAGE NO.</v>
          </cell>
        </row>
      </sheetData>
      <sheetData sheetId="1227">
        <row r="5">
          <cell r="C5" t="str">
            <v>PACKAGE NO.</v>
          </cell>
        </row>
      </sheetData>
      <sheetData sheetId="1228">
        <row r="5">
          <cell r="C5" t="str">
            <v>PACKAGE NO.</v>
          </cell>
        </row>
      </sheetData>
      <sheetData sheetId="1229">
        <row r="5">
          <cell r="C5" t="str">
            <v>PACKAGE NO.</v>
          </cell>
        </row>
      </sheetData>
      <sheetData sheetId="1230">
        <row r="5">
          <cell r="C5" t="str">
            <v>PACKAGE NO.</v>
          </cell>
        </row>
      </sheetData>
      <sheetData sheetId="1231">
        <row r="5">
          <cell r="C5" t="str">
            <v>PACKAGE NO.</v>
          </cell>
        </row>
      </sheetData>
      <sheetData sheetId="1232">
        <row r="5">
          <cell r="C5" t="str">
            <v>PACKAGE NO.</v>
          </cell>
        </row>
      </sheetData>
      <sheetData sheetId="1233">
        <row r="5">
          <cell r="C5" t="str">
            <v>PACKAGE NO.</v>
          </cell>
        </row>
      </sheetData>
      <sheetData sheetId="1234">
        <row r="5">
          <cell r="C5" t="str">
            <v>PACKAGE NO.</v>
          </cell>
        </row>
      </sheetData>
      <sheetData sheetId="1235">
        <row r="5">
          <cell r="C5" t="str">
            <v>PACKAGE NO.</v>
          </cell>
        </row>
      </sheetData>
      <sheetData sheetId="1236">
        <row r="5">
          <cell r="C5" t="str">
            <v>PACKAGE NO.</v>
          </cell>
        </row>
      </sheetData>
      <sheetData sheetId="1237">
        <row r="5">
          <cell r="C5" t="str">
            <v>PACKAGE NO.</v>
          </cell>
        </row>
      </sheetData>
      <sheetData sheetId="1238">
        <row r="5">
          <cell r="C5" t="str">
            <v>PACKAGE NO.</v>
          </cell>
        </row>
      </sheetData>
      <sheetData sheetId="1239">
        <row r="5">
          <cell r="C5" t="str">
            <v>PACKAGE NO.</v>
          </cell>
        </row>
      </sheetData>
      <sheetData sheetId="1240">
        <row r="5">
          <cell r="C5" t="str">
            <v>PACKAGE NO.</v>
          </cell>
        </row>
      </sheetData>
      <sheetData sheetId="1241">
        <row r="5">
          <cell r="C5" t="str">
            <v>PACKAGE NO.</v>
          </cell>
        </row>
      </sheetData>
      <sheetData sheetId="1242">
        <row r="5">
          <cell r="C5" t="str">
            <v>PACKAGE NO.</v>
          </cell>
        </row>
      </sheetData>
      <sheetData sheetId="1243">
        <row r="5">
          <cell r="C5" t="str">
            <v>PACKAGE NO.</v>
          </cell>
        </row>
      </sheetData>
      <sheetData sheetId="1244">
        <row r="5">
          <cell r="C5" t="str">
            <v>PACKAGE NO.</v>
          </cell>
        </row>
      </sheetData>
      <sheetData sheetId="1245">
        <row r="5">
          <cell r="C5" t="str">
            <v>PACKAGE NO.</v>
          </cell>
        </row>
      </sheetData>
      <sheetData sheetId="1246">
        <row r="5">
          <cell r="C5" t="str">
            <v>PACKAGE NO.</v>
          </cell>
        </row>
      </sheetData>
      <sheetData sheetId="1247">
        <row r="5">
          <cell r="C5" t="str">
            <v>PACKAGE NO.</v>
          </cell>
        </row>
      </sheetData>
      <sheetData sheetId="1248">
        <row r="5">
          <cell r="C5" t="str">
            <v>PACKAGE NO.</v>
          </cell>
        </row>
      </sheetData>
      <sheetData sheetId="1249">
        <row r="5">
          <cell r="C5" t="str">
            <v>PACKAGE NO.</v>
          </cell>
        </row>
      </sheetData>
      <sheetData sheetId="1250">
        <row r="5">
          <cell r="C5" t="str">
            <v>PACKAGE NO.</v>
          </cell>
        </row>
      </sheetData>
      <sheetData sheetId="1251">
        <row r="5">
          <cell r="C5" t="str">
            <v>PACKAGE NO.</v>
          </cell>
        </row>
      </sheetData>
      <sheetData sheetId="1252">
        <row r="5">
          <cell r="C5" t="str">
            <v>PACKAGE NO.</v>
          </cell>
        </row>
      </sheetData>
      <sheetData sheetId="1253">
        <row r="5">
          <cell r="C5" t="str">
            <v>PACKAGE NO.</v>
          </cell>
        </row>
      </sheetData>
      <sheetData sheetId="1254">
        <row r="5">
          <cell r="C5" t="str">
            <v>PACKAGE NO.</v>
          </cell>
        </row>
      </sheetData>
      <sheetData sheetId="1255">
        <row r="5">
          <cell r="C5" t="str">
            <v>PACKAGE NO.</v>
          </cell>
        </row>
      </sheetData>
      <sheetData sheetId="1256">
        <row r="5">
          <cell r="C5" t="str">
            <v>PACKAGE NO.</v>
          </cell>
        </row>
      </sheetData>
      <sheetData sheetId="1257">
        <row r="5">
          <cell r="C5" t="str">
            <v>PACKAGE NO.</v>
          </cell>
        </row>
      </sheetData>
      <sheetData sheetId="1258">
        <row r="5">
          <cell r="C5" t="str">
            <v>PACKAGE NO.</v>
          </cell>
        </row>
      </sheetData>
      <sheetData sheetId="1259">
        <row r="5">
          <cell r="C5" t="str">
            <v>PACKAGE NO.</v>
          </cell>
        </row>
      </sheetData>
      <sheetData sheetId="1260">
        <row r="5">
          <cell r="C5" t="str">
            <v>PACKAGE NO.</v>
          </cell>
        </row>
      </sheetData>
      <sheetData sheetId="1261">
        <row r="5">
          <cell r="C5" t="str">
            <v>PACKAGE NO.</v>
          </cell>
        </row>
      </sheetData>
      <sheetData sheetId="1262">
        <row r="5">
          <cell r="C5" t="str">
            <v>PACKAGE NO.</v>
          </cell>
        </row>
      </sheetData>
      <sheetData sheetId="1263">
        <row r="5">
          <cell r="C5" t="str">
            <v>PACKAGE NO.</v>
          </cell>
        </row>
      </sheetData>
      <sheetData sheetId="1264">
        <row r="5">
          <cell r="C5" t="str">
            <v>PACKAGE NO.</v>
          </cell>
        </row>
      </sheetData>
      <sheetData sheetId="1265">
        <row r="5">
          <cell r="C5" t="str">
            <v>PACKAGE NO.</v>
          </cell>
        </row>
      </sheetData>
      <sheetData sheetId="1266">
        <row r="5">
          <cell r="C5" t="str">
            <v>PACKAGE NO.</v>
          </cell>
        </row>
      </sheetData>
      <sheetData sheetId="1267">
        <row r="5">
          <cell r="C5" t="str">
            <v>PACKAGE NO.</v>
          </cell>
        </row>
      </sheetData>
      <sheetData sheetId="1268">
        <row r="5">
          <cell r="C5" t="str">
            <v>PACKAGE NO.</v>
          </cell>
        </row>
      </sheetData>
      <sheetData sheetId="1269">
        <row r="5">
          <cell r="C5" t="str">
            <v>PACKAGE NO.</v>
          </cell>
        </row>
      </sheetData>
      <sheetData sheetId="1270">
        <row r="5">
          <cell r="C5" t="str">
            <v>PACKAGE NO.</v>
          </cell>
        </row>
      </sheetData>
      <sheetData sheetId="1271">
        <row r="5">
          <cell r="C5" t="str">
            <v>PACKAGE NO.</v>
          </cell>
        </row>
      </sheetData>
      <sheetData sheetId="1272">
        <row r="5">
          <cell r="C5" t="str">
            <v>PACKAGE NO.</v>
          </cell>
        </row>
      </sheetData>
      <sheetData sheetId="1273">
        <row r="5">
          <cell r="C5" t="str">
            <v>PACKAGE NO.</v>
          </cell>
        </row>
      </sheetData>
      <sheetData sheetId="1274">
        <row r="5">
          <cell r="C5" t="str">
            <v>PACKAGE NO.</v>
          </cell>
        </row>
      </sheetData>
      <sheetData sheetId="1275">
        <row r="5">
          <cell r="C5" t="str">
            <v>PACKAGE NO.</v>
          </cell>
        </row>
      </sheetData>
      <sheetData sheetId="1276">
        <row r="5">
          <cell r="C5" t="str">
            <v>PACKAGE NO.</v>
          </cell>
        </row>
      </sheetData>
      <sheetData sheetId="1277">
        <row r="5">
          <cell r="C5" t="str">
            <v>PACKAGE NO.</v>
          </cell>
        </row>
      </sheetData>
      <sheetData sheetId="1278">
        <row r="5">
          <cell r="C5" t="str">
            <v>PACKAGE NO.</v>
          </cell>
        </row>
      </sheetData>
      <sheetData sheetId="1279">
        <row r="5">
          <cell r="C5" t="str">
            <v>PACKAGE NO.</v>
          </cell>
        </row>
      </sheetData>
      <sheetData sheetId="1280">
        <row r="5">
          <cell r="C5" t="str">
            <v>PACKAGE NO.</v>
          </cell>
        </row>
      </sheetData>
      <sheetData sheetId="1281">
        <row r="5">
          <cell r="C5" t="str">
            <v>PACKAGE NO.</v>
          </cell>
        </row>
      </sheetData>
      <sheetData sheetId="1282">
        <row r="5">
          <cell r="C5" t="str">
            <v>PACKAGE NO.</v>
          </cell>
        </row>
      </sheetData>
      <sheetData sheetId="1283">
        <row r="5">
          <cell r="C5" t="str">
            <v>PACKAGE NO.</v>
          </cell>
        </row>
      </sheetData>
      <sheetData sheetId="1284">
        <row r="5">
          <cell r="C5" t="str">
            <v>PACKAGE NO.</v>
          </cell>
        </row>
      </sheetData>
      <sheetData sheetId="1285">
        <row r="5">
          <cell r="C5" t="str">
            <v>PACKAGE NO.</v>
          </cell>
        </row>
      </sheetData>
      <sheetData sheetId="1286">
        <row r="5">
          <cell r="C5" t="str">
            <v>PACKAGE NO.</v>
          </cell>
        </row>
      </sheetData>
      <sheetData sheetId="1287">
        <row r="5">
          <cell r="C5" t="str">
            <v>PACKAGE NO.</v>
          </cell>
        </row>
      </sheetData>
      <sheetData sheetId="1288">
        <row r="5">
          <cell r="C5" t="str">
            <v>PACKAGE NO.</v>
          </cell>
        </row>
      </sheetData>
      <sheetData sheetId="1289">
        <row r="5">
          <cell r="C5" t="str">
            <v>PACKAGE NO.</v>
          </cell>
        </row>
      </sheetData>
      <sheetData sheetId="1290">
        <row r="5">
          <cell r="C5" t="str">
            <v>PACKAGE NO.</v>
          </cell>
        </row>
      </sheetData>
      <sheetData sheetId="1291">
        <row r="5">
          <cell r="C5" t="str">
            <v>PACKAGE NO.</v>
          </cell>
        </row>
      </sheetData>
      <sheetData sheetId="1292">
        <row r="5">
          <cell r="C5" t="str">
            <v>PACKAGE NO.</v>
          </cell>
        </row>
      </sheetData>
      <sheetData sheetId="1293">
        <row r="5">
          <cell r="C5" t="str">
            <v>PACKAGE NO.</v>
          </cell>
        </row>
      </sheetData>
      <sheetData sheetId="1294">
        <row r="5">
          <cell r="C5" t="str">
            <v>PACKAGE NO.</v>
          </cell>
        </row>
      </sheetData>
      <sheetData sheetId="1295">
        <row r="5">
          <cell r="C5" t="str">
            <v>PACKAGE NO.</v>
          </cell>
        </row>
      </sheetData>
      <sheetData sheetId="1296">
        <row r="5">
          <cell r="C5" t="str">
            <v>PACKAGE NO.</v>
          </cell>
        </row>
      </sheetData>
      <sheetData sheetId="1297">
        <row r="5">
          <cell r="C5" t="str">
            <v>PACKAGE NO.</v>
          </cell>
        </row>
      </sheetData>
      <sheetData sheetId="1298">
        <row r="5">
          <cell r="C5" t="str">
            <v>PACKAGE NO.</v>
          </cell>
        </row>
      </sheetData>
      <sheetData sheetId="1299">
        <row r="5">
          <cell r="C5" t="str">
            <v>PACKAGE NO.</v>
          </cell>
        </row>
      </sheetData>
      <sheetData sheetId="1300">
        <row r="5">
          <cell r="C5" t="str">
            <v>PACKAGE NO.</v>
          </cell>
        </row>
      </sheetData>
      <sheetData sheetId="1301">
        <row r="5">
          <cell r="C5" t="str">
            <v>PACKAGE NO.</v>
          </cell>
        </row>
      </sheetData>
      <sheetData sheetId="1302">
        <row r="5">
          <cell r="C5" t="str">
            <v>PACKAGE NO.</v>
          </cell>
        </row>
      </sheetData>
      <sheetData sheetId="1303">
        <row r="5">
          <cell r="C5" t="str">
            <v>PACKAGE NO.</v>
          </cell>
        </row>
      </sheetData>
      <sheetData sheetId="1304">
        <row r="5">
          <cell r="C5" t="str">
            <v>PACKAGE NO.</v>
          </cell>
        </row>
      </sheetData>
      <sheetData sheetId="1305">
        <row r="5">
          <cell r="C5" t="str">
            <v>PACKAGE NO.</v>
          </cell>
        </row>
      </sheetData>
      <sheetData sheetId="1306">
        <row r="5">
          <cell r="C5" t="str">
            <v>PACKAGE NO.</v>
          </cell>
        </row>
      </sheetData>
      <sheetData sheetId="1307">
        <row r="5">
          <cell r="C5" t="str">
            <v>PACKAGE NO.</v>
          </cell>
        </row>
      </sheetData>
      <sheetData sheetId="1308">
        <row r="5">
          <cell r="C5" t="str">
            <v>PACKAGE NO.</v>
          </cell>
        </row>
      </sheetData>
      <sheetData sheetId="1309">
        <row r="5">
          <cell r="C5" t="str">
            <v>PACKAGE NO.</v>
          </cell>
        </row>
      </sheetData>
      <sheetData sheetId="1310">
        <row r="5">
          <cell r="C5" t="str">
            <v>PACKAGE NO.</v>
          </cell>
        </row>
      </sheetData>
      <sheetData sheetId="1311">
        <row r="5">
          <cell r="C5" t="str">
            <v>PACKAGE NO.</v>
          </cell>
        </row>
      </sheetData>
      <sheetData sheetId="1312">
        <row r="5">
          <cell r="C5" t="str">
            <v>PACKAGE NO.</v>
          </cell>
        </row>
      </sheetData>
      <sheetData sheetId="1313">
        <row r="5">
          <cell r="C5" t="str">
            <v>PACKAGE NO.</v>
          </cell>
        </row>
      </sheetData>
      <sheetData sheetId="1314">
        <row r="5">
          <cell r="C5" t="str">
            <v>PACKAGE NO.</v>
          </cell>
        </row>
      </sheetData>
      <sheetData sheetId="1315">
        <row r="5">
          <cell r="C5" t="str">
            <v>PACKAGE NO.</v>
          </cell>
        </row>
      </sheetData>
      <sheetData sheetId="1316">
        <row r="5">
          <cell r="C5" t="str">
            <v>PACKAGE NO.</v>
          </cell>
        </row>
      </sheetData>
      <sheetData sheetId="1317">
        <row r="5">
          <cell r="C5" t="str">
            <v>PACKAGE NO.</v>
          </cell>
        </row>
      </sheetData>
      <sheetData sheetId="1318">
        <row r="5">
          <cell r="C5" t="str">
            <v>PACKAGE NO.</v>
          </cell>
        </row>
      </sheetData>
      <sheetData sheetId="1319">
        <row r="5">
          <cell r="C5" t="str">
            <v>PACKAGE NO.</v>
          </cell>
        </row>
      </sheetData>
      <sheetData sheetId="1320">
        <row r="5">
          <cell r="C5" t="str">
            <v>PACKAGE NO.</v>
          </cell>
        </row>
      </sheetData>
      <sheetData sheetId="1321">
        <row r="5">
          <cell r="C5" t="str">
            <v>PACKAGE NO.</v>
          </cell>
        </row>
      </sheetData>
      <sheetData sheetId="1322">
        <row r="5">
          <cell r="C5" t="str">
            <v>PACKAGE NO.</v>
          </cell>
        </row>
      </sheetData>
      <sheetData sheetId="1323">
        <row r="5">
          <cell r="C5" t="str">
            <v>PACKAGE NO.</v>
          </cell>
        </row>
      </sheetData>
      <sheetData sheetId="1324">
        <row r="5">
          <cell r="C5" t="str">
            <v>PACKAGE NO.</v>
          </cell>
        </row>
      </sheetData>
      <sheetData sheetId="1325">
        <row r="5">
          <cell r="C5" t="str">
            <v>PACKAGE NO.</v>
          </cell>
        </row>
      </sheetData>
      <sheetData sheetId="1326">
        <row r="5">
          <cell r="C5" t="str">
            <v>PACKAGE NO.</v>
          </cell>
        </row>
      </sheetData>
      <sheetData sheetId="1327">
        <row r="5">
          <cell r="C5" t="str">
            <v>PACKAGE NO.</v>
          </cell>
        </row>
      </sheetData>
      <sheetData sheetId="1328">
        <row r="5">
          <cell r="C5" t="str">
            <v>PACKAGE NO.</v>
          </cell>
        </row>
      </sheetData>
      <sheetData sheetId="1329">
        <row r="5">
          <cell r="C5" t="str">
            <v>PACKAGE NO.</v>
          </cell>
        </row>
      </sheetData>
      <sheetData sheetId="1330">
        <row r="5">
          <cell r="C5" t="str">
            <v>PACKAGE NO.</v>
          </cell>
        </row>
      </sheetData>
      <sheetData sheetId="1331">
        <row r="5">
          <cell r="C5" t="str">
            <v>PACKAGE NO.</v>
          </cell>
        </row>
      </sheetData>
      <sheetData sheetId="1332">
        <row r="5">
          <cell r="C5" t="str">
            <v>PACKAGE NO.</v>
          </cell>
        </row>
      </sheetData>
      <sheetData sheetId="1333">
        <row r="5">
          <cell r="C5" t="str">
            <v>PACKAGE NO.</v>
          </cell>
        </row>
      </sheetData>
      <sheetData sheetId="1334">
        <row r="5">
          <cell r="C5" t="str">
            <v>PACKAGE NO.</v>
          </cell>
        </row>
      </sheetData>
      <sheetData sheetId="1335">
        <row r="5">
          <cell r="C5" t="str">
            <v>PACKAGE NO.</v>
          </cell>
        </row>
      </sheetData>
      <sheetData sheetId="1336">
        <row r="5">
          <cell r="C5" t="str">
            <v>PACKAGE NO.</v>
          </cell>
        </row>
      </sheetData>
      <sheetData sheetId="1337">
        <row r="5">
          <cell r="C5" t="str">
            <v>PACKAGE NO.</v>
          </cell>
        </row>
      </sheetData>
      <sheetData sheetId="1338">
        <row r="5">
          <cell r="C5" t="str">
            <v>PACKAGE NO.</v>
          </cell>
        </row>
      </sheetData>
      <sheetData sheetId="1339">
        <row r="5">
          <cell r="C5" t="str">
            <v>PACKAGE NO.</v>
          </cell>
        </row>
      </sheetData>
      <sheetData sheetId="1340">
        <row r="5">
          <cell r="C5" t="str">
            <v>PACKAGE NO.</v>
          </cell>
        </row>
      </sheetData>
      <sheetData sheetId="1341">
        <row r="5">
          <cell r="C5" t="str">
            <v>PACKAGE NO.</v>
          </cell>
        </row>
      </sheetData>
      <sheetData sheetId="1342">
        <row r="5">
          <cell r="C5" t="str">
            <v>PACKAGE NO.</v>
          </cell>
        </row>
      </sheetData>
      <sheetData sheetId="1343">
        <row r="5">
          <cell r="C5" t="str">
            <v>PACKAGE NO.</v>
          </cell>
        </row>
      </sheetData>
      <sheetData sheetId="1344">
        <row r="5">
          <cell r="C5" t="str">
            <v>PACKAGE NO.</v>
          </cell>
        </row>
      </sheetData>
      <sheetData sheetId="1345">
        <row r="5">
          <cell r="C5" t="str">
            <v>PACKAGE NO.</v>
          </cell>
        </row>
      </sheetData>
      <sheetData sheetId="1346">
        <row r="5">
          <cell r="C5" t="str">
            <v>PACKAGE NO.</v>
          </cell>
        </row>
      </sheetData>
      <sheetData sheetId="1347">
        <row r="5">
          <cell r="C5" t="str">
            <v>PACKAGE NO.</v>
          </cell>
        </row>
      </sheetData>
      <sheetData sheetId="1348">
        <row r="5">
          <cell r="C5" t="str">
            <v>PACKAGE NO.</v>
          </cell>
        </row>
      </sheetData>
      <sheetData sheetId="1349">
        <row r="5">
          <cell r="C5" t="str">
            <v>PACKAGE NO.</v>
          </cell>
        </row>
      </sheetData>
      <sheetData sheetId="1350">
        <row r="5">
          <cell r="C5" t="str">
            <v>PACKAGE NO.</v>
          </cell>
        </row>
      </sheetData>
      <sheetData sheetId="1351">
        <row r="5">
          <cell r="C5" t="str">
            <v>PACKAGE NO.</v>
          </cell>
        </row>
      </sheetData>
      <sheetData sheetId="1352">
        <row r="5">
          <cell r="C5" t="str">
            <v>PACKAGE NO.</v>
          </cell>
        </row>
      </sheetData>
      <sheetData sheetId="1353">
        <row r="5">
          <cell r="C5" t="str">
            <v>PACKAGE NO.</v>
          </cell>
        </row>
      </sheetData>
      <sheetData sheetId="1354">
        <row r="5">
          <cell r="C5" t="str">
            <v>PACKAGE NO.</v>
          </cell>
        </row>
      </sheetData>
      <sheetData sheetId="1355">
        <row r="5">
          <cell r="C5" t="str">
            <v>PACKAGE NO.</v>
          </cell>
        </row>
      </sheetData>
      <sheetData sheetId="1356">
        <row r="5">
          <cell r="C5" t="str">
            <v>PACKAGE NO.</v>
          </cell>
        </row>
      </sheetData>
      <sheetData sheetId="1357">
        <row r="5">
          <cell r="C5" t="str">
            <v>PACKAGE NO.</v>
          </cell>
        </row>
      </sheetData>
      <sheetData sheetId="1358">
        <row r="5">
          <cell r="C5" t="str">
            <v>PACKAGE NO.</v>
          </cell>
        </row>
      </sheetData>
      <sheetData sheetId="1359">
        <row r="5">
          <cell r="C5" t="str">
            <v>PACKAGE NO.</v>
          </cell>
        </row>
      </sheetData>
      <sheetData sheetId="1360">
        <row r="5">
          <cell r="C5" t="str">
            <v>PACKAGE NO.</v>
          </cell>
        </row>
      </sheetData>
      <sheetData sheetId="1361">
        <row r="5">
          <cell r="C5" t="str">
            <v>PACKAGE NO.</v>
          </cell>
        </row>
      </sheetData>
      <sheetData sheetId="1362">
        <row r="5">
          <cell r="C5" t="str">
            <v>PACKAGE NO.</v>
          </cell>
        </row>
      </sheetData>
      <sheetData sheetId="1363">
        <row r="5">
          <cell r="C5" t="str">
            <v>PACKAGE NO.</v>
          </cell>
        </row>
      </sheetData>
      <sheetData sheetId="1364">
        <row r="5">
          <cell r="C5" t="str">
            <v>PACKAGE NO.</v>
          </cell>
        </row>
      </sheetData>
      <sheetData sheetId="1365">
        <row r="5">
          <cell r="C5" t="str">
            <v>PACKAGE NO.</v>
          </cell>
        </row>
      </sheetData>
      <sheetData sheetId="1366">
        <row r="5">
          <cell r="C5" t="str">
            <v>PACKAGE NO.</v>
          </cell>
        </row>
      </sheetData>
      <sheetData sheetId="1367">
        <row r="5">
          <cell r="C5" t="str">
            <v>PACKAGE NO.</v>
          </cell>
        </row>
      </sheetData>
      <sheetData sheetId="1368">
        <row r="5">
          <cell r="C5" t="str">
            <v>PACKAGE NO.</v>
          </cell>
        </row>
      </sheetData>
      <sheetData sheetId="1369">
        <row r="5">
          <cell r="C5" t="str">
            <v>PACKAGE NO.</v>
          </cell>
        </row>
      </sheetData>
      <sheetData sheetId="1370">
        <row r="5">
          <cell r="C5" t="str">
            <v>PACKAGE NO.</v>
          </cell>
        </row>
      </sheetData>
      <sheetData sheetId="1371">
        <row r="5">
          <cell r="C5" t="str">
            <v>PACKAGE NO.</v>
          </cell>
        </row>
      </sheetData>
      <sheetData sheetId="1372">
        <row r="5">
          <cell r="C5" t="str">
            <v>PACKAGE NO.</v>
          </cell>
        </row>
      </sheetData>
      <sheetData sheetId="1373">
        <row r="5">
          <cell r="C5" t="str">
            <v>PACKAGE NO.</v>
          </cell>
        </row>
      </sheetData>
      <sheetData sheetId="1374">
        <row r="5">
          <cell r="C5" t="str">
            <v>PACKAGE NO.</v>
          </cell>
        </row>
      </sheetData>
      <sheetData sheetId="1375">
        <row r="5">
          <cell r="C5" t="str">
            <v>PACKAGE NO.</v>
          </cell>
        </row>
      </sheetData>
      <sheetData sheetId="1376">
        <row r="5">
          <cell r="C5" t="str">
            <v>PACKAGE NO.</v>
          </cell>
        </row>
      </sheetData>
      <sheetData sheetId="1377">
        <row r="5">
          <cell r="C5" t="str">
            <v>PACKAGE NO.</v>
          </cell>
        </row>
      </sheetData>
      <sheetData sheetId="1378">
        <row r="5">
          <cell r="C5" t="str">
            <v>PACKAGE NO.</v>
          </cell>
        </row>
      </sheetData>
      <sheetData sheetId="1379">
        <row r="5">
          <cell r="C5" t="str">
            <v>PACKAGE NO.</v>
          </cell>
        </row>
      </sheetData>
      <sheetData sheetId="1380">
        <row r="5">
          <cell r="C5" t="str">
            <v>PACKAGE NO.</v>
          </cell>
        </row>
      </sheetData>
      <sheetData sheetId="1381">
        <row r="5">
          <cell r="C5" t="str">
            <v>PACKAGE NO.</v>
          </cell>
        </row>
      </sheetData>
      <sheetData sheetId="1382">
        <row r="5">
          <cell r="C5" t="str">
            <v>PACKAGE NO.</v>
          </cell>
        </row>
      </sheetData>
      <sheetData sheetId="1383">
        <row r="5">
          <cell r="C5" t="str">
            <v>PACKAGE NO.</v>
          </cell>
        </row>
      </sheetData>
      <sheetData sheetId="1384">
        <row r="5">
          <cell r="C5" t="str">
            <v>PACKAGE NO.</v>
          </cell>
        </row>
      </sheetData>
      <sheetData sheetId="1385">
        <row r="5">
          <cell r="C5" t="str">
            <v>PACKAGE NO.</v>
          </cell>
        </row>
      </sheetData>
      <sheetData sheetId="1386">
        <row r="5">
          <cell r="C5" t="str">
            <v>PACKAGE NO.</v>
          </cell>
        </row>
      </sheetData>
      <sheetData sheetId="1387">
        <row r="5">
          <cell r="C5" t="str">
            <v>PACKAGE NO.</v>
          </cell>
        </row>
      </sheetData>
      <sheetData sheetId="1388">
        <row r="5">
          <cell r="C5" t="str">
            <v>PACKAGE NO.</v>
          </cell>
        </row>
      </sheetData>
      <sheetData sheetId="1389">
        <row r="5">
          <cell r="C5" t="str">
            <v>PACKAGE NO.</v>
          </cell>
        </row>
      </sheetData>
      <sheetData sheetId="1390">
        <row r="5">
          <cell r="C5" t="str">
            <v>PACKAGE NO.</v>
          </cell>
        </row>
      </sheetData>
      <sheetData sheetId="1391">
        <row r="5">
          <cell r="C5" t="str">
            <v>PACKAGE NO.</v>
          </cell>
        </row>
      </sheetData>
      <sheetData sheetId="1392">
        <row r="5">
          <cell r="C5" t="str">
            <v>PACKAGE NO.</v>
          </cell>
        </row>
      </sheetData>
      <sheetData sheetId="1393">
        <row r="5">
          <cell r="C5" t="str">
            <v>PACKAGE NO.</v>
          </cell>
        </row>
      </sheetData>
      <sheetData sheetId="1394">
        <row r="5">
          <cell r="C5" t="str">
            <v>PACKAGE NO.</v>
          </cell>
        </row>
      </sheetData>
      <sheetData sheetId="1395">
        <row r="5">
          <cell r="C5" t="str">
            <v>PACKAGE NO.</v>
          </cell>
        </row>
      </sheetData>
      <sheetData sheetId="1396">
        <row r="5">
          <cell r="C5" t="str">
            <v>PACKAGE NO.</v>
          </cell>
        </row>
      </sheetData>
      <sheetData sheetId="1397">
        <row r="5">
          <cell r="C5" t="str">
            <v>PACKAGE NO.</v>
          </cell>
        </row>
      </sheetData>
      <sheetData sheetId="1398">
        <row r="5">
          <cell r="C5" t="str">
            <v>PACKAGE NO.</v>
          </cell>
        </row>
      </sheetData>
      <sheetData sheetId="1399">
        <row r="5">
          <cell r="C5" t="str">
            <v>PACKAGE NO.</v>
          </cell>
        </row>
      </sheetData>
      <sheetData sheetId="1400">
        <row r="5">
          <cell r="C5" t="str">
            <v>PACKAGE NO.</v>
          </cell>
        </row>
      </sheetData>
      <sheetData sheetId="1401">
        <row r="5">
          <cell r="C5" t="str">
            <v>PACKAGE NO.</v>
          </cell>
        </row>
      </sheetData>
      <sheetData sheetId="1402">
        <row r="5">
          <cell r="C5" t="str">
            <v>PACKAGE NO.</v>
          </cell>
        </row>
      </sheetData>
      <sheetData sheetId="1403">
        <row r="5">
          <cell r="C5" t="str">
            <v>PACKAGE NO.</v>
          </cell>
        </row>
      </sheetData>
      <sheetData sheetId="1404">
        <row r="5">
          <cell r="C5" t="str">
            <v>PACKAGE NO.</v>
          </cell>
        </row>
      </sheetData>
      <sheetData sheetId="1405">
        <row r="5">
          <cell r="C5" t="str">
            <v>PACKAGE NO.</v>
          </cell>
        </row>
      </sheetData>
      <sheetData sheetId="1406">
        <row r="5">
          <cell r="C5" t="str">
            <v>PACKAGE NO.</v>
          </cell>
        </row>
      </sheetData>
      <sheetData sheetId="1407">
        <row r="5">
          <cell r="C5" t="str">
            <v>PACKAGE NO.</v>
          </cell>
        </row>
      </sheetData>
      <sheetData sheetId="1408">
        <row r="5">
          <cell r="C5" t="str">
            <v>PACKAGE NO.</v>
          </cell>
        </row>
      </sheetData>
      <sheetData sheetId="1409">
        <row r="5">
          <cell r="C5" t="str">
            <v>PACKAGE NO.</v>
          </cell>
        </row>
      </sheetData>
      <sheetData sheetId="1410">
        <row r="5">
          <cell r="C5" t="str">
            <v>PACKAGE NO.</v>
          </cell>
        </row>
      </sheetData>
      <sheetData sheetId="1411">
        <row r="5">
          <cell r="C5" t="str">
            <v>PACKAGE NO.</v>
          </cell>
        </row>
      </sheetData>
      <sheetData sheetId="1412">
        <row r="5">
          <cell r="C5" t="str">
            <v>PACKAGE NO.</v>
          </cell>
        </row>
      </sheetData>
      <sheetData sheetId="1413">
        <row r="5">
          <cell r="C5" t="str">
            <v>PACKAGE NO.</v>
          </cell>
        </row>
      </sheetData>
      <sheetData sheetId="1414">
        <row r="5">
          <cell r="C5" t="str">
            <v>PACKAGE NO.</v>
          </cell>
        </row>
      </sheetData>
      <sheetData sheetId="1415">
        <row r="5">
          <cell r="C5" t="str">
            <v>PACKAGE NO.</v>
          </cell>
        </row>
      </sheetData>
      <sheetData sheetId="1416">
        <row r="5">
          <cell r="C5" t="str">
            <v>PACKAGE NO.</v>
          </cell>
        </row>
      </sheetData>
      <sheetData sheetId="1417">
        <row r="5">
          <cell r="C5" t="str">
            <v>PACKAGE NO.</v>
          </cell>
        </row>
      </sheetData>
      <sheetData sheetId="1418">
        <row r="5">
          <cell r="C5" t="str">
            <v>PACKAGE NO.</v>
          </cell>
        </row>
      </sheetData>
      <sheetData sheetId="1419">
        <row r="5">
          <cell r="C5" t="str">
            <v>PACKAGE NO.</v>
          </cell>
        </row>
      </sheetData>
      <sheetData sheetId="1420">
        <row r="5">
          <cell r="C5" t="str">
            <v>PACKAGE NO.</v>
          </cell>
        </row>
      </sheetData>
      <sheetData sheetId="1421">
        <row r="5">
          <cell r="C5" t="str">
            <v>PACKAGE NO.</v>
          </cell>
        </row>
      </sheetData>
      <sheetData sheetId="1422">
        <row r="5">
          <cell r="C5" t="str">
            <v>PACKAGE NO.</v>
          </cell>
        </row>
      </sheetData>
      <sheetData sheetId="1423">
        <row r="5">
          <cell r="C5" t="str">
            <v>PACKAGE NO.</v>
          </cell>
        </row>
      </sheetData>
      <sheetData sheetId="1424">
        <row r="5">
          <cell r="C5" t="str">
            <v>PACKAGE NO.</v>
          </cell>
        </row>
      </sheetData>
      <sheetData sheetId="1425">
        <row r="5">
          <cell r="C5" t="str">
            <v>PACKAGE NO.</v>
          </cell>
        </row>
      </sheetData>
      <sheetData sheetId="1426">
        <row r="5">
          <cell r="C5" t="str">
            <v>PACKAGE NO.</v>
          </cell>
        </row>
      </sheetData>
      <sheetData sheetId="1427">
        <row r="5">
          <cell r="C5" t="str">
            <v>PACKAGE NO.</v>
          </cell>
        </row>
      </sheetData>
      <sheetData sheetId="1428">
        <row r="5">
          <cell r="C5" t="str">
            <v>PACKAGE NO.</v>
          </cell>
        </row>
      </sheetData>
      <sheetData sheetId="1429">
        <row r="5">
          <cell r="C5" t="str">
            <v>PACKAGE NO.</v>
          </cell>
        </row>
      </sheetData>
      <sheetData sheetId="1430">
        <row r="5">
          <cell r="C5" t="str">
            <v>PACKAGE NO.</v>
          </cell>
        </row>
      </sheetData>
      <sheetData sheetId="1431">
        <row r="5">
          <cell r="C5" t="str">
            <v>PACKAGE NO.</v>
          </cell>
        </row>
      </sheetData>
      <sheetData sheetId="1432">
        <row r="5">
          <cell r="C5" t="str">
            <v>PACKAGE NO.</v>
          </cell>
        </row>
      </sheetData>
      <sheetData sheetId="1433">
        <row r="5">
          <cell r="C5" t="str">
            <v>PACKAGE NO.</v>
          </cell>
        </row>
      </sheetData>
      <sheetData sheetId="1434">
        <row r="5">
          <cell r="C5" t="str">
            <v>PACKAGE NO.</v>
          </cell>
        </row>
      </sheetData>
      <sheetData sheetId="1435">
        <row r="5">
          <cell r="C5" t="str">
            <v>PACKAGE NO.</v>
          </cell>
        </row>
      </sheetData>
      <sheetData sheetId="1436">
        <row r="5">
          <cell r="C5" t="str">
            <v>PACKAGE NO.</v>
          </cell>
        </row>
      </sheetData>
      <sheetData sheetId="1437">
        <row r="5">
          <cell r="C5" t="str">
            <v>PACKAGE NO.</v>
          </cell>
        </row>
      </sheetData>
      <sheetData sheetId="1438">
        <row r="5">
          <cell r="C5" t="str">
            <v>PACKAGE NO.</v>
          </cell>
        </row>
      </sheetData>
      <sheetData sheetId="1439">
        <row r="5">
          <cell r="C5" t="str">
            <v>PACKAGE NO.</v>
          </cell>
        </row>
      </sheetData>
      <sheetData sheetId="1440">
        <row r="5">
          <cell r="C5" t="str">
            <v>PACKAGE NO.</v>
          </cell>
        </row>
      </sheetData>
      <sheetData sheetId="1441">
        <row r="5">
          <cell r="C5" t="str">
            <v>PACKAGE NO.</v>
          </cell>
        </row>
      </sheetData>
      <sheetData sheetId="1442">
        <row r="5">
          <cell r="C5" t="str">
            <v>PACKAGE NO.</v>
          </cell>
        </row>
      </sheetData>
      <sheetData sheetId="1443">
        <row r="5">
          <cell r="C5" t="str">
            <v>PACKAGE NO.</v>
          </cell>
        </row>
      </sheetData>
      <sheetData sheetId="1444">
        <row r="5">
          <cell r="C5" t="str">
            <v>PACKAGE NO.</v>
          </cell>
        </row>
      </sheetData>
      <sheetData sheetId="1445">
        <row r="5">
          <cell r="C5" t="str">
            <v>PACKAGE NO.</v>
          </cell>
        </row>
      </sheetData>
      <sheetData sheetId="1446">
        <row r="5">
          <cell r="C5" t="str">
            <v>PACKAGE NO.</v>
          </cell>
        </row>
      </sheetData>
      <sheetData sheetId="1447">
        <row r="5">
          <cell r="C5" t="str">
            <v>PACKAGE NO.</v>
          </cell>
        </row>
      </sheetData>
      <sheetData sheetId="1448">
        <row r="5">
          <cell r="C5" t="str">
            <v>PACKAGE NO.</v>
          </cell>
        </row>
      </sheetData>
      <sheetData sheetId="1449">
        <row r="5">
          <cell r="C5" t="str">
            <v>PACKAGE NO.</v>
          </cell>
        </row>
      </sheetData>
      <sheetData sheetId="1450">
        <row r="5">
          <cell r="C5" t="str">
            <v>PACKAGE NO.</v>
          </cell>
        </row>
      </sheetData>
      <sheetData sheetId="1451">
        <row r="5">
          <cell r="C5" t="str">
            <v>PACKAGE NO.</v>
          </cell>
        </row>
      </sheetData>
      <sheetData sheetId="1452">
        <row r="5">
          <cell r="C5" t="str">
            <v>PACKAGE NO.</v>
          </cell>
        </row>
      </sheetData>
      <sheetData sheetId="1453">
        <row r="5">
          <cell r="C5">
            <v>100</v>
          </cell>
        </row>
      </sheetData>
      <sheetData sheetId="1454">
        <row r="5">
          <cell r="C5">
            <v>100</v>
          </cell>
        </row>
      </sheetData>
      <sheetData sheetId="1455">
        <row r="5">
          <cell r="C5">
            <v>100</v>
          </cell>
        </row>
      </sheetData>
      <sheetData sheetId="1456">
        <row r="5">
          <cell r="C5">
            <v>100</v>
          </cell>
        </row>
      </sheetData>
      <sheetData sheetId="1457">
        <row r="5">
          <cell r="C5">
            <v>100</v>
          </cell>
        </row>
      </sheetData>
      <sheetData sheetId="1458">
        <row r="5">
          <cell r="C5">
            <v>100</v>
          </cell>
        </row>
      </sheetData>
      <sheetData sheetId="1459">
        <row r="5">
          <cell r="C5">
            <v>100</v>
          </cell>
        </row>
      </sheetData>
      <sheetData sheetId="1460">
        <row r="5">
          <cell r="C5">
            <v>100</v>
          </cell>
        </row>
      </sheetData>
      <sheetData sheetId="1461">
        <row r="5">
          <cell r="C5">
            <v>100</v>
          </cell>
        </row>
      </sheetData>
      <sheetData sheetId="1462">
        <row r="5">
          <cell r="C5">
            <v>100</v>
          </cell>
        </row>
      </sheetData>
      <sheetData sheetId="1463">
        <row r="5">
          <cell r="C5">
            <v>100</v>
          </cell>
        </row>
      </sheetData>
      <sheetData sheetId="1464">
        <row r="5">
          <cell r="C5">
            <v>100</v>
          </cell>
        </row>
      </sheetData>
      <sheetData sheetId="1465">
        <row r="5">
          <cell r="C5">
            <v>100</v>
          </cell>
        </row>
      </sheetData>
      <sheetData sheetId="1466">
        <row r="5">
          <cell r="C5">
            <v>100</v>
          </cell>
        </row>
      </sheetData>
      <sheetData sheetId="1467">
        <row r="5">
          <cell r="C5">
            <v>100</v>
          </cell>
        </row>
      </sheetData>
      <sheetData sheetId="1468">
        <row r="5">
          <cell r="C5">
            <v>100</v>
          </cell>
        </row>
      </sheetData>
      <sheetData sheetId="1469">
        <row r="5">
          <cell r="C5">
            <v>100</v>
          </cell>
        </row>
      </sheetData>
      <sheetData sheetId="1470">
        <row r="5">
          <cell r="C5">
            <v>100</v>
          </cell>
        </row>
      </sheetData>
      <sheetData sheetId="1471">
        <row r="5">
          <cell r="C5">
            <v>100</v>
          </cell>
        </row>
      </sheetData>
      <sheetData sheetId="1472">
        <row r="5">
          <cell r="C5">
            <v>100</v>
          </cell>
        </row>
      </sheetData>
      <sheetData sheetId="1473">
        <row r="5">
          <cell r="C5">
            <v>100</v>
          </cell>
        </row>
      </sheetData>
      <sheetData sheetId="1474">
        <row r="5">
          <cell r="C5">
            <v>100</v>
          </cell>
        </row>
      </sheetData>
      <sheetData sheetId="1475">
        <row r="5">
          <cell r="C5">
            <v>100</v>
          </cell>
        </row>
      </sheetData>
      <sheetData sheetId="1476">
        <row r="5">
          <cell r="C5">
            <v>100</v>
          </cell>
        </row>
      </sheetData>
      <sheetData sheetId="1477">
        <row r="5">
          <cell r="C5">
            <v>100</v>
          </cell>
        </row>
      </sheetData>
      <sheetData sheetId="1478">
        <row r="5">
          <cell r="C5">
            <v>100</v>
          </cell>
        </row>
      </sheetData>
      <sheetData sheetId="1479">
        <row r="5">
          <cell r="C5">
            <v>100</v>
          </cell>
        </row>
      </sheetData>
      <sheetData sheetId="1480">
        <row r="5">
          <cell r="C5">
            <v>100</v>
          </cell>
        </row>
      </sheetData>
      <sheetData sheetId="1481">
        <row r="5">
          <cell r="C5">
            <v>100</v>
          </cell>
        </row>
      </sheetData>
      <sheetData sheetId="1482">
        <row r="5">
          <cell r="C5">
            <v>100</v>
          </cell>
        </row>
      </sheetData>
      <sheetData sheetId="1483">
        <row r="5">
          <cell r="C5">
            <v>100</v>
          </cell>
        </row>
      </sheetData>
      <sheetData sheetId="1484">
        <row r="5">
          <cell r="C5">
            <v>100</v>
          </cell>
        </row>
      </sheetData>
      <sheetData sheetId="1485">
        <row r="5">
          <cell r="C5" t="str">
            <v>PACKAGE NO.</v>
          </cell>
        </row>
      </sheetData>
      <sheetData sheetId="1486">
        <row r="5">
          <cell r="C5" t="str">
            <v>PACKAGE NO.</v>
          </cell>
        </row>
      </sheetData>
      <sheetData sheetId="1487">
        <row r="5">
          <cell r="C5">
            <v>100</v>
          </cell>
        </row>
      </sheetData>
      <sheetData sheetId="1488">
        <row r="5">
          <cell r="C5">
            <v>100</v>
          </cell>
        </row>
      </sheetData>
      <sheetData sheetId="1489">
        <row r="5">
          <cell r="C5">
            <v>100</v>
          </cell>
        </row>
      </sheetData>
      <sheetData sheetId="1490">
        <row r="5">
          <cell r="C5">
            <v>100</v>
          </cell>
        </row>
      </sheetData>
      <sheetData sheetId="1491">
        <row r="5">
          <cell r="C5">
            <v>100</v>
          </cell>
        </row>
      </sheetData>
      <sheetData sheetId="1492">
        <row r="5">
          <cell r="C5">
            <v>100</v>
          </cell>
        </row>
      </sheetData>
      <sheetData sheetId="1493">
        <row r="5">
          <cell r="C5">
            <v>100</v>
          </cell>
        </row>
      </sheetData>
      <sheetData sheetId="1494">
        <row r="5">
          <cell r="C5">
            <v>100</v>
          </cell>
        </row>
      </sheetData>
      <sheetData sheetId="1495">
        <row r="5">
          <cell r="C5">
            <v>100</v>
          </cell>
        </row>
      </sheetData>
      <sheetData sheetId="1496">
        <row r="5">
          <cell r="C5">
            <v>100</v>
          </cell>
        </row>
      </sheetData>
      <sheetData sheetId="1497">
        <row r="5">
          <cell r="C5">
            <v>100</v>
          </cell>
        </row>
      </sheetData>
      <sheetData sheetId="1498">
        <row r="5">
          <cell r="C5">
            <v>100</v>
          </cell>
        </row>
      </sheetData>
      <sheetData sheetId="1499">
        <row r="5">
          <cell r="C5">
            <v>100</v>
          </cell>
        </row>
      </sheetData>
      <sheetData sheetId="1500">
        <row r="5">
          <cell r="C5">
            <v>100</v>
          </cell>
        </row>
      </sheetData>
      <sheetData sheetId="1501">
        <row r="5">
          <cell r="C5">
            <v>100</v>
          </cell>
        </row>
      </sheetData>
      <sheetData sheetId="1502">
        <row r="5">
          <cell r="C5">
            <v>100</v>
          </cell>
        </row>
      </sheetData>
      <sheetData sheetId="1503">
        <row r="5">
          <cell r="C5">
            <v>100</v>
          </cell>
        </row>
      </sheetData>
      <sheetData sheetId="1504">
        <row r="5">
          <cell r="C5">
            <v>100</v>
          </cell>
        </row>
      </sheetData>
      <sheetData sheetId="1505">
        <row r="5">
          <cell r="C5">
            <v>100</v>
          </cell>
        </row>
      </sheetData>
      <sheetData sheetId="1506">
        <row r="5">
          <cell r="C5">
            <v>100</v>
          </cell>
        </row>
      </sheetData>
      <sheetData sheetId="1507">
        <row r="5">
          <cell r="C5">
            <v>100</v>
          </cell>
        </row>
      </sheetData>
      <sheetData sheetId="1508">
        <row r="5">
          <cell r="C5">
            <v>100</v>
          </cell>
        </row>
      </sheetData>
      <sheetData sheetId="1509">
        <row r="5">
          <cell r="C5">
            <v>100</v>
          </cell>
        </row>
      </sheetData>
      <sheetData sheetId="1510">
        <row r="5">
          <cell r="C5">
            <v>100</v>
          </cell>
        </row>
      </sheetData>
      <sheetData sheetId="1511">
        <row r="5">
          <cell r="C5">
            <v>100</v>
          </cell>
        </row>
      </sheetData>
      <sheetData sheetId="1512">
        <row r="5">
          <cell r="C5">
            <v>100</v>
          </cell>
        </row>
      </sheetData>
      <sheetData sheetId="1513">
        <row r="5">
          <cell r="C5">
            <v>100</v>
          </cell>
        </row>
      </sheetData>
      <sheetData sheetId="1514">
        <row r="5">
          <cell r="C5">
            <v>100</v>
          </cell>
        </row>
      </sheetData>
      <sheetData sheetId="1515">
        <row r="5">
          <cell r="C5">
            <v>100</v>
          </cell>
        </row>
      </sheetData>
      <sheetData sheetId="1516">
        <row r="5">
          <cell r="C5">
            <v>100</v>
          </cell>
        </row>
      </sheetData>
      <sheetData sheetId="1517">
        <row r="5">
          <cell r="C5">
            <v>100</v>
          </cell>
        </row>
      </sheetData>
      <sheetData sheetId="1518">
        <row r="5">
          <cell r="C5">
            <v>100</v>
          </cell>
        </row>
      </sheetData>
      <sheetData sheetId="1519">
        <row r="5">
          <cell r="C5">
            <v>100</v>
          </cell>
        </row>
      </sheetData>
      <sheetData sheetId="1520">
        <row r="5">
          <cell r="C5">
            <v>100</v>
          </cell>
        </row>
      </sheetData>
      <sheetData sheetId="1521">
        <row r="5">
          <cell r="C5">
            <v>100</v>
          </cell>
        </row>
      </sheetData>
      <sheetData sheetId="1522">
        <row r="5">
          <cell r="C5">
            <v>100</v>
          </cell>
        </row>
      </sheetData>
      <sheetData sheetId="1523">
        <row r="5">
          <cell r="C5">
            <v>100</v>
          </cell>
        </row>
      </sheetData>
      <sheetData sheetId="1524">
        <row r="5">
          <cell r="C5">
            <v>100</v>
          </cell>
        </row>
      </sheetData>
      <sheetData sheetId="1525">
        <row r="5">
          <cell r="C5">
            <v>100</v>
          </cell>
        </row>
      </sheetData>
      <sheetData sheetId="1526">
        <row r="5">
          <cell r="C5">
            <v>100</v>
          </cell>
        </row>
      </sheetData>
      <sheetData sheetId="1527">
        <row r="5">
          <cell r="C5">
            <v>100</v>
          </cell>
        </row>
      </sheetData>
      <sheetData sheetId="1528">
        <row r="5">
          <cell r="C5">
            <v>100</v>
          </cell>
        </row>
      </sheetData>
      <sheetData sheetId="1529">
        <row r="5">
          <cell r="C5">
            <v>100</v>
          </cell>
        </row>
      </sheetData>
      <sheetData sheetId="1530">
        <row r="5">
          <cell r="C5">
            <v>100</v>
          </cell>
        </row>
      </sheetData>
      <sheetData sheetId="1531">
        <row r="5">
          <cell r="C5">
            <v>100</v>
          </cell>
        </row>
      </sheetData>
      <sheetData sheetId="1532">
        <row r="5">
          <cell r="C5">
            <v>100</v>
          </cell>
        </row>
      </sheetData>
      <sheetData sheetId="1533">
        <row r="5">
          <cell r="C5">
            <v>100</v>
          </cell>
        </row>
      </sheetData>
      <sheetData sheetId="1534">
        <row r="5">
          <cell r="C5">
            <v>100</v>
          </cell>
        </row>
      </sheetData>
      <sheetData sheetId="1535">
        <row r="5">
          <cell r="C5">
            <v>100</v>
          </cell>
        </row>
      </sheetData>
      <sheetData sheetId="1536">
        <row r="5">
          <cell r="C5">
            <v>100</v>
          </cell>
        </row>
      </sheetData>
      <sheetData sheetId="1537">
        <row r="5">
          <cell r="C5">
            <v>100</v>
          </cell>
        </row>
      </sheetData>
      <sheetData sheetId="1538">
        <row r="5">
          <cell r="C5">
            <v>100</v>
          </cell>
        </row>
      </sheetData>
      <sheetData sheetId="1539">
        <row r="5">
          <cell r="C5">
            <v>100</v>
          </cell>
        </row>
      </sheetData>
      <sheetData sheetId="1540">
        <row r="5">
          <cell r="C5">
            <v>100</v>
          </cell>
        </row>
      </sheetData>
      <sheetData sheetId="1541">
        <row r="5">
          <cell r="C5">
            <v>100</v>
          </cell>
        </row>
      </sheetData>
      <sheetData sheetId="1542">
        <row r="5">
          <cell r="C5">
            <v>100</v>
          </cell>
        </row>
      </sheetData>
      <sheetData sheetId="1543">
        <row r="5">
          <cell r="C5">
            <v>100</v>
          </cell>
        </row>
      </sheetData>
      <sheetData sheetId="1544">
        <row r="5">
          <cell r="C5">
            <v>100</v>
          </cell>
        </row>
      </sheetData>
      <sheetData sheetId="1545">
        <row r="5">
          <cell r="C5">
            <v>100</v>
          </cell>
        </row>
      </sheetData>
      <sheetData sheetId="1546">
        <row r="5">
          <cell r="C5">
            <v>100</v>
          </cell>
        </row>
      </sheetData>
      <sheetData sheetId="1547">
        <row r="5">
          <cell r="C5">
            <v>100</v>
          </cell>
        </row>
      </sheetData>
      <sheetData sheetId="1548">
        <row r="5">
          <cell r="C5">
            <v>100</v>
          </cell>
        </row>
      </sheetData>
      <sheetData sheetId="1549">
        <row r="5">
          <cell r="C5">
            <v>100</v>
          </cell>
        </row>
      </sheetData>
      <sheetData sheetId="1550">
        <row r="5">
          <cell r="C5">
            <v>100</v>
          </cell>
        </row>
      </sheetData>
      <sheetData sheetId="1551">
        <row r="5">
          <cell r="C5">
            <v>100</v>
          </cell>
        </row>
      </sheetData>
      <sheetData sheetId="1552">
        <row r="5">
          <cell r="C5">
            <v>100</v>
          </cell>
        </row>
      </sheetData>
      <sheetData sheetId="1553">
        <row r="5">
          <cell r="C5">
            <v>100</v>
          </cell>
        </row>
      </sheetData>
      <sheetData sheetId="1554">
        <row r="5">
          <cell r="C5">
            <v>100</v>
          </cell>
        </row>
      </sheetData>
      <sheetData sheetId="1555">
        <row r="5">
          <cell r="C5">
            <v>100</v>
          </cell>
        </row>
      </sheetData>
      <sheetData sheetId="1556">
        <row r="5">
          <cell r="C5">
            <v>100</v>
          </cell>
        </row>
      </sheetData>
      <sheetData sheetId="1557">
        <row r="5">
          <cell r="C5">
            <v>100</v>
          </cell>
        </row>
      </sheetData>
      <sheetData sheetId="1558">
        <row r="5">
          <cell r="C5">
            <v>100</v>
          </cell>
        </row>
      </sheetData>
      <sheetData sheetId="1559">
        <row r="5">
          <cell r="C5">
            <v>100</v>
          </cell>
        </row>
      </sheetData>
      <sheetData sheetId="1560">
        <row r="5">
          <cell r="C5">
            <v>100</v>
          </cell>
        </row>
      </sheetData>
      <sheetData sheetId="1561">
        <row r="5">
          <cell r="C5">
            <v>100</v>
          </cell>
        </row>
      </sheetData>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refreshError="1"/>
      <sheetData sheetId="1642" refreshError="1"/>
      <sheetData sheetId="1643" refreshError="1"/>
      <sheetData sheetId="1644" refreshError="1"/>
      <sheetData sheetId="1645" refreshError="1"/>
      <sheetData sheetId="1646">
        <row r="5">
          <cell r="C5">
            <v>100</v>
          </cell>
        </row>
      </sheetData>
      <sheetData sheetId="1647" refreshError="1"/>
      <sheetData sheetId="1648" refreshError="1"/>
      <sheetData sheetId="1649" refreshError="1"/>
      <sheetData sheetId="1650" refreshError="1"/>
      <sheetData sheetId="1651" refreshError="1"/>
      <sheetData sheetId="1652" refreshError="1"/>
      <sheetData sheetId="1653">
        <row r="5">
          <cell r="C5" t="str">
            <v>PACKAGE NO.</v>
          </cell>
        </row>
      </sheetData>
      <sheetData sheetId="1654">
        <row r="5">
          <cell r="C5" t="str">
            <v>PACKAGE NO.</v>
          </cell>
        </row>
      </sheetData>
      <sheetData sheetId="1655">
        <row r="5">
          <cell r="C5" t="str">
            <v>PACKAGE NO.</v>
          </cell>
        </row>
      </sheetData>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sheetData sheetId="1675"/>
      <sheetData sheetId="1676"/>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sheetData sheetId="1698" refreshError="1"/>
      <sheetData sheetId="1699" refreshError="1"/>
      <sheetData sheetId="1700" refreshError="1"/>
      <sheetData sheetId="1701"/>
      <sheetData sheetId="1702">
        <row r="5">
          <cell r="C5" t="str">
            <v>ARJUN PRASAD CHAUDHARY</v>
          </cell>
        </row>
      </sheetData>
      <sheetData sheetId="1703"/>
      <sheetData sheetId="1704"/>
      <sheetData sheetId="1705"/>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sheetData sheetId="1721" refreshError="1"/>
      <sheetData sheetId="1722" refreshError="1"/>
      <sheetData sheetId="1723"/>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refreshError="1"/>
      <sheetData sheetId="1745" refreshError="1"/>
      <sheetData sheetId="1746"/>
      <sheetData sheetId="1747" refreshError="1"/>
      <sheetData sheetId="1748" refreshError="1"/>
      <sheetData sheetId="1749" refreshError="1"/>
      <sheetData sheetId="1750" refreshError="1"/>
      <sheetData sheetId="1751" refreshError="1"/>
      <sheetData sheetId="1752"/>
      <sheetData sheetId="1753" refreshError="1"/>
      <sheetData sheetId="1754" refreshError="1"/>
      <sheetData sheetId="1755" refreshError="1"/>
      <sheetData sheetId="1756" refreshError="1"/>
      <sheetData sheetId="1757" refreshError="1"/>
      <sheetData sheetId="1758" refreshError="1"/>
      <sheetData sheetId="1759" refreshError="1"/>
      <sheetData sheetId="1760" refreshError="1"/>
      <sheetData sheetId="1761" refreshError="1"/>
      <sheetData sheetId="1762" refreshError="1"/>
      <sheetData sheetId="1763" refreshError="1"/>
      <sheetData sheetId="1764" refreshError="1"/>
      <sheetData sheetId="1765" refreshError="1"/>
      <sheetData sheetId="1766" refreshError="1"/>
      <sheetData sheetId="1767" refreshError="1"/>
      <sheetData sheetId="1768" refreshError="1"/>
      <sheetData sheetId="1769" refreshError="1"/>
      <sheetData sheetId="1770" refreshError="1"/>
      <sheetData sheetId="1771" refreshError="1"/>
      <sheetData sheetId="1772" refreshError="1"/>
      <sheetData sheetId="1773" refreshError="1"/>
      <sheetData sheetId="1774" refreshError="1"/>
      <sheetData sheetId="1775" refreshError="1"/>
      <sheetData sheetId="1776" refreshError="1"/>
      <sheetData sheetId="1777" refreshError="1"/>
      <sheetData sheetId="1778" refreshError="1"/>
      <sheetData sheetId="1779" refreshError="1"/>
      <sheetData sheetId="1780" refreshError="1"/>
      <sheetData sheetId="1781" refreshError="1"/>
      <sheetData sheetId="1782" refreshError="1"/>
      <sheetData sheetId="1783" refreshError="1"/>
      <sheetData sheetId="1784" refreshError="1"/>
      <sheetData sheetId="1785" refreshError="1"/>
      <sheetData sheetId="1786" refreshError="1"/>
      <sheetData sheetId="1787" refreshError="1"/>
      <sheetData sheetId="1788" refreshError="1"/>
      <sheetData sheetId="1789">
        <row r="5">
          <cell r="C5" t="str">
            <v>PACKAGE NO.</v>
          </cell>
        </row>
      </sheetData>
      <sheetData sheetId="1790">
        <row r="5">
          <cell r="C5" t="str">
            <v>PACKAGE NO.</v>
          </cell>
        </row>
      </sheetData>
      <sheetData sheetId="1791">
        <row r="5">
          <cell r="C5" t="str">
            <v>PACKAGE NO.</v>
          </cell>
        </row>
      </sheetData>
      <sheetData sheetId="1792">
        <row r="5">
          <cell r="C5" t="str">
            <v>PACKAGE NO.</v>
          </cell>
        </row>
      </sheetData>
      <sheetData sheetId="1793">
        <row r="5">
          <cell r="C5" t="str">
            <v>PACKAGE NO.</v>
          </cell>
        </row>
      </sheetData>
      <sheetData sheetId="1794">
        <row r="5">
          <cell r="C5" t="str">
            <v>PACKAGE NO.</v>
          </cell>
        </row>
      </sheetData>
      <sheetData sheetId="1795">
        <row r="5">
          <cell r="C5" t="str">
            <v>PACKAGE NO.</v>
          </cell>
        </row>
      </sheetData>
      <sheetData sheetId="1796">
        <row r="5">
          <cell r="C5" t="str">
            <v>PACKAGE NO.</v>
          </cell>
        </row>
      </sheetData>
      <sheetData sheetId="1797">
        <row r="5">
          <cell r="C5" t="str">
            <v>PACKAGE NO.</v>
          </cell>
        </row>
      </sheetData>
      <sheetData sheetId="1798">
        <row r="5">
          <cell r="C5" t="str">
            <v>PACKAGE NO.</v>
          </cell>
        </row>
      </sheetData>
      <sheetData sheetId="1799"/>
      <sheetData sheetId="1800"/>
      <sheetData sheetId="1801"/>
      <sheetData sheetId="1802"/>
      <sheetData sheetId="1803"/>
      <sheetData sheetId="1804">
        <row r="5">
          <cell r="C5" t="str">
            <v>PACKAGE NO.</v>
          </cell>
        </row>
      </sheetData>
      <sheetData sheetId="1805">
        <row r="5">
          <cell r="C5" t="str">
            <v>PACKAGE NO.</v>
          </cell>
        </row>
      </sheetData>
      <sheetData sheetId="1806">
        <row r="5">
          <cell r="C5" t="str">
            <v>PACKAGE NO.</v>
          </cell>
        </row>
      </sheetData>
      <sheetData sheetId="1807">
        <row r="5">
          <cell r="C5" t="str">
            <v>PACKAGE NO.</v>
          </cell>
        </row>
      </sheetData>
      <sheetData sheetId="1808">
        <row r="5">
          <cell r="C5" t="str">
            <v>PACKAGE NO.</v>
          </cell>
        </row>
      </sheetData>
      <sheetData sheetId="1809">
        <row r="5">
          <cell r="C5" t="str">
            <v>PACKAGE NO.</v>
          </cell>
        </row>
      </sheetData>
      <sheetData sheetId="1810">
        <row r="5">
          <cell r="C5" t="str">
            <v>PACKAGE NO.</v>
          </cell>
        </row>
      </sheetData>
      <sheetData sheetId="1811">
        <row r="5">
          <cell r="C5" t="str">
            <v>PACKAGE NO.</v>
          </cell>
        </row>
      </sheetData>
      <sheetData sheetId="1812">
        <row r="5">
          <cell r="C5" t="str">
            <v>PACKAGE NO.</v>
          </cell>
        </row>
      </sheetData>
      <sheetData sheetId="1813">
        <row r="5">
          <cell r="C5" t="str">
            <v>PACKAGE NO.</v>
          </cell>
        </row>
      </sheetData>
      <sheetData sheetId="1814">
        <row r="5">
          <cell r="C5" t="str">
            <v>PACKAGE NO.</v>
          </cell>
        </row>
      </sheetData>
      <sheetData sheetId="1815"/>
      <sheetData sheetId="1816"/>
      <sheetData sheetId="1817"/>
      <sheetData sheetId="1818"/>
      <sheetData sheetId="1819"/>
      <sheetData sheetId="1820"/>
      <sheetData sheetId="1821"/>
      <sheetData sheetId="1822"/>
      <sheetData sheetId="1823"/>
      <sheetData sheetId="1824"/>
      <sheetData sheetId="1825"/>
      <sheetData sheetId="1826"/>
      <sheetData sheetId="1827"/>
      <sheetData sheetId="1828"/>
      <sheetData sheetId="1829"/>
      <sheetData sheetId="1830"/>
      <sheetData sheetId="1831"/>
      <sheetData sheetId="1832"/>
      <sheetData sheetId="1833"/>
      <sheetData sheetId="1834"/>
      <sheetData sheetId="1835"/>
      <sheetData sheetId="1836"/>
      <sheetData sheetId="1837"/>
      <sheetData sheetId="1838"/>
      <sheetData sheetId="1839"/>
      <sheetData sheetId="1840"/>
      <sheetData sheetId="1841"/>
      <sheetData sheetId="1842"/>
      <sheetData sheetId="1843"/>
      <sheetData sheetId="1844"/>
      <sheetData sheetId="1845"/>
      <sheetData sheetId="1846"/>
      <sheetData sheetId="1847"/>
      <sheetData sheetId="1848"/>
      <sheetData sheetId="1849"/>
      <sheetData sheetId="1850"/>
      <sheetData sheetId="1851"/>
      <sheetData sheetId="1852"/>
      <sheetData sheetId="1853"/>
      <sheetData sheetId="1854"/>
      <sheetData sheetId="1855"/>
      <sheetData sheetId="1856"/>
      <sheetData sheetId="1857"/>
      <sheetData sheetId="1858"/>
      <sheetData sheetId="1859"/>
      <sheetData sheetId="1860"/>
      <sheetData sheetId="1861"/>
      <sheetData sheetId="1862"/>
      <sheetData sheetId="1863"/>
      <sheetData sheetId="1864"/>
      <sheetData sheetId="1865"/>
      <sheetData sheetId="1866"/>
      <sheetData sheetId="1867"/>
      <sheetData sheetId="1868"/>
      <sheetData sheetId="1869"/>
      <sheetData sheetId="1870"/>
      <sheetData sheetId="1871"/>
      <sheetData sheetId="1872"/>
      <sheetData sheetId="1873"/>
      <sheetData sheetId="1874"/>
      <sheetData sheetId="1875"/>
      <sheetData sheetId="1876"/>
      <sheetData sheetId="1877"/>
      <sheetData sheetId="1878"/>
      <sheetData sheetId="1879"/>
      <sheetData sheetId="1880"/>
      <sheetData sheetId="1881"/>
      <sheetData sheetId="1882"/>
      <sheetData sheetId="1883"/>
      <sheetData sheetId="1884"/>
      <sheetData sheetId="1885"/>
      <sheetData sheetId="1886"/>
      <sheetData sheetId="1887"/>
      <sheetData sheetId="1888"/>
      <sheetData sheetId="1889"/>
      <sheetData sheetId="1890"/>
      <sheetData sheetId="1891"/>
      <sheetData sheetId="1892"/>
      <sheetData sheetId="1893"/>
      <sheetData sheetId="1894"/>
      <sheetData sheetId="1895"/>
      <sheetData sheetId="1896"/>
      <sheetData sheetId="1897"/>
      <sheetData sheetId="1898"/>
      <sheetData sheetId="1899"/>
      <sheetData sheetId="1900"/>
      <sheetData sheetId="1901"/>
      <sheetData sheetId="1902"/>
      <sheetData sheetId="1903"/>
      <sheetData sheetId="1904"/>
      <sheetData sheetId="1905"/>
      <sheetData sheetId="1906"/>
      <sheetData sheetId="1907"/>
      <sheetData sheetId="1908" refreshError="1"/>
      <sheetData sheetId="1909"/>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refreshError="1"/>
      <sheetData sheetId="2007" refreshError="1"/>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refreshError="1"/>
      <sheetData sheetId="2043" refreshError="1"/>
      <sheetData sheetId="2044" refreshError="1"/>
      <sheetData sheetId="2045" refreshError="1"/>
      <sheetData sheetId="2046" refreshError="1"/>
      <sheetData sheetId="2047" refreshError="1"/>
      <sheetData sheetId="2048" refreshError="1"/>
      <sheetData sheetId="2049" refreshError="1"/>
      <sheetData sheetId="2050" refreshError="1"/>
      <sheetData sheetId="2051" refreshError="1"/>
      <sheetData sheetId="2052" refreshError="1"/>
      <sheetData sheetId="2053" refreshError="1"/>
      <sheetData sheetId="2054" refreshError="1"/>
      <sheetData sheetId="2055"/>
      <sheetData sheetId="2056" refreshError="1"/>
      <sheetData sheetId="2057" refreshError="1"/>
      <sheetData sheetId="2058" refreshError="1"/>
      <sheetData sheetId="2059" refreshError="1"/>
      <sheetData sheetId="2060" refreshError="1"/>
      <sheetData sheetId="2061" refreshError="1"/>
      <sheetData sheetId="2062" refreshError="1"/>
      <sheetData sheetId="2063" refreshError="1"/>
      <sheetData sheetId="2064" refreshError="1"/>
      <sheetData sheetId="2065" refreshError="1"/>
      <sheetData sheetId="2066" refreshError="1"/>
      <sheetData sheetId="2067" refreshError="1"/>
      <sheetData sheetId="2068" refreshError="1"/>
      <sheetData sheetId="2069" refreshError="1"/>
      <sheetData sheetId="2070">
        <row r="5">
          <cell r="C5" t="str">
            <v>PACKAGE NO.</v>
          </cell>
        </row>
      </sheetData>
      <sheetData sheetId="2071">
        <row r="5">
          <cell r="C5">
            <v>100</v>
          </cell>
        </row>
      </sheetData>
      <sheetData sheetId="2072" refreshError="1"/>
      <sheetData sheetId="2073" refreshError="1"/>
      <sheetData sheetId="2074" refreshError="1"/>
      <sheetData sheetId="2075" refreshError="1"/>
      <sheetData sheetId="2076">
        <row r="5">
          <cell r="C5" t="str">
            <v>PACKAGE NO.</v>
          </cell>
        </row>
      </sheetData>
      <sheetData sheetId="2077">
        <row r="5">
          <cell r="C5" t="str">
            <v>PACKAGE NO.</v>
          </cell>
        </row>
      </sheetData>
      <sheetData sheetId="2078">
        <row r="5">
          <cell r="C5" t="str">
            <v>PACKAGE NO.</v>
          </cell>
        </row>
      </sheetData>
      <sheetData sheetId="2079">
        <row r="5">
          <cell r="C5" t="str">
            <v>PACKAGE NO.</v>
          </cell>
        </row>
      </sheetData>
      <sheetData sheetId="2080">
        <row r="5">
          <cell r="C5" t="str">
            <v>PACKAGE NO.</v>
          </cell>
        </row>
      </sheetData>
      <sheetData sheetId="2081">
        <row r="5">
          <cell r="C5" t="str">
            <v>PACKAGE NO.</v>
          </cell>
        </row>
      </sheetData>
      <sheetData sheetId="2082">
        <row r="5">
          <cell r="C5" t="str">
            <v>PACKAGE NO.</v>
          </cell>
        </row>
      </sheetData>
      <sheetData sheetId="2083">
        <row r="5">
          <cell r="C5" t="str">
            <v>PACKAGE NO.</v>
          </cell>
        </row>
      </sheetData>
      <sheetData sheetId="2084">
        <row r="5">
          <cell r="C5" t="str">
            <v>PACKAGE NO.</v>
          </cell>
        </row>
      </sheetData>
      <sheetData sheetId="2085">
        <row r="5">
          <cell r="C5" t="str">
            <v>PACKAGE NO.</v>
          </cell>
        </row>
      </sheetData>
      <sheetData sheetId="2086"/>
      <sheetData sheetId="2087"/>
      <sheetData sheetId="2088"/>
      <sheetData sheetId="2089"/>
      <sheetData sheetId="2090"/>
      <sheetData sheetId="2091">
        <row r="5">
          <cell r="C5" t="str">
            <v>PACKAGE NO.</v>
          </cell>
        </row>
      </sheetData>
      <sheetData sheetId="2092">
        <row r="5">
          <cell r="C5" t="str">
            <v>PACKAGE NO.</v>
          </cell>
        </row>
      </sheetData>
      <sheetData sheetId="2093">
        <row r="5">
          <cell r="C5" t="str">
            <v>PACKAGE NO.</v>
          </cell>
        </row>
      </sheetData>
      <sheetData sheetId="2094">
        <row r="5">
          <cell r="C5" t="str">
            <v>PACKAGE NO.</v>
          </cell>
        </row>
      </sheetData>
      <sheetData sheetId="2095">
        <row r="5">
          <cell r="C5" t="str">
            <v>PACKAGE NO.</v>
          </cell>
        </row>
      </sheetData>
      <sheetData sheetId="2096">
        <row r="5">
          <cell r="C5" t="str">
            <v>PACKAGE NO.</v>
          </cell>
        </row>
      </sheetData>
      <sheetData sheetId="2097">
        <row r="5">
          <cell r="C5" t="str">
            <v>PACKAGE NO.</v>
          </cell>
        </row>
      </sheetData>
      <sheetData sheetId="2098">
        <row r="5">
          <cell r="C5" t="str">
            <v>PACKAGE NO.</v>
          </cell>
        </row>
      </sheetData>
      <sheetData sheetId="2099">
        <row r="5">
          <cell r="C5" t="str">
            <v>PACKAGE NO.</v>
          </cell>
        </row>
      </sheetData>
      <sheetData sheetId="2100">
        <row r="5">
          <cell r="C5" t="str">
            <v>PACKAGE NO.</v>
          </cell>
        </row>
      </sheetData>
      <sheetData sheetId="2101">
        <row r="5">
          <cell r="C5" t="str">
            <v>PACKAGE NO.</v>
          </cell>
        </row>
      </sheetData>
      <sheetData sheetId="2102"/>
      <sheetData sheetId="2103"/>
      <sheetData sheetId="2104"/>
      <sheetData sheetId="2105"/>
      <sheetData sheetId="2106"/>
      <sheetData sheetId="2107"/>
      <sheetData sheetId="2108"/>
      <sheetData sheetId="2109"/>
      <sheetData sheetId="2110"/>
      <sheetData sheetId="2111"/>
      <sheetData sheetId="2112"/>
      <sheetData sheetId="2113"/>
      <sheetData sheetId="2114"/>
      <sheetData sheetId="2115"/>
      <sheetData sheetId="2116"/>
      <sheetData sheetId="2117"/>
      <sheetData sheetId="2118"/>
      <sheetData sheetId="2119"/>
      <sheetData sheetId="2120"/>
      <sheetData sheetId="2121"/>
      <sheetData sheetId="2122"/>
      <sheetData sheetId="2123"/>
      <sheetData sheetId="2124"/>
      <sheetData sheetId="2125"/>
      <sheetData sheetId="2126"/>
      <sheetData sheetId="2127"/>
      <sheetData sheetId="2128"/>
      <sheetData sheetId="2129"/>
      <sheetData sheetId="2130"/>
      <sheetData sheetId="2131"/>
      <sheetData sheetId="2132"/>
      <sheetData sheetId="2133"/>
      <sheetData sheetId="2134"/>
      <sheetData sheetId="2135"/>
      <sheetData sheetId="2136"/>
      <sheetData sheetId="2137"/>
      <sheetData sheetId="2138"/>
      <sheetData sheetId="2139"/>
      <sheetData sheetId="2140"/>
      <sheetData sheetId="2141"/>
      <sheetData sheetId="2142"/>
      <sheetData sheetId="2143"/>
      <sheetData sheetId="2144"/>
      <sheetData sheetId="2145"/>
      <sheetData sheetId="2146"/>
      <sheetData sheetId="2147"/>
      <sheetData sheetId="2148"/>
      <sheetData sheetId="2149"/>
      <sheetData sheetId="2150"/>
      <sheetData sheetId="2151"/>
      <sheetData sheetId="2152"/>
      <sheetData sheetId="2153"/>
      <sheetData sheetId="2154"/>
      <sheetData sheetId="2155"/>
      <sheetData sheetId="2156"/>
      <sheetData sheetId="2157"/>
      <sheetData sheetId="2158"/>
      <sheetData sheetId="2159"/>
      <sheetData sheetId="2160"/>
      <sheetData sheetId="2161"/>
      <sheetData sheetId="2162"/>
      <sheetData sheetId="2163"/>
      <sheetData sheetId="2164"/>
      <sheetData sheetId="2165"/>
      <sheetData sheetId="2166"/>
      <sheetData sheetId="2167"/>
      <sheetData sheetId="2168"/>
      <sheetData sheetId="2169"/>
      <sheetData sheetId="2170"/>
      <sheetData sheetId="2171"/>
      <sheetData sheetId="2172"/>
      <sheetData sheetId="2173"/>
      <sheetData sheetId="2174"/>
      <sheetData sheetId="2175"/>
      <sheetData sheetId="2176"/>
      <sheetData sheetId="2177"/>
      <sheetData sheetId="2178"/>
      <sheetData sheetId="2179"/>
      <sheetData sheetId="2180"/>
      <sheetData sheetId="2181"/>
      <sheetData sheetId="2182"/>
      <sheetData sheetId="2183"/>
      <sheetData sheetId="2184"/>
      <sheetData sheetId="2185"/>
      <sheetData sheetId="2186"/>
      <sheetData sheetId="2187"/>
      <sheetData sheetId="2188"/>
      <sheetData sheetId="2189"/>
      <sheetData sheetId="2190"/>
      <sheetData sheetId="2191"/>
      <sheetData sheetId="2192"/>
      <sheetData sheetId="2193"/>
      <sheetData sheetId="2194"/>
      <sheetData sheetId="2195"/>
      <sheetData sheetId="2196"/>
      <sheetData sheetId="2197"/>
      <sheetData sheetId="2198"/>
      <sheetData sheetId="2199"/>
      <sheetData sheetId="2200"/>
      <sheetData sheetId="2201"/>
      <sheetData sheetId="2202"/>
      <sheetData sheetId="2203"/>
      <sheetData sheetId="2204"/>
      <sheetData sheetId="2205"/>
      <sheetData sheetId="2206"/>
      <sheetData sheetId="2207"/>
      <sheetData sheetId="2208"/>
      <sheetData sheetId="2209"/>
      <sheetData sheetId="2210"/>
      <sheetData sheetId="2211"/>
      <sheetData sheetId="2212"/>
      <sheetData sheetId="2213"/>
      <sheetData sheetId="2214"/>
      <sheetData sheetId="2215"/>
      <sheetData sheetId="2216"/>
      <sheetData sheetId="2217"/>
      <sheetData sheetId="2218"/>
      <sheetData sheetId="2219"/>
      <sheetData sheetId="2220"/>
      <sheetData sheetId="2221"/>
      <sheetData sheetId="2222"/>
      <sheetData sheetId="2223"/>
      <sheetData sheetId="2224"/>
      <sheetData sheetId="2225"/>
      <sheetData sheetId="2226"/>
      <sheetData sheetId="2227"/>
      <sheetData sheetId="2228"/>
      <sheetData sheetId="2229"/>
      <sheetData sheetId="2230"/>
      <sheetData sheetId="2231"/>
      <sheetData sheetId="2232"/>
      <sheetData sheetId="2233"/>
      <sheetData sheetId="2234"/>
      <sheetData sheetId="2235"/>
      <sheetData sheetId="2236"/>
      <sheetData sheetId="2237"/>
      <sheetData sheetId="2238"/>
      <sheetData sheetId="2239"/>
      <sheetData sheetId="2240"/>
      <sheetData sheetId="2241"/>
      <sheetData sheetId="2242"/>
      <sheetData sheetId="2243"/>
      <sheetData sheetId="2244"/>
      <sheetData sheetId="2245"/>
      <sheetData sheetId="2246"/>
      <sheetData sheetId="2247"/>
      <sheetData sheetId="2248">
        <row r="5">
          <cell r="C5">
            <v>100</v>
          </cell>
        </row>
      </sheetData>
      <sheetData sheetId="2249">
        <row r="5">
          <cell r="C5">
            <v>100</v>
          </cell>
        </row>
      </sheetData>
      <sheetData sheetId="2250"/>
      <sheetData sheetId="2251"/>
      <sheetData sheetId="2252"/>
      <sheetData sheetId="2253">
        <row r="5">
          <cell r="C5">
            <v>100</v>
          </cell>
        </row>
      </sheetData>
      <sheetData sheetId="2254">
        <row r="5">
          <cell r="C5">
            <v>100</v>
          </cell>
        </row>
      </sheetData>
      <sheetData sheetId="2255">
        <row r="5">
          <cell r="C5">
            <v>100</v>
          </cell>
        </row>
      </sheetData>
      <sheetData sheetId="2256">
        <row r="5">
          <cell r="C5">
            <v>100</v>
          </cell>
        </row>
      </sheetData>
      <sheetData sheetId="2257">
        <row r="5">
          <cell r="C5">
            <v>100</v>
          </cell>
        </row>
      </sheetData>
      <sheetData sheetId="2258">
        <row r="5">
          <cell r="C5">
            <v>100</v>
          </cell>
        </row>
      </sheetData>
      <sheetData sheetId="2259">
        <row r="5">
          <cell r="C5">
            <v>100</v>
          </cell>
        </row>
      </sheetData>
      <sheetData sheetId="2260">
        <row r="5">
          <cell r="C5">
            <v>100</v>
          </cell>
        </row>
      </sheetData>
      <sheetData sheetId="2261">
        <row r="5">
          <cell r="C5">
            <v>100</v>
          </cell>
        </row>
      </sheetData>
      <sheetData sheetId="2262"/>
      <sheetData sheetId="2263"/>
      <sheetData sheetId="2264"/>
      <sheetData sheetId="2265"/>
      <sheetData sheetId="2266"/>
      <sheetData sheetId="2267"/>
      <sheetData sheetId="2268">
        <row r="5">
          <cell r="C5">
            <v>100</v>
          </cell>
        </row>
      </sheetData>
      <sheetData sheetId="2269"/>
      <sheetData sheetId="2270"/>
      <sheetData sheetId="2271"/>
      <sheetData sheetId="2272"/>
      <sheetData sheetId="2273"/>
      <sheetData sheetId="2274"/>
      <sheetData sheetId="2275"/>
      <sheetData sheetId="2276"/>
      <sheetData sheetId="2277"/>
      <sheetData sheetId="2278"/>
      <sheetData sheetId="2279"/>
      <sheetData sheetId="2280"/>
      <sheetData sheetId="2281"/>
      <sheetData sheetId="2282"/>
      <sheetData sheetId="2283"/>
      <sheetData sheetId="2284"/>
      <sheetData sheetId="2285"/>
      <sheetData sheetId="2286"/>
      <sheetData sheetId="2287"/>
      <sheetData sheetId="2288"/>
      <sheetData sheetId="2289"/>
      <sheetData sheetId="2290"/>
      <sheetData sheetId="2291"/>
      <sheetData sheetId="2292"/>
      <sheetData sheetId="2293"/>
      <sheetData sheetId="2294"/>
      <sheetData sheetId="2295"/>
      <sheetData sheetId="2296"/>
      <sheetData sheetId="2297"/>
      <sheetData sheetId="2298"/>
      <sheetData sheetId="2299"/>
      <sheetData sheetId="2300"/>
      <sheetData sheetId="2301"/>
      <sheetData sheetId="2302"/>
      <sheetData sheetId="2303"/>
      <sheetData sheetId="2304"/>
      <sheetData sheetId="2305"/>
      <sheetData sheetId="2306"/>
      <sheetData sheetId="2307"/>
      <sheetData sheetId="2308"/>
      <sheetData sheetId="2309"/>
      <sheetData sheetId="2310"/>
      <sheetData sheetId="2311"/>
      <sheetData sheetId="2312"/>
      <sheetData sheetId="2313"/>
      <sheetData sheetId="2314"/>
      <sheetData sheetId="2315"/>
      <sheetData sheetId="2316"/>
      <sheetData sheetId="2317"/>
      <sheetData sheetId="2318"/>
      <sheetData sheetId="2319">
        <row r="5">
          <cell r="C5" t="str">
            <v>PACKAGE NO.</v>
          </cell>
        </row>
      </sheetData>
      <sheetData sheetId="2320">
        <row r="5">
          <cell r="C5" t="str">
            <v>PACKAGE NO.</v>
          </cell>
        </row>
      </sheetData>
      <sheetData sheetId="2321">
        <row r="5">
          <cell r="C5" t="str">
            <v>PACKAGE NO.</v>
          </cell>
        </row>
      </sheetData>
      <sheetData sheetId="2322">
        <row r="5">
          <cell r="C5" t="str">
            <v>PACKAGE NO.</v>
          </cell>
        </row>
      </sheetData>
      <sheetData sheetId="2323">
        <row r="5">
          <cell r="C5" t="str">
            <v>PACKAGE NO.</v>
          </cell>
        </row>
      </sheetData>
      <sheetData sheetId="2324">
        <row r="5">
          <cell r="C5" t="str">
            <v>PACKAGE NO.</v>
          </cell>
        </row>
      </sheetData>
      <sheetData sheetId="2325">
        <row r="5">
          <cell r="C5" t="str">
            <v>PACKAGE NO.</v>
          </cell>
        </row>
      </sheetData>
      <sheetData sheetId="2326">
        <row r="5">
          <cell r="C5" t="str">
            <v>PACKAGE NO.</v>
          </cell>
        </row>
      </sheetData>
      <sheetData sheetId="2327">
        <row r="5">
          <cell r="C5" t="str">
            <v>PACKAGE NO.</v>
          </cell>
        </row>
      </sheetData>
      <sheetData sheetId="2328">
        <row r="5">
          <cell r="C5" t="str">
            <v>PACKAGE NO.</v>
          </cell>
        </row>
      </sheetData>
      <sheetData sheetId="2329"/>
      <sheetData sheetId="2330"/>
      <sheetData sheetId="2331"/>
      <sheetData sheetId="2332"/>
      <sheetData sheetId="2333"/>
      <sheetData sheetId="2334">
        <row r="5">
          <cell r="C5" t="str">
            <v>PACKAGE NO.</v>
          </cell>
        </row>
      </sheetData>
      <sheetData sheetId="2335">
        <row r="5">
          <cell r="C5" t="str">
            <v>PACKAGE NO.</v>
          </cell>
        </row>
      </sheetData>
      <sheetData sheetId="2336">
        <row r="5">
          <cell r="C5" t="str">
            <v>PACKAGE NO.</v>
          </cell>
        </row>
      </sheetData>
      <sheetData sheetId="2337">
        <row r="5">
          <cell r="C5" t="str">
            <v>PACKAGE NO.</v>
          </cell>
        </row>
      </sheetData>
      <sheetData sheetId="2338">
        <row r="5">
          <cell r="C5" t="str">
            <v>PACKAGE NO.</v>
          </cell>
        </row>
      </sheetData>
      <sheetData sheetId="2339">
        <row r="5">
          <cell r="C5" t="str">
            <v>PACKAGE NO.</v>
          </cell>
        </row>
      </sheetData>
      <sheetData sheetId="2340">
        <row r="5">
          <cell r="C5" t="str">
            <v>PACKAGE NO.</v>
          </cell>
        </row>
      </sheetData>
      <sheetData sheetId="2341">
        <row r="5">
          <cell r="C5" t="str">
            <v>PACKAGE NO.</v>
          </cell>
        </row>
      </sheetData>
      <sheetData sheetId="2342">
        <row r="5">
          <cell r="C5" t="str">
            <v>PACKAGE NO.</v>
          </cell>
        </row>
      </sheetData>
      <sheetData sheetId="2343">
        <row r="5">
          <cell r="C5" t="str">
            <v>PACKAGE NO.</v>
          </cell>
        </row>
      </sheetData>
      <sheetData sheetId="2344">
        <row r="5">
          <cell r="C5" t="str">
            <v>PACKAGE NO.</v>
          </cell>
        </row>
      </sheetData>
      <sheetData sheetId="2345"/>
      <sheetData sheetId="2346"/>
      <sheetData sheetId="2347"/>
      <sheetData sheetId="2348"/>
      <sheetData sheetId="2349"/>
      <sheetData sheetId="2350"/>
      <sheetData sheetId="2351"/>
      <sheetData sheetId="2352"/>
      <sheetData sheetId="2353"/>
      <sheetData sheetId="2354"/>
      <sheetData sheetId="2355"/>
      <sheetData sheetId="2356"/>
      <sheetData sheetId="2357"/>
      <sheetData sheetId="2358"/>
      <sheetData sheetId="2359"/>
      <sheetData sheetId="2360"/>
      <sheetData sheetId="2361"/>
      <sheetData sheetId="2362"/>
      <sheetData sheetId="2363"/>
      <sheetData sheetId="2364"/>
      <sheetData sheetId="2365"/>
      <sheetData sheetId="2366"/>
      <sheetData sheetId="2367"/>
      <sheetData sheetId="2368"/>
      <sheetData sheetId="2369"/>
      <sheetData sheetId="2370"/>
      <sheetData sheetId="2371"/>
      <sheetData sheetId="2372"/>
      <sheetData sheetId="2373"/>
      <sheetData sheetId="2374"/>
      <sheetData sheetId="2375"/>
      <sheetData sheetId="2376"/>
      <sheetData sheetId="2377"/>
      <sheetData sheetId="2378"/>
      <sheetData sheetId="2379"/>
      <sheetData sheetId="2380"/>
      <sheetData sheetId="2381"/>
      <sheetData sheetId="2382"/>
      <sheetData sheetId="2383"/>
      <sheetData sheetId="2384"/>
      <sheetData sheetId="2385"/>
      <sheetData sheetId="2386"/>
      <sheetData sheetId="2387"/>
      <sheetData sheetId="2388"/>
      <sheetData sheetId="2389"/>
      <sheetData sheetId="2390"/>
      <sheetData sheetId="2391"/>
      <sheetData sheetId="2392"/>
      <sheetData sheetId="2393"/>
      <sheetData sheetId="2394"/>
      <sheetData sheetId="2395"/>
      <sheetData sheetId="2396"/>
      <sheetData sheetId="2397"/>
      <sheetData sheetId="2398"/>
      <sheetData sheetId="2399"/>
      <sheetData sheetId="2400"/>
      <sheetData sheetId="2401"/>
      <sheetData sheetId="2402"/>
      <sheetData sheetId="2403"/>
      <sheetData sheetId="2404"/>
      <sheetData sheetId="2405"/>
      <sheetData sheetId="2406"/>
      <sheetData sheetId="2407"/>
      <sheetData sheetId="2408"/>
      <sheetData sheetId="2409"/>
      <sheetData sheetId="2410"/>
      <sheetData sheetId="2411"/>
      <sheetData sheetId="2412"/>
      <sheetData sheetId="2413"/>
      <sheetData sheetId="2414"/>
      <sheetData sheetId="2415"/>
      <sheetData sheetId="2416"/>
      <sheetData sheetId="2417"/>
      <sheetData sheetId="2418"/>
      <sheetData sheetId="2419"/>
      <sheetData sheetId="2420"/>
      <sheetData sheetId="2421"/>
      <sheetData sheetId="2422"/>
      <sheetData sheetId="2423"/>
      <sheetData sheetId="2424"/>
      <sheetData sheetId="2425"/>
      <sheetData sheetId="2426"/>
      <sheetData sheetId="2427"/>
      <sheetData sheetId="2428"/>
      <sheetData sheetId="2429"/>
      <sheetData sheetId="2430"/>
      <sheetData sheetId="2431"/>
      <sheetData sheetId="2432"/>
      <sheetData sheetId="2433"/>
      <sheetData sheetId="2434"/>
      <sheetData sheetId="2435"/>
      <sheetData sheetId="2436"/>
      <sheetData sheetId="2437"/>
      <sheetData sheetId="2438"/>
      <sheetData sheetId="2439"/>
      <sheetData sheetId="2440"/>
      <sheetData sheetId="2441"/>
      <sheetData sheetId="2442"/>
      <sheetData sheetId="2443"/>
      <sheetData sheetId="2444"/>
      <sheetData sheetId="2445"/>
      <sheetData sheetId="2446"/>
      <sheetData sheetId="2447"/>
      <sheetData sheetId="2448"/>
      <sheetData sheetId="2449"/>
      <sheetData sheetId="2450"/>
      <sheetData sheetId="2451"/>
      <sheetData sheetId="2452"/>
      <sheetData sheetId="2453"/>
      <sheetData sheetId="2454"/>
      <sheetData sheetId="2455"/>
      <sheetData sheetId="2456"/>
      <sheetData sheetId="2457"/>
      <sheetData sheetId="2458"/>
      <sheetData sheetId="2459"/>
      <sheetData sheetId="2460"/>
      <sheetData sheetId="2461"/>
      <sheetData sheetId="2462"/>
      <sheetData sheetId="2463"/>
      <sheetData sheetId="2464"/>
      <sheetData sheetId="2465"/>
      <sheetData sheetId="2466"/>
      <sheetData sheetId="2467"/>
      <sheetData sheetId="2468"/>
      <sheetData sheetId="2469"/>
      <sheetData sheetId="2470"/>
      <sheetData sheetId="2471"/>
      <sheetData sheetId="2472"/>
      <sheetData sheetId="2473"/>
      <sheetData sheetId="2474"/>
      <sheetData sheetId="2475"/>
      <sheetData sheetId="2476"/>
      <sheetData sheetId="2477"/>
      <sheetData sheetId="2478"/>
      <sheetData sheetId="2479"/>
      <sheetData sheetId="2480"/>
      <sheetData sheetId="2481"/>
      <sheetData sheetId="2482"/>
      <sheetData sheetId="2483"/>
      <sheetData sheetId="2484"/>
      <sheetData sheetId="2485"/>
      <sheetData sheetId="2486"/>
      <sheetData sheetId="2487"/>
      <sheetData sheetId="2488"/>
      <sheetData sheetId="2489"/>
      <sheetData sheetId="2490"/>
      <sheetData sheetId="2491">
        <row r="5">
          <cell r="C5">
            <v>100</v>
          </cell>
        </row>
      </sheetData>
      <sheetData sheetId="2492">
        <row r="5">
          <cell r="C5">
            <v>100</v>
          </cell>
        </row>
      </sheetData>
      <sheetData sheetId="2493"/>
      <sheetData sheetId="2494"/>
      <sheetData sheetId="2495"/>
      <sheetData sheetId="2496">
        <row r="5">
          <cell r="C5">
            <v>100</v>
          </cell>
        </row>
      </sheetData>
      <sheetData sheetId="2497">
        <row r="5">
          <cell r="C5">
            <v>100</v>
          </cell>
        </row>
      </sheetData>
      <sheetData sheetId="2498">
        <row r="5">
          <cell r="C5">
            <v>100</v>
          </cell>
        </row>
      </sheetData>
      <sheetData sheetId="2499">
        <row r="5">
          <cell r="C5">
            <v>100</v>
          </cell>
        </row>
      </sheetData>
      <sheetData sheetId="2500">
        <row r="5">
          <cell r="C5">
            <v>100</v>
          </cell>
        </row>
      </sheetData>
      <sheetData sheetId="2501">
        <row r="5">
          <cell r="C5">
            <v>100</v>
          </cell>
        </row>
      </sheetData>
      <sheetData sheetId="2502">
        <row r="5">
          <cell r="C5">
            <v>100</v>
          </cell>
        </row>
      </sheetData>
      <sheetData sheetId="2503">
        <row r="5">
          <cell r="C5">
            <v>100</v>
          </cell>
        </row>
      </sheetData>
      <sheetData sheetId="2504">
        <row r="5">
          <cell r="C5">
            <v>100</v>
          </cell>
        </row>
      </sheetData>
      <sheetData sheetId="2505"/>
      <sheetData sheetId="2506"/>
      <sheetData sheetId="2507"/>
      <sheetData sheetId="2508"/>
      <sheetData sheetId="2509"/>
      <sheetData sheetId="2510"/>
      <sheetData sheetId="2511">
        <row r="5">
          <cell r="C5">
            <v>100</v>
          </cell>
        </row>
      </sheetData>
      <sheetData sheetId="2512"/>
      <sheetData sheetId="2513"/>
      <sheetData sheetId="2514"/>
      <sheetData sheetId="2515"/>
      <sheetData sheetId="2516"/>
      <sheetData sheetId="2517"/>
      <sheetData sheetId="2518"/>
      <sheetData sheetId="2519"/>
      <sheetData sheetId="2520"/>
      <sheetData sheetId="2521"/>
      <sheetData sheetId="2522"/>
      <sheetData sheetId="2523"/>
      <sheetData sheetId="2524"/>
      <sheetData sheetId="2525"/>
      <sheetData sheetId="2526"/>
      <sheetData sheetId="2527"/>
      <sheetData sheetId="2528"/>
      <sheetData sheetId="2529"/>
      <sheetData sheetId="2530"/>
      <sheetData sheetId="2531"/>
      <sheetData sheetId="2532"/>
      <sheetData sheetId="2533"/>
      <sheetData sheetId="2534"/>
      <sheetData sheetId="2535"/>
      <sheetData sheetId="2536"/>
      <sheetData sheetId="2537"/>
      <sheetData sheetId="2538"/>
      <sheetData sheetId="2539"/>
      <sheetData sheetId="2540"/>
      <sheetData sheetId="2541"/>
      <sheetData sheetId="2542"/>
      <sheetData sheetId="2543"/>
      <sheetData sheetId="2544"/>
      <sheetData sheetId="2545"/>
      <sheetData sheetId="2546"/>
      <sheetData sheetId="2547"/>
      <sheetData sheetId="2548"/>
      <sheetData sheetId="2549"/>
      <sheetData sheetId="2550"/>
      <sheetData sheetId="2551"/>
      <sheetData sheetId="2552"/>
      <sheetData sheetId="2553"/>
      <sheetData sheetId="2554"/>
      <sheetData sheetId="2555"/>
      <sheetData sheetId="2556"/>
      <sheetData sheetId="2557"/>
      <sheetData sheetId="2558"/>
      <sheetData sheetId="2559"/>
      <sheetData sheetId="2560"/>
      <sheetData sheetId="2561"/>
      <sheetData sheetId="2562"/>
      <sheetData sheetId="2563"/>
      <sheetData sheetId="2564">
        <row r="5">
          <cell r="C5" t="str">
            <v>PACKAGE NO.</v>
          </cell>
        </row>
      </sheetData>
      <sheetData sheetId="2565">
        <row r="5">
          <cell r="C5" t="str">
            <v>PACKAGE NO.</v>
          </cell>
        </row>
      </sheetData>
      <sheetData sheetId="2566">
        <row r="5">
          <cell r="C5" t="str">
            <v>PACKAGE NO.</v>
          </cell>
        </row>
      </sheetData>
      <sheetData sheetId="2567">
        <row r="5">
          <cell r="C5" t="str">
            <v>PACKAGE NO.</v>
          </cell>
        </row>
      </sheetData>
      <sheetData sheetId="2568">
        <row r="5">
          <cell r="C5" t="str">
            <v>PACKAGE NO.</v>
          </cell>
        </row>
      </sheetData>
      <sheetData sheetId="2569">
        <row r="5">
          <cell r="C5" t="str">
            <v>PACKAGE NO.</v>
          </cell>
        </row>
      </sheetData>
      <sheetData sheetId="2570">
        <row r="5">
          <cell r="C5" t="str">
            <v>PACKAGE NO.</v>
          </cell>
        </row>
      </sheetData>
      <sheetData sheetId="2571">
        <row r="5">
          <cell r="C5" t="str">
            <v>PACKAGE NO.</v>
          </cell>
        </row>
      </sheetData>
      <sheetData sheetId="2572">
        <row r="5">
          <cell r="C5" t="str">
            <v>PACKAGE NO.</v>
          </cell>
        </row>
      </sheetData>
      <sheetData sheetId="2573">
        <row r="5">
          <cell r="C5" t="str">
            <v>PACKAGE NO.</v>
          </cell>
        </row>
      </sheetData>
      <sheetData sheetId="2574"/>
      <sheetData sheetId="2575"/>
      <sheetData sheetId="2576"/>
      <sheetData sheetId="2577"/>
      <sheetData sheetId="2578"/>
      <sheetData sheetId="2579">
        <row r="5">
          <cell r="C5" t="str">
            <v>PACKAGE NO.</v>
          </cell>
        </row>
      </sheetData>
      <sheetData sheetId="2580">
        <row r="5">
          <cell r="C5" t="str">
            <v>PACKAGE NO.</v>
          </cell>
        </row>
      </sheetData>
      <sheetData sheetId="2581">
        <row r="5">
          <cell r="C5" t="str">
            <v>PACKAGE NO.</v>
          </cell>
        </row>
      </sheetData>
      <sheetData sheetId="2582">
        <row r="5">
          <cell r="C5" t="str">
            <v>PACKAGE NO.</v>
          </cell>
        </row>
      </sheetData>
      <sheetData sheetId="2583">
        <row r="5">
          <cell r="C5" t="str">
            <v>PACKAGE NO.</v>
          </cell>
        </row>
      </sheetData>
      <sheetData sheetId="2584">
        <row r="5">
          <cell r="C5" t="str">
            <v>PACKAGE NO.</v>
          </cell>
        </row>
      </sheetData>
      <sheetData sheetId="2585">
        <row r="5">
          <cell r="C5" t="str">
            <v>PACKAGE NO.</v>
          </cell>
        </row>
      </sheetData>
      <sheetData sheetId="2586">
        <row r="5">
          <cell r="C5" t="str">
            <v>PACKAGE NO.</v>
          </cell>
        </row>
      </sheetData>
      <sheetData sheetId="2587">
        <row r="5">
          <cell r="C5" t="str">
            <v>PACKAGE NO.</v>
          </cell>
        </row>
      </sheetData>
      <sheetData sheetId="2588">
        <row r="5">
          <cell r="C5" t="str">
            <v>PACKAGE NO.</v>
          </cell>
        </row>
      </sheetData>
      <sheetData sheetId="2589">
        <row r="5">
          <cell r="C5" t="str">
            <v>PACKAGE NO.</v>
          </cell>
        </row>
      </sheetData>
      <sheetData sheetId="2590"/>
      <sheetData sheetId="2591"/>
      <sheetData sheetId="2592"/>
      <sheetData sheetId="2593"/>
      <sheetData sheetId="2594"/>
      <sheetData sheetId="2595"/>
      <sheetData sheetId="2596"/>
      <sheetData sheetId="2597"/>
      <sheetData sheetId="2598"/>
      <sheetData sheetId="2599"/>
      <sheetData sheetId="2600"/>
      <sheetData sheetId="2601"/>
      <sheetData sheetId="2602"/>
      <sheetData sheetId="2603"/>
      <sheetData sheetId="2604"/>
      <sheetData sheetId="2605"/>
      <sheetData sheetId="2606"/>
      <sheetData sheetId="2607"/>
      <sheetData sheetId="2608"/>
      <sheetData sheetId="2609"/>
      <sheetData sheetId="2610"/>
      <sheetData sheetId="2611"/>
      <sheetData sheetId="2612"/>
      <sheetData sheetId="2613"/>
      <sheetData sheetId="2614"/>
      <sheetData sheetId="2615"/>
      <sheetData sheetId="2616"/>
      <sheetData sheetId="2617"/>
      <sheetData sheetId="2618"/>
      <sheetData sheetId="2619"/>
      <sheetData sheetId="2620"/>
      <sheetData sheetId="2621"/>
      <sheetData sheetId="2622"/>
      <sheetData sheetId="2623"/>
      <sheetData sheetId="2624"/>
      <sheetData sheetId="2625"/>
      <sheetData sheetId="2626"/>
      <sheetData sheetId="2627"/>
      <sheetData sheetId="2628"/>
      <sheetData sheetId="2629"/>
      <sheetData sheetId="2630"/>
      <sheetData sheetId="2631"/>
      <sheetData sheetId="2632"/>
      <sheetData sheetId="2633"/>
      <sheetData sheetId="2634"/>
      <sheetData sheetId="2635"/>
      <sheetData sheetId="2636"/>
      <sheetData sheetId="2637"/>
      <sheetData sheetId="2638"/>
      <sheetData sheetId="2639"/>
      <sheetData sheetId="2640"/>
      <sheetData sheetId="2641"/>
      <sheetData sheetId="2642"/>
      <sheetData sheetId="2643"/>
      <sheetData sheetId="2644"/>
      <sheetData sheetId="2645"/>
      <sheetData sheetId="2646"/>
      <sheetData sheetId="2647"/>
      <sheetData sheetId="2648"/>
      <sheetData sheetId="2649"/>
      <sheetData sheetId="2650"/>
      <sheetData sheetId="2651"/>
      <sheetData sheetId="2652"/>
      <sheetData sheetId="2653"/>
      <sheetData sheetId="2654"/>
      <sheetData sheetId="2655"/>
      <sheetData sheetId="2656"/>
      <sheetData sheetId="2657"/>
      <sheetData sheetId="2658"/>
      <sheetData sheetId="2659"/>
      <sheetData sheetId="2660"/>
      <sheetData sheetId="2661"/>
      <sheetData sheetId="2662"/>
      <sheetData sheetId="2663"/>
      <sheetData sheetId="2664"/>
      <sheetData sheetId="2665"/>
      <sheetData sheetId="2666"/>
      <sheetData sheetId="2667"/>
      <sheetData sheetId="2668"/>
      <sheetData sheetId="2669"/>
      <sheetData sheetId="2670"/>
      <sheetData sheetId="2671"/>
      <sheetData sheetId="2672"/>
      <sheetData sheetId="2673"/>
      <sheetData sheetId="2674"/>
      <sheetData sheetId="2675"/>
      <sheetData sheetId="2676"/>
      <sheetData sheetId="2677"/>
      <sheetData sheetId="2678"/>
      <sheetData sheetId="2679"/>
      <sheetData sheetId="2680"/>
      <sheetData sheetId="2681"/>
      <sheetData sheetId="2682"/>
      <sheetData sheetId="2683"/>
      <sheetData sheetId="2684"/>
      <sheetData sheetId="2685"/>
      <sheetData sheetId="2686"/>
      <sheetData sheetId="2687"/>
      <sheetData sheetId="2688"/>
      <sheetData sheetId="2689"/>
      <sheetData sheetId="2690"/>
      <sheetData sheetId="2691"/>
      <sheetData sheetId="2692"/>
      <sheetData sheetId="2693"/>
      <sheetData sheetId="2694"/>
      <sheetData sheetId="2695"/>
      <sheetData sheetId="2696"/>
      <sheetData sheetId="2697"/>
      <sheetData sheetId="2698"/>
      <sheetData sheetId="2699"/>
      <sheetData sheetId="2700"/>
      <sheetData sheetId="2701"/>
      <sheetData sheetId="2702"/>
      <sheetData sheetId="2703"/>
      <sheetData sheetId="2704"/>
      <sheetData sheetId="2705"/>
      <sheetData sheetId="2706"/>
      <sheetData sheetId="2707"/>
      <sheetData sheetId="2708"/>
      <sheetData sheetId="2709"/>
      <sheetData sheetId="2710"/>
      <sheetData sheetId="2711"/>
      <sheetData sheetId="2712"/>
      <sheetData sheetId="2713"/>
      <sheetData sheetId="2714"/>
      <sheetData sheetId="2715"/>
      <sheetData sheetId="2716"/>
      <sheetData sheetId="2717"/>
      <sheetData sheetId="2718"/>
      <sheetData sheetId="2719"/>
      <sheetData sheetId="2720"/>
      <sheetData sheetId="2721"/>
      <sheetData sheetId="2722"/>
      <sheetData sheetId="2723"/>
      <sheetData sheetId="2724"/>
      <sheetData sheetId="2725"/>
      <sheetData sheetId="2726"/>
      <sheetData sheetId="2727"/>
      <sheetData sheetId="2728"/>
      <sheetData sheetId="2729"/>
      <sheetData sheetId="2730"/>
      <sheetData sheetId="2731"/>
      <sheetData sheetId="2732"/>
      <sheetData sheetId="2733"/>
      <sheetData sheetId="2734"/>
      <sheetData sheetId="2735"/>
      <sheetData sheetId="2736">
        <row r="5">
          <cell r="C5">
            <v>100</v>
          </cell>
        </row>
      </sheetData>
      <sheetData sheetId="2737">
        <row r="5">
          <cell r="C5">
            <v>100</v>
          </cell>
        </row>
      </sheetData>
      <sheetData sheetId="2738"/>
      <sheetData sheetId="2739"/>
      <sheetData sheetId="2740"/>
      <sheetData sheetId="2741">
        <row r="5">
          <cell r="C5">
            <v>100</v>
          </cell>
        </row>
      </sheetData>
      <sheetData sheetId="2742">
        <row r="5">
          <cell r="C5">
            <v>100</v>
          </cell>
        </row>
      </sheetData>
      <sheetData sheetId="2743">
        <row r="5">
          <cell r="C5">
            <v>100</v>
          </cell>
        </row>
      </sheetData>
      <sheetData sheetId="2744">
        <row r="5">
          <cell r="C5">
            <v>100</v>
          </cell>
        </row>
      </sheetData>
      <sheetData sheetId="2745">
        <row r="5">
          <cell r="C5">
            <v>100</v>
          </cell>
        </row>
      </sheetData>
      <sheetData sheetId="2746">
        <row r="5">
          <cell r="C5">
            <v>100</v>
          </cell>
        </row>
      </sheetData>
      <sheetData sheetId="2747">
        <row r="5">
          <cell r="C5">
            <v>100</v>
          </cell>
        </row>
      </sheetData>
      <sheetData sheetId="2748">
        <row r="5">
          <cell r="C5">
            <v>100</v>
          </cell>
        </row>
      </sheetData>
      <sheetData sheetId="2749">
        <row r="5">
          <cell r="C5">
            <v>100</v>
          </cell>
        </row>
      </sheetData>
      <sheetData sheetId="2750"/>
      <sheetData sheetId="2751"/>
      <sheetData sheetId="2752"/>
      <sheetData sheetId="2753"/>
      <sheetData sheetId="2754"/>
      <sheetData sheetId="2755"/>
      <sheetData sheetId="2756">
        <row r="5">
          <cell r="C5">
            <v>100</v>
          </cell>
        </row>
      </sheetData>
      <sheetData sheetId="2757"/>
      <sheetData sheetId="2758"/>
      <sheetData sheetId="2759"/>
      <sheetData sheetId="2760"/>
      <sheetData sheetId="2761"/>
      <sheetData sheetId="2762"/>
      <sheetData sheetId="2763"/>
      <sheetData sheetId="2764"/>
      <sheetData sheetId="2765"/>
      <sheetData sheetId="2766"/>
      <sheetData sheetId="2767"/>
      <sheetData sheetId="2768"/>
      <sheetData sheetId="2769"/>
      <sheetData sheetId="2770"/>
      <sheetData sheetId="2771"/>
      <sheetData sheetId="2772"/>
      <sheetData sheetId="2773"/>
      <sheetData sheetId="2774"/>
      <sheetData sheetId="2775"/>
      <sheetData sheetId="2776"/>
      <sheetData sheetId="2777"/>
      <sheetData sheetId="2778"/>
      <sheetData sheetId="2779"/>
      <sheetData sheetId="2780"/>
      <sheetData sheetId="2781"/>
      <sheetData sheetId="2782"/>
      <sheetData sheetId="2783"/>
      <sheetData sheetId="2784"/>
      <sheetData sheetId="2785"/>
      <sheetData sheetId="2786"/>
      <sheetData sheetId="2787"/>
      <sheetData sheetId="2788"/>
      <sheetData sheetId="2789"/>
      <sheetData sheetId="2790"/>
      <sheetData sheetId="2791"/>
      <sheetData sheetId="2792"/>
      <sheetData sheetId="2793"/>
      <sheetData sheetId="2794"/>
      <sheetData sheetId="2795"/>
      <sheetData sheetId="2796"/>
      <sheetData sheetId="2797"/>
      <sheetData sheetId="2798"/>
      <sheetData sheetId="2799"/>
      <sheetData sheetId="2800"/>
      <sheetData sheetId="2801"/>
      <sheetData sheetId="2802"/>
      <sheetData sheetId="2803"/>
      <sheetData sheetId="2804"/>
      <sheetData sheetId="2805"/>
      <sheetData sheetId="2806"/>
      <sheetData sheetId="2807"/>
      <sheetData sheetId="2808"/>
      <sheetData sheetId="2809">
        <row r="5">
          <cell r="C5" t="str">
            <v>PACKAGE NO.</v>
          </cell>
        </row>
      </sheetData>
      <sheetData sheetId="2810">
        <row r="5">
          <cell r="C5" t="str">
            <v>PACKAGE NO.</v>
          </cell>
        </row>
      </sheetData>
      <sheetData sheetId="2811">
        <row r="5">
          <cell r="C5" t="str">
            <v>PACKAGE NO.</v>
          </cell>
        </row>
      </sheetData>
      <sheetData sheetId="2812">
        <row r="5">
          <cell r="C5" t="str">
            <v>PACKAGE NO.</v>
          </cell>
        </row>
      </sheetData>
      <sheetData sheetId="2813">
        <row r="5">
          <cell r="C5" t="str">
            <v>PACKAGE NO.</v>
          </cell>
        </row>
      </sheetData>
      <sheetData sheetId="2814">
        <row r="5">
          <cell r="C5" t="str">
            <v>PACKAGE NO.</v>
          </cell>
        </row>
      </sheetData>
      <sheetData sheetId="2815">
        <row r="5">
          <cell r="C5" t="str">
            <v>PACKAGE NO.</v>
          </cell>
        </row>
      </sheetData>
      <sheetData sheetId="2816">
        <row r="5">
          <cell r="C5" t="str">
            <v>PACKAGE NO.</v>
          </cell>
        </row>
      </sheetData>
      <sheetData sheetId="2817">
        <row r="5">
          <cell r="C5" t="str">
            <v>PACKAGE NO.</v>
          </cell>
        </row>
      </sheetData>
      <sheetData sheetId="2818">
        <row r="5">
          <cell r="C5" t="str">
            <v>PACKAGE NO.</v>
          </cell>
        </row>
      </sheetData>
      <sheetData sheetId="2819"/>
      <sheetData sheetId="2820"/>
      <sheetData sheetId="2821"/>
      <sheetData sheetId="2822"/>
      <sheetData sheetId="2823"/>
      <sheetData sheetId="2824">
        <row r="5">
          <cell r="C5" t="str">
            <v>PACKAGE NO.</v>
          </cell>
        </row>
      </sheetData>
      <sheetData sheetId="2825">
        <row r="5">
          <cell r="C5" t="str">
            <v>PACKAGE NO.</v>
          </cell>
        </row>
      </sheetData>
      <sheetData sheetId="2826">
        <row r="5">
          <cell r="C5" t="str">
            <v>PACKAGE NO.</v>
          </cell>
        </row>
      </sheetData>
      <sheetData sheetId="2827">
        <row r="5">
          <cell r="C5" t="str">
            <v>PACKAGE NO.</v>
          </cell>
        </row>
      </sheetData>
      <sheetData sheetId="2828">
        <row r="5">
          <cell r="C5" t="str">
            <v>PACKAGE NO.</v>
          </cell>
        </row>
      </sheetData>
      <sheetData sheetId="2829">
        <row r="5">
          <cell r="C5" t="str">
            <v>PACKAGE NO.</v>
          </cell>
        </row>
      </sheetData>
      <sheetData sheetId="2830">
        <row r="5">
          <cell r="C5" t="str">
            <v>PACKAGE NO.</v>
          </cell>
        </row>
      </sheetData>
      <sheetData sheetId="2831">
        <row r="5">
          <cell r="C5" t="str">
            <v>PACKAGE NO.</v>
          </cell>
        </row>
      </sheetData>
      <sheetData sheetId="2832">
        <row r="5">
          <cell r="C5" t="str">
            <v>PACKAGE NO.</v>
          </cell>
        </row>
      </sheetData>
      <sheetData sheetId="2833">
        <row r="5">
          <cell r="C5" t="str">
            <v>PACKAGE NO.</v>
          </cell>
        </row>
      </sheetData>
      <sheetData sheetId="2834">
        <row r="5">
          <cell r="C5" t="str">
            <v>PACKAGE NO.</v>
          </cell>
        </row>
      </sheetData>
      <sheetData sheetId="2835"/>
      <sheetData sheetId="2836"/>
      <sheetData sheetId="2837"/>
      <sheetData sheetId="2838"/>
      <sheetData sheetId="2839"/>
      <sheetData sheetId="2840"/>
      <sheetData sheetId="2841"/>
      <sheetData sheetId="2842"/>
      <sheetData sheetId="2843"/>
      <sheetData sheetId="2844"/>
      <sheetData sheetId="2845"/>
      <sheetData sheetId="2846"/>
      <sheetData sheetId="2847"/>
      <sheetData sheetId="2848"/>
      <sheetData sheetId="2849"/>
      <sheetData sheetId="2850"/>
      <sheetData sheetId="2851"/>
      <sheetData sheetId="2852"/>
      <sheetData sheetId="2853"/>
      <sheetData sheetId="2854"/>
      <sheetData sheetId="2855"/>
      <sheetData sheetId="2856"/>
      <sheetData sheetId="2857"/>
      <sheetData sheetId="2858"/>
      <sheetData sheetId="2859"/>
      <sheetData sheetId="2860"/>
      <sheetData sheetId="2861"/>
      <sheetData sheetId="2862"/>
      <sheetData sheetId="2863"/>
      <sheetData sheetId="2864"/>
      <sheetData sheetId="2865"/>
      <sheetData sheetId="2866"/>
      <sheetData sheetId="2867"/>
      <sheetData sheetId="2868"/>
      <sheetData sheetId="2869"/>
      <sheetData sheetId="2870"/>
      <sheetData sheetId="2871"/>
      <sheetData sheetId="2872"/>
      <sheetData sheetId="2873"/>
      <sheetData sheetId="2874"/>
      <sheetData sheetId="2875"/>
      <sheetData sheetId="2876"/>
      <sheetData sheetId="2877"/>
      <sheetData sheetId="2878"/>
      <sheetData sheetId="2879"/>
      <sheetData sheetId="2880"/>
      <sheetData sheetId="2881"/>
      <sheetData sheetId="2882"/>
      <sheetData sheetId="2883"/>
      <sheetData sheetId="2884"/>
      <sheetData sheetId="2885"/>
      <sheetData sheetId="2886"/>
      <sheetData sheetId="2887"/>
      <sheetData sheetId="2888"/>
      <sheetData sheetId="2889"/>
      <sheetData sheetId="2890"/>
      <sheetData sheetId="2891"/>
      <sheetData sheetId="2892"/>
      <sheetData sheetId="2893"/>
      <sheetData sheetId="2894"/>
      <sheetData sheetId="2895"/>
      <sheetData sheetId="2896"/>
      <sheetData sheetId="2897"/>
      <sheetData sheetId="2898"/>
      <sheetData sheetId="2899"/>
      <sheetData sheetId="2900"/>
      <sheetData sheetId="2901"/>
      <sheetData sheetId="2902"/>
      <sheetData sheetId="2903"/>
      <sheetData sheetId="2904"/>
      <sheetData sheetId="2905"/>
      <sheetData sheetId="2906"/>
      <sheetData sheetId="2907"/>
      <sheetData sheetId="2908"/>
      <sheetData sheetId="2909"/>
      <sheetData sheetId="2910"/>
      <sheetData sheetId="2911"/>
      <sheetData sheetId="2912"/>
      <sheetData sheetId="2913"/>
      <sheetData sheetId="2914"/>
      <sheetData sheetId="2915"/>
      <sheetData sheetId="2916"/>
      <sheetData sheetId="2917"/>
      <sheetData sheetId="2918"/>
      <sheetData sheetId="2919"/>
      <sheetData sheetId="2920"/>
      <sheetData sheetId="2921"/>
      <sheetData sheetId="2922"/>
      <sheetData sheetId="2923"/>
      <sheetData sheetId="2924"/>
      <sheetData sheetId="2925"/>
      <sheetData sheetId="2926"/>
      <sheetData sheetId="2927"/>
      <sheetData sheetId="2928"/>
      <sheetData sheetId="2929"/>
      <sheetData sheetId="2930"/>
      <sheetData sheetId="2931"/>
      <sheetData sheetId="2932"/>
      <sheetData sheetId="2933"/>
      <sheetData sheetId="2934"/>
      <sheetData sheetId="2935"/>
      <sheetData sheetId="2936"/>
      <sheetData sheetId="2937"/>
      <sheetData sheetId="2938"/>
      <sheetData sheetId="2939"/>
      <sheetData sheetId="2940"/>
      <sheetData sheetId="2941"/>
      <sheetData sheetId="2942"/>
      <sheetData sheetId="2943"/>
      <sheetData sheetId="2944"/>
      <sheetData sheetId="2945"/>
      <sheetData sheetId="2946"/>
      <sheetData sheetId="2947"/>
      <sheetData sheetId="2948"/>
      <sheetData sheetId="2949"/>
      <sheetData sheetId="2950"/>
      <sheetData sheetId="2951"/>
      <sheetData sheetId="2952"/>
      <sheetData sheetId="2953"/>
      <sheetData sheetId="2954"/>
      <sheetData sheetId="2955"/>
      <sheetData sheetId="2956"/>
      <sheetData sheetId="2957"/>
      <sheetData sheetId="2958"/>
      <sheetData sheetId="2959"/>
      <sheetData sheetId="2960"/>
      <sheetData sheetId="2961"/>
      <sheetData sheetId="2962"/>
      <sheetData sheetId="2963"/>
      <sheetData sheetId="2964"/>
      <sheetData sheetId="2965"/>
      <sheetData sheetId="2966"/>
      <sheetData sheetId="2967"/>
      <sheetData sheetId="2968"/>
      <sheetData sheetId="2969"/>
      <sheetData sheetId="2970"/>
      <sheetData sheetId="2971"/>
      <sheetData sheetId="2972"/>
      <sheetData sheetId="2973"/>
      <sheetData sheetId="2974"/>
      <sheetData sheetId="2975"/>
      <sheetData sheetId="2976"/>
      <sheetData sheetId="2977"/>
      <sheetData sheetId="2978"/>
      <sheetData sheetId="2979"/>
      <sheetData sheetId="2980"/>
      <sheetData sheetId="2981">
        <row r="5">
          <cell r="C5">
            <v>100</v>
          </cell>
        </row>
      </sheetData>
      <sheetData sheetId="2982">
        <row r="5">
          <cell r="C5">
            <v>100</v>
          </cell>
        </row>
      </sheetData>
      <sheetData sheetId="2983"/>
      <sheetData sheetId="2984"/>
      <sheetData sheetId="2985"/>
      <sheetData sheetId="2986">
        <row r="5">
          <cell r="C5">
            <v>100</v>
          </cell>
        </row>
      </sheetData>
      <sheetData sheetId="2987">
        <row r="5">
          <cell r="C5">
            <v>100</v>
          </cell>
        </row>
      </sheetData>
      <sheetData sheetId="2988">
        <row r="5">
          <cell r="C5">
            <v>100</v>
          </cell>
        </row>
      </sheetData>
      <sheetData sheetId="2989">
        <row r="5">
          <cell r="C5">
            <v>100</v>
          </cell>
        </row>
      </sheetData>
      <sheetData sheetId="2990">
        <row r="5">
          <cell r="C5">
            <v>100</v>
          </cell>
        </row>
      </sheetData>
      <sheetData sheetId="2991">
        <row r="5">
          <cell r="C5">
            <v>100</v>
          </cell>
        </row>
      </sheetData>
      <sheetData sheetId="2992">
        <row r="5">
          <cell r="C5">
            <v>100</v>
          </cell>
        </row>
      </sheetData>
      <sheetData sheetId="2993">
        <row r="5">
          <cell r="C5">
            <v>100</v>
          </cell>
        </row>
      </sheetData>
      <sheetData sheetId="2994">
        <row r="5">
          <cell r="C5">
            <v>100</v>
          </cell>
        </row>
      </sheetData>
      <sheetData sheetId="2995"/>
      <sheetData sheetId="2996"/>
      <sheetData sheetId="2997"/>
      <sheetData sheetId="2998"/>
      <sheetData sheetId="2999"/>
      <sheetData sheetId="3000"/>
      <sheetData sheetId="3001">
        <row r="5">
          <cell r="C5">
            <v>100</v>
          </cell>
        </row>
      </sheetData>
      <sheetData sheetId="3002"/>
      <sheetData sheetId="3003"/>
      <sheetData sheetId="3004"/>
      <sheetData sheetId="3005"/>
      <sheetData sheetId="3006"/>
      <sheetData sheetId="3007"/>
      <sheetData sheetId="3008"/>
      <sheetData sheetId="3009"/>
      <sheetData sheetId="3010"/>
      <sheetData sheetId="3011"/>
      <sheetData sheetId="3012"/>
      <sheetData sheetId="3013"/>
      <sheetData sheetId="3014"/>
      <sheetData sheetId="3015"/>
      <sheetData sheetId="3016"/>
      <sheetData sheetId="3017"/>
      <sheetData sheetId="3018"/>
      <sheetData sheetId="3019"/>
      <sheetData sheetId="3020"/>
      <sheetData sheetId="3021"/>
      <sheetData sheetId="3022"/>
      <sheetData sheetId="3023"/>
      <sheetData sheetId="3024"/>
      <sheetData sheetId="3025"/>
      <sheetData sheetId="3026"/>
      <sheetData sheetId="3027"/>
      <sheetData sheetId="3028"/>
      <sheetData sheetId="3029"/>
      <sheetData sheetId="3030"/>
      <sheetData sheetId="3031"/>
      <sheetData sheetId="3032"/>
      <sheetData sheetId="3033"/>
      <sheetData sheetId="3034"/>
      <sheetData sheetId="3035"/>
      <sheetData sheetId="3036"/>
      <sheetData sheetId="3037"/>
      <sheetData sheetId="3038"/>
      <sheetData sheetId="3039"/>
      <sheetData sheetId="3040"/>
      <sheetData sheetId="3041"/>
      <sheetData sheetId="3042"/>
      <sheetData sheetId="3043"/>
      <sheetData sheetId="3044"/>
      <sheetData sheetId="3045"/>
      <sheetData sheetId="3046"/>
      <sheetData sheetId="3047"/>
      <sheetData sheetId="3048"/>
      <sheetData sheetId="3049"/>
      <sheetData sheetId="3050"/>
      <sheetData sheetId="3051"/>
      <sheetData sheetId="3052"/>
      <sheetData sheetId="3053"/>
      <sheetData sheetId="3054">
        <row r="5">
          <cell r="C5" t="str">
            <v>PACKAGE NO.</v>
          </cell>
        </row>
      </sheetData>
      <sheetData sheetId="3055">
        <row r="5">
          <cell r="C5" t="str">
            <v>PACKAGE NO.</v>
          </cell>
        </row>
      </sheetData>
      <sheetData sheetId="3056">
        <row r="5">
          <cell r="C5" t="str">
            <v>PACKAGE NO.</v>
          </cell>
        </row>
      </sheetData>
      <sheetData sheetId="3057">
        <row r="5">
          <cell r="C5" t="str">
            <v>PACKAGE NO.</v>
          </cell>
        </row>
      </sheetData>
      <sheetData sheetId="3058">
        <row r="5">
          <cell r="C5" t="str">
            <v>PACKAGE NO.</v>
          </cell>
        </row>
      </sheetData>
      <sheetData sheetId="3059">
        <row r="5">
          <cell r="C5" t="str">
            <v>PACKAGE NO.</v>
          </cell>
        </row>
      </sheetData>
      <sheetData sheetId="3060">
        <row r="5">
          <cell r="C5" t="str">
            <v>PACKAGE NO.</v>
          </cell>
        </row>
      </sheetData>
      <sheetData sheetId="3061">
        <row r="5">
          <cell r="C5" t="str">
            <v>PACKAGE NO.</v>
          </cell>
        </row>
      </sheetData>
      <sheetData sheetId="3062">
        <row r="5">
          <cell r="C5" t="str">
            <v>PACKAGE NO.</v>
          </cell>
        </row>
      </sheetData>
      <sheetData sheetId="3063">
        <row r="5">
          <cell r="C5" t="str">
            <v>PACKAGE NO.</v>
          </cell>
        </row>
      </sheetData>
      <sheetData sheetId="3064"/>
      <sheetData sheetId="3065"/>
      <sheetData sheetId="3066"/>
      <sheetData sheetId="3067"/>
      <sheetData sheetId="3068"/>
      <sheetData sheetId="3069">
        <row r="5">
          <cell r="C5" t="str">
            <v>PACKAGE NO.</v>
          </cell>
        </row>
      </sheetData>
      <sheetData sheetId="3070">
        <row r="5">
          <cell r="C5" t="str">
            <v>PACKAGE NO.</v>
          </cell>
        </row>
      </sheetData>
      <sheetData sheetId="3071">
        <row r="5">
          <cell r="C5" t="str">
            <v>PACKAGE NO.</v>
          </cell>
        </row>
      </sheetData>
      <sheetData sheetId="3072">
        <row r="5">
          <cell r="C5" t="str">
            <v>PACKAGE NO.</v>
          </cell>
        </row>
      </sheetData>
      <sheetData sheetId="3073">
        <row r="5">
          <cell r="C5" t="str">
            <v>PACKAGE NO.</v>
          </cell>
        </row>
      </sheetData>
      <sheetData sheetId="3074">
        <row r="5">
          <cell r="C5" t="str">
            <v>PACKAGE NO.</v>
          </cell>
        </row>
      </sheetData>
      <sheetData sheetId="3075">
        <row r="5">
          <cell r="C5" t="str">
            <v>PACKAGE NO.</v>
          </cell>
        </row>
      </sheetData>
      <sheetData sheetId="3076">
        <row r="5">
          <cell r="C5" t="str">
            <v>PACKAGE NO.</v>
          </cell>
        </row>
      </sheetData>
      <sheetData sheetId="3077">
        <row r="5">
          <cell r="C5" t="str">
            <v>PACKAGE NO.</v>
          </cell>
        </row>
      </sheetData>
      <sheetData sheetId="3078">
        <row r="5">
          <cell r="C5" t="str">
            <v>PACKAGE NO.</v>
          </cell>
        </row>
      </sheetData>
      <sheetData sheetId="3079">
        <row r="5">
          <cell r="C5" t="str">
            <v>PACKAGE NO.</v>
          </cell>
        </row>
      </sheetData>
      <sheetData sheetId="3080"/>
      <sheetData sheetId="3081"/>
      <sheetData sheetId="3082"/>
      <sheetData sheetId="3083"/>
      <sheetData sheetId="3084"/>
      <sheetData sheetId="3085"/>
      <sheetData sheetId="3086"/>
      <sheetData sheetId="3087"/>
      <sheetData sheetId="3088"/>
      <sheetData sheetId="3089"/>
      <sheetData sheetId="3090"/>
      <sheetData sheetId="3091"/>
      <sheetData sheetId="3092"/>
      <sheetData sheetId="3093"/>
      <sheetData sheetId="3094"/>
      <sheetData sheetId="3095"/>
      <sheetData sheetId="3096"/>
      <sheetData sheetId="3097"/>
      <sheetData sheetId="3098"/>
      <sheetData sheetId="3099"/>
      <sheetData sheetId="3100"/>
      <sheetData sheetId="3101"/>
      <sheetData sheetId="3102"/>
      <sheetData sheetId="3103"/>
      <sheetData sheetId="3104"/>
      <sheetData sheetId="3105"/>
      <sheetData sheetId="3106"/>
      <sheetData sheetId="3107"/>
      <sheetData sheetId="3108"/>
      <sheetData sheetId="3109"/>
      <sheetData sheetId="3110"/>
      <sheetData sheetId="3111"/>
      <sheetData sheetId="3112"/>
      <sheetData sheetId="3113"/>
      <sheetData sheetId="3114"/>
      <sheetData sheetId="3115"/>
      <sheetData sheetId="3116"/>
      <sheetData sheetId="3117"/>
      <sheetData sheetId="3118"/>
      <sheetData sheetId="3119"/>
      <sheetData sheetId="3120"/>
      <sheetData sheetId="3121"/>
      <sheetData sheetId="3122"/>
      <sheetData sheetId="3123"/>
      <sheetData sheetId="3124"/>
      <sheetData sheetId="3125"/>
      <sheetData sheetId="3126"/>
      <sheetData sheetId="3127"/>
      <sheetData sheetId="3128"/>
      <sheetData sheetId="3129"/>
      <sheetData sheetId="3130"/>
      <sheetData sheetId="3131"/>
      <sheetData sheetId="3132"/>
      <sheetData sheetId="3133"/>
      <sheetData sheetId="3134"/>
      <sheetData sheetId="3135"/>
      <sheetData sheetId="3136"/>
      <sheetData sheetId="3137"/>
      <sheetData sheetId="3138"/>
      <sheetData sheetId="3139"/>
      <sheetData sheetId="3140"/>
      <sheetData sheetId="3141"/>
      <sheetData sheetId="3142"/>
      <sheetData sheetId="3143"/>
      <sheetData sheetId="3144"/>
      <sheetData sheetId="3145"/>
      <sheetData sheetId="3146"/>
      <sheetData sheetId="3147"/>
      <sheetData sheetId="3148"/>
      <sheetData sheetId="3149"/>
      <sheetData sheetId="3150"/>
      <sheetData sheetId="3151"/>
      <sheetData sheetId="3152"/>
      <sheetData sheetId="3153"/>
      <sheetData sheetId="3154"/>
      <sheetData sheetId="3155"/>
      <sheetData sheetId="3156"/>
      <sheetData sheetId="3157"/>
      <sheetData sheetId="3158"/>
      <sheetData sheetId="3159"/>
      <sheetData sheetId="3160"/>
      <sheetData sheetId="3161"/>
      <sheetData sheetId="3162"/>
      <sheetData sheetId="3163"/>
      <sheetData sheetId="3164"/>
      <sheetData sheetId="3165"/>
      <sheetData sheetId="3166"/>
      <sheetData sheetId="3167"/>
      <sheetData sheetId="3168"/>
      <sheetData sheetId="3169"/>
      <sheetData sheetId="3170"/>
      <sheetData sheetId="3171"/>
      <sheetData sheetId="3172"/>
      <sheetData sheetId="3173"/>
      <sheetData sheetId="3174"/>
      <sheetData sheetId="3175"/>
      <sheetData sheetId="3176"/>
      <sheetData sheetId="3177"/>
      <sheetData sheetId="3178"/>
      <sheetData sheetId="3179"/>
      <sheetData sheetId="3180"/>
      <sheetData sheetId="3181"/>
      <sheetData sheetId="3182"/>
      <sheetData sheetId="3183"/>
      <sheetData sheetId="3184"/>
      <sheetData sheetId="3185"/>
      <sheetData sheetId="3186"/>
      <sheetData sheetId="3187"/>
      <sheetData sheetId="3188"/>
      <sheetData sheetId="3189"/>
      <sheetData sheetId="3190"/>
      <sheetData sheetId="3191"/>
      <sheetData sheetId="3192"/>
      <sheetData sheetId="3193"/>
      <sheetData sheetId="3194"/>
      <sheetData sheetId="3195"/>
      <sheetData sheetId="3196"/>
      <sheetData sheetId="3197"/>
      <sheetData sheetId="3198"/>
      <sheetData sheetId="3199"/>
      <sheetData sheetId="3200"/>
      <sheetData sheetId="3201"/>
      <sheetData sheetId="3202"/>
      <sheetData sheetId="3203"/>
      <sheetData sheetId="3204"/>
      <sheetData sheetId="3205"/>
      <sheetData sheetId="3206"/>
      <sheetData sheetId="3207"/>
      <sheetData sheetId="3208"/>
      <sheetData sheetId="3209"/>
      <sheetData sheetId="3210"/>
      <sheetData sheetId="3211"/>
      <sheetData sheetId="3212"/>
      <sheetData sheetId="3213"/>
      <sheetData sheetId="3214"/>
      <sheetData sheetId="3215"/>
      <sheetData sheetId="3216"/>
      <sheetData sheetId="3217"/>
      <sheetData sheetId="3218"/>
      <sheetData sheetId="3219"/>
      <sheetData sheetId="3220"/>
      <sheetData sheetId="3221"/>
      <sheetData sheetId="3222"/>
      <sheetData sheetId="3223"/>
      <sheetData sheetId="3224"/>
      <sheetData sheetId="3225"/>
      <sheetData sheetId="3226">
        <row r="5">
          <cell r="C5">
            <v>100</v>
          </cell>
        </row>
      </sheetData>
      <sheetData sheetId="3227">
        <row r="5">
          <cell r="C5">
            <v>100</v>
          </cell>
        </row>
      </sheetData>
      <sheetData sheetId="3228"/>
      <sheetData sheetId="3229"/>
      <sheetData sheetId="3230"/>
      <sheetData sheetId="3231">
        <row r="5">
          <cell r="C5">
            <v>100</v>
          </cell>
        </row>
      </sheetData>
      <sheetData sheetId="3232">
        <row r="5">
          <cell r="C5">
            <v>100</v>
          </cell>
        </row>
      </sheetData>
      <sheetData sheetId="3233">
        <row r="5">
          <cell r="C5">
            <v>100</v>
          </cell>
        </row>
      </sheetData>
      <sheetData sheetId="3234">
        <row r="5">
          <cell r="C5">
            <v>100</v>
          </cell>
        </row>
      </sheetData>
      <sheetData sheetId="3235">
        <row r="5">
          <cell r="C5">
            <v>100</v>
          </cell>
        </row>
      </sheetData>
      <sheetData sheetId="3236">
        <row r="5">
          <cell r="C5">
            <v>100</v>
          </cell>
        </row>
      </sheetData>
      <sheetData sheetId="3237">
        <row r="5">
          <cell r="C5">
            <v>100</v>
          </cell>
        </row>
      </sheetData>
      <sheetData sheetId="3238">
        <row r="5">
          <cell r="C5">
            <v>100</v>
          </cell>
        </row>
      </sheetData>
      <sheetData sheetId="3239">
        <row r="5">
          <cell r="C5">
            <v>100</v>
          </cell>
        </row>
      </sheetData>
      <sheetData sheetId="3240"/>
      <sheetData sheetId="3241"/>
      <sheetData sheetId="3242"/>
      <sheetData sheetId="3243"/>
      <sheetData sheetId="3244"/>
      <sheetData sheetId="3245"/>
      <sheetData sheetId="3246">
        <row r="5">
          <cell r="C5">
            <v>100</v>
          </cell>
        </row>
      </sheetData>
      <sheetData sheetId="3247"/>
      <sheetData sheetId="3248"/>
      <sheetData sheetId="3249"/>
      <sheetData sheetId="3250"/>
      <sheetData sheetId="3251"/>
      <sheetData sheetId="3252"/>
      <sheetData sheetId="3253"/>
      <sheetData sheetId="3254"/>
      <sheetData sheetId="3255"/>
      <sheetData sheetId="3256"/>
      <sheetData sheetId="3257"/>
      <sheetData sheetId="3258"/>
      <sheetData sheetId="3259"/>
      <sheetData sheetId="3260"/>
      <sheetData sheetId="3261"/>
      <sheetData sheetId="3262"/>
      <sheetData sheetId="3263"/>
      <sheetData sheetId="3264"/>
      <sheetData sheetId="3265"/>
      <sheetData sheetId="3266"/>
      <sheetData sheetId="3267"/>
      <sheetData sheetId="3268"/>
      <sheetData sheetId="3269"/>
      <sheetData sheetId="3270"/>
      <sheetData sheetId="3271"/>
      <sheetData sheetId="3272"/>
      <sheetData sheetId="3273"/>
      <sheetData sheetId="3274"/>
      <sheetData sheetId="3275"/>
      <sheetData sheetId="3276"/>
      <sheetData sheetId="3277"/>
      <sheetData sheetId="3278"/>
      <sheetData sheetId="3279"/>
      <sheetData sheetId="3280"/>
      <sheetData sheetId="3281"/>
      <sheetData sheetId="3282"/>
      <sheetData sheetId="3283"/>
      <sheetData sheetId="3284"/>
      <sheetData sheetId="3285"/>
      <sheetData sheetId="3286"/>
      <sheetData sheetId="3287"/>
      <sheetData sheetId="3288"/>
      <sheetData sheetId="3289"/>
      <sheetData sheetId="3290"/>
      <sheetData sheetId="3291"/>
      <sheetData sheetId="3292"/>
      <sheetData sheetId="3293"/>
      <sheetData sheetId="3294"/>
      <sheetData sheetId="3295"/>
      <sheetData sheetId="3296"/>
      <sheetData sheetId="3297"/>
      <sheetData sheetId="3298"/>
      <sheetData sheetId="3299">
        <row r="5">
          <cell r="C5" t="str">
            <v>PACKAGE NO.</v>
          </cell>
        </row>
      </sheetData>
      <sheetData sheetId="3300">
        <row r="5">
          <cell r="C5" t="str">
            <v>PACKAGE NO.</v>
          </cell>
        </row>
      </sheetData>
      <sheetData sheetId="3301">
        <row r="5">
          <cell r="C5" t="str">
            <v>PACKAGE NO.</v>
          </cell>
        </row>
      </sheetData>
      <sheetData sheetId="3302">
        <row r="5">
          <cell r="C5" t="str">
            <v>PACKAGE NO.</v>
          </cell>
        </row>
      </sheetData>
      <sheetData sheetId="3303">
        <row r="5">
          <cell r="C5" t="str">
            <v>PACKAGE NO.</v>
          </cell>
        </row>
      </sheetData>
      <sheetData sheetId="3304">
        <row r="5">
          <cell r="C5" t="str">
            <v>PACKAGE NO.</v>
          </cell>
        </row>
      </sheetData>
      <sheetData sheetId="3305">
        <row r="5">
          <cell r="C5" t="str">
            <v>PACKAGE NO.</v>
          </cell>
        </row>
      </sheetData>
      <sheetData sheetId="3306">
        <row r="5">
          <cell r="C5" t="str">
            <v>PACKAGE NO.</v>
          </cell>
        </row>
      </sheetData>
      <sheetData sheetId="3307">
        <row r="5">
          <cell r="C5" t="str">
            <v>PACKAGE NO.</v>
          </cell>
        </row>
      </sheetData>
      <sheetData sheetId="3308">
        <row r="5">
          <cell r="C5" t="str">
            <v>PACKAGE NO.</v>
          </cell>
        </row>
      </sheetData>
      <sheetData sheetId="3309"/>
      <sheetData sheetId="3310"/>
      <sheetData sheetId="3311"/>
      <sheetData sheetId="3312"/>
      <sheetData sheetId="3313"/>
      <sheetData sheetId="3314">
        <row r="5">
          <cell r="C5" t="str">
            <v>PACKAGE NO.</v>
          </cell>
        </row>
      </sheetData>
      <sheetData sheetId="3315">
        <row r="5">
          <cell r="C5" t="str">
            <v>PACKAGE NO.</v>
          </cell>
        </row>
      </sheetData>
      <sheetData sheetId="3316">
        <row r="5">
          <cell r="C5" t="str">
            <v>PACKAGE NO.</v>
          </cell>
        </row>
      </sheetData>
      <sheetData sheetId="3317">
        <row r="5">
          <cell r="C5" t="str">
            <v>PACKAGE NO.</v>
          </cell>
        </row>
      </sheetData>
      <sheetData sheetId="3318">
        <row r="5">
          <cell r="C5" t="str">
            <v>PACKAGE NO.</v>
          </cell>
        </row>
      </sheetData>
      <sheetData sheetId="3319">
        <row r="5">
          <cell r="C5" t="str">
            <v>PACKAGE NO.</v>
          </cell>
        </row>
      </sheetData>
      <sheetData sheetId="3320">
        <row r="5">
          <cell r="C5" t="str">
            <v>PACKAGE NO.</v>
          </cell>
        </row>
      </sheetData>
      <sheetData sheetId="3321">
        <row r="5">
          <cell r="C5" t="str">
            <v>PACKAGE NO.</v>
          </cell>
        </row>
      </sheetData>
      <sheetData sheetId="3322">
        <row r="5">
          <cell r="C5" t="str">
            <v>PACKAGE NO.</v>
          </cell>
        </row>
      </sheetData>
      <sheetData sheetId="3323">
        <row r="5">
          <cell r="C5" t="str">
            <v>PACKAGE NO.</v>
          </cell>
        </row>
      </sheetData>
      <sheetData sheetId="3324">
        <row r="5">
          <cell r="C5" t="str">
            <v>PACKAGE NO.</v>
          </cell>
        </row>
      </sheetData>
      <sheetData sheetId="3325"/>
      <sheetData sheetId="3326"/>
      <sheetData sheetId="3327"/>
      <sheetData sheetId="3328"/>
      <sheetData sheetId="3329"/>
      <sheetData sheetId="3330"/>
      <sheetData sheetId="3331"/>
      <sheetData sheetId="3332"/>
      <sheetData sheetId="3333"/>
      <sheetData sheetId="3334"/>
      <sheetData sheetId="3335"/>
      <sheetData sheetId="3336"/>
      <sheetData sheetId="3337"/>
      <sheetData sheetId="3338"/>
      <sheetData sheetId="3339"/>
      <sheetData sheetId="3340"/>
      <sheetData sheetId="3341"/>
      <sheetData sheetId="3342"/>
      <sheetData sheetId="3343"/>
      <sheetData sheetId="3344"/>
      <sheetData sheetId="3345"/>
      <sheetData sheetId="3346"/>
      <sheetData sheetId="3347"/>
      <sheetData sheetId="3348"/>
      <sheetData sheetId="3349"/>
      <sheetData sheetId="3350"/>
      <sheetData sheetId="3351"/>
      <sheetData sheetId="3352"/>
      <sheetData sheetId="3353"/>
      <sheetData sheetId="3354"/>
      <sheetData sheetId="3355"/>
      <sheetData sheetId="3356"/>
      <sheetData sheetId="3357"/>
      <sheetData sheetId="3358"/>
      <sheetData sheetId="3359"/>
      <sheetData sheetId="3360"/>
      <sheetData sheetId="3361"/>
      <sheetData sheetId="3362"/>
      <sheetData sheetId="3363"/>
      <sheetData sheetId="3364"/>
      <sheetData sheetId="3365"/>
      <sheetData sheetId="3366"/>
      <sheetData sheetId="3367"/>
      <sheetData sheetId="3368"/>
      <sheetData sheetId="3369"/>
      <sheetData sheetId="3370"/>
      <sheetData sheetId="3371"/>
      <sheetData sheetId="3372"/>
      <sheetData sheetId="3373"/>
      <sheetData sheetId="3374"/>
      <sheetData sheetId="3375"/>
      <sheetData sheetId="3376"/>
      <sheetData sheetId="3377"/>
      <sheetData sheetId="3378"/>
      <sheetData sheetId="3379"/>
      <sheetData sheetId="3380"/>
      <sheetData sheetId="3381"/>
      <sheetData sheetId="3382"/>
      <sheetData sheetId="3383"/>
      <sheetData sheetId="3384"/>
      <sheetData sheetId="3385"/>
      <sheetData sheetId="3386"/>
      <sheetData sheetId="3387"/>
      <sheetData sheetId="3388"/>
      <sheetData sheetId="3389"/>
      <sheetData sheetId="3390"/>
      <sheetData sheetId="3391"/>
      <sheetData sheetId="3392"/>
      <sheetData sheetId="3393"/>
      <sheetData sheetId="3394"/>
      <sheetData sheetId="3395"/>
      <sheetData sheetId="3396"/>
      <sheetData sheetId="3397"/>
      <sheetData sheetId="3398"/>
      <sheetData sheetId="3399"/>
      <sheetData sheetId="3400"/>
      <sheetData sheetId="3401"/>
      <sheetData sheetId="3402"/>
      <sheetData sheetId="3403"/>
      <sheetData sheetId="3404"/>
      <sheetData sheetId="3405"/>
      <sheetData sheetId="3406"/>
      <sheetData sheetId="3407"/>
      <sheetData sheetId="3408"/>
      <sheetData sheetId="3409"/>
      <sheetData sheetId="3410"/>
      <sheetData sheetId="3411"/>
      <sheetData sheetId="3412"/>
      <sheetData sheetId="3413"/>
      <sheetData sheetId="3414"/>
      <sheetData sheetId="3415"/>
      <sheetData sheetId="3416"/>
      <sheetData sheetId="3417"/>
      <sheetData sheetId="3418"/>
      <sheetData sheetId="3419"/>
      <sheetData sheetId="3420"/>
      <sheetData sheetId="3421"/>
      <sheetData sheetId="3422"/>
      <sheetData sheetId="3423"/>
      <sheetData sheetId="3424"/>
      <sheetData sheetId="3425"/>
      <sheetData sheetId="3426"/>
      <sheetData sheetId="3427"/>
      <sheetData sheetId="3428"/>
      <sheetData sheetId="3429"/>
      <sheetData sheetId="3430"/>
      <sheetData sheetId="3431"/>
      <sheetData sheetId="3432"/>
      <sheetData sheetId="3433"/>
      <sheetData sheetId="3434"/>
      <sheetData sheetId="3435"/>
      <sheetData sheetId="3436"/>
      <sheetData sheetId="3437"/>
      <sheetData sheetId="3438"/>
      <sheetData sheetId="3439"/>
      <sheetData sheetId="3440"/>
      <sheetData sheetId="3441"/>
      <sheetData sheetId="3442"/>
      <sheetData sheetId="3443"/>
      <sheetData sheetId="3444"/>
      <sheetData sheetId="3445"/>
      <sheetData sheetId="3446"/>
      <sheetData sheetId="3447"/>
      <sheetData sheetId="3448"/>
      <sheetData sheetId="3449"/>
      <sheetData sheetId="3450"/>
      <sheetData sheetId="3451"/>
      <sheetData sheetId="3452"/>
      <sheetData sheetId="3453"/>
      <sheetData sheetId="3454"/>
      <sheetData sheetId="3455"/>
      <sheetData sheetId="3456"/>
      <sheetData sheetId="3457"/>
      <sheetData sheetId="3458"/>
      <sheetData sheetId="3459"/>
      <sheetData sheetId="3460"/>
      <sheetData sheetId="3461"/>
      <sheetData sheetId="3462"/>
      <sheetData sheetId="3463"/>
      <sheetData sheetId="3464"/>
      <sheetData sheetId="3465"/>
      <sheetData sheetId="3466"/>
      <sheetData sheetId="3467"/>
      <sheetData sheetId="3468"/>
      <sheetData sheetId="3469"/>
      <sheetData sheetId="3470"/>
      <sheetData sheetId="3471">
        <row r="5">
          <cell r="C5">
            <v>100</v>
          </cell>
        </row>
      </sheetData>
      <sheetData sheetId="3472">
        <row r="5">
          <cell r="C5">
            <v>100</v>
          </cell>
        </row>
      </sheetData>
      <sheetData sheetId="3473"/>
      <sheetData sheetId="3474"/>
      <sheetData sheetId="3475"/>
      <sheetData sheetId="3476">
        <row r="5">
          <cell r="C5">
            <v>100</v>
          </cell>
        </row>
      </sheetData>
      <sheetData sheetId="3477">
        <row r="5">
          <cell r="C5">
            <v>100</v>
          </cell>
        </row>
      </sheetData>
      <sheetData sheetId="3478">
        <row r="5">
          <cell r="C5">
            <v>100</v>
          </cell>
        </row>
      </sheetData>
      <sheetData sheetId="3479">
        <row r="5">
          <cell r="C5">
            <v>100</v>
          </cell>
        </row>
      </sheetData>
      <sheetData sheetId="3480">
        <row r="5">
          <cell r="C5">
            <v>100</v>
          </cell>
        </row>
      </sheetData>
      <sheetData sheetId="3481">
        <row r="5">
          <cell r="C5">
            <v>100</v>
          </cell>
        </row>
      </sheetData>
      <sheetData sheetId="3482">
        <row r="5">
          <cell r="C5">
            <v>100</v>
          </cell>
        </row>
      </sheetData>
      <sheetData sheetId="3483">
        <row r="5">
          <cell r="C5">
            <v>100</v>
          </cell>
        </row>
      </sheetData>
      <sheetData sheetId="3484">
        <row r="5">
          <cell r="C5">
            <v>100</v>
          </cell>
        </row>
      </sheetData>
      <sheetData sheetId="3485"/>
      <sheetData sheetId="3486"/>
      <sheetData sheetId="3487"/>
      <sheetData sheetId="3488"/>
      <sheetData sheetId="3489"/>
      <sheetData sheetId="3490"/>
      <sheetData sheetId="3491">
        <row r="5">
          <cell r="C5">
            <v>100</v>
          </cell>
        </row>
      </sheetData>
      <sheetData sheetId="3492"/>
      <sheetData sheetId="3493"/>
      <sheetData sheetId="3494"/>
      <sheetData sheetId="3495"/>
      <sheetData sheetId="3496"/>
      <sheetData sheetId="3497"/>
      <sheetData sheetId="3498"/>
      <sheetData sheetId="3499"/>
      <sheetData sheetId="3500"/>
      <sheetData sheetId="3501"/>
      <sheetData sheetId="3502"/>
      <sheetData sheetId="3503"/>
      <sheetData sheetId="3504"/>
      <sheetData sheetId="3505"/>
      <sheetData sheetId="3506"/>
      <sheetData sheetId="3507"/>
      <sheetData sheetId="3508"/>
      <sheetData sheetId="3509"/>
      <sheetData sheetId="3510"/>
      <sheetData sheetId="3511"/>
      <sheetData sheetId="3512"/>
      <sheetData sheetId="3513"/>
      <sheetData sheetId="3514"/>
      <sheetData sheetId="3515"/>
      <sheetData sheetId="3516"/>
      <sheetData sheetId="3517"/>
      <sheetData sheetId="3518"/>
      <sheetData sheetId="3519"/>
      <sheetData sheetId="3520"/>
      <sheetData sheetId="3521"/>
      <sheetData sheetId="3522"/>
      <sheetData sheetId="3523"/>
      <sheetData sheetId="3524"/>
      <sheetData sheetId="3525"/>
      <sheetData sheetId="3526"/>
      <sheetData sheetId="3527"/>
      <sheetData sheetId="3528"/>
      <sheetData sheetId="3529"/>
      <sheetData sheetId="3530"/>
      <sheetData sheetId="3531"/>
      <sheetData sheetId="3532"/>
      <sheetData sheetId="3533"/>
      <sheetData sheetId="3534"/>
      <sheetData sheetId="3535"/>
      <sheetData sheetId="3536"/>
      <sheetData sheetId="3537"/>
      <sheetData sheetId="3538"/>
      <sheetData sheetId="3539"/>
      <sheetData sheetId="3540"/>
      <sheetData sheetId="3541"/>
      <sheetData sheetId="3542"/>
      <sheetData sheetId="3543"/>
      <sheetData sheetId="3544" refreshError="1"/>
      <sheetData sheetId="3545" refreshError="1"/>
      <sheetData sheetId="3546" refreshError="1"/>
      <sheetData sheetId="3547" refreshError="1"/>
      <sheetData sheetId="3548"/>
      <sheetData sheetId="3549"/>
      <sheetData sheetId="3550"/>
      <sheetData sheetId="3551"/>
      <sheetData sheetId="3552"/>
      <sheetData sheetId="3553"/>
      <sheetData sheetId="3554"/>
      <sheetData sheetId="3555"/>
      <sheetData sheetId="3556"/>
      <sheetData sheetId="3557"/>
      <sheetData sheetId="3558"/>
      <sheetData sheetId="3559"/>
      <sheetData sheetId="3560"/>
      <sheetData sheetId="3561"/>
      <sheetData sheetId="3562"/>
      <sheetData sheetId="3563"/>
      <sheetData sheetId="3564"/>
      <sheetData sheetId="3565"/>
      <sheetData sheetId="3566"/>
      <sheetData sheetId="3567"/>
      <sheetData sheetId="3568"/>
      <sheetData sheetId="3569"/>
      <sheetData sheetId="3570"/>
      <sheetData sheetId="3571"/>
      <sheetData sheetId="3572"/>
      <sheetData sheetId="3573"/>
      <sheetData sheetId="3574"/>
      <sheetData sheetId="3575"/>
      <sheetData sheetId="3576"/>
      <sheetData sheetId="3577"/>
      <sheetData sheetId="3578"/>
      <sheetData sheetId="3579"/>
      <sheetData sheetId="3580"/>
      <sheetData sheetId="3581"/>
      <sheetData sheetId="3582"/>
      <sheetData sheetId="3583"/>
      <sheetData sheetId="3584"/>
      <sheetData sheetId="3585"/>
      <sheetData sheetId="3586"/>
      <sheetData sheetId="3587"/>
      <sheetData sheetId="3588"/>
      <sheetData sheetId="3589"/>
      <sheetData sheetId="3590"/>
      <sheetData sheetId="3591"/>
      <sheetData sheetId="3592"/>
      <sheetData sheetId="3593"/>
      <sheetData sheetId="3594"/>
      <sheetData sheetId="3595"/>
      <sheetData sheetId="3596"/>
      <sheetData sheetId="3597"/>
      <sheetData sheetId="3598"/>
      <sheetData sheetId="3599"/>
      <sheetData sheetId="3600"/>
      <sheetData sheetId="3601"/>
      <sheetData sheetId="3602"/>
      <sheetData sheetId="3603"/>
      <sheetData sheetId="3604"/>
      <sheetData sheetId="3605"/>
      <sheetData sheetId="3606"/>
      <sheetData sheetId="3607"/>
      <sheetData sheetId="3608"/>
      <sheetData sheetId="3609"/>
      <sheetData sheetId="3610"/>
      <sheetData sheetId="3611"/>
      <sheetData sheetId="3612"/>
      <sheetData sheetId="3613"/>
      <sheetData sheetId="3614"/>
      <sheetData sheetId="3615"/>
      <sheetData sheetId="3616"/>
      <sheetData sheetId="3617"/>
      <sheetData sheetId="3618"/>
      <sheetData sheetId="3619"/>
      <sheetData sheetId="3620"/>
      <sheetData sheetId="3621"/>
      <sheetData sheetId="3622"/>
      <sheetData sheetId="3623"/>
      <sheetData sheetId="3624"/>
      <sheetData sheetId="3625"/>
      <sheetData sheetId="3626"/>
      <sheetData sheetId="3627"/>
      <sheetData sheetId="3628"/>
      <sheetData sheetId="3629"/>
      <sheetData sheetId="3630"/>
      <sheetData sheetId="3631"/>
      <sheetData sheetId="3632"/>
      <sheetData sheetId="3633"/>
      <sheetData sheetId="3634"/>
      <sheetData sheetId="3635"/>
      <sheetData sheetId="3636"/>
      <sheetData sheetId="3637"/>
      <sheetData sheetId="3638"/>
      <sheetData sheetId="3639"/>
      <sheetData sheetId="3640"/>
      <sheetData sheetId="3641"/>
      <sheetData sheetId="3642"/>
      <sheetData sheetId="3643"/>
      <sheetData sheetId="3644"/>
      <sheetData sheetId="3645"/>
      <sheetData sheetId="3646"/>
      <sheetData sheetId="3647"/>
      <sheetData sheetId="3648"/>
      <sheetData sheetId="3649"/>
      <sheetData sheetId="3650"/>
      <sheetData sheetId="3651"/>
      <sheetData sheetId="3652"/>
      <sheetData sheetId="3653"/>
      <sheetData sheetId="3654"/>
      <sheetData sheetId="3655"/>
      <sheetData sheetId="3656"/>
      <sheetData sheetId="3657"/>
      <sheetData sheetId="3658"/>
      <sheetData sheetId="3659"/>
      <sheetData sheetId="3660"/>
      <sheetData sheetId="3661"/>
      <sheetData sheetId="3662"/>
      <sheetData sheetId="3663"/>
      <sheetData sheetId="3664"/>
      <sheetData sheetId="3665"/>
      <sheetData sheetId="3666"/>
      <sheetData sheetId="3667"/>
      <sheetData sheetId="3668"/>
      <sheetData sheetId="3669"/>
      <sheetData sheetId="3670"/>
      <sheetData sheetId="3671"/>
      <sheetData sheetId="3672"/>
      <sheetData sheetId="3673"/>
      <sheetData sheetId="3674"/>
      <sheetData sheetId="3675"/>
      <sheetData sheetId="3676"/>
      <sheetData sheetId="3677"/>
      <sheetData sheetId="3678"/>
      <sheetData sheetId="3679"/>
      <sheetData sheetId="3680"/>
      <sheetData sheetId="3681"/>
      <sheetData sheetId="3682"/>
      <sheetData sheetId="3683"/>
      <sheetData sheetId="3684"/>
      <sheetData sheetId="3685"/>
      <sheetData sheetId="3686"/>
      <sheetData sheetId="3687"/>
      <sheetData sheetId="3688"/>
      <sheetData sheetId="3689"/>
      <sheetData sheetId="3690"/>
      <sheetData sheetId="3691"/>
      <sheetData sheetId="3692"/>
      <sheetData sheetId="3693"/>
      <sheetData sheetId="3694"/>
      <sheetData sheetId="3695"/>
      <sheetData sheetId="3696"/>
      <sheetData sheetId="3697"/>
      <sheetData sheetId="3698"/>
      <sheetData sheetId="3699"/>
      <sheetData sheetId="3700"/>
      <sheetData sheetId="3701"/>
      <sheetData sheetId="3702"/>
      <sheetData sheetId="3703"/>
      <sheetData sheetId="3704"/>
      <sheetData sheetId="3705"/>
      <sheetData sheetId="3706"/>
      <sheetData sheetId="3707"/>
      <sheetData sheetId="3708"/>
      <sheetData sheetId="3709"/>
      <sheetData sheetId="3710"/>
      <sheetData sheetId="3711"/>
      <sheetData sheetId="3712"/>
      <sheetData sheetId="3713"/>
      <sheetData sheetId="3714"/>
      <sheetData sheetId="3715"/>
      <sheetData sheetId="3716"/>
      <sheetData sheetId="3717"/>
      <sheetData sheetId="3718"/>
      <sheetData sheetId="3719"/>
      <sheetData sheetId="3720"/>
      <sheetData sheetId="3721"/>
      <sheetData sheetId="3722" refreshError="1"/>
      <sheetData sheetId="3723" refreshError="1"/>
      <sheetData sheetId="3724" refreshError="1"/>
      <sheetData sheetId="3725" refreshError="1"/>
      <sheetData sheetId="3726" refreshError="1"/>
      <sheetData sheetId="3727" refreshError="1"/>
      <sheetData sheetId="3728" refreshError="1"/>
      <sheetData sheetId="3729" refreshError="1"/>
      <sheetData sheetId="3730" refreshError="1"/>
      <sheetData sheetId="3731" refreshError="1"/>
      <sheetData sheetId="3732" refreshError="1"/>
      <sheetData sheetId="3733" refreshError="1"/>
      <sheetData sheetId="3734" refreshError="1"/>
      <sheetData sheetId="3735" refreshError="1"/>
      <sheetData sheetId="3736" refreshError="1"/>
      <sheetData sheetId="3737" refreshError="1"/>
      <sheetData sheetId="3738" refreshError="1"/>
      <sheetData sheetId="3739" refreshError="1"/>
      <sheetData sheetId="3740" refreshError="1"/>
      <sheetData sheetId="3741" refreshError="1"/>
      <sheetData sheetId="3742" refreshError="1"/>
      <sheetData sheetId="3743" refreshError="1"/>
      <sheetData sheetId="3744" refreshError="1"/>
      <sheetData sheetId="3745" refreshError="1"/>
      <sheetData sheetId="3746" refreshError="1"/>
      <sheetData sheetId="3747" refreshError="1"/>
      <sheetData sheetId="3748" refreshError="1"/>
      <sheetData sheetId="3749" refreshError="1"/>
      <sheetData sheetId="3750" refreshError="1"/>
      <sheetData sheetId="3751" refreshError="1"/>
      <sheetData sheetId="3752" refreshError="1"/>
      <sheetData sheetId="3753" refreshError="1"/>
      <sheetData sheetId="3754" refreshError="1"/>
      <sheetData sheetId="3755" refreshError="1"/>
      <sheetData sheetId="3756" refreshError="1"/>
      <sheetData sheetId="3757" refreshError="1"/>
    </sheetDataSet>
  </externalBook>
</externalLink>
</file>

<file path=xl/externalLinks/externalLink7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WGP1,4&amp;3-Final-20101020"/>
      <sheetName val="E_Rate "/>
      <sheetName val="Sheet3"/>
      <sheetName val="eq_data"/>
      <sheetName val="E_Rate"/>
      <sheetName val="h-013211-2"/>
      <sheetName val="수입"/>
      <sheetName val="차량운영비"/>
      <sheetName val="Elect (3)"/>
      <sheetName val="총괄표"/>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7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영업소실적"/>
      <sheetName val="손익차9월2"/>
      <sheetName val="eq_data"/>
      <sheetName val="Basic"/>
      <sheetName val="TOTAL"/>
      <sheetName val="Equipment"/>
      <sheetName val="Piping"/>
      <sheetName val="수입"/>
      <sheetName val="E_Rate "/>
      <sheetName val="환율"/>
      <sheetName val="집계표(OPTION)"/>
      <sheetName val="주관사업"/>
      <sheetName val="data_dci"/>
      <sheetName val="data_mci"/>
      <sheetName val="behind"/>
      <sheetName val="Main"/>
      <sheetName val="배부981"/>
      <sheetName val="적용환율"/>
      <sheetName val="PumpSpec"/>
      <sheetName val="97 사업추정(WEKI)"/>
      <sheetName val="B"/>
      <sheetName val="ELEC_DCI"/>
      <sheetName val="INST_DCI"/>
      <sheetName val="카메라"/>
      <sheetName val="해외 기술훈련비 (합계)"/>
      <sheetName val="해외 연수비용 계산-삭제"/>
      <sheetName val="A"/>
      <sheetName val="견적내역서"/>
      <sheetName val="Code"/>
      <sheetName val="E_Rate"/>
      <sheetName val="공사내역"/>
      <sheetName val="6,000"/>
      <sheetName val="사업부배부"/>
      <sheetName val="계정실적"/>
      <sheetName val="계정보고"/>
      <sheetName val="요약배부"/>
      <sheetName val="요약배부 (보고)"/>
      <sheetName val="배부부별"/>
      <sheetName val="배부비목"/>
      <sheetName val="예실차이"/>
      <sheetName val="예실차이 (2)"/>
      <sheetName val="내용분석(비율)"/>
      <sheetName val="임대원가"/>
      <sheetName val="기타매출"/>
      <sheetName val="기타매출1"/>
      <sheetName val="새마을금고"/>
      <sheetName val="Module1"/>
      <sheetName val="참고인원"/>
      <sheetName val="인원대비표"/>
      <sheetName val="04-D(1)"/>
      <sheetName val="04-D(2)"/>
      <sheetName val="04-D(3)"/>
      <sheetName val="04-D(4)"/>
      <sheetName val="04-D(5)"/>
      <sheetName val="04-D(6)"/>
      <sheetName val="04-D(7)"/>
      <sheetName val="04-D(8)"/>
      <sheetName val="04-D(9)"/>
      <sheetName val="04-D(10)"/>
      <sheetName val="04-D(11)"/>
      <sheetName val="04-D(12)"/>
      <sheetName val="04-D(13)"/>
      <sheetName val="04-D(14)"/>
      <sheetName val="04-D(전)"/>
      <sheetName val="out_prog"/>
      <sheetName val="선적schedule (2)"/>
      <sheetName val="INSTR"/>
      <sheetName val="Sheet2"/>
      <sheetName val="BM DATA SHEET"/>
      <sheetName val="사업부배부A"/>
      <sheetName val="단가"/>
      <sheetName val="총괄표"/>
      <sheetName val="3.공통공사대비"/>
      <sheetName val="도급양식"/>
      <sheetName val="현금"/>
      <sheetName val="당초"/>
      <sheetName val="변경내역"/>
      <sheetName val="투찰"/>
      <sheetName val="일위대가"/>
      <sheetName val="120"/>
      <sheetName val="130"/>
      <sheetName val="100"/>
      <sheetName val="101"/>
      <sheetName val="102"/>
      <sheetName val="103"/>
      <sheetName val="106"/>
      <sheetName val="108"/>
      <sheetName val="109"/>
      <sheetName val="131"/>
      <sheetName val="110"/>
      <sheetName val="111"/>
      <sheetName val="114"/>
      <sheetName val="116"/>
      <sheetName val="132"/>
      <sheetName val="140"/>
      <sheetName val="141"/>
      <sheetName val="142"/>
      <sheetName val="143"/>
      <sheetName val="144"/>
      <sheetName val="145"/>
      <sheetName val="146"/>
      <sheetName val="121"/>
      <sheetName val="147"/>
      <sheetName val="148"/>
      <sheetName val="160"/>
      <sheetName val="164"/>
      <sheetName val="Flaer Area"/>
      <sheetName val="123"/>
      <sheetName val="124"/>
      <sheetName val="125"/>
      <sheetName val="126"/>
      <sheetName val="127"/>
      <sheetName val="128"/>
      <sheetName val="129"/>
      <sheetName val="시행예산"/>
      <sheetName val="노임단가"/>
      <sheetName val="Sheet1 (2)"/>
      <sheetName val="Sheet1"/>
      <sheetName val="수량산출"/>
      <sheetName val="정산표"/>
      <sheetName val="년말집계"/>
      <sheetName val="백호우계수"/>
      <sheetName val="RCF CLAIMED"/>
      <sheetName val="5.소재"/>
      <sheetName val="내역1"/>
      <sheetName val="유림골조"/>
      <sheetName val="삭제금지단가"/>
      <sheetName val="97 사업추정_WEKI_"/>
      <sheetName val="시중노임단가"/>
      <sheetName val="SIMULATION"/>
      <sheetName val="단가산출내역"/>
      <sheetName val="MOKDONG(1)"/>
      <sheetName val="회사정보"/>
      <sheetName val="PRO_DCI"/>
      <sheetName val="상반기손익차2총괄"/>
      <sheetName val="SILICATE"/>
      <sheetName val="TABLE2"/>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Set>
  </externalBook>
</externalLink>
</file>

<file path=xl/externalLinks/externalLink7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
      <sheetName val="B"/>
      <sheetName val="C"/>
      <sheetName val="D"/>
      <sheetName val="E"/>
      <sheetName val="G"/>
      <sheetName val="H"/>
      <sheetName val="I"/>
      <sheetName val="J"/>
      <sheetName val="K"/>
      <sheetName val="L"/>
      <sheetName val="M"/>
      <sheetName val="N"/>
      <sheetName val="O"/>
      <sheetName val="P"/>
      <sheetName val="Q"/>
      <sheetName val="R"/>
      <sheetName val="S"/>
      <sheetName val="T"/>
      <sheetName val="U"/>
      <sheetName val="V"/>
      <sheetName val="W"/>
      <sheetName val="X"/>
      <sheetName val="Y"/>
      <sheetName val="Z"/>
      <sheetName val="AA"/>
      <sheetName val="Cash1"/>
      <sheetName val="Cash2"/>
      <sheetName val="Cash_Sum"/>
      <sheetName val="Scope"/>
      <sheetName val="Sheet4"/>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row r="16">
          <cell r="G16">
            <v>3100889.7360623879</v>
          </cell>
        </row>
        <row r="17">
          <cell r="G17">
            <v>934385.75607295427</v>
          </cell>
        </row>
        <row r="18">
          <cell r="G18">
            <v>944284.9960087979</v>
          </cell>
        </row>
        <row r="19">
          <cell r="G19">
            <v>1100235.2378667907</v>
          </cell>
        </row>
        <row r="20">
          <cell r="G20">
            <v>1079751.2161132174</v>
          </cell>
        </row>
        <row r="21">
          <cell r="G21">
            <v>1123783.6778401346</v>
          </cell>
        </row>
        <row r="22">
          <cell r="G22">
            <v>1105143.8836787788</v>
          </cell>
        </row>
        <row r="23">
          <cell r="G23">
            <v>1211873.7212221269</v>
          </cell>
        </row>
        <row r="24">
          <cell r="G24">
            <v>1242897.4469518734</v>
          </cell>
        </row>
        <row r="25">
          <cell r="G25">
            <v>1242388.6634660121</v>
          </cell>
        </row>
        <row r="26">
          <cell r="G26">
            <v>1173097.4003922935</v>
          </cell>
        </row>
        <row r="27">
          <cell r="G27">
            <v>1246958.3770815907</v>
          </cell>
        </row>
        <row r="28">
          <cell r="G28">
            <v>1129849.8697283007</v>
          </cell>
        </row>
        <row r="29">
          <cell r="G29">
            <v>1362669.9593027527</v>
          </cell>
        </row>
        <row r="30">
          <cell r="G30">
            <v>1257111.2537174637</v>
          </cell>
        </row>
        <row r="31">
          <cell r="G31">
            <v>766806.14375081041</v>
          </cell>
        </row>
      </sheetData>
      <sheetData sheetId="28" refreshError="1"/>
      <sheetData sheetId="29" refreshError="1"/>
      <sheetData sheetId="30" refreshError="1"/>
    </sheetDataSet>
  </externalBook>
</externalLink>
</file>

<file path=xl/externalLinks/externalLink7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in"/>
      <sheetName val="Correct"/>
      <sheetName val="Data"/>
      <sheetName val="Temp"/>
      <sheetName val="Code"/>
      <sheetName val="WorkTitle"/>
      <sheetName val="적용환율"/>
      <sheetName val="E_Rate "/>
    </sheetNames>
    <sheetDataSet>
      <sheetData sheetId="0"/>
      <sheetData sheetId="1" refreshError="1"/>
      <sheetData sheetId="2"/>
      <sheetData sheetId="3" refreshError="1"/>
      <sheetData sheetId="4" refreshError="1"/>
      <sheetData sheetId="5" refreshError="1"/>
      <sheetData sheetId="6" refreshError="1"/>
      <sheetData sheetId="7" refreshError="1"/>
    </sheetDataSet>
  </externalBook>
</externalLink>
</file>

<file path=xl/externalLinks/externalLink7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영업소실적"/>
      <sheetName val="Basic"/>
      <sheetName val="eq_data"/>
      <sheetName val="수입"/>
      <sheetName val="손익차9월2"/>
      <sheetName val="TOTAL"/>
      <sheetName val="Equipment"/>
      <sheetName val="Piping"/>
      <sheetName val="배부98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7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CTIVITY"/>
      <sheetName val="eq_data"/>
      <sheetName val="Compare-1"/>
      <sheetName val="h-013211-2"/>
      <sheetName val="GeneralNote"/>
      <sheetName val="INSTR"/>
      <sheetName val="영업소실적"/>
      <sheetName val="Proposal"/>
      <sheetName val="MAIN"/>
      <sheetName val="PRO_A"/>
      <sheetName val="PRO"/>
      <sheetName val="수입"/>
      <sheetName val="ELEC_DCI"/>
      <sheetName val="INST_DCI"/>
      <sheetName val="PumpSpec"/>
      <sheetName val="95삼성급(본사)"/>
      <sheetName val="Sheet1"/>
      <sheetName val="Sheet2"/>
      <sheetName val="E_Rate "/>
      <sheetName val="Basic"/>
      <sheetName val="내역"/>
      <sheetName val="lookup"/>
      <sheetName val="차액보증"/>
      <sheetName val="적용환율"/>
      <sheetName val="도"/>
      <sheetName val="Sheet14"/>
      <sheetName val="Sheet13"/>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Set>
  </externalBook>
</externalLink>
</file>

<file path=xl/externalLinks/externalLink8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OB-MAN1"/>
      <sheetName val="Eq. Mobilization"/>
      <sheetName val="Basic"/>
      <sheetName val="eq_data"/>
      <sheetName val="JO9707"/>
      <sheetName val="환율"/>
    </sheetNames>
    <sheetDataSet>
      <sheetData sheetId="0" refreshError="1">
        <row r="40">
          <cell r="D40" t="str">
            <v>96.05.26</v>
          </cell>
          <cell r="H40">
            <v>35172</v>
          </cell>
          <cell r="K40" t="str">
            <v xml:space="preserve"> </v>
          </cell>
          <cell r="T40" t="str">
            <v>LCL</v>
          </cell>
          <cell r="U40" t="str">
            <v>Mongkol</v>
          </cell>
          <cell r="X40">
            <v>35440</v>
          </cell>
          <cell r="AG40">
            <v>35198</v>
          </cell>
          <cell r="AW40">
            <v>35093</v>
          </cell>
        </row>
        <row r="41">
          <cell r="D41" t="str">
            <v>LCL</v>
          </cell>
          <cell r="E41" t="str">
            <v>Somsak</v>
          </cell>
          <cell r="G41" t="str">
            <v xml:space="preserve"> </v>
          </cell>
          <cell r="K41" t="str">
            <v xml:space="preserve"> </v>
          </cell>
          <cell r="P41" t="str">
            <v>Tank / Lining</v>
          </cell>
          <cell r="T41">
            <v>35363</v>
          </cell>
          <cell r="X41" t="str">
            <v>LCL</v>
          </cell>
          <cell r="Y41" t="str">
            <v>Prasit</v>
          </cell>
          <cell r="AG41" t="str">
            <v>TCN</v>
          </cell>
          <cell r="AH41" t="str">
            <v>O. Gomez</v>
          </cell>
          <cell r="AW41" t="str">
            <v>LCL</v>
          </cell>
          <cell r="AX41" t="str">
            <v>Manusak</v>
          </cell>
        </row>
        <row r="42">
          <cell r="D42" t="str">
            <v>95.12.25</v>
          </cell>
          <cell r="G42" t="str">
            <v xml:space="preserve"> </v>
          </cell>
          <cell r="H42" t="str">
            <v>Q   /   S</v>
          </cell>
          <cell r="K42" t="str">
            <v xml:space="preserve"> </v>
          </cell>
          <cell r="P42" t="str">
            <v>GJ</v>
          </cell>
          <cell r="Q42" t="str">
            <v>강 민 형</v>
          </cell>
          <cell r="T42" t="str">
            <v>LCL</v>
          </cell>
          <cell r="U42" t="str">
            <v>Nattaphong</v>
          </cell>
          <cell r="X42">
            <v>35440</v>
          </cell>
          <cell r="AG42">
            <v>35183</v>
          </cell>
          <cell r="AW42">
            <v>35268</v>
          </cell>
        </row>
        <row r="43">
          <cell r="D43" t="str">
            <v>LCL</v>
          </cell>
          <cell r="E43" t="str">
            <v>Samart</v>
          </cell>
          <cell r="G43" t="str">
            <v xml:space="preserve"> </v>
          </cell>
          <cell r="H43" t="str">
            <v>TCN</v>
          </cell>
          <cell r="I43" t="str">
            <v xml:space="preserve">  S. ROWE</v>
          </cell>
          <cell r="K43" t="str">
            <v xml:space="preserve"> </v>
          </cell>
          <cell r="P43" t="str">
            <v>95.03.08 / 95.09.14</v>
          </cell>
          <cell r="T43">
            <v>35366</v>
          </cell>
          <cell r="X43" t="str">
            <v>LCL</v>
          </cell>
          <cell r="Y43" t="str">
            <v>Chalit</v>
          </cell>
          <cell r="AG43" t="str">
            <v>TCN</v>
          </cell>
          <cell r="AH43" t="str">
            <v>Rozario</v>
          </cell>
          <cell r="AW43" t="str">
            <v>LCL</v>
          </cell>
          <cell r="AX43" t="str">
            <v>Mankiet</v>
          </cell>
        </row>
        <row r="44">
          <cell r="D44" t="str">
            <v>96.02.05</v>
          </cell>
          <cell r="G44" t="str">
            <v xml:space="preserve"> </v>
          </cell>
          <cell r="H44">
            <v>34895</v>
          </cell>
          <cell r="K44" t="str">
            <v xml:space="preserve"> </v>
          </cell>
          <cell r="P44" t="str">
            <v>LCL</v>
          </cell>
          <cell r="Q44" t="str">
            <v>Prong</v>
          </cell>
          <cell r="T44" t="str">
            <v>TCN</v>
          </cell>
          <cell r="U44" t="str">
            <v>A. Tiongo</v>
          </cell>
          <cell r="X44">
            <v>35445</v>
          </cell>
          <cell r="AG44">
            <v>35258</v>
          </cell>
          <cell r="AW44">
            <v>35205</v>
          </cell>
        </row>
        <row r="45">
          <cell r="D45" t="str">
            <v>LCL</v>
          </cell>
          <cell r="E45" t="str">
            <v>Sathian</v>
          </cell>
          <cell r="G45" t="str">
            <v xml:space="preserve"> </v>
          </cell>
          <cell r="K45" t="str">
            <v xml:space="preserve"> </v>
          </cell>
          <cell r="P45">
            <v>35044</v>
          </cell>
          <cell r="T45">
            <v>35357</v>
          </cell>
          <cell r="X45" t="str">
            <v>LCL</v>
          </cell>
          <cell r="Y45" t="str">
            <v>Kritsada</v>
          </cell>
          <cell r="AG45" t="str">
            <v>TCN</v>
          </cell>
          <cell r="AH45" t="str">
            <v>E. Magadia</v>
          </cell>
          <cell r="AW45" t="str">
            <v>LCL</v>
          </cell>
          <cell r="AX45" t="str">
            <v>Phichet</v>
          </cell>
        </row>
        <row r="46">
          <cell r="D46">
            <v>35328</v>
          </cell>
          <cell r="G46" t="str">
            <v xml:space="preserve"> </v>
          </cell>
          <cell r="K46" t="str">
            <v xml:space="preserve"> </v>
          </cell>
          <cell r="P46" t="str">
            <v>LCL</v>
          </cell>
          <cell r="Q46" t="str">
            <v>Swan</v>
          </cell>
          <cell r="T46" t="str">
            <v>LCL</v>
          </cell>
          <cell r="U46" t="str">
            <v>Suchart</v>
          </cell>
          <cell r="X46">
            <v>35450</v>
          </cell>
          <cell r="AG46">
            <v>35469</v>
          </cell>
          <cell r="AW46">
            <v>35115</v>
          </cell>
        </row>
        <row r="47">
          <cell r="G47" t="str">
            <v xml:space="preserve"> </v>
          </cell>
          <cell r="K47" t="str">
            <v xml:space="preserve"> </v>
          </cell>
          <cell r="P47">
            <v>35464</v>
          </cell>
          <cell r="T47">
            <v>35450</v>
          </cell>
          <cell r="X47" t="str">
            <v>LCL</v>
          </cell>
          <cell r="Y47" t="str">
            <v>Pasathorn</v>
          </cell>
          <cell r="AG47" t="str">
            <v>TCN</v>
          </cell>
          <cell r="AH47" t="str">
            <v>M. Clay</v>
          </cell>
          <cell r="AW47" t="str">
            <v>LCL</v>
          </cell>
          <cell r="AX47" t="str">
            <v>Watcharin</v>
          </cell>
        </row>
        <row r="48">
          <cell r="D48" t="str">
            <v>業           務</v>
          </cell>
          <cell r="G48" t="str">
            <v xml:space="preserve"> </v>
          </cell>
          <cell r="K48" t="str">
            <v xml:space="preserve"> </v>
          </cell>
          <cell r="X48">
            <v>35457</v>
          </cell>
          <cell r="AG48">
            <v>35247</v>
          </cell>
          <cell r="AW48">
            <v>35443</v>
          </cell>
        </row>
        <row r="49">
          <cell r="D49" t="str">
            <v>DR</v>
          </cell>
          <cell r="E49" t="str">
            <v>김 주 범</v>
          </cell>
          <cell r="G49" t="str">
            <v xml:space="preserve"> </v>
          </cell>
          <cell r="K49" t="str">
            <v xml:space="preserve"> </v>
          </cell>
          <cell r="P49" t="str">
            <v>保溫 / 途裝</v>
          </cell>
          <cell r="X49" t="str">
            <v>LCL</v>
          </cell>
          <cell r="Y49" t="str">
            <v>Somsak</v>
          </cell>
          <cell r="AW49" t="str">
            <v>LCL</v>
          </cell>
          <cell r="AX49" t="str">
            <v>Thanin</v>
          </cell>
        </row>
      </sheetData>
      <sheetData sheetId="1" refreshError="1"/>
      <sheetData sheetId="2" refreshError="1"/>
      <sheetData sheetId="3" refreshError="1"/>
      <sheetData sheetId="4" refreshError="1"/>
      <sheetData sheetId="5" refreshError="1"/>
    </sheetDataSet>
  </externalBook>
</externalLink>
</file>

<file path=xl/externalLinks/externalLink8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현장 개요"/>
      <sheetName val="공통비 예산 편성 내역"/>
      <sheetName val="공통부대"/>
      <sheetName val="경상비"/>
      <sheetName val="발주처사무용품"/>
      <sheetName val="안전,환경관리비 산출기준"/>
      <sheetName val="인원분석"/>
      <sheetName val="직원동원계획(현장)"/>
      <sheetName val="현채직원(현장)"/>
      <sheetName val="간접인원동원계획(현장)"/>
      <sheetName val="차량동원계획"/>
      <sheetName val="차량 구매 및 보험료"/>
      <sheetName val="직원급여"/>
    </sheetNames>
    <sheetDataSet>
      <sheetData sheetId="0">
        <row r="6">
          <cell r="D6">
            <v>1050</v>
          </cell>
        </row>
      </sheetData>
      <sheetData sheetId="1">
        <row r="15">
          <cell r="I15">
            <v>110270</v>
          </cell>
        </row>
      </sheetData>
      <sheetData sheetId="2"/>
      <sheetData sheetId="3"/>
      <sheetData sheetId="4"/>
      <sheetData sheetId="5"/>
      <sheetData sheetId="6"/>
      <sheetData sheetId="7"/>
      <sheetData sheetId="8">
        <row r="10">
          <cell r="H10">
            <v>476</v>
          </cell>
        </row>
      </sheetData>
      <sheetData sheetId="9">
        <row r="11">
          <cell r="H11">
            <v>730</v>
          </cell>
        </row>
      </sheetData>
      <sheetData sheetId="10"/>
      <sheetData sheetId="11"/>
      <sheetData sheetId="12"/>
    </sheetDataSet>
  </externalBook>
</externalLink>
</file>

<file path=xl/externalLinks/externalLink8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ABLO-1"/>
      <sheetName val="TABLO-2"/>
      <sheetName val="TABLO-3"/>
      <sheetName val="TABLO-4"/>
      <sheetName val="TABLO-5"/>
      <sheetName val="GRAFET"/>
    </sheetNames>
    <sheetDataSet>
      <sheetData sheetId="0" refreshError="1"/>
      <sheetData sheetId="1"/>
      <sheetData sheetId="2">
        <row r="8">
          <cell r="B8" t="str">
            <v xml:space="preserve">        TURKEY</v>
          </cell>
        </row>
      </sheetData>
      <sheetData sheetId="3" refreshError="1"/>
      <sheetData sheetId="4" refreshError="1"/>
      <sheetData sheetId="5" refreshError="1"/>
    </sheetDataSet>
  </externalBook>
</externalLink>
</file>

<file path=xl/externalLinks/externalLink8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sults"/>
      <sheetName val="PUMP"/>
      <sheetName val="REC(CHP)"/>
      <sheetName val="REC(HOB)"/>
      <sheetName val="Main"/>
      <sheetName val="Data"/>
      <sheetName val="예산M12A"/>
      <sheetName val="Piping Design Data"/>
      <sheetName val="기준"/>
      <sheetName val="DATE"/>
      <sheetName val="1단계"/>
      <sheetName val="PROJECT"/>
      <sheetName val="BQ"/>
      <sheetName val="CAL"/>
      <sheetName val="SKETCH"/>
      <sheetName val="Sheet1"/>
      <sheetName val="lookup"/>
      <sheetName val="CAL."/>
      <sheetName val="노원열병합  건축공사기성내역서"/>
      <sheetName val="BID"/>
      <sheetName val="표지"/>
      <sheetName val="CAT_5"/>
      <sheetName val="F-Assump"/>
      <sheetName val="Sheet2"/>
      <sheetName val="HVAC"/>
      <sheetName val="laroux"/>
      <sheetName val="slab"/>
      <sheetName val="pile(1)"/>
      <sheetName val="pile(2)"/>
      <sheetName val="pile(3)"/>
      <sheetName val="ITB COST"/>
      <sheetName val="단가대비"/>
      <sheetName val="AILC004"/>
      <sheetName val="TEL"/>
      <sheetName val="부대대비"/>
      <sheetName val="냉연집계"/>
      <sheetName val="#REF"/>
      <sheetName val="Cable Trench in E-3,6,9"/>
      <sheetName val="SILICATE"/>
      <sheetName val="Customer Databas"/>
      <sheetName val="Const Staff"/>
      <sheetName val="FREU Engineering"/>
      <sheetName val="Startup Staff"/>
      <sheetName val="Q827"/>
      <sheetName val="예산서"/>
      <sheetName val="PS"/>
      <sheetName val="공정계획_내부계획25__내부w_f_"/>
      <sheetName val="±âÁØ"/>
      <sheetName val="¿¹»êM12A"/>
      <sheetName val="1´Ü°è"/>
      <sheetName val="´Ü°¡´ëºñ"/>
      <sheetName val="³ë¿ø¿­º´ÇÕ  °ÇÃà°ø»ç±â¼º³»¿ª¼­"/>
      <sheetName val="가BM"/>
      <sheetName val="적용환율"/>
      <sheetName val="General Data"/>
      <sheetName val="간접비내역-1"/>
      <sheetName val="작성기준"/>
      <sheetName val="내역서"/>
      <sheetName val="NAME"/>
      <sheetName val="API Pump"/>
      <sheetName val="ANSI Pump"/>
      <sheetName val="Reciprocating Pump"/>
      <sheetName val="Submersible Pump"/>
      <sheetName val="Fire Pump"/>
      <sheetName val="당초"/>
      <sheetName val="DESIGN CRITERIA"/>
      <sheetName val="Isolasi Luar Dalam"/>
      <sheetName val="Isolasi Luar"/>
      <sheetName val="ASS-UNIT"/>
      <sheetName val="DUTCH CONE"/>
      <sheetName val="Direct Cost"/>
      <sheetName val="BoQ"/>
      <sheetName val="SchA"/>
      <sheetName val="PMT"/>
      <sheetName val="Elect"/>
      <sheetName val="Ins"/>
      <sheetName val="Mech"/>
      <sheetName val="SewAlat"/>
      <sheetName val="SchC"/>
      <sheetName val="Analysis"/>
      <sheetName val="SchB"/>
      <sheetName val="SchD"/>
      <sheetName val="Sum"/>
      <sheetName val="Markup"/>
      <sheetName val="11"/>
      <sheetName val="12"/>
      <sheetName val="13"/>
      <sheetName val="14"/>
      <sheetName val="BoQ C4"/>
      <sheetName val="Invoice Cover"/>
      <sheetName val="EXPAT 21"/>
      <sheetName val="FLUOR 29"/>
      <sheetName val="NONS 84"/>
      <sheetName val="STAFF 158"/>
      <sheetName val="SO 38"/>
      <sheetName val="건축내역"/>
      <sheetName val="Summary Sheets"/>
      <sheetName val="Wt of Mod."/>
      <sheetName val="Module Wt"/>
      <sheetName val="Build Up"/>
      <sheetName val="costing_ESDV"/>
      <sheetName val="costing_Misc"/>
      <sheetName val="costing_MOV"/>
      <sheetName val="costing_Press"/>
      <sheetName val="GammaEquivalents"/>
      <sheetName val="Equipment"/>
      <sheetName val="Piping"/>
      <sheetName val="eq_data"/>
      <sheetName val="A"/>
      <sheetName val="LV-MOTOR"/>
      <sheetName val="단면치수"/>
      <sheetName val="factor"/>
      <sheetName val="Exch_rates"/>
      <sheetName val="차액보증"/>
      <sheetName val="estimate"/>
      <sheetName val="차수"/>
      <sheetName val="입찰안"/>
      <sheetName val="FRT_O"/>
      <sheetName val="FAB_I"/>
      <sheetName val="확산동"/>
      <sheetName val="단가표"/>
      <sheetName val="F4-F7"/>
      <sheetName val="一発シート"/>
      <sheetName val="PROCESS"/>
      <sheetName val="DNW"/>
      <sheetName val="FAB별"/>
      <sheetName val="DI-ESTI"/>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sheetData sheetId="99"/>
      <sheetData sheetId="100"/>
      <sheetData sheetId="101"/>
      <sheetData sheetId="102" refreshError="1"/>
      <sheetData sheetId="103" refreshError="1"/>
      <sheetData sheetId="104"/>
      <sheetData sheetId="105"/>
      <sheetData sheetId="106"/>
      <sheetData sheetId="107"/>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Set>
  </externalBook>
</externalLink>
</file>

<file path=xl/externalLinks/externalLink8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NTAI"/>
      <sheetName val="B. Erec_BOQ(Filed)"/>
      <sheetName val="3.현장배치"/>
      <sheetName val="현장배치"/>
      <sheetName val="협조전"/>
    </sheetNames>
    <sheetDataSet>
      <sheetData sheetId="0" refreshError="1">
        <row r="2">
          <cell r="C2">
            <v>2.5110000000000001</v>
          </cell>
        </row>
        <row r="3">
          <cell r="C3">
            <v>1.126000071122474</v>
          </cell>
        </row>
      </sheetData>
      <sheetData sheetId="1" refreshError="1"/>
      <sheetData sheetId="2" refreshError="1"/>
      <sheetData sheetId="3" refreshError="1"/>
      <sheetData sheetId="4" refreshError="1"/>
    </sheetDataSet>
  </externalBook>
</externalLink>
</file>

<file path=xl/externalLinks/externalLink8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공사비 내역 (가)"/>
      <sheetName val="총괄표"/>
      <sheetName val="표지"/>
      <sheetName val="색인표"/>
      <sheetName val="목차"/>
      <sheetName val="공사개요"/>
      <sheetName val="공사물량"/>
      <sheetName val="투찰금액"/>
      <sheetName val="공사비 내역(나)"/>
      <sheetName val="공정표"/>
      <sheetName val="직원조직표"/>
      <sheetName val="SCHE-STF"/>
      <sheetName val="SCHE-LAB"/>
      <sheetName val="장비동원"/>
      <sheetName val="공사비 내역(가)"/>
      <sheetName val="MEC"/>
      <sheetName val="PIPING"/>
      <sheetName val="STR_STL"/>
      <sheetName val="EQUIP"/>
      <sheetName val="PA-INS-SPRO"/>
      <sheetName val="ORGAN"/>
      <sheetName val="간접비총괄"/>
      <sheetName val="간접비내역"/>
      <sheetName val="기공동원계획"/>
      <sheetName val="직원동원"/>
      <sheetName val="SEL-OFFICE"/>
      <sheetName val="간접인원"/>
      <sheetName val="MAN-SUMMARY"/>
      <sheetName val="장비비"/>
      <sheetName val="분개"/>
      <sheetName val="ACOM"/>
      <sheetName val="LAYOUT"/>
      <sheetName val="Name List"/>
      <sheetName val="Atten. Status (COMPANY)"/>
      <sheetName val="Atten. Status"/>
      <sheetName val="공사비 내역 _가_"/>
      <sheetName val="calcul"/>
      <sheetName val="Equipment"/>
      <sheetName val="PUMP"/>
      <sheetName val="h-013211-2"/>
      <sheetName val="Sheet2"/>
      <sheetName val="Sheet1"/>
      <sheetName val="공통비"/>
      <sheetName val="spc 배관견적"/>
      <sheetName val="sheet"/>
      <sheetName val="INSULATION"/>
      <sheetName val="Indirect Labour"/>
      <sheetName val="Site Staff"/>
      <sheetName val="Site Est "/>
      <sheetName val="Costing sheet"/>
      <sheetName val="Mat. Summ"/>
      <sheetName val="hot piping"/>
      <sheetName val="Cold piping "/>
      <sheetName val="Pers. Pro"/>
      <sheetName val="Lookup"/>
      <sheetName val="차액보증"/>
      <sheetName val="DESIGN"/>
      <sheetName val="OCT_FDN"/>
      <sheetName val="전기내역"/>
      <sheetName val="노무 단가"/>
      <sheetName val="factor"/>
      <sheetName val="DATA"/>
      <sheetName val="NEW-PANEL"/>
      <sheetName val="KP_List old RV"/>
      <sheetName val="ANALYSER"/>
      <sheetName val="eq_data"/>
      <sheetName val="dg-VTu"/>
      <sheetName val="Pump sh't"/>
      <sheetName val="Proposal"/>
      <sheetName val="OCT.FDN"/>
      <sheetName val="내역서"/>
      <sheetName val="공사비"/>
      <sheetName val="현금"/>
      <sheetName val="원가"/>
      <sheetName val="Tke"/>
      <sheetName val="회사99"/>
      <sheetName val="EXTERNAL(BOQ)"/>
      <sheetName val="ITB COST"/>
      <sheetName val="Break Down"/>
      <sheetName val="Main"/>
      <sheetName val="#REF"/>
      <sheetName val="노임단가"/>
      <sheetName val="BSD (2)"/>
      <sheetName val="CAT_5"/>
      <sheetName val="TOOLS"/>
      <sheetName val="TOEC"/>
      <sheetName val="RATES"/>
      <sheetName val="UG예산"/>
      <sheetName val="Y-WORK"/>
      <sheetName val="TIE-IN"/>
      <sheetName val="E_Rate PM"/>
      <sheetName val="ABUT수량-A1"/>
      <sheetName val="1"/>
      <sheetName val="A"/>
      <sheetName val="적용환율"/>
      <sheetName val="General Data"/>
      <sheetName val="일위대가표(DEEP)"/>
      <sheetName val="공사비예산서(토목분)"/>
      <sheetName val="간접비내역-1"/>
      <sheetName val="TOTAL"/>
      <sheetName val=" 견적서"/>
      <sheetName val="예산M12A"/>
      <sheetName val="BQ"/>
      <sheetName val="BOQ-Bill1-8"/>
      <sheetName val="PROG_DATA"/>
      <sheetName val="INSTR"/>
      <sheetName val="gyun"/>
      <sheetName val="정부노임단가"/>
      <sheetName val="Customer Databas"/>
      <sheetName val="내역(한신APT)"/>
      <sheetName val="물량"/>
      <sheetName val="cable-data"/>
      <sheetName val="kimre scrubber"/>
      <sheetName val="B"/>
      <sheetName val="단위세대"/>
      <sheetName val="일위대가(계측기설치)"/>
      <sheetName val="단가비교"/>
      <sheetName val="SG"/>
      <sheetName val="DCS"/>
      <sheetName val="CP-E2 (품셈표)"/>
      <sheetName val="기준"/>
      <sheetName val="Summary Sheets"/>
      <sheetName val="Wt of Mod."/>
      <sheetName val="Module Wt"/>
      <sheetName val="Build Up"/>
      <sheetName val="costing_ESDV"/>
      <sheetName val="costing_Misc"/>
      <sheetName val="costing_MOV"/>
      <sheetName val="costing_Press"/>
      <sheetName val="BLR 1"/>
      <sheetName val="GEN"/>
      <sheetName val="GAS"/>
      <sheetName val="DEAE"/>
      <sheetName val="BLR2"/>
      <sheetName val="BLR3"/>
      <sheetName val="BLR4"/>
      <sheetName val="BLR5"/>
      <sheetName val="DEM"/>
      <sheetName val="SAM"/>
      <sheetName val="CHEM"/>
      <sheetName val="COP"/>
      <sheetName val="Tank"/>
      <sheetName val="OIL SYST DATA SHTS"/>
      <sheetName val="EQUIP.XLS"/>
      <sheetName val="설계서"/>
      <sheetName val="Man Power &amp; Comp"/>
      <sheetName val="일위대가목차"/>
      <sheetName val="GREEN"/>
      <sheetName val="Hawiyah"/>
      <sheetName val="Hawiyah 하청"/>
      <sheetName val="HDEC 1027"/>
      <sheetName val="Juaymah"/>
      <sheetName val="SIPC"/>
      <sheetName val="11.17~20"/>
      <sheetName val="WORK"/>
      <sheetName val="ITEM"/>
      <sheetName val="간접비(1)"/>
      <sheetName val="V-VESSEL (WITH DEMISTER)"/>
      <sheetName val="산#2-1 (2)"/>
      <sheetName val="WEIGHT LIST"/>
      <sheetName val="DNW"/>
      <sheetName val="FRT_O"/>
      <sheetName val="작성기준"/>
      <sheetName val="Sum"/>
      <sheetName val="비정기tel"/>
      <sheetName val="INPUT DATA"/>
      <sheetName val="설계조건"/>
      <sheetName val="단면검토"/>
      <sheetName val="내역서(총)"/>
      <sheetName val="design criteria"/>
      <sheetName val="working load at the btm ft."/>
      <sheetName val="plan&amp;section of foundation"/>
      <sheetName val="간접비 총괄표"/>
      <sheetName val="수입"/>
      <sheetName val="CAL"/>
      <sheetName val="UR2-Calculation"/>
      <sheetName val="분석"/>
      <sheetName val="as boq list up"/>
      <sheetName val="Compare-1"/>
      <sheetName val="calculation-1"/>
      <sheetName val="PRO_A"/>
      <sheetName val="PRO"/>
      <sheetName val="LEGEND"/>
      <sheetName val="AILC004"/>
      <sheetName val="合成単価作成表-BLDG"/>
      <sheetName val="Option"/>
      <sheetName val="유화"/>
      <sheetName val="표지 (2)"/>
      <sheetName val="inter"/>
      <sheetName val="NAME"/>
      <sheetName val="NEWDRAW"/>
      <sheetName val="GEN PROG"/>
      <sheetName val="REG-BASIS"/>
      <sheetName val="TENDER PROG."/>
      <sheetName val="DET.ENGG.PROG"/>
      <sheetName val="LV data"/>
      <sheetName val="cctv"/>
      <sheetName val="공사내역"/>
      <sheetName val="입찰안"/>
      <sheetName val="말뚝지지력산정"/>
      <sheetName val="사원명부"/>
      <sheetName val="급여등록"/>
      <sheetName val="RFP005"/>
      <sheetName val="RFP007"/>
      <sheetName val="RFP006"/>
      <sheetName val="RFP009"/>
      <sheetName val="2.설계제원"/>
      <sheetName val="Code"/>
      <sheetName val="EXCHANGER_BEAM2"/>
      <sheetName val="EXCHANGER_BEAM1"/>
      <sheetName val="EXCHANGER_COM"/>
      <sheetName val="EXCHANGER"/>
      <sheetName val="data 원본"/>
      <sheetName val="판매"/>
      <sheetName val="member design"/>
      <sheetName val="soil bearing check"/>
      <sheetName val="SPT vs PHI"/>
      <sheetName val="DIV 2"/>
      <sheetName val="6.Base"/>
      <sheetName val="VV보온LINK"/>
      <sheetName val="FIT보온LINK"/>
      <sheetName val="안정계산"/>
      <sheetName val="HVAC"/>
      <sheetName val="EQT-ESTN"/>
      <sheetName val="SILICATE"/>
      <sheetName val="도급양식"/>
      <sheetName val="HRB"/>
      <sheetName val="Curves"/>
      <sheetName val="steel-gr"/>
      <sheetName val="N+"/>
      <sheetName val="데이타"/>
      <sheetName val="접속슬래브"/>
      <sheetName val="현장"/>
      <sheetName val="출자한도"/>
      <sheetName val="산근"/>
      <sheetName val="현장관리비"/>
      <sheetName val="DTmpData"/>
      <sheetName val="101동"/>
      <sheetName val="Project Indirect (SITE)"/>
      <sheetName val="FRP내역서"/>
      <sheetName val="Coversheet "/>
      <sheetName val="XZLC004_PART2"/>
      <sheetName val="XZLC003_PART1"/>
      <sheetName val="당초"/>
      <sheetName val="OD"/>
      <sheetName val="Elect (3)"/>
      <sheetName val="??? ?? (?)"/>
      <sheetName val="full (2)"/>
      <sheetName val="정산입력"/>
      <sheetName val="을"/>
      <sheetName val="전기일위대가"/>
      <sheetName val="VS배관내역서"/>
      <sheetName val="item sort no"/>
      <sheetName val="spec"/>
      <sheetName val="단가표"/>
      <sheetName val="BID"/>
      <sheetName val="jobhist"/>
      <sheetName val="인원현황"/>
      <sheetName val="DATE"/>
      <sheetName val="소일위대가코드표"/>
      <sheetName val="FIT Small"/>
      <sheetName val="WeightTable"/>
      <sheetName val="本体取纏"/>
      <sheetName val="단가비교(TOTAL)"/>
      <sheetName val="FANDBS"/>
      <sheetName val="GRDATA"/>
      <sheetName val="SHAFTDBSE"/>
      <sheetName val="FAB"/>
      <sheetName val="현장지지물물량"/>
      <sheetName val="내역"/>
      <sheetName val="BM"/>
      <sheetName val="Calc"/>
      <sheetName val="주관사업"/>
      <sheetName val="동해title"/>
      <sheetName val="FAB별"/>
      <sheetName val="계장일위대가 "/>
      <sheetName val="견적"/>
      <sheetName val="단가"/>
      <sheetName val="날개벽"/>
      <sheetName val="HORI. VESSEL"/>
      <sheetName val="집계표(OPTION)"/>
      <sheetName val="도"/>
      <sheetName val="type-F"/>
      <sheetName val="look-up"/>
      <sheetName val="Area Lookup"/>
      <sheetName val="7.5.2 BOQ Summary "/>
      <sheetName val="DB@Acess"/>
      <sheetName val="Civil"/>
      <sheetName val="direct"/>
      <sheetName val="wage"/>
      <sheetName val="TYPE-A"/>
      <sheetName val="input"/>
      <sheetName val="수량산출"/>
      <sheetName val="pipe"/>
      <sheetName val="Database"/>
      <sheetName val="SUMMARY"/>
      <sheetName val="Emp_Data"/>
      <sheetName val="REDUCER"/>
      <sheetName val="WE'T"/>
      <sheetName val="Labor Rate"/>
      <sheetName val="footing"/>
      <sheetName val="DIAMOND"/>
      <sheetName val="PipWT"/>
      <sheetName val="List - Components"/>
      <sheetName val="List - Equipment"/>
      <sheetName val="表三"/>
      <sheetName val="参数表"/>
      <sheetName val="RFP003D"/>
      <sheetName val="Utlity"/>
      <sheetName val="gd_0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refreshError="1"/>
      <sheetData sheetId="33" refreshError="1"/>
      <sheetData sheetId="34" refreshError="1"/>
      <sheetData sheetId="35"/>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Set>
  </externalBook>
</externalLink>
</file>

<file path=xl/externalLinks/externalLink8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사업계획"/>
      <sheetName val="EXTERNAL(BOQ)"/>
      <sheetName val="3.현장배치"/>
      <sheetName val="DESCRIPTION"/>
      <sheetName val="Breakdown sum"/>
      <sheetName val="PANTAI"/>
      <sheetName val="총괄"/>
      <sheetName val="Sheet1"/>
      <sheetName val="Sheet2"/>
      <sheetName val="Sheet3"/>
      <sheetName val="#REF"/>
      <sheetName val="Eq. Mobilization"/>
      <sheetName val="사업부배부A"/>
      <sheetName val="손익차9월2"/>
      <sheetName val="as boq list up"/>
    </sheetNames>
    <sheetDataSet>
      <sheetData sheetId="0"/>
      <sheetData sheetId="1" refreshError="1"/>
      <sheetData sheetId="2" refreshError="1"/>
      <sheetData sheetId="3" refreshError="1"/>
      <sheetData sheetId="4" refreshError="1"/>
      <sheetData sheetId="5"/>
      <sheetData sheetId="6"/>
      <sheetData sheetId="7"/>
      <sheetData sheetId="8"/>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8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간접비(1)"/>
      <sheetName val="eq_data"/>
      <sheetName val="사업계획"/>
      <sheetName val="xxxxxx"/>
      <sheetName val="간접비총괄"/>
      <sheetName val="간접비내역서"/>
      <sheetName val="환율"/>
      <sheetName val="간접비변동(Rev.1)"/>
      <sheetName val="간접비 비교표"/>
      <sheetName val="EXTERNAL(BOQ)"/>
      <sheetName val="120"/>
      <sheetName val="130"/>
      <sheetName val="100"/>
      <sheetName val="101"/>
      <sheetName val="102"/>
      <sheetName val="103"/>
      <sheetName val="106"/>
      <sheetName val="108"/>
      <sheetName val="109"/>
      <sheetName val="131"/>
      <sheetName val="110"/>
      <sheetName val="111"/>
      <sheetName val="114"/>
      <sheetName val="116"/>
      <sheetName val="132"/>
      <sheetName val="140"/>
      <sheetName val="141"/>
      <sheetName val="142"/>
      <sheetName val="143"/>
      <sheetName val="144"/>
      <sheetName val="145"/>
      <sheetName val="146"/>
      <sheetName val="121"/>
      <sheetName val="147"/>
      <sheetName val="148"/>
      <sheetName val="160"/>
      <sheetName val="164"/>
      <sheetName val="Flaer Area"/>
      <sheetName val="123"/>
      <sheetName val="124"/>
      <sheetName val="125"/>
      <sheetName val="126"/>
      <sheetName val="127"/>
      <sheetName val="128"/>
      <sheetName val="129"/>
      <sheetName val="영업소실적"/>
      <sheetName val="소화실적"/>
      <sheetName val="as boq list up"/>
      <sheetName val="기초공"/>
      <sheetName val="기둥(원형)"/>
      <sheetName val="BRICK"/>
      <sheetName val="회사99"/>
      <sheetName val="집계표"/>
      <sheetName val="RENUN"/>
      <sheetName val="유림골조"/>
      <sheetName val="Eq. Mobilization"/>
      <sheetName val="15 문제점"/>
      <sheetName val="97 사업추정(WEKI)"/>
      <sheetName val="간접비Z"/>
      <sheetName val="#REF"/>
      <sheetName val="A"/>
      <sheetName val="주관사업"/>
      <sheetName val="일위대가목차"/>
      <sheetName val="납부내역"/>
      <sheetName val="h-013211-2"/>
      <sheetName val="Unit 49_분개표"/>
      <sheetName val="Unit 76_분개표"/>
      <sheetName val="UnitList"/>
      <sheetName val="ANALYSER"/>
      <sheetName val="RFP007"/>
      <sheetName val="INPUT DATA"/>
      <sheetName val="CIVIL WORK"/>
      <sheetName val="Sheet1"/>
      <sheetName val="96.12"/>
      <sheetName val="직원동원계획"/>
      <sheetName val="공사비 내역 (가)"/>
      <sheetName val="기준"/>
      <sheetName val="조직"/>
      <sheetName val="동원"/>
      <sheetName val="급료"/>
      <sheetName val="인건비"/>
      <sheetName val="본부소개"/>
      <sheetName val="상반기손익차2총괄"/>
      <sheetName val="direct"/>
      <sheetName val="GeneralNote"/>
      <sheetName val="기별수량산출서"/>
      <sheetName val="현금"/>
      <sheetName val="INSTR"/>
      <sheetName val="»ç¾÷°èÈ¹"/>
      <sheetName val="설계조건"/>
      <sheetName val="안정계산"/>
      <sheetName val="단면검토"/>
      <sheetName val="손익차9월2"/>
      <sheetName val="RCF CLAIMED"/>
    </sheetNames>
    <sheetDataSet>
      <sheetData sheetId="0" refreshError="1">
        <row r="13">
          <cell r="AE13">
            <v>765</v>
          </cell>
        </row>
        <row r="41">
          <cell r="AD41">
            <v>47</v>
          </cell>
          <cell r="AE41">
            <v>43</v>
          </cell>
          <cell r="AF41">
            <v>742</v>
          </cell>
        </row>
        <row r="54">
          <cell r="AE54">
            <v>53</v>
          </cell>
          <cell r="AF54">
            <v>742</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Set>
  </externalBook>
</externalLink>
</file>

<file path=xl/externalLinks/externalLink8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roux"/>
      <sheetName val="HDECGTY-HO"/>
      <sheetName val="HDECGTY"/>
      <sheetName val="간접비(1)"/>
      <sheetName val="97년 SEACO예산"/>
      <sheetName val="Breakdown sum"/>
      <sheetName val="사업계획"/>
      <sheetName val="공사비 내역 (가)"/>
      <sheetName val="기준"/>
      <sheetName val="EXTERNAL(BOQ)"/>
      <sheetName val="차수"/>
      <sheetName val="M1"/>
    </sheetNames>
    <sheetDataSet>
      <sheetData sheetId="0" refreshError="1"/>
      <sheetData sheetId="1" refreshError="1"/>
      <sheetData sheetId="2" refreshError="1">
        <row r="9">
          <cell r="A9">
            <v>134</v>
          </cell>
          <cell r="B9" t="str">
            <v>KLRT</v>
          </cell>
          <cell r="C9" t="str">
            <v>PUTRA</v>
          </cell>
          <cell r="D9" t="str">
            <v>P</v>
          </cell>
          <cell r="E9" t="str">
            <v>HBMB.KL</v>
          </cell>
          <cell r="F9">
            <v>950302</v>
          </cell>
          <cell r="G9">
            <v>13943068</v>
          </cell>
          <cell r="J9" t="str">
            <v>0.36%PA</v>
          </cell>
          <cell r="K9">
            <v>980831</v>
          </cell>
          <cell r="L9">
            <v>990301</v>
          </cell>
          <cell r="N9" t="str">
            <v xml:space="preserve"> </v>
          </cell>
          <cell r="O9" t="str">
            <v>KLH950349</v>
          </cell>
        </row>
        <row r="10">
          <cell r="A10">
            <v>149</v>
          </cell>
          <cell r="B10" t="str">
            <v>M272</v>
          </cell>
          <cell r="C10" t="str">
            <v>TNB</v>
          </cell>
          <cell r="D10" t="str">
            <v>P</v>
          </cell>
          <cell r="E10" t="str">
            <v>HBMB.KL</v>
          </cell>
          <cell r="F10">
            <v>950630</v>
          </cell>
          <cell r="G10">
            <v>8073667.8399999999</v>
          </cell>
          <cell r="J10" t="str">
            <v>0.48%PA</v>
          </cell>
          <cell r="K10">
            <v>981026</v>
          </cell>
          <cell r="O10" t="str">
            <v>KLH951140</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8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간접총괄"/>
      <sheetName val="가설공통"/>
      <sheetName val="경상비"/>
      <sheetName val="현장조직"/>
      <sheetName val="설직원계획rev"/>
      <sheetName val="직원동원계획rev"/>
      <sheetName val="직접기공"/>
      <sheetName val="간접동원"/>
      <sheetName val="직원급료기준NEW(본사)"/>
      <sheetName val="직원급료NEW(현장)"/>
      <sheetName val="1-4)비품"/>
      <sheetName val="2-6-2)창고관리"/>
      <sheetName val="3)가설수전"/>
      <sheetName val="3-3)가설전기전화설치비"/>
      <sheetName val="5-9,10,11)건강보험, 국민연금 고용보험"/>
      <sheetName val="7)수수료"/>
      <sheetName val="가설인원(X)"/>
      <sheetName val="4-C-6)차량동원계획"/>
      <sheetName val="11)임금인상"/>
      <sheetName val="차량비내역"/>
      <sheetName val="유대비내역"/>
      <sheetName val="2-5)중기공장"/>
      <sheetName val="#REF"/>
      <sheetName val="환율"/>
    </sheetNames>
    <sheetDataSet>
      <sheetData sheetId="0" refreshError="1">
        <row r="42">
          <cell r="D42">
            <v>16931000</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Set>
  </externalBook>
</externalLink>
</file>

<file path=xl/externalLinks/externalLink9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ISBL (검증)"/>
      <sheetName val="OSBL (검증)"/>
      <sheetName val="OPTION(ISBL) (검증)"/>
      <sheetName val="OPTION(OSBL) (검증)"/>
      <sheetName val="ISBL"/>
      <sheetName val="OSBL"/>
      <sheetName val="OPTION"/>
      <sheetName val="OPTION(ISBL)"/>
      <sheetName val="OPTION(OSBL)"/>
      <sheetName val="7.3.2.A"/>
      <sheetName val="7.3.2.D"/>
      <sheetName val="7.3.3"/>
      <sheetName val="7.3.2.E"/>
      <sheetName val="7.3.3.BOQ"/>
      <sheetName val="7.3.2.B"/>
      <sheetName val="7.3.2.C"/>
      <sheetName val="7.3.3 option"/>
      <sheetName val="7.3.3 option(ISBL)"/>
      <sheetName val="7.3.3 option(OSBL)"/>
      <sheetName val="Testing"/>
      <sheetName val="INDIRECT MOBILIZATION PLAN"/>
      <sheetName val="MANPOWER MOBILIZATION"/>
      <sheetName val="LABOR MOBILIZATION PLAN"/>
      <sheetName val="STAFF MOBILIZATION PLAN"/>
      <sheetName val="BREAKDOWN"/>
      <sheetName val="PERSONNEL SETUP"/>
      <sheetName val="KOREAN STAFF SALARY - SITE"/>
      <sheetName val="TEMPORARY FACILITIES"/>
      <sheetName val="WATER SUPPLY"/>
      <sheetName val="LIST OF OFFICE EQUIPMENT"/>
      <sheetName val="정부노임단가"/>
      <sheetName val="OCT.FDN"/>
      <sheetName val="HORI. VESSEL"/>
      <sheetName val="TABLE2-2 OSBL(total)"/>
      <sheetName val="Table1"/>
      <sheetName val="SE-611"/>
      <sheetName val="공사비 내역 (가)"/>
    </sheetNames>
    <sheetDataSet>
      <sheetData sheetId="0">
        <row r="7">
          <cell r="F7" t="str">
            <v>(5)</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Set>
  </externalBook>
</externalLink>
</file>

<file path=xl/externalLinks/externalLink9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공사원가"/>
      <sheetName val="내역서집계표"/>
      <sheetName val="내역서99-4"/>
      <sheetName val="일위대가집계표"/>
      <sheetName val="정부노임단가"/>
      <sheetName val="단가조사서"/>
      <sheetName val="중기산출근거"/>
      <sheetName val="중기집계표"/>
      <sheetName val="중기계산"/>
      <sheetName val="주입율"/>
      <sheetName val="토공일위"/>
      <sheetName val="공통일위"/>
      <sheetName val="LW일위"/>
      <sheetName val="토공-토사"/>
      <sheetName val="풍화암굴착및상차"/>
      <sheetName val="토사운반및사토장정리"/>
      <sheetName val="풍화암운반및사토장정리"/>
      <sheetName val="가시-토사천공"/>
      <sheetName val="가시-풍화암천공"/>
      <sheetName val="가시-연암천공"/>
      <sheetName val="가시-파일박기(디젤햄머)"/>
      <sheetName val="가시-파일뽑기(진동햄머)"/>
      <sheetName val="가시-띠장설치및철거"/>
      <sheetName val="케이싱설치"/>
      <sheetName val="가시-토류판설치-버팀보"/>
      <sheetName val="가시-버팀보3"/>
      <sheetName val="가시-버팀보9"/>
      <sheetName val="어스앵카-천공(토사)"/>
      <sheetName val="어스앵카-천공(풍화암)"/>
      <sheetName val="어스앵카-천공(연암)"/>
      <sheetName val="어스앵커-pc강선"/>
      <sheetName val="어스앵커-그라우팅"/>
      <sheetName val="어스앵커-pc콘"/>
      <sheetName val="이토상차및운반"/>
      <sheetName val="SCW-파일건입(디젤햄머)"/>
      <sheetName val="RCD-STRAND PILE 압입및굴착"/>
      <sheetName val="부대공-강재운반1"/>
      <sheetName val="철근운반"/>
      <sheetName val="부대공-시멘트운반"/>
      <sheetName val="혼합골재포설및다짐"/>
      <sheetName val="노체다짐"/>
      <sheetName val="노상다짐"/>
      <sheetName val="보조기층포설"/>
      <sheetName val="아스콘기층포장"/>
      <sheetName val="아스콘표층포장"/>
      <sheetName val="프라임코팅포설"/>
      <sheetName val="텍코팅포설"/>
      <sheetName val="24"/>
      <sheetName val="☞개인진도및전화부및견적조건"/>
      <sheetName val="      ★개인별현황표(김종우기사)"/>
      <sheetName val="      주소록"/>
      <sheetName val="☞골조,철골,조적분석표"/>
      <sheetName val="      ★골조분석표(서태용대리)"/>
      <sheetName val="      골조부재별비율"/>
      <sheetName val="☞마감분석표"/>
      <sheetName val="    (주)경원건축공사비분석표"/>
      <sheetName val="    (주)경원건축공사비분석표(공)"/>
      <sheetName val="A-4"/>
      <sheetName val="영업2"/>
      <sheetName val="전기일위대가"/>
      <sheetName val="ITEM"/>
      <sheetName val="장비당단가 (1)"/>
      <sheetName val="을"/>
      <sheetName val="오산갈곳"/>
      <sheetName val="99-04-19-서울대관련(수정중)"/>
      <sheetName val="ilch"/>
      <sheetName val="단가"/>
      <sheetName val="시설물일위"/>
      <sheetName val="TEL"/>
      <sheetName val="연수동"/>
      <sheetName val="ABUT수량-A1"/>
      <sheetName val="Y-WORK"/>
      <sheetName val="토공사"/>
      <sheetName val="WORK"/>
      <sheetName val="산업개발안내서"/>
      <sheetName val="Sheet4"/>
      <sheetName val="Sheet1"/>
      <sheetName val="INST_DCI"/>
      <sheetName val="HVAC_DCI"/>
      <sheetName val="PIPE_DCI"/>
      <sheetName val="PRO_DCI"/>
      <sheetName val="실행내역"/>
      <sheetName val="BQ"/>
      <sheetName val="Sheet5"/>
      <sheetName val="BSD (2)"/>
      <sheetName val="투찰"/>
      <sheetName val="c_balju"/>
      <sheetName val="환율"/>
      <sheetName val="P.M 별"/>
      <sheetName val="1월"/>
      <sheetName val="VXXXXXXX"/>
      <sheetName val="건축내역"/>
      <sheetName val="도급"/>
      <sheetName val="공통부대비"/>
      <sheetName val="전기공사"/>
      <sheetName val="20관리비율"/>
      <sheetName val="공통가설공사"/>
      <sheetName val="토목내역"/>
      <sheetName val="경비2내역"/>
      <sheetName val="공사비 내역 (가)"/>
      <sheetName val="DATA1"/>
      <sheetName val="내역서(총)"/>
      <sheetName val="CONCRETE"/>
      <sheetName val="일반공사"/>
      <sheetName val="차액보증"/>
      <sheetName val="3련 BOX"/>
      <sheetName val="맨홀수량집계"/>
      <sheetName val="단면(RW1)"/>
      <sheetName val="TYPE-A"/>
      <sheetName val="가시설수량"/>
      <sheetName val="단위수량"/>
      <sheetName val="부대내역"/>
      <sheetName val="일위대가목록"/>
      <sheetName val="MOTOR"/>
      <sheetName val="J直材4"/>
      <sheetName val="교각1"/>
      <sheetName val="BQ-Offsite"/>
      <sheetName val="Cover"/>
      <sheetName val="BQLIST"/>
      <sheetName val="설산1.나"/>
      <sheetName val="본사S"/>
      <sheetName val="TABLE2-1 ISBL-(SlTE PREP)"/>
      <sheetName val="TABLE2.1 ISBL (Soil Invest)"/>
      <sheetName val="TABLE2-2 OSBL(GENERAL-CIVIL)"/>
      <sheetName val="Testing"/>
      <sheetName val="집계표"/>
      <sheetName val="RCD-STRAND_PILE_압입및굴착"/>
      <sheetName val="______★개인별현황표(김종우기사)"/>
      <sheetName val="______주소록"/>
      <sheetName val="______★골조분석표(서태용대리)"/>
      <sheetName val="______골조부재별비율"/>
      <sheetName val="____(주)경원건축공사비분석표"/>
      <sheetName val="____(주)경원건축공사비분석표(공)"/>
      <sheetName val="장비당단가_(1)"/>
      <sheetName val="BSD_(2)"/>
      <sheetName val="기별(종합)"/>
      <sheetName val="DATA(BAC)"/>
      <sheetName val="세부내역"/>
      <sheetName val="TOTAL"/>
      <sheetName val="7.5.2 BOQ Summary "/>
      <sheetName val="BSD _2_"/>
      <sheetName val="내역서"/>
      <sheetName val="내역1"/>
      <sheetName val="3BL공동구 수량"/>
      <sheetName val="EUPDAT2"/>
      <sheetName val="장비집계"/>
      <sheetName val="SLAB"/>
      <sheetName val="건축원가계산서"/>
      <sheetName val="입찰안"/>
      <sheetName val="일위대가표(DEEP)"/>
      <sheetName val="토&amp;흙"/>
      <sheetName val="2F 회의실견적(5_14 일대)"/>
      <sheetName val="보합"/>
      <sheetName val="일위대가목차"/>
      <sheetName val="TABLE"/>
      <sheetName val="물량산출근거"/>
      <sheetName val="공사원가계산서"/>
      <sheetName val="계산근거"/>
      <sheetName val="D-3503"/>
      <sheetName val="Site Expenses"/>
      <sheetName val="을지"/>
      <sheetName val="일위대가목록(1)"/>
      <sheetName val="단가대비표(1)"/>
      <sheetName val="list price"/>
      <sheetName val="聒CD-STRAND PILE 압입및굴착"/>
      <sheetName val="원형맨홀수량"/>
      <sheetName val="갑지(추정)"/>
      <sheetName val="ELECTRIC"/>
      <sheetName val="CTEMCOST"/>
      <sheetName val="SCHEDULE"/>
      <sheetName val="대비"/>
      <sheetName val="단가대비표"/>
      <sheetName val="Bdown_ISBL"/>
      <sheetName val="감가상각"/>
      <sheetName val="ISBL (검증)"/>
      <sheetName val="General Data"/>
      <sheetName val="분류기준"/>
      <sheetName val="INSTR"/>
      <sheetName val="산거각호표"/>
      <sheetName val="Harga material "/>
      <sheetName val="IPL_SCHEDULE"/>
      <sheetName val="TABLE2-2 OSBL-(SITE PREP)"/>
      <sheetName val="CONTENTS"/>
      <sheetName val="BM"/>
      <sheetName val="설계조건"/>
      <sheetName val="안정계산"/>
      <sheetName val="단면검토"/>
      <sheetName val="INPUT"/>
      <sheetName val="단면가정"/>
      <sheetName val="IMP(MAIN)"/>
      <sheetName val="IMP (REACTOR)"/>
      <sheetName val="공사비산출내역"/>
      <sheetName val="가시설단위수량"/>
      <sheetName val="청산공사"/>
      <sheetName val="L형옹벽(key)"/>
      <sheetName val="96수출"/>
      <sheetName val="수량산출서"/>
      <sheetName val="사업계획"/>
      <sheetName val="BOQ0822"/>
      <sheetName val="Base_Data"/>
      <sheetName val="예산서"/>
      <sheetName val="lookup"/>
      <sheetName val="공사비PK5월"/>
      <sheetName val="BD集計用"/>
      <sheetName val="INDIRECT MOBILIZATION PLAN"/>
      <sheetName val="MANPOWER MOBILIZATION"/>
      <sheetName val="LABOR MOBILIZATION PLAN"/>
      <sheetName val="STAFF MOBILIZATION PLAN"/>
      <sheetName val="LIST OF OFFICE EQUIPMENT"/>
      <sheetName val="BREAKDOWN"/>
      <sheetName val="PERSONNEL SETUP"/>
      <sheetName val="KOREAN STAFF SALARY - SITE"/>
      <sheetName val="TEMPORARY FACILITIES"/>
      <sheetName val="WATER SUPPLY"/>
      <sheetName val="AH-1 "/>
      <sheetName val="ISBL"/>
      <sheetName val="OSBL"/>
      <sheetName val="TABLE2-1 ISBL(GENEAL-CIVIL)"/>
      <sheetName val="PUMP"/>
      <sheetName val="gyun"/>
      <sheetName val="Customer Databas"/>
      <sheetName val="내역서 "/>
      <sheetName val="기계내역"/>
      <sheetName val=" 견적서"/>
      <sheetName val="RING WALL"/>
      <sheetName val="물량표"/>
      <sheetName val="단위중량"/>
      <sheetName val="원가"/>
      <sheetName val="Dae_Jiju"/>
      <sheetName val="Sikje_ingun"/>
      <sheetName val="TREE_D"/>
      <sheetName val="인건비"/>
      <sheetName val="금액집계"/>
      <sheetName val="투자효율분석"/>
      <sheetName val="설계명세서"/>
      <sheetName val="DATA_BAC_"/>
      <sheetName val="일위대가"/>
      <sheetName val="환률"/>
      <sheetName val="HRSG SMALL07220"/>
      <sheetName val="배수관공"/>
      <sheetName val="wblff(before omi pc&amp;stump)"/>
      <sheetName val=" "/>
      <sheetName val="밸브설치"/>
      <sheetName val="Proposal"/>
      <sheetName val="조경"/>
      <sheetName val="Indirect Cost"/>
      <sheetName val="unit"/>
      <sheetName val="노원열병합  건축공사기성내역서"/>
      <sheetName val="식재품셈"/>
      <sheetName val="단가표 "/>
      <sheetName val="전신환매도율"/>
      <sheetName val="양식"/>
      <sheetName val="단중표"/>
      <sheetName val="cable"/>
      <sheetName val="수량산출"/>
      <sheetName val="SE-611"/>
      <sheetName val="내역"/>
      <sheetName val="Y_WORK"/>
      <sheetName val="방송노임"/>
      <sheetName val="CALCULATION"/>
      <sheetName val="DESIGN_CRETERIA"/>
      <sheetName val="대치판정"/>
      <sheetName val="준검 내역서"/>
      <sheetName val="플랜트 설치"/>
      <sheetName val="dg"/>
      <sheetName val="1"/>
      <sheetName val="남양시작동자105노65기1.3화1.2"/>
      <sheetName val="DATA"/>
      <sheetName val="말뚝물량"/>
      <sheetName val="방배동내역(리라)"/>
      <sheetName val="연습"/>
      <sheetName val="FAB별"/>
      <sheetName val="차량구입"/>
      <sheetName val="별표 "/>
      <sheetName val="Macro1"/>
      <sheetName val="실행예산"/>
      <sheetName val="현황산출서"/>
      <sheetName val="영동(D)"/>
      <sheetName val="우각부보강"/>
      <sheetName val="7내역"/>
      <sheetName val="sum1 (2)"/>
      <sheetName val="FRT_O"/>
      <sheetName val="FAB_I"/>
      <sheetName val="토목"/>
      <sheetName val="P_M_별"/>
      <sheetName val="3련_BOX"/>
      <sheetName val="EACT10"/>
      <sheetName val="도급양식"/>
      <sheetName val="Projekt4"/>
      <sheetName val="3F"/>
      <sheetName val="UOP 508 PG 5-12"/>
      <sheetName val="총괄표"/>
      <sheetName val="변화치수"/>
      <sheetName val="direct"/>
      <sheetName val="wage"/>
      <sheetName val="소비자가"/>
      <sheetName val="날개벽"/>
      <sheetName val="full (2)"/>
      <sheetName val="금액"/>
      <sheetName val="개산공사비"/>
      <sheetName val="06-BATCH "/>
      <sheetName val="WAGE RATE BACK-UP DATA"/>
      <sheetName val="COVERSHEET PAGE"/>
      <sheetName val="날개벽(좌,우=45도,75도)"/>
      <sheetName val="eq_data"/>
      <sheetName val="KP1590_E"/>
      <sheetName val="말뚝지지력산정"/>
      <sheetName val="RAHMEN"/>
      <sheetName val="예산"/>
      <sheetName val="공문"/>
      <sheetName val="단가표"/>
      <sheetName val="자료(통합)"/>
      <sheetName val="대상공사(조달청)"/>
      <sheetName val="SG"/>
      <sheetName val="직접인건비"/>
      <sheetName val="가도공"/>
      <sheetName val="신규단가내역"/>
      <sheetName val="화산경계"/>
      <sheetName val="BID9697"/>
      <sheetName val="교통시설 표지판"/>
      <sheetName val="PipWT"/>
      <sheetName val="I.설계조건"/>
      <sheetName val="1.설계기준"/>
      <sheetName val="COPING"/>
      <sheetName val="DOGI"/>
      <sheetName val="가공비"/>
      <sheetName val="노임단가"/>
      <sheetName val="품셈표"/>
      <sheetName val="TABLE2-1 ISBL(HDEC단가)"/>
      <sheetName val="TABLE2-2 OSBL(HDEC단가)"/>
      <sheetName val="TTL"/>
      <sheetName val="토공(완충)"/>
      <sheetName val="BID"/>
      <sheetName val="예산M12A"/>
      <sheetName val="적용환율"/>
      <sheetName val="PumpSpec"/>
      <sheetName val="유화"/>
      <sheetName val="DESIGN CRITERIA"/>
      <sheetName val="h-013211-2"/>
      <sheetName val="견적의뢰"/>
      <sheetName val="CAT_5"/>
      <sheetName val="현장"/>
      <sheetName val="TT35"/>
      <sheetName val="TTTram"/>
      <sheetName val="(C)원내역"/>
      <sheetName val="공통가설"/>
      <sheetName val="GRDBS"/>
      <sheetName val="옹벽"/>
      <sheetName val="토공계산서(부체도로)"/>
      <sheetName val="설계서"/>
      <sheetName val="1을"/>
      <sheetName val="산출근거"/>
      <sheetName val="plan&amp;section of foundation"/>
      <sheetName val="SL dau tien"/>
      <sheetName val="Basic"/>
      <sheetName val="본지점중"/>
      <sheetName val="갑지"/>
      <sheetName val="RFP002"/>
      <sheetName val="건내용"/>
      <sheetName val="Sheet2"/>
      <sheetName val="중기사용료"/>
      <sheetName val="8"/>
      <sheetName val="10"/>
      <sheetName val="12"/>
      <sheetName val="9"/>
      <sheetName val="11"/>
      <sheetName val="산근"/>
      <sheetName val="가시설(TYPE-A)"/>
      <sheetName val="1-1평균터파기고(1)"/>
      <sheetName val="Sheet13"/>
      <sheetName val="발전기"/>
      <sheetName val="#REF"/>
      <sheetName val="Sheet14"/>
      <sheetName val="공사개요"/>
      <sheetName val="N賃率-職"/>
      <sheetName val="관람석제출"/>
      <sheetName val="SRC-B3U2"/>
      <sheetName val="자재단가비교표"/>
      <sheetName val="부대대비"/>
      <sheetName val="냉연집계"/>
      <sheetName val="신우"/>
      <sheetName val="kimre scrubber"/>
      <sheetName val="단가대비"/>
      <sheetName val="CODE"/>
      <sheetName val="2000년1차"/>
      <sheetName val="시멘트"/>
      <sheetName val="01"/>
      <sheetName val="오억미만"/>
      <sheetName val="실행"/>
      <sheetName val="설계명세서(선로)"/>
      <sheetName val="본장"/>
      <sheetName val="원가계산서"/>
      <sheetName val="직노"/>
      <sheetName val="비교표"/>
      <sheetName val="wall"/>
      <sheetName val="공사입력"/>
      <sheetName val="터파기및재료"/>
      <sheetName val="품셈TABLE"/>
      <sheetName val="부하(성남)"/>
      <sheetName val="자재"/>
      <sheetName val="전체"/>
      <sheetName val="간선계산"/>
      <sheetName val="SALES&amp;COGS"/>
      <sheetName val="2.내역서"/>
      <sheetName val="단가비교표"/>
      <sheetName val="DRAIN DRUM PIT D-301"/>
      <sheetName val="통신집계표1"/>
      <sheetName val="b_balju_cho"/>
      <sheetName val="06_BATCH "/>
      <sheetName val="DATE"/>
      <sheetName val="개요"/>
      <sheetName val="BOM-Form A.1.III"/>
      <sheetName val="자재집계표"/>
      <sheetName val="부재력정리"/>
      <sheetName val="단가조사표"/>
      <sheetName val="1호맨홀가감수량"/>
      <sheetName val="1호맨홀수량산출"/>
      <sheetName val="SORCE1"/>
      <sheetName val="국별인원"/>
      <sheetName val="회사99"/>
      <sheetName val="토사(PE)"/>
      <sheetName val="견적집계표"/>
      <sheetName val="system &amp; LOOK_UP_FUNC"/>
      <sheetName val="Sheet3 (2)"/>
      <sheetName val="보도경계블럭"/>
      <sheetName val="001"/>
      <sheetName val="C &amp; G RHS"/>
      <sheetName val="PROCURE"/>
      <sheetName val="inter"/>
      <sheetName val="계수시트"/>
      <sheetName val="DR(SUM)"/>
      <sheetName val="TL(SUM)"/>
      <sheetName val="목록"/>
      <sheetName val="중기"/>
      <sheetName val="Change rate"/>
      <sheetName val="I一般比"/>
      <sheetName val="MAT"/>
      <sheetName val="2075-Q011"/>
      <sheetName val="총내역서"/>
      <sheetName val="입찰견적보고서"/>
      <sheetName val="주경기-오배수"/>
      <sheetName val="업무처리전"/>
      <sheetName val="교각계산"/>
      <sheetName val="표지판현황"/>
      <sheetName val="손익분석"/>
      <sheetName val="지급자재"/>
      <sheetName val="일반맨홀수량집계"/>
      <sheetName val="FACTOR"/>
      <sheetName val="효성CB 1P기초"/>
      <sheetName val="수선비분석"/>
      <sheetName val="2F_회의실견적(5_14_일대)"/>
      <sheetName val="설계서을"/>
      <sheetName val="6월실적"/>
      <sheetName val="CAPVC"/>
      <sheetName val="갑지_추정_"/>
      <sheetName val="UR2-Calculation"/>
      <sheetName val="소방"/>
      <sheetName val="전사계"/>
      <sheetName val="8월현금흐름표"/>
      <sheetName val="인강기성"/>
      <sheetName val="2.설계제원"/>
      <sheetName val="시중노임DATA"/>
      <sheetName val="을 2"/>
      <sheetName val="정렬"/>
      <sheetName val="설변물량"/>
      <sheetName val="Inputs"/>
      <sheetName val="Timing&amp;Esc"/>
      <sheetName val="단가디비"/>
      <sheetName val="archi(본사)"/>
      <sheetName val="Studio"/>
      <sheetName val="1F"/>
      <sheetName val="Sheet1 (2)"/>
      <sheetName val="FRP내역서"/>
      <sheetName val="첨부파일"/>
      <sheetName val="기초공"/>
      <sheetName val="기둥(원형)"/>
      <sheetName val="Site_Expenses"/>
      <sheetName val="Customer_Databas"/>
      <sheetName val="공사비_내역_(가)"/>
      <sheetName val="3BL공동구_수량"/>
      <sheetName val="聒CD-STRAND_PILE_압입및굴착"/>
      <sheetName val="BSD__2_"/>
      <sheetName val="설산1_나"/>
      <sheetName val="IMP_(REACTOR)"/>
      <sheetName val="단면치수"/>
      <sheetName val="1.우편집중내역서"/>
      <sheetName val="90.03실행 "/>
      <sheetName val="BLOCK(1)"/>
      <sheetName val="XL4Poppy"/>
      <sheetName val="건축내역서"/>
      <sheetName val="FCU (2)"/>
      <sheetName val="조도계산서 (도서)"/>
      <sheetName val="CAL"/>
      <sheetName val="단가사정"/>
      <sheetName val="APT내역"/>
      <sheetName val="재무가정"/>
      <sheetName val="woo(mac)"/>
      <sheetName val="데이타"/>
      <sheetName val="산출근거목록"/>
      <sheetName val="일대목록"/>
      <sheetName val="1-1"/>
      <sheetName val="hvac(제어동)"/>
      <sheetName val="부대"/>
      <sheetName val="인건-측정"/>
      <sheetName val="여과지동"/>
      <sheetName val="기초자료"/>
      <sheetName val="시행예산"/>
      <sheetName val="I-O(번호별)"/>
      <sheetName val="NSMA-status"/>
      <sheetName val="일위대가표"/>
      <sheetName val="인부신상자료"/>
      <sheetName val="DS"/>
      <sheetName val="물량표S"/>
      <sheetName val="보차도경계석"/>
      <sheetName val="경비"/>
      <sheetName val="설계산출기초"/>
      <sheetName val="을부담운반비"/>
      <sheetName val="운반비산출"/>
      <sheetName val="설계산출표지"/>
      <sheetName val="도급예산내역서총괄표"/>
      <sheetName val="조명시설"/>
      <sheetName val="일위대가-1"/>
      <sheetName val="물가자료"/>
      <sheetName val="적용기준"/>
      <sheetName val="산출금액내역"/>
      <sheetName val="산출내역서집계표"/>
      <sheetName val="전압강하계산"/>
      <sheetName val="Mp-team 1"/>
      <sheetName val="전체실적"/>
      <sheetName val="Constant"/>
      <sheetName val=""/>
      <sheetName val="Requirement(Work Crew)"/>
      <sheetName val="계약서"/>
      <sheetName val="통합"/>
      <sheetName val="FANDBS"/>
      <sheetName val="GRDATA"/>
      <sheetName val="SHAFTDBSE"/>
      <sheetName val="연결임시"/>
      <sheetName val="검색"/>
      <sheetName val="실행품의서"/>
      <sheetName val="11.자재단가"/>
      <sheetName val="코드"/>
      <sheetName val="시설물기초"/>
      <sheetName val="1.설계조건"/>
      <sheetName val="RCD-STRAND_PILE_압입및굴착4"/>
      <sheetName val="______★개인별현황표(김종우기사)4"/>
      <sheetName val="______주소록4"/>
      <sheetName val="______★골조분석표(서태용대리)4"/>
      <sheetName val="______골조부재별비율4"/>
      <sheetName val="____(주)경원건축공사비분석표4"/>
      <sheetName val="____(주)경원건축공사비분석표(공)4"/>
      <sheetName val="RCD-STRAND_PILE_압입및굴착1"/>
      <sheetName val="______★개인별현황표(김종우기사)1"/>
      <sheetName val="______주소록1"/>
      <sheetName val="______★골조분석표(서태용대리)1"/>
      <sheetName val="______골조부재별비율1"/>
      <sheetName val="____(주)경원건축공사비분석표1"/>
      <sheetName val="TABLE2-2 OSBL(total)"/>
      <sheetName val="fitting"/>
      <sheetName val="MAIN"/>
      <sheetName val="PRO_A"/>
      <sheetName val="PRO"/>
      <sheetName val="Annex 3_Price Table_Piping Shop"/>
      <sheetName val="March"/>
      <sheetName val="간접총괄"/>
      <sheetName val="Cash2"/>
      <sheetName val="Z"/>
      <sheetName val="PRICE-COMP"/>
      <sheetName val="____(주)경원건축공사비분석표(공)1"/>
      <sheetName val="장비당단가_(1)1"/>
      <sheetName val="BSD_(2)1"/>
      <sheetName val="TABLE2-1_ISBL-(SlTE_PREP)"/>
      <sheetName val="TABLE2_1_ISBL_(Soil_Invest)"/>
      <sheetName val="TABLE2-2_OSBL(GENERAL-CIVIL)"/>
      <sheetName val="7_5_2_BOQ_Summary_"/>
      <sheetName val="GREEN"/>
      <sheetName val="Hawiyah"/>
      <sheetName val="Hawiyah_하청"/>
      <sheetName val="HDEC_1027"/>
      <sheetName val="Juaymah"/>
      <sheetName val="SIPC"/>
      <sheetName val="RCD-STRAND_PILE_압입및굴착2"/>
      <sheetName val="______★개인별현황표(김종우기사)2"/>
      <sheetName val="______주소록2"/>
      <sheetName val="______★골조분석표(서태용대리)2"/>
      <sheetName val="______골조부재별비율2"/>
      <sheetName val="____(주)경원건축공사비분석표2"/>
      <sheetName val="____(주)경원건축공사비분석표(공)2"/>
      <sheetName val="장비당단가_(1)2"/>
      <sheetName val="BSD_(2)2"/>
      <sheetName val="P_M_별1"/>
      <sheetName val="설산1_나1"/>
      <sheetName val="TABLE2-1_ISBL-(SlTE_PREP)1"/>
      <sheetName val="TABLE2_1_ISBL_(Soil_Invest)1"/>
      <sheetName val="TABLE2-2_OSBL(GENERAL-CIVIL)1"/>
      <sheetName val="공사비_내역_(가)1"/>
      <sheetName val="3련_BOX1"/>
      <sheetName val="Site_Expenses1"/>
      <sheetName val="7_5_2_BOQ_Summary_1"/>
      <sheetName val="2F_회의실견적(5_14_일대)1"/>
      <sheetName val="BSD__2_1"/>
      <sheetName val="3BL공동구_수량1"/>
      <sheetName val="PRICE COMP"/>
      <sheetName val="Recording,Phone,Headset,PC"/>
      <sheetName val="RCD-STRAND_PILE_압입및굴착3"/>
      <sheetName val="______★개인별현황표(김종우기사)3"/>
      <sheetName val="______주소록3"/>
      <sheetName val="______★골조분석표(서태용대리)3"/>
      <sheetName val="______골조부재별비율3"/>
      <sheetName val="____(주)경원건축공사비분석표3"/>
      <sheetName val="____(주)경원건축공사비분석표(공)3"/>
      <sheetName val="b_gunmul"/>
      <sheetName val="TEST1"/>
      <sheetName val="6호기"/>
      <sheetName val="원가계산"/>
      <sheetName val="재료집계"/>
      <sheetName val="자판실행"/>
      <sheetName val="퇴비산출근거"/>
      <sheetName val="송라터널총괄"/>
      <sheetName val="유림콘도"/>
      <sheetName val="일위_파일"/>
      <sheetName val="교통표지"/>
      <sheetName val="공사비예산서(토목분)"/>
      <sheetName val="강관 및 부속"/>
      <sheetName val="발신정보"/>
      <sheetName val="2002상반기노임기준"/>
      <sheetName val="월선수금"/>
      <sheetName val="효율계획(당월)"/>
      <sheetName val="난방열교"/>
      <sheetName val="급탕열교"/>
      <sheetName val="공사비내역서"/>
      <sheetName val="MATRLDATA"/>
      <sheetName val="4 LINE"/>
      <sheetName val="7 th"/>
      <sheetName val="CP-E2 (품셈표)"/>
      <sheetName val="프랜트면허"/>
      <sheetName val="식재인부"/>
      <sheetName val="기자재비"/>
      <sheetName val="재집"/>
      <sheetName val="직재"/>
      <sheetName val="견적내용입력"/>
      <sheetName val="견적서세부내용"/>
      <sheetName val="건축(충일분)"/>
      <sheetName val="danga"/>
      <sheetName val="인건비 "/>
      <sheetName val="일반수량집계"/>
      <sheetName val="Earthwork"/>
      <sheetName val="CAB_OD"/>
      <sheetName val="사용자정의"/>
      <sheetName val="제품표준규격"/>
      <sheetName val="일반맨홀수량집계(A-7 LINE)"/>
      <sheetName val="종합"/>
      <sheetName val="참조"/>
      <sheetName val="6동"/>
      <sheetName val="설 계"/>
      <sheetName val="예산내역서"/>
      <sheetName val="설계예산서"/>
      <sheetName val="총계"/>
      <sheetName val="영업소실적"/>
      <sheetName val="3희질산"/>
      <sheetName val="수량집계"/>
      <sheetName val="예방접종계획"/>
      <sheetName val="근태계획서"/>
      <sheetName val="음료실행"/>
      <sheetName val="배명(단가)"/>
      <sheetName val="분석"/>
      <sheetName val="ACCESS FLOOR"/>
      <sheetName val="토목주소"/>
      <sheetName val="갑지1"/>
      <sheetName val="견적을지"/>
      <sheetName val="EJ"/>
      <sheetName val="예산명세서"/>
      <sheetName val="원하대비"/>
      <sheetName val="원도급"/>
      <sheetName val="자료입력"/>
      <sheetName val="하도급"/>
      <sheetName val="Front"/>
      <sheetName val="현장관리비"/>
      <sheetName val="토공"/>
      <sheetName val="Administrative Prices"/>
      <sheetName val="HDECGTY"/>
      <sheetName val="NAI"/>
      <sheetName val="견적금액(2003.12.22)"/>
      <sheetName val="전기"/>
      <sheetName val="ETC"/>
      <sheetName val="수량산출서 갑지"/>
      <sheetName val="DIAPHRAGM"/>
      <sheetName val="일반설비내역서"/>
      <sheetName val="흄관기초"/>
      <sheetName val="공주-교대(A1)"/>
      <sheetName val="수량산출기초(케블등)"/>
      <sheetName val="기성집계"/>
      <sheetName val="단가산출서"/>
      <sheetName val="단가산출서 (2)"/>
      <sheetName val="주관사업"/>
      <sheetName val="요약배부"/>
      <sheetName val="HWSET"/>
      <sheetName val="비대칭계수"/>
      <sheetName val="전동기 SPEC"/>
      <sheetName val="S0"/>
      <sheetName val="특수선일위대가"/>
      <sheetName val="업무"/>
      <sheetName val="세부내역서(전기)"/>
      <sheetName val="IMPEADENCE MAP 취수장"/>
      <sheetName val="도급내역서"/>
      <sheetName val="목동세대 산출근거"/>
      <sheetName val="덕전리"/>
      <sheetName val="OCT.FDN"/>
      <sheetName val="현금"/>
      <sheetName val="동해title"/>
      <sheetName val="기계"/>
      <sheetName val="단면 (2)"/>
      <sheetName val="케이블및전선관규격표"/>
      <sheetName val="표지"/>
      <sheetName val="Assumptions"/>
      <sheetName val="CJE"/>
      <sheetName val="가설공사비"/>
      <sheetName val="도로구조공사비"/>
      <sheetName val="도로토공공사비"/>
      <sheetName val="여수토공사비"/>
      <sheetName val="Sheet3"/>
      <sheetName val="경산"/>
      <sheetName val="재1"/>
      <sheetName val="견적서"/>
      <sheetName val="순환펌프"/>
      <sheetName val="저수조"/>
      <sheetName val="급,배기팬"/>
      <sheetName val="급탕순환펌프"/>
      <sheetName val="과천MAIN"/>
      <sheetName val="단"/>
      <sheetName val="자재단가"/>
      <sheetName val="수입"/>
      <sheetName val="채권(하반기)"/>
      <sheetName val="SUMMARY(S)"/>
      <sheetName val="CAUDIT"/>
      <sheetName val="Data Vol"/>
      <sheetName val="type-F"/>
      <sheetName val="설직재-1"/>
      <sheetName val="토공(우물통,기타) "/>
      <sheetName val="cost"/>
      <sheetName val="2-3.V.D일위"/>
      <sheetName val="실행철강하도"/>
      <sheetName val="Baby일위대가"/>
      <sheetName val="견적대비표"/>
      <sheetName val="견적대비 견적서"/>
      <sheetName val="견"/>
      <sheetName val="하중계산"/>
      <sheetName val="4안전율"/>
      <sheetName val="기안"/>
      <sheetName val="1995년 섹터별 매출"/>
      <sheetName val="간접"/>
      <sheetName val="주방"/>
      <sheetName val="단가조사"/>
      <sheetName val="1.물가시세표"/>
      <sheetName val="12.부대공"/>
      <sheetName val="5.노임단가"/>
      <sheetName val="4.중기단가산출"/>
      <sheetName val="6.단가목록"/>
      <sheetName val="8.배수공"/>
      <sheetName val="인사자료총집계"/>
      <sheetName val="금융비용"/>
      <sheetName val="건축집계표"/>
      <sheetName val="NPV"/>
      <sheetName val="1. Design Change"/>
      <sheetName val="깨기"/>
      <sheetName val="협조전"/>
      <sheetName val="품목"/>
      <sheetName val="현장코드"/>
      <sheetName val="해외코드"/>
      <sheetName val="경비산출"/>
      <sheetName val="2.대외공문"/>
      <sheetName val="공사비집계"/>
      <sheetName val="잡비"/>
      <sheetName val="잡비계산서(총체2)"/>
      <sheetName val="Material"/>
      <sheetName val="물량"/>
      <sheetName val="SUM (INQNO."/>
      <sheetName val="Sheet15"/>
      <sheetName val="Areas"/>
      <sheetName val="(2)"/>
      <sheetName val="97 사업추정(WEKI)"/>
      <sheetName val="단위별 일위대가표"/>
      <sheetName val="몰탈재료산출"/>
      <sheetName val="AP1"/>
      <sheetName val="D040416"/>
      <sheetName val="건축2"/>
      <sheetName val="시험연구비상각"/>
      <sheetName val="A"/>
      <sheetName val="BOQ건축"/>
      <sheetName val="최초침전지집계표"/>
      <sheetName val="단가산출집계"/>
      <sheetName val="전선 및 전선관"/>
      <sheetName val="주공 갑지"/>
      <sheetName val="진주방향"/>
      <sheetName val="JUCK"/>
      <sheetName val="DS-최종"/>
      <sheetName val="SS"/>
      <sheetName val="기준자료"/>
      <sheetName val="금액내역서"/>
      <sheetName val="남양시작동자105노65기1_3화1_2"/>
      <sheetName val="_견적서"/>
      <sheetName val="list_price"/>
      <sheetName val="Indirect_Cost"/>
      <sheetName val="내역서_"/>
      <sheetName val="_"/>
      <sheetName val="HRSG_SMALL07220"/>
      <sheetName val="Sheet6"/>
      <sheetName val="지수"/>
      <sheetName val="골재산출"/>
      <sheetName val="시화점실행"/>
      <sheetName val="경제성분석"/>
      <sheetName val="RCD-STRAND_PILE_압입및굴착5"/>
      <sheetName val="______★개인별현황표(김종우기사)5"/>
      <sheetName val="______주소록5"/>
      <sheetName val="______★골조분석표(서태용대리)5"/>
      <sheetName val="______골조부재별비율5"/>
      <sheetName val="____(주)경원건축공사비분석표5"/>
      <sheetName val="____(주)경원건축공사비분석표(공)5"/>
      <sheetName val="聒CD-STRAND_PILE_압입및굴착1"/>
      <sheetName val="Customer_Databas1"/>
      <sheetName val="wblff(before_omi_pc&amp;stump)"/>
      <sheetName val="IMP_(REACTOR)1"/>
      <sheetName val="노원열병합__건축공사기성내역서"/>
      <sheetName val="별표_"/>
      <sheetName val="I_설계조건"/>
      <sheetName val="1_설계기준"/>
      <sheetName val="플랜트_설치"/>
      <sheetName val="단가표_"/>
      <sheetName val="06-BATCH_"/>
      <sheetName val="Harga_material_"/>
      <sheetName val="kimre_scrubber"/>
      <sheetName val="sum1_(2)"/>
      <sheetName val="AH-1_"/>
      <sheetName val="BOM-Form_A_1_III"/>
      <sheetName val="General_Data"/>
      <sheetName val="RING_WALL"/>
      <sheetName val="full_(2)"/>
      <sheetName val="06_BATCH_"/>
      <sheetName val="DRAIN_DRUM_PIT_D-301"/>
      <sheetName val="plan&amp;section_of_foundation"/>
      <sheetName val="TABLE2-1_ISBL(GENEAL-CIVIL)"/>
      <sheetName val="TABLE2-2_OSBL-(SITE_PREP)"/>
      <sheetName val="ISBL_(검증)"/>
      <sheetName val="교통시설_표지판"/>
      <sheetName val="SL_dau_tien"/>
      <sheetName val="Sheet1_(2)"/>
      <sheetName val="효성CB_1P기초"/>
      <sheetName val="C_&amp;_G_RHS"/>
      <sheetName val="INDIRECT_MOBILIZATION_PLAN"/>
      <sheetName val="MANPOWER_MOBILIZATION"/>
      <sheetName val="LABOR_MOBILIZATION_PLAN"/>
      <sheetName val="STAFF_MOBILIZATION_PLAN"/>
      <sheetName val="LIST_OF_OFFICE_EQUIPMENT"/>
      <sheetName val="PERSONNEL_SETUP"/>
      <sheetName val="KOREAN_STAFF_SALARY_-_SITE"/>
      <sheetName val="TEMPORARY_FACILITIES"/>
      <sheetName val="WATER_SUPPLY"/>
      <sheetName val="준검_내역서"/>
      <sheetName val="UOP_508_PG_5-12"/>
      <sheetName val="Requirement(Work_Crew)"/>
      <sheetName val="Mp-team_1"/>
      <sheetName val="수량산출서_갑지"/>
      <sheetName val="1_설계조건"/>
      <sheetName val="90_03실행_"/>
      <sheetName val="2_내역서"/>
      <sheetName val="설_계"/>
      <sheetName val="강관_및_부속"/>
      <sheetName val="1_우편집중내역서"/>
      <sheetName val="4_LINE"/>
      <sheetName val="7_th"/>
      <sheetName val="CP-E2_(품셈표)"/>
      <sheetName val="ACCESS_FLOOR"/>
      <sheetName val="Change_rate"/>
      <sheetName val="11_자재단가"/>
      <sheetName val="을_2"/>
      <sheetName val="FCU_(2)"/>
      <sheetName val="조도계산서_(도서)"/>
      <sheetName val="단가산출서_(2)"/>
      <sheetName val="목동세대_산출근거"/>
      <sheetName val="작업내역"/>
      <sheetName val="단가비교"/>
      <sheetName val="GCS 5F-19"/>
      <sheetName val="Grid &amp; A.M"/>
      <sheetName val="전 기"/>
      <sheetName val="수문보고"/>
      <sheetName val="CRUDE RE-bar"/>
      <sheetName val="현황"/>
      <sheetName val="조명투자및환수계획"/>
      <sheetName val="제조중간결과"/>
      <sheetName val="Lookup tables"/>
      <sheetName val="변경총괄지(1)"/>
      <sheetName val="LAND_HOYU"/>
      <sheetName val="LAND_YUKO"/>
      <sheetName val="가동비율"/>
      <sheetName val="H-PILE수량집계"/>
      <sheetName val="내부부하"/>
      <sheetName val="half slab-1"/>
      <sheetName val="가정단면"/>
      <sheetName val="예산M2"/>
      <sheetName val="cctv"/>
      <sheetName val="외자배분"/>
      <sheetName val="외자내역"/>
      <sheetName val="일위"/>
      <sheetName val="기타 정보통신공사"/>
      <sheetName val="방식총괄"/>
      <sheetName val="가설공사내역"/>
      <sheetName val="401"/>
      <sheetName val="CT "/>
      <sheetName val="현장관리비내역서"/>
      <sheetName val="품의서"/>
      <sheetName val="PAC"/>
      <sheetName val="PROJECT BRIEF(EX.NEW)"/>
      <sheetName val="ASTM C585"/>
      <sheetName val="INDIRECT COST-PART l"/>
      <sheetName val="EXPENSE"/>
      <sheetName val="원본"/>
      <sheetName val="재료비"/>
      <sheetName val="IMP_MAIN_"/>
      <sheetName val="IMP _REACTOR_"/>
      <sheetName val="ITEM CODE"/>
      <sheetName val="대가호표"/>
      <sheetName val="산재 안전"/>
      <sheetName val="노무비 경비"/>
      <sheetName val="Rates"/>
      <sheetName val="Rate_Tables"/>
      <sheetName val="Staff_Assignment"/>
      <sheetName val="견적"/>
      <sheetName val="NSMA-s㠨⑎蠀ᔁ"/>
      <sheetName val="NSMA-s㠨⪘ကᔁ"/>
      <sheetName val="cross beam"/>
      <sheetName val="사급자재"/>
      <sheetName val="2000.05"/>
      <sheetName val="C.배수관공"/>
      <sheetName val="설계내역서"/>
      <sheetName val="1.취수장"/>
      <sheetName val="입력DATA"/>
      <sheetName val="바닥판"/>
      <sheetName val="주빔의 설계"/>
      <sheetName val="한일양산"/>
      <sheetName val="보할최종(준공)only"/>
      <sheetName val="NSMA-sက_x0000_諱ԃ"/>
      <sheetName val="토공 갑지"/>
      <sheetName val="장비명"/>
      <sheetName val="입찰보고"/>
      <sheetName val="1.우편집중내_x0004__x0004_"/>
      <sheetName val="ЀԀȀȀЀᨀ"/>
      <sheetName val="in"/>
      <sheetName val="C-노임단가"/>
      <sheetName val="별표총괄"/>
      <sheetName val="______골조부_x0012__x0015__x0008__x0006__x0004_"/>
      <sheetName val="Ѐ_x0000__x0000__x0000_"/>
      <sheetName val="4)유동표"/>
      <sheetName val="Tender Summary"/>
      <sheetName val="b_balju (2)"/>
      <sheetName val="제경집계"/>
      <sheetName val="청제공기계일위대가"/>
      <sheetName val="NOMUBI"/>
      <sheetName val="sw1"/>
      <sheetName val="1.관로"/>
      <sheetName val="OCM"/>
      <sheetName val="REINF."/>
      <sheetName val="LOADS"/>
      <sheetName val="SKETCH"/>
      <sheetName val="CHECK1"/>
      <sheetName val="보도씀鈖ԯ_x0000_"/>
      <sheetName val="LIST OF OFFICE EQUI"/>
      <sheetName val="견적내역서"/>
      <sheetName val="일반부표"/>
      <sheetName val="FAND厰&amp;"/>
      <sheetName val="FAND咀,"/>
      <sheetName val="경비_원본"/>
      <sheetName val="노임"/>
      <sheetName val="FAND唨6"/>
      <sheetName val="FAND_x0010__x0000_"/>
      <sheetName val="납부서"/>
      <sheetName val="97생산제품"/>
      <sheetName val="단계별내역 (2)"/>
      <sheetName val="노무비"/>
      <sheetName val="지표"/>
      <sheetName val="소요자재"/>
      <sheetName val="정산내역서"/>
      <sheetName val="동원인원산출"/>
      <sheetName val="기계설비"/>
      <sheetName val="Code_INTools"/>
      <sheetName val="Default_Magics"/>
      <sheetName val="Code_Magics"/>
      <sheetName val="1단계"/>
      <sheetName val="적용률"/>
      <sheetName val="원가입력"/>
      <sheetName val="품셈"/>
      <sheetName val="바.한일양산"/>
      <sheetName val="CPM챠트 "/>
      <sheetName val="건축외주"/>
      <sheetName val="자  재"/>
      <sheetName val="조작대(1연)"/>
      <sheetName val="부대공집계표"/>
      <sheetName val="기본DATA"/>
      <sheetName val="총중목"/>
      <sheetName val="입찰품의"/>
      <sheetName val="적격점수(대DK)"/>
      <sheetName val="출력표"/>
      <sheetName val="PAINT"/>
      <sheetName val="SUMMARY"/>
      <sheetName val="NSMA-s〯â_x0000__x0000__x0000_"/>
      <sheetName val="약품공급2"/>
      <sheetName val="철거수량(전송)"/>
      <sheetName val="최초침-_x0000_ü_x0000_"/>
      <sheetName val="소업1교"/>
      <sheetName val="관로공표지"/>
      <sheetName val="97"/>
      <sheetName val="0226"/>
      <sheetName val="총괄내역서"/>
      <sheetName val="내역서(음성금왕)"/>
      <sheetName val="관급자재"/>
      <sheetName val="기본사항"/>
      <sheetName val="환산"/>
      <sheetName val="DESIGN(77C-102A)-2"/>
      <sheetName val="일위(PN)"/>
      <sheetName val="1）WELDING POINT"/>
      <sheetName val="대비표"/>
      <sheetName val="토공집계표"/>
      <sheetName val="EKOG10건축"/>
      <sheetName val="안정검토"/>
      <sheetName val="단면설계"/>
      <sheetName val="MATRLDATﺬ"/>
      <sheetName val="Area"/>
      <sheetName val="도급자재"/>
      <sheetName val="대운산출"/>
      <sheetName val="을-ATYPE"/>
      <sheetName val="간접비(1)"/>
      <sheetName val="본부장"/>
      <sheetName val="우배수"/>
      <sheetName val="직공비"/>
      <sheetName val="공사비명세서"/>
      <sheetName val="계산내역(설비)"/>
      <sheetName val="방음벽기초-수량"/>
      <sheetName val="부안일위"/>
      <sheetName val="20131008102524_1_002_BM내역서(설비)2"/>
      <sheetName val="Util&amp; Real"/>
      <sheetName val="내2"/>
      <sheetName val="재료-CODE"/>
      <sheetName val="내역_FILE"/>
      <sheetName val="9.2단가산출서"/>
      <sheetName val="손료"/>
      <sheetName val="기초1"/>
      <sheetName val="Sheet1(X)"/>
      <sheetName val="목차"/>
      <sheetName val="한전고리-을"/>
      <sheetName val="Change r嗠O嘬"/>
      <sheetName val="OD"/>
      <sheetName val="NSMA-sက"/>
      <sheetName val="______골ମ⿥_x0005__x0000__x0000__x0000_"/>
      <sheetName val="CPA33-34"/>
      <sheetName val="in1-3"/>
      <sheetName val="in2-2"/>
      <sheetName val="F5"/>
      <sheetName val="월별지출내역"/>
      <sheetName val="공사비지출기안"/>
      <sheetName val="산출내역서"/>
      <sheetName val="연동내역"/>
      <sheetName val="SILICATE"/>
      <sheetName val="9GNG운반"/>
      <sheetName val="FLANGE"/>
      <sheetName val="VALVE"/>
      <sheetName val="공사수행방안"/>
      <sheetName val="입찰BMTL"/>
      <sheetName val="형상"/>
      <sheetName val="중기일위대가"/>
      <sheetName val="요율"/>
      <sheetName val="KSC칸막이 일위대가"/>
      <sheetName val="표지 (2)"/>
      <sheetName val="기초대가"/>
      <sheetName val="건축"/>
      <sheetName val="발안전력구"/>
      <sheetName val="8.PILE  (돌출)"/>
      <sheetName val="총내역"/>
      <sheetName val="INDIRECT MOBILIZATION Pԟ_x0000_缀"/>
      <sheetName val="______골_x0000__x0000_旨_x0000__x0000__x0000_ㅫ"/>
      <sheetName val="변경내역서"/>
      <sheetName val="RCD-ST_x0015__x0000__x000a__x0000__x0014__x0000__x000e__x0000__x0012__x0000__x0015__x0000__x0004__x0000__x0004__x0000_"/>
      <sheetName val="_x0000__x0004__x0000__x0004_"/>
      <sheetName val="대로근거"/>
      <sheetName val="명세서"/>
      <sheetName val="부하계산서"/>
      <sheetName val="국공유지및사유지"/>
      <sheetName val="토공A"/>
      <sheetName val="Data_Vol"/>
      <sheetName val="전동기_SPEC"/>
      <sheetName val="토공(우물통,기타)_"/>
      <sheetName val="2-3_V_D일위"/>
      <sheetName val="화산肼᭭"/>
      <sheetName val="일용직내역"/>
      <sheetName val="부대공"/>
      <sheetName val="내역을"/>
      <sheetName val="을부︀ꏕԯ_x0000_"/>
      <sheetName val="일반수량집계표"/>
      <sheetName val="1608월"/>
      <sheetName val="공통비"/>
      <sheetName val="WO"/>
      <sheetName val="기별"/>
      <sheetName val="data2"/>
      <sheetName val="수리결과"/>
      <sheetName val="에너지동"/>
      <sheetName val="잡철물"/>
      <sheetName val="Form MF - 2"/>
      <sheetName val="Titel"/>
      <sheetName val="FWBS 9000"/>
      <sheetName val="최초침-"/>
      <sheetName val="______골ମ⿥_x0005_"/>
      <sheetName val="제품"/>
      <sheetName val="DPRKMHDT"/>
      <sheetName val="공사비"/>
      <sheetName val="간접비 총괄표"/>
      <sheetName val="품"/>
      <sheetName val="B"/>
      <sheetName val="01월TTL"/>
      <sheetName val="3.공통공사대비"/>
      <sheetName val="퍼스트"/>
      <sheetName val="SELTDATA"/>
      <sheetName val="98지급계획"/>
      <sheetName val="90.03혁⍧_x0000_"/>
      <sheetName val="Mp-t_x0000__x0000_쩈_x0000__x0000_"/>
      <sheetName val="Mp-t_x0000__x0000_䉨_x0000__x0000_"/>
      <sheetName val="결과조달"/>
      <sheetName val="가격정보"/>
      <sheetName val="Chang"/>
      <sheetName val="연결塠ɪ"/>
      <sheetName val="해평견적"/>
      <sheetName val="설비내역서"/>
      <sheetName val="전기내역서"/>
      <sheetName val="대림경상68억"/>
      <sheetName val="GI-LIST"/>
      <sheetName val="기기리스트"/>
      <sheetName val="1차 내역서"/>
      <sheetName val="거래명세표"/>
      <sheetName val="HORI. VESSEL"/>
      <sheetName val="조명율표"/>
      <sheetName val="참조자료"/>
      <sheetName val="견적갑지"/>
      <sheetName val="을지 "/>
      <sheetName val="A__My_Documents_1999__________2"/>
      <sheetName val="미드수량"/>
      <sheetName val="집계"/>
      <sheetName val="RCD-STRAND_PILE_압입및굴浐ௗ"/>
      <sheetName val="기초0_x0000_"/>
      <sheetName val="DONGIA"/>
      <sheetName val="단위단가"/>
      <sheetName val="FA_x0006__x0000__x0000_棍"/>
      <sheetName val="공사비집계표(서해안고속도로)"/>
      <sheetName val="3.하중산정4.지지력"/>
      <sheetName val="70%"/>
      <sheetName val="parameter"/>
      <sheetName val="WK1B"/>
      <sheetName val="预算"/>
      <sheetName val="CLAUSE"/>
      <sheetName val="Macro2"/>
      <sheetName val="포장공"/>
      <sheetName val="단가목록"/>
      <sheetName val="화설내"/>
      <sheetName val="Macro(전선)"/>
      <sheetName val="화전내"/>
      <sheetName val="청천내"/>
      <sheetName val="기초༂६"/>
      <sheetName val="기초뀘ᬗ"/>
      <sheetName val="기초ဃᭂ"/>
      <sheetName val="기초퀃ᭂ"/>
      <sheetName val="기초됂ふ"/>
      <sheetName val="수량산출(액티비티)"/>
      <sheetName val="____(주)경원건축공ﶻĉ_x0000__x0000_楨◿"/>
      <sheetName val="____(주)경원건축공䔭疖꜀ȭﶻĉ"/>
      <sheetName val="____(주)경원건축공ﶻ_x001e__x0000__x0000_읰∉"/>
      <sheetName val="____(주)경원건축공ﶻ_x001e__x0000__x0000_ﳐ⡷"/>
      <sheetName val="____(주)경원건축공ﶻ_x001e__x0000__x0000_ⱐỹ"/>
      <sheetName val="____(주)경원건축공ﶻ_x001e__x0000__x0000_萨ⓤ"/>
      <sheetName val="인건비_"/>
      <sheetName val="일반맨홀수량집계(A-7_LINE)"/>
      <sheetName val="단면_(2)"/>
      <sheetName val="견적대비_견적서"/>
      <sheetName val="FAND"/>
      <sheetName val="OCT_FDN"/>
      <sheetName val="CRUDE_RE-bar"/>
      <sheetName val="Grid_&amp;_A_M"/>
      <sheetName val="산재_안전"/>
      <sheetName val="노무비_경비"/>
      <sheetName val="전_기"/>
      <sheetName val="gvl"/>
      <sheetName val="롤러"/>
      <sheetName val="8."/>
      <sheetName val="5."/>
      <sheetName val="12."/>
      <sheetName val="14."/>
      <sheetName val="9."/>
      <sheetName val="13"/>
      <sheetName val="7."/>
      <sheetName val="road &amp;paving"/>
      <sheetName val="FLA"/>
      <sheetName val="산정표"/>
      <sheetName val="90.03실행_x0000_"/>
      <sheetName val="전등"/>
      <sheetName val="ITEMS"/>
      <sheetName val="입력"/>
      <sheetName val="RCD-STRAND_PILE_압입및굴착6"/>
      <sheetName val="______★개인별현황표(김종우기사)6"/>
      <sheetName val="______주소록6"/>
      <sheetName val="______★골조분석표(서태용대리)6"/>
      <sheetName val="______골조부재별비율6"/>
      <sheetName val="____(주)경원건축공사비분석표6"/>
      <sheetName val="____(주)경원건축공사비분석표(공)6"/>
      <sheetName val="P_M_별2"/>
      <sheetName val="BSD_(2)3"/>
      <sheetName val="장비당단가_(1)3"/>
      <sheetName val="3련_BOX2"/>
      <sheetName val="Site_Expenses2"/>
      <sheetName val="3BL공동구_수량2"/>
      <sheetName val="BSD__2_2"/>
      <sheetName val="2F_회의실견적(5_14_일대)2"/>
      <sheetName val="설산1_나2"/>
      <sheetName val="聒CD-STRAND_PILE_압입및굴착2"/>
      <sheetName val="공사비_내역_(가)2"/>
      <sheetName val="IMP_(REACTOR)2"/>
      <sheetName val="_견적서1"/>
      <sheetName val="list_price1"/>
      <sheetName val="Customer_Databas2"/>
      <sheetName val="단가표_1"/>
      <sheetName val="내역서_1"/>
      <sheetName val="별표_1"/>
      <sheetName val="Indirect_Cost1"/>
      <sheetName val="wblff(before_omi_pc&amp;stump)1"/>
      <sheetName val="_1"/>
      <sheetName val="노원열병합__건축공사기성내역서1"/>
      <sheetName val="HRSG_SMALL072201"/>
      <sheetName val="Harga_material_1"/>
      <sheetName val="TABLE2-1_ISBL-(SlTE_PREP)2"/>
      <sheetName val="TABLE2_1_ISBL_(Soil_Invest)2"/>
      <sheetName val="TABLE2-2_OSBL(GENERAL-CIVIL)2"/>
      <sheetName val="남양시작동자105노65기1_3화1_21"/>
      <sheetName val="sum1_(2)1"/>
      <sheetName val="DRAIN_DRUM_PIT_D-3011"/>
      <sheetName val="7_5_2_BOQ_Summary_2"/>
      <sheetName val="06-BATCH_1"/>
      <sheetName val="kimre_scrubber1"/>
      <sheetName val="I_설계조건1"/>
      <sheetName val="1_설계기준1"/>
      <sheetName val="플랜트_설치1"/>
      <sheetName val="full_(2)1"/>
      <sheetName val="교통시설_표지판1"/>
      <sheetName val="General_Data1"/>
      <sheetName val="RING_WALL1"/>
      <sheetName val="AH-1_1"/>
      <sheetName val="06_BATCH_1"/>
      <sheetName val="SL_dau_tien1"/>
      <sheetName val="plan&amp;section_of_foundation1"/>
      <sheetName val="Sheet1_(2)1"/>
      <sheetName val="ISBL_(검증)1"/>
      <sheetName val="TABLE2-2_OSBL-(SITE_PREP)1"/>
      <sheetName val="효성CB_1P기초1"/>
      <sheetName val="C_&amp;_G_RHS1"/>
      <sheetName val="INDIRECT_MOBILIZATION_PLAN1"/>
      <sheetName val="MANPOWER_MOBILIZATION1"/>
      <sheetName val="LABOR_MOBILIZATION_PLAN1"/>
      <sheetName val="STAFF_MOBILIZATION_PLAN1"/>
      <sheetName val="LIST_OF_OFFICE_EQUIPMENT1"/>
      <sheetName val="PERSONNEL_SETUP1"/>
      <sheetName val="KOREAN_STAFF_SALARY_-_SITE1"/>
      <sheetName val="TEMPORARY_FACILITIES1"/>
      <sheetName val="WATER_SUPPLY1"/>
      <sheetName val="TABLE2-1_ISBL(GENEAL-CIVIL)1"/>
      <sheetName val="준검_내역서1"/>
      <sheetName val="UOP_508_PG_5-121"/>
      <sheetName val="BOM-Form_A_1_III1"/>
      <sheetName val="을_21"/>
      <sheetName val="Mp-team_11"/>
      <sheetName val="Requirement(Work_Crew)1"/>
      <sheetName val="90_03실행_1"/>
      <sheetName val="Change_rate1"/>
      <sheetName val="1_우편집중내역서1"/>
      <sheetName val="1_설계조건1"/>
      <sheetName val="2_내역서1"/>
      <sheetName val="FCU_(2)1"/>
      <sheetName val="조도계산서_(도서)1"/>
      <sheetName val="CP-E2_(품셈표)1"/>
      <sheetName val="ACCESS_FLOOR1"/>
      <sheetName val="4_LINE1"/>
      <sheetName val="7_th1"/>
      <sheetName val="11_자재단가1"/>
      <sheetName val="강관_및_부속1"/>
      <sheetName val="목동세대_산출근거1"/>
      <sheetName val="Data_Vol1"/>
      <sheetName val="전동기_SPEC1"/>
      <sheetName val="토공(우물통,기타)_1"/>
      <sheetName val="2-3_V_D일위1"/>
      <sheetName val="수량산출서_갑지1"/>
      <sheetName val="단가산출서_(2)1"/>
      <sheetName val="WAGE_RATE_BACK-UP_DATA"/>
      <sheetName val="COVERSHEET_PAGE"/>
      <sheetName val="TABLE2-1_ISBL(HDEC단가)"/>
      <sheetName val="TABLE2-2_OSBL(HDEC단가)"/>
      <sheetName val="DESIGN_CRITERIA"/>
      <sheetName val="1__Design_Change"/>
      <sheetName val="설_계1"/>
      <sheetName val="2_대외공문"/>
      <sheetName val="1995년_섹터별_매출"/>
      <sheetName val="GCS_5F-19"/>
      <sheetName val="1_물가시세표"/>
      <sheetName val="12_부대공"/>
      <sheetName val="5_노임단가"/>
      <sheetName val="4_중기단가산출"/>
      <sheetName val="6_단가목록"/>
      <sheetName val="8_배수공"/>
      <sheetName val="전선_및_전선관"/>
      <sheetName val="Lookup_tables"/>
      <sheetName val="half_slab-1"/>
      <sheetName val="기타_정보통신공사"/>
      <sheetName val="CT_"/>
      <sheetName val="TABLE2-2_OSBL(total)"/>
      <sheetName val="system_&amp;_LOOK_UP_FUNC"/>
      <sheetName val="Annex_3_Price_Table_Piping_Shop"/>
      <sheetName val="Sheet3_(2)"/>
      <sheetName val="2_설계제원"/>
      <sheetName val="PRICE_COMP"/>
      <sheetName val="PROJECT_BRIEF(EX_NEW)"/>
      <sheetName val="주공_갑지"/>
      <sheetName val="2000_05"/>
      <sheetName val="SUM_(INQNO_"/>
      <sheetName val="1_관로"/>
      <sheetName val="IMPEADENCE_MAP_취수장"/>
      <sheetName val="자__재"/>
      <sheetName val="b_balju_(2)"/>
      <sheetName val="______골조부"/>
      <sheetName val="단위별_일위대가표"/>
      <sheetName val="97_사업추정(WEKI)"/>
      <sheetName val="ASTM_C585"/>
      <sheetName val="INDIRECT_COST-PART_l"/>
      <sheetName val="Administrative_Prices"/>
      <sheetName val="견적금액(2003_12_22)"/>
      <sheetName val="단계별내역_(2)"/>
      <sheetName val="LIST_OF_OFFICE_EQUI"/>
      <sheetName val="REINF_"/>
      <sheetName val="cross_beam"/>
      <sheetName val="토공_갑지"/>
      <sheetName val="Tender_Summary"/>
      <sheetName val="1）WELDING_POINT"/>
      <sheetName val="주빔의_설계"/>
      <sheetName val="1_우편집중내"/>
      <sheetName val="9_2단가산출서"/>
      <sheetName val="바_한일양산"/>
      <sheetName val="CPM챠트_"/>
      <sheetName val="1_취수장"/>
      <sheetName val="______골ମ⿥"/>
      <sheetName val="8_PILE__(돌출)"/>
      <sheetName val="Util&amp;_Real"/>
      <sheetName val="RCD-ST_x000a_"/>
      <sheetName val="C_배수관공"/>
      <sheetName val="1,2공구원가계산서"/>
      <sheetName val="1공구산출내역서"/>
      <sheetName val="단  가  대  비  표"/>
      <sheetName val="일  위  대  가  목  록"/>
      <sheetName val="수안보-MBR1"/>
      <sheetName val="단가조사׃"/>
      <sheetName val="2002상반기㥾ᆄ㰁딐"/>
      <sheetName val="RCD-ST_x0015__x0000_ _x0000__x0014__x0000__x000e__x0000__x0012__x0000__x0015__x0000__x0004__x0000__x0004__x0000_"/>
      <sheetName val="자동제어"/>
      <sheetName val="EQT-ESTN"/>
      <sheetName val="빙장비사양"/>
      <sheetName val="공종별집계표"/>
      <sheetName val="공종별내역서"/>
      <sheetName val="신규단가"/>
      <sheetName val="공사설정"/>
      <sheetName val="공량산출표"/>
      <sheetName val="공량산출"/>
      <sheetName val="리스트"/>
      <sheetName val="3BL공동구_수량4"/>
      <sheetName val="P_M_별4"/>
      <sheetName val="Site_Expenses4"/>
      <sheetName val="聒CD-STRAND_PILE_압입및굴착4"/>
      <sheetName val="BSD_(2)5"/>
      <sheetName val="장비당단가_(1)5"/>
      <sheetName val="2F_회의실견적(5_14_일대)4"/>
      <sheetName val="3련_BOX4"/>
      <sheetName val="BSD__2_4"/>
      <sheetName val="설산1_나4"/>
      <sheetName val="IMP_(REACTOR)4"/>
      <sheetName val="공사비_내역_(가)4"/>
      <sheetName val="_4"/>
      <sheetName val="_견적서4"/>
      <sheetName val="list_price4"/>
      <sheetName val="내역서_4"/>
      <sheetName val="Customer_Databas4"/>
      <sheetName val="남양시작동자105노65기1_3화1_24"/>
      <sheetName val="TABLE2-1_ISBL-(SlTE_PREP)4"/>
      <sheetName val="TABLE2_1_ISBL_(Soil_Invest)4"/>
      <sheetName val="TABLE2-2_OSBL(GENERAL-CIVIL)4"/>
      <sheetName val="7_5_2_BOQ_Summary_4"/>
      <sheetName val="_2"/>
      <sheetName val="_견적서2"/>
      <sheetName val="list_price2"/>
      <sheetName val="내역서_2"/>
      <sheetName val="남양시작동자105노65기1_3화1_22"/>
      <sheetName val="3BL공동구_수량3"/>
      <sheetName val="P_M_별3"/>
      <sheetName val="Site_Expenses3"/>
      <sheetName val="聒CD-STRAND_PILE_압입및굴착3"/>
      <sheetName val="BSD_(2)4"/>
      <sheetName val="장비당단가_(1)4"/>
      <sheetName val="2F_회의실견적(5_14_일대)3"/>
      <sheetName val="3련_BOX3"/>
      <sheetName val="BSD__2_3"/>
      <sheetName val="설산1_나3"/>
      <sheetName val="IMP_(REACTOR)3"/>
      <sheetName val="공사비_내역_(가)3"/>
      <sheetName val="_3"/>
      <sheetName val="_견적서3"/>
      <sheetName val="list_price3"/>
      <sheetName val="내역서_3"/>
      <sheetName val="Customer_Databas3"/>
      <sheetName val="남양시작동자105노65기1_3화1_23"/>
      <sheetName val="TABLE2-1_ISBL-(SlTE_PREP)3"/>
      <sheetName val="TABLE2_1_ISBL_(Soil_Invest)3"/>
      <sheetName val="TABLE2-2_OSBL(GENERAL-CIVIL)3"/>
      <sheetName val="7_5_2_BOQ_Summary_3"/>
      <sheetName val="운반비정산"/>
      <sheetName val="정산"/>
      <sheetName val="통_x0000_"/>
      <sheetName val="통䓐"/>
      <sheetName val="자재표"/>
      <sheetName val="1공구계약서"/>
      <sheetName val="패널"/>
      <sheetName val="EQ-R1"/>
      <sheetName val="날개벽(좌,우=60도-4개)"/>
      <sheetName val="TIE-IN"/>
      <sheetName val="공수견적"/>
      <sheetName val="일위대가(가설)"/>
      <sheetName val="유림골조"/>
      <sheetName val="조달청적격심사"/>
      <sheetName val="특별교실"/>
      <sheetName val="3.현장배치"/>
      <sheetName val="부재치수입력"/>
      <sheetName val="평당"/>
      <sheetName val="공사비_내역_(ﻆᇕ"/>
      <sheetName val="가로등기초"/>
      <sheetName val="감리을"/>
      <sheetName val="대공종"/>
      <sheetName val="유치원내역"/>
      <sheetName val="입찰"/>
      <sheetName val="현경"/>
      <sheetName val="설비"/>
      <sheetName val="RCD-STRAND_PILE_압입및굴착7"/>
      <sheetName val="______★개인별현황표(김종우기사)7"/>
      <sheetName val="______주소록7"/>
      <sheetName val="______★골조분석표(서태용대리)7"/>
      <sheetName val="______골조부재별비율7"/>
      <sheetName val="____(주)경원건축공사비분석표7"/>
      <sheetName val="____(주)경원건축공사비분석표(공)7"/>
      <sheetName val="wblff(before_omi_pc&amp;stump)2"/>
      <sheetName val="노원열병합__건축공사기성내역서2"/>
      <sheetName val="I_설계조건2"/>
      <sheetName val="1_설계기준2"/>
      <sheetName val="Indirect_Cost2"/>
      <sheetName val="별표_2"/>
      <sheetName val="DRAIN_DRUM_PIT_D-3012"/>
      <sheetName val="단가표_2"/>
      <sheetName val="HRSG_SMALL072202"/>
      <sheetName val="Harga_material_2"/>
      <sheetName val="sum1_(2)2"/>
      <sheetName val="플랜트_설치2"/>
      <sheetName val="kimre_scrubber2"/>
      <sheetName val="06_BATCH_2"/>
      <sheetName val="06-BATCH_2"/>
      <sheetName val="full_(2)2"/>
      <sheetName val="AH-1_2"/>
      <sheetName val="RING_WALL2"/>
      <sheetName val="General_Data2"/>
      <sheetName val="plan&amp;section_of_foundation2"/>
      <sheetName val="SL_dau_tien2"/>
      <sheetName val="ISBL_(검증)2"/>
      <sheetName val="TABLE2-2_OSBL-(SITE_PREP)2"/>
      <sheetName val="INDIRECT_MOBILIZATION_PLAN2"/>
      <sheetName val="MANPOWER_MOBILIZATION2"/>
      <sheetName val="LABOR_MOBILIZATION_PLAN2"/>
      <sheetName val="STAFF_MOBILIZATION_PLAN2"/>
      <sheetName val="LIST_OF_OFFICE_EQUIPMENT2"/>
      <sheetName val="PERSONNEL_SETUP2"/>
      <sheetName val="KOREAN_STAFF_SALARY_-_SITE2"/>
      <sheetName val="TEMPORARY_FACILITIES2"/>
      <sheetName val="WATER_SUPPLY2"/>
      <sheetName val="TABLE2-1_ISBL(GENEAL-CIVIL)2"/>
      <sheetName val="준검_내역서2"/>
      <sheetName val="UOP_508_PG_5-122"/>
      <sheetName val="효성CB_1P기초2"/>
      <sheetName val="교통시설_표지판2"/>
      <sheetName val="C_&amp;_G_RHS2"/>
      <sheetName val="4_LINE2"/>
      <sheetName val="7_th2"/>
      <sheetName val="CP-E2_(품셈표)2"/>
      <sheetName val="ACCESS_FLOOR2"/>
      <sheetName val="Sheet1_(2)2"/>
      <sheetName val="2-3_V_D일위2"/>
      <sheetName val="을_22"/>
      <sheetName val="Requirement(Work_Crew)2"/>
      <sheetName val="1_우편집중내역서2"/>
      <sheetName val="BOM-Form_A_1_III2"/>
      <sheetName val="90_03실행_2"/>
      <sheetName val="Mp-team_12"/>
      <sheetName val="FCU_(2)2"/>
      <sheetName val="조도계산서_(도서)2"/>
      <sheetName val="Change_rate2"/>
      <sheetName val="11_자재단가2"/>
      <sheetName val="2_내역서2"/>
      <sheetName val="1_설계조건2"/>
      <sheetName val="단가산출서_(2)2"/>
      <sheetName val="강관_및_부속2"/>
      <sheetName val="목동세대_산출근거2"/>
      <sheetName val="수량산출서_갑지2"/>
      <sheetName val="Data_Vol2"/>
      <sheetName val="전동기_SPEC2"/>
      <sheetName val="토공(우물통,기타)_2"/>
      <sheetName val="인건비_1"/>
      <sheetName val="일반맨홀수량집계(A-7_LINE)1"/>
      <sheetName val="WAGE_RATE_BACK-UP_DATA1"/>
      <sheetName val="COVERSHEET_PAGE1"/>
      <sheetName val="TABLE2-1_ISBL(HDEC단가)1"/>
      <sheetName val="TABLE2-2_OSBL(HDEC단가)1"/>
      <sheetName val="DESIGN_CRITERIA1"/>
      <sheetName val="설_계2"/>
      <sheetName val="단면_(2)1"/>
      <sheetName val="1__Design_Change1"/>
      <sheetName val="2_대외공문1"/>
      <sheetName val="견적대비_견적서1"/>
      <sheetName val="OCT_FDN1"/>
      <sheetName val="1995년_섹터별_매출1"/>
      <sheetName val="GCS_5F-191"/>
      <sheetName val="Grid_&amp;_A_M1"/>
      <sheetName val="전_기1"/>
      <sheetName val="1_물가시세표1"/>
      <sheetName val="12_부대공1"/>
      <sheetName val="5_노임단가1"/>
      <sheetName val="4_중기단가산출1"/>
      <sheetName val="6_단가목록1"/>
      <sheetName val="8_배수공1"/>
      <sheetName val="CRUDE_RE-bar1"/>
      <sheetName val="전선_및_전선관1"/>
      <sheetName val="Lookup_tables1"/>
      <sheetName val="half_slab-11"/>
      <sheetName val="기타_정보통신공사1"/>
      <sheetName val="CT_1"/>
      <sheetName val="TABLE2-2_OSBL(total)1"/>
      <sheetName val="system_&amp;_LOOK_UP_FUNC1"/>
      <sheetName val="Annex_3_Price_Table_Piping_Sho1"/>
      <sheetName val="Sheet3_(2)1"/>
      <sheetName val="2_설계제원1"/>
      <sheetName val="PRICE_COMP1"/>
      <sheetName val="PROJECT_BRIEF(EX_NEW)1"/>
      <sheetName val="주공_갑지1"/>
      <sheetName val="IMPEADENCE_MAP_취수장1"/>
      <sheetName val="산재_안전1"/>
      <sheetName val="노무비_경비1"/>
      <sheetName val="자__재1"/>
      <sheetName val="b_balju_(2)1"/>
      <sheetName val="단위별_일위대가표1"/>
      <sheetName val="1_관로1"/>
      <sheetName val="2000_051"/>
      <sheetName val="SUM_(INQNO_1"/>
      <sheetName val="단계별내역_(2)1"/>
      <sheetName val="REINF_1"/>
      <sheetName val="cross_beam1"/>
      <sheetName val="토공_갑지1"/>
      <sheetName val="Tender_Summary1"/>
      <sheetName val="97_사업추정(WEKI)1"/>
      <sheetName val="ASTM_C5851"/>
      <sheetName val="INDIRECT_COST-PART_l1"/>
      <sheetName val="Administrative_Prices1"/>
      <sheetName val="견적금액(2003_12_22)1"/>
      <sheetName val="LIST_OF_OFFICE_EQUI1"/>
      <sheetName val="주빔의_설계1"/>
      <sheetName val="9_2단가산출서1"/>
      <sheetName val="1）WELDING_POINT1"/>
      <sheetName val="1_취수장1"/>
      <sheetName val="바_한일양산1"/>
      <sheetName val="CPM챠트_1"/>
      <sheetName val="8_PILE__(돌출)1"/>
      <sheetName val="Util&amp;_Real1"/>
      <sheetName val="C_배수관공1"/>
      <sheetName val="RCD-STRAND_PILE_압입및굴착9"/>
      <sheetName val="______★개인별현황표(김종우기사)9"/>
      <sheetName val="______주소록9"/>
      <sheetName val="______★골조분석표(서태용대리)9"/>
      <sheetName val="______골조부재별비율9"/>
      <sheetName val="____(주)경원건축공사비분석표9"/>
      <sheetName val="____(주)경원건축공사비분석표(공)9"/>
      <sheetName val="P_M_별5"/>
      <sheetName val="BSD_(2)6"/>
      <sheetName val="장비당단가_(1)6"/>
      <sheetName val="3련_BOX5"/>
      <sheetName val="Site_Expenses5"/>
      <sheetName val="聒CD-STRAND_PILE_압입및굴착5"/>
      <sheetName val="2F_회의실견적(5_14_일대)5"/>
      <sheetName val="IMP_(REACTOR)5"/>
      <sheetName val="BSD__2_5"/>
      <sheetName val="3BL공동구_수량5"/>
      <sheetName val="설산1_나5"/>
      <sheetName val="공사비_내역_(가)5"/>
      <sheetName val="Indirect_Cost4"/>
      <sheetName val="Customer_Databas5"/>
      <sheetName val="06-BATCH_4"/>
      <sheetName val="I_설계조건4"/>
      <sheetName val="1_설계기준4"/>
      <sheetName val="별표_4"/>
      <sheetName val="wblff(before_omi_pc&amp;stump)4"/>
      <sheetName val="TABLE2-1_ISBL-(SlTE_PREP)5"/>
      <sheetName val="TABLE2_1_ISBL_(Soil_Invest)5"/>
      <sheetName val="TABLE2-2_OSBL(GENERAL-CIVIL)5"/>
      <sheetName val="7_5_2_BOQ_Summary_5"/>
      <sheetName val="RING_WALL4"/>
      <sheetName val="HRSG_SMALL072204"/>
      <sheetName val="노원열병합__건축공사기성내역서4"/>
      <sheetName val="단가표_4"/>
      <sheetName val="Harga_material_4"/>
      <sheetName val="full_(2)4"/>
      <sheetName val="sum1_(2)4"/>
      <sheetName val="kimre_scrubber4"/>
      <sheetName val="플랜트_설치4"/>
      <sheetName val="AH-1_4"/>
      <sheetName val="General_Data4"/>
      <sheetName val="Sheet1_(2)4"/>
      <sheetName val="DRAIN_DRUM_PIT_D-3014"/>
      <sheetName val="90_03실행_4"/>
      <sheetName val="2_내역서4"/>
      <sheetName val="교통시설_표지판4"/>
      <sheetName val="06_BATCH_4"/>
      <sheetName val="SL_dau_tien4"/>
      <sheetName val="plan&amp;section_of_foundation4"/>
      <sheetName val="효성CB_1P기초4"/>
      <sheetName val="C_&amp;_G_RHS4"/>
      <sheetName val="ISBL_(검증)4"/>
      <sheetName val="TABLE2-2_OSBL-(SITE_PREP)4"/>
      <sheetName val="INDIRECT_MOBILIZATION_PLAN4"/>
      <sheetName val="MANPOWER_MOBILIZATION4"/>
      <sheetName val="LABOR_MOBILIZATION_PLAN4"/>
      <sheetName val="STAFF_MOBILIZATION_PLAN4"/>
      <sheetName val="LIST_OF_OFFICE_EQUIPMENT4"/>
      <sheetName val="PERSONNEL_SETUP4"/>
      <sheetName val="KOREAN_STAFF_SALARY_-_SITE4"/>
      <sheetName val="TEMPORARY_FACILITIES4"/>
      <sheetName val="WATER_SUPPLY4"/>
      <sheetName val="TABLE2-1_ISBL(GENEAL-CIVIL)4"/>
      <sheetName val="준검_내역서4"/>
      <sheetName val="UOP_508_PG_5-124"/>
      <sheetName val="Mp-team_14"/>
      <sheetName val="1_우편집중내역서4"/>
      <sheetName val="BOM-Form_A_1_III4"/>
      <sheetName val="Change_rate4"/>
      <sheetName val="을_24"/>
      <sheetName val="4_LINE4"/>
      <sheetName val="7_th4"/>
      <sheetName val="CP-E2_(품셈표)4"/>
      <sheetName val="인건비_3"/>
      <sheetName val="일반맨홀수량집계(A-7_LINE)3"/>
      <sheetName val="Requirement(Work_Crew)4"/>
      <sheetName val="11_자재단가4"/>
      <sheetName val="1_설계조건4"/>
      <sheetName val="전동기_SPEC4"/>
      <sheetName val="Grid_&amp;_A_M3"/>
      <sheetName val="FCU_(2)4"/>
      <sheetName val="조도계산서_(도서)4"/>
      <sheetName val="단가산출서_(2)4"/>
      <sheetName val="ACCESS_FLOOR4"/>
      <sheetName val="단면_(2)3"/>
      <sheetName val="설_계4"/>
      <sheetName val="OCT_FDN3"/>
      <sheetName val="강관_및_부속4"/>
      <sheetName val="목동세대_산출근거4"/>
      <sheetName val="Data_Vol4"/>
      <sheetName val="토공(우물통,기타)_4"/>
      <sheetName val="2-3_V_D일위4"/>
      <sheetName val="수량산출서_갑지4"/>
      <sheetName val="견적대비_견적서3"/>
      <sheetName val="WAGE_RATE_BACK-UP_DATA3"/>
      <sheetName val="COVERSHEET_PAGE3"/>
      <sheetName val="TABLE2-1_ISBL(HDEC단가)3"/>
      <sheetName val="TABLE2-2_OSBL(HDEC단가)3"/>
      <sheetName val="DESIGN_CRITERIA3"/>
      <sheetName val="1995년_섹터별_매출3"/>
      <sheetName val="1_물가시세표3"/>
      <sheetName val="12_부대공3"/>
      <sheetName val="5_노임단가3"/>
      <sheetName val="4_중기단가산출3"/>
      <sheetName val="6_단가목록3"/>
      <sheetName val="8_배수공3"/>
      <sheetName val="1__Design_Change3"/>
      <sheetName val="CRUDE_RE-bar3"/>
      <sheetName val="전선_및_전선관3"/>
      <sheetName val="주공_갑지3"/>
      <sheetName val="Lookup_tables3"/>
      <sheetName val="2_대외공문3"/>
      <sheetName val="CT_3"/>
      <sheetName val="half_slab-13"/>
      <sheetName val="LIST_OF_OFFICE_EQUI3"/>
      <sheetName val="전_기3"/>
      <sheetName val="IMPEADENCE_MAP_취수장3"/>
      <sheetName val="산재_안전3"/>
      <sheetName val="노무비_경비3"/>
      <sheetName val="GCS_5F-193"/>
      <sheetName val="기타_정보통신공사3"/>
      <sheetName val="TABLE2-2_OSBL(total)3"/>
      <sheetName val="system_&amp;_LOOK_UP_FUNC3"/>
      <sheetName val="Annex_3_Price_Table_Piping_Sho3"/>
      <sheetName val="Sheet3_(2)3"/>
      <sheetName val="2_설계제원3"/>
      <sheetName val="PRICE_COMP3"/>
      <sheetName val="PROJECT_BRIEF(EX_NEW)3"/>
      <sheetName val="자__재3"/>
      <sheetName val="b_balju_(2)3"/>
      <sheetName val="2000_053"/>
      <sheetName val="단계별내역_(2)3"/>
      <sheetName val="단위별_일위대가표3"/>
      <sheetName val="1_관로3"/>
      <sheetName val="SUM_(INQNO_3"/>
      <sheetName val="8_PILE__(돌출)3"/>
      <sheetName val="Tender_Summary3"/>
      <sheetName val="주빔의_설계3"/>
      <sheetName val="토공_갑지3"/>
      <sheetName val="바_한일양산3"/>
      <sheetName val="CPM챠트_3"/>
      <sheetName val="REINF_3"/>
      <sheetName val="cross_beam3"/>
      <sheetName val="C_배수관공3"/>
      <sheetName val="Administrative_Prices3"/>
      <sheetName val="1_취수장3"/>
      <sheetName val="1）WELDING_POINT3"/>
      <sheetName val="97_사업추정(WEKI)3"/>
      <sheetName val="ASTM_C5853"/>
      <sheetName val="INDIRECT_COST-PART_l3"/>
      <sheetName val="견적금액(2003_12_22)3"/>
      <sheetName val="9_2단가산출서3"/>
      <sheetName val="RCD-STRAND_PILE_압입및굴착8"/>
      <sheetName val="______★개인별현황표(김종우기사)8"/>
      <sheetName val="______주소록8"/>
      <sheetName val="______★골조분석표(서태용대리)8"/>
      <sheetName val="______골조부재별비율8"/>
      <sheetName val="____(주)경원건축공사비분석표8"/>
      <sheetName val="____(주)경원건축공사비분석표(공)8"/>
      <sheetName val="Indirect_Cost3"/>
      <sheetName val="06-BATCH_3"/>
      <sheetName val="I_설계조건3"/>
      <sheetName val="1_설계기준3"/>
      <sheetName val="별표_3"/>
      <sheetName val="wblff(before_omi_pc&amp;stump)3"/>
      <sheetName val="RING_WALL3"/>
      <sheetName val="HRSG_SMALL072203"/>
      <sheetName val="노원열병합__건축공사기성내역서3"/>
      <sheetName val="단가표_3"/>
      <sheetName val="Harga_material_3"/>
      <sheetName val="full_(2)3"/>
      <sheetName val="sum1_(2)3"/>
      <sheetName val="kimre_scrubber3"/>
      <sheetName val="플랜트_설치3"/>
      <sheetName val="AH-1_3"/>
      <sheetName val="General_Data3"/>
      <sheetName val="Sheet1_(2)3"/>
      <sheetName val="DRAIN_DRUM_PIT_D-3013"/>
      <sheetName val="90_03실행_3"/>
      <sheetName val="2_내역서3"/>
      <sheetName val="교통시설_표지판3"/>
      <sheetName val="06_BATCH_3"/>
      <sheetName val="SL_dau_tien3"/>
      <sheetName val="plan&amp;section_of_foundation3"/>
      <sheetName val="효성CB_1P기초3"/>
      <sheetName val="C_&amp;_G_RHS3"/>
      <sheetName val="ISBL_(검증)3"/>
      <sheetName val="TABLE2-2_OSBL-(SITE_PREP)3"/>
      <sheetName val="INDIRECT_MOBILIZATION_PLAN3"/>
      <sheetName val="MANPOWER_MOBILIZATION3"/>
      <sheetName val="LABOR_MOBILIZATION_PLAN3"/>
      <sheetName val="STAFF_MOBILIZATION_PLAN3"/>
      <sheetName val="LIST_OF_OFFICE_EQUIPMENT3"/>
      <sheetName val="PERSONNEL_SETUP3"/>
      <sheetName val="KOREAN_STAFF_SALARY_-_SITE3"/>
      <sheetName val="TEMPORARY_FACILITIES3"/>
      <sheetName val="WATER_SUPPLY3"/>
      <sheetName val="TABLE2-1_ISBL(GENEAL-CIVIL)3"/>
      <sheetName val="준검_내역서3"/>
      <sheetName val="UOP_508_PG_5-123"/>
      <sheetName val="Mp-team_13"/>
      <sheetName val="1_우편집중내역서3"/>
      <sheetName val="BOM-Form_A_1_III3"/>
      <sheetName val="Change_rate3"/>
      <sheetName val="을_23"/>
      <sheetName val="4_LINE3"/>
      <sheetName val="7_th3"/>
      <sheetName val="CP-E2_(품셈표)3"/>
      <sheetName val="인건비_2"/>
      <sheetName val="일반맨홀수량집계(A-7_LINE)2"/>
      <sheetName val="Requirement(Work_Crew)3"/>
      <sheetName val="11_자재단가3"/>
      <sheetName val="1_설계조건3"/>
      <sheetName val="전동기_SPEC3"/>
      <sheetName val="Grid_&amp;_A_M2"/>
      <sheetName val="FCU_(2)3"/>
      <sheetName val="조도계산서_(도서)3"/>
      <sheetName val="단가산출서_(2)3"/>
      <sheetName val="ACCESS_FLOOR3"/>
      <sheetName val="단면_(2)2"/>
      <sheetName val="설_계3"/>
      <sheetName val="OCT_FDN2"/>
      <sheetName val="강관_및_부속3"/>
      <sheetName val="목동세대_산출근거3"/>
      <sheetName val="Data_Vol3"/>
      <sheetName val="토공(우물통,기타)_3"/>
      <sheetName val="2-3_V_D일위3"/>
      <sheetName val="수량산출서_갑지3"/>
      <sheetName val="견적대비_견적서2"/>
      <sheetName val="WAGE_RATE_BACK-UP_DATA2"/>
      <sheetName val="COVERSHEET_PAGE2"/>
      <sheetName val="TABLE2-1_ISBL(HDEC단가)2"/>
      <sheetName val="TABLE2-2_OSBL(HDEC단가)2"/>
      <sheetName val="DESIGN_CRITERIA2"/>
      <sheetName val="1995년_섹터별_매출2"/>
      <sheetName val="1_물가시세표2"/>
      <sheetName val="12_부대공2"/>
      <sheetName val="5_노임단가2"/>
      <sheetName val="4_중기단가산출2"/>
      <sheetName val="6_단가목록2"/>
      <sheetName val="8_배수공2"/>
      <sheetName val="1__Design_Change2"/>
      <sheetName val="CRUDE_RE-bar2"/>
      <sheetName val="전선_및_전선관2"/>
      <sheetName val="주공_갑지2"/>
      <sheetName val="Lookup_tables2"/>
      <sheetName val="2_대외공문2"/>
      <sheetName val="CT_2"/>
      <sheetName val="half_slab-12"/>
      <sheetName val="LIST_OF_OFFICE_EQUI2"/>
      <sheetName val="전_기2"/>
      <sheetName val="IMPEADENCE_MAP_취수장2"/>
      <sheetName val="산재_안전2"/>
      <sheetName val="노무비_경비2"/>
      <sheetName val="GCS_5F-192"/>
      <sheetName val="기타_정보통신공사2"/>
      <sheetName val="TABLE2-2_OSBL(total)2"/>
      <sheetName val="system_&amp;_LOOK_UP_FUNC2"/>
      <sheetName val="Annex_3_Price_Table_Piping_Sho2"/>
      <sheetName val="Sheet3_(2)2"/>
      <sheetName val="2_설계제원2"/>
      <sheetName val="PRICE_COMP2"/>
      <sheetName val="PROJECT_BRIEF(EX_NEW)2"/>
      <sheetName val="자__재2"/>
      <sheetName val="b_balju_(2)2"/>
      <sheetName val="2000_052"/>
      <sheetName val="단계별내역_(2)2"/>
      <sheetName val="단위별_일위대가표2"/>
      <sheetName val="1_관로2"/>
      <sheetName val="SUM_(INQNO_2"/>
      <sheetName val="8_PILE__(돌출)2"/>
      <sheetName val="Tender_Summary2"/>
      <sheetName val="주빔의_설계2"/>
      <sheetName val="토공_갑지2"/>
      <sheetName val="바_한일양산2"/>
      <sheetName val="CPM챠트_2"/>
      <sheetName val="REINF_2"/>
      <sheetName val="cross_beam2"/>
      <sheetName val="C_배수관공2"/>
      <sheetName val="Administrative_Prices2"/>
      <sheetName val="1_취수장2"/>
      <sheetName val="1）WELDING_POINT2"/>
      <sheetName val="97_사업추정(WEKI)2"/>
      <sheetName val="ASTM_C5852"/>
      <sheetName val="INDIRECT_COST-PART_l2"/>
      <sheetName val="견적금액(2003_12_22)2"/>
      <sheetName val="9_2단가산출서2"/>
      <sheetName val="집1"/>
      <sheetName val="설계"/>
      <sheetName val="노무산출서"/>
      <sheetName val="FA_x0000__x0000__x0000__x0001_"/>
      <sheetName val="______골조부     "/>
      <sheetName val="FAND _x0000_"/>
      <sheetName val="1.우편집중내  "/>
      <sheetName val="급က_x0000_"/>
      <sheetName val="급ⴀ"/>
      <sheetName val="급_x0000_"/>
      <sheetName val="급䐀"/>
      <sheetName val="급É_x0000_Ԁ"/>
      <sheetName val="RCD-STRAND_PILE_압입및굴착10"/>
      <sheetName val="______★개인별현황표(김종우기사)10"/>
      <sheetName val="______주소록10"/>
      <sheetName val="______★골조분석표(서태용대리)10"/>
      <sheetName val="______골조부재별비율10"/>
      <sheetName val="____(주)경원건축공사비분석표10"/>
      <sheetName val="____(주)경원건축공사비분석표(공)10"/>
      <sheetName val="P_M_별6"/>
      <sheetName val="BSD_(2)7"/>
      <sheetName val="장비당단가_(1)7"/>
      <sheetName val="3련_BOX6"/>
      <sheetName val="Site_Expenses6"/>
      <sheetName val="2F_회의실견적(5_14_일대)6"/>
      <sheetName val="BSD__2_6"/>
      <sheetName val="설산1_나6"/>
      <sheetName val="3BL공동구_수량6"/>
      <sheetName val="聒CD-STRAND_PILE_압입및굴착6"/>
      <sheetName val="Customer_Databas6"/>
      <sheetName val="공사비_내역_(가)6"/>
      <sheetName val="내역서_5"/>
      <sheetName val="list_price5"/>
      <sheetName val="IMP_(REACTOR)6"/>
      <sheetName val="kimre_scrubber5"/>
      <sheetName val="남양시작동자105노65기1_3화1_25"/>
      <sheetName val="_견적서5"/>
      <sheetName val="HRSG_SMALL072205"/>
      <sheetName val="wblff(before_omi_pc&amp;stump)5"/>
      <sheetName val="_5"/>
      <sheetName val="Indirect_Cost5"/>
      <sheetName val="CP-E2_(품셈표)5"/>
      <sheetName val="노원열병합__건축공사기성내역서5"/>
      <sheetName val="ACCESS_FLOOR5"/>
      <sheetName val="4_LINE5"/>
      <sheetName val="7_th5"/>
      <sheetName val="06-BATCH_5"/>
      <sheetName val="Harga_material_5"/>
      <sheetName val="TABLE2-1_ISBL-(SlTE_PREP)6"/>
      <sheetName val="TABLE2_1_ISBL_(Soil_Invest)6"/>
      <sheetName val="TABLE2-2_OSBL(GENERAL-CIVIL)6"/>
      <sheetName val="7_5_2_BOQ_Summary_6"/>
      <sheetName val="단가표_5"/>
      <sheetName val="full_(2)5"/>
      <sheetName val="별표_5"/>
      <sheetName val="2-3_V_D일위5"/>
      <sheetName val="플랜트_설치5"/>
      <sheetName val="I_설계조건5"/>
      <sheetName val="1_설계기준5"/>
      <sheetName val="RING_WALL5"/>
      <sheetName val="sum1_(2)5"/>
      <sheetName val="06_BATCH_5"/>
      <sheetName val="AH-1_5"/>
      <sheetName val="DRAIN_DRUM_PIT_D-3015"/>
      <sheetName val="General_Data5"/>
      <sheetName val="SL_dau_tien5"/>
      <sheetName val="plan&amp;section_of_foundation5"/>
      <sheetName val="ISBL_(검증)5"/>
      <sheetName val="TABLE2-2_OSBL-(SITE_PREP)5"/>
      <sheetName val="INDIRECT_MOBILIZATION_PLAN5"/>
      <sheetName val="MANPOWER_MOBILIZATION5"/>
      <sheetName val="LABOR_MOBILIZATION_PLAN5"/>
      <sheetName val="STAFF_MOBILIZATION_PLAN5"/>
      <sheetName val="LIST_OF_OFFICE_EQUIPMENT5"/>
      <sheetName val="PERSONNEL_SETUP5"/>
      <sheetName val="KOREAN_STAFF_SALARY_-_SITE5"/>
      <sheetName val="TEMPORARY_FACILITIES5"/>
      <sheetName val="WATER_SUPPLY5"/>
      <sheetName val="TABLE2-1_ISBL(GENEAL-CIVIL)5"/>
      <sheetName val="준검_내역서5"/>
      <sheetName val="UOP_508_PG_5-125"/>
      <sheetName val="효성CB_1P기초5"/>
      <sheetName val="교통시설_표지판5"/>
      <sheetName val="Mp-team_15"/>
      <sheetName val="Sheet1_(2)5"/>
      <sheetName val="90_03실행_5"/>
      <sheetName val="C_&amp;_G_RHS5"/>
      <sheetName val="을_25"/>
      <sheetName val="1_우편집중내역서5"/>
      <sheetName val="FCU_(2)5"/>
      <sheetName val="조도계산서_(도서)5"/>
      <sheetName val="BOM-Form_A_1_III5"/>
      <sheetName val="Change_rate5"/>
      <sheetName val="Requirement(Work_Crew)5"/>
      <sheetName val="단가산출서_(2)5"/>
      <sheetName val="11_자재단가5"/>
      <sheetName val="2_내역서5"/>
      <sheetName val="1_설계조건5"/>
      <sheetName val="강관_및_부속5"/>
      <sheetName val="목동세대_산출근거5"/>
      <sheetName val="수량산출서_갑지5"/>
      <sheetName val="Data_Vol5"/>
      <sheetName val="전동기_SPEC5"/>
      <sheetName val="토공(우물통,기타)_5"/>
      <sheetName val="인건비_4"/>
      <sheetName val="일반맨홀수량집계(A-7_LINE)4"/>
      <sheetName val="설_계5"/>
      <sheetName val="단면_(2)4"/>
      <sheetName val="1__Design_Change4"/>
      <sheetName val="WAGE_RATE_BACK-UP_DATA4"/>
      <sheetName val="COVERSHEET_PAGE4"/>
      <sheetName val="TABLE2-1_ISBL(HDEC단가)4"/>
      <sheetName val="TABLE2-2_OSBL(HDEC단가)4"/>
      <sheetName val="DESIGN_CRITERIA4"/>
      <sheetName val="2_대외공문4"/>
      <sheetName val="견적대비_견적서4"/>
      <sheetName val="OCT_FDN4"/>
      <sheetName val="1995년_섹터별_매출4"/>
      <sheetName val="GCS_5F-194"/>
      <sheetName val="1_물가시세표4"/>
      <sheetName val="12_부대공4"/>
      <sheetName val="5_노임단가4"/>
      <sheetName val="4_중기단가산출4"/>
      <sheetName val="6_단가목록4"/>
      <sheetName val="8_배수공4"/>
      <sheetName val="CRUDE_RE-bar4"/>
      <sheetName val="전선_및_전선관4"/>
      <sheetName val="Lookup_tables4"/>
      <sheetName val="Grid_&amp;_A_M4"/>
      <sheetName val="half_slab-14"/>
      <sheetName val="기타_정보통신공사4"/>
      <sheetName val="CT_4"/>
      <sheetName val="TABLE2-2_OSBL(total)4"/>
      <sheetName val="system_&amp;_LOOK_UP_FUNC4"/>
      <sheetName val="Annex_3_Price_Table_Piping_Sho4"/>
      <sheetName val="Sheet3_(2)4"/>
      <sheetName val="2_설계제원4"/>
      <sheetName val="PRICE_COMP4"/>
      <sheetName val="전_기4"/>
      <sheetName val="PROJECT_BRIEF(EX_NEW)4"/>
      <sheetName val="주공_갑지4"/>
      <sheetName val="IMPEADENCE_MAP_취수장4"/>
      <sheetName val="산재_안전4"/>
      <sheetName val="노무비_경비4"/>
      <sheetName val="자__재4"/>
      <sheetName val="b_balju_(2)4"/>
      <sheetName val="단위별_일위대가표4"/>
      <sheetName val="1_관로4"/>
      <sheetName val="2000_054"/>
      <sheetName val="SUM_(INQNO_4"/>
      <sheetName val="97_사업추정(WEKI)4"/>
      <sheetName val="ASTM_C5854"/>
      <sheetName val="INDIRECT_COST-PART_l4"/>
      <sheetName val="Administrative_Prices4"/>
      <sheetName val="견적금액(2003_12_22)4"/>
      <sheetName val="단계별내역_(2)4"/>
      <sheetName val="LIST_OF_OFFICE_EQUI4"/>
      <sheetName val="REINF_4"/>
      <sheetName val="cross_beam4"/>
      <sheetName val="토공_갑지4"/>
      <sheetName val="Tender_Summary4"/>
      <sheetName val="주빔의_설계4"/>
      <sheetName val="1）WELDING_POINT4"/>
      <sheetName val="9_2단가산출서4"/>
      <sheetName val="1_취수장4"/>
      <sheetName val="바_한일양산4"/>
      <sheetName val="CPM챠트_4"/>
      <sheetName val="8_PILE__(돌출)4"/>
      <sheetName val="Util&amp;_Real2"/>
      <sheetName val="C_배수관공4"/>
      <sheetName val="90_03실행"/>
      <sheetName val="KSC칸막이_일위대가"/>
      <sheetName val="INDIRECT_MOBILIZATION_Pԟ缀"/>
      <sheetName val="ITEM_CODE"/>
      <sheetName val="Change_r嗠O嘬"/>
      <sheetName val="IMP__REACTOR_"/>
      <sheetName val="90_03혁⍧"/>
      <sheetName val="표지_(2)"/>
      <sheetName val="road_&amp;paving"/>
      <sheetName val="HORI__VESSEL"/>
      <sheetName val="3_공통공사대비"/>
      <sheetName val="FA棍"/>
      <sheetName val="3_하중산정4_지지력"/>
      <sheetName val="단__가__대__비__표"/>
      <sheetName val="일__위__대__가__목__록"/>
      <sheetName val="RCD-ST_"/>
      <sheetName val="1차_내역서"/>
      <sheetName val="8_"/>
      <sheetName val="5_"/>
      <sheetName val="12_"/>
      <sheetName val="14_"/>
      <sheetName val="9_"/>
      <sheetName val="7_"/>
      <sheetName val="3_현장배치"/>
      <sheetName val="RCD-ST_x0015_"/>
      <sheetName val="INDIRECT MOBILIZATION Pԟ"/>
      <sheetName val="Mp-t"/>
      <sheetName val="FA_x0006_"/>
      <sheetName val="______골"/>
      <sheetName val="대비표(토공1안)"/>
      <sheetName val="견적정보"/>
      <sheetName val="단가견적조사표"/>
      <sheetName val="Detail"/>
      <sheetName val="골재집계"/>
      <sheetName val="입출재고현황 (2)"/>
      <sheetName val="물량기준표"/>
      <sheetName val="용산1(해보)"/>
      <sheetName val="발주서양식"/>
      <sheetName val="이형관기호표1"/>
      <sheetName val="단면치_x0000_"/>
      <sheetName val="DNW"/>
      <sheetName val="2공구산출내역"/>
      <sheetName val="암거치수표"/>
      <sheetName val="재료집계표빽업"/>
      <sheetName val="암거수리계산서"/>
      <sheetName val="◀암거수리계산조서"/>
      <sheetName val="최종단면▶"/>
      <sheetName val="견적서세부_x0000__x0000_"/>
      <sheetName val="차수"/>
      <sheetName val="당초수량"/>
      <sheetName val="DGR &amp; REKSAL"/>
      <sheetName val="건축부하"/>
      <sheetName val="김포IO"/>
      <sheetName val="제원.설계조건"/>
      <sheetName val="Chang_x0000__x0000_Ԁ_x0000_夓"/>
      <sheetName val="Chang_x0000__x0000_Ԁ_x0000_ꀀⱋ"/>
      <sheetName val="일위대가표 (2)"/>
      <sheetName val="2F 회의실견적_5_14 일대_"/>
      <sheetName val="FA⢀㰀⢁"/>
      <sheetName val="FAࢾ㲄︀탕"/>
      <sheetName val="woo("/>
      <sheetName val="woo(_x0000__x0000__x0005__x0000_"/>
      <sheetName val="신'"/>
      <sheetName val="신_x0000_"/>
      <sheetName val="H-pile(298x299)"/>
      <sheetName val="H-pile(250x250)"/>
      <sheetName val="INPUTDATA"/>
      <sheetName val="찍기"/>
      <sheetName val="실행예산-변경분"/>
      <sheetName val="검사현황"/>
      <sheetName val="______골조부_x0012__x0015__x0008__"/>
      <sheetName val="총괄"/>
      <sheetName val="기술부 VENDOR LIST"/>
      <sheetName val="설-원가"/>
      <sheetName val="95삼성급(본사)"/>
      <sheetName val="UNQ CODE"/>
      <sheetName val="F-Assump"/>
      <sheetName val="증감내역"/>
      <sheetName val="운동장 (2)"/>
      <sheetName val="NSMA-sက?諱ԃ"/>
      <sheetName val="Ѐ???"/>
      <sheetName val="FAND_x0010_?"/>
      <sheetName val="NSMA-s〯â???"/>
      <sheetName val="최초침-?ü?"/>
      <sheetName val="보도씀鈖ԯ?"/>
      <sheetName val="RCD-ST_x0015_?_x000a_?_x0014_?_x000e_?_x0012_?_x0015_?_x0004_?_x0004_?"/>
      <sheetName val="?_x0004_?_x0004_"/>
      <sheetName val="______골ମ⿥_x0005_???"/>
      <sheetName val="INDIRECT MOBILIZATION Pԟ?缀"/>
      <sheetName val="FA_x0006_??棍"/>
      <sheetName val="을부︀ꏕԯ?"/>
      <sheetName val="기초0?"/>
      <sheetName val="單價表단가표"/>
      <sheetName val="PACKING LIST"/>
      <sheetName val="전기자료"/>
      <sheetName val="포장복구집계"/>
      <sheetName val="______골조부_____"/>
      <sheetName val="FAND_"/>
      <sheetName val="1_우편집중내__"/>
      <sheetName val="activesheet"/>
      <sheetName val="Ex-Rate"/>
      <sheetName val="GAEYO"/>
      <sheetName val="Ext. Stone-P"/>
      <sheetName val="FURNITURE-01"/>
      <sheetName val="천안IP공장자100노100물량110할증"/>
      <sheetName val="노임이"/>
      <sheetName val="추가예산"/>
      <sheetName val="Girder"/>
      <sheetName val="집행갑지"/>
      <sheetName val="GAEYOXLS"/>
      <sheetName val="Parts"/>
      <sheetName val="Menu A"/>
      <sheetName val="간접경상비"/>
      <sheetName val="APT"/>
      <sheetName val="부속동"/>
      <sheetName val="제출견적(을)"/>
      <sheetName val="매입세율"/>
      <sheetName val="광혁기성"/>
      <sheetName val="양수장(기계)"/>
      <sheetName val="예비품"/>
      <sheetName val="FB25JN"/>
      <sheetName val="XZLC004_PART2"/>
      <sheetName val="원부자재"/>
      <sheetName val="식재총괄"/>
      <sheetName val="COMPOHP (2)"/>
      <sheetName val="공정코드"/>
      <sheetName val="C_d"/>
      <sheetName val="기존"/>
      <sheetName val="대리점판정"/>
      <sheetName val="EQUIPMENT -2"/>
      <sheetName val="건축집계"/>
      <sheetName val="단가산출1"/>
      <sheetName val="45,46"/>
      <sheetName val="chitimc"/>
      <sheetName val="기존단가 (2)"/>
      <sheetName val="PANEL"/>
      <sheetName val="Curves"/>
      <sheetName val="Tables"/>
      <sheetName val="TOTAL1"/>
      <sheetName val="목표세부명세"/>
      <sheetName val="단위세대물량"/>
      <sheetName val="연돌일위집계"/>
      <sheetName val="마산월령동골조물량변경"/>
      <sheetName val="콘크리트타설집계표"/>
      <sheetName val="횡배수관토공수량"/>
      <sheetName val="전계가"/>
      <sheetName val="배수내역 (2)"/>
      <sheetName val="빗물받이(910-510-410)"/>
      <sheetName val="가압장(토목)"/>
      <sheetName val="실행내역서 "/>
      <sheetName val="재료율"/>
      <sheetName val="기존단가_(2)"/>
      <sheetName val="Ext__Stone-P"/>
      <sheetName val="Menu_A"/>
      <sheetName val="연부97-1"/>
      <sheetName val="심의위원명단"/>
      <sheetName val="7월11일"/>
      <sheetName val="Raw Data"/>
      <sheetName val="품종별-이름"/>
      <sheetName val="내역 누락분 수량산출서"/>
      <sheetName val="상반기손익차2총괄"/>
      <sheetName val="평균터파기고(1-2,ASP)"/>
      <sheetName val="VLOOKUP"/>
      <sheetName val="cal-foamglass"/>
      <sheetName val="BQ List"/>
      <sheetName val="7-2"/>
      <sheetName val="F-302"/>
      <sheetName val="F301.303"/>
      <sheetName val="공사설계서"/>
      <sheetName val="날개벽수량표"/>
      <sheetName val="위치조서"/>
      <sheetName val="NYS"/>
      <sheetName val="설계변경내역서"/>
      <sheetName val="HW일위"/>
      <sheetName val="1층"/>
      <sheetName val="기안지"/>
      <sheetName val="업무분장"/>
      <sheetName val="소방사항"/>
      <sheetName val="XZLC003_PART1"/>
      <sheetName val="220 (2)"/>
      <sheetName val="전차선로 물량표"/>
      <sheetName val="금융"/>
      <sheetName val="교통대책내역"/>
      <sheetName val="기흥하도용"/>
      <sheetName val="산#3-2-2"/>
      <sheetName val="EQUIP LIST"/>
      <sheetName val="Note"/>
      <sheetName val="Heads"/>
      <sheetName val="Page 2"/>
      <sheetName val="Dbase"/>
      <sheetName val="가설공사"/>
      <sheetName val="별표집계"/>
      <sheetName val="_REF"/>
      <sheetName val="STAND20"/>
      <sheetName val="ASP"/>
      <sheetName val="부대공Ⅱ"/>
      <sheetName val="COVER-P"/>
      <sheetName val="PIPE(UG)내역"/>
      <sheetName val="낙찰표"/>
      <sheetName val="단가산출"/>
      <sheetName val="VENT"/>
      <sheetName val="점수계산1-2"/>
      <sheetName val="다곡2교"/>
      <sheetName val="Lr"/>
      <sheetName val="진접"/>
      <sheetName val="98수문일위"/>
      <sheetName val="처리단락"/>
      <sheetName val="피벗테이블데이터분석"/>
      <sheetName val="적용단위길이"/>
      <sheetName val="특수기호강도거푸집"/>
      <sheetName val="종배수관면벽신"/>
      <sheetName val="종배수관(신)"/>
      <sheetName val="LD"/>
      <sheetName val="DB"/>
      <sheetName val="VXXXXX"/>
      <sheetName val=" 갑지"/>
      <sheetName val="EXCHANGER-BEAM1"/>
      <sheetName val="EXCHANGER-COM"/>
      <sheetName val="EXCHANGER"/>
      <sheetName val="EXCHANGER-BEAM2"/>
      <sheetName val="방수"/>
      <sheetName val="총원"/>
      <sheetName val="매립"/>
      <sheetName val="D-경비1"/>
      <sheetName val="소요자재명세서"/>
      <sheetName val="노무비명세서"/>
      <sheetName val="____(주)경원건축공ﶻĉ"/>
      <sheetName val="____(주)경원건축공ﶻ_x001e_"/>
      <sheetName val="型钢重"/>
      <sheetName val="급É"/>
      <sheetName val="FA"/>
      <sheetName val="VA_code"/>
      <sheetName val="오억ø_x0000_"/>
      <sheetName val="FA_x0000__x0000_Ԁ_x0000_"/>
      <sheetName val="견적서세부︀駕"/>
      <sheetName val="견적서세부︀"/>
      <sheetName val="A__My_Documents_1999__________3"/>
      <sheetName val="연결_x0000__x0000_"/>
      <sheetName val="노임단"/>
      <sheetName val="노임단렀"/>
      <sheetName val="노임단✀"/>
      <sheetName val="노임단䠀"/>
      <sheetName val="산출내역서집계_x0000_"/>
      <sheetName val="산출내역서집계葨"/>
      <sheetName val="산출내역서집계罸"/>
      <sheetName val="산출내역서집계헾"/>
      <sheetName val="단락전류-A"/>
      <sheetName val="erl-b"/>
      <sheetName val="원︀髕ԯ"/>
      <sheetName val="역T형교대(말뚝기초)"/>
      <sheetName val="기초입력 DATA"/>
      <sheetName val="桥架!"/>
      <sheetName val="노임적용"/>
      <sheetName val="노䃈絎쬂"/>
      <sheetName val="노È_x0000_Ԁ"/>
      <sheetName val="치수표"/>
      <sheetName val="_______x0009__x0000__x0000__x0001_Ԁ_x0000_ﬀ"/>
      <sheetName val="_______x0009__x0000__x0000__x0001_Ԁ_x0000__x0000__x0000_"/>
      <sheetName val="PRO熸B떧⽱"/>
      <sheetName val="Sheet10"/>
      <sheetName val="calcul"/>
      <sheetName val="프랜트면_x0000_"/>
      <sheetName val="간접비"/>
      <sheetName val="부_x0000__x0000_Ԁ"/>
      <sheetName val="archi(본勆_x0010_"/>
      <sheetName val="도체종-상수표"/>
      <sheetName val="eq. mobilization"/>
      <sheetName val="____(주)경원건축공사비분_x0000__x0000_ⓐ_x0000__x0000__x0000_"/>
      <sheetName val="ChangÂ_x0000_Ԁ_x0000__x0000_镡"/>
      <sheetName val="ChangÂ_x0000_Ԁ_x0000_쀀႓"/>
      <sheetName val="ChangÂ_x0000_씀_x0002_　崮"/>
      <sheetName val="ChangÂ쀀_x0000__x0000__x0001_"/>
      <sheetName val="______골ମ⿥ _x0000__x0000__x0000_"/>
      <sheetName val="RCD-ST _x0000__x000a__x0000_ _x0000_ _x0000_ _x0000_ _x0000_ _x0000_ "/>
      <sheetName val="_x0000_ _x0000_ "/>
      <sheetName val="FA _x0000__x0000_棍"/>
      <sheetName val="RCD-ST _x0000_ _x0000_ _x0000_ _x0000_ _x0000_ _x0000_ _x0000_ "/>
      <sheetName val="______골ମ⿥ "/>
      <sheetName val="RCD-ST "/>
      <sheetName val="FA "/>
      <sheetName val="______골조부   _"/>
      <sheetName val="____(주)경원건축공ﶻ _x0000__x0000_읰∉"/>
      <sheetName val="____(주)경원건축공ﶻ _x0000__x0000_ﳐ⡷"/>
      <sheetName val="____(주)경원건축공ﶻ _x0000__x0000_ⱐỹ"/>
      <sheetName val="____(주)경원건축공ﶻ _x0000__x0000_萨ⓤ"/>
      <sheetName val="FAND ?"/>
      <sheetName val="RCD-ST ?_x000a_? ? ? ? ? ? ?"/>
      <sheetName val="? ? "/>
      <sheetName val="______골ମ⿥ ???"/>
      <sheetName val="FA ??棍"/>
      <sheetName val="D-1401A-B-C"/>
      <sheetName val="1ST"/>
      <sheetName val="노È"/>
      <sheetName val="전損R_xda38_"/>
      <sheetName val="전損&lt;俘"/>
      <sheetName val="전㋄Ȳ_xdc00_"/>
      <sheetName val="노집"/>
      <sheetName val="부대tu"/>
      <sheetName val="laroux"/>
      <sheetName val="프랜ㆨӫ"/>
      <sheetName val="______ _x0000__x0000__x0001_Ԁ_x0000_ﬀ"/>
      <sheetName val="______ _x0000__x0000__x0001_Ԁ_x0000__x0000__x0000_"/>
      <sheetName val="A__My_Documents_1999__________4"/>
      <sheetName val="설비_(FAB)"/>
      <sheetName val="터널조도"/>
      <sheetName val="HSA"/>
      <sheetName val="ANALYSER"/>
      <sheetName val="내역서(갑)"/>
      <sheetName val="퇴비산출_x0000__x0000_"/>
      <sheetName val="퇴비산출ꠁ횁"/>
      <sheetName val="대목"/>
      <sheetName val="원형1호맨홀토공수량"/>
      <sheetName val="장비㒰7"/>
      <sheetName val="FOB발"/>
      <sheetName val="그림모음"/>
      <sheetName val="입적표"/>
      <sheetName val="설계_x0000__x0000__x0005__x0000_"/>
      <sheetName val="운반비산_x0000_"/>
      <sheetName val="개인별목표"/>
      <sheetName val="코스트센터 Master"/>
      <sheetName val="personnel"/>
      <sheetName val="방문목록"/>
      <sheetName val="견적접수"/>
      <sheetName val="자판쀀ዣ"/>
      <sheetName val="전체_x0000_騀"/>
      <sheetName val="변수2"/>
      <sheetName val="저항"/>
      <sheetName val="일지-h"/>
      <sheetName val="약전닥트"/>
      <sheetName val="fd"/>
      <sheetName val="99관저"/>
      <sheetName val="fa설치명세"/>
      <sheetName val="2.입력"/>
      <sheetName val="RM"/>
      <sheetName val="wooÁ_x0000_Ԁ_x0000_耀"/>
      <sheetName val="노임_x0003__x0000_"/>
      <sheetName val="DATA 입력란"/>
      <sheetName val="연결砀ૹ"/>
      <sheetName val="______주닑⿂_x0005_"/>
      <sheetName val="______주_x0005__x0000_"/>
      <sheetName val="인부임"/>
      <sheetName val="working load at the btm ft."/>
      <sheetName val="stability check"/>
      <sheetName val="design load"/>
      <sheetName val="수목단가"/>
      <sheetName val="시설수량표"/>
      <sheetName val="식재수량표"/>
      <sheetName val="일위목록"/>
      <sheetName val="Mc1"/>
      <sheetName val="실적(년)"/>
      <sheetName val="견적현황"/>
      <sheetName val="업체방문내역"/>
      <sheetName val="____(주)경원건축공사비분석㖘į"/>
      <sheetName val="조건표"/>
      <sheetName val="자료"/>
      <sheetName val="토목-물가"/>
      <sheetName val="운반비ࠀཿ"/>
      <sheetName val="ASEM내역"/>
      <sheetName val="전㋄Ȳ?"/>
      <sheetName val="기성"/>
      <sheetName val="98비정기소모"/>
      <sheetName val="공종별 집계표"/>
      <sheetName val="총괄집계표"/>
      <sheetName val="앵커구조계산"/>
      <sheetName val="현대물량"/>
      <sheetName val="소상 &quot;1&quot;"/>
      <sheetName val="BJJIN"/>
      <sheetName val="타공종이기"/>
      <sheetName val="용수토공연장조서"/>
      <sheetName val="세부내역서"/>
      <sheetName val="방송(체육관)"/>
      <sheetName val="OHU"/>
      <sheetName val="Construction"/>
      <sheetName val="20_002"/>
      <sheetName val="FAB"/>
      <sheetName val="집수정"/>
      <sheetName val="Rooms"/>
      <sheetName val="식재가격"/>
      <sheetName val="____(주)경원건_x0000__x0000_Ԁ_x0000_耀ഽ㫥_x0002_"/>
      <sheetName val="共機J"/>
      <sheetName val="FINAL SUM."/>
      <sheetName val="원_x0000__x0000_g"/>
      <sheetName val="woo_x0000_Ԁ_x0000__x0000_"/>
      <sheetName val="woo_x0000_Ԁ_x0000_쀀"/>
      <sheetName val="맨홀수량산출"/>
      <sheetName val="가감수량"/>
      <sheetName val="s.v"/>
      <sheetName val="최종견"/>
      <sheetName val="시추주상도"/>
      <sheetName val="안국연체"/>
      <sheetName val="남양내역"/>
      <sheetName val="r"/>
      <sheetName val="cap"/>
      <sheetName val="정리"/>
      <sheetName val="dv&amp;cl"/>
      <sheetName val="var."/>
      <sheetName val="T颰ዯ"/>
      <sheetName val="인건¹_x0000_Ԁ"/>
      <sheetName val="Giá tổng hợp"/>
      <sheetName val="H.Satuan"/>
      <sheetName val="현장관리비집계표"/>
      <sheetName val="____(주)경원건축공사비분"/>
      <sheetName val="상품입고집계"/>
      <sheetName val="수목데이타 "/>
      <sheetName val="단ၒ_x0000__x0000_"/>
      <sheetName val="FAØ_x0000_Ԁ_x0000_"/>
      <sheetName val="광속"/>
      <sheetName val="Macro(전등)"/>
      <sheetName val="ChangÂ"/>
      <sheetName val="ChangÂ쀀"/>
      <sheetName val="90.03灃쾎昈"/>
      <sheetName val="90.03쾌ຩ"/>
      <sheetName val="90.03灃⾎崤"/>
      <sheetName val="90.03C鶎ᜇ"/>
      <sheetName val="purpose&amp;input"/>
      <sheetName val="water prop."/>
      <sheetName val="원가계산 (2)"/>
      <sheetName val="석축설면"/>
      <sheetName val="법면단"/>
      <sheetName val="당진1,2호기전선관설치및접지4차공사내역서-을지"/>
      <sheetName val="UOP 508 PG 2-9"/>
      <sheetName val="staffsch"/>
      <sheetName val="부"/>
      <sheetName val="______ "/>
      <sheetName val="____(주)경원건축공ﶻ "/>
      <sheetName val="wooÁ"/>
      <sheetName val="______주_x0005_"/>
      <sheetName val="____(주)경원건"/>
      <sheetName val="원"/>
      <sheetName val="woo"/>
      <sheetName val="인건¹"/>
      <sheetName val="FAØ"/>
      <sheetName val="sheet17"/>
      <sheetName val="6pile  (돌출)"/>
      <sheetName val="Information"/>
      <sheetName val="1.우편집중禅〝_x0005_"/>
    </sheetNames>
    <sheetDataSet>
      <sheetData sheetId="0">
        <row r="5">
          <cell r="D5" t="str">
            <v>(발표일:99.1.1)</v>
          </cell>
        </row>
      </sheetData>
      <sheetData sheetId="1">
        <row r="5">
          <cell r="D5" t="str">
            <v>(발표일:99.1.1)</v>
          </cell>
        </row>
      </sheetData>
      <sheetData sheetId="2">
        <row r="5">
          <cell r="D5" t="str">
            <v>(발표일:99.1.1)</v>
          </cell>
        </row>
      </sheetData>
      <sheetData sheetId="3">
        <row r="5">
          <cell r="D5" t="str">
            <v>(발표일:99.1.1)</v>
          </cell>
        </row>
      </sheetData>
      <sheetData sheetId="4" refreshError="1"/>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sheetData sheetId="800"/>
      <sheetData sheetId="801"/>
      <sheetData sheetId="802"/>
      <sheetData sheetId="803"/>
      <sheetData sheetId="804"/>
      <sheetData sheetId="805"/>
      <sheetData sheetId="806"/>
      <sheetData sheetId="807" refreshError="1"/>
      <sheetData sheetId="808" refreshError="1"/>
      <sheetData sheetId="809" refreshError="1"/>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refreshError="1"/>
      <sheetData sheetId="880" refreshError="1"/>
      <sheetData sheetId="881" refreshError="1"/>
      <sheetData sheetId="882" refreshError="1"/>
      <sheetData sheetId="883"/>
      <sheetData sheetId="884" refreshError="1"/>
      <sheetData sheetId="885"/>
      <sheetData sheetId="886"/>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sheetData sheetId="960"/>
      <sheetData sheetId="961"/>
      <sheetData sheetId="962"/>
      <sheetData sheetId="963"/>
      <sheetData sheetId="964" refreshError="1"/>
      <sheetData sheetId="965"/>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sheetData sheetId="979"/>
      <sheetData sheetId="980"/>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sheetData sheetId="1079" refreshError="1"/>
      <sheetData sheetId="1080" refreshError="1"/>
      <sheetData sheetId="1081" refreshError="1"/>
      <sheetData sheetId="1082" refreshError="1"/>
      <sheetData sheetId="1083">
        <row r="5">
          <cell r="A5">
            <v>2</v>
          </cell>
        </row>
      </sheetData>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ow r="5">
          <cell r="A5">
            <v>2</v>
          </cell>
        </row>
      </sheetData>
      <sheetData sheetId="1139">
        <row r="5">
          <cell r="A5">
            <v>2</v>
          </cell>
        </row>
      </sheetData>
      <sheetData sheetId="1140">
        <row r="5">
          <cell r="A5">
            <v>2</v>
          </cell>
        </row>
      </sheetData>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ow r="5">
          <cell r="A5">
            <v>2</v>
          </cell>
        </row>
      </sheetData>
      <sheetData sheetId="1175">
        <row r="5">
          <cell r="A5">
            <v>2</v>
          </cell>
        </row>
      </sheetData>
      <sheetData sheetId="1176">
        <row r="5">
          <cell r="A5">
            <v>2</v>
          </cell>
        </row>
      </sheetData>
      <sheetData sheetId="1177">
        <row r="5">
          <cell r="A5">
            <v>2</v>
          </cell>
        </row>
      </sheetData>
      <sheetData sheetId="1178">
        <row r="5">
          <cell r="A5">
            <v>2</v>
          </cell>
        </row>
      </sheetData>
      <sheetData sheetId="1179">
        <row r="5">
          <cell r="A5">
            <v>2</v>
          </cell>
        </row>
      </sheetData>
      <sheetData sheetId="1180">
        <row r="5">
          <cell r="A5">
            <v>2</v>
          </cell>
        </row>
      </sheetData>
      <sheetData sheetId="1181">
        <row r="5">
          <cell r="A5">
            <v>2</v>
          </cell>
        </row>
      </sheetData>
      <sheetData sheetId="1182">
        <row r="5">
          <cell r="A5">
            <v>2</v>
          </cell>
        </row>
      </sheetData>
      <sheetData sheetId="1183">
        <row r="5">
          <cell r="A5">
            <v>2</v>
          </cell>
        </row>
      </sheetData>
      <sheetData sheetId="1184">
        <row r="5">
          <cell r="A5">
            <v>2</v>
          </cell>
        </row>
      </sheetData>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ow r="5">
          <cell r="A5">
            <v>2</v>
          </cell>
        </row>
      </sheetData>
      <sheetData sheetId="1203">
        <row r="5">
          <cell r="A5">
            <v>2</v>
          </cell>
        </row>
      </sheetData>
      <sheetData sheetId="1204">
        <row r="5">
          <cell r="A5">
            <v>2</v>
          </cell>
        </row>
      </sheetData>
      <sheetData sheetId="1205">
        <row r="5">
          <cell r="A5">
            <v>2</v>
          </cell>
        </row>
      </sheetData>
      <sheetData sheetId="1206">
        <row r="5">
          <cell r="A5">
            <v>2</v>
          </cell>
        </row>
      </sheetData>
      <sheetData sheetId="1207">
        <row r="5">
          <cell r="A5">
            <v>2</v>
          </cell>
        </row>
      </sheetData>
      <sheetData sheetId="1208">
        <row r="5">
          <cell r="A5">
            <v>2</v>
          </cell>
        </row>
      </sheetData>
      <sheetData sheetId="1209">
        <row r="5">
          <cell r="A5">
            <v>2</v>
          </cell>
        </row>
      </sheetData>
      <sheetData sheetId="1210">
        <row r="5">
          <cell r="A5">
            <v>2</v>
          </cell>
        </row>
      </sheetData>
      <sheetData sheetId="1211">
        <row r="5">
          <cell r="A5">
            <v>2</v>
          </cell>
        </row>
      </sheetData>
      <sheetData sheetId="1212">
        <row r="5">
          <cell r="A5">
            <v>2</v>
          </cell>
        </row>
      </sheetData>
      <sheetData sheetId="1213">
        <row r="5">
          <cell r="A5">
            <v>2</v>
          </cell>
        </row>
      </sheetData>
      <sheetData sheetId="1214">
        <row r="5">
          <cell r="A5">
            <v>2</v>
          </cell>
        </row>
      </sheetData>
      <sheetData sheetId="1215">
        <row r="5">
          <cell r="A5">
            <v>2</v>
          </cell>
        </row>
      </sheetData>
      <sheetData sheetId="1216">
        <row r="5">
          <cell r="A5">
            <v>2</v>
          </cell>
        </row>
      </sheetData>
      <sheetData sheetId="1217">
        <row r="5">
          <cell r="A5">
            <v>2</v>
          </cell>
        </row>
      </sheetData>
      <sheetData sheetId="1218">
        <row r="5">
          <cell r="A5">
            <v>2</v>
          </cell>
        </row>
      </sheetData>
      <sheetData sheetId="1219">
        <row r="5">
          <cell r="A5">
            <v>2</v>
          </cell>
        </row>
      </sheetData>
      <sheetData sheetId="1220">
        <row r="5">
          <cell r="A5">
            <v>2</v>
          </cell>
        </row>
      </sheetData>
      <sheetData sheetId="1221">
        <row r="5">
          <cell r="A5">
            <v>2</v>
          </cell>
        </row>
      </sheetData>
      <sheetData sheetId="1222">
        <row r="5">
          <cell r="A5">
            <v>2</v>
          </cell>
        </row>
      </sheetData>
      <sheetData sheetId="1223">
        <row r="5">
          <cell r="A5">
            <v>2</v>
          </cell>
        </row>
      </sheetData>
      <sheetData sheetId="1224">
        <row r="5">
          <cell r="A5">
            <v>2</v>
          </cell>
        </row>
      </sheetData>
      <sheetData sheetId="1225">
        <row r="5">
          <cell r="A5">
            <v>2</v>
          </cell>
        </row>
      </sheetData>
      <sheetData sheetId="1226">
        <row r="5">
          <cell r="A5">
            <v>2</v>
          </cell>
        </row>
      </sheetData>
      <sheetData sheetId="1227">
        <row r="5">
          <cell r="A5">
            <v>2</v>
          </cell>
        </row>
      </sheetData>
      <sheetData sheetId="1228">
        <row r="5">
          <cell r="A5">
            <v>2</v>
          </cell>
        </row>
      </sheetData>
      <sheetData sheetId="1229">
        <row r="5">
          <cell r="A5">
            <v>2</v>
          </cell>
        </row>
      </sheetData>
      <sheetData sheetId="1230">
        <row r="5">
          <cell r="A5">
            <v>2</v>
          </cell>
        </row>
      </sheetData>
      <sheetData sheetId="1231">
        <row r="5">
          <cell r="A5">
            <v>2</v>
          </cell>
        </row>
      </sheetData>
      <sheetData sheetId="1232">
        <row r="5">
          <cell r="A5">
            <v>2</v>
          </cell>
        </row>
      </sheetData>
      <sheetData sheetId="1233">
        <row r="5">
          <cell r="A5">
            <v>2</v>
          </cell>
        </row>
      </sheetData>
      <sheetData sheetId="1234">
        <row r="5">
          <cell r="A5">
            <v>2</v>
          </cell>
        </row>
      </sheetData>
      <sheetData sheetId="1235">
        <row r="5">
          <cell r="A5">
            <v>2</v>
          </cell>
        </row>
      </sheetData>
      <sheetData sheetId="1236">
        <row r="5">
          <cell r="A5">
            <v>2</v>
          </cell>
        </row>
      </sheetData>
      <sheetData sheetId="1237">
        <row r="5">
          <cell r="A5">
            <v>2</v>
          </cell>
        </row>
      </sheetData>
      <sheetData sheetId="1238">
        <row r="5">
          <cell r="A5">
            <v>2</v>
          </cell>
        </row>
      </sheetData>
      <sheetData sheetId="1239">
        <row r="5">
          <cell r="A5">
            <v>2</v>
          </cell>
        </row>
      </sheetData>
      <sheetData sheetId="1240">
        <row r="5">
          <cell r="A5">
            <v>2</v>
          </cell>
        </row>
      </sheetData>
      <sheetData sheetId="1241">
        <row r="5">
          <cell r="A5">
            <v>2</v>
          </cell>
        </row>
      </sheetData>
      <sheetData sheetId="1242">
        <row r="5">
          <cell r="A5">
            <v>2</v>
          </cell>
        </row>
      </sheetData>
      <sheetData sheetId="1243">
        <row r="5">
          <cell r="A5">
            <v>2</v>
          </cell>
        </row>
      </sheetData>
      <sheetData sheetId="1244">
        <row r="5">
          <cell r="A5">
            <v>2</v>
          </cell>
        </row>
      </sheetData>
      <sheetData sheetId="1245">
        <row r="5">
          <cell r="A5">
            <v>2</v>
          </cell>
        </row>
      </sheetData>
      <sheetData sheetId="1246">
        <row r="5">
          <cell r="A5">
            <v>2</v>
          </cell>
        </row>
      </sheetData>
      <sheetData sheetId="1247">
        <row r="5">
          <cell r="A5">
            <v>2</v>
          </cell>
        </row>
      </sheetData>
      <sheetData sheetId="1248">
        <row r="5">
          <cell r="A5">
            <v>2</v>
          </cell>
        </row>
      </sheetData>
      <sheetData sheetId="1249">
        <row r="5">
          <cell r="A5">
            <v>2</v>
          </cell>
        </row>
      </sheetData>
      <sheetData sheetId="1250">
        <row r="5">
          <cell r="A5">
            <v>2</v>
          </cell>
        </row>
      </sheetData>
      <sheetData sheetId="1251">
        <row r="5">
          <cell r="A5">
            <v>2</v>
          </cell>
        </row>
      </sheetData>
      <sheetData sheetId="1252">
        <row r="5">
          <cell r="A5">
            <v>2</v>
          </cell>
        </row>
      </sheetData>
      <sheetData sheetId="1253">
        <row r="5">
          <cell r="A5">
            <v>2</v>
          </cell>
        </row>
      </sheetData>
      <sheetData sheetId="1254">
        <row r="5">
          <cell r="A5">
            <v>2</v>
          </cell>
        </row>
      </sheetData>
      <sheetData sheetId="1255">
        <row r="5">
          <cell r="A5">
            <v>2</v>
          </cell>
        </row>
      </sheetData>
      <sheetData sheetId="1256">
        <row r="5">
          <cell r="A5">
            <v>2</v>
          </cell>
        </row>
      </sheetData>
      <sheetData sheetId="1257">
        <row r="5">
          <cell r="A5">
            <v>2</v>
          </cell>
        </row>
      </sheetData>
      <sheetData sheetId="1258">
        <row r="5">
          <cell r="A5">
            <v>2</v>
          </cell>
        </row>
      </sheetData>
      <sheetData sheetId="1259">
        <row r="5">
          <cell r="A5">
            <v>2</v>
          </cell>
        </row>
      </sheetData>
      <sheetData sheetId="1260">
        <row r="5">
          <cell r="A5">
            <v>2</v>
          </cell>
        </row>
      </sheetData>
      <sheetData sheetId="1261">
        <row r="5">
          <cell r="A5">
            <v>2</v>
          </cell>
        </row>
      </sheetData>
      <sheetData sheetId="1262">
        <row r="5">
          <cell r="A5">
            <v>2</v>
          </cell>
        </row>
      </sheetData>
      <sheetData sheetId="1263">
        <row r="5">
          <cell r="A5">
            <v>2</v>
          </cell>
        </row>
      </sheetData>
      <sheetData sheetId="1264">
        <row r="5">
          <cell r="A5">
            <v>2</v>
          </cell>
        </row>
      </sheetData>
      <sheetData sheetId="1265">
        <row r="5">
          <cell r="A5">
            <v>2</v>
          </cell>
        </row>
      </sheetData>
      <sheetData sheetId="1266">
        <row r="5">
          <cell r="A5">
            <v>2</v>
          </cell>
        </row>
      </sheetData>
      <sheetData sheetId="1267">
        <row r="5">
          <cell r="A5">
            <v>2</v>
          </cell>
        </row>
      </sheetData>
      <sheetData sheetId="1268">
        <row r="5">
          <cell r="A5">
            <v>2</v>
          </cell>
        </row>
      </sheetData>
      <sheetData sheetId="1269">
        <row r="5">
          <cell r="A5">
            <v>2</v>
          </cell>
        </row>
      </sheetData>
      <sheetData sheetId="1270">
        <row r="5">
          <cell r="A5">
            <v>2</v>
          </cell>
        </row>
      </sheetData>
      <sheetData sheetId="1271">
        <row r="5">
          <cell r="A5">
            <v>2</v>
          </cell>
        </row>
      </sheetData>
      <sheetData sheetId="1272">
        <row r="5">
          <cell r="A5">
            <v>2</v>
          </cell>
        </row>
      </sheetData>
      <sheetData sheetId="1273">
        <row r="5">
          <cell r="A5">
            <v>2</v>
          </cell>
        </row>
      </sheetData>
      <sheetData sheetId="1274">
        <row r="5">
          <cell r="A5">
            <v>2</v>
          </cell>
        </row>
      </sheetData>
      <sheetData sheetId="1275">
        <row r="5">
          <cell r="A5">
            <v>2</v>
          </cell>
        </row>
      </sheetData>
      <sheetData sheetId="1276">
        <row r="5">
          <cell r="A5">
            <v>2</v>
          </cell>
        </row>
      </sheetData>
      <sheetData sheetId="1277">
        <row r="5">
          <cell r="A5">
            <v>2</v>
          </cell>
        </row>
      </sheetData>
      <sheetData sheetId="1278">
        <row r="5">
          <cell r="A5">
            <v>2</v>
          </cell>
        </row>
      </sheetData>
      <sheetData sheetId="1279">
        <row r="5">
          <cell r="A5">
            <v>2</v>
          </cell>
        </row>
      </sheetData>
      <sheetData sheetId="1280">
        <row r="5">
          <cell r="A5">
            <v>2</v>
          </cell>
        </row>
      </sheetData>
      <sheetData sheetId="1281">
        <row r="5">
          <cell r="A5">
            <v>2</v>
          </cell>
        </row>
      </sheetData>
      <sheetData sheetId="1282">
        <row r="5">
          <cell r="A5">
            <v>2</v>
          </cell>
        </row>
      </sheetData>
      <sheetData sheetId="1283">
        <row r="5">
          <cell r="A5">
            <v>2</v>
          </cell>
        </row>
      </sheetData>
      <sheetData sheetId="1284">
        <row r="5">
          <cell r="A5">
            <v>2</v>
          </cell>
        </row>
      </sheetData>
      <sheetData sheetId="1285">
        <row r="5">
          <cell r="A5">
            <v>2</v>
          </cell>
        </row>
      </sheetData>
      <sheetData sheetId="1286">
        <row r="5">
          <cell r="A5">
            <v>2</v>
          </cell>
        </row>
      </sheetData>
      <sheetData sheetId="1287">
        <row r="5">
          <cell r="A5">
            <v>2</v>
          </cell>
        </row>
      </sheetData>
      <sheetData sheetId="1288">
        <row r="5">
          <cell r="A5">
            <v>2</v>
          </cell>
        </row>
      </sheetData>
      <sheetData sheetId="1289">
        <row r="5">
          <cell r="A5">
            <v>2</v>
          </cell>
        </row>
      </sheetData>
      <sheetData sheetId="1290">
        <row r="5">
          <cell r="A5">
            <v>2</v>
          </cell>
        </row>
      </sheetData>
      <sheetData sheetId="1291">
        <row r="5">
          <cell r="A5">
            <v>2</v>
          </cell>
        </row>
      </sheetData>
      <sheetData sheetId="1292">
        <row r="5">
          <cell r="A5">
            <v>2</v>
          </cell>
        </row>
      </sheetData>
      <sheetData sheetId="1293">
        <row r="5">
          <cell r="A5">
            <v>2</v>
          </cell>
        </row>
      </sheetData>
      <sheetData sheetId="1294">
        <row r="5">
          <cell r="A5">
            <v>2</v>
          </cell>
        </row>
      </sheetData>
      <sheetData sheetId="1295">
        <row r="5">
          <cell r="A5">
            <v>2</v>
          </cell>
        </row>
      </sheetData>
      <sheetData sheetId="1296">
        <row r="5">
          <cell r="A5">
            <v>2</v>
          </cell>
        </row>
      </sheetData>
      <sheetData sheetId="1297">
        <row r="5">
          <cell r="A5">
            <v>2</v>
          </cell>
        </row>
      </sheetData>
      <sheetData sheetId="1298">
        <row r="5">
          <cell r="A5">
            <v>2</v>
          </cell>
        </row>
      </sheetData>
      <sheetData sheetId="1299">
        <row r="5">
          <cell r="A5">
            <v>2</v>
          </cell>
        </row>
      </sheetData>
      <sheetData sheetId="1300">
        <row r="5">
          <cell r="A5">
            <v>2</v>
          </cell>
        </row>
      </sheetData>
      <sheetData sheetId="1301">
        <row r="5">
          <cell r="A5">
            <v>2</v>
          </cell>
        </row>
      </sheetData>
      <sheetData sheetId="1302">
        <row r="5">
          <cell r="A5">
            <v>2</v>
          </cell>
        </row>
      </sheetData>
      <sheetData sheetId="1303">
        <row r="5">
          <cell r="A5">
            <v>2</v>
          </cell>
        </row>
      </sheetData>
      <sheetData sheetId="1304">
        <row r="5">
          <cell r="A5">
            <v>2</v>
          </cell>
        </row>
      </sheetData>
      <sheetData sheetId="1305">
        <row r="5">
          <cell r="A5">
            <v>2</v>
          </cell>
        </row>
      </sheetData>
      <sheetData sheetId="1306">
        <row r="5">
          <cell r="A5">
            <v>2</v>
          </cell>
        </row>
      </sheetData>
      <sheetData sheetId="1307">
        <row r="5">
          <cell r="A5">
            <v>2</v>
          </cell>
        </row>
      </sheetData>
      <sheetData sheetId="1308">
        <row r="5">
          <cell r="A5">
            <v>2</v>
          </cell>
        </row>
      </sheetData>
      <sheetData sheetId="1309">
        <row r="5">
          <cell r="A5">
            <v>2</v>
          </cell>
        </row>
      </sheetData>
      <sheetData sheetId="1310">
        <row r="5">
          <cell r="A5">
            <v>2</v>
          </cell>
        </row>
      </sheetData>
      <sheetData sheetId="1311">
        <row r="5">
          <cell r="A5">
            <v>2</v>
          </cell>
        </row>
      </sheetData>
      <sheetData sheetId="1312">
        <row r="5">
          <cell r="A5">
            <v>2</v>
          </cell>
        </row>
      </sheetData>
      <sheetData sheetId="1313">
        <row r="5">
          <cell r="A5">
            <v>2</v>
          </cell>
        </row>
      </sheetData>
      <sheetData sheetId="1314">
        <row r="5">
          <cell r="A5">
            <v>2</v>
          </cell>
        </row>
      </sheetData>
      <sheetData sheetId="1315">
        <row r="5">
          <cell r="A5">
            <v>2</v>
          </cell>
        </row>
      </sheetData>
      <sheetData sheetId="1316">
        <row r="5">
          <cell r="A5">
            <v>2</v>
          </cell>
        </row>
      </sheetData>
      <sheetData sheetId="1317">
        <row r="5">
          <cell r="A5">
            <v>2</v>
          </cell>
        </row>
      </sheetData>
      <sheetData sheetId="1318">
        <row r="5">
          <cell r="A5">
            <v>2</v>
          </cell>
        </row>
      </sheetData>
      <sheetData sheetId="1319">
        <row r="5">
          <cell r="A5">
            <v>2</v>
          </cell>
        </row>
      </sheetData>
      <sheetData sheetId="1320">
        <row r="5">
          <cell r="A5">
            <v>2</v>
          </cell>
        </row>
      </sheetData>
      <sheetData sheetId="1321">
        <row r="5">
          <cell r="A5">
            <v>2</v>
          </cell>
        </row>
      </sheetData>
      <sheetData sheetId="1322">
        <row r="5">
          <cell r="A5">
            <v>2</v>
          </cell>
        </row>
      </sheetData>
      <sheetData sheetId="1323">
        <row r="5">
          <cell r="A5">
            <v>2</v>
          </cell>
        </row>
      </sheetData>
      <sheetData sheetId="1324">
        <row r="5">
          <cell r="A5">
            <v>2</v>
          </cell>
        </row>
      </sheetData>
      <sheetData sheetId="1325">
        <row r="5">
          <cell r="A5">
            <v>2</v>
          </cell>
        </row>
      </sheetData>
      <sheetData sheetId="1326">
        <row r="5">
          <cell r="A5">
            <v>2</v>
          </cell>
        </row>
      </sheetData>
      <sheetData sheetId="1327">
        <row r="5">
          <cell r="A5">
            <v>2</v>
          </cell>
        </row>
      </sheetData>
      <sheetData sheetId="1328">
        <row r="5">
          <cell r="A5">
            <v>2</v>
          </cell>
        </row>
      </sheetData>
      <sheetData sheetId="1329">
        <row r="5">
          <cell r="A5">
            <v>2</v>
          </cell>
        </row>
      </sheetData>
      <sheetData sheetId="1330">
        <row r="5">
          <cell r="A5">
            <v>2</v>
          </cell>
        </row>
      </sheetData>
      <sheetData sheetId="1331">
        <row r="5">
          <cell r="A5">
            <v>2</v>
          </cell>
        </row>
      </sheetData>
      <sheetData sheetId="1332">
        <row r="5">
          <cell r="A5">
            <v>2</v>
          </cell>
        </row>
      </sheetData>
      <sheetData sheetId="1333">
        <row r="5">
          <cell r="A5">
            <v>2</v>
          </cell>
        </row>
      </sheetData>
      <sheetData sheetId="1334">
        <row r="5">
          <cell r="A5">
            <v>2</v>
          </cell>
        </row>
      </sheetData>
      <sheetData sheetId="1335">
        <row r="5">
          <cell r="A5">
            <v>2</v>
          </cell>
        </row>
      </sheetData>
      <sheetData sheetId="1336">
        <row r="5">
          <cell r="A5">
            <v>2</v>
          </cell>
        </row>
      </sheetData>
      <sheetData sheetId="1337">
        <row r="5">
          <cell r="A5">
            <v>2</v>
          </cell>
        </row>
      </sheetData>
      <sheetData sheetId="1338">
        <row r="5">
          <cell r="A5">
            <v>2</v>
          </cell>
        </row>
      </sheetData>
      <sheetData sheetId="1339">
        <row r="5">
          <cell r="A5">
            <v>2</v>
          </cell>
        </row>
      </sheetData>
      <sheetData sheetId="1340">
        <row r="5">
          <cell r="A5">
            <v>2</v>
          </cell>
        </row>
      </sheetData>
      <sheetData sheetId="1341">
        <row r="5">
          <cell r="A5">
            <v>2</v>
          </cell>
        </row>
      </sheetData>
      <sheetData sheetId="1342">
        <row r="5">
          <cell r="A5">
            <v>2</v>
          </cell>
        </row>
      </sheetData>
      <sheetData sheetId="1343">
        <row r="5">
          <cell r="A5">
            <v>2</v>
          </cell>
        </row>
      </sheetData>
      <sheetData sheetId="1344">
        <row r="5">
          <cell r="A5">
            <v>2</v>
          </cell>
        </row>
      </sheetData>
      <sheetData sheetId="1345">
        <row r="5">
          <cell r="A5">
            <v>2</v>
          </cell>
        </row>
      </sheetData>
      <sheetData sheetId="1346">
        <row r="5">
          <cell r="A5">
            <v>2</v>
          </cell>
        </row>
      </sheetData>
      <sheetData sheetId="1347">
        <row r="5">
          <cell r="A5">
            <v>2</v>
          </cell>
        </row>
      </sheetData>
      <sheetData sheetId="1348">
        <row r="5">
          <cell r="A5">
            <v>2</v>
          </cell>
        </row>
      </sheetData>
      <sheetData sheetId="1349">
        <row r="5">
          <cell r="A5">
            <v>2</v>
          </cell>
        </row>
      </sheetData>
      <sheetData sheetId="1350">
        <row r="5">
          <cell r="A5">
            <v>2</v>
          </cell>
        </row>
      </sheetData>
      <sheetData sheetId="1351">
        <row r="5">
          <cell r="A5">
            <v>2</v>
          </cell>
        </row>
      </sheetData>
      <sheetData sheetId="1352">
        <row r="5">
          <cell r="A5">
            <v>2</v>
          </cell>
        </row>
      </sheetData>
      <sheetData sheetId="1353" refreshError="1"/>
      <sheetData sheetId="1354" refreshError="1"/>
      <sheetData sheetId="1355" refreshError="1"/>
      <sheetData sheetId="1356" refreshError="1"/>
      <sheetData sheetId="1357" refreshError="1"/>
      <sheetData sheetId="1358" refreshError="1"/>
      <sheetData sheetId="1359">
        <row r="5">
          <cell r="A5">
            <v>2</v>
          </cell>
        </row>
      </sheetData>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ow r="5">
          <cell r="A5">
            <v>2</v>
          </cell>
        </row>
      </sheetData>
      <sheetData sheetId="1384">
        <row r="5">
          <cell r="A5">
            <v>2</v>
          </cell>
        </row>
      </sheetData>
      <sheetData sheetId="1385">
        <row r="5">
          <cell r="A5">
            <v>2</v>
          </cell>
        </row>
      </sheetData>
      <sheetData sheetId="1386">
        <row r="5">
          <cell r="A5">
            <v>2</v>
          </cell>
        </row>
      </sheetData>
      <sheetData sheetId="1387" refreshError="1"/>
      <sheetData sheetId="1388">
        <row r="5">
          <cell r="A5">
            <v>2</v>
          </cell>
        </row>
      </sheetData>
      <sheetData sheetId="1389" refreshError="1"/>
      <sheetData sheetId="1390" refreshError="1"/>
      <sheetData sheetId="1391" refreshError="1"/>
      <sheetData sheetId="1392" refreshError="1"/>
      <sheetData sheetId="1393">
        <row r="5">
          <cell r="A5">
            <v>2</v>
          </cell>
        </row>
      </sheetData>
      <sheetData sheetId="1394">
        <row r="5">
          <cell r="A5">
            <v>2</v>
          </cell>
        </row>
      </sheetData>
      <sheetData sheetId="1395">
        <row r="5">
          <cell r="A5">
            <v>2</v>
          </cell>
        </row>
      </sheetData>
      <sheetData sheetId="1396">
        <row r="5">
          <cell r="A5">
            <v>2</v>
          </cell>
        </row>
      </sheetData>
      <sheetData sheetId="1397">
        <row r="5">
          <cell r="A5">
            <v>2</v>
          </cell>
        </row>
      </sheetData>
      <sheetData sheetId="1398">
        <row r="5">
          <cell r="A5">
            <v>2</v>
          </cell>
        </row>
      </sheetData>
      <sheetData sheetId="1399">
        <row r="5">
          <cell r="A5">
            <v>2</v>
          </cell>
        </row>
      </sheetData>
      <sheetData sheetId="1400">
        <row r="5">
          <cell r="A5">
            <v>2</v>
          </cell>
        </row>
      </sheetData>
      <sheetData sheetId="1401">
        <row r="5">
          <cell r="A5">
            <v>2</v>
          </cell>
        </row>
      </sheetData>
      <sheetData sheetId="1402">
        <row r="5">
          <cell r="A5">
            <v>2</v>
          </cell>
        </row>
      </sheetData>
      <sheetData sheetId="1403">
        <row r="5">
          <cell r="A5">
            <v>2</v>
          </cell>
        </row>
      </sheetData>
      <sheetData sheetId="1404">
        <row r="5">
          <cell r="A5">
            <v>2</v>
          </cell>
        </row>
      </sheetData>
      <sheetData sheetId="1405">
        <row r="5">
          <cell r="A5">
            <v>2</v>
          </cell>
        </row>
      </sheetData>
      <sheetData sheetId="1406">
        <row r="5">
          <cell r="A5">
            <v>2</v>
          </cell>
        </row>
      </sheetData>
      <sheetData sheetId="1407">
        <row r="5">
          <cell r="A5">
            <v>2</v>
          </cell>
        </row>
      </sheetData>
      <sheetData sheetId="1408">
        <row r="5">
          <cell r="A5">
            <v>2</v>
          </cell>
        </row>
      </sheetData>
      <sheetData sheetId="1409">
        <row r="5">
          <cell r="A5">
            <v>2</v>
          </cell>
        </row>
      </sheetData>
      <sheetData sheetId="1410" refreshError="1"/>
      <sheetData sheetId="1411" refreshError="1"/>
      <sheetData sheetId="1412" refreshError="1"/>
      <sheetData sheetId="1413" refreshError="1"/>
      <sheetData sheetId="1414">
        <row r="5">
          <cell r="A5">
            <v>2</v>
          </cell>
        </row>
      </sheetData>
      <sheetData sheetId="1415" refreshError="1"/>
      <sheetData sheetId="1416">
        <row r="5">
          <cell r="A5">
            <v>2</v>
          </cell>
        </row>
      </sheetData>
      <sheetData sheetId="1417">
        <row r="5">
          <cell r="A5">
            <v>2</v>
          </cell>
        </row>
      </sheetData>
      <sheetData sheetId="1418">
        <row r="5">
          <cell r="A5">
            <v>2</v>
          </cell>
        </row>
      </sheetData>
      <sheetData sheetId="1419">
        <row r="5">
          <cell r="A5">
            <v>2</v>
          </cell>
        </row>
      </sheetData>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sheetData sheetId="1447">
        <row r="5">
          <cell r="A5">
            <v>2</v>
          </cell>
        </row>
      </sheetData>
      <sheetData sheetId="1448"/>
      <sheetData sheetId="1449"/>
      <sheetData sheetId="1450"/>
      <sheetData sheetId="1451"/>
      <sheetData sheetId="1452">
        <row r="5">
          <cell r="A5">
            <v>2</v>
          </cell>
        </row>
      </sheetData>
      <sheetData sheetId="1453">
        <row r="5">
          <cell r="A5">
            <v>2</v>
          </cell>
        </row>
      </sheetData>
      <sheetData sheetId="1454">
        <row r="5">
          <cell r="A5">
            <v>2</v>
          </cell>
        </row>
      </sheetData>
      <sheetData sheetId="1455">
        <row r="5">
          <cell r="A5">
            <v>2</v>
          </cell>
        </row>
      </sheetData>
      <sheetData sheetId="1456">
        <row r="5">
          <cell r="A5">
            <v>2</v>
          </cell>
        </row>
      </sheetData>
      <sheetData sheetId="1457">
        <row r="5">
          <cell r="A5">
            <v>2</v>
          </cell>
        </row>
      </sheetData>
      <sheetData sheetId="1458">
        <row r="5">
          <cell r="A5">
            <v>2</v>
          </cell>
        </row>
      </sheetData>
      <sheetData sheetId="1459">
        <row r="5">
          <cell r="A5">
            <v>2</v>
          </cell>
        </row>
      </sheetData>
      <sheetData sheetId="1460">
        <row r="5">
          <cell r="A5">
            <v>2</v>
          </cell>
        </row>
      </sheetData>
      <sheetData sheetId="1461">
        <row r="5">
          <cell r="A5">
            <v>2</v>
          </cell>
        </row>
      </sheetData>
      <sheetData sheetId="1462">
        <row r="5">
          <cell r="A5">
            <v>2</v>
          </cell>
        </row>
      </sheetData>
      <sheetData sheetId="1463">
        <row r="5">
          <cell r="A5">
            <v>2</v>
          </cell>
        </row>
      </sheetData>
      <sheetData sheetId="1464">
        <row r="5">
          <cell r="A5">
            <v>2</v>
          </cell>
        </row>
      </sheetData>
      <sheetData sheetId="1465">
        <row r="5">
          <cell r="A5">
            <v>2</v>
          </cell>
        </row>
      </sheetData>
      <sheetData sheetId="1466">
        <row r="5">
          <cell r="A5">
            <v>2</v>
          </cell>
        </row>
      </sheetData>
      <sheetData sheetId="1467">
        <row r="5">
          <cell r="A5">
            <v>2</v>
          </cell>
        </row>
      </sheetData>
      <sheetData sheetId="1468">
        <row r="5">
          <cell r="A5">
            <v>2</v>
          </cell>
        </row>
      </sheetData>
      <sheetData sheetId="1469">
        <row r="5">
          <cell r="A5">
            <v>2</v>
          </cell>
        </row>
      </sheetData>
      <sheetData sheetId="1470">
        <row r="5">
          <cell r="A5">
            <v>2</v>
          </cell>
        </row>
      </sheetData>
      <sheetData sheetId="1471">
        <row r="5">
          <cell r="A5">
            <v>2</v>
          </cell>
        </row>
      </sheetData>
      <sheetData sheetId="1472">
        <row r="5">
          <cell r="A5">
            <v>2</v>
          </cell>
        </row>
      </sheetData>
      <sheetData sheetId="1473">
        <row r="5">
          <cell r="A5">
            <v>2</v>
          </cell>
        </row>
      </sheetData>
      <sheetData sheetId="1474">
        <row r="5">
          <cell r="A5">
            <v>2</v>
          </cell>
        </row>
      </sheetData>
      <sheetData sheetId="1475">
        <row r="5">
          <cell r="A5">
            <v>2</v>
          </cell>
        </row>
      </sheetData>
      <sheetData sheetId="1476">
        <row r="5">
          <cell r="A5">
            <v>2</v>
          </cell>
        </row>
      </sheetData>
      <sheetData sheetId="1477">
        <row r="5">
          <cell r="A5">
            <v>2</v>
          </cell>
        </row>
      </sheetData>
      <sheetData sheetId="1478">
        <row r="5">
          <cell r="A5">
            <v>2</v>
          </cell>
        </row>
      </sheetData>
      <sheetData sheetId="1479">
        <row r="5">
          <cell r="A5">
            <v>2</v>
          </cell>
        </row>
      </sheetData>
      <sheetData sheetId="1480">
        <row r="5">
          <cell r="A5">
            <v>2</v>
          </cell>
        </row>
      </sheetData>
      <sheetData sheetId="1481">
        <row r="5">
          <cell r="A5">
            <v>2</v>
          </cell>
        </row>
      </sheetData>
      <sheetData sheetId="1482">
        <row r="5">
          <cell r="A5">
            <v>2</v>
          </cell>
        </row>
      </sheetData>
      <sheetData sheetId="1483">
        <row r="5">
          <cell r="A5">
            <v>2</v>
          </cell>
        </row>
      </sheetData>
      <sheetData sheetId="1484">
        <row r="5">
          <cell r="A5">
            <v>2</v>
          </cell>
        </row>
      </sheetData>
      <sheetData sheetId="1485">
        <row r="5">
          <cell r="A5">
            <v>2</v>
          </cell>
        </row>
      </sheetData>
      <sheetData sheetId="1486">
        <row r="5">
          <cell r="A5">
            <v>2</v>
          </cell>
        </row>
      </sheetData>
      <sheetData sheetId="1487">
        <row r="5">
          <cell r="A5">
            <v>2</v>
          </cell>
        </row>
      </sheetData>
      <sheetData sheetId="1488">
        <row r="5">
          <cell r="A5">
            <v>2</v>
          </cell>
        </row>
      </sheetData>
      <sheetData sheetId="1489">
        <row r="5">
          <cell r="A5">
            <v>2</v>
          </cell>
        </row>
      </sheetData>
      <sheetData sheetId="1490">
        <row r="5">
          <cell r="A5">
            <v>2</v>
          </cell>
        </row>
      </sheetData>
      <sheetData sheetId="1491">
        <row r="5">
          <cell r="A5">
            <v>2</v>
          </cell>
        </row>
      </sheetData>
      <sheetData sheetId="1492">
        <row r="5">
          <cell r="A5">
            <v>2</v>
          </cell>
        </row>
      </sheetData>
      <sheetData sheetId="1493">
        <row r="5">
          <cell r="A5">
            <v>2</v>
          </cell>
        </row>
      </sheetData>
      <sheetData sheetId="1494">
        <row r="5">
          <cell r="A5">
            <v>2</v>
          </cell>
        </row>
      </sheetData>
      <sheetData sheetId="1495">
        <row r="5">
          <cell r="A5">
            <v>2</v>
          </cell>
        </row>
      </sheetData>
      <sheetData sheetId="1496">
        <row r="5">
          <cell r="A5">
            <v>2</v>
          </cell>
        </row>
      </sheetData>
      <sheetData sheetId="1497">
        <row r="5">
          <cell r="A5">
            <v>2</v>
          </cell>
        </row>
      </sheetData>
      <sheetData sheetId="1498">
        <row r="5">
          <cell r="A5">
            <v>2</v>
          </cell>
        </row>
      </sheetData>
      <sheetData sheetId="1499">
        <row r="5">
          <cell r="A5">
            <v>2</v>
          </cell>
        </row>
      </sheetData>
      <sheetData sheetId="1500">
        <row r="5">
          <cell r="A5">
            <v>2</v>
          </cell>
        </row>
      </sheetData>
      <sheetData sheetId="1501">
        <row r="5">
          <cell r="A5">
            <v>2</v>
          </cell>
        </row>
      </sheetData>
      <sheetData sheetId="1502">
        <row r="5">
          <cell r="A5">
            <v>2</v>
          </cell>
        </row>
      </sheetData>
      <sheetData sheetId="1503">
        <row r="5">
          <cell r="A5">
            <v>2</v>
          </cell>
        </row>
      </sheetData>
      <sheetData sheetId="1504">
        <row r="5">
          <cell r="A5">
            <v>2</v>
          </cell>
        </row>
      </sheetData>
      <sheetData sheetId="1505">
        <row r="5">
          <cell r="A5">
            <v>2</v>
          </cell>
        </row>
      </sheetData>
      <sheetData sheetId="1506">
        <row r="5">
          <cell r="A5">
            <v>2</v>
          </cell>
        </row>
      </sheetData>
      <sheetData sheetId="1507">
        <row r="5">
          <cell r="A5">
            <v>2</v>
          </cell>
        </row>
      </sheetData>
      <sheetData sheetId="1508">
        <row r="5">
          <cell r="A5">
            <v>2</v>
          </cell>
        </row>
      </sheetData>
      <sheetData sheetId="1509">
        <row r="5">
          <cell r="A5">
            <v>2</v>
          </cell>
        </row>
      </sheetData>
      <sheetData sheetId="1510">
        <row r="5">
          <cell r="A5">
            <v>2</v>
          </cell>
        </row>
      </sheetData>
      <sheetData sheetId="1511">
        <row r="5">
          <cell r="A5">
            <v>2</v>
          </cell>
        </row>
      </sheetData>
      <sheetData sheetId="1512">
        <row r="5">
          <cell r="A5">
            <v>2</v>
          </cell>
        </row>
      </sheetData>
      <sheetData sheetId="1513">
        <row r="5">
          <cell r="A5">
            <v>2</v>
          </cell>
        </row>
      </sheetData>
      <sheetData sheetId="1514">
        <row r="5">
          <cell r="A5">
            <v>2</v>
          </cell>
        </row>
      </sheetData>
      <sheetData sheetId="1515">
        <row r="5">
          <cell r="A5">
            <v>2</v>
          </cell>
        </row>
      </sheetData>
      <sheetData sheetId="1516">
        <row r="5">
          <cell r="A5">
            <v>2</v>
          </cell>
        </row>
      </sheetData>
      <sheetData sheetId="1517">
        <row r="5">
          <cell r="A5">
            <v>2</v>
          </cell>
        </row>
      </sheetData>
      <sheetData sheetId="1518">
        <row r="5">
          <cell r="A5">
            <v>2</v>
          </cell>
        </row>
      </sheetData>
      <sheetData sheetId="1519">
        <row r="5">
          <cell r="A5">
            <v>2</v>
          </cell>
        </row>
      </sheetData>
      <sheetData sheetId="1520">
        <row r="5">
          <cell r="A5">
            <v>2</v>
          </cell>
        </row>
      </sheetData>
      <sheetData sheetId="1521">
        <row r="5">
          <cell r="A5">
            <v>2</v>
          </cell>
        </row>
      </sheetData>
      <sheetData sheetId="1522">
        <row r="5">
          <cell r="A5">
            <v>2</v>
          </cell>
        </row>
      </sheetData>
      <sheetData sheetId="1523">
        <row r="5">
          <cell r="A5">
            <v>2</v>
          </cell>
        </row>
      </sheetData>
      <sheetData sheetId="1524">
        <row r="5">
          <cell r="A5">
            <v>2</v>
          </cell>
        </row>
      </sheetData>
      <sheetData sheetId="1525">
        <row r="5">
          <cell r="A5">
            <v>2</v>
          </cell>
        </row>
      </sheetData>
      <sheetData sheetId="1526">
        <row r="5">
          <cell r="A5">
            <v>2</v>
          </cell>
        </row>
      </sheetData>
      <sheetData sheetId="1527">
        <row r="5">
          <cell r="A5">
            <v>2</v>
          </cell>
        </row>
      </sheetData>
      <sheetData sheetId="1528">
        <row r="5">
          <cell r="A5">
            <v>2</v>
          </cell>
        </row>
      </sheetData>
      <sheetData sheetId="1529">
        <row r="5">
          <cell r="A5">
            <v>2</v>
          </cell>
        </row>
      </sheetData>
      <sheetData sheetId="1530">
        <row r="5">
          <cell r="A5">
            <v>2</v>
          </cell>
        </row>
      </sheetData>
      <sheetData sheetId="1531">
        <row r="5">
          <cell r="A5">
            <v>2</v>
          </cell>
        </row>
      </sheetData>
      <sheetData sheetId="1532">
        <row r="5">
          <cell r="A5">
            <v>2</v>
          </cell>
        </row>
      </sheetData>
      <sheetData sheetId="1533">
        <row r="5">
          <cell r="A5">
            <v>2</v>
          </cell>
        </row>
      </sheetData>
      <sheetData sheetId="1534">
        <row r="5">
          <cell r="A5">
            <v>2</v>
          </cell>
        </row>
      </sheetData>
      <sheetData sheetId="1535">
        <row r="5">
          <cell r="A5">
            <v>2</v>
          </cell>
        </row>
      </sheetData>
      <sheetData sheetId="1536">
        <row r="5">
          <cell r="A5">
            <v>2</v>
          </cell>
        </row>
      </sheetData>
      <sheetData sheetId="1537">
        <row r="5">
          <cell r="A5">
            <v>2</v>
          </cell>
        </row>
      </sheetData>
      <sheetData sheetId="1538">
        <row r="5">
          <cell r="A5">
            <v>2</v>
          </cell>
        </row>
      </sheetData>
      <sheetData sheetId="1539">
        <row r="5">
          <cell r="A5">
            <v>2</v>
          </cell>
        </row>
      </sheetData>
      <sheetData sheetId="1540">
        <row r="5">
          <cell r="A5">
            <v>2</v>
          </cell>
        </row>
      </sheetData>
      <sheetData sheetId="1541">
        <row r="5">
          <cell r="A5">
            <v>2</v>
          </cell>
        </row>
      </sheetData>
      <sheetData sheetId="1542">
        <row r="5">
          <cell r="A5">
            <v>2</v>
          </cell>
        </row>
      </sheetData>
      <sheetData sheetId="1543">
        <row r="5">
          <cell r="A5">
            <v>2</v>
          </cell>
        </row>
      </sheetData>
      <sheetData sheetId="1544">
        <row r="5">
          <cell r="A5">
            <v>2</v>
          </cell>
        </row>
      </sheetData>
      <sheetData sheetId="1545">
        <row r="5">
          <cell r="A5">
            <v>2</v>
          </cell>
        </row>
      </sheetData>
      <sheetData sheetId="1546">
        <row r="5">
          <cell r="A5">
            <v>2</v>
          </cell>
        </row>
      </sheetData>
      <sheetData sheetId="1547">
        <row r="5">
          <cell r="A5">
            <v>2</v>
          </cell>
        </row>
      </sheetData>
      <sheetData sheetId="1548">
        <row r="5">
          <cell r="A5">
            <v>2</v>
          </cell>
        </row>
      </sheetData>
      <sheetData sheetId="1549">
        <row r="5">
          <cell r="A5">
            <v>2</v>
          </cell>
        </row>
      </sheetData>
      <sheetData sheetId="1550">
        <row r="5">
          <cell r="A5">
            <v>2</v>
          </cell>
        </row>
      </sheetData>
      <sheetData sheetId="1551">
        <row r="5">
          <cell r="A5">
            <v>2</v>
          </cell>
        </row>
      </sheetData>
      <sheetData sheetId="1552">
        <row r="5">
          <cell r="A5">
            <v>2</v>
          </cell>
        </row>
      </sheetData>
      <sheetData sheetId="1553">
        <row r="5">
          <cell r="A5">
            <v>2</v>
          </cell>
        </row>
      </sheetData>
      <sheetData sheetId="1554">
        <row r="5">
          <cell r="A5">
            <v>2</v>
          </cell>
        </row>
      </sheetData>
      <sheetData sheetId="1555">
        <row r="5">
          <cell r="A5">
            <v>2</v>
          </cell>
        </row>
      </sheetData>
      <sheetData sheetId="1556">
        <row r="5">
          <cell r="A5">
            <v>2</v>
          </cell>
        </row>
      </sheetData>
      <sheetData sheetId="1557">
        <row r="5">
          <cell r="A5">
            <v>2</v>
          </cell>
        </row>
      </sheetData>
      <sheetData sheetId="1558">
        <row r="5">
          <cell r="A5">
            <v>2</v>
          </cell>
        </row>
      </sheetData>
      <sheetData sheetId="1559">
        <row r="5">
          <cell r="A5">
            <v>2</v>
          </cell>
        </row>
      </sheetData>
      <sheetData sheetId="1560">
        <row r="5">
          <cell r="A5">
            <v>2</v>
          </cell>
        </row>
      </sheetData>
      <sheetData sheetId="1561">
        <row r="5">
          <cell r="A5">
            <v>2</v>
          </cell>
        </row>
      </sheetData>
      <sheetData sheetId="1562">
        <row r="5">
          <cell r="A5">
            <v>2</v>
          </cell>
        </row>
      </sheetData>
      <sheetData sheetId="1563">
        <row r="5">
          <cell r="A5">
            <v>2</v>
          </cell>
        </row>
      </sheetData>
      <sheetData sheetId="1564">
        <row r="5">
          <cell r="A5">
            <v>2</v>
          </cell>
        </row>
      </sheetData>
      <sheetData sheetId="1565">
        <row r="5">
          <cell r="A5">
            <v>2</v>
          </cell>
        </row>
      </sheetData>
      <sheetData sheetId="1566">
        <row r="5">
          <cell r="A5">
            <v>2</v>
          </cell>
        </row>
      </sheetData>
      <sheetData sheetId="1567">
        <row r="5">
          <cell r="A5">
            <v>2</v>
          </cell>
        </row>
      </sheetData>
      <sheetData sheetId="1568">
        <row r="5">
          <cell r="A5">
            <v>2</v>
          </cell>
        </row>
      </sheetData>
      <sheetData sheetId="1569">
        <row r="5">
          <cell r="A5">
            <v>2</v>
          </cell>
        </row>
      </sheetData>
      <sheetData sheetId="1570">
        <row r="5">
          <cell r="A5">
            <v>2</v>
          </cell>
        </row>
      </sheetData>
      <sheetData sheetId="1571">
        <row r="5">
          <cell r="A5">
            <v>2</v>
          </cell>
        </row>
      </sheetData>
      <sheetData sheetId="1572">
        <row r="5">
          <cell r="A5">
            <v>2</v>
          </cell>
        </row>
      </sheetData>
      <sheetData sheetId="1573">
        <row r="5">
          <cell r="A5">
            <v>2</v>
          </cell>
        </row>
      </sheetData>
      <sheetData sheetId="1574">
        <row r="5">
          <cell r="A5">
            <v>2</v>
          </cell>
        </row>
      </sheetData>
      <sheetData sheetId="1575">
        <row r="5">
          <cell r="A5">
            <v>2</v>
          </cell>
        </row>
      </sheetData>
      <sheetData sheetId="1576">
        <row r="5">
          <cell r="A5">
            <v>2</v>
          </cell>
        </row>
      </sheetData>
      <sheetData sheetId="1577">
        <row r="5">
          <cell r="A5">
            <v>2</v>
          </cell>
        </row>
      </sheetData>
      <sheetData sheetId="1578">
        <row r="5">
          <cell r="A5">
            <v>2</v>
          </cell>
        </row>
      </sheetData>
      <sheetData sheetId="1579">
        <row r="5">
          <cell r="A5">
            <v>2</v>
          </cell>
        </row>
      </sheetData>
      <sheetData sheetId="1580">
        <row r="5">
          <cell r="A5">
            <v>2</v>
          </cell>
        </row>
      </sheetData>
      <sheetData sheetId="1581">
        <row r="5">
          <cell r="A5">
            <v>2</v>
          </cell>
        </row>
      </sheetData>
      <sheetData sheetId="1582">
        <row r="5">
          <cell r="A5">
            <v>2</v>
          </cell>
        </row>
      </sheetData>
      <sheetData sheetId="1583">
        <row r="5">
          <cell r="A5">
            <v>2</v>
          </cell>
        </row>
      </sheetData>
      <sheetData sheetId="1584">
        <row r="5">
          <cell r="A5">
            <v>2</v>
          </cell>
        </row>
      </sheetData>
      <sheetData sheetId="1585">
        <row r="5">
          <cell r="A5">
            <v>2</v>
          </cell>
        </row>
      </sheetData>
      <sheetData sheetId="1586">
        <row r="5">
          <cell r="A5">
            <v>2</v>
          </cell>
        </row>
      </sheetData>
      <sheetData sheetId="1587">
        <row r="5">
          <cell r="A5">
            <v>2</v>
          </cell>
        </row>
      </sheetData>
      <sheetData sheetId="1588">
        <row r="5">
          <cell r="A5">
            <v>2</v>
          </cell>
        </row>
      </sheetData>
      <sheetData sheetId="1589">
        <row r="5">
          <cell r="A5">
            <v>2</v>
          </cell>
        </row>
      </sheetData>
      <sheetData sheetId="1590">
        <row r="5">
          <cell r="A5">
            <v>2</v>
          </cell>
        </row>
      </sheetData>
      <sheetData sheetId="1591">
        <row r="5">
          <cell r="A5">
            <v>2</v>
          </cell>
        </row>
      </sheetData>
      <sheetData sheetId="1592">
        <row r="5">
          <cell r="A5">
            <v>2</v>
          </cell>
        </row>
      </sheetData>
      <sheetData sheetId="1593">
        <row r="5">
          <cell r="A5">
            <v>2</v>
          </cell>
        </row>
      </sheetData>
      <sheetData sheetId="1594">
        <row r="5">
          <cell r="A5">
            <v>2</v>
          </cell>
        </row>
      </sheetData>
      <sheetData sheetId="1595">
        <row r="5">
          <cell r="A5">
            <v>2</v>
          </cell>
        </row>
      </sheetData>
      <sheetData sheetId="1596">
        <row r="5">
          <cell r="A5">
            <v>2</v>
          </cell>
        </row>
      </sheetData>
      <sheetData sheetId="1597">
        <row r="5">
          <cell r="A5">
            <v>2</v>
          </cell>
        </row>
      </sheetData>
      <sheetData sheetId="1598">
        <row r="5">
          <cell r="A5">
            <v>2</v>
          </cell>
        </row>
      </sheetData>
      <sheetData sheetId="1599">
        <row r="5">
          <cell r="A5">
            <v>2</v>
          </cell>
        </row>
      </sheetData>
      <sheetData sheetId="1600">
        <row r="5">
          <cell r="A5">
            <v>2</v>
          </cell>
        </row>
      </sheetData>
      <sheetData sheetId="1601">
        <row r="5">
          <cell r="A5">
            <v>2</v>
          </cell>
        </row>
      </sheetData>
      <sheetData sheetId="1602">
        <row r="5">
          <cell r="A5">
            <v>2</v>
          </cell>
        </row>
      </sheetData>
      <sheetData sheetId="1603">
        <row r="5">
          <cell r="A5">
            <v>2</v>
          </cell>
        </row>
      </sheetData>
      <sheetData sheetId="1604">
        <row r="5">
          <cell r="A5">
            <v>2</v>
          </cell>
        </row>
      </sheetData>
      <sheetData sheetId="1605">
        <row r="5">
          <cell r="A5">
            <v>2</v>
          </cell>
        </row>
      </sheetData>
      <sheetData sheetId="1606">
        <row r="5">
          <cell r="A5">
            <v>2</v>
          </cell>
        </row>
      </sheetData>
      <sheetData sheetId="1607">
        <row r="5">
          <cell r="A5">
            <v>2</v>
          </cell>
        </row>
      </sheetData>
      <sheetData sheetId="1608">
        <row r="5">
          <cell r="A5">
            <v>2</v>
          </cell>
        </row>
      </sheetData>
      <sheetData sheetId="1609">
        <row r="5">
          <cell r="A5">
            <v>2</v>
          </cell>
        </row>
      </sheetData>
      <sheetData sheetId="1610">
        <row r="5">
          <cell r="A5">
            <v>2</v>
          </cell>
        </row>
      </sheetData>
      <sheetData sheetId="1611">
        <row r="5">
          <cell r="A5">
            <v>2</v>
          </cell>
        </row>
      </sheetData>
      <sheetData sheetId="1612">
        <row r="5">
          <cell r="A5">
            <v>2</v>
          </cell>
        </row>
      </sheetData>
      <sheetData sheetId="1613">
        <row r="5">
          <cell r="A5">
            <v>2</v>
          </cell>
        </row>
      </sheetData>
      <sheetData sheetId="1614">
        <row r="5">
          <cell r="A5">
            <v>2</v>
          </cell>
        </row>
      </sheetData>
      <sheetData sheetId="1615">
        <row r="5">
          <cell r="A5">
            <v>2</v>
          </cell>
        </row>
      </sheetData>
      <sheetData sheetId="1616">
        <row r="5">
          <cell r="A5">
            <v>2</v>
          </cell>
        </row>
      </sheetData>
      <sheetData sheetId="1617">
        <row r="5">
          <cell r="A5">
            <v>2</v>
          </cell>
        </row>
      </sheetData>
      <sheetData sheetId="1618">
        <row r="5">
          <cell r="A5">
            <v>2</v>
          </cell>
        </row>
      </sheetData>
      <sheetData sheetId="1619">
        <row r="5">
          <cell r="A5">
            <v>2</v>
          </cell>
        </row>
      </sheetData>
      <sheetData sheetId="1620">
        <row r="5">
          <cell r="A5">
            <v>2</v>
          </cell>
        </row>
      </sheetData>
      <sheetData sheetId="1621">
        <row r="5">
          <cell r="A5">
            <v>2</v>
          </cell>
        </row>
      </sheetData>
      <sheetData sheetId="1622">
        <row r="5">
          <cell r="A5">
            <v>2</v>
          </cell>
        </row>
      </sheetData>
      <sheetData sheetId="1623">
        <row r="5">
          <cell r="A5">
            <v>2</v>
          </cell>
        </row>
      </sheetData>
      <sheetData sheetId="1624">
        <row r="5">
          <cell r="A5">
            <v>2</v>
          </cell>
        </row>
      </sheetData>
      <sheetData sheetId="1625">
        <row r="5">
          <cell r="A5">
            <v>2</v>
          </cell>
        </row>
      </sheetData>
      <sheetData sheetId="1626">
        <row r="5">
          <cell r="A5">
            <v>2</v>
          </cell>
        </row>
      </sheetData>
      <sheetData sheetId="1627">
        <row r="5">
          <cell r="A5">
            <v>2</v>
          </cell>
        </row>
      </sheetData>
      <sheetData sheetId="1628">
        <row r="5">
          <cell r="A5">
            <v>2</v>
          </cell>
        </row>
      </sheetData>
      <sheetData sheetId="1629">
        <row r="5">
          <cell r="A5">
            <v>2</v>
          </cell>
        </row>
      </sheetData>
      <sheetData sheetId="1630">
        <row r="5">
          <cell r="A5">
            <v>2</v>
          </cell>
        </row>
      </sheetData>
      <sheetData sheetId="1631">
        <row r="5">
          <cell r="A5">
            <v>2</v>
          </cell>
        </row>
      </sheetData>
      <sheetData sheetId="1632">
        <row r="5">
          <cell r="A5">
            <v>2</v>
          </cell>
        </row>
      </sheetData>
      <sheetData sheetId="1633">
        <row r="5">
          <cell r="A5">
            <v>2</v>
          </cell>
        </row>
      </sheetData>
      <sheetData sheetId="1634">
        <row r="5">
          <cell r="A5">
            <v>2</v>
          </cell>
        </row>
      </sheetData>
      <sheetData sheetId="1635">
        <row r="5">
          <cell r="A5">
            <v>2</v>
          </cell>
        </row>
      </sheetData>
      <sheetData sheetId="1636">
        <row r="5">
          <cell r="A5">
            <v>2</v>
          </cell>
        </row>
      </sheetData>
      <sheetData sheetId="1637">
        <row r="5">
          <cell r="A5">
            <v>2</v>
          </cell>
        </row>
      </sheetData>
      <sheetData sheetId="1638">
        <row r="5">
          <cell r="A5">
            <v>2</v>
          </cell>
        </row>
      </sheetData>
      <sheetData sheetId="1639">
        <row r="5">
          <cell r="A5">
            <v>2</v>
          </cell>
        </row>
      </sheetData>
      <sheetData sheetId="1640">
        <row r="5">
          <cell r="A5">
            <v>2</v>
          </cell>
        </row>
      </sheetData>
      <sheetData sheetId="1641">
        <row r="5">
          <cell r="A5">
            <v>2</v>
          </cell>
        </row>
      </sheetData>
      <sheetData sheetId="1642">
        <row r="5">
          <cell r="A5">
            <v>2</v>
          </cell>
        </row>
      </sheetData>
      <sheetData sheetId="1643">
        <row r="5">
          <cell r="A5">
            <v>2</v>
          </cell>
        </row>
      </sheetData>
      <sheetData sheetId="1644">
        <row r="5">
          <cell r="A5">
            <v>2</v>
          </cell>
        </row>
      </sheetData>
      <sheetData sheetId="1645">
        <row r="5">
          <cell r="A5">
            <v>2</v>
          </cell>
        </row>
      </sheetData>
      <sheetData sheetId="1646">
        <row r="5">
          <cell r="A5">
            <v>2</v>
          </cell>
        </row>
      </sheetData>
      <sheetData sheetId="1647">
        <row r="5">
          <cell r="A5">
            <v>2</v>
          </cell>
        </row>
      </sheetData>
      <sheetData sheetId="1648">
        <row r="5">
          <cell r="A5">
            <v>2</v>
          </cell>
        </row>
      </sheetData>
      <sheetData sheetId="1649">
        <row r="5">
          <cell r="A5">
            <v>2</v>
          </cell>
        </row>
      </sheetData>
      <sheetData sheetId="1650"/>
      <sheetData sheetId="1651">
        <row r="5">
          <cell r="A5">
            <v>2</v>
          </cell>
        </row>
      </sheetData>
      <sheetData sheetId="1652">
        <row r="5">
          <cell r="A5">
            <v>2</v>
          </cell>
        </row>
      </sheetData>
      <sheetData sheetId="1653">
        <row r="5">
          <cell r="A5">
            <v>2</v>
          </cell>
        </row>
      </sheetData>
      <sheetData sheetId="1654"/>
      <sheetData sheetId="1655">
        <row r="5">
          <cell r="A5">
            <v>2</v>
          </cell>
        </row>
      </sheetData>
      <sheetData sheetId="1656">
        <row r="5">
          <cell r="A5">
            <v>2</v>
          </cell>
        </row>
      </sheetData>
      <sheetData sheetId="1657">
        <row r="5">
          <cell r="A5">
            <v>2</v>
          </cell>
        </row>
      </sheetData>
      <sheetData sheetId="1658">
        <row r="5">
          <cell r="A5">
            <v>2</v>
          </cell>
        </row>
      </sheetData>
      <sheetData sheetId="1659">
        <row r="5">
          <cell r="A5">
            <v>2</v>
          </cell>
        </row>
      </sheetData>
      <sheetData sheetId="1660"/>
      <sheetData sheetId="1661">
        <row r="5">
          <cell r="A5">
            <v>2</v>
          </cell>
        </row>
      </sheetData>
      <sheetData sheetId="1662">
        <row r="5">
          <cell r="A5">
            <v>2</v>
          </cell>
        </row>
      </sheetData>
      <sheetData sheetId="1663">
        <row r="5">
          <cell r="A5">
            <v>2</v>
          </cell>
        </row>
      </sheetData>
      <sheetData sheetId="1664"/>
      <sheetData sheetId="1665">
        <row r="5">
          <cell r="A5">
            <v>2</v>
          </cell>
        </row>
      </sheetData>
      <sheetData sheetId="1666">
        <row r="5">
          <cell r="A5">
            <v>2</v>
          </cell>
        </row>
      </sheetData>
      <sheetData sheetId="1667"/>
      <sheetData sheetId="1668">
        <row r="5">
          <cell r="A5">
            <v>2</v>
          </cell>
        </row>
      </sheetData>
      <sheetData sheetId="1669">
        <row r="5">
          <cell r="A5">
            <v>2</v>
          </cell>
        </row>
      </sheetData>
      <sheetData sheetId="1670">
        <row r="5">
          <cell r="A5">
            <v>2</v>
          </cell>
        </row>
      </sheetData>
      <sheetData sheetId="1671"/>
      <sheetData sheetId="1672">
        <row r="5">
          <cell r="A5">
            <v>2</v>
          </cell>
        </row>
      </sheetData>
      <sheetData sheetId="1673">
        <row r="5">
          <cell r="A5">
            <v>2</v>
          </cell>
        </row>
      </sheetData>
      <sheetData sheetId="1674">
        <row r="5">
          <cell r="A5">
            <v>2</v>
          </cell>
        </row>
      </sheetData>
      <sheetData sheetId="1675">
        <row r="5">
          <cell r="A5">
            <v>2</v>
          </cell>
        </row>
      </sheetData>
      <sheetData sheetId="1676">
        <row r="5">
          <cell r="A5">
            <v>2</v>
          </cell>
        </row>
      </sheetData>
      <sheetData sheetId="1677">
        <row r="5">
          <cell r="A5">
            <v>2</v>
          </cell>
        </row>
      </sheetData>
      <sheetData sheetId="1678">
        <row r="5">
          <cell r="A5">
            <v>2</v>
          </cell>
        </row>
      </sheetData>
      <sheetData sheetId="1679">
        <row r="5">
          <cell r="A5">
            <v>2</v>
          </cell>
        </row>
      </sheetData>
      <sheetData sheetId="1680">
        <row r="5">
          <cell r="A5">
            <v>2</v>
          </cell>
        </row>
      </sheetData>
      <sheetData sheetId="1681">
        <row r="5">
          <cell r="A5">
            <v>2</v>
          </cell>
        </row>
      </sheetData>
      <sheetData sheetId="1682">
        <row r="5">
          <cell r="A5">
            <v>2</v>
          </cell>
        </row>
      </sheetData>
      <sheetData sheetId="1683">
        <row r="5">
          <cell r="A5">
            <v>2</v>
          </cell>
        </row>
      </sheetData>
      <sheetData sheetId="1684">
        <row r="5">
          <cell r="A5">
            <v>2</v>
          </cell>
        </row>
      </sheetData>
      <sheetData sheetId="1685">
        <row r="5">
          <cell r="A5">
            <v>2</v>
          </cell>
        </row>
      </sheetData>
      <sheetData sheetId="1686">
        <row r="5">
          <cell r="A5">
            <v>2</v>
          </cell>
        </row>
      </sheetData>
      <sheetData sheetId="1687">
        <row r="5">
          <cell r="A5">
            <v>2</v>
          </cell>
        </row>
      </sheetData>
      <sheetData sheetId="1688"/>
      <sheetData sheetId="1689">
        <row r="5">
          <cell r="A5">
            <v>2</v>
          </cell>
        </row>
      </sheetData>
      <sheetData sheetId="1690">
        <row r="5">
          <cell r="A5">
            <v>2</v>
          </cell>
        </row>
      </sheetData>
      <sheetData sheetId="1691">
        <row r="5">
          <cell r="A5">
            <v>2</v>
          </cell>
        </row>
      </sheetData>
      <sheetData sheetId="1692"/>
      <sheetData sheetId="1693"/>
      <sheetData sheetId="1694">
        <row r="5">
          <cell r="A5">
            <v>2</v>
          </cell>
        </row>
      </sheetData>
      <sheetData sheetId="1695">
        <row r="5">
          <cell r="A5">
            <v>2</v>
          </cell>
        </row>
      </sheetData>
      <sheetData sheetId="1696">
        <row r="5">
          <cell r="A5">
            <v>2</v>
          </cell>
        </row>
      </sheetData>
      <sheetData sheetId="1697"/>
      <sheetData sheetId="1698">
        <row r="5">
          <cell r="A5">
            <v>2</v>
          </cell>
        </row>
      </sheetData>
      <sheetData sheetId="1699">
        <row r="5">
          <cell r="A5">
            <v>2</v>
          </cell>
        </row>
      </sheetData>
      <sheetData sheetId="1700"/>
      <sheetData sheetId="1701">
        <row r="5">
          <cell r="A5">
            <v>2</v>
          </cell>
        </row>
      </sheetData>
      <sheetData sheetId="1702">
        <row r="5">
          <cell r="A5">
            <v>2</v>
          </cell>
        </row>
      </sheetData>
      <sheetData sheetId="1703">
        <row r="5">
          <cell r="A5">
            <v>2</v>
          </cell>
        </row>
      </sheetData>
      <sheetData sheetId="1704"/>
      <sheetData sheetId="1705"/>
      <sheetData sheetId="1706"/>
      <sheetData sheetId="1707"/>
      <sheetData sheetId="1708">
        <row r="5">
          <cell r="A5">
            <v>2</v>
          </cell>
        </row>
      </sheetData>
      <sheetData sheetId="1709"/>
      <sheetData sheetId="1710"/>
      <sheetData sheetId="171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refreshError="1"/>
      <sheetData sheetId="1745" refreshError="1"/>
      <sheetData sheetId="1746" refreshError="1"/>
      <sheetData sheetId="1747" refreshError="1"/>
      <sheetData sheetId="1748" refreshError="1"/>
      <sheetData sheetId="1749" refreshError="1"/>
      <sheetData sheetId="1750" refreshError="1"/>
      <sheetData sheetId="1751" refreshError="1"/>
      <sheetData sheetId="1752" refreshError="1"/>
      <sheetData sheetId="1753" refreshError="1"/>
      <sheetData sheetId="1754" refreshError="1"/>
      <sheetData sheetId="1755" refreshError="1"/>
      <sheetData sheetId="1756" refreshError="1"/>
      <sheetData sheetId="1757" refreshError="1"/>
      <sheetData sheetId="1758" refreshError="1"/>
      <sheetData sheetId="1759" refreshError="1"/>
      <sheetData sheetId="1760" refreshError="1"/>
      <sheetData sheetId="1761" refreshError="1"/>
      <sheetData sheetId="1762" refreshError="1"/>
      <sheetData sheetId="1763" refreshError="1"/>
      <sheetData sheetId="1764" refreshError="1"/>
      <sheetData sheetId="1765" refreshError="1"/>
      <sheetData sheetId="1766" refreshError="1"/>
      <sheetData sheetId="1767" refreshError="1"/>
      <sheetData sheetId="1768" refreshError="1"/>
      <sheetData sheetId="1769" refreshError="1"/>
      <sheetData sheetId="1770" refreshError="1"/>
      <sheetData sheetId="1771" refreshError="1"/>
      <sheetData sheetId="1772" refreshError="1"/>
      <sheetData sheetId="1773" refreshError="1"/>
      <sheetData sheetId="1774" refreshError="1"/>
      <sheetData sheetId="1775" refreshError="1"/>
      <sheetData sheetId="1776" refreshError="1"/>
      <sheetData sheetId="1777" refreshError="1"/>
      <sheetData sheetId="1778" refreshError="1"/>
      <sheetData sheetId="1779" refreshError="1"/>
      <sheetData sheetId="1780" refreshError="1"/>
      <sheetData sheetId="1781" refreshError="1"/>
      <sheetData sheetId="1782" refreshError="1"/>
      <sheetData sheetId="1783" refreshError="1"/>
      <sheetData sheetId="1784" refreshError="1"/>
      <sheetData sheetId="1785" refreshError="1"/>
      <sheetData sheetId="1786" refreshError="1"/>
      <sheetData sheetId="1787" refreshError="1"/>
      <sheetData sheetId="1788" refreshError="1"/>
      <sheetData sheetId="1789" refreshError="1"/>
      <sheetData sheetId="1790" refreshError="1"/>
      <sheetData sheetId="1791" refreshError="1"/>
      <sheetData sheetId="1792" refreshError="1"/>
      <sheetData sheetId="1793" refreshError="1"/>
      <sheetData sheetId="1794" refreshError="1"/>
      <sheetData sheetId="1795" refreshError="1"/>
      <sheetData sheetId="1796" refreshError="1"/>
      <sheetData sheetId="1797" refreshError="1"/>
      <sheetData sheetId="1798" refreshError="1"/>
      <sheetData sheetId="1799" refreshError="1"/>
      <sheetData sheetId="1800" refreshError="1"/>
      <sheetData sheetId="1801" refreshError="1"/>
      <sheetData sheetId="1802" refreshError="1"/>
      <sheetData sheetId="1803" refreshError="1"/>
      <sheetData sheetId="1804" refreshError="1"/>
      <sheetData sheetId="1805" refreshError="1"/>
      <sheetData sheetId="1806" refreshError="1"/>
      <sheetData sheetId="1807" refreshError="1"/>
      <sheetData sheetId="1808" refreshError="1"/>
      <sheetData sheetId="1809" refreshError="1"/>
      <sheetData sheetId="1810" refreshError="1"/>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refreshError="1"/>
      <sheetData sheetId="1823" refreshError="1"/>
      <sheetData sheetId="1824" refreshError="1"/>
      <sheetData sheetId="1825" refreshError="1"/>
      <sheetData sheetId="1826" refreshError="1"/>
      <sheetData sheetId="1827" refreshError="1"/>
      <sheetData sheetId="1828" refreshError="1"/>
      <sheetData sheetId="1829" refreshError="1"/>
      <sheetData sheetId="1830" refreshError="1"/>
      <sheetData sheetId="1831" refreshError="1"/>
      <sheetData sheetId="1832" refreshError="1"/>
      <sheetData sheetId="1833" refreshError="1"/>
      <sheetData sheetId="1834" refreshError="1"/>
      <sheetData sheetId="1835" refreshError="1"/>
      <sheetData sheetId="1836" refreshError="1"/>
      <sheetData sheetId="1837" refreshError="1"/>
      <sheetData sheetId="1838" refreshError="1"/>
      <sheetData sheetId="1839" refreshError="1"/>
      <sheetData sheetId="1840" refreshError="1"/>
      <sheetData sheetId="1841" refreshError="1"/>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refreshError="1"/>
      <sheetData sheetId="1853" refreshError="1"/>
      <sheetData sheetId="1854" refreshError="1"/>
      <sheetData sheetId="1855" refreshError="1"/>
      <sheetData sheetId="1856" refreshError="1"/>
      <sheetData sheetId="1857" refreshError="1"/>
      <sheetData sheetId="1858" refreshError="1"/>
      <sheetData sheetId="1859" refreshError="1"/>
      <sheetData sheetId="1860" refreshError="1"/>
      <sheetData sheetId="1861" refreshError="1"/>
      <sheetData sheetId="1862" refreshError="1"/>
      <sheetData sheetId="1863" refreshError="1"/>
      <sheetData sheetId="1864" refreshError="1"/>
      <sheetData sheetId="1865" refreshError="1"/>
      <sheetData sheetId="1866" refreshError="1"/>
      <sheetData sheetId="1867" refreshError="1"/>
      <sheetData sheetId="1868" refreshError="1"/>
      <sheetData sheetId="1869" refreshError="1"/>
      <sheetData sheetId="1870" refreshError="1"/>
      <sheetData sheetId="1871" refreshError="1"/>
      <sheetData sheetId="1872" refreshError="1"/>
      <sheetData sheetId="1873">
        <row r="5">
          <cell r="A5">
            <v>2</v>
          </cell>
        </row>
      </sheetData>
      <sheetData sheetId="1874">
        <row r="5">
          <cell r="A5">
            <v>2</v>
          </cell>
        </row>
      </sheetData>
      <sheetData sheetId="1875">
        <row r="5">
          <cell r="A5">
            <v>2</v>
          </cell>
        </row>
      </sheetData>
      <sheetData sheetId="1876" refreshError="1"/>
      <sheetData sheetId="1877" refreshError="1"/>
      <sheetData sheetId="1878" refreshError="1"/>
      <sheetData sheetId="1879" refreshError="1"/>
      <sheetData sheetId="1880" refreshError="1"/>
      <sheetData sheetId="1881">
        <row r="5">
          <cell r="A5">
            <v>2</v>
          </cell>
        </row>
      </sheetData>
      <sheetData sheetId="1882">
        <row r="5">
          <cell r="A5">
            <v>2</v>
          </cell>
        </row>
      </sheetData>
      <sheetData sheetId="1883">
        <row r="5">
          <cell r="A5">
            <v>2</v>
          </cell>
        </row>
      </sheetData>
      <sheetData sheetId="1884">
        <row r="5">
          <cell r="A5">
            <v>2</v>
          </cell>
        </row>
      </sheetData>
      <sheetData sheetId="1885">
        <row r="5">
          <cell r="A5">
            <v>2</v>
          </cell>
        </row>
      </sheetData>
      <sheetData sheetId="1886">
        <row r="5">
          <cell r="A5">
            <v>2</v>
          </cell>
        </row>
      </sheetData>
      <sheetData sheetId="1887">
        <row r="5">
          <cell r="A5">
            <v>2</v>
          </cell>
        </row>
      </sheetData>
      <sheetData sheetId="1888">
        <row r="5">
          <cell r="A5">
            <v>2</v>
          </cell>
        </row>
      </sheetData>
      <sheetData sheetId="1889">
        <row r="5">
          <cell r="A5">
            <v>2</v>
          </cell>
        </row>
      </sheetData>
      <sheetData sheetId="1890">
        <row r="5">
          <cell r="A5">
            <v>2</v>
          </cell>
        </row>
      </sheetData>
      <sheetData sheetId="1891">
        <row r="5">
          <cell r="A5">
            <v>2</v>
          </cell>
        </row>
      </sheetData>
      <sheetData sheetId="1892">
        <row r="5">
          <cell r="A5">
            <v>2</v>
          </cell>
        </row>
      </sheetData>
      <sheetData sheetId="1893">
        <row r="5">
          <cell r="A5">
            <v>2</v>
          </cell>
        </row>
      </sheetData>
      <sheetData sheetId="1894">
        <row r="5">
          <cell r="A5">
            <v>2</v>
          </cell>
        </row>
      </sheetData>
      <sheetData sheetId="1895">
        <row r="5">
          <cell r="A5">
            <v>2</v>
          </cell>
        </row>
      </sheetData>
      <sheetData sheetId="1896">
        <row r="5">
          <cell r="A5">
            <v>2</v>
          </cell>
        </row>
      </sheetData>
      <sheetData sheetId="1897">
        <row r="5">
          <cell r="A5">
            <v>2</v>
          </cell>
        </row>
      </sheetData>
      <sheetData sheetId="1898">
        <row r="5">
          <cell r="A5">
            <v>2</v>
          </cell>
        </row>
      </sheetData>
      <sheetData sheetId="1899">
        <row r="5">
          <cell r="A5">
            <v>2</v>
          </cell>
        </row>
      </sheetData>
      <sheetData sheetId="1900">
        <row r="5">
          <cell r="A5">
            <v>2</v>
          </cell>
        </row>
      </sheetData>
      <sheetData sheetId="1901">
        <row r="5">
          <cell r="A5">
            <v>2</v>
          </cell>
        </row>
      </sheetData>
      <sheetData sheetId="1902">
        <row r="5">
          <cell r="A5">
            <v>2</v>
          </cell>
        </row>
      </sheetData>
      <sheetData sheetId="1903">
        <row r="5">
          <cell r="A5">
            <v>2</v>
          </cell>
        </row>
      </sheetData>
      <sheetData sheetId="1904">
        <row r="5">
          <cell r="A5">
            <v>2</v>
          </cell>
        </row>
      </sheetData>
      <sheetData sheetId="1905">
        <row r="5">
          <cell r="A5">
            <v>2</v>
          </cell>
        </row>
      </sheetData>
      <sheetData sheetId="1906">
        <row r="5">
          <cell r="A5">
            <v>2</v>
          </cell>
        </row>
      </sheetData>
      <sheetData sheetId="1907">
        <row r="5">
          <cell r="A5">
            <v>2</v>
          </cell>
        </row>
      </sheetData>
      <sheetData sheetId="1908">
        <row r="5">
          <cell r="A5">
            <v>2</v>
          </cell>
        </row>
      </sheetData>
      <sheetData sheetId="1909">
        <row r="5">
          <cell r="A5">
            <v>2</v>
          </cell>
        </row>
      </sheetData>
      <sheetData sheetId="1910">
        <row r="5">
          <cell r="A5">
            <v>2</v>
          </cell>
        </row>
      </sheetData>
      <sheetData sheetId="1911">
        <row r="5">
          <cell r="A5">
            <v>2</v>
          </cell>
        </row>
      </sheetData>
      <sheetData sheetId="1912">
        <row r="5">
          <cell r="A5">
            <v>2</v>
          </cell>
        </row>
      </sheetData>
      <sheetData sheetId="1913">
        <row r="5">
          <cell r="A5">
            <v>2</v>
          </cell>
        </row>
      </sheetData>
      <sheetData sheetId="1914">
        <row r="5">
          <cell r="A5">
            <v>2</v>
          </cell>
        </row>
      </sheetData>
      <sheetData sheetId="1915">
        <row r="5">
          <cell r="A5">
            <v>2</v>
          </cell>
        </row>
      </sheetData>
      <sheetData sheetId="1916">
        <row r="5">
          <cell r="A5">
            <v>2</v>
          </cell>
        </row>
      </sheetData>
      <sheetData sheetId="1917">
        <row r="5">
          <cell r="A5">
            <v>2</v>
          </cell>
        </row>
      </sheetData>
      <sheetData sheetId="1918">
        <row r="5">
          <cell r="A5">
            <v>2</v>
          </cell>
        </row>
      </sheetData>
      <sheetData sheetId="1919">
        <row r="5">
          <cell r="A5">
            <v>2</v>
          </cell>
        </row>
      </sheetData>
      <sheetData sheetId="1920">
        <row r="5">
          <cell r="A5">
            <v>2</v>
          </cell>
        </row>
      </sheetData>
      <sheetData sheetId="1921">
        <row r="5">
          <cell r="A5">
            <v>2</v>
          </cell>
        </row>
      </sheetData>
      <sheetData sheetId="1922">
        <row r="5">
          <cell r="A5">
            <v>2</v>
          </cell>
        </row>
      </sheetData>
      <sheetData sheetId="1923">
        <row r="5">
          <cell r="A5">
            <v>2</v>
          </cell>
        </row>
      </sheetData>
      <sheetData sheetId="1924">
        <row r="5">
          <cell r="A5">
            <v>2</v>
          </cell>
        </row>
      </sheetData>
      <sheetData sheetId="1925">
        <row r="5">
          <cell r="A5">
            <v>2</v>
          </cell>
        </row>
      </sheetData>
      <sheetData sheetId="1926">
        <row r="5">
          <cell r="A5">
            <v>2</v>
          </cell>
        </row>
      </sheetData>
      <sheetData sheetId="1927">
        <row r="5">
          <cell r="A5">
            <v>2</v>
          </cell>
        </row>
      </sheetData>
      <sheetData sheetId="1928">
        <row r="5">
          <cell r="A5">
            <v>2</v>
          </cell>
        </row>
      </sheetData>
      <sheetData sheetId="1929">
        <row r="5">
          <cell r="A5">
            <v>2</v>
          </cell>
        </row>
      </sheetData>
      <sheetData sheetId="1930">
        <row r="5">
          <cell r="A5">
            <v>2</v>
          </cell>
        </row>
      </sheetData>
      <sheetData sheetId="1931">
        <row r="5">
          <cell r="A5">
            <v>2</v>
          </cell>
        </row>
      </sheetData>
      <sheetData sheetId="1932">
        <row r="5">
          <cell r="A5">
            <v>2</v>
          </cell>
        </row>
      </sheetData>
      <sheetData sheetId="1933">
        <row r="5">
          <cell r="A5">
            <v>2</v>
          </cell>
        </row>
      </sheetData>
      <sheetData sheetId="1934">
        <row r="5">
          <cell r="A5">
            <v>2</v>
          </cell>
        </row>
      </sheetData>
      <sheetData sheetId="1935">
        <row r="5">
          <cell r="A5">
            <v>2</v>
          </cell>
        </row>
      </sheetData>
      <sheetData sheetId="1936">
        <row r="5">
          <cell r="A5">
            <v>2</v>
          </cell>
        </row>
      </sheetData>
      <sheetData sheetId="1937">
        <row r="5">
          <cell r="A5">
            <v>2</v>
          </cell>
        </row>
      </sheetData>
      <sheetData sheetId="1938">
        <row r="5">
          <cell r="A5">
            <v>2</v>
          </cell>
        </row>
      </sheetData>
      <sheetData sheetId="1939">
        <row r="5">
          <cell r="A5">
            <v>2</v>
          </cell>
        </row>
      </sheetData>
      <sheetData sheetId="1940">
        <row r="5">
          <cell r="A5">
            <v>2</v>
          </cell>
        </row>
      </sheetData>
      <sheetData sheetId="1941">
        <row r="5">
          <cell r="A5">
            <v>2</v>
          </cell>
        </row>
      </sheetData>
      <sheetData sheetId="1942">
        <row r="5">
          <cell r="A5">
            <v>2</v>
          </cell>
        </row>
      </sheetData>
      <sheetData sheetId="1943">
        <row r="5">
          <cell r="A5">
            <v>2</v>
          </cell>
        </row>
      </sheetData>
      <sheetData sheetId="1944">
        <row r="5">
          <cell r="A5">
            <v>2</v>
          </cell>
        </row>
      </sheetData>
      <sheetData sheetId="1945">
        <row r="5">
          <cell r="A5">
            <v>2</v>
          </cell>
        </row>
      </sheetData>
      <sheetData sheetId="1946">
        <row r="5">
          <cell r="A5">
            <v>2</v>
          </cell>
        </row>
      </sheetData>
      <sheetData sheetId="1947">
        <row r="5">
          <cell r="A5">
            <v>2</v>
          </cell>
        </row>
      </sheetData>
      <sheetData sheetId="1948">
        <row r="5">
          <cell r="A5">
            <v>2</v>
          </cell>
        </row>
      </sheetData>
      <sheetData sheetId="1949">
        <row r="5">
          <cell r="A5">
            <v>2</v>
          </cell>
        </row>
      </sheetData>
      <sheetData sheetId="1950">
        <row r="5">
          <cell r="A5">
            <v>2</v>
          </cell>
        </row>
      </sheetData>
      <sheetData sheetId="1951">
        <row r="5">
          <cell r="A5">
            <v>2</v>
          </cell>
        </row>
      </sheetData>
      <sheetData sheetId="1952">
        <row r="5">
          <cell r="A5">
            <v>2</v>
          </cell>
        </row>
      </sheetData>
      <sheetData sheetId="1953">
        <row r="5">
          <cell r="A5">
            <v>2</v>
          </cell>
        </row>
      </sheetData>
      <sheetData sheetId="1954">
        <row r="5">
          <cell r="A5">
            <v>2</v>
          </cell>
        </row>
      </sheetData>
      <sheetData sheetId="1955">
        <row r="5">
          <cell r="A5">
            <v>2</v>
          </cell>
        </row>
      </sheetData>
      <sheetData sheetId="1956">
        <row r="5">
          <cell r="A5">
            <v>2</v>
          </cell>
        </row>
      </sheetData>
      <sheetData sheetId="1957">
        <row r="5">
          <cell r="A5">
            <v>2</v>
          </cell>
        </row>
      </sheetData>
      <sheetData sheetId="1958">
        <row r="5">
          <cell r="A5">
            <v>2</v>
          </cell>
        </row>
      </sheetData>
      <sheetData sheetId="1959">
        <row r="5">
          <cell r="A5">
            <v>2</v>
          </cell>
        </row>
      </sheetData>
      <sheetData sheetId="1960">
        <row r="5">
          <cell r="A5">
            <v>2</v>
          </cell>
        </row>
      </sheetData>
      <sheetData sheetId="1961">
        <row r="5">
          <cell r="A5">
            <v>2</v>
          </cell>
        </row>
      </sheetData>
      <sheetData sheetId="1962">
        <row r="5">
          <cell r="A5">
            <v>2</v>
          </cell>
        </row>
      </sheetData>
      <sheetData sheetId="1963">
        <row r="5">
          <cell r="A5">
            <v>2</v>
          </cell>
        </row>
      </sheetData>
      <sheetData sheetId="1964">
        <row r="5">
          <cell r="A5">
            <v>2</v>
          </cell>
        </row>
      </sheetData>
      <sheetData sheetId="1965">
        <row r="5">
          <cell r="A5">
            <v>2</v>
          </cell>
        </row>
      </sheetData>
      <sheetData sheetId="1966">
        <row r="5">
          <cell r="A5">
            <v>2</v>
          </cell>
        </row>
      </sheetData>
      <sheetData sheetId="1967">
        <row r="5">
          <cell r="A5">
            <v>2</v>
          </cell>
        </row>
      </sheetData>
      <sheetData sheetId="1968">
        <row r="5">
          <cell r="A5">
            <v>2</v>
          </cell>
        </row>
      </sheetData>
      <sheetData sheetId="1969">
        <row r="5">
          <cell r="A5">
            <v>2</v>
          </cell>
        </row>
      </sheetData>
      <sheetData sheetId="1970">
        <row r="5">
          <cell r="A5">
            <v>2</v>
          </cell>
        </row>
      </sheetData>
      <sheetData sheetId="1971">
        <row r="5">
          <cell r="A5">
            <v>2</v>
          </cell>
        </row>
      </sheetData>
      <sheetData sheetId="1972">
        <row r="5">
          <cell r="A5">
            <v>2</v>
          </cell>
        </row>
      </sheetData>
      <sheetData sheetId="1973">
        <row r="5">
          <cell r="A5">
            <v>2</v>
          </cell>
        </row>
      </sheetData>
      <sheetData sheetId="1974"/>
      <sheetData sheetId="1975">
        <row r="5">
          <cell r="A5">
            <v>2</v>
          </cell>
        </row>
      </sheetData>
      <sheetData sheetId="1976">
        <row r="5">
          <cell r="A5">
            <v>2</v>
          </cell>
        </row>
      </sheetData>
      <sheetData sheetId="1977">
        <row r="5">
          <cell r="A5">
            <v>2</v>
          </cell>
        </row>
      </sheetData>
      <sheetData sheetId="1978">
        <row r="5">
          <cell r="A5">
            <v>2</v>
          </cell>
        </row>
      </sheetData>
      <sheetData sheetId="1979">
        <row r="5">
          <cell r="A5">
            <v>2</v>
          </cell>
        </row>
      </sheetData>
      <sheetData sheetId="1980">
        <row r="5">
          <cell r="A5">
            <v>2</v>
          </cell>
        </row>
      </sheetData>
      <sheetData sheetId="1981">
        <row r="5">
          <cell r="A5">
            <v>2</v>
          </cell>
        </row>
      </sheetData>
      <sheetData sheetId="1982">
        <row r="5">
          <cell r="A5">
            <v>2</v>
          </cell>
        </row>
      </sheetData>
      <sheetData sheetId="1983">
        <row r="5">
          <cell r="A5">
            <v>2</v>
          </cell>
        </row>
      </sheetData>
      <sheetData sheetId="1984">
        <row r="5">
          <cell r="A5">
            <v>2</v>
          </cell>
        </row>
      </sheetData>
      <sheetData sheetId="1985">
        <row r="5">
          <cell r="A5">
            <v>2</v>
          </cell>
        </row>
      </sheetData>
      <sheetData sheetId="1986">
        <row r="5">
          <cell r="A5">
            <v>2</v>
          </cell>
        </row>
      </sheetData>
      <sheetData sheetId="1987">
        <row r="5">
          <cell r="A5">
            <v>2</v>
          </cell>
        </row>
      </sheetData>
      <sheetData sheetId="1988">
        <row r="5">
          <cell r="A5">
            <v>2</v>
          </cell>
        </row>
      </sheetData>
      <sheetData sheetId="1989">
        <row r="5">
          <cell r="A5">
            <v>2</v>
          </cell>
        </row>
      </sheetData>
      <sheetData sheetId="1990">
        <row r="5">
          <cell r="A5">
            <v>2</v>
          </cell>
        </row>
      </sheetData>
      <sheetData sheetId="1991">
        <row r="5">
          <cell r="A5">
            <v>2</v>
          </cell>
        </row>
      </sheetData>
      <sheetData sheetId="1992"/>
      <sheetData sheetId="1993">
        <row r="5">
          <cell r="A5">
            <v>2</v>
          </cell>
        </row>
      </sheetData>
      <sheetData sheetId="1994">
        <row r="5">
          <cell r="A5">
            <v>2</v>
          </cell>
        </row>
      </sheetData>
      <sheetData sheetId="1995">
        <row r="5">
          <cell r="A5">
            <v>2</v>
          </cell>
        </row>
      </sheetData>
      <sheetData sheetId="1996">
        <row r="5">
          <cell r="A5">
            <v>2</v>
          </cell>
        </row>
      </sheetData>
      <sheetData sheetId="1997">
        <row r="5">
          <cell r="A5">
            <v>2</v>
          </cell>
        </row>
      </sheetData>
      <sheetData sheetId="1998">
        <row r="5">
          <cell r="A5">
            <v>2</v>
          </cell>
        </row>
      </sheetData>
      <sheetData sheetId="1999">
        <row r="5">
          <cell r="A5">
            <v>2</v>
          </cell>
        </row>
      </sheetData>
      <sheetData sheetId="2000">
        <row r="5">
          <cell r="A5">
            <v>2</v>
          </cell>
        </row>
      </sheetData>
      <sheetData sheetId="2001">
        <row r="5">
          <cell r="A5">
            <v>2</v>
          </cell>
        </row>
      </sheetData>
      <sheetData sheetId="2002">
        <row r="5">
          <cell r="A5">
            <v>2</v>
          </cell>
        </row>
      </sheetData>
      <sheetData sheetId="2003">
        <row r="5">
          <cell r="A5">
            <v>2</v>
          </cell>
        </row>
      </sheetData>
      <sheetData sheetId="2004">
        <row r="5">
          <cell r="A5">
            <v>2</v>
          </cell>
        </row>
      </sheetData>
      <sheetData sheetId="2005">
        <row r="5">
          <cell r="A5">
            <v>2</v>
          </cell>
        </row>
      </sheetData>
      <sheetData sheetId="2006">
        <row r="5">
          <cell r="A5">
            <v>2</v>
          </cell>
        </row>
      </sheetData>
      <sheetData sheetId="2007">
        <row r="5">
          <cell r="A5">
            <v>2</v>
          </cell>
        </row>
      </sheetData>
      <sheetData sheetId="2008">
        <row r="5">
          <cell r="A5">
            <v>2</v>
          </cell>
        </row>
      </sheetData>
      <sheetData sheetId="2009">
        <row r="5">
          <cell r="A5">
            <v>2</v>
          </cell>
        </row>
      </sheetData>
      <sheetData sheetId="2010">
        <row r="5">
          <cell r="A5">
            <v>2</v>
          </cell>
        </row>
      </sheetData>
      <sheetData sheetId="2011">
        <row r="5">
          <cell r="A5">
            <v>2</v>
          </cell>
        </row>
      </sheetData>
      <sheetData sheetId="2012">
        <row r="5">
          <cell r="A5">
            <v>2</v>
          </cell>
        </row>
      </sheetData>
      <sheetData sheetId="2013">
        <row r="5">
          <cell r="A5">
            <v>2</v>
          </cell>
        </row>
      </sheetData>
      <sheetData sheetId="2014">
        <row r="5">
          <cell r="A5">
            <v>2</v>
          </cell>
        </row>
      </sheetData>
      <sheetData sheetId="2015">
        <row r="5">
          <cell r="A5">
            <v>2</v>
          </cell>
        </row>
      </sheetData>
      <sheetData sheetId="2016">
        <row r="5">
          <cell r="A5">
            <v>2</v>
          </cell>
        </row>
      </sheetData>
      <sheetData sheetId="2017">
        <row r="5">
          <cell r="A5">
            <v>2</v>
          </cell>
        </row>
      </sheetData>
      <sheetData sheetId="2018">
        <row r="5">
          <cell r="A5">
            <v>2</v>
          </cell>
        </row>
      </sheetData>
      <sheetData sheetId="2019"/>
      <sheetData sheetId="2020"/>
      <sheetData sheetId="2021">
        <row r="5">
          <cell r="A5">
            <v>2</v>
          </cell>
        </row>
      </sheetData>
      <sheetData sheetId="2022">
        <row r="5">
          <cell r="A5">
            <v>2</v>
          </cell>
        </row>
      </sheetData>
      <sheetData sheetId="2023"/>
      <sheetData sheetId="2024">
        <row r="5">
          <cell r="A5">
            <v>2</v>
          </cell>
        </row>
      </sheetData>
      <sheetData sheetId="2025"/>
      <sheetData sheetId="2026">
        <row r="5">
          <cell r="A5">
            <v>2</v>
          </cell>
        </row>
      </sheetData>
      <sheetData sheetId="2027">
        <row r="5">
          <cell r="A5">
            <v>2</v>
          </cell>
        </row>
      </sheetData>
      <sheetData sheetId="2028"/>
      <sheetData sheetId="2029">
        <row r="5">
          <cell r="A5">
            <v>2</v>
          </cell>
        </row>
      </sheetData>
      <sheetData sheetId="2030">
        <row r="5">
          <cell r="A5">
            <v>2</v>
          </cell>
        </row>
      </sheetData>
      <sheetData sheetId="2031">
        <row r="5">
          <cell r="A5">
            <v>2</v>
          </cell>
        </row>
      </sheetData>
      <sheetData sheetId="2032"/>
      <sheetData sheetId="2033">
        <row r="5">
          <cell r="A5">
            <v>2</v>
          </cell>
        </row>
      </sheetData>
      <sheetData sheetId="2034">
        <row r="5">
          <cell r="A5">
            <v>2</v>
          </cell>
        </row>
      </sheetData>
      <sheetData sheetId="2035">
        <row r="5">
          <cell r="A5">
            <v>2</v>
          </cell>
        </row>
      </sheetData>
      <sheetData sheetId="2036">
        <row r="5">
          <cell r="A5">
            <v>2</v>
          </cell>
        </row>
      </sheetData>
      <sheetData sheetId="2037">
        <row r="5">
          <cell r="A5">
            <v>2</v>
          </cell>
        </row>
      </sheetData>
      <sheetData sheetId="2038">
        <row r="5">
          <cell r="A5">
            <v>2</v>
          </cell>
        </row>
      </sheetData>
      <sheetData sheetId="2039">
        <row r="5">
          <cell r="A5">
            <v>2</v>
          </cell>
        </row>
      </sheetData>
      <sheetData sheetId="2040">
        <row r="5">
          <cell r="A5">
            <v>2</v>
          </cell>
        </row>
      </sheetData>
      <sheetData sheetId="2041">
        <row r="5">
          <cell r="A5">
            <v>2</v>
          </cell>
        </row>
      </sheetData>
      <sheetData sheetId="2042">
        <row r="5">
          <cell r="A5">
            <v>2</v>
          </cell>
        </row>
      </sheetData>
      <sheetData sheetId="2043">
        <row r="5">
          <cell r="A5">
            <v>2</v>
          </cell>
        </row>
      </sheetData>
      <sheetData sheetId="2044">
        <row r="5">
          <cell r="A5">
            <v>2</v>
          </cell>
        </row>
      </sheetData>
      <sheetData sheetId="2045">
        <row r="5">
          <cell r="A5">
            <v>2</v>
          </cell>
        </row>
      </sheetData>
      <sheetData sheetId="2046">
        <row r="5">
          <cell r="A5">
            <v>2</v>
          </cell>
        </row>
      </sheetData>
      <sheetData sheetId="2047">
        <row r="5">
          <cell r="A5">
            <v>2</v>
          </cell>
        </row>
      </sheetData>
      <sheetData sheetId="2048">
        <row r="5">
          <cell r="A5">
            <v>2</v>
          </cell>
        </row>
      </sheetData>
      <sheetData sheetId="2049">
        <row r="5">
          <cell r="A5">
            <v>2</v>
          </cell>
        </row>
      </sheetData>
      <sheetData sheetId="2050">
        <row r="5">
          <cell r="A5">
            <v>2</v>
          </cell>
        </row>
      </sheetData>
      <sheetData sheetId="2051">
        <row r="5">
          <cell r="A5">
            <v>2</v>
          </cell>
        </row>
      </sheetData>
      <sheetData sheetId="2052">
        <row r="5">
          <cell r="A5">
            <v>2</v>
          </cell>
        </row>
      </sheetData>
      <sheetData sheetId="2053">
        <row r="5">
          <cell r="A5">
            <v>2</v>
          </cell>
        </row>
      </sheetData>
      <sheetData sheetId="2054">
        <row r="5">
          <cell r="A5">
            <v>2</v>
          </cell>
        </row>
      </sheetData>
      <sheetData sheetId="2055">
        <row r="5">
          <cell r="A5">
            <v>2</v>
          </cell>
        </row>
      </sheetData>
      <sheetData sheetId="2056">
        <row r="5">
          <cell r="A5">
            <v>2</v>
          </cell>
        </row>
      </sheetData>
      <sheetData sheetId="2057">
        <row r="5">
          <cell r="A5">
            <v>2</v>
          </cell>
        </row>
      </sheetData>
      <sheetData sheetId="2058">
        <row r="5">
          <cell r="A5">
            <v>2</v>
          </cell>
        </row>
      </sheetData>
      <sheetData sheetId="2059">
        <row r="5">
          <cell r="A5">
            <v>2</v>
          </cell>
        </row>
      </sheetData>
      <sheetData sheetId="2060">
        <row r="5">
          <cell r="A5">
            <v>2</v>
          </cell>
        </row>
      </sheetData>
      <sheetData sheetId="2061">
        <row r="5">
          <cell r="A5">
            <v>2</v>
          </cell>
        </row>
      </sheetData>
      <sheetData sheetId="2062">
        <row r="5">
          <cell r="A5">
            <v>2</v>
          </cell>
        </row>
      </sheetData>
      <sheetData sheetId="2063" refreshError="1"/>
      <sheetData sheetId="2064" refreshError="1"/>
      <sheetData sheetId="2065" refreshError="1"/>
      <sheetData sheetId="2066" refreshError="1"/>
      <sheetData sheetId="2067" refreshError="1"/>
      <sheetData sheetId="2068" refreshError="1"/>
      <sheetData sheetId="2069" refreshError="1"/>
      <sheetData sheetId="2070" refreshError="1"/>
      <sheetData sheetId="2071" refreshError="1"/>
      <sheetData sheetId="2072" refreshError="1"/>
      <sheetData sheetId="2073" refreshError="1"/>
      <sheetData sheetId="2074" refreshError="1"/>
      <sheetData sheetId="2075" refreshError="1"/>
      <sheetData sheetId="2076" refreshError="1"/>
      <sheetData sheetId="2077" refreshError="1"/>
      <sheetData sheetId="2078" refreshError="1"/>
      <sheetData sheetId="2079" refreshError="1"/>
      <sheetData sheetId="2080" refreshError="1"/>
      <sheetData sheetId="2081" refreshError="1"/>
      <sheetData sheetId="2082" refreshError="1"/>
      <sheetData sheetId="2083" refreshError="1"/>
      <sheetData sheetId="2084" refreshError="1"/>
      <sheetData sheetId="2085" refreshError="1"/>
      <sheetData sheetId="2086" refreshError="1"/>
      <sheetData sheetId="2087" refreshError="1"/>
      <sheetData sheetId="2088" refreshError="1"/>
      <sheetData sheetId="2089" refreshError="1"/>
      <sheetData sheetId="2090" refreshError="1"/>
      <sheetData sheetId="2091" refreshError="1"/>
      <sheetData sheetId="2092">
        <row r="5">
          <cell r="A5">
            <v>2</v>
          </cell>
        </row>
      </sheetData>
      <sheetData sheetId="2093" refreshError="1"/>
      <sheetData sheetId="2094" refreshError="1"/>
      <sheetData sheetId="2095" refreshError="1"/>
      <sheetData sheetId="2096" refreshError="1"/>
      <sheetData sheetId="2097" refreshError="1"/>
      <sheetData sheetId="2098" refreshError="1"/>
      <sheetData sheetId="2099">
        <row r="5">
          <cell r="A5">
            <v>2</v>
          </cell>
        </row>
      </sheetData>
      <sheetData sheetId="2100">
        <row r="5">
          <cell r="A5">
            <v>2</v>
          </cell>
        </row>
      </sheetData>
      <sheetData sheetId="2101" refreshError="1"/>
      <sheetData sheetId="2102" refreshError="1"/>
      <sheetData sheetId="2103" refreshError="1"/>
      <sheetData sheetId="2104" refreshError="1"/>
      <sheetData sheetId="2105" refreshError="1"/>
      <sheetData sheetId="2106" refreshError="1"/>
      <sheetData sheetId="2107" refreshError="1"/>
      <sheetData sheetId="2108" refreshError="1"/>
      <sheetData sheetId="2109" refreshError="1"/>
      <sheetData sheetId="2110" refreshError="1"/>
      <sheetData sheetId="2111" refreshError="1"/>
      <sheetData sheetId="2112" refreshError="1"/>
      <sheetData sheetId="2113" refreshError="1"/>
      <sheetData sheetId="2114" refreshError="1"/>
      <sheetData sheetId="2115" refreshError="1"/>
      <sheetData sheetId="2116" refreshError="1"/>
      <sheetData sheetId="2117" refreshError="1"/>
      <sheetData sheetId="2118" refreshError="1"/>
      <sheetData sheetId="2119" refreshError="1"/>
      <sheetData sheetId="2120" refreshError="1"/>
      <sheetData sheetId="2121" refreshError="1"/>
      <sheetData sheetId="2122" refreshError="1"/>
      <sheetData sheetId="2123" refreshError="1"/>
      <sheetData sheetId="2124" refreshError="1"/>
      <sheetData sheetId="2125" refreshError="1"/>
      <sheetData sheetId="2126" refreshError="1"/>
      <sheetData sheetId="2127" refreshError="1"/>
      <sheetData sheetId="2128" refreshError="1"/>
      <sheetData sheetId="2129" refreshError="1"/>
      <sheetData sheetId="2130" refreshError="1"/>
      <sheetData sheetId="2131" refreshError="1"/>
      <sheetData sheetId="2132" refreshError="1"/>
      <sheetData sheetId="2133" refreshError="1"/>
      <sheetData sheetId="2134" refreshError="1"/>
      <sheetData sheetId="2135">
        <row r="5">
          <cell r="A5">
            <v>2</v>
          </cell>
        </row>
      </sheetData>
      <sheetData sheetId="2136"/>
      <sheetData sheetId="2137">
        <row r="5">
          <cell r="A5">
            <v>2</v>
          </cell>
        </row>
      </sheetData>
      <sheetData sheetId="2138" refreshError="1"/>
      <sheetData sheetId="2139" refreshError="1"/>
      <sheetData sheetId="2140" refreshError="1"/>
      <sheetData sheetId="2141" refreshError="1"/>
      <sheetData sheetId="2142" refreshError="1"/>
      <sheetData sheetId="2143" refreshError="1"/>
      <sheetData sheetId="2144" refreshError="1"/>
      <sheetData sheetId="2145" refreshError="1"/>
      <sheetData sheetId="2146" refreshError="1"/>
      <sheetData sheetId="2147" refreshError="1"/>
      <sheetData sheetId="2148" refreshError="1"/>
      <sheetData sheetId="2149" refreshError="1"/>
      <sheetData sheetId="2150" refreshError="1"/>
      <sheetData sheetId="2151" refreshError="1"/>
      <sheetData sheetId="2152" refreshError="1"/>
      <sheetData sheetId="2153" refreshError="1"/>
      <sheetData sheetId="2154" refreshError="1"/>
      <sheetData sheetId="2155" refreshError="1"/>
      <sheetData sheetId="2156" refreshError="1"/>
      <sheetData sheetId="2157" refreshError="1"/>
      <sheetData sheetId="2158" refreshError="1"/>
      <sheetData sheetId="2159" refreshError="1"/>
      <sheetData sheetId="2160" refreshError="1"/>
      <sheetData sheetId="2161" refreshError="1"/>
      <sheetData sheetId="2162" refreshError="1"/>
      <sheetData sheetId="2163" refreshError="1"/>
      <sheetData sheetId="2164" refreshError="1"/>
      <sheetData sheetId="2165" refreshError="1"/>
      <sheetData sheetId="2166" refreshError="1"/>
      <sheetData sheetId="2167" refreshError="1"/>
      <sheetData sheetId="2168" refreshError="1"/>
      <sheetData sheetId="2169" refreshError="1"/>
      <sheetData sheetId="2170" refreshError="1"/>
      <sheetData sheetId="2171" refreshError="1"/>
      <sheetData sheetId="2172" refreshError="1"/>
      <sheetData sheetId="2173" refreshError="1"/>
      <sheetData sheetId="2174" refreshError="1"/>
      <sheetData sheetId="2175" refreshError="1"/>
      <sheetData sheetId="2176" refreshError="1"/>
      <sheetData sheetId="2177" refreshError="1"/>
      <sheetData sheetId="2178" refreshError="1"/>
      <sheetData sheetId="2179" refreshError="1"/>
      <sheetData sheetId="2180" refreshError="1"/>
      <sheetData sheetId="2181" refreshError="1"/>
      <sheetData sheetId="2182" refreshError="1"/>
      <sheetData sheetId="2183" refreshError="1"/>
      <sheetData sheetId="2184" refreshError="1"/>
      <sheetData sheetId="2185" refreshError="1"/>
      <sheetData sheetId="2186" refreshError="1"/>
      <sheetData sheetId="2187" refreshError="1"/>
      <sheetData sheetId="2188" refreshError="1"/>
      <sheetData sheetId="2189" refreshError="1"/>
      <sheetData sheetId="2190" refreshError="1"/>
      <sheetData sheetId="2191" refreshError="1"/>
      <sheetData sheetId="2192" refreshError="1"/>
      <sheetData sheetId="2193" refreshError="1"/>
      <sheetData sheetId="2194" refreshError="1"/>
      <sheetData sheetId="2195" refreshError="1"/>
      <sheetData sheetId="2196" refreshError="1"/>
      <sheetData sheetId="2197" refreshError="1"/>
      <sheetData sheetId="2198" refreshError="1"/>
      <sheetData sheetId="2199" refreshError="1"/>
      <sheetData sheetId="2200" refreshError="1"/>
      <sheetData sheetId="2201" refreshError="1"/>
      <sheetData sheetId="2202" refreshError="1"/>
      <sheetData sheetId="2203" refreshError="1"/>
      <sheetData sheetId="2204" refreshError="1"/>
      <sheetData sheetId="2205" refreshError="1"/>
      <sheetData sheetId="2206" refreshError="1"/>
      <sheetData sheetId="2207" refreshError="1"/>
      <sheetData sheetId="2208" refreshError="1"/>
      <sheetData sheetId="2209" refreshError="1"/>
      <sheetData sheetId="2210" refreshError="1"/>
      <sheetData sheetId="2211" refreshError="1"/>
      <sheetData sheetId="2212" refreshError="1"/>
      <sheetData sheetId="2213" refreshError="1"/>
      <sheetData sheetId="2214" refreshError="1"/>
      <sheetData sheetId="2215" refreshError="1"/>
      <sheetData sheetId="2216" refreshError="1"/>
      <sheetData sheetId="2217" refreshError="1"/>
      <sheetData sheetId="2218" refreshError="1"/>
      <sheetData sheetId="2219" refreshError="1"/>
      <sheetData sheetId="2220" refreshError="1"/>
      <sheetData sheetId="2221" refreshError="1"/>
      <sheetData sheetId="2222" refreshError="1"/>
      <sheetData sheetId="2223" refreshError="1"/>
      <sheetData sheetId="2224" refreshError="1"/>
      <sheetData sheetId="2225" refreshError="1"/>
      <sheetData sheetId="2226" refreshError="1"/>
      <sheetData sheetId="2227" refreshError="1"/>
      <sheetData sheetId="2228" refreshError="1"/>
      <sheetData sheetId="2229" refreshError="1"/>
      <sheetData sheetId="2230" refreshError="1"/>
      <sheetData sheetId="2231" refreshError="1"/>
      <sheetData sheetId="2232" refreshError="1"/>
      <sheetData sheetId="2233" refreshError="1"/>
      <sheetData sheetId="2234" refreshError="1"/>
      <sheetData sheetId="2235" refreshError="1"/>
      <sheetData sheetId="2236" refreshError="1"/>
      <sheetData sheetId="2237" refreshError="1"/>
      <sheetData sheetId="2238" refreshError="1"/>
      <sheetData sheetId="2239" refreshError="1"/>
      <sheetData sheetId="2240" refreshError="1"/>
      <sheetData sheetId="2241" refreshError="1"/>
      <sheetData sheetId="2242" refreshError="1"/>
      <sheetData sheetId="2243" refreshError="1"/>
      <sheetData sheetId="2244" refreshError="1"/>
      <sheetData sheetId="2245" refreshError="1"/>
      <sheetData sheetId="2246" refreshError="1"/>
      <sheetData sheetId="2247" refreshError="1"/>
      <sheetData sheetId="2248" refreshError="1"/>
      <sheetData sheetId="2249" refreshError="1"/>
      <sheetData sheetId="2250" refreshError="1"/>
      <sheetData sheetId="2251" refreshError="1"/>
      <sheetData sheetId="2252" refreshError="1"/>
      <sheetData sheetId="2253" refreshError="1"/>
      <sheetData sheetId="2254" refreshError="1"/>
      <sheetData sheetId="2255" refreshError="1"/>
      <sheetData sheetId="2256" refreshError="1"/>
      <sheetData sheetId="2257" refreshError="1"/>
      <sheetData sheetId="2258" refreshError="1"/>
      <sheetData sheetId="2259" refreshError="1"/>
      <sheetData sheetId="2260" refreshError="1"/>
      <sheetData sheetId="2261" refreshError="1"/>
      <sheetData sheetId="2262" refreshError="1"/>
      <sheetData sheetId="2263" refreshError="1"/>
      <sheetData sheetId="2264" refreshError="1"/>
      <sheetData sheetId="2265" refreshError="1"/>
      <sheetData sheetId="2266" refreshError="1"/>
      <sheetData sheetId="2267" refreshError="1"/>
      <sheetData sheetId="2268" refreshError="1"/>
      <sheetData sheetId="2269" refreshError="1"/>
      <sheetData sheetId="2270" refreshError="1"/>
      <sheetData sheetId="2271" refreshError="1"/>
      <sheetData sheetId="2272" refreshError="1"/>
      <sheetData sheetId="2273" refreshError="1"/>
      <sheetData sheetId="2274" refreshError="1"/>
      <sheetData sheetId="2275">
        <row r="5">
          <cell r="A5">
            <v>2</v>
          </cell>
        </row>
      </sheetData>
      <sheetData sheetId="2276" refreshError="1"/>
      <sheetData sheetId="2277" refreshError="1"/>
      <sheetData sheetId="2278" refreshError="1"/>
      <sheetData sheetId="2279" refreshError="1"/>
      <sheetData sheetId="2280" refreshError="1"/>
      <sheetData sheetId="2281" refreshError="1"/>
      <sheetData sheetId="2282" refreshError="1"/>
      <sheetData sheetId="2283" refreshError="1"/>
      <sheetData sheetId="2284" refreshError="1"/>
      <sheetData sheetId="2285" refreshError="1"/>
      <sheetData sheetId="2286" refreshError="1"/>
      <sheetData sheetId="2287" refreshError="1"/>
      <sheetData sheetId="2288" refreshError="1"/>
      <sheetData sheetId="2289" refreshError="1"/>
      <sheetData sheetId="2290" refreshError="1"/>
      <sheetData sheetId="2291" refreshError="1"/>
      <sheetData sheetId="2292" refreshError="1"/>
      <sheetData sheetId="2293" refreshError="1"/>
      <sheetData sheetId="2294" refreshError="1"/>
      <sheetData sheetId="2295" refreshError="1"/>
      <sheetData sheetId="2296" refreshError="1"/>
      <sheetData sheetId="2297" refreshError="1"/>
      <sheetData sheetId="2298" refreshError="1"/>
      <sheetData sheetId="2299"/>
      <sheetData sheetId="2300" refreshError="1"/>
      <sheetData sheetId="2301" refreshError="1"/>
      <sheetData sheetId="2302" refreshError="1"/>
      <sheetData sheetId="2303" refreshError="1"/>
      <sheetData sheetId="2304" refreshError="1"/>
      <sheetData sheetId="2305" refreshError="1"/>
      <sheetData sheetId="2306" refreshError="1"/>
      <sheetData sheetId="2307" refreshError="1"/>
      <sheetData sheetId="2308" refreshError="1"/>
      <sheetData sheetId="2309" refreshError="1"/>
      <sheetData sheetId="2310" refreshError="1"/>
      <sheetData sheetId="2311"/>
      <sheetData sheetId="2312"/>
      <sheetData sheetId="2313"/>
      <sheetData sheetId="2314"/>
      <sheetData sheetId="2315"/>
      <sheetData sheetId="2316"/>
      <sheetData sheetId="2317" refreshError="1"/>
      <sheetData sheetId="2318"/>
      <sheetData sheetId="2319"/>
      <sheetData sheetId="2320"/>
      <sheetData sheetId="2321"/>
      <sheetData sheetId="2322"/>
      <sheetData sheetId="2323"/>
      <sheetData sheetId="2324"/>
      <sheetData sheetId="2325"/>
      <sheetData sheetId="2326"/>
      <sheetData sheetId="2327"/>
      <sheetData sheetId="2328"/>
      <sheetData sheetId="2329" refreshError="1"/>
      <sheetData sheetId="2330" refreshError="1"/>
      <sheetData sheetId="2331"/>
      <sheetData sheetId="2332" refreshError="1"/>
      <sheetData sheetId="2333" refreshError="1"/>
      <sheetData sheetId="2334" refreshError="1"/>
      <sheetData sheetId="2335" refreshError="1"/>
      <sheetData sheetId="2336" refreshError="1"/>
      <sheetData sheetId="2337" refreshError="1"/>
      <sheetData sheetId="2338" refreshError="1"/>
      <sheetData sheetId="2339" refreshError="1"/>
      <sheetData sheetId="2340" refreshError="1"/>
      <sheetData sheetId="2341"/>
      <sheetData sheetId="2342" refreshError="1"/>
      <sheetData sheetId="2343" refreshError="1"/>
      <sheetData sheetId="2344" refreshError="1"/>
      <sheetData sheetId="2345" refreshError="1"/>
      <sheetData sheetId="2346" refreshError="1"/>
      <sheetData sheetId="2347" refreshError="1"/>
      <sheetData sheetId="2348" refreshError="1"/>
      <sheetData sheetId="2349" refreshError="1"/>
      <sheetData sheetId="2350" refreshError="1"/>
      <sheetData sheetId="2351" refreshError="1"/>
      <sheetData sheetId="2352" refreshError="1"/>
      <sheetData sheetId="2353" refreshError="1"/>
      <sheetData sheetId="2354" refreshError="1"/>
      <sheetData sheetId="2355" refreshError="1"/>
      <sheetData sheetId="2356" refreshError="1"/>
      <sheetData sheetId="2357"/>
      <sheetData sheetId="2358"/>
      <sheetData sheetId="2359"/>
      <sheetData sheetId="2360"/>
      <sheetData sheetId="2361" refreshError="1"/>
      <sheetData sheetId="2362" refreshError="1"/>
      <sheetData sheetId="2363" refreshError="1"/>
      <sheetData sheetId="2364" refreshError="1"/>
      <sheetData sheetId="2365" refreshError="1"/>
      <sheetData sheetId="2366" refreshError="1"/>
      <sheetData sheetId="2367" refreshError="1"/>
      <sheetData sheetId="2368" refreshError="1"/>
      <sheetData sheetId="2369" refreshError="1"/>
      <sheetData sheetId="2370" refreshError="1"/>
      <sheetData sheetId="2371" refreshError="1"/>
      <sheetData sheetId="2372" refreshError="1"/>
      <sheetData sheetId="2373" refreshError="1"/>
      <sheetData sheetId="2374" refreshError="1"/>
      <sheetData sheetId="2375"/>
      <sheetData sheetId="2376" refreshError="1"/>
      <sheetData sheetId="2377" refreshError="1"/>
      <sheetData sheetId="2378" refreshError="1"/>
      <sheetData sheetId="2379" refreshError="1"/>
      <sheetData sheetId="2380" refreshError="1"/>
      <sheetData sheetId="2381" refreshError="1"/>
      <sheetData sheetId="2382" refreshError="1"/>
      <sheetData sheetId="2383" refreshError="1"/>
      <sheetData sheetId="2384" refreshError="1"/>
      <sheetData sheetId="2385" refreshError="1"/>
      <sheetData sheetId="2386" refreshError="1"/>
      <sheetData sheetId="2387" refreshError="1"/>
      <sheetData sheetId="2388" refreshError="1"/>
      <sheetData sheetId="2389" refreshError="1"/>
      <sheetData sheetId="2390" refreshError="1"/>
      <sheetData sheetId="2391" refreshError="1"/>
      <sheetData sheetId="2392"/>
      <sheetData sheetId="2393" refreshError="1"/>
      <sheetData sheetId="2394" refreshError="1"/>
      <sheetData sheetId="2395" refreshError="1"/>
      <sheetData sheetId="2396" refreshError="1"/>
      <sheetData sheetId="2397"/>
      <sheetData sheetId="2398" refreshError="1"/>
      <sheetData sheetId="2399" refreshError="1"/>
      <sheetData sheetId="2400" refreshError="1"/>
      <sheetData sheetId="2401" refreshError="1"/>
      <sheetData sheetId="2402" refreshError="1"/>
      <sheetData sheetId="2403" refreshError="1"/>
      <sheetData sheetId="2404" refreshError="1"/>
      <sheetData sheetId="2405" refreshError="1"/>
      <sheetData sheetId="2406" refreshError="1"/>
      <sheetData sheetId="2407" refreshError="1"/>
      <sheetData sheetId="2408" refreshError="1"/>
      <sheetData sheetId="2409" refreshError="1"/>
      <sheetData sheetId="2410" refreshError="1"/>
      <sheetData sheetId="2411" refreshError="1"/>
      <sheetData sheetId="2412" refreshError="1"/>
      <sheetData sheetId="2413" refreshError="1"/>
      <sheetData sheetId="2414" refreshError="1"/>
      <sheetData sheetId="2415" refreshError="1"/>
      <sheetData sheetId="2416" refreshError="1"/>
      <sheetData sheetId="2417" refreshError="1"/>
      <sheetData sheetId="2418" refreshError="1"/>
      <sheetData sheetId="2419" refreshError="1"/>
      <sheetData sheetId="2420" refreshError="1"/>
      <sheetData sheetId="2421" refreshError="1"/>
      <sheetData sheetId="2422" refreshError="1"/>
      <sheetData sheetId="2423" refreshError="1"/>
      <sheetData sheetId="2424" refreshError="1"/>
      <sheetData sheetId="2425"/>
      <sheetData sheetId="2426"/>
      <sheetData sheetId="2427"/>
      <sheetData sheetId="2428"/>
      <sheetData sheetId="2429"/>
      <sheetData sheetId="2430"/>
      <sheetData sheetId="2431"/>
      <sheetData sheetId="2432"/>
      <sheetData sheetId="2433"/>
      <sheetData sheetId="2434"/>
      <sheetData sheetId="2435" refreshError="1"/>
      <sheetData sheetId="2436" refreshError="1"/>
      <sheetData sheetId="2437" refreshError="1"/>
      <sheetData sheetId="2438" refreshError="1"/>
      <sheetData sheetId="2439" refreshError="1"/>
      <sheetData sheetId="2440" refreshError="1"/>
      <sheetData sheetId="2441" refreshError="1"/>
      <sheetData sheetId="2442" refreshError="1"/>
      <sheetData sheetId="2443" refreshError="1"/>
      <sheetData sheetId="2444" refreshError="1"/>
      <sheetData sheetId="2445" refreshError="1"/>
      <sheetData sheetId="2446" refreshError="1"/>
      <sheetData sheetId="2447" refreshError="1"/>
      <sheetData sheetId="2448" refreshError="1"/>
      <sheetData sheetId="2449" refreshError="1"/>
      <sheetData sheetId="2450" refreshError="1"/>
      <sheetData sheetId="2451" refreshError="1"/>
      <sheetData sheetId="2452" refreshError="1"/>
      <sheetData sheetId="2453" refreshError="1"/>
      <sheetData sheetId="2454" refreshError="1"/>
      <sheetData sheetId="2455" refreshError="1"/>
      <sheetData sheetId="2456" refreshError="1"/>
      <sheetData sheetId="2457" refreshError="1"/>
      <sheetData sheetId="2458" refreshError="1"/>
      <sheetData sheetId="2459" refreshError="1"/>
      <sheetData sheetId="2460" refreshError="1"/>
      <sheetData sheetId="2461" refreshError="1"/>
      <sheetData sheetId="2462" refreshError="1"/>
      <sheetData sheetId="2463"/>
      <sheetData sheetId="2464" refreshError="1"/>
      <sheetData sheetId="2465" refreshError="1"/>
      <sheetData sheetId="2466" refreshError="1"/>
      <sheetData sheetId="2467" refreshError="1"/>
      <sheetData sheetId="2468" refreshError="1"/>
      <sheetData sheetId="2469" refreshError="1"/>
      <sheetData sheetId="2470" refreshError="1"/>
      <sheetData sheetId="2471" refreshError="1"/>
      <sheetData sheetId="2472" refreshError="1"/>
      <sheetData sheetId="2473" refreshError="1"/>
      <sheetData sheetId="2474" refreshError="1"/>
    </sheetDataSet>
  </externalBook>
</externalLink>
</file>

<file path=xl/externalLinks/externalLink9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SUMMARY"/>
      <sheetName val="TABLE2-1 ISBL(GENEAL-CIVIL)"/>
      <sheetName val="TABLE2-1 ISBL-(SlTE PREP)"/>
      <sheetName val="TABLE2-2 OSBL(GENERAL-CIVIL)"/>
      <sheetName val="TABLE2-2 OSBL-(SITE PREP)"/>
      <sheetName val="TABLE 2-2 ISBL(BLDG)"/>
      <sheetName val="BOQ(BLD)"/>
      <sheetName val="TABLE 2-2 OSBL(BLDG)"/>
      <sheetName val="TABLE2"/>
      <sheetName val="ISBL (검증)"/>
      <sheetName val="Bdown_ISBL"/>
      <sheetName val="Testing"/>
      <sheetName val="정부노임단가"/>
      <sheetName val="IMP(MAIN)"/>
      <sheetName val="IMP (REACTOR)"/>
      <sheetName val="INDIRECT MOBILIZATION PLAN"/>
      <sheetName val="MANPOWER MOBILIZATION"/>
      <sheetName val="LABOR MOBILIZATION PLAN"/>
      <sheetName val="STAFF MOBILIZATION PLAN"/>
      <sheetName val="LIST OF OFFICE EQUIPMENT"/>
      <sheetName val="BREAKDOWN"/>
      <sheetName val="PERSONNEL SETUP"/>
      <sheetName val="KOREAN STAFF SALARY - SITE"/>
      <sheetName val="TEMPORARY FACILITIES"/>
      <sheetName val="WATER SUPPLY"/>
      <sheetName val="BOQ0822"/>
      <sheetName val="BQ"/>
      <sheetName val="TABLE2-1 ISBL(HDEC단가)"/>
      <sheetName val="TABLE2-2 OSBL(HDEC단가)"/>
    </sheetNames>
    <sheetDataSet>
      <sheetData sheetId="0"/>
      <sheetData sheetId="1">
        <row r="8">
          <cell r="B8" t="str">
            <v>Excavation</v>
          </cell>
        </row>
      </sheetData>
      <sheetData sheetId="2">
        <row r="8">
          <cell r="B8" t="str">
            <v>Demolition (Paving)</v>
          </cell>
        </row>
      </sheetData>
      <sheetData sheetId="3">
        <row r="8">
          <cell r="B8" t="str">
            <v>Excavation</v>
          </cell>
        </row>
      </sheetData>
      <sheetData sheetId="4">
        <row r="8">
          <cell r="B8" t="str">
            <v>Demolition (Paving)</v>
          </cell>
        </row>
      </sheetData>
      <sheetData sheetId="5"/>
      <sheetData sheetId="6"/>
      <sheetData sheetId="7"/>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Set>
  </externalBook>
</externalLink>
</file>

<file path=xl/externalLinks/externalLink9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TABLE2-1 ISBL(GENEAL-CIVIL)"/>
      <sheetName val="TABLE2-1 ISBL-(SlTE PREP)"/>
      <sheetName val="TABLE2.1 ISBL (Soil Invest)"/>
      <sheetName val="TABLE2-2 OSBL(GENERAL-CIVIL)"/>
      <sheetName val="TABLE2-2 OSBL-(SITE PREP)"/>
      <sheetName val="TABLE 3"/>
      <sheetName val="TABLE 4"/>
      <sheetName val="TABLE 5"/>
      <sheetName val="Bdown_ISBL"/>
      <sheetName val="ISBL (검증)"/>
      <sheetName val="7.3.2.B"/>
      <sheetName val="7.3.2.C"/>
    </sheetNames>
    <sheetDataSet>
      <sheetData sheetId="0">
        <row r="9">
          <cell r="B9" t="str">
            <v>Excavation</v>
          </cell>
        </row>
      </sheetData>
      <sheetData sheetId="1">
        <row r="9">
          <cell r="B9" t="str">
            <v>Demolition (Paving)</v>
          </cell>
        </row>
      </sheetData>
      <sheetData sheetId="2">
        <row r="9">
          <cell r="B9" t="str">
            <v>Soil Investigation</v>
          </cell>
        </row>
      </sheetData>
      <sheetData sheetId="3">
        <row r="9">
          <cell r="B9" t="str">
            <v>Excavation</v>
          </cell>
        </row>
      </sheetData>
      <sheetData sheetId="4"/>
      <sheetData sheetId="5"/>
      <sheetData sheetId="6"/>
      <sheetData sheetId="7"/>
      <sheetData sheetId="8" refreshError="1"/>
      <sheetData sheetId="9" refreshError="1"/>
      <sheetData sheetId="10" refreshError="1"/>
      <sheetData sheetId="11" refreshError="1"/>
    </sheetDataSet>
  </externalBook>
</externalLink>
</file>

<file path=xl/externalLinks/externalLink9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TABLE1"/>
      <sheetName val="TABLE2-1 ISBL(GENEAL-CIVIL)"/>
      <sheetName val="TABLE2-1 ISBL-(SlTE PREP)"/>
      <sheetName val="TABLE2.1 ISBL (Soil Invest)"/>
      <sheetName val="TABLE2-2 OSBL(GENERAL-CIVIL)"/>
      <sheetName val="TABLE2-2 OSBL-(SITE PREP)"/>
      <sheetName val="TABLE 3"/>
      <sheetName val="TABLE 4"/>
      <sheetName val="TABLE 5"/>
      <sheetName val="Bdown_ISBL"/>
      <sheetName val="ISBL (검증)"/>
      <sheetName val="7.3.2.B"/>
      <sheetName val="Testing"/>
    </sheetNames>
    <sheetDataSet>
      <sheetData sheetId="0"/>
      <sheetData sheetId="1">
        <row r="9">
          <cell r="B9" t="str">
            <v>Excavation</v>
          </cell>
          <cell r="C9" t="str">
            <v>Good soil (by equipment)</v>
          </cell>
          <cell r="D9" t="str">
            <v>m3</v>
          </cell>
          <cell r="E9">
            <v>164037</v>
          </cell>
          <cell r="G9">
            <v>0</v>
          </cell>
          <cell r="I9">
            <v>0.1</v>
          </cell>
          <cell r="J9">
            <v>16403.7</v>
          </cell>
          <cell r="K9">
            <v>1.1000000000000001</v>
          </cell>
          <cell r="L9">
            <v>180440.7</v>
          </cell>
          <cell r="N9">
            <v>0</v>
          </cell>
          <cell r="O9">
            <v>1.2000000000000002</v>
          </cell>
          <cell r="P9">
            <v>196844.40000000002</v>
          </cell>
        </row>
        <row r="10">
          <cell r="B10" t="str">
            <v>Back Fill</v>
          </cell>
          <cell r="C10" t="str">
            <v>Good soil (by equipment) Compaction shall be 95% of maximum dry density in six inch compacted layers.</v>
          </cell>
          <cell r="D10" t="str">
            <v>m3</v>
          </cell>
          <cell r="E10">
            <v>107293</v>
          </cell>
          <cell r="G10">
            <v>0</v>
          </cell>
          <cell r="I10">
            <v>1.1499999999999999</v>
          </cell>
          <cell r="J10">
            <v>123386.95</v>
          </cell>
          <cell r="K10">
            <v>1.1000000000000001</v>
          </cell>
          <cell r="L10">
            <v>118022.3</v>
          </cell>
          <cell r="N10">
            <v>0</v>
          </cell>
          <cell r="O10">
            <v>2.25</v>
          </cell>
          <cell r="P10">
            <v>241409.25</v>
          </cell>
        </row>
        <row r="11">
          <cell r="B11" t="str">
            <v>Disposal</v>
          </cell>
          <cell r="C11" t="str">
            <v>Good soil</v>
          </cell>
          <cell r="D11" t="str">
            <v>m3</v>
          </cell>
          <cell r="E11">
            <v>56744</v>
          </cell>
          <cell r="G11">
            <v>0</v>
          </cell>
          <cell r="I11">
            <v>0.04</v>
          </cell>
          <cell r="J11">
            <v>2269.7600000000002</v>
          </cell>
          <cell r="K11">
            <v>0.96</v>
          </cell>
          <cell r="L11">
            <v>54474.239999999998</v>
          </cell>
          <cell r="N11">
            <v>0</v>
          </cell>
          <cell r="O11">
            <v>1</v>
          </cell>
          <cell r="P11">
            <v>56744</v>
          </cell>
        </row>
        <row r="12">
          <cell r="B12" t="str">
            <v>Concrete</v>
          </cell>
          <cell r="C12" t="str">
            <v>Grade C30 , ASTM C150 (TYPE-V)</v>
          </cell>
          <cell r="D12" t="str">
            <v>m3</v>
          </cell>
          <cell r="E12">
            <v>7590</v>
          </cell>
          <cell r="F12">
            <v>26</v>
          </cell>
          <cell r="G12">
            <v>197340</v>
          </cell>
          <cell r="I12">
            <v>8</v>
          </cell>
          <cell r="J12">
            <v>60720</v>
          </cell>
          <cell r="K12">
            <v>6</v>
          </cell>
          <cell r="L12">
            <v>45540</v>
          </cell>
          <cell r="N12">
            <v>0</v>
          </cell>
          <cell r="O12">
            <v>14</v>
          </cell>
          <cell r="P12">
            <v>106260</v>
          </cell>
        </row>
        <row r="13">
          <cell r="B13" t="str">
            <v>Blinding Con'c</v>
          </cell>
          <cell r="C13" t="str">
            <v>Grade C20, Thk.=50mm. (DEP 34.19.20.31-Gen.)</v>
          </cell>
          <cell r="D13" t="str">
            <v>m3</v>
          </cell>
          <cell r="E13">
            <v>494</v>
          </cell>
          <cell r="F13">
            <v>23</v>
          </cell>
          <cell r="G13">
            <v>11362</v>
          </cell>
          <cell r="I13">
            <v>7</v>
          </cell>
          <cell r="J13">
            <v>3458</v>
          </cell>
          <cell r="K13">
            <v>4</v>
          </cell>
          <cell r="L13">
            <v>1976</v>
          </cell>
          <cell r="N13">
            <v>0</v>
          </cell>
          <cell r="O13">
            <v>11</v>
          </cell>
          <cell r="P13">
            <v>5434</v>
          </cell>
        </row>
        <row r="14">
          <cell r="B14" t="str">
            <v>Form Work</v>
          </cell>
          <cell r="C14" t="str">
            <v>ACI 347</v>
          </cell>
          <cell r="D14" t="str">
            <v>m2</v>
          </cell>
          <cell r="E14">
            <v>25373</v>
          </cell>
          <cell r="F14">
            <v>3</v>
          </cell>
          <cell r="G14">
            <v>76119</v>
          </cell>
          <cell r="I14">
            <v>4.5</v>
          </cell>
          <cell r="J14">
            <v>114178.5</v>
          </cell>
          <cell r="K14">
            <v>0.03</v>
          </cell>
          <cell r="L14">
            <v>761.18999999999994</v>
          </cell>
          <cell r="N14">
            <v>0</v>
          </cell>
          <cell r="O14">
            <v>4.53</v>
          </cell>
          <cell r="P14">
            <v>114939.69</v>
          </cell>
        </row>
        <row r="15">
          <cell r="B15" t="str">
            <v>Re-Bar</v>
          </cell>
          <cell r="C15" t="str">
            <v xml:space="preserve">ASTM A 615 Grade 60 Type S </v>
          </cell>
          <cell r="D15" t="str">
            <v>Ton</v>
          </cell>
          <cell r="E15">
            <v>620</v>
          </cell>
          <cell r="F15">
            <v>145</v>
          </cell>
          <cell r="G15">
            <v>89900</v>
          </cell>
          <cell r="I15">
            <v>68</v>
          </cell>
          <cell r="J15">
            <v>42160</v>
          </cell>
          <cell r="K15">
            <v>2</v>
          </cell>
          <cell r="L15">
            <v>1240</v>
          </cell>
          <cell r="N15">
            <v>0</v>
          </cell>
          <cell r="O15">
            <v>70</v>
          </cell>
          <cell r="P15">
            <v>43400</v>
          </cell>
        </row>
        <row r="16">
          <cell r="B16" t="str">
            <v>Non-Shrinkage Grout</v>
          </cell>
          <cell r="C16" t="str">
            <v>75 N/mm2, DEP 34.19.20.31-Gen</v>
          </cell>
          <cell r="D16" t="str">
            <v>m3</v>
          </cell>
          <cell r="E16">
            <v>29</v>
          </cell>
          <cell r="F16">
            <v>315</v>
          </cell>
          <cell r="G16">
            <v>9135</v>
          </cell>
          <cell r="I16">
            <v>85</v>
          </cell>
          <cell r="J16">
            <v>2465</v>
          </cell>
          <cell r="K16">
            <v>10</v>
          </cell>
          <cell r="L16">
            <v>290</v>
          </cell>
          <cell r="N16">
            <v>0</v>
          </cell>
          <cell r="O16">
            <v>95</v>
          </cell>
          <cell r="P16">
            <v>2755</v>
          </cell>
        </row>
        <row r="17">
          <cell r="B17" t="str">
            <v>Sand/Cement Grout</v>
          </cell>
          <cell r="C17" t="str">
            <v>20 N/mm2,DEP 34.19.20.31-Gen</v>
          </cell>
          <cell r="D17" t="str">
            <v>m3</v>
          </cell>
          <cell r="E17">
            <v>1</v>
          </cell>
          <cell r="F17">
            <v>25</v>
          </cell>
          <cell r="G17">
            <v>25</v>
          </cell>
          <cell r="I17">
            <v>85</v>
          </cell>
          <cell r="J17">
            <v>85</v>
          </cell>
          <cell r="K17">
            <v>10</v>
          </cell>
          <cell r="L17">
            <v>10</v>
          </cell>
          <cell r="N17">
            <v>0</v>
          </cell>
          <cell r="O17">
            <v>95</v>
          </cell>
          <cell r="P17">
            <v>95</v>
          </cell>
        </row>
        <row r="18">
          <cell r="B18" t="str">
            <v>FDN. Surface Coating (U/G)</v>
          </cell>
          <cell r="C18" t="str">
            <v xml:space="preserve">bitu-coating, 2 times, 0.4kg/m2 </v>
          </cell>
          <cell r="D18" t="str">
            <v>m2</v>
          </cell>
          <cell r="E18">
            <v>14567</v>
          </cell>
          <cell r="F18">
            <v>0.25</v>
          </cell>
          <cell r="G18">
            <v>3641.75</v>
          </cell>
          <cell r="I18">
            <v>0.9</v>
          </cell>
          <cell r="J18">
            <v>13110.300000000001</v>
          </cell>
          <cell r="K18">
            <v>0.1</v>
          </cell>
          <cell r="L18">
            <v>1456.7</v>
          </cell>
          <cell r="N18">
            <v>0</v>
          </cell>
          <cell r="O18">
            <v>1</v>
          </cell>
          <cell r="P18">
            <v>14567</v>
          </cell>
        </row>
        <row r="19">
          <cell r="B19" t="str">
            <v>FDN. Surface Coating (A/G)</v>
          </cell>
          <cell r="C19" t="str">
            <v>bitu-coating, 2 times, 0.4kg/m2, 150mm above ground level</v>
          </cell>
          <cell r="D19" t="str">
            <v>m2</v>
          </cell>
          <cell r="E19">
            <v>977</v>
          </cell>
          <cell r="F19">
            <v>0.25</v>
          </cell>
          <cell r="G19">
            <v>244.25</v>
          </cell>
          <cell r="I19">
            <v>0.9</v>
          </cell>
          <cell r="J19">
            <v>879.30000000000007</v>
          </cell>
          <cell r="K19">
            <v>0.1</v>
          </cell>
          <cell r="L19">
            <v>97.7</v>
          </cell>
          <cell r="N19">
            <v>0</v>
          </cell>
          <cell r="O19">
            <v>1</v>
          </cell>
          <cell r="P19">
            <v>977</v>
          </cell>
        </row>
        <row r="20">
          <cell r="B20" t="str">
            <v>Sand Bitumen</v>
          </cell>
          <cell r="C20" t="str">
            <v>50mm sand bitumen mix or oil/sand mix. (DEP 34.18.51.10-Gen. Appendix 3 and 4)</v>
          </cell>
          <cell r="D20" t="str">
            <v>m3</v>
          </cell>
          <cell r="E20">
            <v>3</v>
          </cell>
          <cell r="F20">
            <v>50</v>
          </cell>
          <cell r="G20">
            <v>150</v>
          </cell>
          <cell r="I20">
            <v>10</v>
          </cell>
          <cell r="J20">
            <v>30</v>
          </cell>
          <cell r="K20">
            <v>10</v>
          </cell>
          <cell r="L20">
            <v>30</v>
          </cell>
          <cell r="N20">
            <v>0</v>
          </cell>
          <cell r="O20">
            <v>20</v>
          </cell>
          <cell r="P20">
            <v>60</v>
          </cell>
        </row>
        <row r="21">
          <cell r="B21" t="str">
            <v>Structural Fill (Sand)</v>
          </cell>
          <cell r="C21" t="str">
            <v>Compaction shall be 95% of maximum dry density in six inch compacted layers.</v>
          </cell>
          <cell r="D21" t="str">
            <v>m3</v>
          </cell>
          <cell r="E21">
            <v>21387</v>
          </cell>
          <cell r="F21">
            <v>2</v>
          </cell>
          <cell r="G21">
            <v>42774</v>
          </cell>
          <cell r="I21">
            <v>1</v>
          </cell>
          <cell r="J21">
            <v>21387</v>
          </cell>
          <cell r="K21">
            <v>1</v>
          </cell>
          <cell r="L21">
            <v>21387</v>
          </cell>
          <cell r="N21">
            <v>0</v>
          </cell>
          <cell r="O21">
            <v>2</v>
          </cell>
          <cell r="P21">
            <v>42774</v>
          </cell>
        </row>
        <row r="22">
          <cell r="B22" t="str">
            <v>Structural Fill (Compacted Stone or Gravel)</v>
          </cell>
          <cell r="C22" t="str">
            <v>Compaction shall be 95% of maximum dry density in six inch compacted layers.</v>
          </cell>
          <cell r="D22" t="str">
            <v>m3</v>
          </cell>
          <cell r="E22">
            <v>5</v>
          </cell>
          <cell r="F22">
            <v>12</v>
          </cell>
          <cell r="G22">
            <v>60</v>
          </cell>
          <cell r="I22">
            <v>3</v>
          </cell>
          <cell r="J22">
            <v>15</v>
          </cell>
          <cell r="K22">
            <v>1</v>
          </cell>
          <cell r="L22">
            <v>5</v>
          </cell>
          <cell r="N22">
            <v>0</v>
          </cell>
          <cell r="O22">
            <v>4</v>
          </cell>
          <cell r="P22">
            <v>20</v>
          </cell>
        </row>
        <row r="23">
          <cell r="B23" t="str">
            <v>Water Stop</v>
          </cell>
          <cell r="C23" t="str">
            <v>PVC, W=150mm</v>
          </cell>
          <cell r="D23" t="str">
            <v>m</v>
          </cell>
          <cell r="E23">
            <v>522</v>
          </cell>
          <cell r="F23">
            <v>2</v>
          </cell>
          <cell r="G23">
            <v>1044</v>
          </cell>
          <cell r="I23">
            <v>1.8</v>
          </cell>
          <cell r="J23">
            <v>939.6</v>
          </cell>
          <cell r="K23">
            <v>0.05</v>
          </cell>
          <cell r="L23">
            <v>26.1</v>
          </cell>
          <cell r="N23">
            <v>0</v>
          </cell>
          <cell r="O23">
            <v>1.85</v>
          </cell>
          <cell r="P23">
            <v>965.7</v>
          </cell>
        </row>
        <row r="24">
          <cell r="B24" t="str">
            <v>Outside Water Proofing (for Pit &amp; Basin)</v>
          </cell>
          <cell r="C24" t="str">
            <v xml:space="preserve">bitu-coating, 2 times, 0.4kg/m2 </v>
          </cell>
          <cell r="D24" t="str">
            <v>m2</v>
          </cell>
          <cell r="E24">
            <v>1215</v>
          </cell>
          <cell r="F24">
            <v>1.8</v>
          </cell>
          <cell r="G24">
            <v>2187</v>
          </cell>
          <cell r="I24">
            <v>1.7</v>
          </cell>
          <cell r="J24">
            <v>2065.5</v>
          </cell>
          <cell r="K24">
            <v>0.05</v>
          </cell>
          <cell r="L24">
            <v>60.75</v>
          </cell>
          <cell r="N24">
            <v>0</v>
          </cell>
          <cell r="O24">
            <v>1.75</v>
          </cell>
          <cell r="P24">
            <v>2126.25</v>
          </cell>
        </row>
        <row r="25">
          <cell r="B25" t="str">
            <v>Inside Wall Coating (Water Proofing Only)</v>
          </cell>
          <cell r="C25" t="str">
            <v>Liquid water coating</v>
          </cell>
          <cell r="D25" t="str">
            <v>m2</v>
          </cell>
          <cell r="E25">
            <v>1375</v>
          </cell>
          <cell r="F25">
            <v>1.2</v>
          </cell>
          <cell r="G25">
            <v>1650</v>
          </cell>
          <cell r="I25">
            <v>1.7</v>
          </cell>
          <cell r="J25">
            <v>2337.5</v>
          </cell>
          <cell r="K25">
            <v>0.05</v>
          </cell>
          <cell r="L25">
            <v>68.75</v>
          </cell>
          <cell r="N25">
            <v>0</v>
          </cell>
          <cell r="O25">
            <v>1.75</v>
          </cell>
          <cell r="P25">
            <v>2406.25</v>
          </cell>
        </row>
        <row r="26">
          <cell r="B26" t="str">
            <v>Drain Pipe (for concrete Tank)</v>
          </cell>
          <cell r="C26" t="str">
            <v>HDPE drain pipe (Φ 75x6.9mm)</v>
          </cell>
          <cell r="D26" t="str">
            <v>m</v>
          </cell>
          <cell r="E26">
            <v>1</v>
          </cell>
          <cell r="F26">
            <v>3</v>
          </cell>
          <cell r="G26">
            <v>3</v>
          </cell>
          <cell r="I26">
            <v>4</v>
          </cell>
          <cell r="J26">
            <v>4</v>
          </cell>
          <cell r="L26">
            <v>0</v>
          </cell>
          <cell r="N26">
            <v>0</v>
          </cell>
          <cell r="O26">
            <v>4</v>
          </cell>
          <cell r="P26">
            <v>4</v>
          </cell>
        </row>
        <row r="27">
          <cell r="B27" t="str">
            <v>Geotextile membrane</v>
          </cell>
          <cell r="C27" t="str">
            <v>woven/roven type Nicolon No. 66339 or equivalent</v>
          </cell>
          <cell r="D27" t="str">
            <v>m2</v>
          </cell>
          <cell r="E27">
            <v>128</v>
          </cell>
          <cell r="F27">
            <v>0.5</v>
          </cell>
          <cell r="G27">
            <v>64</v>
          </cell>
          <cell r="I27">
            <v>1</v>
          </cell>
          <cell r="J27">
            <v>128</v>
          </cell>
          <cell r="L27">
            <v>0</v>
          </cell>
          <cell r="N27">
            <v>0</v>
          </cell>
          <cell r="O27">
            <v>1</v>
          </cell>
          <cell r="P27">
            <v>128</v>
          </cell>
        </row>
        <row r="28">
          <cell r="B28" t="str">
            <v>Drain Pipe (for Tank Foundation) 1</v>
          </cell>
          <cell r="C28" t="str">
            <v>HDPE drain pipe (Φ 125mm)</v>
          </cell>
          <cell r="D28" t="str">
            <v>m</v>
          </cell>
          <cell r="E28">
            <v>14</v>
          </cell>
          <cell r="F28">
            <v>2</v>
          </cell>
          <cell r="G28">
            <v>28</v>
          </cell>
          <cell r="I28">
            <v>4</v>
          </cell>
          <cell r="J28">
            <v>56</v>
          </cell>
          <cell r="L28">
            <v>0</v>
          </cell>
          <cell r="N28">
            <v>0</v>
          </cell>
          <cell r="O28">
            <v>4</v>
          </cell>
          <cell r="P28">
            <v>56</v>
          </cell>
        </row>
        <row r="29">
          <cell r="B29" t="str">
            <v>Drain Pipe (for Tank Foundation) 2</v>
          </cell>
          <cell r="C29" t="str">
            <v>HDPE drain pipe (Φ 25mm)</v>
          </cell>
          <cell r="D29" t="str">
            <v>m</v>
          </cell>
          <cell r="E29">
            <v>14</v>
          </cell>
          <cell r="F29">
            <v>0.7</v>
          </cell>
          <cell r="G29">
            <v>9.7999999999999989</v>
          </cell>
          <cell r="I29">
            <v>4</v>
          </cell>
          <cell r="J29">
            <v>56</v>
          </cell>
          <cell r="L29">
            <v>0</v>
          </cell>
          <cell r="N29">
            <v>0</v>
          </cell>
          <cell r="O29">
            <v>4</v>
          </cell>
          <cell r="P29">
            <v>56</v>
          </cell>
        </row>
        <row r="30">
          <cell r="B30" t="str">
            <v>Manhole Cover</v>
          </cell>
          <cell r="C30" t="str">
            <v>Cast Iron cover, Φ600mm (unpaved area)</v>
          </cell>
          <cell r="D30" t="str">
            <v>ea</v>
          </cell>
          <cell r="E30">
            <v>12</v>
          </cell>
          <cell r="F30">
            <v>60</v>
          </cell>
          <cell r="G30">
            <v>720</v>
          </cell>
          <cell r="I30">
            <v>10</v>
          </cell>
          <cell r="J30">
            <v>120</v>
          </cell>
          <cell r="L30">
            <v>0</v>
          </cell>
          <cell r="N30">
            <v>0</v>
          </cell>
          <cell r="O30">
            <v>10</v>
          </cell>
          <cell r="P30">
            <v>120</v>
          </cell>
        </row>
        <row r="31">
          <cell r="B31" t="str">
            <v>Hume Pipe</v>
          </cell>
          <cell r="C31" t="str">
            <v>D=450mm</v>
          </cell>
          <cell r="D31" t="str">
            <v>m</v>
          </cell>
          <cell r="E31">
            <v>1180</v>
          </cell>
          <cell r="F31">
            <v>15</v>
          </cell>
          <cell r="G31">
            <v>17700</v>
          </cell>
          <cell r="I31">
            <v>8</v>
          </cell>
          <cell r="J31">
            <v>9440</v>
          </cell>
          <cell r="K31">
            <v>2</v>
          </cell>
          <cell r="L31">
            <v>2360</v>
          </cell>
          <cell r="N31">
            <v>0</v>
          </cell>
          <cell r="O31">
            <v>10</v>
          </cell>
          <cell r="P31">
            <v>11800</v>
          </cell>
        </row>
        <row r="32">
          <cell r="B32" t="str">
            <v>4" diameter vent pipe</v>
          </cell>
          <cell r="C32" t="str">
            <v>steel pipe</v>
          </cell>
          <cell r="D32" t="str">
            <v>m</v>
          </cell>
          <cell r="E32">
            <v>48</v>
          </cell>
          <cell r="F32">
            <v>6</v>
          </cell>
          <cell r="G32">
            <v>288</v>
          </cell>
          <cell r="I32">
            <v>4</v>
          </cell>
          <cell r="J32">
            <v>192</v>
          </cell>
          <cell r="L32">
            <v>0</v>
          </cell>
          <cell r="N32">
            <v>0</v>
          </cell>
          <cell r="O32">
            <v>4</v>
          </cell>
          <cell r="P32">
            <v>192</v>
          </cell>
        </row>
        <row r="33">
          <cell r="B33" t="str">
            <v>Warning Tape</v>
          </cell>
          <cell r="C33" t="str">
            <v>P.V.C</v>
          </cell>
          <cell r="D33" t="str">
            <v>m</v>
          </cell>
          <cell r="E33">
            <v>16632</v>
          </cell>
          <cell r="F33">
            <v>0.2</v>
          </cell>
          <cell r="G33">
            <v>3326.4</v>
          </cell>
          <cell r="I33">
            <v>0.1</v>
          </cell>
          <cell r="J33">
            <v>1663.2</v>
          </cell>
          <cell r="L33">
            <v>0</v>
          </cell>
          <cell r="N33">
            <v>0</v>
          </cell>
          <cell r="O33">
            <v>0.1</v>
          </cell>
          <cell r="P33">
            <v>1663.2</v>
          </cell>
        </row>
        <row r="34">
          <cell r="B34" t="str">
            <v>Grating</v>
          </cell>
          <cell r="C34" t="str">
            <v>I-55x7, Galvanized</v>
          </cell>
          <cell r="D34" t="str">
            <v>m2</v>
          </cell>
          <cell r="E34">
            <v>54</v>
          </cell>
          <cell r="F34">
            <v>75</v>
          </cell>
          <cell r="G34">
            <v>4050</v>
          </cell>
          <cell r="I34">
            <v>10</v>
          </cell>
          <cell r="J34">
            <v>540</v>
          </cell>
          <cell r="L34">
            <v>0</v>
          </cell>
          <cell r="N34">
            <v>0</v>
          </cell>
          <cell r="O34">
            <v>10</v>
          </cell>
          <cell r="P34">
            <v>540</v>
          </cell>
        </row>
        <row r="35">
          <cell r="B35" t="str">
            <v>Checkered Plate</v>
          </cell>
          <cell r="C35" t="str">
            <v>Thk.=6mm, Galvanized</v>
          </cell>
          <cell r="D35" t="str">
            <v>m2</v>
          </cell>
          <cell r="E35">
            <v>121</v>
          </cell>
          <cell r="F35">
            <v>30</v>
          </cell>
          <cell r="G35">
            <v>3630</v>
          </cell>
          <cell r="I35">
            <v>10</v>
          </cell>
          <cell r="J35">
            <v>1210</v>
          </cell>
          <cell r="L35">
            <v>0</v>
          </cell>
          <cell r="N35">
            <v>0</v>
          </cell>
          <cell r="O35">
            <v>10</v>
          </cell>
          <cell r="P35">
            <v>1210</v>
          </cell>
        </row>
        <row r="36">
          <cell r="B36" t="str">
            <v>Step Iron</v>
          </cell>
          <cell r="C36" t="str">
            <v>ASTM A36, Round Bar Φ20x1200L, Hot dip galvanized</v>
          </cell>
          <cell r="D36" t="str">
            <v>ea</v>
          </cell>
          <cell r="E36">
            <v>704</v>
          </cell>
          <cell r="F36">
            <v>3</v>
          </cell>
          <cell r="G36">
            <v>2112</v>
          </cell>
          <cell r="I36">
            <v>2</v>
          </cell>
          <cell r="J36">
            <v>1408</v>
          </cell>
          <cell r="L36">
            <v>0</v>
          </cell>
          <cell r="N36">
            <v>0</v>
          </cell>
          <cell r="O36">
            <v>2</v>
          </cell>
          <cell r="P36">
            <v>1408</v>
          </cell>
        </row>
        <row r="37">
          <cell r="B37" t="str">
            <v>Misc. Steel</v>
          </cell>
          <cell r="C37" t="str">
            <v>ASTM A36 or equivalent</v>
          </cell>
          <cell r="D37" t="str">
            <v>Ton</v>
          </cell>
          <cell r="E37">
            <v>5</v>
          </cell>
          <cell r="F37">
            <v>300</v>
          </cell>
          <cell r="G37">
            <v>1500</v>
          </cell>
          <cell r="I37">
            <v>300</v>
          </cell>
          <cell r="J37">
            <v>1500</v>
          </cell>
          <cell r="K37">
            <v>80</v>
          </cell>
          <cell r="L37">
            <v>400</v>
          </cell>
          <cell r="N37">
            <v>0</v>
          </cell>
          <cell r="O37">
            <v>380</v>
          </cell>
          <cell r="P37">
            <v>1900</v>
          </cell>
        </row>
        <row r="38">
          <cell r="B38" t="str">
            <v>Anchor Bolt (M24)</v>
          </cell>
          <cell r="C38" t="str">
            <v>ASTM A36 or equivalent (Refer DEP S28.020), Install only</v>
          </cell>
          <cell r="D38" t="str">
            <v>ea</v>
          </cell>
          <cell r="E38">
            <v>38</v>
          </cell>
          <cell r="G38">
            <v>0</v>
          </cell>
          <cell r="I38">
            <v>4</v>
          </cell>
          <cell r="J38">
            <v>152</v>
          </cell>
          <cell r="L38">
            <v>0</v>
          </cell>
          <cell r="N38">
            <v>0</v>
          </cell>
          <cell r="O38">
            <v>4</v>
          </cell>
          <cell r="P38">
            <v>152</v>
          </cell>
        </row>
        <row r="39">
          <cell r="B39" t="str">
            <v>Anchor Bolt (M36)</v>
          </cell>
          <cell r="C39" t="str">
            <v>ASTM A36 or equivalent (Refer DEP S28.020), Install only</v>
          </cell>
          <cell r="D39" t="str">
            <v>ea</v>
          </cell>
          <cell r="E39">
            <v>1238</v>
          </cell>
          <cell r="G39">
            <v>0</v>
          </cell>
          <cell r="I39">
            <v>6</v>
          </cell>
          <cell r="J39">
            <v>7428</v>
          </cell>
          <cell r="L39">
            <v>0</v>
          </cell>
          <cell r="N39">
            <v>0</v>
          </cell>
          <cell r="O39">
            <v>6</v>
          </cell>
          <cell r="P39">
            <v>7428</v>
          </cell>
        </row>
        <row r="40">
          <cell r="B40" t="str">
            <v>Anchor Bolt (M42)</v>
          </cell>
          <cell r="C40" t="str">
            <v>ASTM A36 or equivalent (Refer DEP S28.020), Install only</v>
          </cell>
          <cell r="D40" t="str">
            <v>ea</v>
          </cell>
          <cell r="E40">
            <v>461</v>
          </cell>
          <cell r="G40">
            <v>0</v>
          </cell>
          <cell r="I40">
            <v>9</v>
          </cell>
          <cell r="J40">
            <v>4149</v>
          </cell>
          <cell r="L40">
            <v>0</v>
          </cell>
          <cell r="N40">
            <v>0</v>
          </cell>
          <cell r="O40">
            <v>9</v>
          </cell>
          <cell r="P40">
            <v>4149</v>
          </cell>
        </row>
        <row r="41">
          <cell r="B41" t="str">
            <v>uPVC Pipe (for Cable Duct, Electric or Instrument)</v>
          </cell>
          <cell r="C41" t="str">
            <v>D=150mm, PVC Pipe</v>
          </cell>
          <cell r="D41" t="str">
            <v>m</v>
          </cell>
          <cell r="E41">
            <v>2573</v>
          </cell>
          <cell r="F41">
            <v>1.5</v>
          </cell>
          <cell r="G41">
            <v>3859.5</v>
          </cell>
          <cell r="I41">
            <v>2</v>
          </cell>
          <cell r="J41">
            <v>5146</v>
          </cell>
          <cell r="L41">
            <v>0</v>
          </cell>
          <cell r="N41">
            <v>0</v>
          </cell>
          <cell r="O41">
            <v>2</v>
          </cell>
          <cell r="P41">
            <v>5146</v>
          </cell>
        </row>
        <row r="42">
          <cell r="B42" t="str">
            <v>Electric Con'c Trench Cover (Red Coloring on the Top Surface)</v>
          </cell>
          <cell r="C42" t="str">
            <v>Thk.=50mm, grade C-30 (for Light duty paved area)</v>
          </cell>
          <cell r="D42" t="str">
            <v>m3</v>
          </cell>
          <cell r="E42">
            <v>506</v>
          </cell>
          <cell r="F42">
            <v>40</v>
          </cell>
          <cell r="G42">
            <v>20240</v>
          </cell>
          <cell r="I42">
            <v>18</v>
          </cell>
          <cell r="J42">
            <v>9108</v>
          </cell>
          <cell r="K42">
            <v>10</v>
          </cell>
          <cell r="L42">
            <v>5060</v>
          </cell>
          <cell r="N42">
            <v>0</v>
          </cell>
          <cell r="O42">
            <v>28</v>
          </cell>
          <cell r="P42">
            <v>14168</v>
          </cell>
        </row>
        <row r="43">
          <cell r="B43" t="str">
            <v>Protection Concrete</v>
          </cell>
          <cell r="C43" t="str">
            <v>300x300x60 Concrete</v>
          </cell>
          <cell r="D43" t="str">
            <v>m2</v>
          </cell>
          <cell r="E43">
            <v>12270</v>
          </cell>
          <cell r="F43">
            <v>3.5</v>
          </cell>
          <cell r="G43">
            <v>42945</v>
          </cell>
          <cell r="I43">
            <v>1.1000000000000001</v>
          </cell>
          <cell r="J43">
            <v>13497.000000000002</v>
          </cell>
          <cell r="K43">
            <v>0.25</v>
          </cell>
          <cell r="L43">
            <v>3067.5</v>
          </cell>
          <cell r="N43">
            <v>0</v>
          </cell>
          <cell r="O43">
            <v>1.35</v>
          </cell>
          <cell r="P43">
            <v>16564.5</v>
          </cell>
        </row>
        <row r="44">
          <cell r="B44" t="str">
            <v>Protection Barrier</v>
          </cell>
          <cell r="C44" t="str">
            <v>Heigth 700mm, 4" Line pipe schedule 80.
DEP 80.47.10.31-GEN. (including foundation)</v>
          </cell>
          <cell r="D44" t="str">
            <v>ea</v>
          </cell>
          <cell r="E44">
            <v>110</v>
          </cell>
          <cell r="F44">
            <v>8</v>
          </cell>
          <cell r="G44">
            <v>880</v>
          </cell>
          <cell r="I44">
            <v>4</v>
          </cell>
          <cell r="J44">
            <v>440</v>
          </cell>
          <cell r="K44">
            <v>2</v>
          </cell>
          <cell r="L44">
            <v>220</v>
          </cell>
          <cell r="N44">
            <v>0</v>
          </cell>
          <cell r="O44">
            <v>6</v>
          </cell>
          <cell r="P44">
            <v>660</v>
          </cell>
        </row>
        <row r="45">
          <cell r="B45" t="str">
            <v xml:space="preserve">HDPE membrane </v>
          </cell>
          <cell r="C45" t="str">
            <v>Thk.=2mm, shall be made with a 150mm overlap</v>
          </cell>
          <cell r="D45" t="str">
            <v>m2</v>
          </cell>
          <cell r="E45">
            <v>128</v>
          </cell>
          <cell r="F45">
            <v>2.2999999999999998</v>
          </cell>
          <cell r="G45">
            <v>294.39999999999998</v>
          </cell>
          <cell r="I45">
            <v>0.5</v>
          </cell>
          <cell r="J45">
            <v>64</v>
          </cell>
          <cell r="L45">
            <v>0</v>
          </cell>
          <cell r="N45">
            <v>0</v>
          </cell>
          <cell r="O45">
            <v>0.5</v>
          </cell>
          <cell r="P45">
            <v>64</v>
          </cell>
        </row>
        <row r="46">
          <cell r="B46" t="str">
            <v>Wearing Course (Asphalt Road)</v>
          </cell>
          <cell r="C46" t="str">
            <v>Thk.=50mm</v>
          </cell>
          <cell r="D46" t="str">
            <v>m3</v>
          </cell>
          <cell r="E46">
            <v>950</v>
          </cell>
          <cell r="F46">
            <v>42</v>
          </cell>
          <cell r="G46">
            <v>39900</v>
          </cell>
          <cell r="I46">
            <v>10</v>
          </cell>
          <cell r="J46">
            <v>9500</v>
          </cell>
          <cell r="K46">
            <v>10</v>
          </cell>
          <cell r="L46">
            <v>9500</v>
          </cell>
          <cell r="N46">
            <v>0</v>
          </cell>
          <cell r="O46">
            <v>20</v>
          </cell>
          <cell r="P46">
            <v>19000</v>
          </cell>
        </row>
        <row r="47">
          <cell r="B47" t="str">
            <v>Base Course (Asphalt Road)</v>
          </cell>
          <cell r="C47" t="str">
            <v>Thk.=250mm</v>
          </cell>
          <cell r="D47" t="str">
            <v>m3</v>
          </cell>
          <cell r="E47">
            <v>4800</v>
          </cell>
          <cell r="F47">
            <v>4</v>
          </cell>
          <cell r="G47">
            <v>19200</v>
          </cell>
          <cell r="I47">
            <v>2</v>
          </cell>
          <cell r="J47">
            <v>9600</v>
          </cell>
          <cell r="K47">
            <v>1.65</v>
          </cell>
          <cell r="L47">
            <v>7920</v>
          </cell>
          <cell r="N47">
            <v>0</v>
          </cell>
          <cell r="O47">
            <v>3.65</v>
          </cell>
          <cell r="P47">
            <v>17520</v>
          </cell>
        </row>
        <row r="48">
          <cell r="B48" t="str">
            <v>Sub-Base Course (Asphalt Road)</v>
          </cell>
          <cell r="C48" t="str">
            <v>Thk.=250mm</v>
          </cell>
          <cell r="D48" t="str">
            <v>m3</v>
          </cell>
          <cell r="E48">
            <v>4853</v>
          </cell>
          <cell r="F48">
            <v>2</v>
          </cell>
          <cell r="G48">
            <v>9706</v>
          </cell>
          <cell r="I48">
            <v>2</v>
          </cell>
          <cell r="J48">
            <v>9706</v>
          </cell>
          <cell r="K48">
            <v>1.65</v>
          </cell>
          <cell r="L48">
            <v>8007.45</v>
          </cell>
          <cell r="N48">
            <v>0</v>
          </cell>
          <cell r="O48">
            <v>3.65</v>
          </cell>
          <cell r="P48">
            <v>17713.45</v>
          </cell>
        </row>
        <row r="49">
          <cell r="B49" t="str">
            <v>Shoulder (Gravel)</v>
          </cell>
          <cell r="C49" t="str">
            <v>Thk.=50mm</v>
          </cell>
          <cell r="D49" t="str">
            <v>m2</v>
          </cell>
          <cell r="E49">
            <v>4682</v>
          </cell>
          <cell r="F49">
            <v>0.5</v>
          </cell>
          <cell r="G49">
            <v>2341</v>
          </cell>
          <cell r="I49">
            <v>0.2</v>
          </cell>
          <cell r="J49">
            <v>936.40000000000009</v>
          </cell>
          <cell r="K49">
            <v>0.05</v>
          </cell>
          <cell r="L49">
            <v>234.10000000000002</v>
          </cell>
          <cell r="N49">
            <v>0</v>
          </cell>
          <cell r="O49">
            <v>0.25</v>
          </cell>
          <cell r="P49">
            <v>1170.5</v>
          </cell>
        </row>
        <row r="50">
          <cell r="B50" t="str">
            <v>Traffic Aids</v>
          </cell>
          <cell r="C50">
            <v>0</v>
          </cell>
          <cell r="D50" t="str">
            <v>Lot</v>
          </cell>
          <cell r="E50">
            <v>1</v>
          </cell>
          <cell r="F50">
            <v>3500</v>
          </cell>
          <cell r="G50">
            <v>3500</v>
          </cell>
          <cell r="I50">
            <v>1500</v>
          </cell>
          <cell r="J50">
            <v>1500</v>
          </cell>
          <cell r="L50">
            <v>0</v>
          </cell>
          <cell r="N50">
            <v>0</v>
          </cell>
          <cell r="O50">
            <v>1500</v>
          </cell>
          <cell r="P50">
            <v>1500</v>
          </cell>
        </row>
        <row r="51">
          <cell r="B51" t="str">
            <v>Line Marking</v>
          </cell>
          <cell r="C51">
            <v>0</v>
          </cell>
          <cell r="D51" t="str">
            <v>Lot</v>
          </cell>
          <cell r="E51">
            <v>1</v>
          </cell>
          <cell r="F51">
            <v>3000</v>
          </cell>
          <cell r="G51">
            <v>3000</v>
          </cell>
          <cell r="I51">
            <v>3000</v>
          </cell>
          <cell r="J51">
            <v>3000</v>
          </cell>
          <cell r="L51">
            <v>0</v>
          </cell>
          <cell r="N51">
            <v>0</v>
          </cell>
          <cell r="O51">
            <v>3000</v>
          </cell>
          <cell r="P51">
            <v>3000</v>
          </cell>
        </row>
        <row r="52">
          <cell r="B52" t="str">
            <v>Crash Barrier</v>
          </cell>
          <cell r="C52" t="str">
            <v>Heigth 700mm, 4" Line pipe schedule 80.
DEP 80.47.10.31-GEN. (including foundation)</v>
          </cell>
          <cell r="D52" t="str">
            <v>m</v>
          </cell>
          <cell r="E52">
            <v>2694</v>
          </cell>
          <cell r="F52">
            <v>8</v>
          </cell>
          <cell r="G52">
            <v>21552</v>
          </cell>
          <cell r="I52">
            <v>5</v>
          </cell>
          <cell r="J52">
            <v>13470</v>
          </cell>
          <cell r="K52">
            <v>2</v>
          </cell>
          <cell r="L52">
            <v>5388</v>
          </cell>
          <cell r="N52">
            <v>0</v>
          </cell>
          <cell r="O52">
            <v>7</v>
          </cell>
          <cell r="P52">
            <v>18858</v>
          </cell>
        </row>
        <row r="53">
          <cell r="B53" t="str">
            <v>Concrete Paving (for Light Duty)</v>
          </cell>
          <cell r="C53" t="str">
            <v>Thk.=100mm, grade C-30</v>
          </cell>
          <cell r="D53" t="str">
            <v>m3</v>
          </cell>
          <cell r="E53">
            <v>1280</v>
          </cell>
          <cell r="F53">
            <v>26</v>
          </cell>
          <cell r="G53">
            <v>33280</v>
          </cell>
          <cell r="I53">
            <v>8</v>
          </cell>
          <cell r="J53">
            <v>10240</v>
          </cell>
          <cell r="K53">
            <v>8</v>
          </cell>
          <cell r="L53">
            <v>10240</v>
          </cell>
          <cell r="N53">
            <v>0</v>
          </cell>
          <cell r="O53">
            <v>16</v>
          </cell>
          <cell r="P53">
            <v>20480</v>
          </cell>
        </row>
        <row r="54">
          <cell r="B54" t="str">
            <v>Concrete Paving (for Heavy Duty)</v>
          </cell>
          <cell r="C54" t="str">
            <v>Thk.=150mm, grade C-30</v>
          </cell>
          <cell r="D54" t="str">
            <v>m3</v>
          </cell>
          <cell r="E54">
            <v>246</v>
          </cell>
          <cell r="F54">
            <v>26</v>
          </cell>
          <cell r="G54">
            <v>6396</v>
          </cell>
          <cell r="I54">
            <v>8</v>
          </cell>
          <cell r="J54">
            <v>1968</v>
          </cell>
          <cell r="K54">
            <v>8</v>
          </cell>
          <cell r="L54">
            <v>1968</v>
          </cell>
          <cell r="N54">
            <v>0</v>
          </cell>
          <cell r="O54">
            <v>16</v>
          </cell>
          <cell r="P54">
            <v>3936</v>
          </cell>
        </row>
        <row r="55">
          <cell r="B55" t="str">
            <v>Kerb</v>
          </cell>
          <cell r="C55" t="str">
            <v>100mm Thick, 150mm heigth lean concrete, grade
C-15</v>
          </cell>
          <cell r="D55" t="str">
            <v>m</v>
          </cell>
          <cell r="E55">
            <v>53</v>
          </cell>
          <cell r="F55">
            <v>4</v>
          </cell>
          <cell r="G55">
            <v>212</v>
          </cell>
          <cell r="I55">
            <v>3</v>
          </cell>
          <cell r="J55">
            <v>159</v>
          </cell>
          <cell r="L55">
            <v>0</v>
          </cell>
          <cell r="N55">
            <v>0</v>
          </cell>
          <cell r="O55">
            <v>3</v>
          </cell>
          <cell r="P55">
            <v>159</v>
          </cell>
        </row>
        <row r="56">
          <cell r="B56" t="str">
            <v>Expansion Joint (for Con'c Paving Light Duty)</v>
          </cell>
          <cell r="C56" t="str">
            <v>L=20m, 25 deep x 20 wide Hydrocarbon resistant joint sealant</v>
          </cell>
          <cell r="D56" t="str">
            <v>m</v>
          </cell>
          <cell r="E56">
            <v>6212</v>
          </cell>
          <cell r="F56">
            <v>1.5</v>
          </cell>
          <cell r="G56">
            <v>9318</v>
          </cell>
          <cell r="I56">
            <v>1.5</v>
          </cell>
          <cell r="J56">
            <v>9318</v>
          </cell>
          <cell r="K56">
            <v>0.1</v>
          </cell>
          <cell r="L56">
            <v>621.20000000000005</v>
          </cell>
          <cell r="N56">
            <v>0</v>
          </cell>
          <cell r="O56">
            <v>1.6</v>
          </cell>
          <cell r="P56">
            <v>9939.2000000000007</v>
          </cell>
        </row>
        <row r="57">
          <cell r="B57" t="str">
            <v>Contraction Joint (for Con'c Paving Light Duty)</v>
          </cell>
          <cell r="C57" t="str">
            <v>L=5m, 20mm deep groove to be cut after casting and filled with Hydrocarbon resistant joint sealant</v>
          </cell>
          <cell r="D57" t="str">
            <v>m</v>
          </cell>
          <cell r="E57">
            <v>18637</v>
          </cell>
          <cell r="F57">
            <v>1.1000000000000001</v>
          </cell>
          <cell r="G57">
            <v>20500.7</v>
          </cell>
          <cell r="I57">
            <v>1.8</v>
          </cell>
          <cell r="J57">
            <v>33546.6</v>
          </cell>
          <cell r="K57">
            <v>0.1</v>
          </cell>
          <cell r="L57">
            <v>1863.7</v>
          </cell>
          <cell r="N57">
            <v>0</v>
          </cell>
          <cell r="O57">
            <v>1.9000000000000001</v>
          </cell>
          <cell r="P57">
            <v>35410.300000000003</v>
          </cell>
        </row>
        <row r="58">
          <cell r="B58" t="str">
            <v>Expansion Joint (for Con'c Paving Heavy Duty)</v>
          </cell>
          <cell r="C58" t="str">
            <v>L=20m, 25 deep x 20 wide Oil resistant joint sealant</v>
          </cell>
          <cell r="D58" t="str">
            <v>m</v>
          </cell>
          <cell r="E58">
            <v>86</v>
          </cell>
          <cell r="F58">
            <v>1.5</v>
          </cell>
          <cell r="G58">
            <v>129</v>
          </cell>
          <cell r="I58">
            <v>1.5</v>
          </cell>
          <cell r="J58">
            <v>129</v>
          </cell>
          <cell r="K58">
            <v>0.1</v>
          </cell>
          <cell r="L58">
            <v>8.6</v>
          </cell>
          <cell r="N58">
            <v>0</v>
          </cell>
          <cell r="O58">
            <v>1.6</v>
          </cell>
          <cell r="P58">
            <v>137.6</v>
          </cell>
        </row>
        <row r="59">
          <cell r="B59" t="str">
            <v>Contraction Joint (for Con'c Paving Heavy Duty)</v>
          </cell>
          <cell r="C59" t="str">
            <v>L=5m, 20mm deep groove to be cut after casting and filled with Hydrocarbon resistant joint sealant</v>
          </cell>
          <cell r="D59" t="str">
            <v>m</v>
          </cell>
          <cell r="E59">
            <v>679</v>
          </cell>
          <cell r="F59">
            <v>1.1000000000000001</v>
          </cell>
          <cell r="G59">
            <v>746.90000000000009</v>
          </cell>
          <cell r="I59">
            <v>1.8</v>
          </cell>
          <cell r="J59">
            <v>1222.2</v>
          </cell>
          <cell r="K59">
            <v>0.1</v>
          </cell>
          <cell r="L59">
            <v>67.900000000000006</v>
          </cell>
          <cell r="N59">
            <v>0</v>
          </cell>
          <cell r="O59">
            <v>1.9000000000000001</v>
          </cell>
          <cell r="P59">
            <v>1290.1000000000001</v>
          </cell>
        </row>
        <row r="60">
          <cell r="B60" t="str">
            <v>Wire Fabric. (for Light Duty Con'c paving)</v>
          </cell>
          <cell r="C60" t="str">
            <v xml:space="preserve">φ7-200x200, Cold-drawn finish, ASTM A185 </v>
          </cell>
          <cell r="D60" t="str">
            <v>m2</v>
          </cell>
          <cell r="E60">
            <v>21271</v>
          </cell>
          <cell r="F60">
            <v>0.93</v>
          </cell>
          <cell r="G60">
            <v>19782.030000000002</v>
          </cell>
          <cell r="I60">
            <v>0.4</v>
          </cell>
          <cell r="J60">
            <v>8508.4</v>
          </cell>
          <cell r="L60">
            <v>0</v>
          </cell>
          <cell r="N60">
            <v>0</v>
          </cell>
          <cell r="O60">
            <v>0.4</v>
          </cell>
          <cell r="P60">
            <v>8508.4</v>
          </cell>
        </row>
        <row r="61">
          <cell r="B61" t="str">
            <v>Wire Fabric. (for Heavy Duty Con'c paving)</v>
          </cell>
          <cell r="C61" t="str">
            <v>φ7-200x200-double line, Cold-drawn finish</v>
          </cell>
          <cell r="D61" t="str">
            <v>m2</v>
          </cell>
          <cell r="E61">
            <v>3283</v>
          </cell>
          <cell r="F61">
            <v>1.86</v>
          </cell>
          <cell r="G61">
            <v>6106.38</v>
          </cell>
          <cell r="I61">
            <v>0.84</v>
          </cell>
          <cell r="J61">
            <v>2757.72</v>
          </cell>
          <cell r="L61">
            <v>0</v>
          </cell>
          <cell r="N61">
            <v>0</v>
          </cell>
          <cell r="O61">
            <v>0.84</v>
          </cell>
          <cell r="P61">
            <v>2757.72</v>
          </cell>
        </row>
        <row r="62">
          <cell r="B62" t="str">
            <v>Joint Filler &amp; Sealant (for concrete paving Light Duty)</v>
          </cell>
          <cell r="C62" t="str">
            <v>20 thick flexible jointing material 25 deep x 20 wide Hydrocarbon resistant joint sealant in top.</v>
          </cell>
          <cell r="D62" t="str">
            <v>m</v>
          </cell>
          <cell r="E62">
            <v>6872</v>
          </cell>
          <cell r="F62">
            <v>1.5</v>
          </cell>
          <cell r="G62">
            <v>10308</v>
          </cell>
          <cell r="I62">
            <v>1</v>
          </cell>
          <cell r="J62">
            <v>6872</v>
          </cell>
          <cell r="L62">
            <v>0</v>
          </cell>
          <cell r="N62">
            <v>0</v>
          </cell>
          <cell r="O62">
            <v>1</v>
          </cell>
          <cell r="P62">
            <v>6872</v>
          </cell>
        </row>
        <row r="63">
          <cell r="B63" t="str">
            <v>Gravel paving</v>
          </cell>
          <cell r="C63" t="str">
            <v>Thk.=100mm</v>
          </cell>
          <cell r="D63" t="str">
            <v>m2</v>
          </cell>
          <cell r="E63">
            <v>13499</v>
          </cell>
          <cell r="F63">
            <v>0.93</v>
          </cell>
          <cell r="G63">
            <v>12554.070000000002</v>
          </cell>
          <cell r="I63">
            <v>0.6</v>
          </cell>
          <cell r="J63">
            <v>8099.4</v>
          </cell>
          <cell r="K63">
            <v>0.1</v>
          </cell>
          <cell r="L63">
            <v>1349.9</v>
          </cell>
          <cell r="N63">
            <v>0</v>
          </cell>
          <cell r="O63">
            <v>0.7</v>
          </cell>
          <cell r="P63">
            <v>9449.2999999999993</v>
          </cell>
        </row>
        <row r="64">
          <cell r="B64" t="str">
            <v>Polyethylene membrane</v>
          </cell>
          <cell r="C64" t="str">
            <v>gauge 1000 or equal</v>
          </cell>
          <cell r="D64" t="str">
            <v>m2</v>
          </cell>
          <cell r="E64">
            <v>35551</v>
          </cell>
          <cell r="F64">
            <v>0.25</v>
          </cell>
          <cell r="G64">
            <v>8887.75</v>
          </cell>
          <cell r="I64">
            <v>0.3</v>
          </cell>
          <cell r="J64">
            <v>10665.3</v>
          </cell>
          <cell r="K64">
            <v>0.05</v>
          </cell>
          <cell r="L64">
            <v>1777.5500000000002</v>
          </cell>
          <cell r="N64">
            <v>0</v>
          </cell>
          <cell r="O64">
            <v>0.35</v>
          </cell>
          <cell r="P64">
            <v>12442.849999999999</v>
          </cell>
        </row>
        <row r="65">
          <cell r="B65" t="str">
            <v>Hardboard</v>
          </cell>
          <cell r="C65">
            <v>0</v>
          </cell>
          <cell r="D65" t="str">
            <v>m2</v>
          </cell>
          <cell r="E65">
            <v>15782</v>
          </cell>
          <cell r="F65">
            <v>1.2</v>
          </cell>
          <cell r="G65">
            <v>18938.399999999998</v>
          </cell>
          <cell r="I65">
            <v>0.75</v>
          </cell>
          <cell r="J65">
            <v>11836.5</v>
          </cell>
          <cell r="K65">
            <v>0.05</v>
          </cell>
          <cell r="L65">
            <v>789.1</v>
          </cell>
          <cell r="N65">
            <v>0</v>
          </cell>
          <cell r="O65">
            <v>0.8</v>
          </cell>
          <cell r="P65">
            <v>12625.6</v>
          </cell>
        </row>
        <row r="66">
          <cell r="B66" t="str">
            <v>screed</v>
          </cell>
          <cell r="C66" t="str">
            <v>20mm thick Mortar</v>
          </cell>
          <cell r="D66" t="str">
            <v>m2</v>
          </cell>
          <cell r="E66">
            <v>71102</v>
          </cell>
          <cell r="F66">
            <v>0.6</v>
          </cell>
          <cell r="G66">
            <v>42661.2</v>
          </cell>
          <cell r="I66">
            <v>0.7</v>
          </cell>
          <cell r="J66">
            <v>49771.399999999994</v>
          </cell>
          <cell r="K66">
            <v>0.2</v>
          </cell>
          <cell r="L66">
            <v>14220.400000000001</v>
          </cell>
          <cell r="N66">
            <v>0</v>
          </cell>
          <cell r="O66">
            <v>0.89999999999999991</v>
          </cell>
          <cell r="P66">
            <v>63991.799999999996</v>
          </cell>
        </row>
        <row r="67">
          <cell r="B67" t="str">
            <v>Scaffolding</v>
          </cell>
          <cell r="C67">
            <v>0</v>
          </cell>
          <cell r="D67" t="str">
            <v>m2</v>
          </cell>
          <cell r="E67">
            <v>392</v>
          </cell>
          <cell r="F67">
            <v>1.5</v>
          </cell>
          <cell r="G67">
            <v>588</v>
          </cell>
          <cell r="I67">
            <v>2</v>
          </cell>
          <cell r="J67">
            <v>784</v>
          </cell>
          <cell r="L67">
            <v>0</v>
          </cell>
          <cell r="N67">
            <v>0</v>
          </cell>
          <cell r="O67">
            <v>2</v>
          </cell>
          <cell r="P67">
            <v>784</v>
          </cell>
        </row>
        <row r="68">
          <cell r="B68" t="str">
            <v>Support</v>
          </cell>
          <cell r="C68">
            <v>0</v>
          </cell>
          <cell r="D68" t="str">
            <v>m3</v>
          </cell>
          <cell r="E68">
            <v>1079</v>
          </cell>
          <cell r="F68">
            <v>0.9</v>
          </cell>
          <cell r="G68">
            <v>971.1</v>
          </cell>
          <cell r="I68">
            <v>1.5</v>
          </cell>
          <cell r="J68">
            <v>1618.5</v>
          </cell>
          <cell r="L68">
            <v>0</v>
          </cell>
          <cell r="N68">
            <v>0</v>
          </cell>
          <cell r="O68">
            <v>1.5</v>
          </cell>
          <cell r="P68">
            <v>1618.5</v>
          </cell>
        </row>
        <row r="69">
          <cell r="B69" t="str">
            <v>Fence (New)</v>
          </cell>
          <cell r="C69" t="str">
            <v xml:space="preserve">Hot dip galvanized steelwire and chain link fence fabric may be PVC-coated in acc. With ASTM F 668.
3-strings barbed wire dia. 2.5mm (min.), double stranded with 4 points barbs set 85mm apart, or barbed tape. Steel bracings L50x50x5 min. bolted to posts, </v>
          </cell>
          <cell r="D69" t="str">
            <v>m</v>
          </cell>
          <cell r="E69">
            <v>1002</v>
          </cell>
          <cell r="F69">
            <v>13</v>
          </cell>
          <cell r="G69">
            <v>13026</v>
          </cell>
          <cell r="I69">
            <v>7</v>
          </cell>
          <cell r="J69">
            <v>7014</v>
          </cell>
          <cell r="K69">
            <v>1</v>
          </cell>
          <cell r="L69">
            <v>1002</v>
          </cell>
          <cell r="N69">
            <v>0</v>
          </cell>
          <cell r="O69">
            <v>8</v>
          </cell>
          <cell r="P69">
            <v>8016</v>
          </cell>
        </row>
        <row r="70">
          <cell r="B70" t="str">
            <v>Vehicular Gate</v>
          </cell>
          <cell r="C70" t="str">
            <v>W=8.0m (Double sliding)</v>
          </cell>
          <cell r="D70" t="str">
            <v>ea</v>
          </cell>
          <cell r="E70">
            <v>4</v>
          </cell>
          <cell r="F70">
            <v>580</v>
          </cell>
          <cell r="G70">
            <v>2320</v>
          </cell>
          <cell r="I70">
            <v>500</v>
          </cell>
          <cell r="J70">
            <v>2000</v>
          </cell>
          <cell r="K70">
            <v>120</v>
          </cell>
          <cell r="L70">
            <v>480</v>
          </cell>
          <cell r="N70">
            <v>0</v>
          </cell>
          <cell r="O70">
            <v>620</v>
          </cell>
          <cell r="P70">
            <v>2480</v>
          </cell>
        </row>
        <row r="71">
          <cell r="B71" t="str">
            <v>Pedestrian Gate</v>
          </cell>
          <cell r="C71" t="str">
            <v>W=1.0m (Single sliding)</v>
          </cell>
          <cell r="D71" t="str">
            <v>ea</v>
          </cell>
          <cell r="E71">
            <v>4</v>
          </cell>
          <cell r="F71">
            <v>230</v>
          </cell>
          <cell r="G71">
            <v>920</v>
          </cell>
          <cell r="I71">
            <v>150</v>
          </cell>
          <cell r="J71">
            <v>600</v>
          </cell>
          <cell r="K71">
            <v>20</v>
          </cell>
          <cell r="L71">
            <v>80</v>
          </cell>
          <cell r="N71">
            <v>0</v>
          </cell>
          <cell r="O71">
            <v>170</v>
          </cell>
          <cell r="P71">
            <v>680</v>
          </cell>
        </row>
      </sheetData>
      <sheetData sheetId="2">
        <row r="9">
          <cell r="B9" t="str">
            <v>Demolition (Paving)</v>
          </cell>
          <cell r="C9">
            <v>0</v>
          </cell>
          <cell r="D9" t="str">
            <v>m2</v>
          </cell>
          <cell r="E9">
            <v>11900</v>
          </cell>
          <cell r="G9">
            <v>0</v>
          </cell>
          <cell r="I9">
            <v>0.2</v>
          </cell>
          <cell r="J9">
            <v>2380</v>
          </cell>
          <cell r="K9">
            <v>1.3</v>
          </cell>
          <cell r="L9">
            <v>15470</v>
          </cell>
          <cell r="N9">
            <v>0</v>
          </cell>
          <cell r="O9">
            <v>1.5</v>
          </cell>
          <cell r="P9">
            <v>17850</v>
          </cell>
        </row>
        <row r="10">
          <cell r="B10" t="str">
            <v>Demolition (Road)</v>
          </cell>
          <cell r="C10">
            <v>0</v>
          </cell>
          <cell r="D10" t="str">
            <v>m2</v>
          </cell>
          <cell r="E10">
            <v>9786</v>
          </cell>
          <cell r="G10">
            <v>0</v>
          </cell>
          <cell r="I10">
            <v>0.2</v>
          </cell>
          <cell r="J10">
            <v>1957.2</v>
          </cell>
          <cell r="K10">
            <v>0.8</v>
          </cell>
          <cell r="L10">
            <v>7828.8</v>
          </cell>
          <cell r="N10">
            <v>0</v>
          </cell>
          <cell r="O10">
            <v>1</v>
          </cell>
          <cell r="P10">
            <v>9786</v>
          </cell>
        </row>
        <row r="11">
          <cell r="B11" t="str">
            <v>Demolition (Fence)</v>
          </cell>
          <cell r="C11" t="str">
            <v>including foundation</v>
          </cell>
          <cell r="D11" t="str">
            <v>m</v>
          </cell>
          <cell r="E11">
            <v>1242</v>
          </cell>
          <cell r="G11">
            <v>0</v>
          </cell>
          <cell r="I11">
            <v>3</v>
          </cell>
          <cell r="J11">
            <v>3726</v>
          </cell>
          <cell r="K11">
            <v>1</v>
          </cell>
          <cell r="L11">
            <v>1242</v>
          </cell>
          <cell r="N11">
            <v>0</v>
          </cell>
          <cell r="O11">
            <v>4</v>
          </cell>
          <cell r="P11">
            <v>4968</v>
          </cell>
        </row>
        <row r="12">
          <cell r="B12" t="str">
            <v>Demolition (Concrete)</v>
          </cell>
          <cell r="C12">
            <v>0</v>
          </cell>
          <cell r="D12" t="str">
            <v>m3</v>
          </cell>
          <cell r="E12">
            <v>1801</v>
          </cell>
          <cell r="G12">
            <v>0</v>
          </cell>
          <cell r="I12">
            <v>8.5</v>
          </cell>
          <cell r="J12">
            <v>15308.5</v>
          </cell>
          <cell r="K12">
            <v>11</v>
          </cell>
          <cell r="L12">
            <v>19811</v>
          </cell>
          <cell r="N12">
            <v>0</v>
          </cell>
          <cell r="O12">
            <v>19.5</v>
          </cell>
          <cell r="P12">
            <v>35119.5</v>
          </cell>
        </row>
        <row r="13">
          <cell r="B13" t="str">
            <v>Stripping, Clearing &amp; Grubbing</v>
          </cell>
          <cell r="C13" t="str">
            <v>Thk.=300mm</v>
          </cell>
          <cell r="D13" t="str">
            <v>m2</v>
          </cell>
          <cell r="E13">
            <v>158040</v>
          </cell>
          <cell r="G13">
            <v>0</v>
          </cell>
          <cell r="I13">
            <v>0.08</v>
          </cell>
          <cell r="J13">
            <v>12643.2</v>
          </cell>
          <cell r="K13">
            <v>0.18</v>
          </cell>
          <cell r="L13">
            <v>28447.200000000001</v>
          </cell>
          <cell r="N13">
            <v>0</v>
          </cell>
          <cell r="O13">
            <v>0.26</v>
          </cell>
          <cell r="P13">
            <v>41090.400000000001</v>
          </cell>
        </row>
        <row r="14">
          <cell r="B14" t="str">
            <v>Topographical Survey</v>
          </cell>
          <cell r="C14">
            <v>0</v>
          </cell>
          <cell r="D14" t="str">
            <v>m2</v>
          </cell>
          <cell r="E14">
            <v>159298</v>
          </cell>
          <cell r="G14">
            <v>0</v>
          </cell>
          <cell r="I14">
            <v>0.04</v>
          </cell>
          <cell r="J14">
            <v>6371.92</v>
          </cell>
          <cell r="K14">
            <v>0.01</v>
          </cell>
          <cell r="L14">
            <v>1592.98</v>
          </cell>
          <cell r="N14">
            <v>0</v>
          </cell>
          <cell r="O14">
            <v>0.05</v>
          </cell>
          <cell r="P14">
            <v>7964.9000000000005</v>
          </cell>
        </row>
        <row r="15">
          <cell r="B15" t="str">
            <v>Cutting</v>
          </cell>
          <cell r="C15" t="str">
            <v>Good soil (by equipment)</v>
          </cell>
          <cell r="D15" t="str">
            <v>m3</v>
          </cell>
          <cell r="E15">
            <v>197550</v>
          </cell>
          <cell r="G15">
            <v>0</v>
          </cell>
          <cell r="I15">
            <v>0.1</v>
          </cell>
          <cell r="J15">
            <v>19755</v>
          </cell>
          <cell r="K15">
            <v>0.8</v>
          </cell>
          <cell r="L15">
            <v>158040</v>
          </cell>
          <cell r="N15">
            <v>0</v>
          </cell>
          <cell r="O15">
            <v>0.9</v>
          </cell>
          <cell r="P15">
            <v>177795</v>
          </cell>
        </row>
      </sheetData>
      <sheetData sheetId="3">
        <row r="9">
          <cell r="B9" t="str">
            <v>Soil Investigation</v>
          </cell>
        </row>
      </sheetData>
      <sheetData sheetId="4">
        <row r="9">
          <cell r="B9" t="str">
            <v>Excavation</v>
          </cell>
          <cell r="C9" t="str">
            <v>Good soil (by hand)</v>
          </cell>
          <cell r="D9" t="str">
            <v>m3</v>
          </cell>
          <cell r="E9">
            <v>38101</v>
          </cell>
          <cell r="G9">
            <v>0</v>
          </cell>
          <cell r="I9">
            <v>1</v>
          </cell>
          <cell r="J9">
            <v>38101</v>
          </cell>
          <cell r="K9">
            <v>4.75</v>
          </cell>
          <cell r="L9">
            <v>180979.75</v>
          </cell>
          <cell r="N9">
            <v>0</v>
          </cell>
          <cell r="O9">
            <v>5.75</v>
          </cell>
          <cell r="P9">
            <v>219080.75</v>
          </cell>
        </row>
        <row r="10">
          <cell r="B10" t="str">
            <v>Back Fill</v>
          </cell>
          <cell r="C10" t="str">
            <v>Good soil (by hand)</v>
          </cell>
          <cell r="D10" t="str">
            <v>m3</v>
          </cell>
          <cell r="E10">
            <v>26265</v>
          </cell>
          <cell r="G10">
            <v>0</v>
          </cell>
          <cell r="I10">
            <v>2</v>
          </cell>
          <cell r="J10">
            <v>52530</v>
          </cell>
          <cell r="K10">
            <v>1.5</v>
          </cell>
          <cell r="L10">
            <v>39397.5</v>
          </cell>
          <cell r="N10">
            <v>0</v>
          </cell>
          <cell r="O10">
            <v>3.5</v>
          </cell>
          <cell r="P10">
            <v>91927.5</v>
          </cell>
        </row>
        <row r="11">
          <cell r="B11" t="str">
            <v>Disposal</v>
          </cell>
          <cell r="C11" t="str">
            <v>Good soil</v>
          </cell>
          <cell r="D11" t="str">
            <v>m3</v>
          </cell>
          <cell r="E11">
            <v>11836</v>
          </cell>
          <cell r="G11">
            <v>0</v>
          </cell>
          <cell r="I11">
            <v>0.04</v>
          </cell>
          <cell r="J11">
            <v>473.44</v>
          </cell>
          <cell r="K11">
            <v>0.96</v>
          </cell>
          <cell r="L11">
            <v>11362.56</v>
          </cell>
          <cell r="N11">
            <v>0</v>
          </cell>
          <cell r="O11">
            <v>1</v>
          </cell>
          <cell r="P11">
            <v>11836</v>
          </cell>
        </row>
        <row r="12">
          <cell r="B12" t="str">
            <v>Concrete</v>
          </cell>
          <cell r="C12" t="str">
            <v>Grade C30 , ASTM C150 (TYPE-V)</v>
          </cell>
          <cell r="D12" t="str">
            <v>m3</v>
          </cell>
          <cell r="E12">
            <v>4182</v>
          </cell>
          <cell r="F12">
            <v>26</v>
          </cell>
          <cell r="G12">
            <v>108732</v>
          </cell>
          <cell r="I12">
            <v>8</v>
          </cell>
          <cell r="J12">
            <v>33456</v>
          </cell>
          <cell r="K12">
            <v>6</v>
          </cell>
          <cell r="L12">
            <v>25092</v>
          </cell>
          <cell r="N12">
            <v>0</v>
          </cell>
          <cell r="O12">
            <v>14</v>
          </cell>
          <cell r="P12">
            <v>58548</v>
          </cell>
        </row>
        <row r="13">
          <cell r="B13" t="str">
            <v>Blinding Con'c</v>
          </cell>
          <cell r="C13" t="str">
            <v>Grade C20, Thk.=50mm. (DEP 34.19.20.31-Gen.)</v>
          </cell>
          <cell r="D13" t="str">
            <v>m3</v>
          </cell>
          <cell r="E13">
            <v>233</v>
          </cell>
          <cell r="F13">
            <v>23</v>
          </cell>
          <cell r="G13">
            <v>5359</v>
          </cell>
          <cell r="I13">
            <v>7</v>
          </cell>
          <cell r="J13">
            <v>1631</v>
          </cell>
          <cell r="K13">
            <v>4</v>
          </cell>
          <cell r="L13">
            <v>932</v>
          </cell>
          <cell r="N13">
            <v>0</v>
          </cell>
          <cell r="O13">
            <v>11</v>
          </cell>
          <cell r="P13">
            <v>2563</v>
          </cell>
        </row>
        <row r="14">
          <cell r="B14" t="str">
            <v>Form Work</v>
          </cell>
          <cell r="C14" t="str">
            <v>ACI 347</v>
          </cell>
          <cell r="D14" t="str">
            <v>m2</v>
          </cell>
          <cell r="E14">
            <v>7738</v>
          </cell>
          <cell r="F14">
            <v>3</v>
          </cell>
          <cell r="G14">
            <v>23214</v>
          </cell>
          <cell r="I14">
            <v>4.5</v>
          </cell>
          <cell r="J14">
            <v>34821</v>
          </cell>
          <cell r="K14">
            <v>0.03</v>
          </cell>
          <cell r="L14">
            <v>232.14</v>
          </cell>
          <cell r="N14">
            <v>0</v>
          </cell>
          <cell r="O14">
            <v>4.53</v>
          </cell>
          <cell r="P14">
            <v>35053.14</v>
          </cell>
        </row>
        <row r="15">
          <cell r="B15" t="str">
            <v>Re-Bar</v>
          </cell>
          <cell r="C15" t="str">
            <v xml:space="preserve">ASTM A 615 Grade 60 Type S </v>
          </cell>
          <cell r="D15" t="str">
            <v>Ton</v>
          </cell>
          <cell r="E15">
            <v>290</v>
          </cell>
          <cell r="F15">
            <v>145</v>
          </cell>
          <cell r="G15">
            <v>42050</v>
          </cell>
          <cell r="I15">
            <v>68</v>
          </cell>
          <cell r="J15">
            <v>19720</v>
          </cell>
          <cell r="K15">
            <v>2</v>
          </cell>
          <cell r="L15">
            <v>580</v>
          </cell>
          <cell r="N15">
            <v>0</v>
          </cell>
          <cell r="O15">
            <v>70</v>
          </cell>
          <cell r="P15">
            <v>20300</v>
          </cell>
        </row>
        <row r="16">
          <cell r="B16" t="str">
            <v>Non-Shrinkage Grout</v>
          </cell>
          <cell r="C16" t="str">
            <v>75 N/mm2, DEP 34.19.20.31-Gen</v>
          </cell>
          <cell r="D16" t="str">
            <v>m3</v>
          </cell>
          <cell r="E16">
            <v>8</v>
          </cell>
          <cell r="F16">
            <v>315</v>
          </cell>
          <cell r="G16">
            <v>2520</v>
          </cell>
          <cell r="I16">
            <v>85</v>
          </cell>
          <cell r="J16">
            <v>680</v>
          </cell>
          <cell r="K16">
            <v>10</v>
          </cell>
          <cell r="L16">
            <v>80</v>
          </cell>
          <cell r="N16">
            <v>0</v>
          </cell>
          <cell r="O16">
            <v>95</v>
          </cell>
          <cell r="P16">
            <v>760</v>
          </cell>
        </row>
        <row r="17">
          <cell r="B17" t="str">
            <v>FDN. Surface Coating (U/G)</v>
          </cell>
          <cell r="C17" t="str">
            <v xml:space="preserve">bitu-coating, 2 times, 0.4kg/m2 </v>
          </cell>
          <cell r="D17" t="str">
            <v>m2</v>
          </cell>
          <cell r="E17">
            <v>7670</v>
          </cell>
          <cell r="F17">
            <v>0.25</v>
          </cell>
          <cell r="G17">
            <v>1917.5</v>
          </cell>
          <cell r="I17">
            <v>0.9</v>
          </cell>
          <cell r="J17">
            <v>6903</v>
          </cell>
          <cell r="K17">
            <v>0.1</v>
          </cell>
          <cell r="L17">
            <v>767</v>
          </cell>
          <cell r="N17">
            <v>0</v>
          </cell>
          <cell r="O17">
            <v>1</v>
          </cell>
          <cell r="P17">
            <v>7670</v>
          </cell>
        </row>
        <row r="18">
          <cell r="B18" t="str">
            <v>FDN. Surface Coating (A/G)</v>
          </cell>
          <cell r="C18" t="str">
            <v>bitu-coating, 2 times, 0.4kg/m2, 150mm above ground level</v>
          </cell>
          <cell r="D18" t="str">
            <v>m2</v>
          </cell>
          <cell r="E18">
            <v>1920</v>
          </cell>
          <cell r="F18">
            <v>0.25</v>
          </cell>
          <cell r="G18">
            <v>480</v>
          </cell>
          <cell r="I18">
            <v>0.9</v>
          </cell>
          <cell r="J18">
            <v>1728</v>
          </cell>
          <cell r="K18">
            <v>0.1</v>
          </cell>
          <cell r="L18">
            <v>192</v>
          </cell>
          <cell r="N18">
            <v>0</v>
          </cell>
          <cell r="O18">
            <v>1</v>
          </cell>
          <cell r="P18">
            <v>1920</v>
          </cell>
        </row>
        <row r="19">
          <cell r="B19" t="str">
            <v>Sand Bitumen</v>
          </cell>
          <cell r="C19" t="str">
            <v>50mm sand bitumen mix or oil/sand mix. (DEP 34.18.51.10-Gen. Appendix 3 and 4)</v>
          </cell>
          <cell r="D19" t="str">
            <v>m3</v>
          </cell>
          <cell r="E19">
            <v>8</v>
          </cell>
          <cell r="F19">
            <v>50</v>
          </cell>
          <cell r="G19">
            <v>400</v>
          </cell>
          <cell r="I19">
            <v>10</v>
          </cell>
          <cell r="J19">
            <v>80</v>
          </cell>
          <cell r="K19">
            <v>10</v>
          </cell>
          <cell r="L19">
            <v>80</v>
          </cell>
          <cell r="N19">
            <v>0</v>
          </cell>
          <cell r="O19">
            <v>20</v>
          </cell>
          <cell r="P19">
            <v>160</v>
          </cell>
        </row>
        <row r="20">
          <cell r="B20" t="str">
            <v>Structural Fill (Sand)</v>
          </cell>
          <cell r="C20" t="str">
            <v>Compaction shall be 95% of maximum dry density in six inch compacted layers.</v>
          </cell>
          <cell r="D20" t="str">
            <v>m3</v>
          </cell>
          <cell r="E20">
            <v>2630</v>
          </cell>
          <cell r="F20">
            <v>2</v>
          </cell>
          <cell r="G20">
            <v>5260</v>
          </cell>
          <cell r="I20">
            <v>1</v>
          </cell>
          <cell r="J20">
            <v>2630</v>
          </cell>
          <cell r="K20">
            <v>1</v>
          </cell>
          <cell r="L20">
            <v>2630</v>
          </cell>
          <cell r="N20">
            <v>0</v>
          </cell>
          <cell r="O20">
            <v>2</v>
          </cell>
          <cell r="P20">
            <v>5260</v>
          </cell>
        </row>
        <row r="21">
          <cell r="B21" t="str">
            <v>Structural Fill (Compacted Stone or Gravel)</v>
          </cell>
          <cell r="C21" t="str">
            <v>Compaction shall be 95% of maximum dry density in six inch compacted layers.</v>
          </cell>
          <cell r="D21" t="str">
            <v>m3</v>
          </cell>
          <cell r="E21">
            <v>225</v>
          </cell>
          <cell r="F21">
            <v>12</v>
          </cell>
          <cell r="G21">
            <v>2700</v>
          </cell>
          <cell r="I21">
            <v>3</v>
          </cell>
          <cell r="J21">
            <v>675</v>
          </cell>
          <cell r="K21">
            <v>1</v>
          </cell>
          <cell r="L21">
            <v>225</v>
          </cell>
          <cell r="N21">
            <v>0</v>
          </cell>
          <cell r="O21">
            <v>4</v>
          </cell>
          <cell r="P21">
            <v>900</v>
          </cell>
        </row>
        <row r="22">
          <cell r="B22" t="str">
            <v>Water Stop</v>
          </cell>
          <cell r="C22" t="str">
            <v>PVC, W=150mm</v>
          </cell>
          <cell r="D22" t="str">
            <v>m</v>
          </cell>
          <cell r="E22">
            <v>59</v>
          </cell>
          <cell r="F22">
            <v>2</v>
          </cell>
          <cell r="G22">
            <v>118</v>
          </cell>
          <cell r="I22">
            <v>1.8</v>
          </cell>
          <cell r="J22">
            <v>106.2</v>
          </cell>
          <cell r="K22">
            <v>0.05</v>
          </cell>
          <cell r="L22">
            <v>2.95</v>
          </cell>
          <cell r="N22">
            <v>0</v>
          </cell>
          <cell r="O22">
            <v>1.85</v>
          </cell>
          <cell r="P22">
            <v>109.15</v>
          </cell>
        </row>
        <row r="23">
          <cell r="B23" t="str">
            <v>Outside Water Proofing (for Pit &amp; Basin)</v>
          </cell>
          <cell r="C23" t="str">
            <v xml:space="preserve">bitu-coating, 2 times, 0.4kg/m2 </v>
          </cell>
          <cell r="D23" t="str">
            <v>m2</v>
          </cell>
          <cell r="E23">
            <v>173</v>
          </cell>
          <cell r="F23">
            <v>1.8</v>
          </cell>
          <cell r="G23">
            <v>311.40000000000003</v>
          </cell>
          <cell r="I23">
            <v>1.7</v>
          </cell>
          <cell r="J23">
            <v>294.09999999999997</v>
          </cell>
          <cell r="K23">
            <v>0.05</v>
          </cell>
          <cell r="L23">
            <v>8.65</v>
          </cell>
          <cell r="N23">
            <v>0</v>
          </cell>
          <cell r="O23">
            <v>1.75</v>
          </cell>
          <cell r="P23">
            <v>302.75</v>
          </cell>
        </row>
        <row r="24">
          <cell r="B24" t="str">
            <v>Inside Wall Coating (Water Proofing Only)</v>
          </cell>
          <cell r="C24" t="str">
            <v>Liquid water coating</v>
          </cell>
          <cell r="D24" t="str">
            <v>m2</v>
          </cell>
          <cell r="E24">
            <v>13</v>
          </cell>
          <cell r="F24">
            <v>1.2</v>
          </cell>
          <cell r="G24">
            <v>15.6</v>
          </cell>
          <cell r="I24">
            <v>1.7</v>
          </cell>
          <cell r="J24">
            <v>22.099999999999998</v>
          </cell>
          <cell r="K24">
            <v>0.05</v>
          </cell>
          <cell r="L24">
            <v>0.65</v>
          </cell>
          <cell r="N24">
            <v>0</v>
          </cell>
          <cell r="O24">
            <v>1.75</v>
          </cell>
          <cell r="P24">
            <v>22.75</v>
          </cell>
        </row>
        <row r="25">
          <cell r="B25" t="str">
            <v>Chemical Coating (inside only)</v>
          </cell>
          <cell r="C25" t="str">
            <v>Chemical resistant bricks or tiles or by a monolithic epoxy compound</v>
          </cell>
          <cell r="D25" t="str">
            <v>m2</v>
          </cell>
          <cell r="E25">
            <v>177</v>
          </cell>
          <cell r="F25">
            <v>12.6</v>
          </cell>
          <cell r="G25">
            <v>2230.1999999999998</v>
          </cell>
          <cell r="I25">
            <v>1.1000000000000001</v>
          </cell>
          <cell r="J25">
            <v>194.70000000000002</v>
          </cell>
          <cell r="K25">
            <v>0.1</v>
          </cell>
          <cell r="L25">
            <v>17.7</v>
          </cell>
          <cell r="N25">
            <v>0</v>
          </cell>
          <cell r="O25">
            <v>1.2000000000000002</v>
          </cell>
          <cell r="P25">
            <v>212.40000000000003</v>
          </cell>
        </row>
        <row r="26">
          <cell r="B26" t="str">
            <v>Drain Pipe (for concrete Tank)</v>
          </cell>
          <cell r="C26" t="str">
            <v>HDPE drain pipe (Φ 75x6.9mm)</v>
          </cell>
          <cell r="D26" t="str">
            <v>m</v>
          </cell>
          <cell r="E26">
            <v>8</v>
          </cell>
          <cell r="F26">
            <v>3</v>
          </cell>
          <cell r="G26">
            <v>24</v>
          </cell>
          <cell r="I26">
            <v>4</v>
          </cell>
          <cell r="J26">
            <v>32</v>
          </cell>
          <cell r="L26">
            <v>0</v>
          </cell>
          <cell r="N26">
            <v>0</v>
          </cell>
          <cell r="O26">
            <v>4</v>
          </cell>
          <cell r="P26">
            <v>32</v>
          </cell>
        </row>
        <row r="27">
          <cell r="B27" t="str">
            <v>Geotextile membrane</v>
          </cell>
          <cell r="C27" t="str">
            <v>woven/roven type Nicolon No. 66339 or equivalent</v>
          </cell>
          <cell r="D27" t="str">
            <v>m2</v>
          </cell>
          <cell r="E27">
            <v>167</v>
          </cell>
          <cell r="F27">
            <v>0.5</v>
          </cell>
          <cell r="G27">
            <v>83.5</v>
          </cell>
          <cell r="I27">
            <v>1</v>
          </cell>
          <cell r="J27">
            <v>167</v>
          </cell>
          <cell r="L27">
            <v>0</v>
          </cell>
          <cell r="N27">
            <v>0</v>
          </cell>
          <cell r="O27">
            <v>1</v>
          </cell>
          <cell r="P27">
            <v>167</v>
          </cell>
        </row>
        <row r="28">
          <cell r="B28" t="str">
            <v>Drain Pipe (for Tank Foundation)</v>
          </cell>
          <cell r="C28" t="str">
            <v>HDPE drain pipe (Φ 125mm)</v>
          </cell>
          <cell r="D28" t="str">
            <v>m</v>
          </cell>
          <cell r="E28">
            <v>8</v>
          </cell>
          <cell r="F28">
            <v>2</v>
          </cell>
          <cell r="G28">
            <v>16</v>
          </cell>
          <cell r="I28">
            <v>4</v>
          </cell>
          <cell r="J28">
            <v>32</v>
          </cell>
          <cell r="L28">
            <v>0</v>
          </cell>
          <cell r="N28">
            <v>0</v>
          </cell>
          <cell r="O28">
            <v>4</v>
          </cell>
          <cell r="P28">
            <v>32</v>
          </cell>
        </row>
        <row r="29">
          <cell r="B29" t="str">
            <v>Hume Pipe</v>
          </cell>
          <cell r="C29" t="str">
            <v>D=450mm</v>
          </cell>
          <cell r="D29" t="str">
            <v>m</v>
          </cell>
          <cell r="E29">
            <v>92</v>
          </cell>
          <cell r="F29">
            <v>15</v>
          </cell>
          <cell r="G29">
            <v>1380</v>
          </cell>
          <cell r="I29">
            <v>8</v>
          </cell>
          <cell r="J29">
            <v>736</v>
          </cell>
          <cell r="K29">
            <v>2</v>
          </cell>
          <cell r="L29">
            <v>184</v>
          </cell>
          <cell r="N29">
            <v>0</v>
          </cell>
          <cell r="O29">
            <v>10</v>
          </cell>
          <cell r="P29">
            <v>920</v>
          </cell>
        </row>
        <row r="30">
          <cell r="B30" t="str">
            <v>Warning Tape</v>
          </cell>
          <cell r="C30" t="str">
            <v>P.V.C</v>
          </cell>
          <cell r="D30" t="str">
            <v>m</v>
          </cell>
          <cell r="E30">
            <v>6322</v>
          </cell>
          <cell r="F30">
            <v>0.2</v>
          </cell>
          <cell r="G30">
            <v>1264.4000000000001</v>
          </cell>
          <cell r="I30">
            <v>0.1</v>
          </cell>
          <cell r="J30">
            <v>632.20000000000005</v>
          </cell>
          <cell r="L30">
            <v>0</v>
          </cell>
          <cell r="N30">
            <v>0</v>
          </cell>
          <cell r="O30">
            <v>0.1</v>
          </cell>
          <cell r="P30">
            <v>632.20000000000005</v>
          </cell>
        </row>
        <row r="31">
          <cell r="B31" t="str">
            <v>Checkered Plate</v>
          </cell>
          <cell r="C31" t="str">
            <v>Thk.=6mm, Galvanized</v>
          </cell>
          <cell r="D31" t="str">
            <v>m2</v>
          </cell>
          <cell r="E31">
            <v>90</v>
          </cell>
          <cell r="F31">
            <v>30</v>
          </cell>
          <cell r="G31">
            <v>2700</v>
          </cell>
          <cell r="I31">
            <v>10</v>
          </cell>
          <cell r="J31">
            <v>900</v>
          </cell>
          <cell r="L31">
            <v>0</v>
          </cell>
          <cell r="N31">
            <v>0</v>
          </cell>
          <cell r="O31">
            <v>10</v>
          </cell>
          <cell r="P31">
            <v>900</v>
          </cell>
        </row>
        <row r="32">
          <cell r="B32" t="str">
            <v>Grating</v>
          </cell>
          <cell r="C32" t="str">
            <v>I-55x7, Galvanized</v>
          </cell>
          <cell r="D32" t="str">
            <v>m2</v>
          </cell>
          <cell r="E32">
            <v>1</v>
          </cell>
          <cell r="F32">
            <v>75</v>
          </cell>
          <cell r="G32">
            <v>75</v>
          </cell>
          <cell r="I32">
            <v>10</v>
          </cell>
          <cell r="J32">
            <v>10</v>
          </cell>
          <cell r="L32">
            <v>0</v>
          </cell>
          <cell r="N32">
            <v>0</v>
          </cell>
          <cell r="O32">
            <v>10</v>
          </cell>
          <cell r="P32">
            <v>10</v>
          </cell>
        </row>
        <row r="33">
          <cell r="B33" t="str">
            <v>Step Iron</v>
          </cell>
          <cell r="C33" t="str">
            <v>ASTM A36, Round Bar Φ20x1200L, Hot dip galvanized</v>
          </cell>
          <cell r="D33" t="str">
            <v>ea</v>
          </cell>
          <cell r="E33">
            <v>41</v>
          </cell>
          <cell r="F33">
            <v>3</v>
          </cell>
          <cell r="G33">
            <v>123</v>
          </cell>
          <cell r="I33">
            <v>2</v>
          </cell>
          <cell r="J33">
            <v>82</v>
          </cell>
          <cell r="L33">
            <v>0</v>
          </cell>
          <cell r="N33">
            <v>0</v>
          </cell>
          <cell r="O33">
            <v>2</v>
          </cell>
          <cell r="P33">
            <v>82</v>
          </cell>
        </row>
        <row r="34">
          <cell r="B34" t="str">
            <v>Misc. Steel</v>
          </cell>
          <cell r="C34" t="str">
            <v>ASTM A36 or equivalent</v>
          </cell>
          <cell r="D34" t="str">
            <v>Ton</v>
          </cell>
          <cell r="E34">
            <v>4</v>
          </cell>
          <cell r="F34">
            <v>300</v>
          </cell>
          <cell r="G34">
            <v>1200</v>
          </cell>
          <cell r="I34">
            <v>300</v>
          </cell>
          <cell r="J34">
            <v>1200</v>
          </cell>
          <cell r="K34">
            <v>80</v>
          </cell>
          <cell r="L34">
            <v>320</v>
          </cell>
          <cell r="N34">
            <v>0</v>
          </cell>
          <cell r="O34">
            <v>380</v>
          </cell>
          <cell r="P34">
            <v>1520</v>
          </cell>
        </row>
        <row r="35">
          <cell r="B35" t="str">
            <v>Anchor Bolt (M24)</v>
          </cell>
          <cell r="C35" t="str">
            <v>ASTM A36 or equivalent (Refer DEP S28.020), Install only</v>
          </cell>
          <cell r="D35" t="str">
            <v>ea</v>
          </cell>
          <cell r="E35">
            <v>38</v>
          </cell>
          <cell r="G35">
            <v>0</v>
          </cell>
          <cell r="I35">
            <v>4</v>
          </cell>
          <cell r="J35">
            <v>152</v>
          </cell>
          <cell r="L35">
            <v>0</v>
          </cell>
          <cell r="N35">
            <v>0</v>
          </cell>
          <cell r="O35">
            <v>4</v>
          </cell>
          <cell r="P35">
            <v>152</v>
          </cell>
        </row>
        <row r="36">
          <cell r="B36" t="str">
            <v>Anchor Bolt (M42)</v>
          </cell>
          <cell r="C36" t="str">
            <v>ASTM A36 or equivalent (Refer DEP S28.020), Install only</v>
          </cell>
          <cell r="D36" t="str">
            <v>ea</v>
          </cell>
          <cell r="E36">
            <v>806</v>
          </cell>
          <cell r="G36">
            <v>0</v>
          </cell>
          <cell r="I36">
            <v>9</v>
          </cell>
          <cell r="J36">
            <v>7254</v>
          </cell>
          <cell r="L36">
            <v>0</v>
          </cell>
          <cell r="N36">
            <v>0</v>
          </cell>
          <cell r="O36">
            <v>9</v>
          </cell>
          <cell r="P36">
            <v>7254</v>
          </cell>
        </row>
        <row r="37">
          <cell r="B37" t="str">
            <v>Wearing Course (Asphalt Road)</v>
          </cell>
          <cell r="C37" t="str">
            <v>Thk.=50mm</v>
          </cell>
          <cell r="D37" t="str">
            <v>m3</v>
          </cell>
          <cell r="E37">
            <v>75</v>
          </cell>
          <cell r="F37">
            <v>42</v>
          </cell>
          <cell r="G37">
            <v>3150</v>
          </cell>
          <cell r="I37">
            <v>10</v>
          </cell>
          <cell r="J37">
            <v>750</v>
          </cell>
          <cell r="K37">
            <v>10</v>
          </cell>
          <cell r="L37">
            <v>750</v>
          </cell>
          <cell r="N37">
            <v>0</v>
          </cell>
          <cell r="O37">
            <v>20</v>
          </cell>
          <cell r="P37">
            <v>1500</v>
          </cell>
        </row>
        <row r="38">
          <cell r="B38" t="str">
            <v>Base Course (Asphalt Road)</v>
          </cell>
          <cell r="C38" t="str">
            <v>Thk.=250mm</v>
          </cell>
          <cell r="D38" t="str">
            <v>m3</v>
          </cell>
          <cell r="E38">
            <v>379</v>
          </cell>
          <cell r="F38">
            <v>4</v>
          </cell>
          <cell r="G38">
            <v>1516</v>
          </cell>
          <cell r="I38">
            <v>2</v>
          </cell>
          <cell r="J38">
            <v>758</v>
          </cell>
          <cell r="K38">
            <v>1.65</v>
          </cell>
          <cell r="L38">
            <v>625.35</v>
          </cell>
          <cell r="N38">
            <v>0</v>
          </cell>
          <cell r="O38">
            <v>3.65</v>
          </cell>
          <cell r="P38">
            <v>1383.35</v>
          </cell>
        </row>
        <row r="39">
          <cell r="B39" t="str">
            <v>Sub-Base Course (Asphalt Road)</v>
          </cell>
          <cell r="C39" t="str">
            <v>Thk.=250mm</v>
          </cell>
          <cell r="D39" t="str">
            <v>m3</v>
          </cell>
          <cell r="E39">
            <v>383</v>
          </cell>
          <cell r="F39">
            <v>2</v>
          </cell>
          <cell r="G39">
            <v>766</v>
          </cell>
          <cell r="I39">
            <v>2</v>
          </cell>
          <cell r="J39">
            <v>766</v>
          </cell>
          <cell r="K39">
            <v>1.65</v>
          </cell>
          <cell r="L39">
            <v>631.94999999999993</v>
          </cell>
          <cell r="N39">
            <v>0</v>
          </cell>
          <cell r="O39">
            <v>3.65</v>
          </cell>
          <cell r="P39">
            <v>1397.95</v>
          </cell>
        </row>
        <row r="40">
          <cell r="B40" t="str">
            <v>Shoulder (Gravel)</v>
          </cell>
          <cell r="C40" t="str">
            <v>Thk.=50mm</v>
          </cell>
          <cell r="D40" t="str">
            <v>m2</v>
          </cell>
          <cell r="E40">
            <v>749</v>
          </cell>
          <cell r="F40">
            <v>0.5</v>
          </cell>
          <cell r="G40">
            <v>374.5</v>
          </cell>
          <cell r="I40">
            <v>0.2</v>
          </cell>
          <cell r="J40">
            <v>149.80000000000001</v>
          </cell>
          <cell r="K40">
            <v>0.05</v>
          </cell>
          <cell r="L40">
            <v>37.450000000000003</v>
          </cell>
          <cell r="N40">
            <v>0</v>
          </cell>
          <cell r="O40">
            <v>0.25</v>
          </cell>
          <cell r="P40">
            <v>187.25</v>
          </cell>
        </row>
        <row r="41">
          <cell r="B41" t="str">
            <v>Concrete Paving (for Light Duty)</v>
          </cell>
          <cell r="C41" t="str">
            <v>Thk.=100mm, grade C-30</v>
          </cell>
          <cell r="D41" t="str">
            <v>m3</v>
          </cell>
          <cell r="E41">
            <v>99</v>
          </cell>
          <cell r="F41">
            <v>26</v>
          </cell>
          <cell r="G41">
            <v>2574</v>
          </cell>
          <cell r="I41">
            <v>8</v>
          </cell>
          <cell r="J41">
            <v>792</v>
          </cell>
          <cell r="K41">
            <v>8</v>
          </cell>
          <cell r="L41">
            <v>792</v>
          </cell>
          <cell r="N41">
            <v>0</v>
          </cell>
          <cell r="O41">
            <v>16</v>
          </cell>
          <cell r="P41">
            <v>1584</v>
          </cell>
        </row>
        <row r="42">
          <cell r="B42" t="str">
            <v>Expansion Joint (for Con'c Paving Light Duty)</v>
          </cell>
          <cell r="C42" t="str">
            <v>L=20m, 25 deep x 20 wide Hydrocarbon resistant joint sealant</v>
          </cell>
          <cell r="D42" t="str">
            <v>m</v>
          </cell>
          <cell r="E42">
            <v>120</v>
          </cell>
          <cell r="F42">
            <v>1.5</v>
          </cell>
          <cell r="G42">
            <v>180</v>
          </cell>
          <cell r="I42">
            <v>1.5</v>
          </cell>
          <cell r="J42">
            <v>180</v>
          </cell>
          <cell r="K42">
            <v>0.1</v>
          </cell>
          <cell r="L42">
            <v>12</v>
          </cell>
          <cell r="N42">
            <v>0</v>
          </cell>
          <cell r="O42">
            <v>1.6</v>
          </cell>
          <cell r="P42">
            <v>192</v>
          </cell>
        </row>
        <row r="43">
          <cell r="B43" t="str">
            <v>Contraction Joint (for Con'c Paving Light Duty)</v>
          </cell>
          <cell r="C43" t="str">
            <v>L=5m, 20mm deep groove to be cut after casting and filled with Hydrocarbon resistant joint sealant</v>
          </cell>
          <cell r="D43" t="str">
            <v>m</v>
          </cell>
          <cell r="E43">
            <v>260</v>
          </cell>
          <cell r="F43">
            <v>1.1000000000000001</v>
          </cell>
          <cell r="G43">
            <v>286</v>
          </cell>
          <cell r="I43">
            <v>1.8</v>
          </cell>
          <cell r="J43">
            <v>468</v>
          </cell>
          <cell r="K43">
            <v>0.1</v>
          </cell>
          <cell r="L43">
            <v>26</v>
          </cell>
          <cell r="N43">
            <v>0</v>
          </cell>
          <cell r="O43">
            <v>1.9000000000000001</v>
          </cell>
          <cell r="P43">
            <v>494.00000000000006</v>
          </cell>
        </row>
        <row r="44">
          <cell r="B44" t="str">
            <v>Wire Fabric. (for Light Duty Con'c paving)</v>
          </cell>
          <cell r="C44" t="str">
            <v xml:space="preserve">φ7-200x200, Cold-drawn finish, ASTM A185 </v>
          </cell>
          <cell r="D44" t="str">
            <v>m2</v>
          </cell>
          <cell r="E44">
            <v>10369</v>
          </cell>
          <cell r="F44">
            <v>0.93</v>
          </cell>
          <cell r="G44">
            <v>9643.17</v>
          </cell>
          <cell r="I44">
            <v>0.4</v>
          </cell>
          <cell r="J44">
            <v>4147.6000000000004</v>
          </cell>
          <cell r="L44">
            <v>0</v>
          </cell>
          <cell r="N44">
            <v>0</v>
          </cell>
          <cell r="O44">
            <v>0.4</v>
          </cell>
          <cell r="P44">
            <v>4147.6000000000004</v>
          </cell>
        </row>
        <row r="45">
          <cell r="B45" t="str">
            <v>Joint Filler &amp; Sealant (for concrete paving Light Duty)</v>
          </cell>
          <cell r="C45" t="str">
            <v>20 thick flexible jointing material 25 deep x 20 wide Hydrocarbon resistant joint sealant in top.</v>
          </cell>
          <cell r="D45" t="str">
            <v>m</v>
          </cell>
          <cell r="E45">
            <v>1975</v>
          </cell>
          <cell r="F45">
            <v>1.5</v>
          </cell>
          <cell r="G45">
            <v>2962.5</v>
          </cell>
          <cell r="I45">
            <v>1</v>
          </cell>
          <cell r="J45">
            <v>1975</v>
          </cell>
          <cell r="L45">
            <v>0</v>
          </cell>
          <cell r="N45">
            <v>0</v>
          </cell>
          <cell r="O45">
            <v>1</v>
          </cell>
          <cell r="P45">
            <v>1975</v>
          </cell>
        </row>
        <row r="46">
          <cell r="B46" t="str">
            <v>Polyethylene membrane</v>
          </cell>
          <cell r="C46" t="str">
            <v>gauge 1000 or equal</v>
          </cell>
          <cell r="D46" t="str">
            <v>m2</v>
          </cell>
          <cell r="E46">
            <v>10397</v>
          </cell>
          <cell r="F46">
            <v>0.25</v>
          </cell>
          <cell r="G46">
            <v>2599.25</v>
          </cell>
          <cell r="I46">
            <v>0.3</v>
          </cell>
          <cell r="J46">
            <v>3119.1</v>
          </cell>
          <cell r="K46">
            <v>0.05</v>
          </cell>
          <cell r="L46">
            <v>519.85</v>
          </cell>
          <cell r="N46">
            <v>0</v>
          </cell>
          <cell r="O46">
            <v>0.35</v>
          </cell>
          <cell r="P46">
            <v>3638.95</v>
          </cell>
        </row>
        <row r="47">
          <cell r="B47" t="str">
            <v>Hardboard</v>
          </cell>
          <cell r="C47">
            <v>0</v>
          </cell>
          <cell r="D47" t="str">
            <v>m2</v>
          </cell>
          <cell r="E47">
            <v>7844</v>
          </cell>
          <cell r="F47">
            <v>1.2</v>
          </cell>
          <cell r="G47">
            <v>9412.7999999999993</v>
          </cell>
          <cell r="I47">
            <v>0.75</v>
          </cell>
          <cell r="J47">
            <v>5883</v>
          </cell>
          <cell r="K47">
            <v>0.05</v>
          </cell>
          <cell r="L47">
            <v>392.20000000000005</v>
          </cell>
          <cell r="N47">
            <v>0</v>
          </cell>
          <cell r="O47">
            <v>0.8</v>
          </cell>
          <cell r="P47">
            <v>6275.2000000000007</v>
          </cell>
        </row>
        <row r="48">
          <cell r="B48" t="str">
            <v>screed</v>
          </cell>
          <cell r="C48" t="str">
            <v>20mm thick Mortar</v>
          </cell>
          <cell r="D48" t="str">
            <v>m2</v>
          </cell>
          <cell r="E48">
            <v>20795</v>
          </cell>
          <cell r="F48">
            <v>0.6</v>
          </cell>
          <cell r="G48">
            <v>12477</v>
          </cell>
          <cell r="I48">
            <v>0.7</v>
          </cell>
          <cell r="J48">
            <v>14556.499999999998</v>
          </cell>
          <cell r="K48">
            <v>0.2</v>
          </cell>
          <cell r="L48">
            <v>4159</v>
          </cell>
          <cell r="N48">
            <v>0</v>
          </cell>
          <cell r="O48">
            <v>0.89999999999999991</v>
          </cell>
          <cell r="P48">
            <v>18715.499999999996</v>
          </cell>
        </row>
        <row r="49">
          <cell r="B49" t="str">
            <v>Fence (New)</v>
          </cell>
          <cell r="C49" t="str">
            <v xml:space="preserve">Hot dip galvanized steelwire and chain link fence fabric may be PVC-coated in acc. With ASTM F 668.
3-strings barbed wire dia. 2.5mm (min.), double stranded with 4 points barbs set 85mm apart, or barbed tape. Steel bracings L50x50x5 min. bolted to posts, </v>
          </cell>
          <cell r="D49" t="str">
            <v>m</v>
          </cell>
          <cell r="E49">
            <v>580</v>
          </cell>
          <cell r="F49">
            <v>13</v>
          </cell>
          <cell r="G49">
            <v>7540</v>
          </cell>
          <cell r="I49">
            <v>7</v>
          </cell>
          <cell r="J49">
            <v>4060</v>
          </cell>
          <cell r="K49">
            <v>1</v>
          </cell>
          <cell r="L49">
            <v>580</v>
          </cell>
          <cell r="N49">
            <v>0</v>
          </cell>
          <cell r="O49">
            <v>8</v>
          </cell>
          <cell r="P49">
            <v>4640</v>
          </cell>
        </row>
      </sheetData>
      <sheetData sheetId="5">
        <row r="9">
          <cell r="B9" t="str">
            <v>Demolition (Paving)</v>
          </cell>
          <cell r="C9">
            <v>0</v>
          </cell>
          <cell r="D9" t="str">
            <v>m2</v>
          </cell>
          <cell r="E9">
            <v>6768</v>
          </cell>
          <cell r="G9">
            <v>0</v>
          </cell>
          <cell r="I9">
            <v>0.2</v>
          </cell>
          <cell r="J9">
            <v>1353.6000000000001</v>
          </cell>
          <cell r="K9">
            <v>1.3</v>
          </cell>
          <cell r="L9">
            <v>8798.4</v>
          </cell>
          <cell r="N9">
            <v>0</v>
          </cell>
          <cell r="O9">
            <v>1.5</v>
          </cell>
          <cell r="P9">
            <v>10152</v>
          </cell>
        </row>
        <row r="10">
          <cell r="B10" t="str">
            <v>Demolition (Road)</v>
          </cell>
          <cell r="C10">
            <v>0</v>
          </cell>
          <cell r="D10" t="str">
            <v>m2</v>
          </cell>
          <cell r="E10">
            <v>4680</v>
          </cell>
          <cell r="G10">
            <v>0</v>
          </cell>
          <cell r="I10">
            <v>0.2</v>
          </cell>
          <cell r="J10">
            <v>936</v>
          </cell>
          <cell r="K10">
            <v>0.8</v>
          </cell>
          <cell r="L10">
            <v>3744</v>
          </cell>
          <cell r="N10">
            <v>0</v>
          </cell>
          <cell r="O10">
            <v>1</v>
          </cell>
          <cell r="P10">
            <v>4680</v>
          </cell>
        </row>
        <row r="11">
          <cell r="B11" t="str">
            <v>Demolition (Fence)</v>
          </cell>
          <cell r="C11" t="str">
            <v>including foundation</v>
          </cell>
          <cell r="D11" t="str">
            <v>m</v>
          </cell>
          <cell r="E11">
            <v>1218</v>
          </cell>
          <cell r="G11">
            <v>0</v>
          </cell>
          <cell r="I11">
            <v>3</v>
          </cell>
          <cell r="J11">
            <v>3654</v>
          </cell>
          <cell r="K11">
            <v>1</v>
          </cell>
          <cell r="L11">
            <v>1218</v>
          </cell>
          <cell r="N11">
            <v>0</v>
          </cell>
          <cell r="O11">
            <v>4</v>
          </cell>
          <cell r="P11">
            <v>4872</v>
          </cell>
        </row>
        <row r="12">
          <cell r="B12" t="str">
            <v>Demolition (Concrete)</v>
          </cell>
          <cell r="C12">
            <v>0</v>
          </cell>
          <cell r="D12" t="str">
            <v>m3</v>
          </cell>
          <cell r="E12">
            <v>1225</v>
          </cell>
          <cell r="G12">
            <v>0</v>
          </cell>
          <cell r="I12">
            <v>8.5</v>
          </cell>
          <cell r="J12">
            <v>10412.5</v>
          </cell>
          <cell r="K12">
            <v>11</v>
          </cell>
          <cell r="L12">
            <v>13475</v>
          </cell>
          <cell r="N12">
            <v>0</v>
          </cell>
          <cell r="O12">
            <v>19.5</v>
          </cell>
          <cell r="P12">
            <v>23887.5</v>
          </cell>
        </row>
      </sheetData>
      <sheetData sheetId="6"/>
      <sheetData sheetId="7"/>
      <sheetData sheetId="8"/>
      <sheetData sheetId="9" refreshError="1"/>
      <sheetData sheetId="10" refreshError="1"/>
      <sheetData sheetId="11" refreshError="1"/>
      <sheetData sheetId="12" refreshError="1"/>
    </sheetDataSet>
  </externalBook>
</externalLink>
</file>

<file path=xl/externalLinks/externalLink9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TABLE1"/>
      <sheetName val="TABLE2(Structure)"/>
      <sheetName val="TABLE2(Piping)"/>
      <sheetName val="TIE-IN(OSBL)"/>
      <sheetName val="TABLE2(Insul)"/>
      <sheetName val="TABLE2(Painting)"/>
      <sheetName val="TABLE2-1 ISBL(GENEAL-CIVIL)"/>
      <sheetName val="TABLE2-1 ISBL-(SlTE PREP)"/>
      <sheetName val="TABLE2.1 ISBL (Soil Invest)"/>
      <sheetName val="TABLE2-2 OSBL(GENERAL-CIVIL)"/>
      <sheetName val="TABLE2-2 OSBL-(SITE PREP)"/>
      <sheetName val="TABLE 2-1 ISBL(BLDG)"/>
      <sheetName val="TABLE 2-2 OSBL(BLDG)"/>
      <sheetName val="BOQ(BLD)"/>
      <sheetName val="BUILDING LIST"/>
      <sheetName val="A.Const_Cost(Pipeline)"/>
      <sheetName val="B-1.AG(BOQ)(Pipeline)"/>
      <sheetName val="B-2.UG(BOQ)(Pipeline)"/>
      <sheetName val="TIE-IN(Pipeline)"/>
      <sheetName val="TABLE 3"/>
      <sheetName val="AREA DEFINITION"/>
      <sheetName val="TABLE 4"/>
      <sheetName val="TABLE 5"/>
      <sheetName val="ISBL"/>
      <sheetName val="OSBL"/>
      <sheetName val="Bdown_ISBL"/>
      <sheetName val="ISBL (검증)"/>
    </sheetNames>
    <sheetDataSet>
      <sheetData sheetId="0" refreshError="1"/>
      <sheetData sheetId="1" refreshError="1"/>
      <sheetData sheetId="2" refreshError="1"/>
      <sheetData sheetId="3" refreshError="1"/>
      <sheetData sheetId="4" refreshError="1"/>
      <sheetData sheetId="5" refreshError="1"/>
      <sheetData sheetId="6">
        <row r="8">
          <cell r="B8" t="str">
            <v>Excavation</v>
          </cell>
        </row>
        <row r="9">
          <cell r="B9" t="str">
            <v>Back Fill</v>
          </cell>
          <cell r="C9" t="str">
            <v>Good soil (by equipment) Compaction shall be 95% of maximum dry density in six inch compacted layers.</v>
          </cell>
          <cell r="D9" t="str">
            <v>m3</v>
          </cell>
          <cell r="E9">
            <v>107293</v>
          </cell>
          <cell r="F9">
            <v>0</v>
          </cell>
          <cell r="G9">
            <v>0</v>
          </cell>
          <cell r="H9">
            <v>41023.79</v>
          </cell>
          <cell r="I9">
            <v>1.0990849054421072</v>
          </cell>
          <cell r="J9">
            <v>117924.11675960002</v>
          </cell>
          <cell r="K9">
            <v>3.1281650000000001</v>
          </cell>
          <cell r="L9">
            <v>335630.207345</v>
          </cell>
          <cell r="M9">
            <v>0</v>
          </cell>
          <cell r="N9">
            <v>0</v>
          </cell>
          <cell r="O9">
            <v>4.2272499054421075</v>
          </cell>
          <cell r="P9">
            <v>453554.3241046</v>
          </cell>
          <cell r="Q9">
            <v>4.2272499054421075</v>
          </cell>
          <cell r="R9">
            <v>453554.3241046</v>
          </cell>
          <cell r="S9">
            <v>0</v>
          </cell>
        </row>
        <row r="10">
          <cell r="B10" t="str">
            <v>Disposal</v>
          </cell>
          <cell r="C10" t="str">
            <v>Good soil</v>
          </cell>
          <cell r="D10" t="str">
            <v>m3</v>
          </cell>
          <cell r="E10">
            <v>56744</v>
          </cell>
          <cell r="F10">
            <v>0</v>
          </cell>
          <cell r="G10">
            <v>0</v>
          </cell>
          <cell r="H10">
            <v>6675.76</v>
          </cell>
          <cell r="I10">
            <v>0.33817976161003804</v>
          </cell>
          <cell r="J10">
            <v>19189.672392799999</v>
          </cell>
          <cell r="K10">
            <v>1.6909000000000001</v>
          </cell>
          <cell r="L10">
            <v>95948.429600000003</v>
          </cell>
          <cell r="M10">
            <v>0</v>
          </cell>
          <cell r="N10">
            <v>0</v>
          </cell>
          <cell r="O10">
            <v>2.029079761610038</v>
          </cell>
          <cell r="P10">
            <v>115138.1019928</v>
          </cell>
          <cell r="Q10">
            <v>2.029079761610038</v>
          </cell>
          <cell r="R10">
            <v>115138.1019928</v>
          </cell>
          <cell r="S10">
            <v>0</v>
          </cell>
        </row>
        <row r="11">
          <cell r="B11" t="str">
            <v>Concrete</v>
          </cell>
          <cell r="C11" t="str">
            <v>Grade C30 , ASTM C150 (TYPE-V)</v>
          </cell>
          <cell r="D11" t="str">
            <v>m3</v>
          </cell>
          <cell r="E11">
            <v>7590</v>
          </cell>
          <cell r="F11">
            <v>77.781400000000005</v>
          </cell>
          <cell r="G11">
            <v>590360.826</v>
          </cell>
          <cell r="H11">
            <v>25002.35</v>
          </cell>
          <cell r="I11">
            <v>9.4690391088801054</v>
          </cell>
          <cell r="J11">
            <v>71870.006836400004</v>
          </cell>
          <cell r="K11">
            <v>18.938080000000003</v>
          </cell>
          <cell r="L11">
            <v>143740.02720000001</v>
          </cell>
          <cell r="M11">
            <v>0</v>
          </cell>
          <cell r="N11">
            <v>0</v>
          </cell>
          <cell r="O11">
            <v>28.40711910888011</v>
          </cell>
          <cell r="P11">
            <v>215610.03403640003</v>
          </cell>
          <cell r="Q11">
            <v>106.18851910888012</v>
          </cell>
          <cell r="R11">
            <v>805970.86003640003</v>
          </cell>
          <cell r="S11">
            <v>0</v>
          </cell>
        </row>
        <row r="12">
          <cell r="B12" t="str">
            <v>Blinding Con'c</v>
          </cell>
          <cell r="C12" t="str">
            <v>Grade C20, Thk.=50mm. (DEP 34.19.20.31-Gen.)</v>
          </cell>
          <cell r="D12" t="str">
            <v>m3</v>
          </cell>
          <cell r="E12">
            <v>494</v>
          </cell>
          <cell r="F12">
            <v>64.254199999999997</v>
          </cell>
          <cell r="G12">
            <v>31741.574799999999</v>
          </cell>
          <cell r="H12">
            <v>1452.94</v>
          </cell>
          <cell r="I12">
            <v>8.4544931542510113</v>
          </cell>
          <cell r="J12">
            <v>4176.5196182</v>
          </cell>
          <cell r="K12">
            <v>16.908999999999999</v>
          </cell>
          <cell r="L12">
            <v>8353.0460000000003</v>
          </cell>
          <cell r="M12">
            <v>0</v>
          </cell>
          <cell r="N12">
            <v>0</v>
          </cell>
          <cell r="O12">
            <v>25.36349315425101</v>
          </cell>
          <cell r="P12">
            <v>12529.5656182</v>
          </cell>
          <cell r="Q12">
            <v>89.617693154251015</v>
          </cell>
          <cell r="R12">
            <v>44271.140418199997</v>
          </cell>
          <cell r="S12">
            <v>0</v>
          </cell>
        </row>
        <row r="13">
          <cell r="B13" t="str">
            <v>Form Work</v>
          </cell>
          <cell r="C13" t="str">
            <v>ACI 347</v>
          </cell>
          <cell r="D13" t="str">
            <v>m2</v>
          </cell>
          <cell r="E13">
            <v>25373</v>
          </cell>
          <cell r="F13">
            <v>7.1017800000000006</v>
          </cell>
          <cell r="G13">
            <v>180193.46394000002</v>
          </cell>
          <cell r="H13">
            <v>29850.59</v>
          </cell>
          <cell r="I13">
            <v>3.381800266566823</v>
          </cell>
          <cell r="J13">
            <v>85806.418163599999</v>
          </cell>
          <cell r="K13">
            <v>2.1981700000000002</v>
          </cell>
          <cell r="L13">
            <v>55774.167410000002</v>
          </cell>
          <cell r="M13">
            <v>0</v>
          </cell>
          <cell r="N13">
            <v>0</v>
          </cell>
          <cell r="O13">
            <v>5.5799702665668232</v>
          </cell>
          <cell r="P13">
            <v>141580.58557359999</v>
          </cell>
          <cell r="Q13">
            <v>12.681750266566823</v>
          </cell>
          <cell r="R13">
            <v>321774.04951360001</v>
          </cell>
          <cell r="S13">
            <v>0</v>
          </cell>
        </row>
        <row r="14">
          <cell r="B14" t="str">
            <v>Re-Bar</v>
          </cell>
          <cell r="C14" t="str">
            <v xml:space="preserve">ASTM A 615 Grade 60 Type S </v>
          </cell>
          <cell r="D14" t="str">
            <v>Ton</v>
          </cell>
          <cell r="E14">
            <v>620</v>
          </cell>
          <cell r="F14">
            <v>463.3066</v>
          </cell>
          <cell r="G14">
            <v>287250.092</v>
          </cell>
          <cell r="H14">
            <v>26988.240000000002</v>
          </cell>
          <cell r="I14">
            <v>125.12662181806452</v>
          </cell>
          <cell r="J14">
            <v>77578.505527200003</v>
          </cell>
          <cell r="K14">
            <v>43.9634</v>
          </cell>
          <cell r="L14">
            <v>27257.308000000001</v>
          </cell>
          <cell r="M14">
            <v>0</v>
          </cell>
          <cell r="N14">
            <v>0</v>
          </cell>
          <cell r="O14">
            <v>169.09002181806451</v>
          </cell>
          <cell r="P14">
            <v>104835.81352720001</v>
          </cell>
          <cell r="Q14">
            <v>632.39662181806455</v>
          </cell>
          <cell r="R14">
            <v>392085.90552720003</v>
          </cell>
          <cell r="S14">
            <v>0</v>
          </cell>
        </row>
        <row r="15">
          <cell r="B15" t="str">
            <v>Non-Shrinkage Grout</v>
          </cell>
          <cell r="C15" t="str">
            <v>75 N/mm2, DEP 34.19.20.31-Gen</v>
          </cell>
          <cell r="D15" t="str">
            <v>m3</v>
          </cell>
          <cell r="E15">
            <v>29</v>
          </cell>
          <cell r="F15">
            <v>2908.348</v>
          </cell>
          <cell r="G15">
            <v>84342.092000000004</v>
          </cell>
          <cell r="H15">
            <v>1364.71</v>
          </cell>
          <cell r="I15">
            <v>135.27246645517241</v>
          </cell>
          <cell r="J15">
            <v>3922.9015271999997</v>
          </cell>
          <cell r="K15">
            <v>67.63600000000001</v>
          </cell>
          <cell r="L15">
            <v>1961.4440000000002</v>
          </cell>
          <cell r="M15">
            <v>0</v>
          </cell>
          <cell r="N15">
            <v>0</v>
          </cell>
          <cell r="O15">
            <v>202.9084664551724</v>
          </cell>
          <cell r="P15">
            <v>5884.3455272000001</v>
          </cell>
          <cell r="Q15">
            <v>3111.2564664551724</v>
          </cell>
          <cell r="R15">
            <v>90226.437527200003</v>
          </cell>
          <cell r="S15">
            <v>0</v>
          </cell>
        </row>
        <row r="16">
          <cell r="B16" t="str">
            <v>Sand/Cement Grout</v>
          </cell>
          <cell r="C16" t="str">
            <v>20 N/mm2,DEP 34.19.20.31-Gen</v>
          </cell>
          <cell r="D16" t="str">
            <v>m3</v>
          </cell>
          <cell r="E16">
            <v>1</v>
          </cell>
          <cell r="F16">
            <v>608.72400000000005</v>
          </cell>
          <cell r="G16">
            <v>608.72400000000005</v>
          </cell>
          <cell r="H16">
            <v>47.06</v>
          </cell>
          <cell r="I16">
            <v>135.27538179999999</v>
          </cell>
          <cell r="J16">
            <v>135.27538179999999</v>
          </cell>
          <cell r="K16">
            <v>67.635999999999996</v>
          </cell>
          <cell r="L16">
            <v>67.635999999999996</v>
          </cell>
          <cell r="M16">
            <v>0</v>
          </cell>
          <cell r="N16">
            <v>0</v>
          </cell>
          <cell r="O16">
            <v>202.91138179999999</v>
          </cell>
          <cell r="P16">
            <v>202.91138179999999</v>
          </cell>
          <cell r="Q16">
            <v>811.6353818</v>
          </cell>
          <cell r="R16">
            <v>811.6353818</v>
          </cell>
          <cell r="S16">
            <v>0</v>
          </cell>
        </row>
        <row r="17">
          <cell r="B17" t="str">
            <v>FDN. Surface Coating (U/G)</v>
          </cell>
          <cell r="C17" t="str">
            <v xml:space="preserve">bitu-coating, 2 times, 0.4kg/m2 </v>
          </cell>
          <cell r="D17" t="str">
            <v>m2</v>
          </cell>
          <cell r="E17">
            <v>14567</v>
          </cell>
          <cell r="F17">
            <v>0.84545000000000003</v>
          </cell>
          <cell r="G17">
            <v>12315.67015</v>
          </cell>
          <cell r="H17">
            <v>4284.41</v>
          </cell>
          <cell r="I17">
            <v>0.84544976784512949</v>
          </cell>
          <cell r="J17">
            <v>12315.666768200001</v>
          </cell>
          <cell r="K17">
            <v>0.33818000000000004</v>
          </cell>
          <cell r="L17">
            <v>4926.2680600000003</v>
          </cell>
          <cell r="M17">
            <v>0</v>
          </cell>
          <cell r="N17">
            <v>0</v>
          </cell>
          <cell r="O17">
            <v>1.1836297678451295</v>
          </cell>
          <cell r="P17">
            <v>17241.934828199999</v>
          </cell>
          <cell r="Q17">
            <v>2.0290797678451296</v>
          </cell>
          <cell r="R17">
            <v>29557.604978199997</v>
          </cell>
          <cell r="S17">
            <v>0</v>
          </cell>
        </row>
        <row r="18">
          <cell r="B18" t="str">
            <v>FDN. Surface Coating (A/G)</v>
          </cell>
          <cell r="C18" t="str">
            <v>bitu-coating, 2 times, 0.4kg/m2, 150mm above ground level</v>
          </cell>
          <cell r="D18" t="str">
            <v>m2</v>
          </cell>
          <cell r="E18">
            <v>977</v>
          </cell>
          <cell r="F18">
            <v>0.84545000000000003</v>
          </cell>
          <cell r="G18">
            <v>826.00465000000008</v>
          </cell>
          <cell r="H18">
            <v>287.35000000000002</v>
          </cell>
          <cell r="I18">
            <v>0.84544307717502554</v>
          </cell>
          <cell r="J18">
            <v>825.99788639999997</v>
          </cell>
          <cell r="K18">
            <v>0.33817999999999998</v>
          </cell>
          <cell r="L18">
            <v>330.40186</v>
          </cell>
          <cell r="M18">
            <v>0</v>
          </cell>
          <cell r="N18">
            <v>0</v>
          </cell>
          <cell r="O18">
            <v>1.1836230771750256</v>
          </cell>
          <cell r="P18">
            <v>1156.3997463999999</v>
          </cell>
          <cell r="Q18">
            <v>2.0290730771750258</v>
          </cell>
          <cell r="R18">
            <v>1982.4043964</v>
          </cell>
          <cell r="S18">
            <v>0</v>
          </cell>
        </row>
        <row r="19">
          <cell r="B19" t="str">
            <v>Sand Bitumen</v>
          </cell>
          <cell r="C19" t="str">
            <v>50mm sand bitumen mix or oil/sand mix. (DEP 34.18.51.10-Gen. Appendix 3 and 4)</v>
          </cell>
          <cell r="D19" t="str">
            <v>m3</v>
          </cell>
          <cell r="E19">
            <v>3</v>
          </cell>
          <cell r="F19">
            <v>43.9634</v>
          </cell>
          <cell r="G19">
            <v>131.89019999999999</v>
          </cell>
          <cell r="H19">
            <v>10.59</v>
          </cell>
          <cell r="I19">
            <v>10.147654533333334</v>
          </cell>
          <cell r="J19">
            <v>30.442963600000002</v>
          </cell>
          <cell r="K19">
            <v>13.527200000000001</v>
          </cell>
          <cell r="L19">
            <v>40.581600000000002</v>
          </cell>
          <cell r="M19">
            <v>0</v>
          </cell>
          <cell r="N19">
            <v>0</v>
          </cell>
          <cell r="O19">
            <v>23.674854533333335</v>
          </cell>
          <cell r="P19">
            <v>71.024563600000008</v>
          </cell>
          <cell r="Q19">
            <v>67.638254533333338</v>
          </cell>
          <cell r="R19">
            <v>202.91476360000001</v>
          </cell>
          <cell r="S19">
            <v>0</v>
          </cell>
        </row>
        <row r="20">
          <cell r="B20" t="str">
            <v>Structural Fill (Sand)</v>
          </cell>
          <cell r="C20" t="str">
            <v>Compaction shall be 95% of maximum dry density in six inch compacted layers.</v>
          </cell>
          <cell r="D20" t="str">
            <v>m3</v>
          </cell>
          <cell r="E20">
            <v>21387</v>
          </cell>
          <cell r="F20">
            <v>1.741627</v>
          </cell>
          <cell r="G20">
            <v>37248.176649000001</v>
          </cell>
          <cell r="H20">
            <v>8428.99</v>
          </cell>
          <cell r="I20">
            <v>1.1329025256277179</v>
          </cell>
          <cell r="J20">
            <v>24229.386315600001</v>
          </cell>
          <cell r="K20">
            <v>2.7054399999999998</v>
          </cell>
          <cell r="L20">
            <v>57861.245279999996</v>
          </cell>
          <cell r="M20">
            <v>0</v>
          </cell>
          <cell r="N20">
            <v>0</v>
          </cell>
          <cell r="O20">
            <v>3.8383425256277177</v>
          </cell>
          <cell r="P20">
            <v>82090.631595599989</v>
          </cell>
          <cell r="Q20">
            <v>5.5799695256277175</v>
          </cell>
          <cell r="R20">
            <v>119338.80824459999</v>
          </cell>
          <cell r="S20">
            <v>0</v>
          </cell>
        </row>
        <row r="21">
          <cell r="B21" t="str">
            <v>Structural Fill (Compacted Stone or Gravel)</v>
          </cell>
          <cell r="C21" t="str">
            <v>Compaction shall be 95% of maximum dry density in six inch compacted layers.</v>
          </cell>
          <cell r="D21" t="str">
            <v>m3</v>
          </cell>
          <cell r="E21">
            <v>5</v>
          </cell>
          <cell r="F21">
            <v>28.7453</v>
          </cell>
          <cell r="G21">
            <v>143.72649999999999</v>
          </cell>
          <cell r="H21">
            <v>8.82</v>
          </cell>
          <cell r="I21">
            <v>5.0706709199999995</v>
          </cell>
          <cell r="J21">
            <v>25.353354599999999</v>
          </cell>
          <cell r="K21">
            <v>6.7635999999999994</v>
          </cell>
          <cell r="L21">
            <v>33.817999999999998</v>
          </cell>
          <cell r="M21">
            <v>0</v>
          </cell>
          <cell r="N21">
            <v>0</v>
          </cell>
          <cell r="O21">
            <v>11.834270919999998</v>
          </cell>
          <cell r="P21">
            <v>59.171354600000001</v>
          </cell>
          <cell r="Q21">
            <v>40.579570919999995</v>
          </cell>
          <cell r="R21">
            <v>202.89785459999999</v>
          </cell>
          <cell r="S21">
            <v>0</v>
          </cell>
        </row>
        <row r="22">
          <cell r="B22" t="str">
            <v>Water Stop</v>
          </cell>
          <cell r="C22" t="str">
            <v>PVC, W=150mm</v>
          </cell>
          <cell r="D22" t="str">
            <v>m</v>
          </cell>
          <cell r="E22">
            <v>522</v>
          </cell>
          <cell r="F22">
            <v>4.2272499999999997</v>
          </cell>
          <cell r="G22">
            <v>2206.6244999999999</v>
          </cell>
          <cell r="H22">
            <v>383.82</v>
          </cell>
          <cell r="I22">
            <v>2.1136055643678162</v>
          </cell>
          <cell r="J22">
            <v>1103.3021046000001</v>
          </cell>
          <cell r="K22">
            <v>0.76090500000000005</v>
          </cell>
          <cell r="L22">
            <v>397.19241000000005</v>
          </cell>
          <cell r="M22">
            <v>0</v>
          </cell>
          <cell r="N22">
            <v>0</v>
          </cell>
          <cell r="O22">
            <v>2.8745105643678164</v>
          </cell>
          <cell r="P22">
            <v>1500.4945146000002</v>
          </cell>
          <cell r="Q22">
            <v>7.1017605643678161</v>
          </cell>
          <cell r="R22">
            <v>3707.1190145999999</v>
          </cell>
          <cell r="S22">
            <v>0</v>
          </cell>
        </row>
        <row r="23">
          <cell r="B23" t="str">
            <v>Outside Water Proofing (for Pit &amp; Basin)</v>
          </cell>
          <cell r="C23" t="str">
            <v xml:space="preserve">bitu-coating, 2 times, 0.4kg/m2 </v>
          </cell>
          <cell r="D23" t="str">
            <v>m2</v>
          </cell>
          <cell r="E23">
            <v>1215</v>
          </cell>
          <cell r="F23">
            <v>0.84545000000000003</v>
          </cell>
          <cell r="G23">
            <v>1027.2217499999999</v>
          </cell>
          <cell r="H23">
            <v>357.35</v>
          </cell>
          <cell r="I23">
            <v>0.8454444332510288</v>
          </cell>
          <cell r="J23">
            <v>1027.2149864</v>
          </cell>
          <cell r="K23">
            <v>0.33818000000000004</v>
          </cell>
          <cell r="L23">
            <v>410.88870000000003</v>
          </cell>
          <cell r="M23">
            <v>0</v>
          </cell>
          <cell r="N23">
            <v>0</v>
          </cell>
          <cell r="O23">
            <v>1.1836244332510288</v>
          </cell>
          <cell r="P23">
            <v>1438.1036864</v>
          </cell>
          <cell r="Q23">
            <v>2.0290744332510289</v>
          </cell>
          <cell r="R23">
            <v>2465.3254363999999</v>
          </cell>
          <cell r="S23">
            <v>0</v>
          </cell>
        </row>
        <row r="24">
          <cell r="B24" t="str">
            <v>Inside Wall Coating (Water Proofing Only)</v>
          </cell>
          <cell r="C24" t="str">
            <v>Liquid water coating</v>
          </cell>
          <cell r="D24" t="str">
            <v>m2</v>
          </cell>
          <cell r="E24">
            <v>1375</v>
          </cell>
          <cell r="F24">
            <v>4.2272499999999997</v>
          </cell>
          <cell r="G24">
            <v>5812.46875</v>
          </cell>
          <cell r="H24">
            <v>1981.62</v>
          </cell>
          <cell r="I24">
            <v>4.1427099189818186</v>
          </cell>
          <cell r="J24">
            <v>5696.2261386</v>
          </cell>
          <cell r="K24">
            <v>1.6909000000000001</v>
          </cell>
          <cell r="L24">
            <v>2324.9875000000002</v>
          </cell>
          <cell r="M24">
            <v>0</v>
          </cell>
          <cell r="N24">
            <v>0</v>
          </cell>
          <cell r="O24">
            <v>5.8336099189818187</v>
          </cell>
          <cell r="P24">
            <v>8021.2136386000002</v>
          </cell>
          <cell r="Q24">
            <v>10.060859918981819</v>
          </cell>
          <cell r="R24">
            <v>13833.6823886</v>
          </cell>
          <cell r="S24">
            <v>0</v>
          </cell>
        </row>
        <row r="25">
          <cell r="B25" t="str">
            <v>Drain Pipe (for concrete Tank)</v>
          </cell>
          <cell r="C25" t="str">
            <v>HDPE drain pipe (Φ 75x6.9mm)</v>
          </cell>
          <cell r="D25" t="str">
            <v>m</v>
          </cell>
          <cell r="E25">
            <v>1</v>
          </cell>
          <cell r="F25">
            <v>5.0727000000000002</v>
          </cell>
          <cell r="G25">
            <v>5.0727000000000002</v>
          </cell>
          <cell r="H25">
            <v>0.59</v>
          </cell>
          <cell r="I25">
            <v>1.6976636000000001</v>
          </cell>
          <cell r="J25">
            <v>1.6976636000000001</v>
          </cell>
          <cell r="K25">
            <v>5.0727000000000002</v>
          </cell>
          <cell r="L25">
            <v>5.0727000000000002</v>
          </cell>
          <cell r="M25">
            <v>0</v>
          </cell>
          <cell r="N25">
            <v>0</v>
          </cell>
          <cell r="O25">
            <v>6.7703636000000005</v>
          </cell>
          <cell r="P25">
            <v>6.7703636000000005</v>
          </cell>
          <cell r="Q25">
            <v>11.843063600000001</v>
          </cell>
          <cell r="R25">
            <v>11.843063600000001</v>
          </cell>
          <cell r="S25">
            <v>0</v>
          </cell>
        </row>
        <row r="26">
          <cell r="B26" t="str">
            <v>Geotextile membrane</v>
          </cell>
          <cell r="C26" t="str">
            <v>woven/roven type Nicolon No. 66339 or equivalent</v>
          </cell>
          <cell r="D26" t="str">
            <v>m2</v>
          </cell>
          <cell r="E26">
            <v>128</v>
          </cell>
          <cell r="F26">
            <v>3.3818000000000001</v>
          </cell>
          <cell r="G26">
            <v>432.87040000000002</v>
          </cell>
          <cell r="H26">
            <v>75.290000000000006</v>
          </cell>
          <cell r="I26">
            <v>1.6908207390625001</v>
          </cell>
          <cell r="J26">
            <v>216.42505460000001</v>
          </cell>
          <cell r="K26">
            <v>0.84545000000000003</v>
          </cell>
          <cell r="L26">
            <v>108.2176</v>
          </cell>
          <cell r="M26">
            <v>0</v>
          </cell>
          <cell r="N26">
            <v>0</v>
          </cell>
          <cell r="O26">
            <v>2.5362707390625001</v>
          </cell>
          <cell r="P26">
            <v>324.64265460000001</v>
          </cell>
          <cell r="Q26">
            <v>5.9180707390625003</v>
          </cell>
          <cell r="R26">
            <v>757.51305460000003</v>
          </cell>
          <cell r="S26">
            <v>0</v>
          </cell>
        </row>
        <row r="27">
          <cell r="B27" t="str">
            <v>Drain Pipe (for Tank Foundation) 1</v>
          </cell>
          <cell r="C27" t="str">
            <v>HDPE drain pipe (Φ 125mm)</v>
          </cell>
          <cell r="D27" t="str">
            <v>m</v>
          </cell>
          <cell r="E27">
            <v>14</v>
          </cell>
          <cell r="F27">
            <v>10.1454</v>
          </cell>
          <cell r="G27">
            <v>142.03560000000002</v>
          </cell>
          <cell r="H27">
            <v>12.35</v>
          </cell>
          <cell r="I27">
            <v>2.5358668857142854</v>
          </cell>
          <cell r="J27">
            <v>35.502136399999998</v>
          </cell>
          <cell r="K27">
            <v>5.9181499999999998</v>
          </cell>
          <cell r="L27">
            <v>82.854100000000003</v>
          </cell>
          <cell r="M27">
            <v>0</v>
          </cell>
          <cell r="N27">
            <v>0</v>
          </cell>
          <cell r="O27">
            <v>8.4540168857142852</v>
          </cell>
          <cell r="P27">
            <v>118.3562364</v>
          </cell>
          <cell r="Q27">
            <v>18.599416885714284</v>
          </cell>
          <cell r="R27">
            <v>260.39183639999999</v>
          </cell>
          <cell r="S27">
            <v>0</v>
          </cell>
        </row>
        <row r="28">
          <cell r="B28" t="str">
            <v>Drain Pipe (for Tank Foundation) 2</v>
          </cell>
          <cell r="C28" t="str">
            <v>HDPE drain pipe (Φ 25mm)</v>
          </cell>
          <cell r="D28" t="str">
            <v>m</v>
          </cell>
          <cell r="E28">
            <v>14</v>
          </cell>
          <cell r="F28">
            <v>0.42272500000000002</v>
          </cell>
          <cell r="G28">
            <v>5.9181500000000007</v>
          </cell>
          <cell r="H28">
            <v>4.12</v>
          </cell>
          <cell r="I28">
            <v>0.84593311428571416</v>
          </cell>
          <cell r="J28">
            <v>11.843063599999999</v>
          </cell>
          <cell r="K28">
            <v>0.42272500000000007</v>
          </cell>
          <cell r="L28">
            <v>5.9181500000000007</v>
          </cell>
          <cell r="M28">
            <v>0</v>
          </cell>
          <cell r="N28">
            <v>0</v>
          </cell>
          <cell r="O28">
            <v>1.2686581142857143</v>
          </cell>
          <cell r="P28">
            <v>17.761213599999998</v>
          </cell>
          <cell r="Q28">
            <v>1.6913831142857143</v>
          </cell>
          <cell r="R28">
            <v>23.679363599999999</v>
          </cell>
          <cell r="S28">
            <v>0</v>
          </cell>
        </row>
        <row r="29">
          <cell r="B29" t="str">
            <v>Manhole Cover</v>
          </cell>
          <cell r="C29" t="str">
            <v>Cast Iron cover, Φ600mm (unpaved area)</v>
          </cell>
          <cell r="D29" t="str">
            <v>ea</v>
          </cell>
          <cell r="E29">
            <v>12</v>
          </cell>
          <cell r="F29">
            <v>109.40123000000001</v>
          </cell>
          <cell r="G29">
            <v>1312.8147600000002</v>
          </cell>
          <cell r="H29">
            <v>53.65</v>
          </cell>
          <cell r="I29">
            <v>12.85168545</v>
          </cell>
          <cell r="J29">
            <v>154.2202254</v>
          </cell>
          <cell r="K29">
            <v>19.783530000000003</v>
          </cell>
          <cell r="L29">
            <v>237.40236000000002</v>
          </cell>
          <cell r="M29">
            <v>0</v>
          </cell>
          <cell r="N29">
            <v>0</v>
          </cell>
          <cell r="O29">
            <v>32.635215450000004</v>
          </cell>
          <cell r="P29">
            <v>391.62258540000005</v>
          </cell>
          <cell r="Q29">
            <v>142.03644545000003</v>
          </cell>
          <cell r="R29">
            <v>1704.4373454000001</v>
          </cell>
          <cell r="S29">
            <v>0</v>
          </cell>
        </row>
        <row r="30">
          <cell r="B30" t="str">
            <v>Hume Pipe</v>
          </cell>
          <cell r="C30" t="str">
            <v>D=450mm</v>
          </cell>
          <cell r="D30" t="str">
            <v>m</v>
          </cell>
          <cell r="E30">
            <v>1180</v>
          </cell>
          <cell r="F30">
            <v>37.199800000000003</v>
          </cell>
          <cell r="G30">
            <v>43895.764000000003</v>
          </cell>
          <cell r="H30">
            <v>2082.35</v>
          </cell>
          <cell r="I30">
            <v>5.072694268135594</v>
          </cell>
          <cell r="J30">
            <v>5985.7792364000006</v>
          </cell>
          <cell r="K30">
            <v>11.836300000000001</v>
          </cell>
          <cell r="L30">
            <v>13966.834000000001</v>
          </cell>
          <cell r="M30">
            <v>0</v>
          </cell>
          <cell r="N30">
            <v>0</v>
          </cell>
          <cell r="O30">
            <v>16.908994268135594</v>
          </cell>
          <cell r="P30">
            <v>19952.6132364</v>
          </cell>
          <cell r="Q30">
            <v>54.108794268135597</v>
          </cell>
          <cell r="R30">
            <v>63848.377236400003</v>
          </cell>
          <cell r="S30">
            <v>0</v>
          </cell>
        </row>
        <row r="31">
          <cell r="B31" t="str">
            <v>4" diameter vent pipe</v>
          </cell>
          <cell r="C31" t="str">
            <v>steel pipe</v>
          </cell>
          <cell r="D31" t="str">
            <v>m</v>
          </cell>
          <cell r="E31">
            <v>48</v>
          </cell>
          <cell r="F31">
            <v>152.18100000000001</v>
          </cell>
          <cell r="G31">
            <v>7304.6880000000001</v>
          </cell>
          <cell r="H31">
            <v>225.88</v>
          </cell>
          <cell r="I31">
            <v>13.527059091666667</v>
          </cell>
          <cell r="J31">
            <v>649.29883640000003</v>
          </cell>
          <cell r="K31">
            <v>3.3818000000000001</v>
          </cell>
          <cell r="L31">
            <v>162.32640000000001</v>
          </cell>
          <cell r="M31">
            <v>0</v>
          </cell>
          <cell r="N31">
            <v>0</v>
          </cell>
          <cell r="O31">
            <v>16.908859091666667</v>
          </cell>
          <cell r="P31">
            <v>811.62523640000006</v>
          </cell>
          <cell r="Q31">
            <v>169.08985909166668</v>
          </cell>
          <cell r="R31">
            <v>8116.3132364000003</v>
          </cell>
          <cell r="S31">
            <v>0</v>
          </cell>
        </row>
        <row r="32">
          <cell r="B32" t="str">
            <v>Warning Tape</v>
          </cell>
          <cell r="C32" t="str">
            <v>P.V.C</v>
          </cell>
          <cell r="D32" t="str">
            <v>m</v>
          </cell>
          <cell r="E32">
            <v>16632</v>
          </cell>
          <cell r="F32">
            <v>0.16909000000000002</v>
          </cell>
          <cell r="G32">
            <v>2812.3048800000001</v>
          </cell>
          <cell r="H32">
            <v>880.52</v>
          </cell>
          <cell r="I32">
            <v>0.15218140666185667</v>
          </cell>
          <cell r="J32">
            <v>2531.0811556000003</v>
          </cell>
          <cell r="K32">
            <v>1.6909E-2</v>
          </cell>
          <cell r="L32">
            <v>281.23048799999998</v>
          </cell>
          <cell r="M32">
            <v>0</v>
          </cell>
          <cell r="N32">
            <v>0</v>
          </cell>
          <cell r="O32">
            <v>0.16909040666185668</v>
          </cell>
          <cell r="P32">
            <v>2812.3116436000005</v>
          </cell>
          <cell r="Q32">
            <v>0.33818040666185667</v>
          </cell>
          <cell r="R32">
            <v>5624.6165236000006</v>
          </cell>
          <cell r="S32">
            <v>0</v>
          </cell>
        </row>
        <row r="33">
          <cell r="B33" t="str">
            <v>Grating</v>
          </cell>
          <cell r="C33" t="str">
            <v>I-55x7, Galvanized</v>
          </cell>
          <cell r="D33" t="str">
            <v>m2</v>
          </cell>
          <cell r="E33">
            <v>54</v>
          </cell>
          <cell r="F33">
            <v>67.635999999999996</v>
          </cell>
          <cell r="G33">
            <v>3652.3439999999996</v>
          </cell>
          <cell r="H33">
            <v>190.59</v>
          </cell>
          <cell r="I33">
            <v>10.145525251851852</v>
          </cell>
          <cell r="J33">
            <v>547.85836360000008</v>
          </cell>
          <cell r="K33">
            <v>6.7636000000000003</v>
          </cell>
          <cell r="L33">
            <v>365.23439999999999</v>
          </cell>
          <cell r="M33">
            <v>0</v>
          </cell>
          <cell r="N33">
            <v>0</v>
          </cell>
          <cell r="O33">
            <v>16.909125251851854</v>
          </cell>
          <cell r="P33">
            <v>913.09276360000013</v>
          </cell>
          <cell r="Q33">
            <v>84.545125251851857</v>
          </cell>
          <cell r="R33">
            <v>4565.4367635999997</v>
          </cell>
          <cell r="S33">
            <v>0</v>
          </cell>
        </row>
        <row r="34">
          <cell r="B34" t="str">
            <v>Checkered Plate</v>
          </cell>
          <cell r="C34" t="str">
            <v>Thk.=6mm, Galvanized</v>
          </cell>
          <cell r="D34" t="str">
            <v>m2</v>
          </cell>
          <cell r="E34">
            <v>121</v>
          </cell>
          <cell r="F34">
            <v>169.09</v>
          </cell>
          <cell r="G34">
            <v>20459.89</v>
          </cell>
          <cell r="H34">
            <v>498.24</v>
          </cell>
          <cell r="I34">
            <v>11.836411795041323</v>
          </cell>
          <cell r="J34">
            <v>1432.2058272000002</v>
          </cell>
          <cell r="K34">
            <v>5.0727000000000002</v>
          </cell>
          <cell r="L34">
            <v>613.79669999999999</v>
          </cell>
          <cell r="M34">
            <v>0</v>
          </cell>
          <cell r="N34">
            <v>0</v>
          </cell>
          <cell r="O34">
            <v>16.909111795041323</v>
          </cell>
          <cell r="P34">
            <v>2046.0025272000003</v>
          </cell>
          <cell r="Q34">
            <v>185.99911179504133</v>
          </cell>
          <cell r="R34">
            <v>22505.892527199998</v>
          </cell>
          <cell r="S34">
            <v>0</v>
          </cell>
        </row>
        <row r="35">
          <cell r="B35" t="str">
            <v>Step Iron</v>
          </cell>
          <cell r="C35" t="str">
            <v>ASTM A36, Round Bar Φ20x1200L, Hot dip galvanized</v>
          </cell>
          <cell r="D35" t="str">
            <v>ea</v>
          </cell>
          <cell r="E35">
            <v>704</v>
          </cell>
          <cell r="F35">
            <v>6.7636000000000003</v>
          </cell>
          <cell r="G35">
            <v>4761.5744000000004</v>
          </cell>
          <cell r="H35">
            <v>372.71</v>
          </cell>
          <cell r="I35">
            <v>1.521829214772727</v>
          </cell>
          <cell r="J35">
            <v>1071.3677671999999</v>
          </cell>
          <cell r="K35">
            <v>0.16909000000000002</v>
          </cell>
          <cell r="L35">
            <v>119.03936000000002</v>
          </cell>
          <cell r="M35">
            <v>0</v>
          </cell>
          <cell r="N35">
            <v>0</v>
          </cell>
          <cell r="O35">
            <v>1.690919214772727</v>
          </cell>
          <cell r="P35">
            <v>1190.4071271999999</v>
          </cell>
          <cell r="Q35">
            <v>8.4545192147727271</v>
          </cell>
          <cell r="R35">
            <v>5951.9815272000005</v>
          </cell>
          <cell r="S35">
            <v>0</v>
          </cell>
        </row>
        <row r="36">
          <cell r="B36" t="str">
            <v>Misc. Steel</v>
          </cell>
          <cell r="C36" t="str">
            <v>ASTM A36 or equivalent</v>
          </cell>
          <cell r="D36" t="str">
            <v>Ton</v>
          </cell>
          <cell r="E36">
            <v>5</v>
          </cell>
          <cell r="F36">
            <v>1183.6300000000001</v>
          </cell>
          <cell r="G36">
            <v>5918.1500000000005</v>
          </cell>
          <cell r="H36">
            <v>882.35</v>
          </cell>
          <cell r="I36">
            <v>507.2686472800001</v>
          </cell>
          <cell r="J36">
            <v>2536.3432364000005</v>
          </cell>
          <cell r="K36">
            <v>169.09</v>
          </cell>
          <cell r="L36">
            <v>845.45</v>
          </cell>
          <cell r="M36">
            <v>0</v>
          </cell>
          <cell r="N36">
            <v>0</v>
          </cell>
          <cell r="O36">
            <v>676.35864728000013</v>
          </cell>
          <cell r="P36">
            <v>3381.7932364000008</v>
          </cell>
          <cell r="Q36">
            <v>1859.9886472800004</v>
          </cell>
          <cell r="R36">
            <v>9299.9432364000022</v>
          </cell>
          <cell r="S36">
            <v>0</v>
          </cell>
        </row>
        <row r="37">
          <cell r="B37" t="str">
            <v>Anchor Bolt (M24)</v>
          </cell>
          <cell r="C37" t="str">
            <v>ASTM A36 or equivalent (Refer DEP S28.020), Install only</v>
          </cell>
          <cell r="D37" t="str">
            <v>ea</v>
          </cell>
          <cell r="E37">
            <v>38</v>
          </cell>
          <cell r="F37">
            <v>16.063549999999999</v>
          </cell>
          <cell r="G37">
            <v>610.41489999999999</v>
          </cell>
          <cell r="H37">
            <v>33.53</v>
          </cell>
          <cell r="I37">
            <v>2.5364389947368422</v>
          </cell>
          <cell r="J37">
            <v>96.38468180000001</v>
          </cell>
          <cell r="K37">
            <v>0.84544999999999992</v>
          </cell>
          <cell r="L37">
            <v>32.127099999999999</v>
          </cell>
          <cell r="M37">
            <v>0</v>
          </cell>
          <cell r="N37">
            <v>0</v>
          </cell>
          <cell r="O37">
            <v>3.3818889947368422</v>
          </cell>
          <cell r="P37">
            <v>128.51178179999999</v>
          </cell>
          <cell r="Q37">
            <v>19.44543899473684</v>
          </cell>
          <cell r="R37">
            <v>738.92668179999998</v>
          </cell>
          <cell r="S37">
            <v>0</v>
          </cell>
        </row>
        <row r="38">
          <cell r="B38" t="str">
            <v>Anchor Bolt (M36)</v>
          </cell>
          <cell r="C38" t="str">
            <v>ASTM A36 or equivalent (Refer DEP S28.020), Install only</v>
          </cell>
          <cell r="D38" t="str">
            <v>ea</v>
          </cell>
          <cell r="E38">
            <v>1238</v>
          </cell>
          <cell r="F38">
            <v>30.436199999999999</v>
          </cell>
          <cell r="G38">
            <v>37680.015599999999</v>
          </cell>
          <cell r="H38">
            <v>1820.59</v>
          </cell>
          <cell r="I38">
            <v>4.2272554633279489</v>
          </cell>
          <cell r="J38">
            <v>5233.3422636000005</v>
          </cell>
          <cell r="K38">
            <v>1.6909000000000003</v>
          </cell>
          <cell r="L38">
            <v>2093.3342000000002</v>
          </cell>
          <cell r="M38">
            <v>0</v>
          </cell>
          <cell r="N38">
            <v>0</v>
          </cell>
          <cell r="O38">
            <v>5.918155463327949</v>
          </cell>
          <cell r="P38">
            <v>7326.6764636000007</v>
          </cell>
          <cell r="Q38">
            <v>36.354355463327948</v>
          </cell>
          <cell r="R38">
            <v>45006.6920636</v>
          </cell>
          <cell r="S38">
            <v>0</v>
          </cell>
        </row>
        <row r="39">
          <cell r="B39" t="str">
            <v>Anchor Bolt (M42)</v>
          </cell>
          <cell r="C39" t="str">
            <v>ASTM A36 or equivalent (Refer DEP S28.020), Install only</v>
          </cell>
          <cell r="D39" t="str">
            <v>ea</v>
          </cell>
          <cell r="E39">
            <v>461</v>
          </cell>
          <cell r="F39">
            <v>41.849775000000001</v>
          </cell>
          <cell r="G39">
            <v>19292.746275000001</v>
          </cell>
          <cell r="H39">
            <v>813.53</v>
          </cell>
          <cell r="I39">
            <v>5.0727073357917565</v>
          </cell>
          <cell r="J39">
            <v>2338.5180817999999</v>
          </cell>
          <cell r="K39">
            <v>2.5363500000000001</v>
          </cell>
          <cell r="L39">
            <v>1169.2573500000001</v>
          </cell>
          <cell r="M39">
            <v>0</v>
          </cell>
          <cell r="N39">
            <v>0</v>
          </cell>
          <cell r="O39">
            <v>7.609057335791757</v>
          </cell>
          <cell r="P39">
            <v>3507.7754317999998</v>
          </cell>
          <cell r="Q39">
            <v>49.458832335791755</v>
          </cell>
          <cell r="R39">
            <v>22800.521706800002</v>
          </cell>
          <cell r="S39">
            <v>0</v>
          </cell>
        </row>
        <row r="40">
          <cell r="B40" t="str">
            <v>uPVC Pipe (for Cable Duct, Electric or Instrument)</v>
          </cell>
          <cell r="C40" t="str">
            <v>D=150mm, PVC Pipe</v>
          </cell>
          <cell r="D40" t="str">
            <v>m</v>
          </cell>
          <cell r="E40">
            <v>2573</v>
          </cell>
          <cell r="F40">
            <v>13.527200000000001</v>
          </cell>
          <cell r="G40">
            <v>34805.4856</v>
          </cell>
          <cell r="H40">
            <v>7567.65</v>
          </cell>
          <cell r="I40">
            <v>8.4545039430237079</v>
          </cell>
          <cell r="J40">
            <v>21753.438645400001</v>
          </cell>
          <cell r="K40">
            <v>8.0317749999999997</v>
          </cell>
          <cell r="L40">
            <v>20665.757075000001</v>
          </cell>
          <cell r="M40">
            <v>0</v>
          </cell>
          <cell r="N40">
            <v>0</v>
          </cell>
          <cell r="O40">
            <v>16.486278943023706</v>
          </cell>
          <cell r="P40">
            <v>42419.195720400006</v>
          </cell>
          <cell r="Q40">
            <v>30.013478943023706</v>
          </cell>
          <cell r="R40">
            <v>77224.681320400006</v>
          </cell>
          <cell r="S40">
            <v>0</v>
          </cell>
        </row>
        <row r="41">
          <cell r="B41" t="str">
            <v>Electric Con'c Trench Cover (Red Coloring on the Top Surface)</v>
          </cell>
          <cell r="C41" t="str">
            <v>Thk.=50mm, grade C-30 (for Light duty paved area)</v>
          </cell>
          <cell r="D41" t="str">
            <v>m3</v>
          </cell>
          <cell r="E41">
            <v>506</v>
          </cell>
          <cell r="F41">
            <v>84.545000000000002</v>
          </cell>
          <cell r="G41">
            <v>42779.770000000004</v>
          </cell>
          <cell r="H41">
            <v>1785.88</v>
          </cell>
          <cell r="I41">
            <v>10.145386633201582</v>
          </cell>
          <cell r="J41">
            <v>5133.5656364000006</v>
          </cell>
          <cell r="K41">
            <v>20.290800000000001</v>
          </cell>
          <cell r="L41">
            <v>10267.1448</v>
          </cell>
          <cell r="M41">
            <v>0</v>
          </cell>
          <cell r="N41">
            <v>0</v>
          </cell>
          <cell r="O41">
            <v>30.436186633201583</v>
          </cell>
          <cell r="P41">
            <v>15400.710436400001</v>
          </cell>
          <cell r="Q41">
            <v>114.98118663320159</v>
          </cell>
          <cell r="R41">
            <v>58180.480436400001</v>
          </cell>
          <cell r="S41">
            <v>0</v>
          </cell>
        </row>
        <row r="42">
          <cell r="B42" t="str">
            <v>Protection Concrete</v>
          </cell>
          <cell r="C42" t="str">
            <v>300x300x60 Concrete</v>
          </cell>
          <cell r="D42" t="str">
            <v>m2</v>
          </cell>
          <cell r="E42">
            <v>12270</v>
          </cell>
          <cell r="F42">
            <v>9.6381300000000003</v>
          </cell>
          <cell r="G42">
            <v>118259.8551</v>
          </cell>
          <cell r="H42">
            <v>10826.47</v>
          </cell>
          <cell r="I42">
            <v>2.5363500000000001</v>
          </cell>
          <cell r="J42">
            <v>31121.014500000001</v>
          </cell>
          <cell r="K42">
            <v>0.84545000000000003</v>
          </cell>
          <cell r="L42">
            <v>10373.6715</v>
          </cell>
          <cell r="M42">
            <v>0</v>
          </cell>
          <cell r="N42">
            <v>0</v>
          </cell>
          <cell r="O42">
            <v>3.3818000000000001</v>
          </cell>
          <cell r="P42">
            <v>41494.686000000002</v>
          </cell>
          <cell r="Q42">
            <v>13.01993</v>
          </cell>
          <cell r="R42">
            <v>159754.5411</v>
          </cell>
          <cell r="S42">
            <v>0</v>
          </cell>
        </row>
        <row r="43">
          <cell r="B43" t="str">
            <v>Protection Barrier</v>
          </cell>
          <cell r="C43" t="str">
            <v>Heigth 700mm, 4" Line pipe schedule 80.
DEP 80.47.10.31-GEN. (including foundation)</v>
          </cell>
          <cell r="D43" t="str">
            <v>ea</v>
          </cell>
          <cell r="E43">
            <v>110</v>
          </cell>
          <cell r="F43">
            <v>71.017800000000008</v>
          </cell>
          <cell r="G43">
            <v>7811.9580000000005</v>
          </cell>
          <cell r="H43">
            <v>647.05999999999995</v>
          </cell>
          <cell r="I43">
            <v>16.909030743636364</v>
          </cell>
          <cell r="J43">
            <v>1859.9933818</v>
          </cell>
          <cell r="K43">
            <v>6.7635999999999994</v>
          </cell>
          <cell r="L43">
            <v>743.99599999999998</v>
          </cell>
          <cell r="M43">
            <v>0</v>
          </cell>
          <cell r="N43">
            <v>0</v>
          </cell>
          <cell r="O43">
            <v>23.672630743636365</v>
          </cell>
          <cell r="P43">
            <v>2603.9893818</v>
          </cell>
          <cell r="Q43">
            <v>94.690430743636369</v>
          </cell>
          <cell r="R43">
            <v>10415.947381800001</v>
          </cell>
          <cell r="S43">
            <v>0</v>
          </cell>
        </row>
        <row r="44">
          <cell r="B44" t="str">
            <v xml:space="preserve">HDPE membrane </v>
          </cell>
          <cell r="C44" t="str">
            <v>Thk.=2mm, shall be made with a 150mm overlap</v>
          </cell>
          <cell r="D44" t="str">
            <v>m2</v>
          </cell>
          <cell r="E44">
            <v>128</v>
          </cell>
          <cell r="F44">
            <v>3.3818000000000001</v>
          </cell>
          <cell r="G44">
            <v>432.87040000000002</v>
          </cell>
          <cell r="H44">
            <v>37.65</v>
          </cell>
          <cell r="I44">
            <v>0.84552926093750003</v>
          </cell>
          <cell r="J44">
            <v>108.2277454</v>
          </cell>
          <cell r="K44">
            <v>0.33818000000000004</v>
          </cell>
          <cell r="L44">
            <v>43.287040000000005</v>
          </cell>
          <cell r="M44">
            <v>0</v>
          </cell>
          <cell r="N44">
            <v>0</v>
          </cell>
          <cell r="O44">
            <v>1.1837092609375</v>
          </cell>
          <cell r="P44">
            <v>151.51478539999999</v>
          </cell>
          <cell r="Q44">
            <v>4.5655092609374996</v>
          </cell>
          <cell r="R44">
            <v>584.38518539999995</v>
          </cell>
          <cell r="S44">
            <v>0</v>
          </cell>
        </row>
        <row r="45">
          <cell r="B45" t="str">
            <v>Wearing Course (Asphalt Road)</v>
          </cell>
          <cell r="C45" t="str">
            <v>Thk.=50mm</v>
          </cell>
          <cell r="D45" t="str">
            <v>m3</v>
          </cell>
          <cell r="E45">
            <v>950</v>
          </cell>
          <cell r="F45">
            <v>54.954250000000002</v>
          </cell>
          <cell r="G45">
            <v>52206.537499999999</v>
          </cell>
          <cell r="H45">
            <v>1955.88</v>
          </cell>
          <cell r="I45">
            <v>5.918142880421053</v>
          </cell>
          <cell r="J45">
            <v>5622.2357364</v>
          </cell>
          <cell r="K45">
            <v>21.13625</v>
          </cell>
          <cell r="L45">
            <v>20079.4375</v>
          </cell>
          <cell r="M45">
            <v>0</v>
          </cell>
          <cell r="N45">
            <v>0</v>
          </cell>
          <cell r="O45">
            <v>27.054392880421055</v>
          </cell>
          <cell r="P45">
            <v>25701.673236399998</v>
          </cell>
          <cell r="Q45">
            <v>82.008642880421064</v>
          </cell>
          <cell r="R45">
            <v>77908.210736399997</v>
          </cell>
          <cell r="S45">
            <v>0</v>
          </cell>
        </row>
        <row r="46">
          <cell r="B46" t="str">
            <v>Prime Coat</v>
          </cell>
          <cell r="D46" t="str">
            <v>m2</v>
          </cell>
          <cell r="E46">
            <v>19200</v>
          </cell>
          <cell r="F46">
            <v>0.16909000000000002</v>
          </cell>
          <cell r="G46">
            <v>3246.5280000000002</v>
          </cell>
          <cell r="H46">
            <v>293.64999999999998</v>
          </cell>
          <cell r="I46">
            <v>4.3963928406249998E-2</v>
          </cell>
          <cell r="J46">
            <v>844.10742540000001</v>
          </cell>
          <cell r="K46">
            <v>0.1251266</v>
          </cell>
          <cell r="L46">
            <v>2402.4307199999998</v>
          </cell>
          <cell r="M46">
            <v>0</v>
          </cell>
          <cell r="N46">
            <v>0</v>
          </cell>
          <cell r="O46">
            <v>0.16909052840625</v>
          </cell>
          <cell r="P46">
            <v>3246.5381453999998</v>
          </cell>
          <cell r="Q46">
            <v>0.33818052840625001</v>
          </cell>
          <cell r="R46">
            <v>6493.0661454000001</v>
          </cell>
          <cell r="S46">
            <v>0</v>
          </cell>
        </row>
        <row r="47">
          <cell r="B47" t="str">
            <v>Base Course (Asphalt Road)</v>
          </cell>
          <cell r="C47" t="str">
            <v>Thk.=250mm</v>
          </cell>
          <cell r="D47" t="str">
            <v>m3</v>
          </cell>
          <cell r="E47">
            <v>4800</v>
          </cell>
          <cell r="F47">
            <v>54.108800000000002</v>
          </cell>
          <cell r="G47">
            <v>259722.24000000002</v>
          </cell>
          <cell r="H47">
            <v>9882.35</v>
          </cell>
          <cell r="I47">
            <v>5.9181485909166671</v>
          </cell>
          <cell r="J47">
            <v>28407.1132364</v>
          </cell>
          <cell r="K47">
            <v>20.290800000000001</v>
          </cell>
          <cell r="L47">
            <v>97395.840000000011</v>
          </cell>
          <cell r="M47">
            <v>0</v>
          </cell>
          <cell r="N47">
            <v>0</v>
          </cell>
          <cell r="O47">
            <v>26.20894859091667</v>
          </cell>
          <cell r="P47">
            <v>125802.9532364</v>
          </cell>
          <cell r="Q47">
            <v>80.317748590916665</v>
          </cell>
          <cell r="R47">
            <v>385525.19323640002</v>
          </cell>
          <cell r="S47">
            <v>0</v>
          </cell>
        </row>
        <row r="48">
          <cell r="B48" t="str">
            <v>Sub-Base Course (Asphalt Road)</v>
          </cell>
          <cell r="C48" t="str">
            <v>Thk.=250mm</v>
          </cell>
          <cell r="D48" t="str">
            <v>m3</v>
          </cell>
          <cell r="E48">
            <v>4853</v>
          </cell>
          <cell r="F48">
            <v>51.572450000000003</v>
          </cell>
          <cell r="G48">
            <v>250281.09985000003</v>
          </cell>
          <cell r="H48">
            <v>9991.4699999999993</v>
          </cell>
          <cell r="I48">
            <v>5.9181499999999998</v>
          </cell>
          <cell r="J48">
            <v>28720.781950000001</v>
          </cell>
          <cell r="K48">
            <v>20.290800000000001</v>
          </cell>
          <cell r="L48">
            <v>98471.252399999998</v>
          </cell>
          <cell r="M48">
            <v>0</v>
          </cell>
          <cell r="N48">
            <v>0</v>
          </cell>
          <cell r="O48">
            <v>26.208950000000002</v>
          </cell>
          <cell r="P48">
            <v>127192.03435</v>
          </cell>
          <cell r="Q48">
            <v>77.781400000000005</v>
          </cell>
          <cell r="R48">
            <v>377473.13420000003</v>
          </cell>
          <cell r="S48">
            <v>0</v>
          </cell>
        </row>
        <row r="49">
          <cell r="B49" t="str">
            <v>Shoulder (Gravel)</v>
          </cell>
          <cell r="C49" t="str">
            <v>Thk.=50mm</v>
          </cell>
          <cell r="D49" t="str">
            <v>m2</v>
          </cell>
          <cell r="E49">
            <v>4682</v>
          </cell>
          <cell r="F49">
            <v>1.437265</v>
          </cell>
          <cell r="G49">
            <v>6729.2747300000001</v>
          </cell>
          <cell r="H49">
            <v>275.41000000000003</v>
          </cell>
          <cell r="I49">
            <v>0.16908927770183682</v>
          </cell>
          <cell r="J49">
            <v>791.67599819999998</v>
          </cell>
          <cell r="K49">
            <v>0.50727</v>
          </cell>
          <cell r="L49">
            <v>2375.0381400000001</v>
          </cell>
          <cell r="M49">
            <v>0</v>
          </cell>
          <cell r="N49">
            <v>0</v>
          </cell>
          <cell r="O49">
            <v>0.67635927770183679</v>
          </cell>
          <cell r="P49">
            <v>3166.7141382</v>
          </cell>
          <cell r="Q49">
            <v>2.1136242777018368</v>
          </cell>
          <cell r="R49">
            <v>9895.9888682000001</v>
          </cell>
          <cell r="S49">
            <v>0</v>
          </cell>
        </row>
        <row r="50">
          <cell r="B50" t="str">
            <v>Traffic Aids</v>
          </cell>
          <cell r="C50">
            <v>0</v>
          </cell>
          <cell r="D50" t="str">
            <v>No</v>
          </cell>
          <cell r="E50">
            <v>84</v>
          </cell>
          <cell r="F50">
            <v>118.363</v>
          </cell>
          <cell r="G50">
            <v>9942.4920000000002</v>
          </cell>
          <cell r="H50">
            <v>988.24</v>
          </cell>
          <cell r="I50">
            <v>33.818161038095241</v>
          </cell>
          <cell r="J50">
            <v>2840.7255272000002</v>
          </cell>
          <cell r="K50">
            <v>16.908999999999999</v>
          </cell>
          <cell r="L50">
            <v>1420.356</v>
          </cell>
          <cell r="M50">
            <v>0</v>
          </cell>
          <cell r="N50">
            <v>0</v>
          </cell>
          <cell r="O50">
            <v>50.72716103809524</v>
          </cell>
          <cell r="P50">
            <v>4261.0815272</v>
          </cell>
          <cell r="Q50">
            <v>169.09016103809523</v>
          </cell>
          <cell r="R50">
            <v>14203.5735272</v>
          </cell>
          <cell r="S50">
            <v>0</v>
          </cell>
        </row>
        <row r="51">
          <cell r="B51" t="str">
            <v>Line Marking</v>
          </cell>
          <cell r="C51">
            <v>0</v>
          </cell>
          <cell r="D51" t="str">
            <v>m</v>
          </cell>
          <cell r="E51">
            <v>2352</v>
          </cell>
          <cell r="F51">
            <v>1.7585360000000001</v>
          </cell>
          <cell r="G51">
            <v>4136.0766720000001</v>
          </cell>
          <cell r="H51">
            <v>166.02</v>
          </cell>
          <cell r="I51">
            <v>0.20290368647959184</v>
          </cell>
          <cell r="J51">
            <v>477.22947060000001</v>
          </cell>
          <cell r="K51">
            <v>0.57490600000000003</v>
          </cell>
          <cell r="L51">
            <v>1352.1789120000001</v>
          </cell>
          <cell r="M51">
            <v>0</v>
          </cell>
          <cell r="N51">
            <v>0</v>
          </cell>
          <cell r="O51">
            <v>0.77780968647959181</v>
          </cell>
          <cell r="P51">
            <v>1829.4083826000001</v>
          </cell>
          <cell r="Q51">
            <v>2.5363456864795921</v>
          </cell>
          <cell r="R51">
            <v>5965.4850545999998</v>
          </cell>
          <cell r="S51">
            <v>0</v>
          </cell>
        </row>
        <row r="52">
          <cell r="B52" t="str">
            <v>Crash Barrier</v>
          </cell>
          <cell r="C52" t="str">
            <v>Heigth 700mm, 4" Line pipe schedule 80.
DEP 80.47.10.31-GEN. (including foundation)</v>
          </cell>
          <cell r="D52" t="str">
            <v>m</v>
          </cell>
          <cell r="E52">
            <v>2694</v>
          </cell>
          <cell r="F52">
            <v>71.017800000000008</v>
          </cell>
          <cell r="G52">
            <v>191321.95320000002</v>
          </cell>
          <cell r="H52">
            <v>17114.82</v>
          </cell>
          <cell r="I52">
            <v>18.261716234075724</v>
          </cell>
          <cell r="J52">
            <v>49197.063534599998</v>
          </cell>
          <cell r="K52">
            <v>12.174480000000001</v>
          </cell>
          <cell r="L52">
            <v>32798.049120000003</v>
          </cell>
          <cell r="M52">
            <v>0</v>
          </cell>
          <cell r="N52">
            <v>0</v>
          </cell>
          <cell r="O52">
            <v>30.436196234075723</v>
          </cell>
          <cell r="P52">
            <v>81995.112654600001</v>
          </cell>
          <cell r="Q52">
            <v>101.45399623407573</v>
          </cell>
          <cell r="R52">
            <v>273317.06585460005</v>
          </cell>
          <cell r="S52">
            <v>0</v>
          </cell>
        </row>
        <row r="53">
          <cell r="B53" t="str">
            <v>Concrete Paving (for Light Duty)</v>
          </cell>
          <cell r="C53" t="str">
            <v>Thk.=100mm, grade C-30</v>
          </cell>
          <cell r="D53" t="str">
            <v>m3</v>
          </cell>
          <cell r="E53">
            <v>1280</v>
          </cell>
          <cell r="F53">
            <v>74.399600000000007</v>
          </cell>
          <cell r="G53">
            <v>95231.488000000012</v>
          </cell>
          <cell r="H53">
            <v>3764.71</v>
          </cell>
          <cell r="I53">
            <v>8.4545105681250003</v>
          </cell>
          <cell r="J53">
            <v>10821.773527200001</v>
          </cell>
          <cell r="K53">
            <v>18.599899999999998</v>
          </cell>
          <cell r="L53">
            <v>23807.871999999999</v>
          </cell>
          <cell r="M53">
            <v>0</v>
          </cell>
          <cell r="N53">
            <v>0</v>
          </cell>
          <cell r="O53">
            <v>27.054410568125</v>
          </cell>
          <cell r="P53">
            <v>34629.645527200002</v>
          </cell>
          <cell r="Q53">
            <v>101.454010568125</v>
          </cell>
          <cell r="R53">
            <v>129861.13352720001</v>
          </cell>
          <cell r="S53">
            <v>0</v>
          </cell>
        </row>
        <row r="54">
          <cell r="B54" t="str">
            <v>Concrete Paving (for Heavy Duty)</v>
          </cell>
          <cell r="C54" t="str">
            <v>Thk.=150mm, grade C-30</v>
          </cell>
          <cell r="D54" t="str">
            <v>m3</v>
          </cell>
          <cell r="E54">
            <v>246</v>
          </cell>
          <cell r="F54">
            <v>77.781400000000005</v>
          </cell>
          <cell r="G54">
            <v>19134.224400000003</v>
          </cell>
          <cell r="H54">
            <v>810.35</v>
          </cell>
          <cell r="I54">
            <v>9.4690125056910563</v>
          </cell>
          <cell r="J54">
            <v>2329.3770764000001</v>
          </cell>
          <cell r="K54">
            <v>18.938079999999999</v>
          </cell>
          <cell r="L54">
            <v>4658.7676799999999</v>
          </cell>
          <cell r="M54">
            <v>0</v>
          </cell>
          <cell r="N54">
            <v>0</v>
          </cell>
          <cell r="O54">
            <v>28.407092505691054</v>
          </cell>
          <cell r="P54">
            <v>6988.1447564</v>
          </cell>
          <cell r="Q54">
            <v>106.18849250569106</v>
          </cell>
          <cell r="R54">
            <v>26122.369156400004</v>
          </cell>
          <cell r="S54">
            <v>0</v>
          </cell>
        </row>
        <row r="55">
          <cell r="B55" t="str">
            <v>Kerb</v>
          </cell>
          <cell r="C55" t="str">
            <v>100mm Thick, 150mm heigth lean concrete, grade
C-15</v>
          </cell>
          <cell r="D55" t="str">
            <v>m</v>
          </cell>
          <cell r="E55">
            <v>53</v>
          </cell>
          <cell r="F55">
            <v>8.877225000000001</v>
          </cell>
          <cell r="G55">
            <v>470.49292500000007</v>
          </cell>
          <cell r="H55">
            <v>46.76</v>
          </cell>
          <cell r="I55">
            <v>2.5360947698113212</v>
          </cell>
          <cell r="J55">
            <v>134.41302280000002</v>
          </cell>
          <cell r="K55">
            <v>1.2681749999999998</v>
          </cell>
          <cell r="L55">
            <v>67.213274999999996</v>
          </cell>
          <cell r="M55">
            <v>0</v>
          </cell>
          <cell r="N55">
            <v>0</v>
          </cell>
          <cell r="O55">
            <v>3.804269769811321</v>
          </cell>
          <cell r="P55">
            <v>201.62629780000003</v>
          </cell>
          <cell r="Q55">
            <v>12.681494769811323</v>
          </cell>
          <cell r="R55">
            <v>672.1192228000001</v>
          </cell>
          <cell r="S55">
            <v>0</v>
          </cell>
        </row>
        <row r="56">
          <cell r="B56" t="str">
            <v>Expansion Joint (for Con'c Paving Light Duty)</v>
          </cell>
          <cell r="C56" t="str">
            <v>L=20m, 25 deep x 20 wide Hydrocarbon resistant joint sealant</v>
          </cell>
          <cell r="D56" t="str">
            <v>m</v>
          </cell>
          <cell r="E56">
            <v>6212</v>
          </cell>
          <cell r="F56">
            <v>5.0727000000000002</v>
          </cell>
          <cell r="G56">
            <v>31511.612400000002</v>
          </cell>
          <cell r="H56">
            <v>5481.18</v>
          </cell>
          <cell r="I56">
            <v>2.5363516331938185</v>
          </cell>
          <cell r="J56">
            <v>15755.816345400001</v>
          </cell>
          <cell r="K56">
            <v>0.84545000000000003</v>
          </cell>
          <cell r="L56">
            <v>5251.9354000000003</v>
          </cell>
          <cell r="M56">
            <v>0</v>
          </cell>
          <cell r="N56">
            <v>0</v>
          </cell>
          <cell r="O56">
            <v>3.3818016331938185</v>
          </cell>
          <cell r="P56">
            <v>21007.751745400001</v>
          </cell>
          <cell r="Q56">
            <v>8.4545016331938179</v>
          </cell>
          <cell r="R56">
            <v>52519.364145400003</v>
          </cell>
          <cell r="S56">
            <v>0</v>
          </cell>
        </row>
        <row r="57">
          <cell r="B57" t="str">
            <v>Contraction Joint (for Con'c Paving Light Duty)</v>
          </cell>
          <cell r="C57" t="str">
            <v>L=5m, 20mm deep groove to be cut after casting and filled with Hydrocarbon resistant joint sealant</v>
          </cell>
          <cell r="D57" t="str">
            <v>m</v>
          </cell>
          <cell r="E57">
            <v>18637</v>
          </cell>
          <cell r="F57">
            <v>3.3818000000000001</v>
          </cell>
          <cell r="G57">
            <v>63026.606599999999</v>
          </cell>
          <cell r="H57">
            <v>6577.76</v>
          </cell>
          <cell r="I57">
            <v>1.0145392741750281</v>
          </cell>
          <cell r="J57">
            <v>18907.9684528</v>
          </cell>
          <cell r="K57">
            <v>0.67636000000000007</v>
          </cell>
          <cell r="L57">
            <v>12605.321320000001</v>
          </cell>
          <cell r="M57">
            <v>0</v>
          </cell>
          <cell r="N57">
            <v>0</v>
          </cell>
          <cell r="O57">
            <v>1.6908992741750282</v>
          </cell>
          <cell r="P57">
            <v>31513.289772800003</v>
          </cell>
          <cell r="Q57">
            <v>5.0726992741750285</v>
          </cell>
          <cell r="R57">
            <v>94539.896372799994</v>
          </cell>
          <cell r="S57">
            <v>0</v>
          </cell>
        </row>
        <row r="58">
          <cell r="B58" t="str">
            <v>Expansion Joint (for Con'c Paving Heavy Duty)</v>
          </cell>
          <cell r="C58" t="str">
            <v>L=20m, 25 deep x 20 wide Oil resistant joint sealant</v>
          </cell>
          <cell r="D58" t="str">
            <v>m</v>
          </cell>
          <cell r="E58">
            <v>86</v>
          </cell>
          <cell r="F58">
            <v>5.0727000000000002</v>
          </cell>
          <cell r="G58">
            <v>436.25220000000002</v>
          </cell>
          <cell r="H58">
            <v>75.88</v>
          </cell>
          <cell r="I58">
            <v>2.5362713534883725</v>
          </cell>
          <cell r="J58">
            <v>218.11933640000004</v>
          </cell>
          <cell r="K58">
            <v>0.84545000000000003</v>
          </cell>
          <cell r="L58">
            <v>72.708700000000007</v>
          </cell>
          <cell r="M58">
            <v>0</v>
          </cell>
          <cell r="N58">
            <v>0</v>
          </cell>
          <cell r="O58">
            <v>3.3817213534883726</v>
          </cell>
          <cell r="P58">
            <v>290.82803640000003</v>
          </cell>
          <cell r="Q58">
            <v>8.4544213534883728</v>
          </cell>
          <cell r="R58">
            <v>727.0802364000001</v>
          </cell>
          <cell r="S58">
            <v>0</v>
          </cell>
        </row>
        <row r="59">
          <cell r="B59" t="str">
            <v>Contraction Joint (for Con'c Paving Heavy Duty)</v>
          </cell>
          <cell r="C59" t="str">
            <v>L=5m, 20mm deep groove to be cut after casting and filled with Hydrocarbon resistant joint sealant</v>
          </cell>
          <cell r="D59" t="str">
            <v>m</v>
          </cell>
          <cell r="E59">
            <v>679</v>
          </cell>
          <cell r="F59">
            <v>3.3818000000000001</v>
          </cell>
          <cell r="G59">
            <v>2296.2422000000001</v>
          </cell>
          <cell r="H59">
            <v>239.65</v>
          </cell>
          <cell r="I59">
            <v>1.0145549416789397</v>
          </cell>
          <cell r="J59">
            <v>688.88280540000005</v>
          </cell>
          <cell r="K59">
            <v>0.67636000000000007</v>
          </cell>
          <cell r="L59">
            <v>459.24844000000007</v>
          </cell>
          <cell r="M59">
            <v>0</v>
          </cell>
          <cell r="N59">
            <v>0</v>
          </cell>
          <cell r="O59">
            <v>1.6909149416789397</v>
          </cell>
          <cell r="P59">
            <v>1148.1312454000001</v>
          </cell>
          <cell r="Q59">
            <v>5.0727149416789397</v>
          </cell>
          <cell r="R59">
            <v>3444.3734454000005</v>
          </cell>
          <cell r="S59">
            <v>0</v>
          </cell>
        </row>
        <row r="60">
          <cell r="B60" t="str">
            <v>Wire Fabric. (for Light Duty Con'c paving)</v>
          </cell>
          <cell r="C60" t="str">
            <v xml:space="preserve">φ7-200x200, Cold-drawn finish, ASTM A185 </v>
          </cell>
          <cell r="D60" t="str">
            <v>m2</v>
          </cell>
          <cell r="E60">
            <v>21271</v>
          </cell>
          <cell r="F60">
            <v>1.6909000000000001</v>
          </cell>
          <cell r="G60">
            <v>35967.133900000001</v>
          </cell>
          <cell r="H60">
            <v>1501.48</v>
          </cell>
          <cell r="I60">
            <v>0.20290768202717316</v>
          </cell>
          <cell r="J60">
            <v>4316.0493044000004</v>
          </cell>
          <cell r="K60">
            <v>0.13527200000000003</v>
          </cell>
          <cell r="L60">
            <v>2877.3707120000004</v>
          </cell>
          <cell r="M60">
            <v>0</v>
          </cell>
          <cell r="N60">
            <v>0</v>
          </cell>
          <cell r="O60">
            <v>0.33817968202717319</v>
          </cell>
          <cell r="P60">
            <v>7193.4200164000013</v>
          </cell>
          <cell r="Q60">
            <v>2.0290796820271733</v>
          </cell>
          <cell r="R60">
            <v>43160.5539164</v>
          </cell>
          <cell r="S60">
            <v>0</v>
          </cell>
        </row>
        <row r="61">
          <cell r="B61" t="str">
            <v>Wire Fabric. (for Heavy Duty Con'c paving)</v>
          </cell>
          <cell r="C61" t="str">
            <v>φ7-200x200-double line, Cold-drawn finish</v>
          </cell>
          <cell r="D61" t="str">
            <v>m2</v>
          </cell>
          <cell r="E61">
            <v>3283</v>
          </cell>
          <cell r="F61">
            <v>3.3818000000000001</v>
          </cell>
          <cell r="G61">
            <v>11102.449400000001</v>
          </cell>
          <cell r="H61">
            <v>386.24</v>
          </cell>
          <cell r="I61">
            <v>0.33818412037770335</v>
          </cell>
          <cell r="J61">
            <v>1110.2584672</v>
          </cell>
          <cell r="K61">
            <v>0.33818000000000004</v>
          </cell>
          <cell r="L61">
            <v>1110.24494</v>
          </cell>
          <cell r="M61">
            <v>0</v>
          </cell>
          <cell r="N61">
            <v>0</v>
          </cell>
          <cell r="O61">
            <v>0.67636412037770333</v>
          </cell>
          <cell r="P61">
            <v>2220.5034071999999</v>
          </cell>
          <cell r="Q61">
            <v>4.0581641203777039</v>
          </cell>
          <cell r="R61">
            <v>13322.952807200001</v>
          </cell>
          <cell r="S61">
            <v>0</v>
          </cell>
        </row>
        <row r="62">
          <cell r="B62" t="str">
            <v>Joint Filler &amp; Sealant (for concrete paving Light Duty)</v>
          </cell>
          <cell r="C62" t="str">
            <v>20 thick flexible jointing material 25 deep x 20 wide Hydrocarbon resistant joint sealant in top.</v>
          </cell>
          <cell r="D62" t="str">
            <v>m</v>
          </cell>
          <cell r="E62">
            <v>6872</v>
          </cell>
          <cell r="F62">
            <v>5.0727000000000002</v>
          </cell>
          <cell r="G62">
            <v>34859.594400000002</v>
          </cell>
          <cell r="H62">
            <v>3233.88</v>
          </cell>
          <cell r="I62">
            <v>1.352719015774156</v>
          </cell>
          <cell r="J62">
            <v>9295.8850763999999</v>
          </cell>
          <cell r="K62">
            <v>0.84545000000000003</v>
          </cell>
          <cell r="L62">
            <v>5809.9324000000006</v>
          </cell>
          <cell r="M62">
            <v>0</v>
          </cell>
          <cell r="N62">
            <v>0</v>
          </cell>
          <cell r="O62">
            <v>2.1981690157741562</v>
          </cell>
          <cell r="P62">
            <v>15105.8174764</v>
          </cell>
          <cell r="Q62">
            <v>7.2708690157741565</v>
          </cell>
          <cell r="R62">
            <v>49965.411876400001</v>
          </cell>
          <cell r="S62">
            <v>0</v>
          </cell>
        </row>
        <row r="63">
          <cell r="B63" t="str">
            <v>Gravel paving</v>
          </cell>
          <cell r="C63" t="str">
            <v>Thk.=100mm</v>
          </cell>
          <cell r="D63" t="str">
            <v>m2</v>
          </cell>
          <cell r="E63">
            <v>13499</v>
          </cell>
          <cell r="F63">
            <v>2.7054400000000003</v>
          </cell>
          <cell r="G63">
            <v>36520.734560000004</v>
          </cell>
          <cell r="H63">
            <v>2382.1799999999998</v>
          </cell>
          <cell r="I63">
            <v>0.50727075156678281</v>
          </cell>
          <cell r="J63">
            <v>6847.6478754000009</v>
          </cell>
          <cell r="K63">
            <v>0.84545000000000003</v>
          </cell>
          <cell r="L63">
            <v>11412.72955</v>
          </cell>
          <cell r="M63">
            <v>0</v>
          </cell>
          <cell r="N63">
            <v>0</v>
          </cell>
          <cell r="O63">
            <v>1.3527207515667827</v>
          </cell>
          <cell r="P63">
            <v>18260.377425400002</v>
          </cell>
          <cell r="Q63">
            <v>4.058160751566783</v>
          </cell>
          <cell r="R63">
            <v>54781.111985400006</v>
          </cell>
          <cell r="S63">
            <v>0</v>
          </cell>
        </row>
        <row r="64">
          <cell r="B64" t="str">
            <v>Polyethylene membrane</v>
          </cell>
          <cell r="C64" t="str">
            <v>gauge 1000 or equal</v>
          </cell>
          <cell r="D64" t="str">
            <v>m2</v>
          </cell>
          <cell r="E64">
            <v>35551</v>
          </cell>
          <cell r="F64">
            <v>0.55799700000000008</v>
          </cell>
          <cell r="G64">
            <v>19837.351347000003</v>
          </cell>
          <cell r="H64">
            <v>2509.48</v>
          </cell>
          <cell r="I64">
            <v>0.20290780974937417</v>
          </cell>
          <cell r="J64">
            <v>7213.5755444000006</v>
          </cell>
          <cell r="K64">
            <v>8.4544999999999995E-2</v>
          </cell>
          <cell r="L64">
            <v>3005.6592949999999</v>
          </cell>
          <cell r="M64">
            <v>0</v>
          </cell>
          <cell r="N64">
            <v>0</v>
          </cell>
          <cell r="O64">
            <v>0.28745280974937415</v>
          </cell>
          <cell r="P64">
            <v>10219.2348394</v>
          </cell>
          <cell r="Q64">
            <v>0.84544980974937423</v>
          </cell>
          <cell r="R64">
            <v>30056.586186400003</v>
          </cell>
          <cell r="S64">
            <v>0</v>
          </cell>
        </row>
        <row r="65">
          <cell r="B65" t="str">
            <v>Hardboard</v>
          </cell>
          <cell r="C65">
            <v>0</v>
          </cell>
          <cell r="D65" t="str">
            <v>m2</v>
          </cell>
          <cell r="E65">
            <v>15782</v>
          </cell>
          <cell r="F65">
            <v>5.0727000000000002</v>
          </cell>
          <cell r="G65">
            <v>80057.3514</v>
          </cell>
          <cell r="H65">
            <v>3713.41</v>
          </cell>
          <cell r="I65">
            <v>0.67635978571790656</v>
          </cell>
          <cell r="J65">
            <v>10674.3101382</v>
          </cell>
          <cell r="K65">
            <v>0.16909000000000002</v>
          </cell>
          <cell r="L65">
            <v>2668.5783800000004</v>
          </cell>
          <cell r="M65">
            <v>0</v>
          </cell>
          <cell r="N65">
            <v>0</v>
          </cell>
          <cell r="O65">
            <v>0.84544978571790663</v>
          </cell>
          <cell r="P65">
            <v>13342.888518200001</v>
          </cell>
          <cell r="Q65">
            <v>5.9181497857179064</v>
          </cell>
          <cell r="R65">
            <v>93400.239918200008</v>
          </cell>
          <cell r="S65">
            <v>0</v>
          </cell>
        </row>
        <row r="66">
          <cell r="B66" t="str">
            <v>screed</v>
          </cell>
          <cell r="C66" t="str">
            <v>20mm thick Mortar</v>
          </cell>
          <cell r="D66" t="str">
            <v>m2</v>
          </cell>
          <cell r="E66">
            <v>71102</v>
          </cell>
          <cell r="F66">
            <v>2.1981700000000002</v>
          </cell>
          <cell r="G66">
            <v>156294.28334000002</v>
          </cell>
          <cell r="H66">
            <v>8364.94</v>
          </cell>
          <cell r="I66">
            <v>0.3381799524373435</v>
          </cell>
          <cell r="J66">
            <v>24045.270978199998</v>
          </cell>
          <cell r="K66">
            <v>0.16908999999999999</v>
          </cell>
          <cell r="L66">
            <v>12022.63718</v>
          </cell>
          <cell r="M66">
            <v>0</v>
          </cell>
          <cell r="N66">
            <v>0</v>
          </cell>
          <cell r="O66">
            <v>0.50726995243734352</v>
          </cell>
          <cell r="P66">
            <v>36067.9081582</v>
          </cell>
          <cell r="Q66">
            <v>2.7054399524373438</v>
          </cell>
          <cell r="R66">
            <v>192362.19149820003</v>
          </cell>
          <cell r="S66">
            <v>0</v>
          </cell>
        </row>
        <row r="67">
          <cell r="B67" t="str">
            <v>Scaffolding</v>
          </cell>
          <cell r="C67">
            <v>0</v>
          </cell>
          <cell r="D67" t="str">
            <v>m2</v>
          </cell>
          <cell r="E67">
            <v>392</v>
          </cell>
          <cell r="F67">
            <v>0</v>
          </cell>
          <cell r="G67">
            <v>0</v>
          </cell>
          <cell r="H67">
            <v>0</v>
          </cell>
          <cell r="I67">
            <v>0</v>
          </cell>
          <cell r="J67">
            <v>0</v>
          </cell>
          <cell r="K67">
            <v>0</v>
          </cell>
          <cell r="L67">
            <v>0</v>
          </cell>
          <cell r="M67">
            <v>0</v>
          </cell>
          <cell r="N67">
            <v>0</v>
          </cell>
          <cell r="O67">
            <v>0</v>
          </cell>
          <cell r="P67">
            <v>0</v>
          </cell>
          <cell r="Q67">
            <v>0</v>
          </cell>
          <cell r="R67">
            <v>0</v>
          </cell>
          <cell r="S67">
            <v>0</v>
          </cell>
        </row>
        <row r="68">
          <cell r="B68" t="str">
            <v>Support</v>
          </cell>
          <cell r="C68">
            <v>0</v>
          </cell>
          <cell r="D68" t="str">
            <v>m3</v>
          </cell>
          <cell r="E68">
            <v>1079</v>
          </cell>
          <cell r="F68">
            <v>0</v>
          </cell>
          <cell r="G68">
            <v>0</v>
          </cell>
          <cell r="H68">
            <v>0</v>
          </cell>
          <cell r="I68">
            <v>0</v>
          </cell>
          <cell r="J68">
            <v>0</v>
          </cell>
          <cell r="K68">
            <v>0</v>
          </cell>
          <cell r="L68">
            <v>0</v>
          </cell>
          <cell r="M68">
            <v>0</v>
          </cell>
          <cell r="N68">
            <v>0</v>
          </cell>
          <cell r="O68">
            <v>0</v>
          </cell>
          <cell r="P68">
            <v>0</v>
          </cell>
          <cell r="Q68">
            <v>0</v>
          </cell>
          <cell r="R68">
            <v>0</v>
          </cell>
          <cell r="S68">
            <v>0</v>
          </cell>
        </row>
        <row r="69">
          <cell r="B69" t="str">
            <v>Fence (New)</v>
          </cell>
          <cell r="C69" t="str">
            <v xml:space="preserve">Hot dip galvanized steelwire and chain link fence fabric may be PVC-coated in acc. With ASTM F 668.
3-strings barbed wire dia. 2.5mm (min.), double stranded with 4 points barbs set 85mm apart, or barbed tape. Steel bracings L50x50x5 min. bolted to posts, </v>
          </cell>
          <cell r="D69" t="str">
            <v>m</v>
          </cell>
          <cell r="E69">
            <v>1002</v>
          </cell>
          <cell r="F69">
            <v>43.9634</v>
          </cell>
          <cell r="G69">
            <v>44051.326800000003</v>
          </cell>
          <cell r="H69">
            <v>1768.24</v>
          </cell>
          <cell r="I69">
            <v>5.0727135001996011</v>
          </cell>
          <cell r="J69">
            <v>5082.8589271999999</v>
          </cell>
          <cell r="K69">
            <v>3.3818000000000001</v>
          </cell>
          <cell r="L69">
            <v>3388.5636</v>
          </cell>
          <cell r="M69">
            <v>0</v>
          </cell>
          <cell r="N69">
            <v>0</v>
          </cell>
          <cell r="O69">
            <v>8.4545135001996012</v>
          </cell>
          <cell r="P69">
            <v>8471.4225272000003</v>
          </cell>
          <cell r="Q69">
            <v>52.417913500199603</v>
          </cell>
          <cell r="R69">
            <v>52522.749327199999</v>
          </cell>
          <cell r="S69">
            <v>0</v>
          </cell>
        </row>
        <row r="70">
          <cell r="B70" t="str">
            <v>Vehicular Gate</v>
          </cell>
          <cell r="C70" t="str">
            <v>W=8.0m (Double sliding)</v>
          </cell>
          <cell r="D70" t="str">
            <v>ea</v>
          </cell>
          <cell r="E70">
            <v>4</v>
          </cell>
          <cell r="F70">
            <v>2536.35</v>
          </cell>
          <cell r="G70">
            <v>10145.4</v>
          </cell>
          <cell r="H70">
            <v>705.88</v>
          </cell>
          <cell r="I70">
            <v>507.26830910000007</v>
          </cell>
          <cell r="J70">
            <v>2029.0732364000003</v>
          </cell>
          <cell r="K70">
            <v>169.09</v>
          </cell>
          <cell r="L70">
            <v>676.36</v>
          </cell>
          <cell r="M70">
            <v>0</v>
          </cell>
          <cell r="N70">
            <v>0</v>
          </cell>
          <cell r="O70">
            <v>676.35830910000004</v>
          </cell>
          <cell r="P70">
            <v>2705.4332364000002</v>
          </cell>
          <cell r="Q70">
            <v>3212.7083091</v>
          </cell>
          <cell r="R70">
            <v>12850.8332364</v>
          </cell>
          <cell r="S70">
            <v>0</v>
          </cell>
        </row>
        <row r="71">
          <cell r="B71" t="str">
            <v>Pedestrian Gate</v>
          </cell>
          <cell r="C71" t="str">
            <v>W=1.0m (Single sliding)</v>
          </cell>
          <cell r="D71" t="str">
            <v>ea</v>
          </cell>
          <cell r="E71">
            <v>4</v>
          </cell>
          <cell r="F71">
            <v>591.81500000000005</v>
          </cell>
          <cell r="G71">
            <v>2367.2600000000002</v>
          </cell>
          <cell r="H71">
            <v>235.29</v>
          </cell>
          <cell r="I71">
            <v>169.08746365000002</v>
          </cell>
          <cell r="J71">
            <v>676.34985460000007</v>
          </cell>
          <cell r="K71">
            <v>84.545000000000002</v>
          </cell>
          <cell r="L71">
            <v>338.18</v>
          </cell>
          <cell r="M71">
            <v>0</v>
          </cell>
          <cell r="N71">
            <v>0</v>
          </cell>
          <cell r="O71">
            <v>253.63246365000003</v>
          </cell>
          <cell r="P71">
            <v>1014.5298546000001</v>
          </cell>
          <cell r="Q71">
            <v>845.44746365000015</v>
          </cell>
          <cell r="R71">
            <v>3381.7898546000006</v>
          </cell>
          <cell r="S71">
            <v>0</v>
          </cell>
        </row>
      </sheetData>
      <sheetData sheetId="7">
        <row r="8">
          <cell r="B8" t="str">
            <v>Demolition (Paving)</v>
          </cell>
        </row>
        <row r="9">
          <cell r="B9" t="str">
            <v>Demolition (Road)</v>
          </cell>
          <cell r="C9">
            <v>0</v>
          </cell>
          <cell r="D9" t="str">
            <v>m2</v>
          </cell>
          <cell r="E9">
            <v>9786</v>
          </cell>
          <cell r="F9">
            <v>0</v>
          </cell>
          <cell r="G9">
            <v>0</v>
          </cell>
          <cell r="H9">
            <v>2878.24</v>
          </cell>
          <cell r="I9">
            <v>0.84545138230124661</v>
          </cell>
          <cell r="J9">
            <v>8273.5872271999997</v>
          </cell>
          <cell r="K9">
            <v>3.3818000000000001</v>
          </cell>
          <cell r="L9">
            <v>33094.294800000003</v>
          </cell>
          <cell r="M9">
            <v>0</v>
          </cell>
          <cell r="N9">
            <v>0</v>
          </cell>
          <cell r="O9">
            <v>4.2272513823012465</v>
          </cell>
          <cell r="P9">
            <v>41367.882027200001</v>
          </cell>
          <cell r="Q9">
            <v>4.2272513823012465</v>
          </cell>
          <cell r="R9">
            <v>41367.882027200001</v>
          </cell>
          <cell r="S9">
            <v>0</v>
          </cell>
        </row>
        <row r="10">
          <cell r="B10" t="str">
            <v>Demolition (Fence)</v>
          </cell>
          <cell r="C10" t="str">
            <v>including foundation</v>
          </cell>
          <cell r="D10" t="str">
            <v>m</v>
          </cell>
          <cell r="E10">
            <v>1242</v>
          </cell>
          <cell r="F10">
            <v>0</v>
          </cell>
          <cell r="G10">
            <v>0</v>
          </cell>
          <cell r="H10">
            <v>438.35</v>
          </cell>
          <cell r="I10">
            <v>1.014534554267311</v>
          </cell>
          <cell r="J10">
            <v>1260.0519164000002</v>
          </cell>
          <cell r="K10">
            <v>4.05816</v>
          </cell>
          <cell r="L10">
            <v>5040.2347200000004</v>
          </cell>
          <cell r="M10">
            <v>0</v>
          </cell>
          <cell r="N10">
            <v>0</v>
          </cell>
          <cell r="O10">
            <v>5.0726945542673114</v>
          </cell>
          <cell r="P10">
            <v>6300.2866364000001</v>
          </cell>
          <cell r="Q10">
            <v>5.0726945542673114</v>
          </cell>
          <cell r="R10">
            <v>6300.2866364000001</v>
          </cell>
          <cell r="S10">
            <v>0</v>
          </cell>
        </row>
        <row r="11">
          <cell r="B11" t="str">
            <v>Demolition (Concrete)</v>
          </cell>
          <cell r="C11">
            <v>0</v>
          </cell>
          <cell r="D11" t="str">
            <v>m3</v>
          </cell>
          <cell r="E11">
            <v>1801</v>
          </cell>
          <cell r="F11">
            <v>0</v>
          </cell>
          <cell r="G11">
            <v>0</v>
          </cell>
          <cell r="H11">
            <v>2118.8200000000002</v>
          </cell>
          <cell r="I11">
            <v>3.3817943667962247</v>
          </cell>
          <cell r="J11">
            <v>6090.6116546000003</v>
          </cell>
          <cell r="K11">
            <v>13.527200000000001</v>
          </cell>
          <cell r="L11">
            <v>24362.4872</v>
          </cell>
          <cell r="M11">
            <v>0</v>
          </cell>
          <cell r="N11">
            <v>0</v>
          </cell>
          <cell r="O11">
            <v>16.908994366796225</v>
          </cell>
          <cell r="P11">
            <v>30453.098854600001</v>
          </cell>
          <cell r="Q11">
            <v>16.908994366796225</v>
          </cell>
          <cell r="R11">
            <v>30453.098854600001</v>
          </cell>
          <cell r="S11">
            <v>0</v>
          </cell>
        </row>
        <row r="12">
          <cell r="B12" t="str">
            <v>Stripping, Clearing &amp; Grubbing</v>
          </cell>
          <cell r="C12" t="str">
            <v>Thk.=300mm</v>
          </cell>
          <cell r="D12" t="str">
            <v>m2</v>
          </cell>
          <cell r="E12">
            <v>158040</v>
          </cell>
          <cell r="F12">
            <v>0</v>
          </cell>
          <cell r="G12">
            <v>0</v>
          </cell>
          <cell r="H12">
            <v>27889.41</v>
          </cell>
          <cell r="I12">
            <v>0.50726997860161982</v>
          </cell>
          <cell r="J12">
            <v>80168.947418199998</v>
          </cell>
          <cell r="K12">
            <v>0.50727</v>
          </cell>
          <cell r="L12">
            <v>80168.950800000006</v>
          </cell>
          <cell r="M12">
            <v>0</v>
          </cell>
          <cell r="N12">
            <v>0</v>
          </cell>
          <cell r="O12">
            <v>1.0145399786016198</v>
          </cell>
          <cell r="P12">
            <v>160337.89821820002</v>
          </cell>
          <cell r="Q12">
            <v>1.0145399786016198</v>
          </cell>
          <cell r="R12">
            <v>160337.89821820002</v>
          </cell>
          <cell r="S12">
            <v>0</v>
          </cell>
        </row>
        <row r="13">
          <cell r="B13" t="str">
            <v>Topographical Survey</v>
          </cell>
          <cell r="C13">
            <v>0</v>
          </cell>
          <cell r="D13" t="str">
            <v>m2</v>
          </cell>
          <cell r="E13">
            <v>159298</v>
          </cell>
          <cell r="F13">
            <v>3.3818000000000001E-2</v>
          </cell>
          <cell r="G13">
            <v>5387.1397640000005</v>
          </cell>
          <cell r="H13">
            <v>13118.66</v>
          </cell>
          <cell r="I13">
            <v>0.23672602122939401</v>
          </cell>
          <cell r="J13">
            <v>37709.981729800005</v>
          </cell>
          <cell r="K13">
            <v>6.7636000000000002E-2</v>
          </cell>
          <cell r="L13">
            <v>10774.279528000001</v>
          </cell>
          <cell r="M13">
            <v>0</v>
          </cell>
          <cell r="N13">
            <v>0</v>
          </cell>
          <cell r="O13">
            <v>0.30436202122939404</v>
          </cell>
          <cell r="P13">
            <v>48484.261257800004</v>
          </cell>
          <cell r="Q13">
            <v>0.33818002122939406</v>
          </cell>
          <cell r="R13">
            <v>53871.401021800004</v>
          </cell>
          <cell r="S13">
            <v>0</v>
          </cell>
        </row>
        <row r="14">
          <cell r="B14" t="str">
            <v>Cutting</v>
          </cell>
          <cell r="C14" t="str">
            <v>Good soil (by equipment)</v>
          </cell>
          <cell r="D14" t="str">
            <v>m3</v>
          </cell>
          <cell r="E14">
            <v>197550</v>
          </cell>
          <cell r="F14">
            <v>0</v>
          </cell>
          <cell r="G14">
            <v>0</v>
          </cell>
          <cell r="H14">
            <v>11620.59</v>
          </cell>
          <cell r="I14">
            <v>0.16909003423740826</v>
          </cell>
          <cell r="J14">
            <v>33403.736263600003</v>
          </cell>
          <cell r="K14">
            <v>1.1836300000000002</v>
          </cell>
          <cell r="L14">
            <v>233826.10650000002</v>
          </cell>
          <cell r="M14">
            <v>0</v>
          </cell>
          <cell r="N14">
            <v>0</v>
          </cell>
          <cell r="O14">
            <v>1.3527200342374084</v>
          </cell>
          <cell r="P14">
            <v>267229.84276360006</v>
          </cell>
          <cell r="Q14">
            <v>1.3527200342374084</v>
          </cell>
          <cell r="R14">
            <v>267229.84276360006</v>
          </cell>
          <cell r="S14">
            <v>0</v>
          </cell>
        </row>
        <row r="15">
          <cell r="B15" t="str">
            <v>Filling (Excavated Soil)</v>
          </cell>
          <cell r="C15">
            <v>0</v>
          </cell>
          <cell r="D15" t="str">
            <v>m3</v>
          </cell>
          <cell r="E15">
            <v>197550</v>
          </cell>
          <cell r="F15">
            <v>0.16909000000000002</v>
          </cell>
          <cell r="G15">
            <v>33403.729500000001</v>
          </cell>
          <cell r="H15">
            <v>23241.18</v>
          </cell>
          <cell r="I15">
            <v>0.33818005135611234</v>
          </cell>
          <cell r="J15">
            <v>66807.469145399999</v>
          </cell>
          <cell r="K15">
            <v>2.02908</v>
          </cell>
          <cell r="L15">
            <v>400844.75400000002</v>
          </cell>
          <cell r="M15">
            <v>0</v>
          </cell>
          <cell r="N15">
            <v>0</v>
          </cell>
          <cell r="O15">
            <v>2.3672600513561122</v>
          </cell>
          <cell r="P15">
            <v>467652.2231454</v>
          </cell>
          <cell r="Q15">
            <v>2.5363500513561124</v>
          </cell>
          <cell r="R15">
            <v>501055.95264540002</v>
          </cell>
          <cell r="S15">
            <v>0</v>
          </cell>
        </row>
      </sheetData>
      <sheetData sheetId="8">
        <row r="8">
          <cell r="B8" t="str">
            <v>Soil Investigation</v>
          </cell>
        </row>
      </sheetData>
      <sheetData sheetId="9">
        <row r="8">
          <cell r="B8" t="str">
            <v>Excavation</v>
          </cell>
        </row>
        <row r="9">
          <cell r="B9" t="str">
            <v>Back Fill</v>
          </cell>
          <cell r="C9" t="str">
            <v>Good soil (by hand)</v>
          </cell>
          <cell r="D9" t="str">
            <v>m3</v>
          </cell>
          <cell r="E9">
            <v>26265</v>
          </cell>
          <cell r="F9">
            <v>0</v>
          </cell>
          <cell r="G9">
            <v>0</v>
          </cell>
          <cell r="H9">
            <v>10042.5</v>
          </cell>
          <cell r="I9">
            <v>1.0990850000000001</v>
          </cell>
          <cell r="J9">
            <v>28867.467525</v>
          </cell>
          <cell r="K9">
            <v>3.1281650000000001</v>
          </cell>
          <cell r="L9">
            <v>82161.253725000002</v>
          </cell>
          <cell r="M9">
            <v>0</v>
          </cell>
          <cell r="N9">
            <v>0</v>
          </cell>
          <cell r="O9">
            <v>4.2272499999999997</v>
          </cell>
          <cell r="P9">
            <v>111028.72125</v>
          </cell>
          <cell r="Q9">
            <v>4.2272499999999997</v>
          </cell>
          <cell r="R9">
            <v>111028.72125</v>
          </cell>
          <cell r="S9">
            <v>0</v>
          </cell>
        </row>
        <row r="10">
          <cell r="B10" t="str">
            <v>Disposal</v>
          </cell>
          <cell r="C10" t="str">
            <v>Good soil</v>
          </cell>
          <cell r="D10" t="str">
            <v>m3</v>
          </cell>
          <cell r="E10">
            <v>11836</v>
          </cell>
          <cell r="F10">
            <v>0</v>
          </cell>
          <cell r="G10">
            <v>0</v>
          </cell>
          <cell r="H10">
            <v>1392.47</v>
          </cell>
          <cell r="I10">
            <v>0.33817999999999998</v>
          </cell>
          <cell r="J10">
            <v>4002.69848</v>
          </cell>
          <cell r="K10">
            <v>1.6908999999999998</v>
          </cell>
          <cell r="L10">
            <v>20013.492399999999</v>
          </cell>
          <cell r="M10">
            <v>0</v>
          </cell>
          <cell r="N10">
            <v>0</v>
          </cell>
          <cell r="O10">
            <v>2.02908</v>
          </cell>
          <cell r="P10">
            <v>24016.190879999998</v>
          </cell>
          <cell r="Q10">
            <v>2.02908</v>
          </cell>
          <cell r="R10">
            <v>24016.190879999998</v>
          </cell>
          <cell r="S10">
            <v>0</v>
          </cell>
        </row>
        <row r="11">
          <cell r="B11" t="str">
            <v>Concrete</v>
          </cell>
          <cell r="C11" t="str">
            <v>Grade C30 , ASTM C150 (TYPE-V)</v>
          </cell>
          <cell r="D11" t="str">
            <v>m3</v>
          </cell>
          <cell r="E11">
            <v>4182</v>
          </cell>
          <cell r="F11">
            <v>77.781400000000005</v>
          </cell>
          <cell r="G11">
            <v>325281.81479999999</v>
          </cell>
          <cell r="H11">
            <v>13776</v>
          </cell>
          <cell r="I11">
            <v>9.4690399999999997</v>
          </cell>
          <cell r="J11">
            <v>39599.525280000002</v>
          </cell>
          <cell r="K11">
            <v>18.938079999999999</v>
          </cell>
          <cell r="L11">
            <v>79199.050560000003</v>
          </cell>
          <cell r="M11">
            <v>0</v>
          </cell>
          <cell r="N11">
            <v>0</v>
          </cell>
          <cell r="O11">
            <v>28.407119999999999</v>
          </cell>
          <cell r="P11">
            <v>118798.57584</v>
          </cell>
          <cell r="Q11">
            <v>106.18852000000001</v>
          </cell>
          <cell r="R11">
            <v>444080.39064</v>
          </cell>
          <cell r="S11">
            <v>0</v>
          </cell>
        </row>
        <row r="12">
          <cell r="B12" t="str">
            <v>Blinding Con'c</v>
          </cell>
          <cell r="C12" t="str">
            <v>Grade C20, Thk.=50mm. (DEP 34.19.20.31-Gen.)</v>
          </cell>
          <cell r="D12" t="str">
            <v>m3</v>
          </cell>
          <cell r="E12">
            <v>233</v>
          </cell>
          <cell r="F12">
            <v>64.254199999999997</v>
          </cell>
          <cell r="G12">
            <v>14971.228599999999</v>
          </cell>
          <cell r="H12">
            <v>685.29</v>
          </cell>
          <cell r="I12">
            <v>8.4544564575107302</v>
          </cell>
          <cell r="J12">
            <v>1969.8883546</v>
          </cell>
          <cell r="K12">
            <v>16.908999999999999</v>
          </cell>
          <cell r="L12">
            <v>3939.797</v>
          </cell>
          <cell r="M12">
            <v>0</v>
          </cell>
          <cell r="N12">
            <v>0</v>
          </cell>
          <cell r="O12">
            <v>25.363456457510729</v>
          </cell>
          <cell r="P12">
            <v>5909.6853546000002</v>
          </cell>
          <cell r="Q12">
            <v>89.617656457510719</v>
          </cell>
          <cell r="R12">
            <v>20880.913954600001</v>
          </cell>
          <cell r="S12">
            <v>0</v>
          </cell>
        </row>
        <row r="13">
          <cell r="B13" t="str">
            <v>Form Work</v>
          </cell>
          <cell r="C13" t="str">
            <v>ACI 347</v>
          </cell>
          <cell r="D13" t="str">
            <v>m2</v>
          </cell>
          <cell r="E13">
            <v>7738</v>
          </cell>
          <cell r="F13">
            <v>7.1017800000000006</v>
          </cell>
          <cell r="G13">
            <v>54953.573640000002</v>
          </cell>
          <cell r="H13">
            <v>9103.5300000000007</v>
          </cell>
          <cell r="I13">
            <v>3.3818004370379944</v>
          </cell>
          <cell r="J13">
            <v>26168.3717818</v>
          </cell>
          <cell r="K13">
            <v>2.1981700000000002</v>
          </cell>
          <cell r="L13">
            <v>17009.439460000001</v>
          </cell>
          <cell r="M13">
            <v>0</v>
          </cell>
          <cell r="N13">
            <v>0</v>
          </cell>
          <cell r="O13">
            <v>5.5799704370379946</v>
          </cell>
          <cell r="P13">
            <v>43177.811241800002</v>
          </cell>
          <cell r="Q13">
            <v>12.681750437037994</v>
          </cell>
          <cell r="R13">
            <v>98131.384881800011</v>
          </cell>
          <cell r="S13">
            <v>0</v>
          </cell>
        </row>
        <row r="14">
          <cell r="B14" t="str">
            <v>Re-Bar</v>
          </cell>
          <cell r="C14" t="str">
            <v xml:space="preserve">ASTM A 615 Grade 60 Type S </v>
          </cell>
          <cell r="D14" t="str">
            <v>Ton</v>
          </cell>
          <cell r="E14">
            <v>290</v>
          </cell>
          <cell r="F14">
            <v>463.3066</v>
          </cell>
          <cell r="G14">
            <v>134358.91399999999</v>
          </cell>
          <cell r="H14">
            <v>12623.53</v>
          </cell>
          <cell r="I14">
            <v>125.12661166137931</v>
          </cell>
          <cell r="J14">
            <v>36286.717381800001</v>
          </cell>
          <cell r="K14">
            <v>43.9634</v>
          </cell>
          <cell r="L14">
            <v>12749.386</v>
          </cell>
          <cell r="M14">
            <v>0</v>
          </cell>
          <cell r="N14">
            <v>0</v>
          </cell>
          <cell r="O14">
            <v>169.09001166137932</v>
          </cell>
          <cell r="P14">
            <v>49036.1033818</v>
          </cell>
          <cell r="Q14">
            <v>632.39661166137932</v>
          </cell>
          <cell r="R14">
            <v>183395.01738179999</v>
          </cell>
          <cell r="S14">
            <v>0</v>
          </cell>
        </row>
        <row r="15">
          <cell r="B15" t="str">
            <v>Non-Shrinkage Grout</v>
          </cell>
          <cell r="C15" t="str">
            <v>75 N/mm2, DEP 34.19.20.31-Gen</v>
          </cell>
          <cell r="D15" t="str">
            <v>m3</v>
          </cell>
          <cell r="E15">
            <v>8</v>
          </cell>
          <cell r="F15">
            <v>2908.348</v>
          </cell>
          <cell r="G15">
            <v>23266.784</v>
          </cell>
          <cell r="H15">
            <v>376.47</v>
          </cell>
          <cell r="I15">
            <v>135.27199999999999</v>
          </cell>
          <cell r="J15">
            <v>1082.1759999999999</v>
          </cell>
          <cell r="K15">
            <v>67.635999999999996</v>
          </cell>
          <cell r="L15">
            <v>541.08799999999997</v>
          </cell>
          <cell r="M15">
            <v>0</v>
          </cell>
          <cell r="N15">
            <v>0</v>
          </cell>
          <cell r="O15">
            <v>202.90799999999999</v>
          </cell>
          <cell r="P15">
            <v>1623.2639999999999</v>
          </cell>
          <cell r="Q15">
            <v>3111.2559999999999</v>
          </cell>
          <cell r="R15">
            <v>24890.047999999999</v>
          </cell>
          <cell r="S15">
            <v>0</v>
          </cell>
        </row>
        <row r="16">
          <cell r="B16" t="str">
            <v>FDN. Surface Coating (U/G)</v>
          </cell>
          <cell r="C16" t="str">
            <v xml:space="preserve">bitu-coating, 2 times, 0.4kg/m2 </v>
          </cell>
          <cell r="D16" t="str">
            <v>m2</v>
          </cell>
          <cell r="E16">
            <v>7670</v>
          </cell>
          <cell r="F16">
            <v>0.84545000000000003</v>
          </cell>
          <cell r="G16">
            <v>6484.6015000000007</v>
          </cell>
          <cell r="H16">
            <v>2255.88</v>
          </cell>
          <cell r="I16">
            <v>0.84544911817470669</v>
          </cell>
          <cell r="J16">
            <v>6484.5947364000003</v>
          </cell>
          <cell r="K16">
            <v>0.33817999999999998</v>
          </cell>
          <cell r="L16">
            <v>2593.8406</v>
          </cell>
          <cell r="M16">
            <v>0</v>
          </cell>
          <cell r="N16">
            <v>0</v>
          </cell>
          <cell r="O16">
            <v>1.1836291181747067</v>
          </cell>
          <cell r="P16">
            <v>9078.4353363999999</v>
          </cell>
          <cell r="Q16">
            <v>2.0290791181747068</v>
          </cell>
          <cell r="R16">
            <v>15563.036836400001</v>
          </cell>
          <cell r="S16">
            <v>0</v>
          </cell>
        </row>
        <row r="17">
          <cell r="B17" t="str">
            <v>FDN. Surface Coating (A/G)</v>
          </cell>
          <cell r="C17" t="str">
            <v>bitu-coating, 2 times, 0.4kg/m2, 150mm above ground level</v>
          </cell>
          <cell r="D17" t="str">
            <v>m2</v>
          </cell>
          <cell r="E17">
            <v>1920</v>
          </cell>
          <cell r="F17">
            <v>0.84545000000000003</v>
          </cell>
          <cell r="G17">
            <v>1623.2640000000001</v>
          </cell>
          <cell r="H17">
            <v>564.71</v>
          </cell>
          <cell r="I17">
            <v>0.84545704541666677</v>
          </cell>
          <cell r="J17">
            <v>1623.2775272000001</v>
          </cell>
          <cell r="K17">
            <v>0.33818000000000004</v>
          </cell>
          <cell r="L17">
            <v>649.30560000000003</v>
          </cell>
          <cell r="M17">
            <v>0</v>
          </cell>
          <cell r="N17">
            <v>0</v>
          </cell>
          <cell r="O17">
            <v>1.1836370454166669</v>
          </cell>
          <cell r="P17">
            <v>2272.5831272</v>
          </cell>
          <cell r="Q17">
            <v>2.029087045416667</v>
          </cell>
          <cell r="R17">
            <v>3895.8471272000002</v>
          </cell>
          <cell r="S17">
            <v>0</v>
          </cell>
        </row>
        <row r="18">
          <cell r="B18" t="str">
            <v>Sand Bitumen</v>
          </cell>
          <cell r="C18" t="str">
            <v>50mm sand bitumen mix or oil/sand mix. (DEP 34.18.51.10-Gen. Appendix 3 and 4)</v>
          </cell>
          <cell r="D18" t="str">
            <v>m3</v>
          </cell>
          <cell r="E18">
            <v>8</v>
          </cell>
          <cell r="F18">
            <v>43.9634</v>
          </cell>
          <cell r="G18">
            <v>351.7072</v>
          </cell>
          <cell r="H18">
            <v>28.24</v>
          </cell>
          <cell r="I18">
            <v>10.1470909</v>
          </cell>
          <cell r="J18">
            <v>81.176727200000002</v>
          </cell>
          <cell r="K18">
            <v>13.527200000000001</v>
          </cell>
          <cell r="L18">
            <v>108.2176</v>
          </cell>
          <cell r="M18">
            <v>0</v>
          </cell>
          <cell r="N18">
            <v>0</v>
          </cell>
          <cell r="O18">
            <v>23.674290900000003</v>
          </cell>
          <cell r="P18">
            <v>189.39432720000002</v>
          </cell>
          <cell r="Q18">
            <v>67.637690899999996</v>
          </cell>
          <cell r="R18">
            <v>541.10152719999996</v>
          </cell>
          <cell r="S18">
            <v>0</v>
          </cell>
        </row>
        <row r="19">
          <cell r="B19" t="str">
            <v>Structural Fill (Sand)</v>
          </cell>
          <cell r="C19" t="str">
            <v>Compaction shall be 95% of maximum dry density in six inch compacted layers.</v>
          </cell>
          <cell r="D19" t="str">
            <v>m3</v>
          </cell>
          <cell r="E19">
            <v>2630</v>
          </cell>
          <cell r="F19">
            <v>1.741627</v>
          </cell>
          <cell r="G19">
            <v>4580.47901</v>
          </cell>
          <cell r="H19">
            <v>1036.53</v>
          </cell>
          <cell r="I19">
            <v>1.1329042858555134</v>
          </cell>
          <cell r="J19">
            <v>2979.5382718000001</v>
          </cell>
          <cell r="K19">
            <v>2.7054400000000003</v>
          </cell>
          <cell r="L19">
            <v>7115.3072000000002</v>
          </cell>
          <cell r="M19">
            <v>0</v>
          </cell>
          <cell r="N19">
            <v>0</v>
          </cell>
          <cell r="O19">
            <v>3.8383442858555137</v>
          </cell>
          <cell r="P19">
            <v>10094.845471799999</v>
          </cell>
          <cell r="Q19">
            <v>5.5799712858555139</v>
          </cell>
          <cell r="R19">
            <v>14675.324481799998</v>
          </cell>
          <cell r="S19">
            <v>0</v>
          </cell>
        </row>
        <row r="20">
          <cell r="B20" t="str">
            <v>Structural Fill (Compacted Stone or Gravel)</v>
          </cell>
          <cell r="C20" t="str">
            <v>Compaction shall be 95% of maximum dry density in six inch compacted layers.</v>
          </cell>
          <cell r="D20" t="str">
            <v>m3</v>
          </cell>
          <cell r="E20">
            <v>225</v>
          </cell>
          <cell r="F20">
            <v>28.7453</v>
          </cell>
          <cell r="G20">
            <v>6467.6925000000001</v>
          </cell>
          <cell r="H20">
            <v>397.06</v>
          </cell>
          <cell r="I20">
            <v>5.0727150302222226</v>
          </cell>
          <cell r="J20">
            <v>1141.3608818</v>
          </cell>
          <cell r="K20">
            <v>6.7636000000000012</v>
          </cell>
          <cell r="L20">
            <v>1521.8100000000002</v>
          </cell>
          <cell r="M20">
            <v>0</v>
          </cell>
          <cell r="N20">
            <v>0</v>
          </cell>
          <cell r="O20">
            <v>11.836315030222224</v>
          </cell>
          <cell r="P20">
            <v>2663.1708818000002</v>
          </cell>
          <cell r="Q20">
            <v>40.581615030222224</v>
          </cell>
          <cell r="R20">
            <v>9130.8633817999998</v>
          </cell>
          <cell r="S20">
            <v>0</v>
          </cell>
        </row>
        <row r="21">
          <cell r="B21" t="str">
            <v>Water Stop</v>
          </cell>
          <cell r="C21" t="str">
            <v>PVC, W=150mm</v>
          </cell>
          <cell r="D21" t="str">
            <v>m</v>
          </cell>
          <cell r="E21">
            <v>59</v>
          </cell>
          <cell r="F21">
            <v>4.2272499999999997</v>
          </cell>
          <cell r="G21">
            <v>249.40774999999999</v>
          </cell>
          <cell r="H21">
            <v>43.38</v>
          </cell>
          <cell r="I21">
            <v>2.1135103627118643</v>
          </cell>
          <cell r="J21">
            <v>124.6971114</v>
          </cell>
          <cell r="K21">
            <v>0.76090500000000005</v>
          </cell>
          <cell r="L21">
            <v>44.893395000000005</v>
          </cell>
          <cell r="M21">
            <v>0</v>
          </cell>
          <cell r="N21">
            <v>0</v>
          </cell>
          <cell r="O21">
            <v>2.8744153627118645</v>
          </cell>
          <cell r="P21">
            <v>169.59050640000001</v>
          </cell>
          <cell r="Q21">
            <v>7.1016653627118647</v>
          </cell>
          <cell r="R21">
            <v>418.9982564</v>
          </cell>
          <cell r="S21">
            <v>0</v>
          </cell>
        </row>
        <row r="22">
          <cell r="B22" t="str">
            <v>Outside Water Proofing (for Pit &amp; Basin)</v>
          </cell>
          <cell r="C22" t="str">
            <v xml:space="preserve">bitu-coating, 2 times, 0.4kg/m2 </v>
          </cell>
          <cell r="D22" t="str">
            <v>m2</v>
          </cell>
          <cell r="E22">
            <v>173</v>
          </cell>
          <cell r="F22">
            <v>0.84545000000000003</v>
          </cell>
          <cell r="G22">
            <v>146.26285000000001</v>
          </cell>
          <cell r="H22">
            <v>50.88</v>
          </cell>
          <cell r="I22">
            <v>0.84541090404624275</v>
          </cell>
          <cell r="J22">
            <v>146.25608639999999</v>
          </cell>
          <cell r="K22">
            <v>0.33818000000000004</v>
          </cell>
          <cell r="L22">
            <v>58.505140000000004</v>
          </cell>
          <cell r="M22">
            <v>0</v>
          </cell>
          <cell r="N22">
            <v>0</v>
          </cell>
          <cell r="O22">
            <v>1.1835909040462429</v>
          </cell>
          <cell r="P22">
            <v>204.7612264</v>
          </cell>
          <cell r="Q22">
            <v>2.0290409040462429</v>
          </cell>
          <cell r="R22">
            <v>351.02407640000001</v>
          </cell>
          <cell r="S22">
            <v>0</v>
          </cell>
        </row>
        <row r="23">
          <cell r="B23" t="str">
            <v>Inside Wall Coating (Water Proofing Only)</v>
          </cell>
          <cell r="C23" t="str">
            <v>Liquid water coating</v>
          </cell>
          <cell r="D23" t="str">
            <v>m2</v>
          </cell>
          <cell r="E23">
            <v>13</v>
          </cell>
          <cell r="F23">
            <v>4.2272499999999997</v>
          </cell>
          <cell r="G23">
            <v>54.954249999999995</v>
          </cell>
          <cell r="H23">
            <v>18.739999999999998</v>
          </cell>
          <cell r="I23">
            <v>4.1437455538461538</v>
          </cell>
          <cell r="J23">
            <v>53.868692200000005</v>
          </cell>
          <cell r="K23">
            <v>1.6909000000000001</v>
          </cell>
          <cell r="L23">
            <v>21.9817</v>
          </cell>
          <cell r="M23">
            <v>0</v>
          </cell>
          <cell r="N23">
            <v>0</v>
          </cell>
          <cell r="O23">
            <v>5.8346455538461539</v>
          </cell>
          <cell r="P23">
            <v>75.850392200000002</v>
          </cell>
          <cell r="Q23">
            <v>10.061895553846153</v>
          </cell>
          <cell r="R23">
            <v>130.80464219999999</v>
          </cell>
          <cell r="S23">
            <v>0</v>
          </cell>
        </row>
        <row r="24">
          <cell r="B24" t="str">
            <v>Chemical Coating (inside only)</v>
          </cell>
          <cell r="C24" t="str">
            <v>Chemical resistant bricks or tiles or by a monolithic epoxy compound</v>
          </cell>
          <cell r="D24" t="str">
            <v>m2</v>
          </cell>
          <cell r="E24">
            <v>177</v>
          </cell>
          <cell r="F24">
            <v>37.199800000000003</v>
          </cell>
          <cell r="G24">
            <v>6584.3646000000008</v>
          </cell>
          <cell r="H24">
            <v>832.94</v>
          </cell>
          <cell r="I24">
            <v>13.52718089378531</v>
          </cell>
          <cell r="J24">
            <v>2394.3110182</v>
          </cell>
          <cell r="K24">
            <v>6.7636000000000003</v>
          </cell>
          <cell r="L24">
            <v>1197.1572000000001</v>
          </cell>
          <cell r="M24">
            <v>0</v>
          </cell>
          <cell r="N24">
            <v>0</v>
          </cell>
          <cell r="O24">
            <v>20.29078089378531</v>
          </cell>
          <cell r="P24">
            <v>3591.4682182000001</v>
          </cell>
          <cell r="Q24">
            <v>57.490580893785314</v>
          </cell>
          <cell r="R24">
            <v>10175.8328182</v>
          </cell>
          <cell r="S24">
            <v>0</v>
          </cell>
        </row>
        <row r="25">
          <cell r="B25" t="str">
            <v>Drain Pipe (for concrete Tank)</v>
          </cell>
          <cell r="C25" t="str">
            <v>HDPE drain pipe (Φ 75x6.9mm)</v>
          </cell>
          <cell r="D25" t="str">
            <v>m</v>
          </cell>
          <cell r="E25">
            <v>8</v>
          </cell>
          <cell r="F25">
            <v>5.0727000000000002</v>
          </cell>
          <cell r="G25">
            <v>40.581600000000002</v>
          </cell>
          <cell r="H25">
            <v>4.71</v>
          </cell>
          <cell r="I25">
            <v>1.6925908999999999</v>
          </cell>
          <cell r="J25">
            <v>13.540727199999999</v>
          </cell>
          <cell r="K25">
            <v>5.0727000000000002</v>
          </cell>
          <cell r="L25">
            <v>40.581600000000002</v>
          </cell>
          <cell r="M25">
            <v>0</v>
          </cell>
          <cell r="N25">
            <v>0</v>
          </cell>
          <cell r="O25">
            <v>6.7652909000000001</v>
          </cell>
          <cell r="P25">
            <v>54.122327200000001</v>
          </cell>
          <cell r="Q25">
            <v>11.837990900000001</v>
          </cell>
          <cell r="R25">
            <v>94.70392720000001</v>
          </cell>
          <cell r="S25">
            <v>0</v>
          </cell>
        </row>
        <row r="26">
          <cell r="B26" t="str">
            <v>Geotextile membrane</v>
          </cell>
          <cell r="C26" t="str">
            <v>woven/roven type Nicolon No. 66339 or equivalent</v>
          </cell>
          <cell r="D26" t="str">
            <v>m2</v>
          </cell>
          <cell r="E26">
            <v>167</v>
          </cell>
          <cell r="F26">
            <v>3.3818000000000001</v>
          </cell>
          <cell r="G26">
            <v>564.76060000000007</v>
          </cell>
          <cell r="H26">
            <v>98.24</v>
          </cell>
          <cell r="I26">
            <v>1.690981001197605</v>
          </cell>
          <cell r="J26">
            <v>282.39382720000003</v>
          </cell>
          <cell r="K26">
            <v>0.84545000000000015</v>
          </cell>
          <cell r="L26">
            <v>141.19015000000002</v>
          </cell>
          <cell r="M26">
            <v>0</v>
          </cell>
          <cell r="N26">
            <v>0</v>
          </cell>
          <cell r="O26">
            <v>2.536431001197605</v>
          </cell>
          <cell r="P26">
            <v>423.58397720000005</v>
          </cell>
          <cell r="Q26">
            <v>5.9182310011976051</v>
          </cell>
          <cell r="R26">
            <v>988.34457720000012</v>
          </cell>
          <cell r="S26">
            <v>0</v>
          </cell>
        </row>
        <row r="27">
          <cell r="B27" t="str">
            <v>Drain Pipe (for Tank Foundation)</v>
          </cell>
          <cell r="C27" t="str">
            <v>HDPE drain pipe (Φ 125mm)</v>
          </cell>
          <cell r="D27" t="str">
            <v>m</v>
          </cell>
          <cell r="E27">
            <v>8</v>
          </cell>
          <cell r="F27">
            <v>10.1454</v>
          </cell>
          <cell r="G27">
            <v>81.163200000000003</v>
          </cell>
          <cell r="H27">
            <v>7.06</v>
          </cell>
          <cell r="I27">
            <v>2.5367727250000001</v>
          </cell>
          <cell r="J27">
            <v>20.2941818</v>
          </cell>
          <cell r="K27">
            <v>5.9181500000000007</v>
          </cell>
          <cell r="L27">
            <v>47.345200000000006</v>
          </cell>
          <cell r="M27">
            <v>0</v>
          </cell>
          <cell r="N27">
            <v>0</v>
          </cell>
          <cell r="O27">
            <v>8.4549227250000012</v>
          </cell>
          <cell r="P27">
            <v>67.63938180000001</v>
          </cell>
          <cell r="Q27">
            <v>18.600322725000002</v>
          </cell>
          <cell r="R27">
            <v>148.80258180000001</v>
          </cell>
          <cell r="S27">
            <v>0</v>
          </cell>
        </row>
        <row r="28">
          <cell r="B28" t="str">
            <v>Hume Pipe</v>
          </cell>
          <cell r="C28" t="str">
            <v>D=450mm</v>
          </cell>
          <cell r="D28" t="str">
            <v>m</v>
          </cell>
          <cell r="E28">
            <v>92</v>
          </cell>
          <cell r="F28">
            <v>37.199800000000003</v>
          </cell>
          <cell r="G28">
            <v>3422.3816000000002</v>
          </cell>
          <cell r="H28">
            <v>162.35</v>
          </cell>
          <cell r="I28">
            <v>5.0726264826086958</v>
          </cell>
          <cell r="J28">
            <v>466.6816364</v>
          </cell>
          <cell r="K28">
            <v>11.836300000000001</v>
          </cell>
          <cell r="L28">
            <v>1088.9396000000002</v>
          </cell>
          <cell r="M28">
            <v>0</v>
          </cell>
          <cell r="N28">
            <v>0</v>
          </cell>
          <cell r="O28">
            <v>16.908926482608699</v>
          </cell>
          <cell r="P28">
            <v>1555.6212364000003</v>
          </cell>
          <cell r="Q28">
            <v>54.108726482608702</v>
          </cell>
          <cell r="R28">
            <v>4978.0028364000009</v>
          </cell>
          <cell r="S28">
            <v>0</v>
          </cell>
        </row>
        <row r="29">
          <cell r="B29" t="str">
            <v>Warning Tape</v>
          </cell>
          <cell r="C29" t="str">
            <v>P.V.C</v>
          </cell>
          <cell r="D29" t="str">
            <v>m</v>
          </cell>
          <cell r="E29">
            <v>6322</v>
          </cell>
          <cell r="F29">
            <v>0.16909000000000002</v>
          </cell>
          <cell r="G29">
            <v>1068.9869800000001</v>
          </cell>
          <cell r="H29">
            <v>334.69</v>
          </cell>
          <cell r="I29">
            <v>0.1521793952230307</v>
          </cell>
          <cell r="J29">
            <v>962.07813660000011</v>
          </cell>
          <cell r="K29">
            <v>1.6909E-2</v>
          </cell>
          <cell r="L29">
            <v>106.898698</v>
          </cell>
          <cell r="M29">
            <v>0</v>
          </cell>
          <cell r="N29">
            <v>0</v>
          </cell>
          <cell r="O29">
            <v>0.16908839522303071</v>
          </cell>
          <cell r="P29">
            <v>1068.9768346000001</v>
          </cell>
          <cell r="Q29">
            <v>0.33817839522303073</v>
          </cell>
          <cell r="R29">
            <v>2137.9638146000002</v>
          </cell>
          <cell r="S29">
            <v>0</v>
          </cell>
        </row>
        <row r="30">
          <cell r="B30" t="str">
            <v>Checkered Plate</v>
          </cell>
          <cell r="C30" t="str">
            <v>Thk.=6mm, Galvanized</v>
          </cell>
          <cell r="D30" t="str">
            <v>m2</v>
          </cell>
          <cell r="E30">
            <v>90</v>
          </cell>
          <cell r="F30">
            <v>169.09</v>
          </cell>
          <cell r="G30">
            <v>15218.1</v>
          </cell>
          <cell r="H30">
            <v>370.59</v>
          </cell>
          <cell r="I30">
            <v>11.836375151111113</v>
          </cell>
          <cell r="J30">
            <v>1065.2737636000002</v>
          </cell>
          <cell r="K30">
            <v>5.0727000000000002</v>
          </cell>
          <cell r="L30">
            <v>456.54300000000001</v>
          </cell>
          <cell r="M30">
            <v>0</v>
          </cell>
          <cell r="N30">
            <v>0</v>
          </cell>
          <cell r="O30">
            <v>16.909075151111114</v>
          </cell>
          <cell r="P30">
            <v>1521.8167636000003</v>
          </cell>
          <cell r="Q30">
            <v>185.99907515111113</v>
          </cell>
          <cell r="R30">
            <v>16739.916763600002</v>
          </cell>
          <cell r="S30">
            <v>0</v>
          </cell>
        </row>
        <row r="31">
          <cell r="B31" t="str">
            <v>Grating</v>
          </cell>
          <cell r="C31" t="str">
            <v>I-55x7, Galvanized</v>
          </cell>
          <cell r="D31" t="str">
            <v>m2</v>
          </cell>
          <cell r="E31">
            <v>1</v>
          </cell>
          <cell r="F31">
            <v>67.635999999999996</v>
          </cell>
          <cell r="G31">
            <v>67.635999999999996</v>
          </cell>
          <cell r="H31">
            <v>3.53</v>
          </cell>
          <cell r="I31">
            <v>10.1487818</v>
          </cell>
          <cell r="J31">
            <v>10.1487818</v>
          </cell>
          <cell r="K31">
            <v>6.7636000000000003</v>
          </cell>
          <cell r="L31">
            <v>6.7636000000000003</v>
          </cell>
          <cell r="M31">
            <v>0</v>
          </cell>
          <cell r="N31">
            <v>0</v>
          </cell>
          <cell r="O31">
            <v>16.912381799999999</v>
          </cell>
          <cell r="P31">
            <v>16.912381799999999</v>
          </cell>
          <cell r="Q31">
            <v>84.548381799999987</v>
          </cell>
          <cell r="R31">
            <v>84.548381799999987</v>
          </cell>
          <cell r="S31">
            <v>0</v>
          </cell>
        </row>
        <row r="32">
          <cell r="B32" t="str">
            <v>Step Iron</v>
          </cell>
          <cell r="C32" t="str">
            <v>ASTM A36, Round Bar Φ20x1200L, Hot dip galvanized</v>
          </cell>
          <cell r="D32" t="str">
            <v>ea</v>
          </cell>
          <cell r="E32">
            <v>41</v>
          </cell>
          <cell r="F32">
            <v>6.7636000000000003</v>
          </cell>
          <cell r="G32">
            <v>277.30760000000004</v>
          </cell>
          <cell r="H32">
            <v>21.71</v>
          </cell>
          <cell r="I32">
            <v>1.5221399317073172</v>
          </cell>
          <cell r="J32">
            <v>62.407737200000007</v>
          </cell>
          <cell r="K32">
            <v>0.16908999999999999</v>
          </cell>
          <cell r="L32">
            <v>6.93269</v>
          </cell>
          <cell r="M32">
            <v>0</v>
          </cell>
          <cell r="N32">
            <v>0</v>
          </cell>
          <cell r="O32">
            <v>1.6912299317073172</v>
          </cell>
          <cell r="P32">
            <v>69.340427200000008</v>
          </cell>
          <cell r="Q32">
            <v>8.4548299317073177</v>
          </cell>
          <cell r="R32">
            <v>346.64802720000006</v>
          </cell>
          <cell r="S32">
            <v>0</v>
          </cell>
        </row>
        <row r="33">
          <cell r="B33" t="str">
            <v>Misc. Steel</v>
          </cell>
          <cell r="C33" t="str">
            <v>ASTM A36 or equivalent</v>
          </cell>
          <cell r="D33" t="str">
            <v>Ton</v>
          </cell>
          <cell r="E33">
            <v>4</v>
          </cell>
          <cell r="F33">
            <v>1183.6300000000001</v>
          </cell>
          <cell r="G33">
            <v>4734.5200000000004</v>
          </cell>
          <cell r="H33">
            <v>705.88</v>
          </cell>
          <cell r="I33">
            <v>507.26830910000007</v>
          </cell>
          <cell r="J33">
            <v>2029.0732364000003</v>
          </cell>
          <cell r="K33">
            <v>169.09</v>
          </cell>
          <cell r="L33">
            <v>676.36</v>
          </cell>
          <cell r="M33">
            <v>0</v>
          </cell>
          <cell r="N33">
            <v>0</v>
          </cell>
          <cell r="O33">
            <v>676.35830910000004</v>
          </cell>
          <cell r="P33">
            <v>2705.4332364000002</v>
          </cell>
          <cell r="Q33">
            <v>1859.9883091000002</v>
          </cell>
          <cell r="R33">
            <v>7439.9532364000006</v>
          </cell>
          <cell r="S33">
            <v>0</v>
          </cell>
        </row>
        <row r="34">
          <cell r="B34" t="str">
            <v>Anchor Bolt (M24)</v>
          </cell>
          <cell r="C34" t="str">
            <v>ASTM A36 or equivalent (Refer DEP S28.020), Install only</v>
          </cell>
          <cell r="D34" t="str">
            <v>ea</v>
          </cell>
          <cell r="E34">
            <v>38</v>
          </cell>
          <cell r="F34">
            <v>16.063549999999999</v>
          </cell>
          <cell r="G34">
            <v>610.41489999999999</v>
          </cell>
          <cell r="H34">
            <v>33.53</v>
          </cell>
          <cell r="I34">
            <v>2.5364389947368422</v>
          </cell>
          <cell r="J34">
            <v>96.38468180000001</v>
          </cell>
          <cell r="K34">
            <v>0.84544999999999992</v>
          </cell>
          <cell r="L34">
            <v>32.127099999999999</v>
          </cell>
          <cell r="M34">
            <v>0</v>
          </cell>
          <cell r="N34">
            <v>0</v>
          </cell>
          <cell r="O34">
            <v>3.3818889947368422</v>
          </cell>
          <cell r="P34">
            <v>128.51178179999999</v>
          </cell>
          <cell r="Q34">
            <v>19.44543899473684</v>
          </cell>
          <cell r="R34">
            <v>738.92668179999998</v>
          </cell>
          <cell r="S34">
            <v>0</v>
          </cell>
        </row>
        <row r="35">
          <cell r="B35" t="str">
            <v>Anchor Bolt (M42)</v>
          </cell>
          <cell r="C35" t="str">
            <v>ASTM A36 or equivalent (Refer DEP S28.020), Install only</v>
          </cell>
          <cell r="D35" t="str">
            <v>ea</v>
          </cell>
          <cell r="E35">
            <v>806</v>
          </cell>
          <cell r="F35">
            <v>41.849775000000001</v>
          </cell>
          <cell r="G35">
            <v>33730.91865</v>
          </cell>
          <cell r="H35">
            <v>1422.35</v>
          </cell>
          <cell r="I35">
            <v>5.0726916084367248</v>
          </cell>
          <cell r="J35">
            <v>4088.5894364000005</v>
          </cell>
          <cell r="K35">
            <v>2.5363500000000001</v>
          </cell>
          <cell r="L35">
            <v>2044.2981</v>
          </cell>
          <cell r="M35">
            <v>0</v>
          </cell>
          <cell r="N35">
            <v>0</v>
          </cell>
          <cell r="O35">
            <v>7.6090416084367245</v>
          </cell>
          <cell r="P35">
            <v>6132.8875364000005</v>
          </cell>
          <cell r="Q35">
            <v>49.458816608436727</v>
          </cell>
          <cell r="R35">
            <v>39863.806186399997</v>
          </cell>
          <cell r="S35">
            <v>0</v>
          </cell>
        </row>
        <row r="36">
          <cell r="B36" t="str">
            <v>Wearing Course (Asphalt Road)</v>
          </cell>
          <cell r="C36" t="str">
            <v>Thk.=50mm</v>
          </cell>
          <cell r="D36" t="str">
            <v>m3</v>
          </cell>
          <cell r="E36">
            <v>75</v>
          </cell>
          <cell r="F36">
            <v>54.954250000000002</v>
          </cell>
          <cell r="G36">
            <v>4121.5687500000004</v>
          </cell>
          <cell r="H36">
            <v>154.41</v>
          </cell>
          <cell r="I36">
            <v>5.9181049093333336</v>
          </cell>
          <cell r="J36">
            <v>443.85786819999998</v>
          </cell>
          <cell r="K36">
            <v>21.13625</v>
          </cell>
          <cell r="L36">
            <v>1585.21875</v>
          </cell>
          <cell r="M36">
            <v>0</v>
          </cell>
          <cell r="N36">
            <v>0</v>
          </cell>
          <cell r="O36">
            <v>27.054354909333334</v>
          </cell>
          <cell r="P36">
            <v>2029.0766182</v>
          </cell>
          <cell r="Q36">
            <v>82.008604909333343</v>
          </cell>
          <cell r="R36">
            <v>6150.6453682000001</v>
          </cell>
          <cell r="S36">
            <v>0</v>
          </cell>
        </row>
        <row r="37">
          <cell r="B37" t="str">
            <v>Prime Coat</v>
          </cell>
          <cell r="D37" t="str">
            <v>m2</v>
          </cell>
          <cell r="E37">
            <v>1515.4</v>
          </cell>
          <cell r="F37">
            <v>0.16909000000000002</v>
          </cell>
          <cell r="G37">
            <v>256.23898600000007</v>
          </cell>
          <cell r="H37">
            <v>23.18</v>
          </cell>
          <cell r="I37">
            <v>4.3969648541639164E-2</v>
          </cell>
          <cell r="J37">
            <v>66.631605399999998</v>
          </cell>
          <cell r="K37">
            <v>0.1251270463244028</v>
          </cell>
          <cell r="L37">
            <v>189.617526</v>
          </cell>
          <cell r="M37">
            <v>0</v>
          </cell>
          <cell r="N37">
            <v>0</v>
          </cell>
          <cell r="O37">
            <v>0.16909669486604195</v>
          </cell>
          <cell r="P37">
            <v>256.24913140000001</v>
          </cell>
          <cell r="Q37">
            <v>0.33818669486604197</v>
          </cell>
          <cell r="R37">
            <v>512.48811740000008</v>
          </cell>
          <cell r="S37">
            <v>0</v>
          </cell>
        </row>
        <row r="38">
          <cell r="B38" t="str">
            <v>Base Course (Asphalt Road)</v>
          </cell>
          <cell r="C38" t="str">
            <v>Thk.=250mm</v>
          </cell>
          <cell r="D38" t="str">
            <v>m3</v>
          </cell>
          <cell r="E38">
            <v>379</v>
          </cell>
          <cell r="F38">
            <v>54.108800000000002</v>
          </cell>
          <cell r="G38">
            <v>20507.235199999999</v>
          </cell>
          <cell r="H38">
            <v>780.29</v>
          </cell>
          <cell r="I38">
            <v>5.9181232311345644</v>
          </cell>
          <cell r="J38">
            <v>2242.9687045999999</v>
          </cell>
          <cell r="K38">
            <v>20.290800000000001</v>
          </cell>
          <cell r="L38">
            <v>7690.2132000000001</v>
          </cell>
          <cell r="M38">
            <v>0</v>
          </cell>
          <cell r="N38">
            <v>0</v>
          </cell>
          <cell r="O38">
            <v>26.208923231134566</v>
          </cell>
          <cell r="P38">
            <v>9933.1819046000001</v>
          </cell>
          <cell r="Q38">
            <v>80.317723231134565</v>
          </cell>
          <cell r="R38">
            <v>30440.417104599997</v>
          </cell>
          <cell r="S38">
            <v>0</v>
          </cell>
        </row>
        <row r="39">
          <cell r="B39" t="str">
            <v>Sub-Base Course (Asphalt Road)</v>
          </cell>
          <cell r="C39" t="str">
            <v>Thk.=250mm</v>
          </cell>
          <cell r="D39" t="str">
            <v>m3</v>
          </cell>
          <cell r="E39">
            <v>383</v>
          </cell>
          <cell r="F39">
            <v>51.572450000000003</v>
          </cell>
          <cell r="G39">
            <v>19752.248350000002</v>
          </cell>
          <cell r="H39">
            <v>788.53</v>
          </cell>
          <cell r="I39">
            <v>5.9181588297650132</v>
          </cell>
          <cell r="J39">
            <v>2266.6548318</v>
          </cell>
          <cell r="K39">
            <v>20.290800000000001</v>
          </cell>
          <cell r="L39">
            <v>7771.3764000000001</v>
          </cell>
          <cell r="M39">
            <v>0</v>
          </cell>
          <cell r="N39">
            <v>0</v>
          </cell>
          <cell r="O39">
            <v>26.208958829765013</v>
          </cell>
          <cell r="P39">
            <v>10038.0312318</v>
          </cell>
          <cell r="Q39">
            <v>77.781408829765013</v>
          </cell>
          <cell r="R39">
            <v>29790.279581800001</v>
          </cell>
          <cell r="S39">
            <v>0</v>
          </cell>
        </row>
        <row r="40">
          <cell r="B40" t="str">
            <v>Shoulder (Gravel)</v>
          </cell>
          <cell r="C40" t="str">
            <v>Thk.=50mm</v>
          </cell>
          <cell r="D40" t="str">
            <v>m2</v>
          </cell>
          <cell r="E40">
            <v>749</v>
          </cell>
          <cell r="F40">
            <v>1.437265</v>
          </cell>
          <cell r="G40">
            <v>1076.511485</v>
          </cell>
          <cell r="H40">
            <v>44.06</v>
          </cell>
          <cell r="I40">
            <v>0.16909451508678239</v>
          </cell>
          <cell r="J40">
            <v>126.65179180000001</v>
          </cell>
          <cell r="K40">
            <v>0.50727</v>
          </cell>
          <cell r="L40">
            <v>379.94522999999998</v>
          </cell>
          <cell r="M40">
            <v>0</v>
          </cell>
          <cell r="N40">
            <v>0</v>
          </cell>
          <cell r="O40">
            <v>0.67636451508678241</v>
          </cell>
          <cell r="P40">
            <v>506.59702179999999</v>
          </cell>
          <cell r="Q40">
            <v>2.1136295150867825</v>
          </cell>
          <cell r="R40">
            <v>1583.1085068</v>
          </cell>
          <cell r="S40">
            <v>0</v>
          </cell>
        </row>
        <row r="41">
          <cell r="B41" t="str">
            <v>Concrete Paving (for Light Duty)</v>
          </cell>
          <cell r="C41" t="str">
            <v>Thk.=100mm, grade C-30</v>
          </cell>
          <cell r="D41" t="str">
            <v>m3</v>
          </cell>
          <cell r="E41">
            <v>99</v>
          </cell>
          <cell r="F41">
            <v>77.781400000000005</v>
          </cell>
          <cell r="G41">
            <v>7700.3586000000005</v>
          </cell>
          <cell r="H41">
            <v>326.12</v>
          </cell>
          <cell r="I41">
            <v>9.4691083191919194</v>
          </cell>
          <cell r="J41">
            <v>937.44172360000005</v>
          </cell>
          <cell r="K41">
            <v>18.938079999999999</v>
          </cell>
          <cell r="L41">
            <v>1874.8699200000001</v>
          </cell>
          <cell r="M41">
            <v>0</v>
          </cell>
          <cell r="N41">
            <v>0</v>
          </cell>
          <cell r="O41">
            <v>28.407188319191917</v>
          </cell>
          <cell r="P41">
            <v>2812.3116436</v>
          </cell>
          <cell r="Q41">
            <v>106.18858831919192</v>
          </cell>
          <cell r="R41">
            <v>10512.670243600001</v>
          </cell>
          <cell r="S41">
            <v>0</v>
          </cell>
        </row>
        <row r="42">
          <cell r="B42" t="str">
            <v>Expansion Joint (for Con'c Paving Light Duty)</v>
          </cell>
          <cell r="C42" t="str">
            <v>L=20m, 25 deep x 20 wide Hydrocarbon resistant joint sealant</v>
          </cell>
          <cell r="D42" t="str">
            <v>m</v>
          </cell>
          <cell r="E42">
            <v>120</v>
          </cell>
          <cell r="F42">
            <v>5.0727000000000002</v>
          </cell>
          <cell r="G42">
            <v>608.72400000000005</v>
          </cell>
          <cell r="H42">
            <v>105.88</v>
          </cell>
          <cell r="I42">
            <v>2.5362936366666671</v>
          </cell>
          <cell r="J42">
            <v>304.35523640000002</v>
          </cell>
          <cell r="K42">
            <v>0.84545000000000003</v>
          </cell>
          <cell r="L42">
            <v>101.45400000000001</v>
          </cell>
          <cell r="M42">
            <v>0</v>
          </cell>
          <cell r="N42">
            <v>0</v>
          </cell>
          <cell r="O42">
            <v>3.3817436366666671</v>
          </cell>
          <cell r="P42">
            <v>405.80923640000003</v>
          </cell>
          <cell r="Q42">
            <v>8.4544436366666673</v>
          </cell>
          <cell r="R42">
            <v>1014.5332364000001</v>
          </cell>
          <cell r="S42">
            <v>0</v>
          </cell>
        </row>
        <row r="43">
          <cell r="B43" t="str">
            <v>Contraction Joint (for Con'c Paving Light Duty)</v>
          </cell>
          <cell r="C43" t="str">
            <v>L=5m, 20mm deep groove to be cut after casting and filled with Hydrocarbon resistant joint sealant</v>
          </cell>
          <cell r="D43" t="str">
            <v>m</v>
          </cell>
          <cell r="E43">
            <v>260</v>
          </cell>
          <cell r="F43">
            <v>3.3818000000000001</v>
          </cell>
          <cell r="G43">
            <v>879.26800000000003</v>
          </cell>
          <cell r="H43">
            <v>91.76</v>
          </cell>
          <cell r="I43">
            <v>1.0144879723076923</v>
          </cell>
          <cell r="J43">
            <v>263.76687279999999</v>
          </cell>
          <cell r="K43">
            <v>0.67635999999999996</v>
          </cell>
          <cell r="L43">
            <v>175.8536</v>
          </cell>
          <cell r="M43">
            <v>0</v>
          </cell>
          <cell r="N43">
            <v>0</v>
          </cell>
          <cell r="O43">
            <v>1.6908479723076923</v>
          </cell>
          <cell r="P43">
            <v>439.62047280000002</v>
          </cell>
          <cell r="Q43">
            <v>5.072647972307692</v>
          </cell>
          <cell r="R43">
            <v>1318.8884728</v>
          </cell>
          <cell r="S43">
            <v>0</v>
          </cell>
        </row>
        <row r="44">
          <cell r="B44" t="str">
            <v>Wire Fabric. (for Light Duty Con'c paving)</v>
          </cell>
          <cell r="C44" t="str">
            <v xml:space="preserve">φ7-200x200, Cold-drawn finish, ASTM A185 </v>
          </cell>
          <cell r="D44" t="str">
            <v>m2</v>
          </cell>
          <cell r="E44">
            <v>10369</v>
          </cell>
          <cell r="F44">
            <v>0.87926800000000005</v>
          </cell>
          <cell r="G44">
            <v>9117.1298920000008</v>
          </cell>
          <cell r="H44">
            <v>975.91</v>
          </cell>
          <cell r="I44">
            <v>0.27054530458096249</v>
          </cell>
          <cell r="J44">
            <v>2805.2842632000002</v>
          </cell>
          <cell r="K44">
            <v>0.20290799999999998</v>
          </cell>
          <cell r="L44">
            <v>2103.9530519999998</v>
          </cell>
          <cell r="M44">
            <v>0</v>
          </cell>
          <cell r="N44">
            <v>0</v>
          </cell>
          <cell r="O44">
            <v>0.47345330458096246</v>
          </cell>
          <cell r="P44">
            <v>4909.2373152</v>
          </cell>
          <cell r="Q44">
            <v>1.3527213045809625</v>
          </cell>
          <cell r="R44">
            <v>14026.367207200001</v>
          </cell>
          <cell r="S44">
            <v>0</v>
          </cell>
        </row>
        <row r="45">
          <cell r="B45" t="str">
            <v>Joint Filler &amp; Sealant (for concrete paving Light Duty)</v>
          </cell>
          <cell r="C45" t="str">
            <v>20 thick flexible jointing material 25 deep x 20 wide Hydrocarbon resistant joint sealant in top.</v>
          </cell>
          <cell r="D45" t="str">
            <v>m</v>
          </cell>
          <cell r="E45">
            <v>1975</v>
          </cell>
          <cell r="F45">
            <v>5.0727000000000002</v>
          </cell>
          <cell r="G45">
            <v>10018.5825</v>
          </cell>
          <cell r="H45">
            <v>929.41</v>
          </cell>
          <cell r="I45">
            <v>1.3527182876962025</v>
          </cell>
          <cell r="J45">
            <v>2671.6186182000001</v>
          </cell>
          <cell r="K45">
            <v>0.84545000000000003</v>
          </cell>
          <cell r="L45">
            <v>1669.7637500000001</v>
          </cell>
          <cell r="M45">
            <v>0</v>
          </cell>
          <cell r="N45">
            <v>0</v>
          </cell>
          <cell r="O45">
            <v>2.1981682876962028</v>
          </cell>
          <cell r="P45">
            <v>4341.3823682000002</v>
          </cell>
          <cell r="Q45">
            <v>7.270868287696203</v>
          </cell>
          <cell r="R45">
            <v>14359.964868200001</v>
          </cell>
          <cell r="S45">
            <v>0</v>
          </cell>
        </row>
        <row r="46">
          <cell r="B46" t="str">
            <v>Polyethylene membrane</v>
          </cell>
          <cell r="C46" t="str">
            <v>gauge 1000 or equal</v>
          </cell>
          <cell r="D46" t="str">
            <v>m2</v>
          </cell>
          <cell r="E46">
            <v>10397</v>
          </cell>
          <cell r="F46">
            <v>0.55799700000000008</v>
          </cell>
          <cell r="G46">
            <v>5801.4948090000007</v>
          </cell>
          <cell r="H46">
            <v>733.91</v>
          </cell>
          <cell r="I46">
            <v>0.20290930106761565</v>
          </cell>
          <cell r="J46">
            <v>2109.6480031999999</v>
          </cell>
          <cell r="K46">
            <v>8.4545000000000009E-2</v>
          </cell>
          <cell r="L46">
            <v>879.01436500000011</v>
          </cell>
          <cell r="M46">
            <v>0</v>
          </cell>
          <cell r="N46">
            <v>0</v>
          </cell>
          <cell r="O46">
            <v>0.28745430106761566</v>
          </cell>
          <cell r="P46">
            <v>2988.6623681999999</v>
          </cell>
          <cell r="Q46">
            <v>0.84545130106761568</v>
          </cell>
          <cell r="R46">
            <v>8790.1571772000007</v>
          </cell>
          <cell r="S46">
            <v>0</v>
          </cell>
        </row>
        <row r="47">
          <cell r="B47" t="str">
            <v>Hardboard</v>
          </cell>
          <cell r="C47">
            <v>0</v>
          </cell>
          <cell r="D47" t="str">
            <v>m2</v>
          </cell>
          <cell r="E47">
            <v>7844</v>
          </cell>
          <cell r="F47">
            <v>5.0727000000000002</v>
          </cell>
          <cell r="G47">
            <v>39790.258800000003</v>
          </cell>
          <cell r="H47">
            <v>1845.65</v>
          </cell>
          <cell r="I47">
            <v>0.67636129339622642</v>
          </cell>
          <cell r="J47">
            <v>5305.3779854000004</v>
          </cell>
          <cell r="K47">
            <v>0.16908999999999999</v>
          </cell>
          <cell r="L47">
            <v>1326.34196</v>
          </cell>
          <cell r="M47">
            <v>0</v>
          </cell>
          <cell r="N47">
            <v>0</v>
          </cell>
          <cell r="O47">
            <v>0.84545129339622638</v>
          </cell>
          <cell r="P47">
            <v>6631.7199454000001</v>
          </cell>
          <cell r="Q47">
            <v>5.9181512933962264</v>
          </cell>
          <cell r="R47">
            <v>46421.978745400003</v>
          </cell>
          <cell r="S47">
            <v>0</v>
          </cell>
        </row>
        <row r="48">
          <cell r="B48" t="str">
            <v>screed</v>
          </cell>
          <cell r="C48" t="str">
            <v>20mm thick Mortar</v>
          </cell>
          <cell r="D48" t="str">
            <v>m2</v>
          </cell>
          <cell r="E48">
            <v>20795</v>
          </cell>
          <cell r="F48">
            <v>2.1981700000000002</v>
          </cell>
          <cell r="G48">
            <v>45710.945150000007</v>
          </cell>
          <cell r="H48">
            <v>2446.4699999999998</v>
          </cell>
          <cell r="I48">
            <v>0.33818000000000004</v>
          </cell>
          <cell r="J48">
            <v>7032.4531000000006</v>
          </cell>
          <cell r="K48">
            <v>0.16909000000000002</v>
          </cell>
          <cell r="L48">
            <v>3516.2265500000003</v>
          </cell>
          <cell r="M48">
            <v>0</v>
          </cell>
          <cell r="N48">
            <v>0</v>
          </cell>
          <cell r="O48">
            <v>0.50727000000000011</v>
          </cell>
          <cell r="P48">
            <v>10548.679650000002</v>
          </cell>
          <cell r="Q48">
            <v>2.7054400000000003</v>
          </cell>
          <cell r="R48">
            <v>56259.624800000005</v>
          </cell>
          <cell r="S48">
            <v>0</v>
          </cell>
        </row>
        <row r="49">
          <cell r="B49" t="str">
            <v>Fence (New)</v>
          </cell>
          <cell r="C49" t="str">
            <v xml:space="preserve">Hot dip galvanized steelwire and chain link fence fabric may be PVC-coated in acc. With ASTM F 668.
3-strings barbed wire dia. 2.5mm (min.), double stranded with 4 points barbs set 85mm apart, or barbed tape. Steel bracings L50x50x5 min. bolted to posts, </v>
          </cell>
          <cell r="D49" t="str">
            <v>m</v>
          </cell>
          <cell r="E49">
            <v>580</v>
          </cell>
          <cell r="F49">
            <v>42.610680000000002</v>
          </cell>
          <cell r="G49">
            <v>24714.1944</v>
          </cell>
          <cell r="H49">
            <v>3070.59</v>
          </cell>
          <cell r="I49">
            <v>15.218111661379311</v>
          </cell>
          <cell r="J49">
            <v>8826.5047635999999</v>
          </cell>
          <cell r="K49">
            <v>3.0436200000000002</v>
          </cell>
          <cell r="L49">
            <v>1765.2996000000001</v>
          </cell>
          <cell r="M49">
            <v>0</v>
          </cell>
          <cell r="N49">
            <v>0</v>
          </cell>
          <cell r="O49">
            <v>18.261731661379311</v>
          </cell>
          <cell r="P49">
            <v>10591.8043636</v>
          </cell>
          <cell r="Q49">
            <v>60.872411661379317</v>
          </cell>
          <cell r="R49">
            <v>35305.998763600001</v>
          </cell>
          <cell r="S49">
            <v>0</v>
          </cell>
        </row>
      </sheetData>
      <sheetData sheetId="10">
        <row r="8">
          <cell r="B8" t="str">
            <v>Demolition (Paving)</v>
          </cell>
        </row>
      </sheetData>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Set>
  </externalBook>
</externalLink>
</file>

<file path=xl/externalLinks/externalLink9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TABLE1"/>
      <sheetName val="TABLE2-1 ISBL(GENEAL-CIVIL)"/>
      <sheetName val="TABLE2-1 ISBL-(SlTE PREP)"/>
      <sheetName val="TABLE2.1 ISBL (Soil Invest)"/>
      <sheetName val="TABLE2-2 OSBL(GENERAL-CIVIL)"/>
      <sheetName val="TABLE2-2 OSBL-(SITE PREP)"/>
      <sheetName val="TABLE 2-1 ISBL(BLDG)"/>
      <sheetName val="TABLE 2-2 OSBL(BLDG)"/>
      <sheetName val="BOQ(BLD)"/>
      <sheetName val="BUILDING LIST"/>
      <sheetName val="AREA DEFINITION"/>
      <sheetName val="TABLE 3"/>
      <sheetName val="TABLE 4"/>
      <sheetName val="TABLE 5"/>
      <sheetName val="Bdown_ISBL"/>
    </sheetNames>
    <sheetDataSet>
      <sheetData sheetId="0" refreshError="1"/>
      <sheetData sheetId="1">
        <row r="8">
          <cell r="B8" t="str">
            <v>Excavation</v>
          </cell>
        </row>
        <row r="9">
          <cell r="B9" t="str">
            <v>Back Fill</v>
          </cell>
          <cell r="C9" t="str">
            <v>Good soil (by equipment) Compaction shall be 95% of maximum dry density in six inch compacted layers.</v>
          </cell>
          <cell r="D9" t="str">
            <v>m3</v>
          </cell>
          <cell r="E9">
            <v>107293</v>
          </cell>
          <cell r="I9">
            <v>4.2</v>
          </cell>
          <cell r="J9">
            <v>450630.6</v>
          </cell>
          <cell r="K9">
            <v>2.5</v>
          </cell>
          <cell r="L9">
            <v>268232.5</v>
          </cell>
          <cell r="M9">
            <v>1.9000000000000001</v>
          </cell>
          <cell r="N9">
            <v>203856.7</v>
          </cell>
          <cell r="O9">
            <v>8.6</v>
          </cell>
          <cell r="P9">
            <v>922719.8</v>
          </cell>
          <cell r="Q9">
            <v>8.6</v>
          </cell>
          <cell r="R9">
            <v>922719.8</v>
          </cell>
          <cell r="S9" t="str">
            <v xml:space="preserve"> (by equipment)</v>
          </cell>
        </row>
        <row r="10">
          <cell r="B10" t="str">
            <v>Disposal</v>
          </cell>
          <cell r="C10" t="str">
            <v>Good soil</v>
          </cell>
          <cell r="D10" t="str">
            <v>m3</v>
          </cell>
          <cell r="E10">
            <v>56744</v>
          </cell>
          <cell r="I10">
            <v>1.3599999999999999</v>
          </cell>
          <cell r="J10">
            <v>77171.839999999997</v>
          </cell>
          <cell r="K10">
            <v>1.7</v>
          </cell>
          <cell r="L10">
            <v>96464.8</v>
          </cell>
          <cell r="M10">
            <v>0.33999999999999997</v>
          </cell>
          <cell r="N10">
            <v>19292.96</v>
          </cell>
          <cell r="O10">
            <v>3.4</v>
          </cell>
          <cell r="P10">
            <v>192929.6</v>
          </cell>
          <cell r="Q10">
            <v>3.4</v>
          </cell>
          <cell r="R10">
            <v>192929.6</v>
          </cell>
        </row>
        <row r="11">
          <cell r="B11" t="str">
            <v>Concrete</v>
          </cell>
          <cell r="C11" t="str">
            <v>Grade C30 , ASTM C150 (TYPE-V)</v>
          </cell>
          <cell r="D11" t="str">
            <v>m3</v>
          </cell>
          <cell r="E11">
            <v>7590</v>
          </cell>
          <cell r="F11">
            <v>102</v>
          </cell>
          <cell r="G11">
            <v>774180</v>
          </cell>
          <cell r="I11">
            <v>49.5</v>
          </cell>
          <cell r="J11">
            <v>375705</v>
          </cell>
          <cell r="K11">
            <v>38.5</v>
          </cell>
          <cell r="L11">
            <v>292215</v>
          </cell>
          <cell r="M11">
            <v>22</v>
          </cell>
          <cell r="N11">
            <v>166980</v>
          </cell>
          <cell r="O11">
            <v>110</v>
          </cell>
          <cell r="P11">
            <v>834900</v>
          </cell>
          <cell r="Q11">
            <v>212</v>
          </cell>
          <cell r="R11">
            <v>1609080</v>
          </cell>
        </row>
        <row r="12">
          <cell r="B12" t="str">
            <v>Blinding Con'c</v>
          </cell>
          <cell r="C12" t="str">
            <v>Grade C20, Thk.=50mm. (DEP 34.19.20.31-Gen.)</v>
          </cell>
          <cell r="D12" t="str">
            <v>m3</v>
          </cell>
          <cell r="E12">
            <v>494</v>
          </cell>
          <cell r="F12">
            <v>85</v>
          </cell>
          <cell r="G12">
            <v>41990</v>
          </cell>
          <cell r="I12">
            <v>41</v>
          </cell>
          <cell r="J12">
            <v>20254</v>
          </cell>
          <cell r="K12">
            <v>31.5</v>
          </cell>
          <cell r="L12">
            <v>15561</v>
          </cell>
          <cell r="M12">
            <v>17.5</v>
          </cell>
          <cell r="N12">
            <v>8645</v>
          </cell>
          <cell r="O12">
            <v>90</v>
          </cell>
          <cell r="P12">
            <v>44460</v>
          </cell>
          <cell r="Q12">
            <v>175</v>
          </cell>
          <cell r="R12">
            <v>86450</v>
          </cell>
        </row>
        <row r="13">
          <cell r="B13" t="str">
            <v>Form Work</v>
          </cell>
          <cell r="C13" t="str">
            <v>ACI 347</v>
          </cell>
          <cell r="D13" t="str">
            <v>m2</v>
          </cell>
          <cell r="E13">
            <v>25373</v>
          </cell>
          <cell r="F13">
            <v>10</v>
          </cell>
          <cell r="G13">
            <v>253730</v>
          </cell>
          <cell r="I13">
            <v>4.2</v>
          </cell>
          <cell r="J13">
            <v>106566.6</v>
          </cell>
          <cell r="K13">
            <v>3.5</v>
          </cell>
          <cell r="L13">
            <v>88805.5</v>
          </cell>
          <cell r="M13">
            <v>3</v>
          </cell>
          <cell r="N13">
            <v>76119</v>
          </cell>
          <cell r="O13">
            <v>10.7</v>
          </cell>
          <cell r="P13">
            <v>271491.09999999998</v>
          </cell>
          <cell r="Q13">
            <v>20.7</v>
          </cell>
          <cell r="R13">
            <v>525221.1</v>
          </cell>
        </row>
        <row r="14">
          <cell r="B14" t="str">
            <v>Re-Bar</v>
          </cell>
          <cell r="C14" t="str">
            <v xml:space="preserve">ASTM A 615 Grade 60 Type S </v>
          </cell>
          <cell r="D14" t="str">
            <v>Ton</v>
          </cell>
          <cell r="E14">
            <v>620</v>
          </cell>
          <cell r="F14">
            <v>543</v>
          </cell>
          <cell r="G14">
            <v>336660</v>
          </cell>
          <cell r="I14">
            <v>122</v>
          </cell>
          <cell r="J14">
            <v>75640</v>
          </cell>
          <cell r="K14">
            <v>110</v>
          </cell>
          <cell r="L14">
            <v>68200</v>
          </cell>
          <cell r="M14">
            <v>73</v>
          </cell>
          <cell r="N14">
            <v>45260</v>
          </cell>
          <cell r="O14">
            <v>305</v>
          </cell>
          <cell r="P14">
            <v>189100</v>
          </cell>
          <cell r="Q14">
            <v>848</v>
          </cell>
          <cell r="R14">
            <v>525760</v>
          </cell>
        </row>
        <row r="15">
          <cell r="B15" t="str">
            <v>Non-Shrinkage Grout</v>
          </cell>
          <cell r="C15" t="str">
            <v>75 N/mm2, DEP 34.19.20.31-Gen</v>
          </cell>
          <cell r="D15" t="str">
            <v>m3</v>
          </cell>
          <cell r="E15">
            <v>29</v>
          </cell>
          <cell r="F15">
            <v>600</v>
          </cell>
          <cell r="G15">
            <v>17400</v>
          </cell>
          <cell r="I15">
            <v>378</v>
          </cell>
          <cell r="J15">
            <v>10962</v>
          </cell>
          <cell r="K15">
            <v>250</v>
          </cell>
          <cell r="L15">
            <v>7250</v>
          </cell>
          <cell r="M15">
            <v>189</v>
          </cell>
          <cell r="N15">
            <v>5481</v>
          </cell>
          <cell r="O15">
            <v>817</v>
          </cell>
          <cell r="P15">
            <v>23693</v>
          </cell>
          <cell r="Q15">
            <v>1417</v>
          </cell>
          <cell r="R15">
            <v>41093</v>
          </cell>
        </row>
        <row r="16">
          <cell r="B16" t="str">
            <v>Sand/Cement Grout</v>
          </cell>
          <cell r="C16" t="str">
            <v>20 N/mm2,DEP 34.19.20.31-Gen</v>
          </cell>
          <cell r="D16" t="str">
            <v>m3</v>
          </cell>
          <cell r="E16">
            <v>1</v>
          </cell>
          <cell r="F16">
            <v>110</v>
          </cell>
          <cell r="G16">
            <v>110</v>
          </cell>
          <cell r="I16">
            <v>72</v>
          </cell>
          <cell r="J16">
            <v>72</v>
          </cell>
          <cell r="K16">
            <v>56</v>
          </cell>
          <cell r="L16">
            <v>56</v>
          </cell>
          <cell r="M16">
            <v>34</v>
          </cell>
          <cell r="N16">
            <v>34</v>
          </cell>
          <cell r="O16">
            <v>162</v>
          </cell>
          <cell r="P16">
            <v>162</v>
          </cell>
          <cell r="Q16">
            <v>272</v>
          </cell>
          <cell r="R16">
            <v>272</v>
          </cell>
        </row>
        <row r="17">
          <cell r="B17" t="str">
            <v>FDN. Surface Coating (U/G)</v>
          </cell>
          <cell r="C17" t="str">
            <v xml:space="preserve">bitu-coating, 2 times, 0.4kg/m2 </v>
          </cell>
          <cell r="D17" t="str">
            <v>m2</v>
          </cell>
          <cell r="E17">
            <v>14567</v>
          </cell>
          <cell r="F17">
            <v>3.4</v>
          </cell>
          <cell r="G17">
            <v>49527.8</v>
          </cell>
          <cell r="I17">
            <v>2.04</v>
          </cell>
          <cell r="J17">
            <v>29716.68</v>
          </cell>
          <cell r="K17">
            <v>1.02</v>
          </cell>
          <cell r="L17">
            <v>14858.34</v>
          </cell>
          <cell r="M17">
            <v>0.33999999999999997</v>
          </cell>
          <cell r="N17">
            <v>4952.78</v>
          </cell>
          <cell r="O17">
            <v>3.4000000000000004</v>
          </cell>
          <cell r="P17">
            <v>49527.8</v>
          </cell>
          <cell r="Q17">
            <v>6.8000000000000007</v>
          </cell>
          <cell r="R17">
            <v>99055.6</v>
          </cell>
        </row>
        <row r="18">
          <cell r="B18" t="str">
            <v>FDN. Surface Coating (A/G)</v>
          </cell>
          <cell r="C18" t="str">
            <v>bitu-coating, 2 times, 0.4kg/m2, 150mm above ground level</v>
          </cell>
          <cell r="D18" t="str">
            <v>m2</v>
          </cell>
          <cell r="E18">
            <v>977</v>
          </cell>
          <cell r="F18">
            <v>3.4</v>
          </cell>
          <cell r="G18">
            <v>3321.8</v>
          </cell>
          <cell r="I18">
            <v>2.04</v>
          </cell>
          <cell r="J18">
            <v>1993.08</v>
          </cell>
          <cell r="K18">
            <v>1.02</v>
          </cell>
          <cell r="L18">
            <v>996.54</v>
          </cell>
          <cell r="M18">
            <v>0.34</v>
          </cell>
          <cell r="N18">
            <v>332.18</v>
          </cell>
          <cell r="O18">
            <v>3.4000000000000004</v>
          </cell>
          <cell r="P18">
            <v>3321.8</v>
          </cell>
          <cell r="Q18">
            <v>6.8000000000000007</v>
          </cell>
          <cell r="R18">
            <v>6643.6</v>
          </cell>
        </row>
        <row r="19">
          <cell r="B19" t="str">
            <v>Sand Bitumen</v>
          </cell>
          <cell r="C19" t="str">
            <v>50mm sand bitumen mix or oil/sand mix. (DEP 34.18.51.10-Gen. Appendix 3 and 4)</v>
          </cell>
          <cell r="D19" t="str">
            <v>m3</v>
          </cell>
          <cell r="E19">
            <v>3</v>
          </cell>
          <cell r="F19">
            <v>84.5</v>
          </cell>
          <cell r="G19">
            <v>253.5</v>
          </cell>
          <cell r="I19">
            <v>38.5</v>
          </cell>
          <cell r="J19">
            <v>115.5</v>
          </cell>
          <cell r="K19">
            <v>34</v>
          </cell>
          <cell r="L19">
            <v>102</v>
          </cell>
          <cell r="M19">
            <v>13</v>
          </cell>
          <cell r="N19">
            <v>39</v>
          </cell>
          <cell r="O19">
            <v>85.5</v>
          </cell>
          <cell r="P19">
            <v>256.5</v>
          </cell>
          <cell r="Q19">
            <v>170</v>
          </cell>
          <cell r="R19">
            <v>510</v>
          </cell>
        </row>
        <row r="20">
          <cell r="B20" t="str">
            <v>Structural Fill (Sand)</v>
          </cell>
          <cell r="C20" t="str">
            <v>Compaction shall be 95% of maximum dry density in six inch compacted layers.</v>
          </cell>
          <cell r="D20" t="str">
            <v>m3</v>
          </cell>
          <cell r="E20">
            <v>21387</v>
          </cell>
          <cell r="F20">
            <v>3</v>
          </cell>
          <cell r="G20">
            <v>64161</v>
          </cell>
          <cell r="I20">
            <v>3.4000000000000004</v>
          </cell>
          <cell r="J20">
            <v>72715.8</v>
          </cell>
          <cell r="K20">
            <v>3</v>
          </cell>
          <cell r="L20">
            <v>64161</v>
          </cell>
          <cell r="M20">
            <v>1.2000000000000002</v>
          </cell>
          <cell r="N20">
            <v>25664.400000000001</v>
          </cell>
          <cell r="O20">
            <v>7.6000000000000005</v>
          </cell>
          <cell r="P20">
            <v>162541.20000000001</v>
          </cell>
          <cell r="Q20">
            <v>10.600000000000001</v>
          </cell>
          <cell r="R20">
            <v>226702.2</v>
          </cell>
        </row>
        <row r="21">
          <cell r="B21" t="str">
            <v>Structural Fill (Compacted Stone or Gravel)</v>
          </cell>
          <cell r="C21" t="str">
            <v>Compaction shall be 95% of maximum dry density in six inch compacted layers.</v>
          </cell>
          <cell r="D21" t="str">
            <v>m3</v>
          </cell>
          <cell r="E21">
            <v>5</v>
          </cell>
          <cell r="F21">
            <v>27</v>
          </cell>
          <cell r="G21">
            <v>135</v>
          </cell>
          <cell r="I21">
            <v>12</v>
          </cell>
          <cell r="J21">
            <v>60</v>
          </cell>
          <cell r="K21">
            <v>10</v>
          </cell>
          <cell r="L21">
            <v>50</v>
          </cell>
          <cell r="M21">
            <v>2</v>
          </cell>
          <cell r="N21">
            <v>10</v>
          </cell>
          <cell r="O21">
            <v>24</v>
          </cell>
          <cell r="P21">
            <v>120</v>
          </cell>
          <cell r="Q21">
            <v>51</v>
          </cell>
          <cell r="R21">
            <v>255</v>
          </cell>
        </row>
        <row r="22">
          <cell r="B22" t="str">
            <v>Water Stop</v>
          </cell>
          <cell r="C22" t="str">
            <v>PVC, W=150mm</v>
          </cell>
          <cell r="D22" t="str">
            <v>m</v>
          </cell>
          <cell r="E22">
            <v>522</v>
          </cell>
          <cell r="F22">
            <v>8.5</v>
          </cell>
          <cell r="G22">
            <v>4437</v>
          </cell>
          <cell r="I22">
            <v>3.4</v>
          </cell>
          <cell r="J22">
            <v>1774.8</v>
          </cell>
          <cell r="K22">
            <v>3</v>
          </cell>
          <cell r="L22">
            <v>1566</v>
          </cell>
          <cell r="M22">
            <v>2.1</v>
          </cell>
          <cell r="N22">
            <v>1096.2</v>
          </cell>
          <cell r="O22">
            <v>8.5</v>
          </cell>
          <cell r="P22">
            <v>4437</v>
          </cell>
          <cell r="Q22">
            <v>17</v>
          </cell>
          <cell r="R22">
            <v>8874</v>
          </cell>
        </row>
        <row r="23">
          <cell r="B23" t="str">
            <v>Outside Water Proofing (for Pit &amp; Basin)</v>
          </cell>
          <cell r="C23" t="str">
            <v xml:space="preserve">bitu-coating, 2 times, 0.4kg/m2 </v>
          </cell>
          <cell r="D23" t="str">
            <v>m2</v>
          </cell>
          <cell r="E23">
            <v>1215</v>
          </cell>
          <cell r="F23">
            <v>3.4</v>
          </cell>
          <cell r="G23">
            <v>4131</v>
          </cell>
          <cell r="I23">
            <v>2.04</v>
          </cell>
          <cell r="J23">
            <v>2478.6</v>
          </cell>
          <cell r="K23">
            <v>1.02</v>
          </cell>
          <cell r="L23">
            <v>1239.3</v>
          </cell>
          <cell r="M23">
            <v>0.34</v>
          </cell>
          <cell r="N23">
            <v>413.1</v>
          </cell>
          <cell r="O23">
            <v>3.4</v>
          </cell>
          <cell r="P23">
            <v>4131</v>
          </cell>
          <cell r="Q23">
            <v>6.8</v>
          </cell>
          <cell r="R23">
            <v>8262</v>
          </cell>
        </row>
        <row r="24">
          <cell r="B24" t="str">
            <v>Inside Wall Coating (Water Proofing Only)</v>
          </cell>
          <cell r="C24" t="str">
            <v>Liquid water coating</v>
          </cell>
          <cell r="D24" t="str">
            <v>m2</v>
          </cell>
          <cell r="E24">
            <v>1375</v>
          </cell>
          <cell r="F24">
            <v>3.4</v>
          </cell>
          <cell r="G24">
            <v>4675</v>
          </cell>
          <cell r="I24">
            <v>2.04</v>
          </cell>
          <cell r="J24">
            <v>2805</v>
          </cell>
          <cell r="K24">
            <v>1.02</v>
          </cell>
          <cell r="L24">
            <v>1402.5</v>
          </cell>
          <cell r="M24">
            <v>0.34</v>
          </cell>
          <cell r="N24">
            <v>467.5</v>
          </cell>
          <cell r="O24">
            <v>3.4</v>
          </cell>
          <cell r="P24">
            <v>4675</v>
          </cell>
          <cell r="Q24">
            <v>6.8</v>
          </cell>
          <cell r="R24">
            <v>9350</v>
          </cell>
        </row>
        <row r="25">
          <cell r="B25" t="str">
            <v>Drain Pipe (for concrete Tank)</v>
          </cell>
          <cell r="C25" t="str">
            <v>HDPE drain pipe (Φ 75x6.9mm)</v>
          </cell>
          <cell r="D25" t="str">
            <v>m</v>
          </cell>
          <cell r="E25">
            <v>1</v>
          </cell>
          <cell r="F25">
            <v>6</v>
          </cell>
          <cell r="G25">
            <v>6</v>
          </cell>
          <cell r="I25">
            <v>3.6</v>
          </cell>
          <cell r="J25">
            <v>3.6</v>
          </cell>
          <cell r="K25">
            <v>2.8</v>
          </cell>
          <cell r="L25">
            <v>2.8</v>
          </cell>
          <cell r="M25">
            <v>1.2</v>
          </cell>
          <cell r="N25">
            <v>1.2</v>
          </cell>
          <cell r="O25">
            <v>7.6</v>
          </cell>
          <cell r="P25">
            <v>7.6</v>
          </cell>
          <cell r="Q25">
            <v>13.6</v>
          </cell>
          <cell r="R25">
            <v>13.6</v>
          </cell>
        </row>
        <row r="26">
          <cell r="B26" t="str">
            <v>Geotextile membrane</v>
          </cell>
          <cell r="C26" t="str">
            <v>woven/roven type Nicolon No. 66339 or equivalent</v>
          </cell>
          <cell r="D26" t="str">
            <v>m2</v>
          </cell>
          <cell r="E26">
            <v>128</v>
          </cell>
          <cell r="F26">
            <v>3</v>
          </cell>
          <cell r="G26">
            <v>384</v>
          </cell>
          <cell r="I26">
            <v>1.7</v>
          </cell>
          <cell r="J26">
            <v>217.6</v>
          </cell>
          <cell r="K26">
            <v>1.4</v>
          </cell>
          <cell r="L26">
            <v>179.2</v>
          </cell>
          <cell r="M26">
            <v>1.1000000000000001</v>
          </cell>
          <cell r="N26">
            <v>140.80000000000001</v>
          </cell>
          <cell r="O26">
            <v>4.2</v>
          </cell>
          <cell r="P26">
            <v>537.6</v>
          </cell>
          <cell r="Q26">
            <v>7.2</v>
          </cell>
          <cell r="R26">
            <v>921.6</v>
          </cell>
        </row>
        <row r="27">
          <cell r="B27" t="str">
            <v>Drain Pipe (for Tank Foundation) 1</v>
          </cell>
          <cell r="C27" t="str">
            <v>HDPE drain pipe (Φ 125mm)</v>
          </cell>
          <cell r="D27" t="str">
            <v>m</v>
          </cell>
          <cell r="E27">
            <v>14</v>
          </cell>
          <cell r="F27">
            <v>8</v>
          </cell>
          <cell r="G27">
            <v>112</v>
          </cell>
          <cell r="I27">
            <v>3.6</v>
          </cell>
          <cell r="J27">
            <v>50.4</v>
          </cell>
          <cell r="K27">
            <v>2.8000000000000003</v>
          </cell>
          <cell r="L27">
            <v>39.200000000000003</v>
          </cell>
          <cell r="M27">
            <v>1.2</v>
          </cell>
          <cell r="N27">
            <v>16.8</v>
          </cell>
          <cell r="O27">
            <v>7.6000000000000005</v>
          </cell>
          <cell r="P27">
            <v>106.4</v>
          </cell>
          <cell r="Q27">
            <v>15.6</v>
          </cell>
          <cell r="R27">
            <v>218.4</v>
          </cell>
        </row>
        <row r="28">
          <cell r="B28" t="str">
            <v>Drain Pipe (for Tank Foundation) 2</v>
          </cell>
          <cell r="C28" t="str">
            <v>HDPE drain pipe (Φ 25mm)</v>
          </cell>
          <cell r="D28" t="str">
            <v>m</v>
          </cell>
          <cell r="E28">
            <v>14</v>
          </cell>
          <cell r="F28">
            <v>4</v>
          </cell>
          <cell r="G28">
            <v>56</v>
          </cell>
          <cell r="I28">
            <v>3.6</v>
          </cell>
          <cell r="J28">
            <v>50.4</v>
          </cell>
          <cell r="K28">
            <v>2.8000000000000003</v>
          </cell>
          <cell r="L28">
            <v>39.200000000000003</v>
          </cell>
          <cell r="M28">
            <v>1.2</v>
          </cell>
          <cell r="N28">
            <v>16.8</v>
          </cell>
          <cell r="O28">
            <v>7.6000000000000005</v>
          </cell>
          <cell r="P28">
            <v>106.4</v>
          </cell>
          <cell r="Q28">
            <v>11.6</v>
          </cell>
          <cell r="R28">
            <v>162.4</v>
          </cell>
        </row>
        <row r="29">
          <cell r="B29" t="str">
            <v>Manhole Cover</v>
          </cell>
          <cell r="C29" t="str">
            <v>Cast Iron cover, Φ600mm (unpaved area)</v>
          </cell>
          <cell r="D29" t="str">
            <v>ea</v>
          </cell>
          <cell r="E29">
            <v>12</v>
          </cell>
          <cell r="F29">
            <v>96</v>
          </cell>
          <cell r="G29">
            <v>1152</v>
          </cell>
          <cell r="I29">
            <v>48</v>
          </cell>
          <cell r="J29">
            <v>576</v>
          </cell>
          <cell r="K29">
            <v>33</v>
          </cell>
          <cell r="L29">
            <v>396</v>
          </cell>
          <cell r="M29">
            <v>20</v>
          </cell>
          <cell r="N29">
            <v>240</v>
          </cell>
          <cell r="O29">
            <v>101</v>
          </cell>
          <cell r="P29">
            <v>1212</v>
          </cell>
          <cell r="Q29">
            <v>197</v>
          </cell>
          <cell r="R29">
            <v>2364</v>
          </cell>
        </row>
        <row r="30">
          <cell r="B30" t="str">
            <v>Hume Pipe</v>
          </cell>
          <cell r="C30" t="str">
            <v>D=450mm</v>
          </cell>
          <cell r="D30" t="str">
            <v>m</v>
          </cell>
          <cell r="E30">
            <v>1180</v>
          </cell>
          <cell r="F30">
            <v>50</v>
          </cell>
          <cell r="G30">
            <v>59000</v>
          </cell>
          <cell r="I30">
            <v>14.5</v>
          </cell>
          <cell r="J30">
            <v>17110</v>
          </cell>
          <cell r="K30">
            <v>12</v>
          </cell>
          <cell r="L30">
            <v>14160</v>
          </cell>
          <cell r="M30">
            <v>8</v>
          </cell>
          <cell r="N30">
            <v>9440</v>
          </cell>
          <cell r="O30">
            <v>34.5</v>
          </cell>
          <cell r="P30">
            <v>40710</v>
          </cell>
          <cell r="Q30">
            <v>84.5</v>
          </cell>
          <cell r="R30">
            <v>99710</v>
          </cell>
        </row>
        <row r="31">
          <cell r="B31" t="str">
            <v>4" diameter vent pipe</v>
          </cell>
          <cell r="C31" t="str">
            <v>steel pipe</v>
          </cell>
          <cell r="D31" t="str">
            <v>m</v>
          </cell>
          <cell r="E31">
            <v>48</v>
          </cell>
          <cell r="F31">
            <v>16</v>
          </cell>
          <cell r="G31">
            <v>768</v>
          </cell>
          <cell r="I31">
            <v>8.5</v>
          </cell>
          <cell r="J31">
            <v>408</v>
          </cell>
          <cell r="K31">
            <v>4.5</v>
          </cell>
          <cell r="L31">
            <v>216</v>
          </cell>
          <cell r="M31">
            <v>3</v>
          </cell>
          <cell r="N31">
            <v>144</v>
          </cell>
          <cell r="O31">
            <v>16</v>
          </cell>
          <cell r="P31">
            <v>768</v>
          </cell>
          <cell r="Q31">
            <v>32</v>
          </cell>
          <cell r="R31">
            <v>1536</v>
          </cell>
        </row>
        <row r="32">
          <cell r="B32" t="str">
            <v>Warning Tape</v>
          </cell>
          <cell r="C32" t="str">
            <v>P.V.C</v>
          </cell>
          <cell r="D32" t="str">
            <v>m</v>
          </cell>
          <cell r="E32">
            <v>16632</v>
          </cell>
          <cell r="F32">
            <v>1.5</v>
          </cell>
          <cell r="G32">
            <v>24948</v>
          </cell>
          <cell r="I32">
            <v>0.75</v>
          </cell>
          <cell r="J32">
            <v>12474</v>
          </cell>
          <cell r="K32">
            <v>0.4</v>
          </cell>
          <cell r="L32">
            <v>6652.8</v>
          </cell>
          <cell r="M32">
            <v>0.4</v>
          </cell>
          <cell r="N32">
            <v>6652.8</v>
          </cell>
          <cell r="O32">
            <v>1.5499999999999998</v>
          </cell>
          <cell r="P32">
            <v>25779.599999999999</v>
          </cell>
          <cell r="Q32">
            <v>3.05</v>
          </cell>
          <cell r="R32">
            <v>50727.6</v>
          </cell>
        </row>
        <row r="33">
          <cell r="B33" t="str">
            <v>Grating</v>
          </cell>
          <cell r="C33" t="str">
            <v>I-30x3, Galvanized</v>
          </cell>
          <cell r="D33" t="str">
            <v>m2</v>
          </cell>
          <cell r="E33">
            <v>54</v>
          </cell>
          <cell r="F33">
            <v>92</v>
          </cell>
          <cell r="G33">
            <v>4968</v>
          </cell>
          <cell r="I33">
            <v>21</v>
          </cell>
          <cell r="J33">
            <v>1134</v>
          </cell>
          <cell r="K33">
            <v>18</v>
          </cell>
          <cell r="L33">
            <v>972</v>
          </cell>
          <cell r="M33">
            <v>15</v>
          </cell>
          <cell r="N33">
            <v>810</v>
          </cell>
          <cell r="O33">
            <v>54</v>
          </cell>
          <cell r="P33">
            <v>2916</v>
          </cell>
          <cell r="Q33">
            <v>146</v>
          </cell>
          <cell r="R33">
            <v>7884</v>
          </cell>
        </row>
        <row r="34">
          <cell r="B34" t="str">
            <v>Checkered Plate</v>
          </cell>
          <cell r="C34" t="str">
            <v>Thk.=6mm, Galvanized</v>
          </cell>
          <cell r="D34" t="str">
            <v>m2</v>
          </cell>
          <cell r="E34">
            <v>121</v>
          </cell>
          <cell r="F34">
            <v>45</v>
          </cell>
          <cell r="G34">
            <v>5445</v>
          </cell>
          <cell r="I34">
            <v>24</v>
          </cell>
          <cell r="J34">
            <v>2904</v>
          </cell>
          <cell r="K34">
            <v>16</v>
          </cell>
          <cell r="L34">
            <v>1936</v>
          </cell>
          <cell r="M34">
            <v>14</v>
          </cell>
          <cell r="N34">
            <v>1694</v>
          </cell>
          <cell r="O34">
            <v>54</v>
          </cell>
          <cell r="P34">
            <v>6534</v>
          </cell>
          <cell r="Q34">
            <v>99</v>
          </cell>
          <cell r="R34">
            <v>11979</v>
          </cell>
        </row>
        <row r="35">
          <cell r="B35" t="str">
            <v>Step Iron</v>
          </cell>
          <cell r="C35" t="str">
            <v>ASTM A36, Round Bar Φ20x1200L, Hot dip galvanized</v>
          </cell>
          <cell r="D35" t="str">
            <v>ea</v>
          </cell>
          <cell r="E35">
            <v>704</v>
          </cell>
          <cell r="F35">
            <v>3.6</v>
          </cell>
          <cell r="G35">
            <v>2534.4</v>
          </cell>
          <cell r="I35">
            <v>2</v>
          </cell>
          <cell r="J35">
            <v>1408</v>
          </cell>
          <cell r="K35">
            <v>1.5</v>
          </cell>
          <cell r="L35">
            <v>1056</v>
          </cell>
          <cell r="M35">
            <v>1.2</v>
          </cell>
          <cell r="N35">
            <v>844.8</v>
          </cell>
          <cell r="O35">
            <v>4.7</v>
          </cell>
          <cell r="P35">
            <v>3308.8</v>
          </cell>
          <cell r="Q35">
            <v>8.2999999999999989</v>
          </cell>
          <cell r="R35">
            <v>5843.2</v>
          </cell>
        </row>
        <row r="36">
          <cell r="B36" t="str">
            <v>Misc. Steel</v>
          </cell>
          <cell r="C36" t="str">
            <v>ASTM A36 or equivalent</v>
          </cell>
          <cell r="D36" t="str">
            <v>Ton</v>
          </cell>
          <cell r="E36">
            <v>5</v>
          </cell>
          <cell r="F36">
            <v>820</v>
          </cell>
          <cell r="G36">
            <v>4100</v>
          </cell>
          <cell r="I36">
            <v>425</v>
          </cell>
          <cell r="J36">
            <v>2125</v>
          </cell>
          <cell r="K36">
            <v>370</v>
          </cell>
          <cell r="L36">
            <v>1850</v>
          </cell>
          <cell r="M36">
            <v>250</v>
          </cell>
          <cell r="N36">
            <v>1250</v>
          </cell>
          <cell r="O36">
            <v>1045</v>
          </cell>
          <cell r="P36">
            <v>5225</v>
          </cell>
          <cell r="Q36">
            <v>1865</v>
          </cell>
          <cell r="R36">
            <v>9325</v>
          </cell>
        </row>
        <row r="37">
          <cell r="B37" t="str">
            <v>Anchor Bolt (M24)</v>
          </cell>
          <cell r="C37" t="str">
            <v>ASTM A36 or equivalent (Refer DEP S28.020), Install only</v>
          </cell>
          <cell r="D37" t="str">
            <v>ea</v>
          </cell>
          <cell r="E37">
            <v>38</v>
          </cell>
          <cell r="G37">
            <v>0</v>
          </cell>
          <cell r="I37">
            <v>6</v>
          </cell>
          <cell r="J37">
            <v>228</v>
          </cell>
          <cell r="K37">
            <v>5</v>
          </cell>
          <cell r="L37">
            <v>190</v>
          </cell>
          <cell r="M37">
            <v>3</v>
          </cell>
          <cell r="N37">
            <v>114</v>
          </cell>
          <cell r="O37">
            <v>14</v>
          </cell>
          <cell r="P37">
            <v>532</v>
          </cell>
          <cell r="Q37">
            <v>14</v>
          </cell>
          <cell r="R37">
            <v>532</v>
          </cell>
        </row>
        <row r="38">
          <cell r="B38" t="str">
            <v>Anchor Bolt (M36)</v>
          </cell>
          <cell r="C38" t="str">
            <v>ASTM A36 or equivalent (Refer DEP S28.020), Install only</v>
          </cell>
          <cell r="D38" t="str">
            <v>ea</v>
          </cell>
          <cell r="E38">
            <v>1238</v>
          </cell>
          <cell r="G38">
            <v>0</v>
          </cell>
          <cell r="I38">
            <v>7</v>
          </cell>
          <cell r="J38">
            <v>8666</v>
          </cell>
          <cell r="K38">
            <v>6</v>
          </cell>
          <cell r="L38">
            <v>7428</v>
          </cell>
          <cell r="M38">
            <v>3.5</v>
          </cell>
          <cell r="N38">
            <v>4333</v>
          </cell>
          <cell r="O38">
            <v>16.5</v>
          </cell>
          <cell r="P38">
            <v>20427</v>
          </cell>
          <cell r="Q38">
            <v>16.5</v>
          </cell>
          <cell r="R38">
            <v>20427</v>
          </cell>
        </row>
        <row r="39">
          <cell r="B39" t="str">
            <v>Anchor Bolt (M42)</v>
          </cell>
          <cell r="C39" t="str">
            <v>ASTM A36 or equivalent (Refer DEP S28.020), Install only</v>
          </cell>
          <cell r="D39" t="str">
            <v>ea</v>
          </cell>
          <cell r="E39">
            <v>461</v>
          </cell>
          <cell r="G39">
            <v>0</v>
          </cell>
          <cell r="I39">
            <v>7</v>
          </cell>
          <cell r="J39">
            <v>3227</v>
          </cell>
          <cell r="K39">
            <v>6</v>
          </cell>
          <cell r="L39">
            <v>2766</v>
          </cell>
          <cell r="M39">
            <v>3.5</v>
          </cell>
          <cell r="N39">
            <v>1613.5</v>
          </cell>
          <cell r="O39">
            <v>16.5</v>
          </cell>
          <cell r="P39">
            <v>7606.5</v>
          </cell>
          <cell r="Q39">
            <v>16.5</v>
          </cell>
          <cell r="R39">
            <v>7606.5</v>
          </cell>
        </row>
        <row r="40">
          <cell r="B40" t="str">
            <v>uPVC Pipe (for Cable Duct, Electric or Instrument)</v>
          </cell>
          <cell r="C40" t="str">
            <v>D=150mm, PVC Pipe</v>
          </cell>
          <cell r="D40" t="str">
            <v>m</v>
          </cell>
          <cell r="E40">
            <v>2573</v>
          </cell>
          <cell r="F40">
            <v>7</v>
          </cell>
          <cell r="G40">
            <v>18011</v>
          </cell>
          <cell r="I40">
            <v>3.5999999999999996</v>
          </cell>
          <cell r="J40">
            <v>9262.7999999999993</v>
          </cell>
          <cell r="K40">
            <v>2.5</v>
          </cell>
          <cell r="L40">
            <v>6432.5</v>
          </cell>
          <cell r="M40">
            <v>1.1000000000000001</v>
          </cell>
          <cell r="N40">
            <v>2830.3</v>
          </cell>
          <cell r="O40">
            <v>7.1999999999999993</v>
          </cell>
          <cell r="P40">
            <v>18525.599999999999</v>
          </cell>
          <cell r="Q40">
            <v>14.2</v>
          </cell>
          <cell r="R40">
            <v>36536.6</v>
          </cell>
        </row>
        <row r="41">
          <cell r="B41" t="str">
            <v>Electric Con'c Trench Cover (Red Coloring on the Top Surface)</v>
          </cell>
          <cell r="C41" t="str">
            <v>Thk.=50mm, grade C-30 (for Light duty paved area)</v>
          </cell>
          <cell r="D41" t="str">
            <v>m3</v>
          </cell>
          <cell r="E41">
            <v>506</v>
          </cell>
          <cell r="F41">
            <v>120</v>
          </cell>
          <cell r="G41">
            <v>60720</v>
          </cell>
          <cell r="I41">
            <v>64</v>
          </cell>
          <cell r="J41">
            <v>32384</v>
          </cell>
          <cell r="K41">
            <v>57</v>
          </cell>
          <cell r="L41">
            <v>28842</v>
          </cell>
          <cell r="M41">
            <v>41</v>
          </cell>
          <cell r="N41">
            <v>20746</v>
          </cell>
          <cell r="O41">
            <v>162</v>
          </cell>
          <cell r="P41">
            <v>81972</v>
          </cell>
          <cell r="Q41">
            <v>282</v>
          </cell>
          <cell r="R41">
            <v>142692</v>
          </cell>
        </row>
        <row r="42">
          <cell r="B42" t="str">
            <v>Protection Concrete</v>
          </cell>
          <cell r="C42" t="str">
            <v>300x300x60 Concrete</v>
          </cell>
          <cell r="D42" t="str">
            <v>m2</v>
          </cell>
          <cell r="E42">
            <v>12270</v>
          </cell>
          <cell r="F42">
            <v>5</v>
          </cell>
          <cell r="G42">
            <v>61350</v>
          </cell>
          <cell r="I42">
            <v>2.7</v>
          </cell>
          <cell r="J42">
            <v>33129</v>
          </cell>
          <cell r="K42">
            <v>1.5</v>
          </cell>
          <cell r="L42">
            <v>18405</v>
          </cell>
          <cell r="M42">
            <v>1.2</v>
          </cell>
          <cell r="N42">
            <v>14724</v>
          </cell>
          <cell r="O42">
            <v>5.4</v>
          </cell>
          <cell r="P42">
            <v>66258</v>
          </cell>
          <cell r="Q42">
            <v>10.4</v>
          </cell>
          <cell r="R42">
            <v>127608</v>
          </cell>
        </row>
        <row r="43">
          <cell r="B43" t="str">
            <v>Protection Barrier</v>
          </cell>
          <cell r="C43" t="str">
            <v>Heigth 700mm, 4" Line pipe schedule 80.
DEP 80.47.10.31-GEN. (including foundation)</v>
          </cell>
          <cell r="D43" t="str">
            <v>ea</v>
          </cell>
          <cell r="E43">
            <v>110</v>
          </cell>
          <cell r="F43">
            <v>45</v>
          </cell>
          <cell r="G43">
            <v>4950</v>
          </cell>
          <cell r="I43">
            <v>27.5</v>
          </cell>
          <cell r="J43">
            <v>3025</v>
          </cell>
          <cell r="K43">
            <v>14</v>
          </cell>
          <cell r="L43">
            <v>1540</v>
          </cell>
          <cell r="M43">
            <v>9</v>
          </cell>
          <cell r="N43">
            <v>990</v>
          </cell>
          <cell r="O43">
            <v>50.5</v>
          </cell>
          <cell r="P43">
            <v>5555</v>
          </cell>
          <cell r="Q43">
            <v>95.5</v>
          </cell>
          <cell r="R43">
            <v>10505</v>
          </cell>
        </row>
        <row r="44">
          <cell r="B44" t="str">
            <v xml:space="preserve">HDPE membrane </v>
          </cell>
          <cell r="C44" t="str">
            <v>Thk.=2mm, shall be made with a 150mm overlap</v>
          </cell>
          <cell r="D44" t="str">
            <v>m2</v>
          </cell>
          <cell r="E44">
            <v>128</v>
          </cell>
          <cell r="F44">
            <v>7</v>
          </cell>
          <cell r="G44">
            <v>896</v>
          </cell>
          <cell r="I44">
            <v>2.7</v>
          </cell>
          <cell r="J44">
            <v>345.6</v>
          </cell>
          <cell r="K44">
            <v>1.5</v>
          </cell>
          <cell r="L44">
            <v>192</v>
          </cell>
          <cell r="M44">
            <v>1</v>
          </cell>
          <cell r="N44">
            <v>128</v>
          </cell>
          <cell r="O44">
            <v>5.2</v>
          </cell>
          <cell r="P44">
            <v>665.6</v>
          </cell>
          <cell r="Q44">
            <v>12.2</v>
          </cell>
          <cell r="R44">
            <v>1561.6</v>
          </cell>
        </row>
        <row r="45">
          <cell r="B45" t="str">
            <v>Wearing Course (Asphalt Road)</v>
          </cell>
          <cell r="C45" t="str">
            <v>Thk.=50mm</v>
          </cell>
          <cell r="D45" t="str">
            <v>m3</v>
          </cell>
          <cell r="E45">
            <v>950</v>
          </cell>
          <cell r="F45">
            <v>70</v>
          </cell>
          <cell r="G45">
            <v>66500</v>
          </cell>
          <cell r="I45">
            <v>32</v>
          </cell>
          <cell r="J45">
            <v>30400</v>
          </cell>
          <cell r="K45">
            <v>49</v>
          </cell>
          <cell r="L45">
            <v>46550</v>
          </cell>
          <cell r="M45">
            <v>15</v>
          </cell>
          <cell r="N45">
            <v>14250</v>
          </cell>
          <cell r="O45">
            <v>96</v>
          </cell>
          <cell r="P45">
            <v>91200</v>
          </cell>
          <cell r="Q45">
            <v>166</v>
          </cell>
          <cell r="R45">
            <v>157700</v>
          </cell>
        </row>
        <row r="46">
          <cell r="B46" t="str">
            <v>Prime Coat/Tack Coat</v>
          </cell>
          <cell r="C46" t="str">
            <v>Emulsified Asphalt</v>
          </cell>
          <cell r="D46" t="str">
            <v>m2</v>
          </cell>
          <cell r="E46">
            <v>19200</v>
          </cell>
          <cell r="F46">
            <v>0.35</v>
          </cell>
          <cell r="G46">
            <v>6720</v>
          </cell>
          <cell r="I46">
            <v>0.25</v>
          </cell>
          <cell r="J46">
            <v>4800</v>
          </cell>
          <cell r="K46">
            <v>0.15</v>
          </cell>
          <cell r="L46">
            <v>2880</v>
          </cell>
          <cell r="M46">
            <v>0.1</v>
          </cell>
          <cell r="N46">
            <v>1920</v>
          </cell>
          <cell r="O46">
            <v>0.5</v>
          </cell>
          <cell r="P46">
            <v>9600</v>
          </cell>
          <cell r="Q46">
            <v>0.85</v>
          </cell>
          <cell r="R46">
            <v>16320</v>
          </cell>
        </row>
        <row r="47">
          <cell r="B47" t="str">
            <v>Base Course (Asphalt Road)</v>
          </cell>
          <cell r="C47" t="str">
            <v>Thk.=250mm  (Using gatch)</v>
          </cell>
          <cell r="D47" t="str">
            <v>m3</v>
          </cell>
          <cell r="E47">
            <v>4800</v>
          </cell>
          <cell r="F47">
            <v>4</v>
          </cell>
          <cell r="G47">
            <v>19200</v>
          </cell>
          <cell r="I47">
            <v>2.75</v>
          </cell>
          <cell r="J47">
            <v>13200</v>
          </cell>
          <cell r="K47">
            <v>2.4</v>
          </cell>
          <cell r="L47">
            <v>11520</v>
          </cell>
          <cell r="M47">
            <v>1</v>
          </cell>
          <cell r="N47">
            <v>4800</v>
          </cell>
          <cell r="O47">
            <v>6.15</v>
          </cell>
          <cell r="P47">
            <v>29520</v>
          </cell>
          <cell r="Q47">
            <v>10.15</v>
          </cell>
          <cell r="R47">
            <v>48720</v>
          </cell>
          <cell r="S47" t="str">
            <v>(Using gatch)</v>
          </cell>
        </row>
        <row r="48">
          <cell r="B48" t="str">
            <v>Sub-Base Course (Asphalt Road)</v>
          </cell>
          <cell r="C48" t="str">
            <v>Thk.=250mm  (Using gatch)</v>
          </cell>
          <cell r="D48" t="str">
            <v>m3</v>
          </cell>
          <cell r="E48">
            <v>4853</v>
          </cell>
          <cell r="F48">
            <v>4</v>
          </cell>
          <cell r="G48">
            <v>19412</v>
          </cell>
          <cell r="I48">
            <v>2.75</v>
          </cell>
          <cell r="J48">
            <v>13345.75</v>
          </cell>
          <cell r="K48">
            <v>2.4000000000000004</v>
          </cell>
          <cell r="L48">
            <v>11647.2</v>
          </cell>
          <cell r="M48">
            <v>1</v>
          </cell>
          <cell r="N48">
            <v>4853</v>
          </cell>
          <cell r="O48">
            <v>6.15</v>
          </cell>
          <cell r="P48">
            <v>29845.95</v>
          </cell>
          <cell r="Q48">
            <v>10.149999999999999</v>
          </cell>
          <cell r="R48">
            <v>49257.95</v>
          </cell>
          <cell r="S48" t="str">
            <v>(Using gatch)</v>
          </cell>
        </row>
        <row r="49">
          <cell r="B49" t="str">
            <v>Shoulder (Gravel)</v>
          </cell>
          <cell r="C49" t="str">
            <v>Thk.=50mm</v>
          </cell>
          <cell r="D49" t="str">
            <v>m2</v>
          </cell>
          <cell r="E49">
            <v>4682</v>
          </cell>
          <cell r="F49">
            <v>1.6</v>
          </cell>
          <cell r="G49">
            <v>7491.2</v>
          </cell>
          <cell r="I49">
            <v>0.9</v>
          </cell>
          <cell r="J49">
            <v>4213.8</v>
          </cell>
          <cell r="K49">
            <v>0.70000000000000007</v>
          </cell>
          <cell r="L49">
            <v>3277.4</v>
          </cell>
          <cell r="M49">
            <v>0.5</v>
          </cell>
          <cell r="N49">
            <v>2341</v>
          </cell>
          <cell r="O49">
            <v>2.1</v>
          </cell>
          <cell r="P49">
            <v>9832.2000000000007</v>
          </cell>
          <cell r="Q49">
            <v>3.7</v>
          </cell>
          <cell r="R49">
            <v>17323.400000000001</v>
          </cell>
        </row>
        <row r="50">
          <cell r="B50" t="str">
            <v>Traffic Aids</v>
          </cell>
          <cell r="C50" t="str">
            <v>(Sign Board 600mm Dia)</v>
          </cell>
          <cell r="D50" t="str">
            <v>ea</v>
          </cell>
          <cell r="E50">
            <v>84</v>
          </cell>
          <cell r="F50">
            <v>105</v>
          </cell>
          <cell r="G50">
            <v>8820</v>
          </cell>
          <cell r="I50">
            <v>60</v>
          </cell>
          <cell r="J50">
            <v>5040</v>
          </cell>
          <cell r="K50">
            <v>30</v>
          </cell>
          <cell r="L50">
            <v>2520</v>
          </cell>
          <cell r="M50">
            <v>10</v>
          </cell>
          <cell r="N50">
            <v>840</v>
          </cell>
          <cell r="O50">
            <v>100</v>
          </cell>
          <cell r="P50">
            <v>8400</v>
          </cell>
          <cell r="Q50">
            <v>205</v>
          </cell>
          <cell r="R50">
            <v>17220</v>
          </cell>
          <cell r="S50" t="str">
            <v>(Sign Board 600mm Dia)</v>
          </cell>
        </row>
        <row r="51">
          <cell r="B51" t="str">
            <v>Line Marking</v>
          </cell>
          <cell r="C51" t="str">
            <v>100 mm width</v>
          </cell>
          <cell r="D51" t="str">
            <v>m</v>
          </cell>
          <cell r="E51">
            <v>2352</v>
          </cell>
          <cell r="F51">
            <v>3</v>
          </cell>
          <cell r="G51">
            <v>7056</v>
          </cell>
          <cell r="I51">
            <v>2</v>
          </cell>
          <cell r="J51">
            <v>4704</v>
          </cell>
          <cell r="K51">
            <v>1.2</v>
          </cell>
          <cell r="L51">
            <v>2822.4</v>
          </cell>
          <cell r="M51">
            <v>1</v>
          </cell>
          <cell r="N51">
            <v>2352</v>
          </cell>
          <cell r="O51">
            <v>4.2</v>
          </cell>
          <cell r="P51">
            <v>9878.4</v>
          </cell>
          <cell r="Q51">
            <v>7.2</v>
          </cell>
          <cell r="R51">
            <v>16934.400000000001</v>
          </cell>
          <cell r="S51" t="str">
            <v>100 mm width</v>
          </cell>
        </row>
        <row r="52">
          <cell r="B52" t="str">
            <v>Crash Barrier</v>
          </cell>
          <cell r="C52" t="str">
            <v>Heigth 700mm, 4" Line pipe schedule 80.
DEP 80.47.10.31-GEN. (including foundation)</v>
          </cell>
          <cell r="D52" t="str">
            <v>m</v>
          </cell>
          <cell r="E52">
            <v>2694</v>
          </cell>
          <cell r="F52">
            <v>45</v>
          </cell>
          <cell r="G52">
            <v>121230</v>
          </cell>
          <cell r="I52">
            <v>26</v>
          </cell>
          <cell r="J52">
            <v>70044</v>
          </cell>
          <cell r="K52">
            <v>15</v>
          </cell>
          <cell r="L52">
            <v>40410</v>
          </cell>
          <cell r="M52">
            <v>12</v>
          </cell>
          <cell r="N52">
            <v>32328</v>
          </cell>
          <cell r="O52">
            <v>53</v>
          </cell>
          <cell r="P52">
            <v>142782</v>
          </cell>
          <cell r="Q52">
            <v>98</v>
          </cell>
          <cell r="R52">
            <v>264012</v>
          </cell>
        </row>
        <row r="53">
          <cell r="B53" t="str">
            <v>Concrete Paving (for Light Duty)</v>
          </cell>
          <cell r="C53" t="str">
            <v>Thk.=100mm, grade C-30</v>
          </cell>
          <cell r="D53" t="str">
            <v>m3</v>
          </cell>
          <cell r="E53">
            <v>1280</v>
          </cell>
          <cell r="F53">
            <v>110</v>
          </cell>
          <cell r="G53">
            <v>140800</v>
          </cell>
          <cell r="I53">
            <v>64</v>
          </cell>
          <cell r="J53">
            <v>81920</v>
          </cell>
          <cell r="K53">
            <v>57</v>
          </cell>
          <cell r="L53">
            <v>72960</v>
          </cell>
          <cell r="M53">
            <v>41</v>
          </cell>
          <cell r="N53">
            <v>52480</v>
          </cell>
          <cell r="O53">
            <v>162</v>
          </cell>
          <cell r="P53">
            <v>207360</v>
          </cell>
          <cell r="Q53">
            <v>272</v>
          </cell>
          <cell r="R53">
            <v>348160</v>
          </cell>
        </row>
        <row r="54">
          <cell r="B54" t="str">
            <v>Concrete Paving (for Heavy Duty)</v>
          </cell>
          <cell r="C54" t="str">
            <v>Thk.=150mm, grade C-30</v>
          </cell>
          <cell r="D54" t="str">
            <v>m3</v>
          </cell>
          <cell r="E54">
            <v>246</v>
          </cell>
          <cell r="F54">
            <v>110</v>
          </cell>
          <cell r="G54">
            <v>27060</v>
          </cell>
          <cell r="I54">
            <v>64</v>
          </cell>
          <cell r="J54">
            <v>15744</v>
          </cell>
          <cell r="K54">
            <v>57</v>
          </cell>
          <cell r="L54">
            <v>14022</v>
          </cell>
          <cell r="M54">
            <v>41</v>
          </cell>
          <cell r="N54">
            <v>10086</v>
          </cell>
          <cell r="O54">
            <v>162</v>
          </cell>
          <cell r="P54">
            <v>39852</v>
          </cell>
          <cell r="Q54">
            <v>272</v>
          </cell>
          <cell r="R54">
            <v>66912</v>
          </cell>
        </row>
        <row r="55">
          <cell r="B55" t="str">
            <v>Kerb</v>
          </cell>
          <cell r="C55" t="str">
            <v>100mm Thick, 150mm heigth lean concrete, grade
C-15</v>
          </cell>
          <cell r="D55" t="str">
            <v>m</v>
          </cell>
          <cell r="E55">
            <v>53</v>
          </cell>
          <cell r="F55">
            <v>8</v>
          </cell>
          <cell r="G55">
            <v>424</v>
          </cell>
          <cell r="I55">
            <v>3.8000000000000003</v>
          </cell>
          <cell r="J55">
            <v>201.4</v>
          </cell>
          <cell r="K55">
            <v>2.1</v>
          </cell>
          <cell r="L55">
            <v>111.3</v>
          </cell>
          <cell r="M55">
            <v>1.75</v>
          </cell>
          <cell r="N55">
            <v>92.75</v>
          </cell>
          <cell r="O55">
            <v>7.6499999999999995</v>
          </cell>
          <cell r="P55">
            <v>405.45</v>
          </cell>
          <cell r="Q55">
            <v>15.65</v>
          </cell>
          <cell r="R55">
            <v>829.45</v>
          </cell>
        </row>
        <row r="56">
          <cell r="B56" t="str">
            <v>Expansion Joint (for Con'c Paving Light Duty)</v>
          </cell>
          <cell r="C56" t="str">
            <v>L=20m, 25 deep x 20 wide Hydrocarbon resistant joint sealant</v>
          </cell>
          <cell r="D56" t="str">
            <v>m</v>
          </cell>
          <cell r="E56">
            <v>6212</v>
          </cell>
          <cell r="F56">
            <v>5</v>
          </cell>
          <cell r="G56">
            <v>31060</v>
          </cell>
          <cell r="I56">
            <v>2.3000000000000003</v>
          </cell>
          <cell r="J56">
            <v>14287.6</v>
          </cell>
          <cell r="K56">
            <v>1.3</v>
          </cell>
          <cell r="L56">
            <v>8075.6</v>
          </cell>
          <cell r="M56">
            <v>1.5</v>
          </cell>
          <cell r="N56">
            <v>9318</v>
          </cell>
          <cell r="O56">
            <v>5.1000000000000005</v>
          </cell>
          <cell r="P56">
            <v>31681.200000000001</v>
          </cell>
          <cell r="Q56">
            <v>10.1</v>
          </cell>
          <cell r="R56">
            <v>62741.2</v>
          </cell>
        </row>
        <row r="57">
          <cell r="B57" t="str">
            <v>Contraction Joint (for Con'c Paving Light Duty)</v>
          </cell>
          <cell r="C57" t="str">
            <v>L=5m, 20mm deep groove to be cut after casting and filled with Hydrocarbon resistant joint sealant</v>
          </cell>
          <cell r="D57" t="str">
            <v>m</v>
          </cell>
          <cell r="E57">
            <v>18637</v>
          </cell>
          <cell r="F57">
            <v>3.2</v>
          </cell>
          <cell r="G57">
            <v>59638.400000000001</v>
          </cell>
          <cell r="I57">
            <v>1.5</v>
          </cell>
          <cell r="J57">
            <v>27955.5</v>
          </cell>
          <cell r="K57">
            <v>1.0499999999999998</v>
          </cell>
          <cell r="L57">
            <v>19568.849999999999</v>
          </cell>
          <cell r="M57">
            <v>1.2000000000000002</v>
          </cell>
          <cell r="N57">
            <v>22364.400000000001</v>
          </cell>
          <cell r="O57">
            <v>3.75</v>
          </cell>
          <cell r="P57">
            <v>69888.75</v>
          </cell>
          <cell r="Q57">
            <v>6.9499999999999993</v>
          </cell>
          <cell r="R57">
            <v>129527.15</v>
          </cell>
        </row>
        <row r="58">
          <cell r="B58" t="str">
            <v>Expansion Joint (for Con'c Paving Heavy Duty)</v>
          </cell>
          <cell r="C58" t="str">
            <v>L=20m, 25 deep x 20 wide Oil resistant joint sealant</v>
          </cell>
          <cell r="D58" t="str">
            <v>m</v>
          </cell>
          <cell r="E58">
            <v>86</v>
          </cell>
          <cell r="F58">
            <v>5</v>
          </cell>
          <cell r="G58">
            <v>430</v>
          </cell>
          <cell r="I58">
            <v>2.3000000000000003</v>
          </cell>
          <cell r="J58">
            <v>197.8</v>
          </cell>
          <cell r="K58">
            <v>1.3</v>
          </cell>
          <cell r="L58">
            <v>111.8</v>
          </cell>
          <cell r="M58">
            <v>1.5</v>
          </cell>
          <cell r="N58">
            <v>129</v>
          </cell>
          <cell r="O58">
            <v>5.1000000000000005</v>
          </cell>
          <cell r="P58">
            <v>438.6</v>
          </cell>
          <cell r="Q58">
            <v>10.1</v>
          </cell>
          <cell r="R58">
            <v>868.6</v>
          </cell>
        </row>
        <row r="59">
          <cell r="B59" t="str">
            <v>Contraction Joint (for Con'c Paving Heavy Duty)</v>
          </cell>
          <cell r="C59" t="str">
            <v>L=5m, 20mm deep groove to be cut after casting and filled with Hydrocarbon resistant joint sealant</v>
          </cell>
          <cell r="D59" t="str">
            <v>m</v>
          </cell>
          <cell r="E59">
            <v>679</v>
          </cell>
          <cell r="F59">
            <v>3.2</v>
          </cell>
          <cell r="G59">
            <v>2172.8000000000002</v>
          </cell>
          <cell r="I59">
            <v>1.5</v>
          </cell>
          <cell r="J59">
            <v>1018.5</v>
          </cell>
          <cell r="K59">
            <v>1.05</v>
          </cell>
          <cell r="L59">
            <v>712.95</v>
          </cell>
          <cell r="M59">
            <v>1.2</v>
          </cell>
          <cell r="N59">
            <v>814.8</v>
          </cell>
          <cell r="O59">
            <v>3.75</v>
          </cell>
          <cell r="P59">
            <v>2546.25</v>
          </cell>
          <cell r="Q59">
            <v>6.95</v>
          </cell>
          <cell r="R59">
            <v>4719.05</v>
          </cell>
        </row>
        <row r="60">
          <cell r="B60" t="str">
            <v>Wire Fabric. (for Light Duty Con'c paving)</v>
          </cell>
          <cell r="C60" t="str">
            <v xml:space="preserve">φ7-200x200, Cold-drawn finish, ASTM A185 </v>
          </cell>
          <cell r="D60" t="str">
            <v>m2</v>
          </cell>
          <cell r="E60">
            <v>21271</v>
          </cell>
          <cell r="F60">
            <v>1.8</v>
          </cell>
          <cell r="G60">
            <v>38287.800000000003</v>
          </cell>
          <cell r="I60">
            <v>0.79999999999999993</v>
          </cell>
          <cell r="J60">
            <v>17016.8</v>
          </cell>
          <cell r="K60">
            <v>0.70000000000000007</v>
          </cell>
          <cell r="L60">
            <v>14889.7</v>
          </cell>
          <cell r="M60">
            <v>0.45</v>
          </cell>
          <cell r="N60">
            <v>9571.9500000000007</v>
          </cell>
          <cell r="O60">
            <v>1.95</v>
          </cell>
          <cell r="P60">
            <v>41478.449999999997</v>
          </cell>
          <cell r="Q60">
            <v>3.75</v>
          </cell>
          <cell r="R60">
            <v>79766.25</v>
          </cell>
        </row>
        <row r="61">
          <cell r="B61" t="str">
            <v>Wire Fabric. (for Heavy Duty Con'c paving)</v>
          </cell>
          <cell r="C61" t="str">
            <v>φ7-200x200-double line, Cold-drawn finish</v>
          </cell>
          <cell r="D61" t="str">
            <v>m2</v>
          </cell>
          <cell r="E61">
            <v>3283</v>
          </cell>
          <cell r="F61">
            <v>1.8</v>
          </cell>
          <cell r="G61">
            <v>5909.4</v>
          </cell>
          <cell r="I61">
            <v>0.8</v>
          </cell>
          <cell r="J61">
            <v>2626.4</v>
          </cell>
          <cell r="K61">
            <v>0.7</v>
          </cell>
          <cell r="L61">
            <v>2298.1</v>
          </cell>
          <cell r="M61">
            <v>0.44999999999999996</v>
          </cell>
          <cell r="N61">
            <v>1477.35</v>
          </cell>
          <cell r="O61">
            <v>1.9500000000000002</v>
          </cell>
          <cell r="P61">
            <v>6401.85</v>
          </cell>
          <cell r="Q61">
            <v>3.75</v>
          </cell>
          <cell r="R61">
            <v>12311.25</v>
          </cell>
        </row>
        <row r="62">
          <cell r="B62" t="str">
            <v>Joint Filler &amp; Sealant (for concrete paving Light Duty)</v>
          </cell>
          <cell r="C62" t="str">
            <v>20 thick flexible jointing material 25 deep x 20 wide Hydrocarbon resistant joint sealant in top.</v>
          </cell>
          <cell r="D62" t="str">
            <v>m</v>
          </cell>
          <cell r="E62">
            <v>6872</v>
          </cell>
          <cell r="F62">
            <v>5</v>
          </cell>
          <cell r="G62">
            <v>34360</v>
          </cell>
          <cell r="I62">
            <v>2.3000000000000003</v>
          </cell>
          <cell r="J62">
            <v>15805.6</v>
          </cell>
          <cell r="K62">
            <v>1.3</v>
          </cell>
          <cell r="L62">
            <v>8933.6</v>
          </cell>
          <cell r="M62">
            <v>1.5</v>
          </cell>
          <cell r="N62">
            <v>10308</v>
          </cell>
          <cell r="O62">
            <v>5.0999999999999996</v>
          </cell>
          <cell r="P62">
            <v>35047.199999999997</v>
          </cell>
          <cell r="Q62">
            <v>10.1</v>
          </cell>
          <cell r="R62">
            <v>69407.199999999997</v>
          </cell>
        </row>
        <row r="63">
          <cell r="B63" t="str">
            <v>Gravel paving</v>
          </cell>
          <cell r="C63" t="str">
            <v>Thk.=100mm</v>
          </cell>
          <cell r="D63" t="str">
            <v>m2</v>
          </cell>
          <cell r="E63">
            <v>13499</v>
          </cell>
          <cell r="F63">
            <v>3.2</v>
          </cell>
          <cell r="G63">
            <v>43196.800000000003</v>
          </cell>
          <cell r="I63">
            <v>0.9</v>
          </cell>
          <cell r="J63">
            <v>12149.1</v>
          </cell>
          <cell r="K63">
            <v>0.7</v>
          </cell>
          <cell r="L63">
            <v>9449.2999999999993</v>
          </cell>
          <cell r="M63">
            <v>0.5</v>
          </cell>
          <cell r="N63">
            <v>6749.5</v>
          </cell>
          <cell r="O63">
            <v>2.1</v>
          </cell>
          <cell r="P63">
            <v>28347.9</v>
          </cell>
          <cell r="Q63">
            <v>5.3</v>
          </cell>
          <cell r="R63">
            <v>71544.7</v>
          </cell>
        </row>
        <row r="64">
          <cell r="B64" t="str">
            <v>Polyethylene membrane</v>
          </cell>
          <cell r="C64" t="str">
            <v>gauge 1000 or equal</v>
          </cell>
          <cell r="D64" t="str">
            <v>m2</v>
          </cell>
          <cell r="E64">
            <v>35551</v>
          </cell>
          <cell r="F64">
            <v>0.5</v>
          </cell>
          <cell r="G64">
            <v>17775.5</v>
          </cell>
          <cell r="I64">
            <v>0.35000000000000003</v>
          </cell>
          <cell r="J64">
            <v>12442.85</v>
          </cell>
          <cell r="K64">
            <v>9.9999999999999992E-2</v>
          </cell>
          <cell r="L64">
            <v>3555.1</v>
          </cell>
          <cell r="M64">
            <v>4.9999999999999996E-2</v>
          </cell>
          <cell r="N64">
            <v>1777.55</v>
          </cell>
          <cell r="O64">
            <v>0.5</v>
          </cell>
          <cell r="P64">
            <v>17775.5</v>
          </cell>
          <cell r="Q64">
            <v>1</v>
          </cell>
          <cell r="R64">
            <v>35551</v>
          </cell>
        </row>
        <row r="65">
          <cell r="B65" t="str">
            <v>Hardboard</v>
          </cell>
          <cell r="C65">
            <v>0</v>
          </cell>
          <cell r="D65" t="str">
            <v>m2</v>
          </cell>
          <cell r="E65">
            <v>15782</v>
          </cell>
          <cell r="F65">
            <v>3.4</v>
          </cell>
          <cell r="G65">
            <v>53658.8</v>
          </cell>
          <cell r="I65">
            <v>2.5</v>
          </cell>
          <cell r="J65">
            <v>39455</v>
          </cell>
          <cell r="K65">
            <v>1.5</v>
          </cell>
          <cell r="L65">
            <v>23673</v>
          </cell>
          <cell r="M65">
            <v>1</v>
          </cell>
          <cell r="N65">
            <v>15782</v>
          </cell>
          <cell r="O65">
            <v>5</v>
          </cell>
          <cell r="P65">
            <v>78910</v>
          </cell>
          <cell r="Q65">
            <v>8.3999999999999986</v>
          </cell>
          <cell r="R65">
            <v>132568.79999999999</v>
          </cell>
        </row>
        <row r="66">
          <cell r="B66" t="str">
            <v>screed</v>
          </cell>
          <cell r="C66" t="str">
            <v>20mm thick Mortar</v>
          </cell>
          <cell r="D66" t="str">
            <v>m2</v>
          </cell>
          <cell r="E66">
            <v>71102</v>
          </cell>
          <cell r="F66">
            <v>4.2</v>
          </cell>
          <cell r="G66">
            <v>298628.40000000002</v>
          </cell>
          <cell r="I66">
            <v>2.35</v>
          </cell>
          <cell r="J66">
            <v>167089.70000000001</v>
          </cell>
          <cell r="K66">
            <v>2</v>
          </cell>
          <cell r="L66">
            <v>142204</v>
          </cell>
          <cell r="M66">
            <v>1.5</v>
          </cell>
          <cell r="N66">
            <v>106653</v>
          </cell>
          <cell r="O66">
            <v>5.8500000000000005</v>
          </cell>
          <cell r="P66">
            <v>415946.7</v>
          </cell>
          <cell r="Q66">
            <v>10.049999999999999</v>
          </cell>
          <cell r="R66">
            <v>714575.1</v>
          </cell>
        </row>
        <row r="67">
          <cell r="B67" t="str">
            <v>Scaffolding</v>
          </cell>
          <cell r="C67">
            <v>0</v>
          </cell>
          <cell r="D67" t="str">
            <v>m2</v>
          </cell>
          <cell r="E67">
            <v>392</v>
          </cell>
          <cell r="F67">
            <v>1</v>
          </cell>
          <cell r="G67">
            <v>392</v>
          </cell>
          <cell r="I67">
            <v>1.2</v>
          </cell>
          <cell r="J67">
            <v>470.4</v>
          </cell>
          <cell r="K67">
            <v>0.8</v>
          </cell>
          <cell r="L67">
            <v>313.60000000000002</v>
          </cell>
          <cell r="M67">
            <v>0.5</v>
          </cell>
          <cell r="N67">
            <v>196</v>
          </cell>
          <cell r="O67">
            <v>2.5</v>
          </cell>
          <cell r="P67">
            <v>980</v>
          </cell>
          <cell r="Q67">
            <v>3.5</v>
          </cell>
          <cell r="R67">
            <v>1372</v>
          </cell>
        </row>
        <row r="68">
          <cell r="B68" t="str">
            <v>Support</v>
          </cell>
          <cell r="C68">
            <v>0</v>
          </cell>
          <cell r="D68" t="str">
            <v>m3</v>
          </cell>
          <cell r="E68">
            <v>1079</v>
          </cell>
          <cell r="F68">
            <v>2.6</v>
          </cell>
          <cell r="G68">
            <v>2805.4</v>
          </cell>
          <cell r="I68">
            <v>3</v>
          </cell>
          <cell r="J68">
            <v>3237</v>
          </cell>
          <cell r="K68">
            <v>1.8</v>
          </cell>
          <cell r="L68">
            <v>1942.2</v>
          </cell>
          <cell r="M68">
            <v>1.2</v>
          </cell>
          <cell r="N68">
            <v>1294.8</v>
          </cell>
          <cell r="O68">
            <v>6</v>
          </cell>
          <cell r="P68">
            <v>6474</v>
          </cell>
          <cell r="Q68">
            <v>8.6</v>
          </cell>
          <cell r="R68">
            <v>9279.4</v>
          </cell>
        </row>
        <row r="69">
          <cell r="B69" t="str">
            <v>Fence (New)</v>
          </cell>
          <cell r="C69" t="str">
            <v xml:space="preserve">Hot dip galvanized steelwire and chain link fence fabric may be PVC-coated in acc. With ASTM F 668.
3-strings barbed wire dia. 2.5mm (min.), double stranded with 4 points barbs set 85mm apart, or barbed tape. Steel bracings L50x50x5 min. bolted to posts, </v>
          </cell>
          <cell r="D69" t="str">
            <v>m</v>
          </cell>
          <cell r="E69">
            <v>1002</v>
          </cell>
          <cell r="F69">
            <v>28</v>
          </cell>
          <cell r="G69">
            <v>28056</v>
          </cell>
          <cell r="I69">
            <v>15</v>
          </cell>
          <cell r="J69">
            <v>15030</v>
          </cell>
          <cell r="K69">
            <v>12</v>
          </cell>
          <cell r="L69">
            <v>12024</v>
          </cell>
          <cell r="M69">
            <v>3</v>
          </cell>
          <cell r="N69">
            <v>3006</v>
          </cell>
          <cell r="O69">
            <v>30</v>
          </cell>
          <cell r="P69">
            <v>30060</v>
          </cell>
          <cell r="Q69">
            <v>58</v>
          </cell>
          <cell r="R69">
            <v>58116</v>
          </cell>
        </row>
        <row r="70">
          <cell r="B70" t="str">
            <v>Vehicular Gate</v>
          </cell>
          <cell r="C70" t="str">
            <v>W=8.0m (Double sliding)</v>
          </cell>
          <cell r="D70" t="str">
            <v>ea</v>
          </cell>
          <cell r="E70">
            <v>4</v>
          </cell>
          <cell r="F70">
            <v>1125</v>
          </cell>
          <cell r="G70">
            <v>4500</v>
          </cell>
          <cell r="I70">
            <v>510</v>
          </cell>
          <cell r="J70">
            <v>2040</v>
          </cell>
          <cell r="K70">
            <v>350</v>
          </cell>
          <cell r="L70">
            <v>1400</v>
          </cell>
          <cell r="M70">
            <v>220</v>
          </cell>
          <cell r="N70">
            <v>880</v>
          </cell>
          <cell r="O70">
            <v>1080</v>
          </cell>
          <cell r="P70">
            <v>4320</v>
          </cell>
          <cell r="Q70">
            <v>2205</v>
          </cell>
          <cell r="R70">
            <v>8820</v>
          </cell>
        </row>
        <row r="71">
          <cell r="B71" t="str">
            <v>Pedestrian Gate</v>
          </cell>
          <cell r="C71" t="str">
            <v>W=1.0m (Single sliding)</v>
          </cell>
          <cell r="D71" t="str">
            <v>ea</v>
          </cell>
          <cell r="E71">
            <v>4</v>
          </cell>
          <cell r="F71">
            <v>250</v>
          </cell>
          <cell r="G71">
            <v>1000</v>
          </cell>
          <cell r="I71">
            <v>115</v>
          </cell>
          <cell r="J71">
            <v>460</v>
          </cell>
          <cell r="K71">
            <v>80</v>
          </cell>
          <cell r="L71">
            <v>320</v>
          </cell>
          <cell r="M71">
            <v>50</v>
          </cell>
          <cell r="N71">
            <v>200</v>
          </cell>
          <cell r="O71">
            <v>245</v>
          </cell>
          <cell r="P71">
            <v>980</v>
          </cell>
          <cell r="Q71">
            <v>495</v>
          </cell>
          <cell r="R71">
            <v>1980</v>
          </cell>
        </row>
      </sheetData>
      <sheetData sheetId="2">
        <row r="8">
          <cell r="B8" t="str">
            <v>Demolition (Paving)</v>
          </cell>
        </row>
        <row r="9">
          <cell r="B9" t="str">
            <v>Demolition (Road)</v>
          </cell>
          <cell r="C9">
            <v>0</v>
          </cell>
          <cell r="D9" t="str">
            <v>m2</v>
          </cell>
          <cell r="E9">
            <v>9786</v>
          </cell>
          <cell r="I9">
            <v>2.1500000000000004</v>
          </cell>
          <cell r="J9">
            <v>21039.9</v>
          </cell>
          <cell r="K9">
            <v>3.0999999999999996</v>
          </cell>
          <cell r="L9">
            <v>30336.6</v>
          </cell>
          <cell r="M9">
            <v>1.1000000000000001</v>
          </cell>
          <cell r="N9">
            <v>10764.6</v>
          </cell>
          <cell r="O9">
            <v>6.35</v>
          </cell>
          <cell r="P9">
            <v>62141.1</v>
          </cell>
          <cell r="Q9">
            <v>6.35</v>
          </cell>
          <cell r="R9">
            <v>62141.1</v>
          </cell>
          <cell r="S9" t="str">
            <v>Road thickness limited to 125mm</v>
          </cell>
        </row>
        <row r="10">
          <cell r="B10" t="str">
            <v>Demolition (Fence)</v>
          </cell>
          <cell r="C10" t="str">
            <v>including foundation</v>
          </cell>
          <cell r="D10" t="str">
            <v>m</v>
          </cell>
          <cell r="E10">
            <v>1242</v>
          </cell>
          <cell r="I10">
            <v>1.4</v>
          </cell>
          <cell r="J10">
            <v>1738.8</v>
          </cell>
          <cell r="K10">
            <v>2</v>
          </cell>
          <cell r="L10">
            <v>2484</v>
          </cell>
          <cell r="M10">
            <v>0.8</v>
          </cell>
          <cell r="N10">
            <v>993.6</v>
          </cell>
          <cell r="O10">
            <v>4.1999999999999993</v>
          </cell>
          <cell r="P10">
            <v>5216.3999999999996</v>
          </cell>
          <cell r="Q10">
            <v>4.1999999999999993</v>
          </cell>
          <cell r="R10">
            <v>5216.3999999999996</v>
          </cell>
        </row>
        <row r="11">
          <cell r="B11" t="str">
            <v>Demolition (Concrete)</v>
          </cell>
          <cell r="C11">
            <v>0</v>
          </cell>
          <cell r="D11" t="str">
            <v>m3</v>
          </cell>
          <cell r="E11">
            <v>1801</v>
          </cell>
          <cell r="I11">
            <v>21.3</v>
          </cell>
          <cell r="J11">
            <v>38361.300000000003</v>
          </cell>
          <cell r="K11">
            <v>30.5</v>
          </cell>
          <cell r="L11">
            <v>54930.5</v>
          </cell>
          <cell r="M11">
            <v>9.2000000000000011</v>
          </cell>
          <cell r="N11">
            <v>16569.2</v>
          </cell>
          <cell r="O11">
            <v>61</v>
          </cell>
          <cell r="P11">
            <v>109861</v>
          </cell>
          <cell r="Q11">
            <v>61</v>
          </cell>
          <cell r="R11">
            <v>109861</v>
          </cell>
        </row>
        <row r="12">
          <cell r="B12" t="str">
            <v>Stripping, Clearing &amp; Grubbing</v>
          </cell>
          <cell r="C12" t="str">
            <v>Thk.=300mm</v>
          </cell>
          <cell r="D12" t="str">
            <v>m2</v>
          </cell>
          <cell r="E12">
            <v>158040</v>
          </cell>
          <cell r="I12">
            <v>0.36</v>
          </cell>
          <cell r="J12">
            <v>56894.400000000001</v>
          </cell>
          <cell r="K12">
            <v>0.6</v>
          </cell>
          <cell r="L12">
            <v>94824</v>
          </cell>
          <cell r="M12">
            <v>0.15</v>
          </cell>
          <cell r="N12">
            <v>23706</v>
          </cell>
          <cell r="O12">
            <v>1.1099999999999999</v>
          </cell>
          <cell r="P12">
            <v>175424.4</v>
          </cell>
          <cell r="Q12">
            <v>1.1099999999999999</v>
          </cell>
          <cell r="R12">
            <v>175424.4</v>
          </cell>
        </row>
        <row r="13">
          <cell r="B13" t="str">
            <v>Topographical Survey</v>
          </cell>
          <cell r="C13">
            <v>0</v>
          </cell>
          <cell r="D13" t="str">
            <v>m2</v>
          </cell>
          <cell r="E13">
            <v>159298</v>
          </cell>
          <cell r="I13">
            <v>0.27</v>
          </cell>
          <cell r="J13">
            <v>43010.46</v>
          </cell>
          <cell r="K13">
            <v>0.21000000000000002</v>
          </cell>
          <cell r="L13">
            <v>33452.58</v>
          </cell>
          <cell r="M13">
            <v>0.12</v>
          </cell>
          <cell r="N13">
            <v>19115.759999999998</v>
          </cell>
          <cell r="O13">
            <v>0.6</v>
          </cell>
          <cell r="P13">
            <v>95578.8</v>
          </cell>
          <cell r="Q13">
            <v>0.6</v>
          </cell>
          <cell r="R13">
            <v>95578.8</v>
          </cell>
        </row>
        <row r="14">
          <cell r="B14" t="str">
            <v>Cutting</v>
          </cell>
          <cell r="C14" t="str">
            <v>Good soil (by equipment)</v>
          </cell>
          <cell r="D14" t="str">
            <v>m3</v>
          </cell>
          <cell r="E14">
            <v>197550</v>
          </cell>
          <cell r="I14">
            <v>1.2</v>
          </cell>
          <cell r="J14">
            <v>237060</v>
          </cell>
          <cell r="K14">
            <v>2</v>
          </cell>
          <cell r="L14">
            <v>395100</v>
          </cell>
          <cell r="M14">
            <v>0.8</v>
          </cell>
          <cell r="N14">
            <v>158040</v>
          </cell>
          <cell r="O14">
            <v>4</v>
          </cell>
          <cell r="P14">
            <v>790200</v>
          </cell>
          <cell r="Q14">
            <v>4</v>
          </cell>
          <cell r="R14">
            <v>790200</v>
          </cell>
        </row>
        <row r="15">
          <cell r="B15" t="str">
            <v>Filling (Excavated Soil)</v>
          </cell>
          <cell r="C15">
            <v>0</v>
          </cell>
          <cell r="D15" t="str">
            <v>m3</v>
          </cell>
          <cell r="E15">
            <v>197550</v>
          </cell>
          <cell r="I15">
            <v>2.5</v>
          </cell>
          <cell r="J15">
            <v>493875</v>
          </cell>
          <cell r="K15">
            <v>3.5</v>
          </cell>
          <cell r="L15">
            <v>691425</v>
          </cell>
          <cell r="M15">
            <v>1.2</v>
          </cell>
          <cell r="N15">
            <v>237060</v>
          </cell>
          <cell r="O15">
            <v>7.2</v>
          </cell>
          <cell r="P15">
            <v>1422360</v>
          </cell>
          <cell r="Q15">
            <v>7.2</v>
          </cell>
          <cell r="R15">
            <v>1422360</v>
          </cell>
        </row>
      </sheetData>
      <sheetData sheetId="3">
        <row r="8">
          <cell r="B8" t="str">
            <v>Soil Investigation</v>
          </cell>
        </row>
      </sheetData>
      <sheetData sheetId="4">
        <row r="8">
          <cell r="B8" t="str">
            <v>Excavation</v>
          </cell>
        </row>
        <row r="9">
          <cell r="B9" t="str">
            <v>Back Fill</v>
          </cell>
          <cell r="C9" t="str">
            <v>Good soil (by hand)(Reusable soil)</v>
          </cell>
          <cell r="D9" t="str">
            <v>m3</v>
          </cell>
          <cell r="E9">
            <v>26265</v>
          </cell>
          <cell r="F9">
            <v>0</v>
          </cell>
          <cell r="I9">
            <v>4.2</v>
          </cell>
          <cell r="J9">
            <v>110313</v>
          </cell>
          <cell r="K9">
            <v>2.5</v>
          </cell>
          <cell r="L9">
            <v>65662.5</v>
          </cell>
          <cell r="M9">
            <v>1.9</v>
          </cell>
          <cell r="N9">
            <v>49903.5</v>
          </cell>
          <cell r="O9">
            <v>8.6</v>
          </cell>
          <cell r="P9">
            <v>225879</v>
          </cell>
          <cell r="Q9">
            <v>8.6</v>
          </cell>
          <cell r="R9">
            <v>225879</v>
          </cell>
          <cell r="S9" t="str">
            <v>(Reusable soil)</v>
          </cell>
        </row>
        <row r="10">
          <cell r="B10" t="str">
            <v>Disposal</v>
          </cell>
          <cell r="C10" t="str">
            <v xml:space="preserve">Good soil </v>
          </cell>
          <cell r="D10" t="str">
            <v>m3</v>
          </cell>
          <cell r="E10">
            <v>11836</v>
          </cell>
          <cell r="F10">
            <v>0</v>
          </cell>
          <cell r="I10">
            <v>1.3599999999999999</v>
          </cell>
          <cell r="J10">
            <v>16096.96</v>
          </cell>
          <cell r="K10">
            <v>1.7</v>
          </cell>
          <cell r="L10">
            <v>20121.2</v>
          </cell>
          <cell r="M10">
            <v>0.33999999999999997</v>
          </cell>
          <cell r="N10">
            <v>4024.24</v>
          </cell>
          <cell r="O10">
            <v>3.4</v>
          </cell>
          <cell r="P10">
            <v>40242.400000000001</v>
          </cell>
          <cell r="Q10">
            <v>3.4</v>
          </cell>
          <cell r="R10">
            <v>40242.400000000001</v>
          </cell>
        </row>
        <row r="11">
          <cell r="B11" t="str">
            <v>Concrete</v>
          </cell>
          <cell r="C11" t="str">
            <v>Grade C30 , ASTM C150 (TYPE-V)</v>
          </cell>
          <cell r="D11" t="str">
            <v>m3</v>
          </cell>
          <cell r="E11">
            <v>4182</v>
          </cell>
          <cell r="F11">
            <v>102</v>
          </cell>
          <cell r="G11">
            <v>426564</v>
          </cell>
          <cell r="I11">
            <v>49.5</v>
          </cell>
          <cell r="J11">
            <v>207009</v>
          </cell>
          <cell r="K11">
            <v>38.5</v>
          </cell>
          <cell r="L11">
            <v>161007</v>
          </cell>
          <cell r="M11">
            <v>22</v>
          </cell>
          <cell r="N11">
            <v>92004</v>
          </cell>
          <cell r="O11">
            <v>110</v>
          </cell>
          <cell r="P11">
            <v>460020</v>
          </cell>
          <cell r="Q11">
            <v>212</v>
          </cell>
          <cell r="R11">
            <v>886584</v>
          </cell>
        </row>
        <row r="12">
          <cell r="B12" t="str">
            <v>Blinding Con'c</v>
          </cell>
          <cell r="C12" t="str">
            <v>Grade C20, Thk.=50mm. (DEP 34.19.20.31-Gen.)</v>
          </cell>
          <cell r="D12" t="str">
            <v>m3</v>
          </cell>
          <cell r="E12">
            <v>233</v>
          </cell>
          <cell r="F12">
            <v>85</v>
          </cell>
          <cell r="G12">
            <v>19805</v>
          </cell>
          <cell r="I12">
            <v>41</v>
          </cell>
          <cell r="J12">
            <v>9553</v>
          </cell>
          <cell r="K12">
            <v>31.5</v>
          </cell>
          <cell r="L12">
            <v>7339.5</v>
          </cell>
          <cell r="M12">
            <v>17.5</v>
          </cell>
          <cell r="N12">
            <v>4077.5</v>
          </cell>
          <cell r="O12">
            <v>90</v>
          </cell>
          <cell r="P12">
            <v>20970</v>
          </cell>
          <cell r="Q12">
            <v>175</v>
          </cell>
          <cell r="R12">
            <v>40775</v>
          </cell>
        </row>
        <row r="13">
          <cell r="B13" t="str">
            <v>Form Work</v>
          </cell>
          <cell r="C13" t="str">
            <v>ACI 347</v>
          </cell>
          <cell r="D13" t="str">
            <v>m2</v>
          </cell>
          <cell r="E13">
            <v>7738</v>
          </cell>
          <cell r="F13">
            <v>10</v>
          </cell>
          <cell r="G13">
            <v>77380</v>
          </cell>
          <cell r="I13">
            <v>4.2</v>
          </cell>
          <cell r="J13">
            <v>32499.599999999999</v>
          </cell>
          <cell r="K13">
            <v>3.5</v>
          </cell>
          <cell r="L13">
            <v>27083</v>
          </cell>
          <cell r="M13">
            <v>3</v>
          </cell>
          <cell r="N13">
            <v>23214</v>
          </cell>
          <cell r="O13">
            <v>10.700000000000001</v>
          </cell>
          <cell r="P13">
            <v>82796.600000000006</v>
          </cell>
          <cell r="Q13">
            <v>20.7</v>
          </cell>
          <cell r="R13">
            <v>160176.6</v>
          </cell>
        </row>
        <row r="14">
          <cell r="B14" t="str">
            <v>Re-Bar</v>
          </cell>
          <cell r="C14" t="str">
            <v xml:space="preserve">ASTM A 615 Grade 60 Type S </v>
          </cell>
          <cell r="D14" t="str">
            <v>Ton</v>
          </cell>
          <cell r="E14">
            <v>290</v>
          </cell>
          <cell r="F14">
            <v>543</v>
          </cell>
          <cell r="G14">
            <v>157470</v>
          </cell>
          <cell r="I14">
            <v>122</v>
          </cell>
          <cell r="J14">
            <v>35380</v>
          </cell>
          <cell r="K14">
            <v>110</v>
          </cell>
          <cell r="L14">
            <v>31900</v>
          </cell>
          <cell r="M14">
            <v>73</v>
          </cell>
          <cell r="N14">
            <v>21170</v>
          </cell>
          <cell r="O14">
            <v>305</v>
          </cell>
          <cell r="P14">
            <v>88450</v>
          </cell>
          <cell r="Q14">
            <v>848</v>
          </cell>
          <cell r="R14">
            <v>245920</v>
          </cell>
        </row>
        <row r="15">
          <cell r="B15" t="str">
            <v>Non-Shrinkage Grout</v>
          </cell>
          <cell r="C15" t="str">
            <v>75 N/mm2, DEP 34.19.20.31-Gen</v>
          </cell>
          <cell r="D15" t="str">
            <v>m3</v>
          </cell>
          <cell r="E15">
            <v>8</v>
          </cell>
          <cell r="F15">
            <v>600</v>
          </cell>
          <cell r="G15">
            <v>4800</v>
          </cell>
          <cell r="I15">
            <v>378</v>
          </cell>
          <cell r="J15">
            <v>3024</v>
          </cell>
          <cell r="K15">
            <v>250</v>
          </cell>
          <cell r="L15">
            <v>2000</v>
          </cell>
          <cell r="M15">
            <v>189</v>
          </cell>
          <cell r="N15">
            <v>1512</v>
          </cell>
          <cell r="O15">
            <v>817</v>
          </cell>
          <cell r="P15">
            <v>6536</v>
          </cell>
          <cell r="Q15">
            <v>1417</v>
          </cell>
          <cell r="R15">
            <v>11336</v>
          </cell>
        </row>
        <row r="16">
          <cell r="B16" t="str">
            <v>FDN. Surface Coating (U/G)</v>
          </cell>
          <cell r="C16" t="str">
            <v xml:space="preserve">bitu-coating, 2 times, 0.4kg/m2 </v>
          </cell>
          <cell r="D16" t="str">
            <v>m2</v>
          </cell>
          <cell r="E16">
            <v>7670</v>
          </cell>
          <cell r="F16">
            <v>3.4</v>
          </cell>
          <cell r="G16">
            <v>26078</v>
          </cell>
          <cell r="I16">
            <v>2.04</v>
          </cell>
          <cell r="J16">
            <v>15646.8</v>
          </cell>
          <cell r="K16">
            <v>1.02</v>
          </cell>
          <cell r="L16">
            <v>7823.4</v>
          </cell>
          <cell r="M16">
            <v>0.34</v>
          </cell>
          <cell r="N16">
            <v>2607.8000000000002</v>
          </cell>
          <cell r="O16">
            <v>3.4</v>
          </cell>
          <cell r="P16">
            <v>26078</v>
          </cell>
          <cell r="Q16">
            <v>6.8</v>
          </cell>
          <cell r="R16">
            <v>52156</v>
          </cell>
        </row>
        <row r="17">
          <cell r="B17" t="str">
            <v>FDN. Surface Coating (A/G)</v>
          </cell>
          <cell r="C17" t="str">
            <v>bitu-coating, 2 times, 0.4kg/m2, 150mm above ground level</v>
          </cell>
          <cell r="D17" t="str">
            <v>m2</v>
          </cell>
          <cell r="E17">
            <v>1920</v>
          </cell>
          <cell r="F17">
            <v>3.4</v>
          </cell>
          <cell r="G17">
            <v>6528</v>
          </cell>
          <cell r="I17">
            <v>2.04</v>
          </cell>
          <cell r="J17">
            <v>3916.8</v>
          </cell>
          <cell r="K17">
            <v>1.02</v>
          </cell>
          <cell r="L17">
            <v>1958.4</v>
          </cell>
          <cell r="M17">
            <v>0.33999999999999997</v>
          </cell>
          <cell r="N17">
            <v>652.79999999999995</v>
          </cell>
          <cell r="O17">
            <v>3.4</v>
          </cell>
          <cell r="P17">
            <v>6528</v>
          </cell>
          <cell r="Q17">
            <v>6.8</v>
          </cell>
          <cell r="R17">
            <v>13056</v>
          </cell>
        </row>
        <row r="18">
          <cell r="B18" t="str">
            <v>Sand Bitumen</v>
          </cell>
          <cell r="C18" t="str">
            <v>50mm sand bitumen mix or oil/sand mix. (DEP 34.18.51.10-Gen. Appendix 3 and 4)</v>
          </cell>
          <cell r="D18" t="str">
            <v>m3</v>
          </cell>
          <cell r="E18">
            <v>8</v>
          </cell>
          <cell r="F18">
            <v>84.5</v>
          </cell>
          <cell r="G18">
            <v>676</v>
          </cell>
          <cell r="I18">
            <v>38.5</v>
          </cell>
          <cell r="J18">
            <v>308</v>
          </cell>
          <cell r="K18">
            <v>34</v>
          </cell>
          <cell r="L18">
            <v>272</v>
          </cell>
          <cell r="M18">
            <v>13</v>
          </cell>
          <cell r="N18">
            <v>104</v>
          </cell>
          <cell r="O18">
            <v>85.5</v>
          </cell>
          <cell r="P18">
            <v>684</v>
          </cell>
          <cell r="Q18">
            <v>170</v>
          </cell>
          <cell r="R18">
            <v>1360</v>
          </cell>
        </row>
        <row r="19">
          <cell r="B19" t="str">
            <v>Structural Fill (Sand)</v>
          </cell>
          <cell r="C19" t="str">
            <v>Compaction shall be 95% of maximum dry density in six inch compacted layers.</v>
          </cell>
          <cell r="D19" t="str">
            <v>m3</v>
          </cell>
          <cell r="E19">
            <v>2630</v>
          </cell>
          <cell r="F19">
            <v>3</v>
          </cell>
          <cell r="G19">
            <v>7890</v>
          </cell>
          <cell r="I19">
            <v>3.4</v>
          </cell>
          <cell r="J19">
            <v>8942</v>
          </cell>
          <cell r="K19">
            <v>3</v>
          </cell>
          <cell r="L19">
            <v>7890</v>
          </cell>
          <cell r="M19">
            <v>1.2</v>
          </cell>
          <cell r="N19">
            <v>3156</v>
          </cell>
          <cell r="O19">
            <v>7.6</v>
          </cell>
          <cell r="P19">
            <v>19988</v>
          </cell>
          <cell r="Q19">
            <v>10.6</v>
          </cell>
          <cell r="R19">
            <v>27878</v>
          </cell>
        </row>
        <row r="20">
          <cell r="B20" t="str">
            <v>Structural Fill (Compacted Stone or Gravel)</v>
          </cell>
          <cell r="C20" t="str">
            <v>Compaction shall be 95% of maximum dry density in six inch compacted layers.</v>
          </cell>
          <cell r="D20" t="str">
            <v>m3</v>
          </cell>
          <cell r="E20">
            <v>225</v>
          </cell>
          <cell r="F20">
            <v>27</v>
          </cell>
          <cell r="G20">
            <v>6075</v>
          </cell>
          <cell r="I20">
            <v>12</v>
          </cell>
          <cell r="J20">
            <v>2700</v>
          </cell>
          <cell r="K20">
            <v>10</v>
          </cell>
          <cell r="L20">
            <v>2250</v>
          </cell>
          <cell r="M20">
            <v>2</v>
          </cell>
          <cell r="N20">
            <v>450</v>
          </cell>
          <cell r="O20">
            <v>24</v>
          </cell>
          <cell r="P20">
            <v>5400</v>
          </cell>
          <cell r="Q20">
            <v>51</v>
          </cell>
          <cell r="R20">
            <v>11475</v>
          </cell>
        </row>
        <row r="21">
          <cell r="B21" t="str">
            <v>Water Stop</v>
          </cell>
          <cell r="C21" t="str">
            <v>PVC, W=150mm</v>
          </cell>
          <cell r="D21" t="str">
            <v>m</v>
          </cell>
          <cell r="E21">
            <v>59</v>
          </cell>
          <cell r="F21">
            <v>8.5</v>
          </cell>
          <cell r="G21">
            <v>501.5</v>
          </cell>
          <cell r="I21">
            <v>3.4</v>
          </cell>
          <cell r="J21">
            <v>200.6</v>
          </cell>
          <cell r="K21">
            <v>3</v>
          </cell>
          <cell r="L21">
            <v>177</v>
          </cell>
          <cell r="M21">
            <v>2.1</v>
          </cell>
          <cell r="N21">
            <v>123.9</v>
          </cell>
          <cell r="O21">
            <v>8.5</v>
          </cell>
          <cell r="P21">
            <v>501.5</v>
          </cell>
          <cell r="Q21">
            <v>17</v>
          </cell>
          <cell r="R21">
            <v>1003</v>
          </cell>
        </row>
        <row r="22">
          <cell r="B22" t="str">
            <v>Outside Water Proofing (for Pit &amp; Basin)</v>
          </cell>
          <cell r="C22" t="str">
            <v xml:space="preserve">bitu-coating, 2 times, 0.4kg/m2 </v>
          </cell>
          <cell r="D22" t="str">
            <v>m2</v>
          </cell>
          <cell r="E22">
            <v>173</v>
          </cell>
          <cell r="F22">
            <v>3.4000000000000004</v>
          </cell>
          <cell r="G22">
            <v>588.20000000000005</v>
          </cell>
          <cell r="I22">
            <v>2.04</v>
          </cell>
          <cell r="J22">
            <v>352.92</v>
          </cell>
          <cell r="K22">
            <v>1.02</v>
          </cell>
          <cell r="L22">
            <v>176.46</v>
          </cell>
          <cell r="M22">
            <v>0.34</v>
          </cell>
          <cell r="N22">
            <v>58.82</v>
          </cell>
          <cell r="O22">
            <v>3.4000000000000004</v>
          </cell>
          <cell r="P22">
            <v>588.20000000000005</v>
          </cell>
          <cell r="Q22">
            <v>6.8000000000000007</v>
          </cell>
          <cell r="R22">
            <v>1176.4000000000001</v>
          </cell>
        </row>
        <row r="23">
          <cell r="B23" t="str">
            <v>Inside Wall Coating (Water Proofing Only)</v>
          </cell>
          <cell r="C23" t="str">
            <v>Liquid water coating</v>
          </cell>
          <cell r="D23" t="str">
            <v>m2</v>
          </cell>
          <cell r="E23">
            <v>13</v>
          </cell>
          <cell r="F23">
            <v>3.4000000000000004</v>
          </cell>
          <cell r="G23">
            <v>44.2</v>
          </cell>
          <cell r="I23">
            <v>2.04</v>
          </cell>
          <cell r="J23">
            <v>26.52</v>
          </cell>
          <cell r="K23">
            <v>1.02</v>
          </cell>
          <cell r="L23">
            <v>13.26</v>
          </cell>
          <cell r="M23">
            <v>0.33999999999999997</v>
          </cell>
          <cell r="N23">
            <v>4.42</v>
          </cell>
          <cell r="O23">
            <v>3.4000000000000004</v>
          </cell>
          <cell r="P23">
            <v>44.2</v>
          </cell>
          <cell r="Q23">
            <v>6.8000000000000007</v>
          </cell>
          <cell r="R23">
            <v>88.4</v>
          </cell>
        </row>
        <row r="24">
          <cell r="B24" t="str">
            <v>Chemical Coating (inside only)</v>
          </cell>
          <cell r="C24" t="str">
            <v>Chemical resistant bricks or tiles or by a monolithic epoxy compound</v>
          </cell>
          <cell r="D24" t="str">
            <v>m2</v>
          </cell>
          <cell r="E24">
            <v>177</v>
          </cell>
          <cell r="F24">
            <v>15</v>
          </cell>
          <cell r="G24">
            <v>2655</v>
          </cell>
          <cell r="I24">
            <v>11</v>
          </cell>
          <cell r="J24">
            <v>1947</v>
          </cell>
          <cell r="K24">
            <v>6</v>
          </cell>
          <cell r="L24">
            <v>1062</v>
          </cell>
          <cell r="M24">
            <v>3</v>
          </cell>
          <cell r="N24">
            <v>531</v>
          </cell>
          <cell r="O24">
            <v>20</v>
          </cell>
          <cell r="P24">
            <v>3540</v>
          </cell>
          <cell r="Q24">
            <v>35</v>
          </cell>
          <cell r="R24">
            <v>6195</v>
          </cell>
        </row>
        <row r="25">
          <cell r="B25" t="str">
            <v>Drain Pipe (for concrete Tank)</v>
          </cell>
          <cell r="C25" t="str">
            <v>HDPE drain pipe (Φ 75x6.9mm)</v>
          </cell>
          <cell r="D25" t="str">
            <v>m</v>
          </cell>
          <cell r="E25">
            <v>8</v>
          </cell>
          <cell r="F25">
            <v>6</v>
          </cell>
          <cell r="G25">
            <v>48</v>
          </cell>
          <cell r="I25">
            <v>3.6</v>
          </cell>
          <cell r="J25">
            <v>28.8</v>
          </cell>
          <cell r="K25">
            <v>2.8</v>
          </cell>
          <cell r="L25">
            <v>22.4</v>
          </cell>
          <cell r="M25">
            <v>1.2</v>
          </cell>
          <cell r="N25">
            <v>9.6</v>
          </cell>
          <cell r="O25">
            <v>7.6</v>
          </cell>
          <cell r="P25">
            <v>60.8</v>
          </cell>
          <cell r="Q25">
            <v>13.6</v>
          </cell>
          <cell r="R25">
            <v>108.8</v>
          </cell>
        </row>
        <row r="26">
          <cell r="B26" t="str">
            <v>Geotextile membrane</v>
          </cell>
          <cell r="C26" t="str">
            <v>woven/roven type Nicolon No. 66339 or equivalent</v>
          </cell>
          <cell r="D26" t="str">
            <v>m2</v>
          </cell>
          <cell r="E26">
            <v>167</v>
          </cell>
          <cell r="F26">
            <v>3</v>
          </cell>
          <cell r="G26">
            <v>501</v>
          </cell>
          <cell r="I26">
            <v>1.7</v>
          </cell>
          <cell r="J26">
            <v>283.89999999999998</v>
          </cell>
          <cell r="K26">
            <v>1.4000000000000001</v>
          </cell>
          <cell r="L26">
            <v>233.8</v>
          </cell>
          <cell r="M26">
            <v>1.0999999999999999</v>
          </cell>
          <cell r="N26">
            <v>183.7</v>
          </cell>
          <cell r="O26">
            <v>4.2</v>
          </cell>
          <cell r="P26">
            <v>701.4</v>
          </cell>
          <cell r="Q26">
            <v>7.2</v>
          </cell>
          <cell r="R26">
            <v>1202.4000000000001</v>
          </cell>
        </row>
        <row r="27">
          <cell r="B27" t="str">
            <v>Drain Pipe (for Tank Foundation)</v>
          </cell>
          <cell r="C27" t="str">
            <v>HDPE drain pipe (Φ 125mm)</v>
          </cell>
          <cell r="D27" t="str">
            <v>m</v>
          </cell>
          <cell r="E27">
            <v>8</v>
          </cell>
          <cell r="F27">
            <v>8</v>
          </cell>
          <cell r="G27">
            <v>64</v>
          </cell>
          <cell r="I27">
            <v>3.6</v>
          </cell>
          <cell r="J27">
            <v>28.8</v>
          </cell>
          <cell r="K27">
            <v>2.8</v>
          </cell>
          <cell r="L27">
            <v>22.4</v>
          </cell>
          <cell r="M27">
            <v>1.2</v>
          </cell>
          <cell r="N27">
            <v>9.6</v>
          </cell>
          <cell r="O27">
            <v>7.6</v>
          </cell>
          <cell r="P27">
            <v>60.8</v>
          </cell>
          <cell r="Q27">
            <v>15.6</v>
          </cell>
          <cell r="R27">
            <v>124.8</v>
          </cell>
        </row>
        <row r="28">
          <cell r="B28" t="str">
            <v>Hume Pipe</v>
          </cell>
          <cell r="C28" t="str">
            <v>D=450mm</v>
          </cell>
          <cell r="D28" t="str">
            <v>m</v>
          </cell>
          <cell r="E28">
            <v>92</v>
          </cell>
          <cell r="F28">
            <v>50</v>
          </cell>
          <cell r="G28">
            <v>4600</v>
          </cell>
          <cell r="I28">
            <v>14.5</v>
          </cell>
          <cell r="J28">
            <v>1334</v>
          </cell>
          <cell r="K28">
            <v>12</v>
          </cell>
          <cell r="L28">
            <v>1104</v>
          </cell>
          <cell r="M28">
            <v>8</v>
          </cell>
          <cell r="N28">
            <v>736</v>
          </cell>
          <cell r="O28">
            <v>34.5</v>
          </cell>
          <cell r="P28">
            <v>3174</v>
          </cell>
          <cell r="Q28">
            <v>84.5</v>
          </cell>
          <cell r="R28">
            <v>7774</v>
          </cell>
        </row>
        <row r="29">
          <cell r="B29" t="str">
            <v>Warning Tape</v>
          </cell>
          <cell r="C29" t="str">
            <v>P.V.C</v>
          </cell>
          <cell r="D29" t="str">
            <v>m</v>
          </cell>
          <cell r="E29">
            <v>6322</v>
          </cell>
          <cell r="F29">
            <v>1.5</v>
          </cell>
          <cell r="G29">
            <v>9483</v>
          </cell>
          <cell r="I29">
            <v>0.75</v>
          </cell>
          <cell r="J29">
            <v>4741.5</v>
          </cell>
          <cell r="K29">
            <v>0.4</v>
          </cell>
          <cell r="L29">
            <v>2528.8000000000002</v>
          </cell>
          <cell r="M29">
            <v>0.4</v>
          </cell>
          <cell r="N29">
            <v>2528.8000000000002</v>
          </cell>
          <cell r="O29">
            <v>1.55</v>
          </cell>
          <cell r="P29">
            <v>9799.1</v>
          </cell>
          <cell r="Q29">
            <v>3.05</v>
          </cell>
          <cell r="R29">
            <v>19282.099999999999</v>
          </cell>
        </row>
        <row r="30">
          <cell r="B30" t="str">
            <v>Checkered Plate</v>
          </cell>
          <cell r="C30" t="str">
            <v>Thk.=6mm, Galvanized</v>
          </cell>
          <cell r="D30" t="str">
            <v>m2</v>
          </cell>
          <cell r="E30">
            <v>90</v>
          </cell>
          <cell r="F30">
            <v>45</v>
          </cell>
          <cell r="G30">
            <v>4050</v>
          </cell>
          <cell r="I30">
            <v>24</v>
          </cell>
          <cell r="J30">
            <v>2160</v>
          </cell>
          <cell r="K30">
            <v>16</v>
          </cell>
          <cell r="L30">
            <v>1440</v>
          </cell>
          <cell r="M30">
            <v>14</v>
          </cell>
          <cell r="N30">
            <v>1260</v>
          </cell>
          <cell r="O30">
            <v>54</v>
          </cell>
          <cell r="P30">
            <v>4860</v>
          </cell>
          <cell r="Q30">
            <v>99</v>
          </cell>
          <cell r="R30">
            <v>8910</v>
          </cell>
        </row>
        <row r="31">
          <cell r="B31" t="str">
            <v>Grating</v>
          </cell>
          <cell r="C31" t="str">
            <v>I-30x3, Galvanized</v>
          </cell>
          <cell r="D31" t="str">
            <v>m2</v>
          </cell>
          <cell r="E31">
            <v>1</v>
          </cell>
          <cell r="F31">
            <v>92</v>
          </cell>
          <cell r="G31">
            <v>92</v>
          </cell>
          <cell r="I31">
            <v>21</v>
          </cell>
          <cell r="J31">
            <v>21</v>
          </cell>
          <cell r="K31">
            <v>18</v>
          </cell>
          <cell r="L31">
            <v>18</v>
          </cell>
          <cell r="M31">
            <v>15</v>
          </cell>
          <cell r="N31">
            <v>15</v>
          </cell>
          <cell r="O31">
            <v>54</v>
          </cell>
          <cell r="P31">
            <v>54</v>
          </cell>
          <cell r="Q31">
            <v>146</v>
          </cell>
          <cell r="R31">
            <v>146</v>
          </cell>
        </row>
        <row r="32">
          <cell r="B32" t="str">
            <v>Step Iron</v>
          </cell>
          <cell r="C32" t="str">
            <v>ASTM A36, Round Bar Φ20x1200L, Hot dip galvanized</v>
          </cell>
          <cell r="D32" t="str">
            <v>ea</v>
          </cell>
          <cell r="E32">
            <v>41</v>
          </cell>
          <cell r="F32">
            <v>3.5999999999999996</v>
          </cell>
          <cell r="G32">
            <v>147.6</v>
          </cell>
          <cell r="I32">
            <v>2</v>
          </cell>
          <cell r="J32">
            <v>82</v>
          </cell>
          <cell r="K32">
            <v>1.5</v>
          </cell>
          <cell r="L32">
            <v>61.5</v>
          </cell>
          <cell r="M32">
            <v>1.2000000000000002</v>
          </cell>
          <cell r="N32">
            <v>49.2</v>
          </cell>
          <cell r="O32">
            <v>4.6999999999999993</v>
          </cell>
          <cell r="P32">
            <v>192.7</v>
          </cell>
          <cell r="Q32">
            <v>8.3000000000000007</v>
          </cell>
          <cell r="R32">
            <v>340.3</v>
          </cell>
        </row>
        <row r="33">
          <cell r="B33" t="str">
            <v>Misc. Steel</v>
          </cell>
          <cell r="C33" t="str">
            <v>ASTM A36 or equivalent</v>
          </cell>
          <cell r="D33" t="str">
            <v>Ton</v>
          </cell>
          <cell r="E33">
            <v>4</v>
          </cell>
          <cell r="F33">
            <v>820</v>
          </cell>
          <cell r="G33">
            <v>3280</v>
          </cell>
          <cell r="I33">
            <v>425</v>
          </cell>
          <cell r="J33">
            <v>1700</v>
          </cell>
          <cell r="K33">
            <v>370</v>
          </cell>
          <cell r="L33">
            <v>1480</v>
          </cell>
          <cell r="M33">
            <v>250</v>
          </cell>
          <cell r="N33">
            <v>1000</v>
          </cell>
          <cell r="O33">
            <v>1045</v>
          </cell>
          <cell r="P33">
            <v>4180</v>
          </cell>
          <cell r="Q33">
            <v>1865</v>
          </cell>
          <cell r="R33">
            <v>7460</v>
          </cell>
        </row>
        <row r="34">
          <cell r="B34" t="str">
            <v>Anchor Bolt (M24)</v>
          </cell>
          <cell r="C34" t="str">
            <v>ASTM A36 or equivalent (Refer DEP S28.020), Install only</v>
          </cell>
          <cell r="D34" t="str">
            <v>ea</v>
          </cell>
          <cell r="E34">
            <v>38</v>
          </cell>
          <cell r="F34">
            <v>0</v>
          </cell>
          <cell r="G34">
            <v>0</v>
          </cell>
          <cell r="I34">
            <v>6</v>
          </cell>
          <cell r="J34">
            <v>228</v>
          </cell>
          <cell r="K34">
            <v>5</v>
          </cell>
          <cell r="L34">
            <v>190</v>
          </cell>
          <cell r="M34">
            <v>3</v>
          </cell>
          <cell r="N34">
            <v>114</v>
          </cell>
          <cell r="O34">
            <v>14</v>
          </cell>
          <cell r="P34">
            <v>532</v>
          </cell>
          <cell r="Q34">
            <v>14</v>
          </cell>
          <cell r="R34">
            <v>532</v>
          </cell>
        </row>
        <row r="35">
          <cell r="B35" t="str">
            <v>Anchor Bolt (M42)</v>
          </cell>
          <cell r="C35" t="str">
            <v>ASTM A36 or equivalent (Refer DEP S28.020), Install only</v>
          </cell>
          <cell r="D35" t="str">
            <v>ea</v>
          </cell>
          <cell r="E35">
            <v>806</v>
          </cell>
          <cell r="F35">
            <v>0</v>
          </cell>
          <cell r="G35">
            <v>0</v>
          </cell>
          <cell r="I35">
            <v>7</v>
          </cell>
          <cell r="J35">
            <v>5642</v>
          </cell>
          <cell r="K35">
            <v>6</v>
          </cell>
          <cell r="L35">
            <v>4836</v>
          </cell>
          <cell r="M35">
            <v>3.5</v>
          </cell>
          <cell r="N35">
            <v>2821</v>
          </cell>
          <cell r="O35">
            <v>16.5</v>
          </cell>
          <cell r="P35">
            <v>13299</v>
          </cell>
          <cell r="Q35">
            <v>16.5</v>
          </cell>
          <cell r="R35">
            <v>13299</v>
          </cell>
        </row>
        <row r="36">
          <cell r="B36" t="str">
            <v>Wearing Course (Asphalt Road)</v>
          </cell>
          <cell r="C36" t="str">
            <v>Thk.=50mm</v>
          </cell>
          <cell r="D36" t="str">
            <v>m3</v>
          </cell>
          <cell r="E36">
            <v>75</v>
          </cell>
          <cell r="F36">
            <v>70</v>
          </cell>
          <cell r="G36">
            <v>5250</v>
          </cell>
          <cell r="I36">
            <v>32</v>
          </cell>
          <cell r="J36">
            <v>2400</v>
          </cell>
          <cell r="K36">
            <v>49</v>
          </cell>
          <cell r="L36">
            <v>3675</v>
          </cell>
          <cell r="M36">
            <v>15</v>
          </cell>
          <cell r="N36">
            <v>1125</v>
          </cell>
          <cell r="O36">
            <v>96</v>
          </cell>
          <cell r="P36">
            <v>7200</v>
          </cell>
          <cell r="Q36">
            <v>166</v>
          </cell>
          <cell r="R36">
            <v>12450</v>
          </cell>
        </row>
        <row r="37">
          <cell r="B37" t="str">
            <v>Prime Coat/Tack Coat</v>
          </cell>
          <cell r="C37" t="str">
            <v>Emulsified Asphalt</v>
          </cell>
          <cell r="D37" t="str">
            <v>m2</v>
          </cell>
          <cell r="E37">
            <v>1515.4</v>
          </cell>
          <cell r="F37">
            <v>0.35</v>
          </cell>
          <cell r="G37">
            <v>530.39</v>
          </cell>
          <cell r="I37">
            <v>0.25</v>
          </cell>
          <cell r="J37">
            <v>378.85</v>
          </cell>
          <cell r="K37">
            <v>0.15</v>
          </cell>
          <cell r="L37">
            <v>227.31</v>
          </cell>
          <cell r="M37">
            <v>9.9999999999999992E-2</v>
          </cell>
          <cell r="N37">
            <v>151.54</v>
          </cell>
          <cell r="O37">
            <v>0.5</v>
          </cell>
          <cell r="P37">
            <v>757.7</v>
          </cell>
          <cell r="Q37">
            <v>0.84999999999999987</v>
          </cell>
          <cell r="R37">
            <v>1288.0899999999999</v>
          </cell>
        </row>
        <row r="38">
          <cell r="B38" t="str">
            <v>Base Course (Asphalt Road)</v>
          </cell>
          <cell r="C38" t="str">
            <v>Thk.=250mm (Using gatch)</v>
          </cell>
          <cell r="D38" t="str">
            <v>m3</v>
          </cell>
          <cell r="E38">
            <v>379</v>
          </cell>
          <cell r="F38">
            <v>4</v>
          </cell>
          <cell r="G38">
            <v>1516</v>
          </cell>
          <cell r="I38">
            <v>2.75</v>
          </cell>
          <cell r="J38">
            <v>1042.25</v>
          </cell>
          <cell r="K38">
            <v>2.4</v>
          </cell>
          <cell r="L38">
            <v>909.6</v>
          </cell>
          <cell r="M38">
            <v>1</v>
          </cell>
          <cell r="N38">
            <v>379</v>
          </cell>
          <cell r="O38">
            <v>6.1499999999999995</v>
          </cell>
          <cell r="P38">
            <v>2330.85</v>
          </cell>
          <cell r="Q38">
            <v>10.15</v>
          </cell>
          <cell r="R38">
            <v>3846.85</v>
          </cell>
          <cell r="S38" t="str">
            <v>(Using gatch)</v>
          </cell>
        </row>
        <row r="39">
          <cell r="B39" t="str">
            <v>Sub-Base Course (Asphalt Road)</v>
          </cell>
          <cell r="C39" t="str">
            <v>Thk.=250mm (Using gatch)</v>
          </cell>
          <cell r="D39" t="str">
            <v>m3</v>
          </cell>
          <cell r="E39">
            <v>383</v>
          </cell>
          <cell r="F39">
            <v>4</v>
          </cell>
          <cell r="G39">
            <v>1532</v>
          </cell>
          <cell r="I39">
            <v>2.75</v>
          </cell>
          <cell r="J39">
            <v>1053.25</v>
          </cell>
          <cell r="K39">
            <v>2.4</v>
          </cell>
          <cell r="L39">
            <v>919.2</v>
          </cell>
          <cell r="M39">
            <v>1</v>
          </cell>
          <cell r="N39">
            <v>383</v>
          </cell>
          <cell r="O39">
            <v>6.1499999999999995</v>
          </cell>
          <cell r="P39">
            <v>2355.4499999999998</v>
          </cell>
          <cell r="Q39">
            <v>10.15</v>
          </cell>
          <cell r="R39">
            <v>3887.45</v>
          </cell>
          <cell r="S39" t="str">
            <v>(Using gatch)</v>
          </cell>
        </row>
        <row r="40">
          <cell r="B40" t="str">
            <v>Shoulder (Gravel)</v>
          </cell>
          <cell r="C40" t="str">
            <v>Thk.=50mm</v>
          </cell>
          <cell r="D40" t="str">
            <v>m2</v>
          </cell>
          <cell r="E40">
            <v>749</v>
          </cell>
          <cell r="F40">
            <v>27</v>
          </cell>
          <cell r="G40">
            <v>20223</v>
          </cell>
          <cell r="I40">
            <v>12</v>
          </cell>
          <cell r="J40">
            <v>8988</v>
          </cell>
          <cell r="K40">
            <v>10</v>
          </cell>
          <cell r="L40">
            <v>7490</v>
          </cell>
          <cell r="M40">
            <v>2</v>
          </cell>
          <cell r="N40">
            <v>1498</v>
          </cell>
          <cell r="O40">
            <v>24</v>
          </cell>
          <cell r="P40">
            <v>17976</v>
          </cell>
          <cell r="Q40">
            <v>51</v>
          </cell>
          <cell r="R40">
            <v>38199</v>
          </cell>
        </row>
        <row r="41">
          <cell r="B41" t="str">
            <v>Concrete Paving (for Light Duty)</v>
          </cell>
          <cell r="C41" t="str">
            <v>Thk.=100mm, grade C-30</v>
          </cell>
          <cell r="D41" t="str">
            <v>m3</v>
          </cell>
          <cell r="E41">
            <v>99</v>
          </cell>
          <cell r="F41">
            <v>110</v>
          </cell>
          <cell r="G41">
            <v>10890</v>
          </cell>
          <cell r="I41">
            <v>64</v>
          </cell>
          <cell r="J41">
            <v>6336</v>
          </cell>
          <cell r="K41">
            <v>57</v>
          </cell>
          <cell r="L41">
            <v>5643</v>
          </cell>
          <cell r="M41">
            <v>41</v>
          </cell>
          <cell r="N41">
            <v>4059</v>
          </cell>
          <cell r="O41">
            <v>162</v>
          </cell>
          <cell r="P41">
            <v>16038</v>
          </cell>
          <cell r="Q41">
            <v>272</v>
          </cell>
          <cell r="R41">
            <v>26928</v>
          </cell>
        </row>
        <row r="42">
          <cell r="B42" t="str">
            <v>Expansion Joint (for Con'c Paving Light Duty)</v>
          </cell>
          <cell r="C42" t="str">
            <v>L=20m, 25 deep x 20 wide Hydrocarbon resistant joint sealant</v>
          </cell>
          <cell r="D42" t="str">
            <v>m</v>
          </cell>
          <cell r="E42">
            <v>120</v>
          </cell>
          <cell r="F42">
            <v>5</v>
          </cell>
          <cell r="G42">
            <v>600</v>
          </cell>
          <cell r="I42">
            <v>2.2999999999999998</v>
          </cell>
          <cell r="J42">
            <v>276</v>
          </cell>
          <cell r="K42">
            <v>1.3</v>
          </cell>
          <cell r="L42">
            <v>156</v>
          </cell>
          <cell r="M42">
            <v>1.5</v>
          </cell>
          <cell r="N42">
            <v>180</v>
          </cell>
          <cell r="O42">
            <v>5.0999999999999996</v>
          </cell>
          <cell r="P42">
            <v>612</v>
          </cell>
          <cell r="Q42">
            <v>10.1</v>
          </cell>
          <cell r="R42">
            <v>1212</v>
          </cell>
        </row>
        <row r="43">
          <cell r="B43" t="str">
            <v>Contraction Joint (for Con'c Paving Light Duty)</v>
          </cell>
          <cell r="C43" t="str">
            <v>L=5m, 20mm deep groove to be cut after casting and filled with Hydrocarbon resistant joint sealant</v>
          </cell>
          <cell r="D43" t="str">
            <v>m</v>
          </cell>
          <cell r="E43">
            <v>260</v>
          </cell>
          <cell r="F43">
            <v>3.2</v>
          </cell>
          <cell r="G43">
            <v>832</v>
          </cell>
          <cell r="I43">
            <v>1.5</v>
          </cell>
          <cell r="J43">
            <v>390</v>
          </cell>
          <cell r="K43">
            <v>1.05</v>
          </cell>
          <cell r="L43">
            <v>273</v>
          </cell>
          <cell r="M43">
            <v>1.2</v>
          </cell>
          <cell r="N43">
            <v>312</v>
          </cell>
          <cell r="O43">
            <v>3.75</v>
          </cell>
          <cell r="P43">
            <v>975</v>
          </cell>
          <cell r="Q43">
            <v>6.95</v>
          </cell>
          <cell r="R43">
            <v>1807</v>
          </cell>
        </row>
        <row r="44">
          <cell r="B44" t="str">
            <v>Wire Fabric. (for Light Duty Con'c paving)</v>
          </cell>
          <cell r="C44" t="str">
            <v xml:space="preserve">φ7-200x200, Cold-drawn finish, ASTM A185 </v>
          </cell>
          <cell r="D44" t="str">
            <v>m2</v>
          </cell>
          <cell r="E44">
            <v>10369</v>
          </cell>
          <cell r="F44">
            <v>1.8</v>
          </cell>
          <cell r="G44">
            <v>18664.2</v>
          </cell>
          <cell r="I44">
            <v>0.8</v>
          </cell>
          <cell r="J44">
            <v>8295.2000000000007</v>
          </cell>
          <cell r="K44">
            <v>0.70000000000000007</v>
          </cell>
          <cell r="L44">
            <v>7258.3</v>
          </cell>
          <cell r="M44">
            <v>0.45</v>
          </cell>
          <cell r="N44">
            <v>4666.05</v>
          </cell>
          <cell r="O44">
            <v>1.95</v>
          </cell>
          <cell r="P44">
            <v>20219.55</v>
          </cell>
          <cell r="Q44">
            <v>3.75</v>
          </cell>
          <cell r="R44">
            <v>38883.75</v>
          </cell>
        </row>
        <row r="45">
          <cell r="B45" t="str">
            <v>Joint Filler &amp; Sealant (for concrete paving Light Duty)</v>
          </cell>
          <cell r="C45" t="str">
            <v>20 thick flexible jointing material 25 deep x 20 wide Hydrocarbon resistant joint sealant in top.</v>
          </cell>
          <cell r="D45" t="str">
            <v>m</v>
          </cell>
          <cell r="E45">
            <v>1975</v>
          </cell>
          <cell r="F45">
            <v>5</v>
          </cell>
          <cell r="G45">
            <v>9875</v>
          </cell>
          <cell r="I45">
            <v>2.2999999999999998</v>
          </cell>
          <cell r="J45">
            <v>4542.5</v>
          </cell>
          <cell r="K45">
            <v>1.3</v>
          </cell>
          <cell r="L45">
            <v>2567.5</v>
          </cell>
          <cell r="M45">
            <v>1.5</v>
          </cell>
          <cell r="N45">
            <v>2962.5</v>
          </cell>
          <cell r="O45">
            <v>5.0999999999999996</v>
          </cell>
          <cell r="P45">
            <v>10072.5</v>
          </cell>
          <cell r="Q45">
            <v>10.1</v>
          </cell>
          <cell r="R45">
            <v>19947.5</v>
          </cell>
        </row>
        <row r="46">
          <cell r="B46" t="str">
            <v>Polyethylene membrane</v>
          </cell>
          <cell r="C46" t="str">
            <v>gauge 1000 or equal</v>
          </cell>
          <cell r="D46" t="str">
            <v>m2</v>
          </cell>
          <cell r="E46">
            <v>10397</v>
          </cell>
          <cell r="F46">
            <v>0.5</v>
          </cell>
          <cell r="G46">
            <v>5198.5</v>
          </cell>
          <cell r="I46">
            <v>0.42</v>
          </cell>
          <cell r="J46">
            <v>4366.74</v>
          </cell>
          <cell r="K46">
            <v>0.17499999999999999</v>
          </cell>
          <cell r="L46">
            <v>1819.4749999999999</v>
          </cell>
          <cell r="M46">
            <v>0.105</v>
          </cell>
          <cell r="N46">
            <v>1091.6849999999999</v>
          </cell>
          <cell r="O46">
            <v>0.7</v>
          </cell>
          <cell r="P46">
            <v>7277.9</v>
          </cell>
          <cell r="Q46">
            <v>1.2</v>
          </cell>
          <cell r="R46">
            <v>12476.4</v>
          </cell>
        </row>
        <row r="47">
          <cell r="B47" t="str">
            <v>Hardboard</v>
          </cell>
          <cell r="C47">
            <v>0</v>
          </cell>
          <cell r="D47" t="str">
            <v>m2</v>
          </cell>
          <cell r="E47">
            <v>7844</v>
          </cell>
          <cell r="F47">
            <v>3.4</v>
          </cell>
          <cell r="G47">
            <v>26669.599999999999</v>
          </cell>
          <cell r="I47">
            <v>2.5</v>
          </cell>
          <cell r="J47">
            <v>19610</v>
          </cell>
          <cell r="K47">
            <v>1.5</v>
          </cell>
          <cell r="L47">
            <v>11766</v>
          </cell>
          <cell r="M47">
            <v>1</v>
          </cell>
          <cell r="N47">
            <v>7844</v>
          </cell>
          <cell r="O47">
            <v>5</v>
          </cell>
          <cell r="P47">
            <v>39220</v>
          </cell>
          <cell r="Q47">
            <v>8.4</v>
          </cell>
          <cell r="R47">
            <v>65889.600000000006</v>
          </cell>
        </row>
        <row r="48">
          <cell r="B48" t="str">
            <v>screed</v>
          </cell>
          <cell r="C48" t="str">
            <v>20mm thick Mortar</v>
          </cell>
          <cell r="D48" t="str">
            <v>m2</v>
          </cell>
          <cell r="E48">
            <v>20795</v>
          </cell>
          <cell r="F48">
            <v>4.2</v>
          </cell>
          <cell r="G48">
            <v>87339</v>
          </cell>
          <cell r="I48">
            <v>2.35</v>
          </cell>
          <cell r="J48">
            <v>48868.25</v>
          </cell>
          <cell r="K48">
            <v>2</v>
          </cell>
          <cell r="L48">
            <v>41590</v>
          </cell>
          <cell r="M48">
            <v>1.5</v>
          </cell>
          <cell r="N48">
            <v>31192.5</v>
          </cell>
          <cell r="O48">
            <v>5.85</v>
          </cell>
          <cell r="P48">
            <v>121650.75</v>
          </cell>
          <cell r="Q48">
            <v>10.050000000000001</v>
          </cell>
          <cell r="R48">
            <v>208989.75</v>
          </cell>
        </row>
        <row r="49">
          <cell r="B49" t="str">
            <v>Fence (New)</v>
          </cell>
          <cell r="C49" t="str">
            <v xml:space="preserve">Hot dip galvanized steelwire and chain link fence fabric may be PVC-coated in acc. With ASTM F 668.
3-strings barbed wire dia. 2.5mm (min.), double stranded with 4 points barbs set 85mm apart, or barbed tape. Steel bracings L50x50x5 min. bolted to posts, </v>
          </cell>
          <cell r="D49" t="str">
            <v>m</v>
          </cell>
          <cell r="E49">
            <v>580</v>
          </cell>
          <cell r="F49">
            <v>28</v>
          </cell>
          <cell r="G49">
            <v>16240</v>
          </cell>
          <cell r="I49">
            <v>15</v>
          </cell>
          <cell r="J49">
            <v>8700</v>
          </cell>
          <cell r="K49">
            <v>12</v>
          </cell>
          <cell r="L49">
            <v>6960</v>
          </cell>
          <cell r="M49">
            <v>3</v>
          </cell>
          <cell r="N49">
            <v>1740</v>
          </cell>
          <cell r="O49">
            <v>30</v>
          </cell>
          <cell r="P49">
            <v>17400</v>
          </cell>
          <cell r="Q49">
            <v>58</v>
          </cell>
          <cell r="R49">
            <v>33640</v>
          </cell>
        </row>
      </sheetData>
      <sheetData sheetId="5">
        <row r="8">
          <cell r="B8" t="str">
            <v>Demolition (Paving)</v>
          </cell>
        </row>
        <row r="9">
          <cell r="B9" t="str">
            <v>Demolition (Road)</v>
          </cell>
          <cell r="C9">
            <v>0</v>
          </cell>
          <cell r="D9" t="str">
            <v>m2</v>
          </cell>
          <cell r="E9">
            <v>4680</v>
          </cell>
          <cell r="I9">
            <v>2.15</v>
          </cell>
          <cell r="J9">
            <v>10062</v>
          </cell>
          <cell r="K9">
            <v>3.1</v>
          </cell>
          <cell r="L9">
            <v>14508</v>
          </cell>
          <cell r="M9">
            <v>1.1000000000000001</v>
          </cell>
          <cell r="N9">
            <v>5148</v>
          </cell>
          <cell r="O9">
            <v>6.35</v>
          </cell>
          <cell r="P9">
            <v>29718</v>
          </cell>
          <cell r="Q9">
            <v>6.35</v>
          </cell>
          <cell r="R9">
            <v>29718</v>
          </cell>
          <cell r="S9" t="str">
            <v>Road thickness limited to 125mm</v>
          </cell>
        </row>
        <row r="10">
          <cell r="B10" t="str">
            <v>Demolition (Fence)</v>
          </cell>
          <cell r="C10" t="str">
            <v>including foundation</v>
          </cell>
          <cell r="D10" t="str">
            <v>m</v>
          </cell>
          <cell r="E10">
            <v>1218</v>
          </cell>
          <cell r="I10">
            <v>1.4000000000000001</v>
          </cell>
          <cell r="J10">
            <v>1705.2</v>
          </cell>
          <cell r="K10">
            <v>2</v>
          </cell>
          <cell r="L10">
            <v>2436</v>
          </cell>
          <cell r="M10">
            <v>0.79999999999999993</v>
          </cell>
          <cell r="N10">
            <v>974.4</v>
          </cell>
          <cell r="O10">
            <v>4.2</v>
          </cell>
          <cell r="P10">
            <v>5115.6000000000004</v>
          </cell>
          <cell r="Q10">
            <v>4.2</v>
          </cell>
          <cell r="R10">
            <v>5115.6000000000004</v>
          </cell>
        </row>
        <row r="11">
          <cell r="B11" t="str">
            <v>Demolition (Concrete)</v>
          </cell>
          <cell r="C11">
            <v>0</v>
          </cell>
          <cell r="D11" t="str">
            <v>m3</v>
          </cell>
          <cell r="E11">
            <v>1225</v>
          </cell>
          <cell r="I11">
            <v>21.3</v>
          </cell>
          <cell r="J11">
            <v>26092.5</v>
          </cell>
          <cell r="K11">
            <v>30.5</v>
          </cell>
          <cell r="L11">
            <v>37362.5</v>
          </cell>
          <cell r="M11">
            <v>9.1999999999999993</v>
          </cell>
          <cell r="N11">
            <v>11270</v>
          </cell>
          <cell r="O11">
            <v>61</v>
          </cell>
          <cell r="P11">
            <v>74725</v>
          </cell>
          <cell r="Q11">
            <v>61</v>
          </cell>
          <cell r="R11">
            <v>74725</v>
          </cell>
        </row>
        <row r="12">
          <cell r="B12" t="str">
            <v>Topographical Survey</v>
          </cell>
          <cell r="C12">
            <v>0</v>
          </cell>
          <cell r="D12" t="str">
            <v>m2</v>
          </cell>
          <cell r="E12">
            <v>1258</v>
          </cell>
          <cell r="I12">
            <v>0.27</v>
          </cell>
          <cell r="J12">
            <v>339.66</v>
          </cell>
          <cell r="K12">
            <v>0.21</v>
          </cell>
          <cell r="L12">
            <v>264.18</v>
          </cell>
          <cell r="M12">
            <v>0.12000000000000001</v>
          </cell>
          <cell r="N12">
            <v>150.96</v>
          </cell>
          <cell r="O12">
            <v>0.6</v>
          </cell>
          <cell r="P12">
            <v>754.8</v>
          </cell>
          <cell r="Q12">
            <v>0.6</v>
          </cell>
          <cell r="R12">
            <v>754.8</v>
          </cell>
        </row>
      </sheetData>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9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OSBL"/>
      <sheetName val="ISBL"/>
      <sheetName val="TABLE2-1 ISBL(GENEAL-CIVIL)"/>
      <sheetName val="TABLE2-1 ISBL-(SlTE PREP)"/>
      <sheetName val="TABLE2.1 ISBL (Soil Invest)"/>
      <sheetName val="TABLE2-2 OSBL(GENERAL-CIVIL)"/>
      <sheetName val="TABLE2-2 OSBL-(SITE PREP)"/>
    </sheetNames>
    <sheetDataSet>
      <sheetData sheetId="0">
        <row r="13">
          <cell r="B13" t="str">
            <v>Demolition (Paving)</v>
          </cell>
        </row>
      </sheetData>
      <sheetData sheetId="1">
        <row r="13">
          <cell r="B13" t="str">
            <v>Demolition (Paving)</v>
          </cell>
        </row>
      </sheetData>
      <sheetData sheetId="2" refreshError="1"/>
      <sheetData sheetId="3" refreshError="1"/>
      <sheetData sheetId="4" refreshError="1"/>
      <sheetData sheetId="5" refreshError="1"/>
      <sheetData sheetId="6" refreshError="1"/>
    </sheetDataSet>
  </externalBook>
</externalLink>
</file>

<file path=xl/externalLinks/externalLink9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정부노임단가"/>
      <sheetName val="단가조사서"/>
      <sheetName val="공사원가"/>
      <sheetName val="내역서집계표"/>
      <sheetName val="내역서"/>
      <sheetName val="호표일위대가집계표"/>
      <sheetName val="호표일위대가"/>
      <sheetName val="중기산출근거"/>
      <sheetName val="중기집계표"/>
      <sheetName val="중기계산"/>
      <sheetName val="2.자재집계표"/>
      <sheetName val="토공-토사"/>
      <sheetName val="맹암거터파기"/>
      <sheetName val="되메우기및다짐1"/>
      <sheetName val="토사운반및사토장정리"/>
      <sheetName val="경암운반및사토장정리"/>
      <sheetName val="화강석 보조기층"/>
      <sheetName val="혼합기층 포설 및다짐 (2)"/>
      <sheetName val="보조기층 포설 및다짐"/>
      <sheetName val="아스콘기층"/>
      <sheetName val="아스콘표층"/>
      <sheetName val="프라임코팅"/>
      <sheetName val="텍코팅코팅"/>
      <sheetName val="보조기층운반"/>
      <sheetName val="철근운반"/>
      <sheetName val="흄관운반300"/>
      <sheetName val="도로경계석운반"/>
      <sheetName val="보차도경계석운반 (2)"/>
      <sheetName val="1.총괄토공"/>
      <sheetName val="2.하수터파기토공"/>
      <sheetName val="3.하수수량집계표"/>
      <sheetName val="배수관집계표-연결관"/>
      <sheetName val="연결관-300"/>
      <sheetName val="배수관집계표-오수관"/>
      <sheetName val="오수관-300"/>
      <sheetName val="맨홀집계및깊이계산서-오수"/>
      <sheetName val="오수맨홀900"/>
      <sheetName val="집수정600-600-3"/>
      <sheetName val="집수정300-400-1"/>
      <sheetName val="U형측구300×400"/>
      <sheetName val="4.맹암거집계표"/>
      <sheetName val="맹암거 토공"/>
      <sheetName val="맹암거100"/>
      <sheetName val="맹암거200"/>
      <sheetName val="맹암거300"/>
      <sheetName val="5.포장공사수량집계표"/>
      <sheetName val="화강석"/>
      <sheetName val="보차도경계석"/>
      <sheetName val="도로경계석 (2)"/>
      <sheetName val="L형측구"/>
      <sheetName val="아스팔트포장"/>
      <sheetName val="XXXXXX"/>
      <sheetName val="장비집계"/>
      <sheetName val="위생기구집계"/>
      <sheetName val="급수급탕집계"/>
      <sheetName val="급수급탕 (동관)"/>
      <sheetName val="오배수 (집계)"/>
      <sheetName val="NO-HUB"/>
      <sheetName val="오배수"/>
      <sheetName val="닥트집계"/>
      <sheetName val="덕트"/>
      <sheetName val="Cover"/>
      <sheetName val="장비당단가 (1)"/>
      <sheetName val="A-4"/>
      <sheetName val="단위중량"/>
      <sheetName val="ITEM"/>
      <sheetName val="견적서"/>
      <sheetName val="시행예산"/>
      <sheetName val="하수급견적대비"/>
      <sheetName val=" 견적서"/>
      <sheetName val="환률"/>
      <sheetName val="일반부표"/>
      <sheetName val="공비대비"/>
      <sheetName val="Sheet5"/>
      <sheetName val="WORK"/>
      <sheetName val="물량집계(전기)"/>
      <sheetName val="물량집계(계장)"/>
      <sheetName val="2_자재집계표"/>
      <sheetName val="화강석_보조기층"/>
      <sheetName val="혼합기층_포설_및다짐_(2)"/>
      <sheetName val="보조기층_포설_및다짐"/>
      <sheetName val="보차도경계석운반_(2)"/>
      <sheetName val="1_총괄토공"/>
      <sheetName val="2_하수터파기토공"/>
      <sheetName val="3_하수수량집계표"/>
      <sheetName val="4_맹암거집계표"/>
      <sheetName val="맹암거_토공"/>
      <sheetName val="5_포장공사수량집계표"/>
      <sheetName val="도로경계석_(2)"/>
      <sheetName val="급수급탕_(동관)"/>
      <sheetName val="오배수_(집계)"/>
      <sheetName val="장비당단가_(1)"/>
      <sheetName val="Testing"/>
      <sheetName val="Sheet1"/>
      <sheetName val="ISBL"/>
      <sheetName val="OSBL"/>
      <sheetName val="일위대가목록"/>
      <sheetName val="Y-WORK"/>
      <sheetName val="Dae_Jiju"/>
      <sheetName val="Sikje_ingun"/>
      <sheetName val="TREE_D"/>
      <sheetName val="한일양산"/>
      <sheetName val="3BL공동구 수량"/>
      <sheetName val="Sheet4"/>
      <sheetName val="차액보증"/>
      <sheetName val="적용률"/>
      <sheetName val="DATA"/>
      <sheetName val="데이타"/>
      <sheetName val="CONCRETE"/>
      <sheetName val="을"/>
      <sheetName val="Site Expenses"/>
      <sheetName val="부대내역"/>
      <sheetName val="건축내역"/>
      <sheetName val="1.맹암거관련"/>
      <sheetName val="c_balju"/>
      <sheetName val="실행철강하도"/>
      <sheetName val="수목표준대가"/>
      <sheetName val="BQ"/>
      <sheetName val="BID"/>
      <sheetName val="입찰안"/>
      <sheetName val="L형옹벽(key)"/>
      <sheetName val="BSD (2)"/>
      <sheetName val="INST_DCI"/>
      <sheetName val="IPL_SCHEDULE"/>
      <sheetName val="INSTR"/>
      <sheetName val="영업소실적"/>
      <sheetName val="ilch"/>
      <sheetName val="설계"/>
      <sheetName val="가시설수량"/>
      <sheetName val="단위수량"/>
      <sheetName val="GAEYO"/>
      <sheetName val="건내용"/>
      <sheetName val="Sheet2"/>
      <sheetName val="PRO_DCI"/>
      <sheetName val="HVAC_DCI"/>
      <sheetName val="PIPE_DCI"/>
      <sheetName val="TABLE2-1 ISBL(GENEAL-CIVIL)"/>
      <sheetName val="TABLE2-1 ISBL-(SlTE PREP)"/>
      <sheetName val="TABLE2.1 ISBL (Soil Invest)"/>
      <sheetName val="TABLE2-2 OSBL(GENERAL-CIVIL)"/>
      <sheetName val="TABLE2-2 OSBL-(SITE PREP)"/>
      <sheetName val="영동(D)"/>
      <sheetName val="일위"/>
      <sheetName val="공사비 내역 (가)"/>
      <sheetName val="OCT.FDN"/>
      <sheetName val="General Data"/>
      <sheetName val="gyun"/>
      <sheetName val="산출근거"/>
      <sheetName val="산업개발안내서"/>
      <sheetName val="식재인부"/>
      <sheetName val="토목내역"/>
      <sheetName val="도급"/>
      <sheetName val="일위대가"/>
      <sheetName val="MOTOR"/>
      <sheetName val="기계내역"/>
      <sheetName val="당초"/>
      <sheetName val="Proposal"/>
      <sheetName val="20관리비율"/>
      <sheetName val="원가계산"/>
      <sheetName val="공통부대비"/>
      <sheetName val="내역"/>
      <sheetName val="동원인원"/>
      <sheetName val="변압기 및 발전기 용량"/>
      <sheetName val="공문"/>
      <sheetName val="품셈TABLE"/>
      <sheetName val="01"/>
      <sheetName val="투찰"/>
      <sheetName val="2F 회의실견적(5_14 일대)"/>
      <sheetName val="단가"/>
      <sheetName val="시설물일위"/>
      <sheetName val="XL4Poppy"/>
      <sheetName val="PhaDoMong"/>
      <sheetName val="PRO_A"/>
      <sheetName val="DWG"/>
      <sheetName val="ELEC_MCI"/>
      <sheetName val="MAIN"/>
      <sheetName val="INST_MCI"/>
      <sheetName val="MECH_MCI"/>
      <sheetName val="PRO"/>
      <sheetName val="입사시직위"/>
      <sheetName val="7.5.2 BOQ Summary "/>
      <sheetName val="FAB별"/>
      <sheetName val="GTG TR PIT"/>
      <sheetName val="결선list"/>
      <sheetName val="빙장비사양"/>
      <sheetName val="감가상각"/>
      <sheetName val="노임단가"/>
      <sheetName val="토공사"/>
      <sheetName val="8월현금흐름표"/>
      <sheetName val="맨홀수량집계"/>
      <sheetName val="9811"/>
      <sheetName val="토목"/>
      <sheetName val="PUMP"/>
      <sheetName val="보합"/>
      <sheetName val="TABLE"/>
      <sheetName val="ABUT수량-A1"/>
      <sheetName val="갑지"/>
      <sheetName val="집계표"/>
      <sheetName val="단가결정"/>
      <sheetName val="TEL"/>
      <sheetName val="SE-611"/>
      <sheetName val="말뚝지지력산정"/>
      <sheetName val="가시설(TYPE-A)"/>
      <sheetName val="1호맨홀가감수량"/>
      <sheetName val="1-1평균터파기고(1)"/>
      <sheetName val="1호맨홀수량산출"/>
      <sheetName val="공사개요"/>
      <sheetName val="명세서"/>
      <sheetName val="자재단가비교표"/>
      <sheetName val="내역1"/>
      <sheetName val="I.설계조건"/>
      <sheetName val="공통가설"/>
      <sheetName val="단가대비표"/>
      <sheetName val="물량산출근거"/>
      <sheetName val="실행(ALT1)"/>
      <sheetName val="kimre scrubber"/>
      <sheetName val="일반맨홀수량집계"/>
      <sheetName val="소업1교"/>
      <sheetName val="BLOCK(1)"/>
      <sheetName val="수량산출"/>
      <sheetName val="오산갈곳"/>
      <sheetName val="부대대비"/>
      <sheetName val="냉연집계"/>
      <sheetName val="신우"/>
      <sheetName val="CODE"/>
      <sheetName val="2000년1차"/>
      <sheetName val="시멘트"/>
      <sheetName val="#REF"/>
      <sheetName val="별표 "/>
      <sheetName val="현장"/>
      <sheetName val="TYPE-A"/>
      <sheetName val="차수"/>
      <sheetName val="밸브설치"/>
      <sheetName val="GRDBS"/>
      <sheetName val="단가표"/>
      <sheetName val="Customer Databas"/>
      <sheetName val="FANDBS"/>
      <sheetName val="GRDATA"/>
      <sheetName val="SHAFTDBSE"/>
      <sheetName val="소비자가"/>
      <sheetName val="MATRLDATA"/>
      <sheetName val="원가"/>
      <sheetName val="직노"/>
      <sheetName val="DATA(BAC)"/>
      <sheetName val="말뚝물량"/>
      <sheetName val="DATE"/>
      <sheetName val="7내역"/>
      <sheetName val="내역서(기계)"/>
      <sheetName val="Studio"/>
      <sheetName val="수목데이타 "/>
      <sheetName val="ATS단가"/>
      <sheetName val="과천MAIN"/>
      <sheetName val="DATA1"/>
      <sheetName val="형틀공사"/>
      <sheetName val="터파기및재료"/>
      <sheetName val="몰탈재료산출"/>
      <sheetName val="2공구산출내역"/>
      <sheetName val="J直材4"/>
      <sheetName val="국별인원"/>
      <sheetName val="1을"/>
      <sheetName val="KP1590_E"/>
      <sheetName val="96수출"/>
      <sheetName val="Sheet15"/>
      <sheetName val="남양시작동자105노65기1.3화1.2"/>
      <sheetName val="내역서(총)"/>
      <sheetName val="수목데이타"/>
      <sheetName val="품셈표"/>
      <sheetName val="EXTERNAL(BOQ)"/>
      <sheetName val="CALCULATION"/>
      <sheetName val="123"/>
      <sheetName val="유화"/>
      <sheetName val="DESIGN CRITERIA"/>
      <sheetName val="PumpSpec"/>
      <sheetName val="eq_data"/>
      <sheetName val="h-013211-2"/>
      <sheetName val="견적의뢰"/>
      <sheetName val="CAT_5"/>
      <sheetName val="SOHAR(2nd)"/>
      <sheetName val="WORK-VOL"/>
      <sheetName val="HORI. VESSEL"/>
      <sheetName val="BQ-Offsite"/>
      <sheetName val="2.단면가정"/>
      <sheetName val="4.말뚝설계"/>
      <sheetName val="1.설계조건"/>
      <sheetName val="BJJIN"/>
      <sheetName val="COPING"/>
      <sheetName val="as boq list up"/>
      <sheetName val="대창(함평)"/>
      <sheetName val="대창(장성)"/>
      <sheetName val="대창(함평)-창열"/>
      <sheetName val="Sheet1 (2)"/>
      <sheetName val="교각1"/>
      <sheetName val="일위대가목차"/>
      <sheetName val="2_자재집계표4"/>
      <sheetName val="화강석_보조기층4"/>
      <sheetName val="혼합기층_포설_및다짐_(2)4"/>
      <sheetName val="보조기층_포설_및다짐4"/>
      <sheetName val="보차도경계석운반_(2)4"/>
      <sheetName val="1_총괄토공4"/>
      <sheetName val="2_하수터파기토공4"/>
      <sheetName val="3_하수수량집계표4"/>
      <sheetName val="4_맹암거집계표4"/>
      <sheetName val="맹암거_토공4"/>
      <sheetName val="5_포장공사수량집계표4"/>
      <sheetName val="도로경계석_(2)4"/>
      <sheetName val="급수급탕_(동관)4"/>
      <sheetName val="오배수_(집계)4"/>
      <sheetName val="2_자재집계표1"/>
      <sheetName val="화강석_보조기층1"/>
      <sheetName val="혼합기층_포설_및다짐_(2)1"/>
      <sheetName val="보조기층_포설_및다짐1"/>
      <sheetName val="보차도경계석운반_(2)1"/>
      <sheetName val="1_총괄토공1"/>
      <sheetName val="2_하수터파기토공1"/>
      <sheetName val="3_하수수량집계표1"/>
      <sheetName val="4_맹암거집계표1"/>
      <sheetName val="맹암거_토공1"/>
      <sheetName val="5_포장공사수량집계표1"/>
      <sheetName val="도로경계석_(2)1"/>
      <sheetName val="급수급탕_(동관)1"/>
      <sheetName val="오배수_(집계)1"/>
      <sheetName val="2_자재집계표2"/>
      <sheetName val="화강석_보조기층2"/>
      <sheetName val="혼합기층_포설_및다짐_(2)2"/>
      <sheetName val="보조기층_포설_및다짐2"/>
      <sheetName val="보차도경계석운반_(2)2"/>
      <sheetName val="1_총괄토공2"/>
      <sheetName val="2_하수터파기토공2"/>
      <sheetName val="3_하수수량집계표2"/>
      <sheetName val="4_맹암거집계표2"/>
      <sheetName val="맹암거_토공2"/>
      <sheetName val="5_포장공사수량집계표2"/>
      <sheetName val="도로경계석_(2)2"/>
      <sheetName val="급수급탕_(동관)2"/>
      <sheetName val="오배수_(집계)2"/>
      <sheetName val="2_자재집계표3"/>
      <sheetName val="화강석_보조기층3"/>
      <sheetName val="혼합기층_포설_및다짐_(2)3"/>
      <sheetName val="보조기층_포설_및다짐3"/>
      <sheetName val="보차도경계석운반_(2)3"/>
      <sheetName val="1_총괄토공3"/>
      <sheetName val="2_하수터파기토공3"/>
      <sheetName val="3_하수수량집계표3"/>
      <sheetName val="4_맹암거집계표3"/>
      <sheetName val="맹암거_토공3"/>
      <sheetName val="5_포장공사수량집계표3"/>
      <sheetName val="도로경계석_(2)3"/>
      <sheetName val="급수급탕_(동관)3"/>
      <sheetName val="오배수_(집계)3"/>
      <sheetName val="Construction"/>
      <sheetName val="Wind Load(3.1) (2)"/>
      <sheetName val="Wind Load(3.2)"/>
      <sheetName val="Wind Load(3.4)"/>
      <sheetName val="system &amp; LOOK_UP_FUNC"/>
      <sheetName val="BM"/>
      <sheetName val="날개벽(좌,우=45도,75도)"/>
      <sheetName val="CAL"/>
      <sheetName val="연수동"/>
      <sheetName val="물량표"/>
      <sheetName val="b_balju_cho"/>
      <sheetName val="입찰견적보고서"/>
      <sheetName val="INPUT"/>
      <sheetName val="woo(mac)"/>
      <sheetName val="식재품셈"/>
      <sheetName val="견"/>
      <sheetName val="원형맨홀수량"/>
      <sheetName val="전기일위대가"/>
      <sheetName val=" 해군동해관사 미장공사A그룹 공내역서.xlsx"/>
      <sheetName val="총괄표"/>
      <sheetName val="지주목시비량산출서"/>
      <sheetName val="danga"/>
      <sheetName val="직공비"/>
      <sheetName val="단가조사"/>
      <sheetName val="식재총괄"/>
      <sheetName val="횡배수관토공수량"/>
      <sheetName val="내역표지"/>
      <sheetName val="단면(RW1)"/>
      <sheetName val="관접합및부설"/>
      <sheetName val="차량구입"/>
      <sheetName val="1.설계기준"/>
      <sheetName val="부표총괄"/>
      <sheetName val="wall"/>
      <sheetName val="기초일위"/>
      <sheetName val="시설일위"/>
      <sheetName val="조명일위"/>
      <sheetName val="단면치수"/>
      <sheetName val="부하LOAD"/>
      <sheetName val="견적집계표"/>
      <sheetName val="공사비_내역_(가)"/>
      <sheetName val="_견적서"/>
      <sheetName val="2F_회의실견적(5_14_일대)"/>
      <sheetName val="BSD_(2)"/>
      <sheetName val="1_맹암거관련"/>
      <sheetName val="3BL공동구_수량"/>
      <sheetName val="Site_Expenses"/>
      <sheetName val="입력1"/>
      <sheetName val="FLA"/>
      <sheetName val="경비2내역"/>
      <sheetName val="SORCE1"/>
      <sheetName val="수량산출서"/>
      <sheetName val="가공비"/>
      <sheetName val="조도계산서 (도서)"/>
      <sheetName val="Inputs"/>
      <sheetName val="Timing&amp;Esc"/>
      <sheetName val="금액집계"/>
      <sheetName val="hvac(제어동)"/>
      <sheetName val="Total"/>
      <sheetName val="기별(종합)"/>
      <sheetName val="TYPE-B 평균H"/>
      <sheetName val="D-3503"/>
      <sheetName val="본지점중"/>
      <sheetName val="Indices"/>
      <sheetName val="1.맹암거관련.xls"/>
      <sheetName val="1.%EB%A7%B9%EC%95%94%EA%B1%B0%E"/>
      <sheetName val="estimate"/>
      <sheetName val="Base_Data"/>
      <sheetName val="full (2)"/>
      <sheetName val="design data"/>
      <sheetName val="member design"/>
      <sheetName val="7단가"/>
      <sheetName val="적격점수&lt;300억미만&gt;"/>
      <sheetName val="검사현황"/>
      <sheetName val="Front"/>
      <sheetName val="SL dau tien"/>
      <sheetName val="Item정리"/>
      <sheetName val="표지판현황"/>
      <sheetName val="산출내역서집계표"/>
      <sheetName val="도급양식"/>
      <sheetName val="PRICE-COMP"/>
      <sheetName val="pri-com"/>
      <sheetName val="6월실적"/>
      <sheetName val="손익분석"/>
      <sheetName val="1-1"/>
      <sheetName val="단면가정"/>
      <sheetName val="IMP(MAIN)"/>
      <sheetName val="IMP (REACTOR)"/>
      <sheetName val="단위별 일위대가표"/>
      <sheetName val="정산노무"/>
      <sheetName val="정산재료"/>
      <sheetName val="전신환매도율"/>
      <sheetName val="전선 및 전선관"/>
      <sheetName val="소일위대가코드표"/>
      <sheetName val="첨부파일"/>
      <sheetName val="갑지(추정)"/>
      <sheetName val="I一般比"/>
      <sheetName val="N賃率-職"/>
      <sheetName val="설변물량"/>
      <sheetName val="설산1.나"/>
      <sheetName val="본사S"/>
      <sheetName val="Equipment"/>
      <sheetName val="Piping"/>
      <sheetName val="연습"/>
      <sheetName val="봉양~조차장간고하개명(신설)"/>
      <sheetName val="월선수금"/>
      <sheetName val="골재집계"/>
      <sheetName val="Baby일위대가"/>
      <sheetName val="적용기준"/>
      <sheetName val="EUPDAT2"/>
      <sheetName val="Hargamat"/>
      <sheetName val="검색"/>
      <sheetName val="Schedule C - Page 2 of 6"/>
      <sheetName val="Schedule C - Page 4 of 6"/>
      <sheetName val="Schedule C - Page 5 of 6"/>
      <sheetName val="Schedule C - Page 6 of 6"/>
      <sheetName val="Schedule A - Page 1 of 3"/>
      <sheetName val="Schedule A - Page 2 of 3"/>
      <sheetName val="Schedule A - Page 3 of 3"/>
      <sheetName val="Schedule B - Page 1 of 4"/>
      <sheetName val="Schedule B - Page 2 of 4"/>
      <sheetName val="Schedule B - Page 3 of 4"/>
      <sheetName val="Schedule B - Page 4 of 4"/>
      <sheetName val="Schedule C - Page 1 of 6"/>
      <sheetName val="Schedule C - Page 3 of 6"/>
      <sheetName val="Schedule E - Page 1 of 11"/>
      <sheetName val="Schedule E - Page 10 of 11"/>
      <sheetName val="Schedule E - Page 11 of 11"/>
      <sheetName val="Schedule E - Page 2 of 11"/>
      <sheetName val="Schedule E - Page 3 of 11"/>
      <sheetName val="Schedule E - Page 4 of 11"/>
      <sheetName val="Schedule E - Page 5 of 11"/>
      <sheetName val="Schedule E - Page 6 of 11"/>
      <sheetName val="Schedule E - Page 7 of 11"/>
      <sheetName val="Schedule E - Page 8 of 11"/>
      <sheetName val="Schedule E - Page 9 of 11"/>
      <sheetName val="A.1.3 - Page 1 of 1"/>
      <sheetName val="A.1.4 - Page 1 of 1"/>
      <sheetName val="A.4 - Page 1 of 1"/>
      <sheetName val="건축내역서"/>
      <sheetName val="차선도색현황"/>
      <sheetName val="개요"/>
      <sheetName val="횡배위치"/>
      <sheetName val="가동비율"/>
      <sheetName val="노원열병합  건축공사기성내역서"/>
      <sheetName val="금액"/>
      <sheetName val="Languages"/>
      <sheetName val="SCH"/>
      <sheetName val="CTEMCOST"/>
      <sheetName val="공사비내역서"/>
      <sheetName val="CAPVC"/>
      <sheetName val="연결임시"/>
      <sheetName val="FACTOR"/>
      <sheetName val="견적을지"/>
      <sheetName val="EJ"/>
      <sheetName val="전기공사"/>
      <sheetName val="토목주소"/>
      <sheetName val="프랜트면허"/>
      <sheetName val="4 LINE"/>
      <sheetName val="7 th"/>
      <sheetName val="DS-최종"/>
      <sheetName val="공종별 집계"/>
      <sheetName val="인제내역"/>
      <sheetName val="대비"/>
      <sheetName val="CP-E2 (품셈표)"/>
      <sheetName val="음료실행"/>
      <sheetName val="실행(표지,갑,을)"/>
      <sheetName val="네고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sheetData sheetId="53"/>
      <sheetData sheetId="54"/>
      <sheetData sheetId="55"/>
      <sheetData sheetId="56"/>
      <sheetData sheetId="57"/>
      <sheetData sheetId="58"/>
      <sheetData sheetId="59"/>
      <sheetData sheetId="60"/>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Set>
  </externalBook>
</externalLink>
</file>

<file path=xl/externalLinks/externalLink9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51"/>
      <sheetName val="사업본부별"/>
      <sheetName val="9월(일별)"/>
      <sheetName val="9월(현장별)"/>
      <sheetName val="10월(일별)"/>
      <sheetName val="10월(현장별)"/>
      <sheetName val="11월(일별) "/>
      <sheetName val="11월(현장별)"/>
      <sheetName val="11월(어음결재)"/>
      <sheetName val="12월(일별) "/>
      <sheetName val="12월(현장별)"/>
      <sheetName val="12월(어음결재)"/>
      <sheetName val="shn"/>
      <sheetName val="상환스케쥴"/>
      <sheetName val="상환총괄"/>
      <sheetName val="양도자산부채"/>
      <sheetName val="지원사항1"/>
      <sheetName val="지원사항 2"/>
      <sheetName val="지원사항3"/>
      <sheetName val="연도별수주계획"/>
      <sheetName val="동종업계"/>
      <sheetName val="7.6.3.BOQ"/>
      <sheetName val="7.6.3(A) AG Piping"/>
      <sheetName val="7.6.3(B) UG Piping"/>
      <sheetName val="7.6.3(C) INSUL"/>
      <sheetName val="7.6.3(D) PAINT"/>
      <sheetName val="7.6.3(E) NDE"/>
      <sheetName val="7.6.3(F) Sup't"/>
      <sheetName val="7.6.3(G) CHEMICAL CL"/>
      <sheetName val="7.6.3(H) Steam"/>
      <sheetName val="#REF"/>
      <sheetName val="Content"/>
      <sheetName val="7.5.1(A) Data"/>
      <sheetName val="7.5.1(B) BOQ Breakdown"/>
      <sheetName val="7.5.1(C) Scope"/>
      <sheetName val="7.5.1(D) Basis"/>
      <sheetName val="7.5.1(E) Allowance"/>
      <sheetName val="7.5.2 BOQ Summary"/>
      <sheetName val="7.5.3 BOQ"/>
      <sheetName val="A. Erec_BOQ(Shop)"/>
      <sheetName val="B. Erec_BOQ(Field)"/>
      <sheetName val="C. Surface_Protection"/>
      <sheetName val="A. Erec_BOQ(Shop) (2)"/>
      <sheetName val="B. Erec_BOQ(Field) (2)"/>
      <sheetName val="C. Surf_Protection"/>
      <sheetName val="Attachment #1"/>
      <sheetName val="Attachment #2"/>
      <sheetName val="List"/>
      <sheetName val="Field Change Notice"/>
      <sheetName val="waiver request"/>
      <sheetName val="ENWA(OUT)"/>
      <sheetName val="from KNPC"/>
      <sheetName val="HDEC Site Memo"/>
      <sheetName val="KNPC Site Memo"/>
      <sheetName val="from HDEC"/>
      <sheetName val="DCN Status "/>
      <sheetName val="FCN Status"/>
      <sheetName val="packing cover"/>
      <sheetName val="packing list"/>
      <sheetName val="Invoice cover"/>
      <sheetName val="invoice"/>
      <sheetName val="301"/>
      <sheetName val="302 C1"/>
      <sheetName val="302 C2"/>
      <sheetName val="302"/>
      <sheetName val="SUPPLY (2)"/>
      <sheetName val="RETURN (2)"/>
      <sheetName val="SUPPLY"/>
      <sheetName val="RETURN"/>
      <sheetName val="303"/>
      <sheetName val="303 (2)"/>
      <sheetName val="304"/>
      <sheetName val="305"/>
      <sheetName val="306"/>
      <sheetName val="307"/>
      <sheetName val="308"/>
      <sheetName val="308 (2)"/>
      <sheetName val="309"/>
      <sheetName val="309 (2)"/>
      <sheetName val="Sheet2"/>
      <sheetName val="작성요약"/>
      <sheetName val="표지"/>
      <sheetName val="목차"/>
      <sheetName val="1.사업개요"/>
      <sheetName val="2.총괄표"/>
      <sheetName val="3.설계총괄(확정)"/>
      <sheetName val="3.전문외주(확정)"/>
      <sheetName val="3.설계총괄(정산)"/>
      <sheetName val="3.전문외주(정산)"/>
      <sheetName val="전문외주비 (Third Party)"/>
      <sheetName val="4.인력(확정)"/>
      <sheetName val="4.인력(조정)"/>
      <sheetName val="4.인력(정산)"/>
      <sheetName val="5.경비내역(확정)"/>
      <sheetName val="운영계획"/>
      <sheetName val="SOFTWARE"/>
      <sheetName val="5.현장경비(확정)"/>
      <sheetName val="5.경비내역(정산)"/>
      <sheetName val="5.현장경비(정산)"/>
      <sheetName val="7.자금수지"/>
      <sheetName val="(참고)제수당현황"/>
      <sheetName val="MH합계"/>
      <sheetName val="6.프로젝트"/>
      <sheetName val="6.PCM"/>
      <sheetName val="6.프로세스"/>
      <sheetName val="6.프로세스-1"/>
      <sheetName val="6.안전"/>
      <sheetName val="6.MR"/>
      <sheetName val="6.MS"/>
      <sheetName val="6.MT"/>
      <sheetName val="6.MM"/>
      <sheetName val="6.MY"/>
      <sheetName val="6.MH"/>
      <sheetName val="6.배관"/>
      <sheetName val="6.전기"/>
      <sheetName val="6.계장"/>
      <sheetName val="6.토목"/>
      <sheetName val="6.건축"/>
      <sheetName val="실행MH비교"/>
      <sheetName val="입찰MH비교"/>
      <sheetName val="규모비교"/>
      <sheetName val="예산서"/>
      <sheetName val="정부노임단가"/>
      <sheetName val="ABUT수량-A1"/>
      <sheetName val="견적"/>
      <sheetName val="내역서"/>
      <sheetName val="total-mse제외"/>
      <sheetName val="P-PM"/>
      <sheetName val="P-품질"/>
      <sheetName val="P-토목"/>
      <sheetName val="P-건축"/>
      <sheetName val="P-기계"/>
      <sheetName val="P-원자력"/>
      <sheetName val="P-배관"/>
      <sheetName val="P-전기"/>
      <sheetName val="P-계장"/>
      <sheetName val="P-인허가"/>
      <sheetName val="P-공통"/>
      <sheetName val="P-SGN"/>
      <sheetName val="P-MSE"/>
      <sheetName val="details"/>
      <sheetName val="WK16"/>
      <sheetName val="Bend_fact "/>
      <sheetName val="95년12월말"/>
      <sheetName val="현금"/>
      <sheetName val="D-3"/>
      <sheetName val="다이꾸"/>
      <sheetName val="노임"/>
      <sheetName val="BID"/>
      <sheetName val="공사비 내역 (가)"/>
      <sheetName val="#REF!"/>
      <sheetName val="견적 집계"/>
      <sheetName val="BOQ"/>
      <sheetName val="공사비PK5월"/>
      <sheetName val="CALCULATION"/>
      <sheetName val="산근"/>
      <sheetName val="h-013211-2"/>
      <sheetName val="F-302"/>
      <sheetName val="회사99"/>
      <sheetName val="DOC"/>
      <sheetName val="수안보-MBR1"/>
      <sheetName val="상반기손익차2총괄"/>
      <sheetName val="PROCESS"/>
      <sheetName val="설치공사"/>
      <sheetName val="일위대가목차"/>
      <sheetName val="전차선로 물량표"/>
      <sheetName val="한강운반비"/>
      <sheetName val="현장관리비"/>
      <sheetName val="도급양식"/>
      <sheetName val="예산"/>
      <sheetName val="실행내역"/>
      <sheetName val="하조서"/>
      <sheetName val="전기내역서(총계)"/>
      <sheetName val="공통(20-91)"/>
      <sheetName val="조도계산서 (도서)"/>
      <sheetName val="화재 탐지 설비"/>
      <sheetName val="Sheet1"/>
      <sheetName val="노무비"/>
      <sheetName val="현황CODE"/>
      <sheetName val="손익현황"/>
      <sheetName val="COVER"/>
      <sheetName val="summary"/>
      <sheetName val="Sum-Equipment"/>
      <sheetName val="Sum-Piping"/>
      <sheetName val="1-1"/>
      <sheetName val="1-2"/>
      <sheetName val="1-3"/>
      <sheetName val="2-1"/>
      <sheetName val="2-2"/>
      <sheetName val="2-3"/>
      <sheetName val="Dir-Manpower"/>
      <sheetName val="Indir-Manpower"/>
      <sheetName val="Equip-Sch"/>
      <sheetName val="Elec. Power"/>
      <sheetName val="工완성공사율"/>
      <sheetName val="사급자재"/>
      <sheetName val="부대공내역서적용수량"/>
      <sheetName val="부대공(집계)"/>
      <sheetName val="낙석방지책"/>
      <sheetName val="난간"/>
      <sheetName val="교통안내표지판"/>
      <sheetName val="교통표지판기초"/>
      <sheetName val="교통표지판기초단위"/>
      <sheetName val="조경공사"/>
      <sheetName val="SKETCH"/>
      <sheetName val="LOADS"/>
      <sheetName val="단가비교표"/>
      <sheetName val="97 사업추정(WEKI)"/>
      <sheetName val="IN"/>
      <sheetName val="직원동원SCH"/>
      <sheetName val="Total"/>
      <sheetName val="간접비총괄 (2)"/>
      <sheetName val="Base_Data"/>
      <sheetName val="(10.bis OGB_hours ratio)"/>
      <sheetName val="과천MAIN"/>
      <sheetName val="JUCK"/>
      <sheetName val="동원(3)"/>
      <sheetName val="예정(3)"/>
      <sheetName val="품셈집계"/>
      <sheetName val="10한빛"/>
      <sheetName val="Sheet1 (2)"/>
      <sheetName val="기준액"/>
      <sheetName val="설계흐름도"/>
      <sheetName val="6PILE  (돌출)"/>
      <sheetName val="실행자재"/>
      <sheetName val="개비온집계"/>
      <sheetName val="개비온 단위"/>
      <sheetName val="동결보온"/>
      <sheetName val="OD5000"/>
      <sheetName val="Sheet5"/>
      <sheetName val="법인6-2(11)호(을)"/>
      <sheetName val="당좌차월"/>
      <sheetName val="4002"/>
      <sheetName val="FORMULA"/>
      <sheetName val="자압1"/>
      <sheetName val="필리핀"/>
      <sheetName val="Euro-conversion"/>
      <sheetName val="out_prog"/>
      <sheetName val="선적schedule (2)"/>
      <sheetName val="釤.전기"/>
      <sheetName val="TOEC"/>
      <sheetName val="실행철강하도"/>
      <sheetName val="Piping Cost"/>
      <sheetName val="PipWT"/>
      <sheetName val="DCS"/>
      <sheetName val="ANALYSER"/>
      <sheetName val="설비"/>
      <sheetName val="2008년"/>
      <sheetName val="FWBS7000,8000"/>
      <sheetName val="CABLE"/>
      <sheetName val="일보"/>
      <sheetName val="청산공사"/>
      <sheetName val="CW Piping Work"/>
      <sheetName val="Hoja3"/>
      <sheetName val="Hoja2"/>
      <sheetName val="종배수관"/>
      <sheetName val="Basis"/>
      <sheetName val="인원계획"/>
      <sheetName val="piping"/>
      <sheetName val="Mtl Summary"/>
      <sheetName val="철수현황"/>
      <sheetName val="T6-6(2)"/>
      <sheetName val="본부고정이하현황(월말)"/>
      <sheetName val="정리별분류"/>
      <sheetName val="증감내역"/>
      <sheetName val="FX Exposure_Nov00"/>
      <sheetName val="USdebt"/>
      <sheetName val="debtmonth"/>
      <sheetName val="purchasing"/>
      <sheetName val="Exposure0007"/>
      <sheetName val="FX Exposure0011_BOD"/>
      <sheetName val="FX Exposure_Apr2001"/>
      <sheetName val="부표목록"/>
      <sheetName val="추정PL"/>
      <sheetName val="매출액(내수)"/>
      <sheetName val="시장현황"/>
      <sheetName val="매출원가"/>
      <sheetName val="원재료비(내수)"/>
      <sheetName val="과거매출액대비구성비"/>
      <sheetName val="판관비"/>
      <sheetName val="인건비"/>
      <sheetName val="영업외"/>
      <sheetName val="지급이자"/>
      <sheetName val="감가상각"/>
      <sheetName val="유보금"/>
      <sheetName val="제세산출"/>
      <sheetName val="운전자금"/>
      <sheetName val="1회전자금(참고)"/>
      <sheetName val="1회전기간(참고)"/>
      <sheetName val="현금수지예상표"/>
      <sheetName val="영업후조성자금"/>
      <sheetName val="118.세금과공과"/>
      <sheetName val="eq_data"/>
      <sheetName val="Steam-Sys"/>
      <sheetName val="BQ List"/>
      <sheetName val="Tipo Terzi"/>
      <sheetName val="Salary"/>
      <sheetName val="교각계산"/>
      <sheetName val="가도공"/>
      <sheetName val="ITstk"/>
      <sheetName val="주사무실종합"/>
      <sheetName val="PumpSpec"/>
      <sheetName val="TABLE2-2 OSBL-(SITE PREP)"/>
      <sheetName val="Spread_sht"/>
      <sheetName val="영업2"/>
      <sheetName val="영업3"/>
      <sheetName val="Testing"/>
      <sheetName val="MOB-MAN1"/>
      <sheetName val="11월(일별)_"/>
      <sheetName val="12월(일별)_"/>
      <sheetName val="지원사항_2"/>
      <sheetName val="7_6_3_BOQ"/>
      <sheetName val="7_6_3(A)_AG_Piping"/>
      <sheetName val="7_6_3(B)_UG_Piping"/>
      <sheetName val="7_6_3(C)_INSUL"/>
      <sheetName val="7_6_3(D)_PAINT"/>
      <sheetName val="7_6_3(E)_NDE"/>
      <sheetName val="7_6_3(F)_Sup't"/>
      <sheetName val="7_6_3(G)_CHEMICAL_CL"/>
      <sheetName val="7_6_3(H)_Steam"/>
      <sheetName val="Field_Change_Notice"/>
      <sheetName val="waiver_request"/>
      <sheetName val="from_KNPC"/>
      <sheetName val="HDEC_Site_Memo"/>
      <sheetName val="KNPC_Site_Memo"/>
      <sheetName val="from_HDEC"/>
      <sheetName val="packing_cover"/>
      <sheetName val="packing_list"/>
      <sheetName val="Invoice_cover"/>
      <sheetName val="DCN_Status_"/>
      <sheetName val="FCN_Status"/>
      <sheetName val="7_5_1(A)_Data"/>
      <sheetName val="7_5_1(B)_BOQ_Breakdown"/>
      <sheetName val="7_5_1(C)_Scope"/>
      <sheetName val="7_5_1(D)_Basis"/>
      <sheetName val="7_5_1(E)_Allowance"/>
      <sheetName val="7_5_2_BOQ_Summary"/>
      <sheetName val="7_5_3_BOQ"/>
      <sheetName val="A__Erec_BOQ(Shop)"/>
      <sheetName val="B__Erec_BOQ(Field)"/>
      <sheetName val="C__Surface_Protection"/>
      <sheetName val="A__Erec_BOQ(Shop)_(2)"/>
      <sheetName val="B__Erec_BOQ(Field)_(2)"/>
      <sheetName val="C__Surf_Protection"/>
      <sheetName val="Attachment_#1"/>
      <sheetName val="Attachment_#2"/>
      <sheetName val="302_C1"/>
      <sheetName val="302_C2"/>
      <sheetName val="SUPPLY_(2)"/>
      <sheetName val="RETURN_(2)"/>
      <sheetName val="303_(2)"/>
      <sheetName val="308_(2)"/>
      <sheetName val="309_(2)"/>
      <sheetName val="1_사업개요"/>
      <sheetName val="2_총괄표"/>
      <sheetName val="3_설계총괄(확정)"/>
      <sheetName val="3_전문외주(확정)"/>
      <sheetName val="3_설계총괄(정산)"/>
      <sheetName val="3_전문외주(정산)"/>
      <sheetName val="전문외주비_(Third_Party)"/>
      <sheetName val="4_인력(확정)"/>
      <sheetName val="4_인력(조정)"/>
      <sheetName val="4_인력(정산)"/>
      <sheetName val="5_경비내역(확정)"/>
      <sheetName val="5_현장경비(확정)"/>
      <sheetName val="5_경비내역(정산)"/>
      <sheetName val="5_현장경비(정산)"/>
      <sheetName val="7_자금수지"/>
      <sheetName val="6_프로젝트"/>
      <sheetName val="6_PCM"/>
      <sheetName val="6_프로세스"/>
      <sheetName val="6_프로세스-1"/>
      <sheetName val="6_안전"/>
      <sheetName val="6_MR"/>
      <sheetName val="6_MS"/>
      <sheetName val="6_MT"/>
      <sheetName val="6_MM"/>
      <sheetName val="6_MY"/>
      <sheetName val="6_MH"/>
      <sheetName val="6_배관"/>
      <sheetName val="6_전기"/>
      <sheetName val="6_계장"/>
      <sheetName val="6_토목"/>
      <sheetName val="6_건축"/>
      <sheetName val="Bend_fact_"/>
      <sheetName val="공사비_내역_(가)"/>
      <sheetName val="견적_집계"/>
      <sheetName val="전차선로_물량표"/>
      <sheetName val="조도계산서_(도서)"/>
      <sheetName val="화재_탐지_설비"/>
      <sheetName val="Elec__Power"/>
      <sheetName val="97_사업추정(WEKI)"/>
      <sheetName val="간접비총괄_(2)"/>
      <sheetName val="개비온_단위"/>
      <sheetName val="(10_bis_OGB_hours_ratio)"/>
      <sheetName val="Sheet1_(2)"/>
      <sheetName val="6PILE__(돌출)"/>
      <sheetName val="선적schedule_(2)"/>
      <sheetName val="釤_전기"/>
      <sheetName val="Piping_Cost"/>
      <sheetName val="CW_Piping_Work"/>
      <sheetName val="배수내역 (2)"/>
      <sheetName val="07"/>
      <sheetName val="07월"/>
      <sheetName val="07월분"/>
      <sheetName val="5월 회원사 배분 명세서(2)"/>
      <sheetName val="어음청구서"/>
      <sheetName val="예비비청구서"/>
      <sheetName val="DATA"/>
      <sheetName val="Civil"/>
      <sheetName val="소화실적"/>
      <sheetName val="Income Statement"/>
      <sheetName val="P.M 별"/>
      <sheetName val="Sohar담수Target"/>
      <sheetName val="자압"/>
      <sheetName val="COPING"/>
      <sheetName val="General Data"/>
      <sheetName val="panel board installation"/>
      <sheetName val="Graph (LGEN)"/>
      <sheetName val="전체내역 (2)"/>
      <sheetName val="借積IQ"/>
      <sheetName val="frmm HDEC"/>
      <sheetName val="개시전표"/>
      <sheetName val="공사집계"/>
      <sheetName val="BQ(Piping)"/>
      <sheetName val="new급여T(4을-운전)"/>
      <sheetName val="DPRKMHDT"/>
      <sheetName val="ITEM"/>
      <sheetName val="BM DATA SHEET"/>
      <sheetName val="FORM-3"/>
      <sheetName val="Rekap A"/>
      <sheetName val="터널조도"/>
      <sheetName val="기둥(원형)"/>
      <sheetName val="200712(법인)"/>
      <sheetName val="200712(해외현지법인계)"/>
      <sheetName val="LOPCALC"/>
      <sheetName val="Sheet3"/>
      <sheetName val="Units"/>
      <sheetName val="Instructions"/>
      <sheetName val="MOTOR"/>
      <sheetName val="Default_Magics"/>
      <sheetName val="Code_Magics"/>
      <sheetName val="»ç¾÷º»ºÎº°"/>
      <sheetName val="9¿ù(ÀÏº°)"/>
      <sheetName val="9¿ù(ÇöÀåº°)"/>
      <sheetName val="10¿ù(ÀÏº°)"/>
      <sheetName val="10¿ù(ÇöÀåº°)"/>
      <sheetName val="11¿ù(ÀÏº°) "/>
      <sheetName val="11¿ù(ÇöÀåº°)"/>
      <sheetName val="11¿ù(¾îÀ½°áÀç)"/>
      <sheetName val="12¿ù(ÀÏº°) "/>
      <sheetName val="12¿ù(ÇöÀåº°)"/>
      <sheetName val="12¿ù(¾îÀ½°áÀç)"/>
      <sheetName val="»óÈ¯½ºÄÉÁì"/>
      <sheetName val="»óÈ¯ÃÑ°ý"/>
      <sheetName val="¾çµµÀÚ»êºÎÃ¤"/>
      <sheetName val="Áö¿ø»çÇ×1"/>
      <sheetName val="Áö¿ø»çÇ× 2"/>
      <sheetName val="Áö¿ø»çÇ×3"/>
      <sheetName val="¿¬µµº°¼öÁÖ°èÈ¹"/>
      <sheetName val="µ¿Á¾¾÷°è"/>
      <sheetName val="ÀÛ¼º¿ä¾à"/>
      <sheetName val="Ç¥Áö"/>
      <sheetName val="¸ñÂ÷"/>
      <sheetName val="1.»ç¾÷°³¿ä"/>
      <sheetName val="2.ÃÑ°ýÇ¥"/>
      <sheetName val="3.¼³°èÃÑ°ý(È®Á¤)"/>
      <sheetName val="3.Àü¹®¿ÜÁÖ(È®Á¤)"/>
      <sheetName val="3.¼³°èÃÑ°ý(Á¤»ê)"/>
      <sheetName val="3.Àü¹®¿ÜÁÖ(Á¤»ê)"/>
      <sheetName val="Àü¹®¿ÜÁÖºñ (Third Party)"/>
      <sheetName val="4.ÀÎ·Â(È®Á¤)"/>
      <sheetName val="4.ÀÎ·Â(Á¶Á¤)"/>
      <sheetName val="4.ÀÎ·Â(Á¤»ê)"/>
      <sheetName val="5.°æºñ³»¿ª(È®Á¤)"/>
      <sheetName val="¿î¿µ°èÈ¹"/>
      <sheetName val="5.ÇöÀå°æºñ(È®Á¤)"/>
      <sheetName val="5.°æºñ³»¿ª(Á¤»ê)"/>
      <sheetName val="5.ÇöÀå°æºñ(Á¤»ê)"/>
      <sheetName val="7.ÀÚ±Ý¼öÁö"/>
      <sheetName val="(Âü°í)Á¦¼ö´çÇöÈ²"/>
      <sheetName val="MHÇÕ°è"/>
      <sheetName val="6.ÇÁ·ÎÁ§Æ®"/>
      <sheetName val="6.ÇÁ·Î¼¼½º"/>
      <sheetName val="6.ÇÁ·Î¼¼½º-1"/>
      <sheetName val="6.¾ÈÀü"/>
      <sheetName val="6.¹è°ü"/>
      <sheetName val="6.Àü±â"/>
      <sheetName val="6.°èÀå"/>
      <sheetName val="6.Åä¸ñ"/>
      <sheetName val="6.°ÇÃà"/>
      <sheetName val="½ÇÇàMHºñ±³"/>
      <sheetName val="ÀÔÂûMHºñ±³"/>
      <sheetName val="±Ô¸ðºñ±³"/>
      <sheetName val="Á¤ºÎ³ëÀÓ´Ü°¡"/>
      <sheetName val="¿¹»ê¼­"/>
      <sheetName val="ABUT¼ö·®-A1"/>
      <sheetName val="°ßÀû"/>
      <sheetName val="³»¿ª¼­"/>
      <sheetName val="°ßÀû Áý°è"/>
      <sheetName val="total-mseÁ¦¿Ü"/>
      <sheetName val="P-Ç°Áú"/>
      <sheetName val="P-Åä¸ñ"/>
      <sheetName val="P-°ÇÃà"/>
      <sheetName val="P-±â°è"/>
      <sheetName val="P-¿øÀÚ·Â"/>
      <sheetName val="P-¹è°ü"/>
      <sheetName val="P-Àü±â"/>
      <sheetName val="P-°èÀå"/>
      <sheetName val="P-ÀÎÇã°¡"/>
      <sheetName val="P-°øÅë"/>
      <sheetName val="´ÙÀÌ²Ù"/>
      <sheetName val="95³â12¿ù¸»"/>
      <sheetName val="Çö±Ý"/>
      <sheetName val="³ëÀÓ"/>
      <sheetName val="¼ö¾Èº¸-MBR1"/>
      <sheetName val="´Ü°¡ºñ±³Ç¥"/>
      <sheetName val="È¸»ç99"/>
      <sheetName val="°ø»çºñ ³»¿ª (°¡)"/>
      <sheetName val="ÇöÈ²CODE"/>
      <sheetName val="¼ÕÀÍÇöÈ²"/>
      <sheetName val="°ø»çºñPK5¿ù"/>
      <sheetName val="»ê±Ù"/>
      <sheetName val="»ó¹Ý±â¼ÕÀÍÂ÷2ÃÑ°ý"/>
      <sheetName val="¼³Ä¡°ø»ç"/>
      <sheetName val="ÀÏÀ§´ë°¡¸ñÂ÷"/>
      <sheetName val="ÀüÂ÷¼±·Î ¹°·®Ç¥"/>
      <sheetName val="ÇÑ°­¿î¹Ýºñ"/>
      <sheetName val="ÇöÀå°ü¸®ºñ"/>
      <sheetName val="µµ±Þ¾ç½Ä"/>
      <sheetName val="¿¹»ê"/>
      <sheetName val="½ÇÇà³»¿ª"/>
      <sheetName val="ÇÏÁ¶¼­"/>
      <sheetName val="Àü±â³»¿ª¼­(ÃÑ°è)"/>
      <sheetName val="°øÅë(20-91)"/>
      <sheetName val="Á¶µµ°è»ê¼­ (µµ¼­)"/>
      <sheetName val="È­Àç Å½Áö ¼³ºñ"/>
      <sheetName val="³ë¹«ºñ"/>
      <sheetName val="Íï¿Ï¼º°ø»çÀ²"/>
      <sheetName val="»ç±ÞÀÚÀç"/>
      <sheetName val="ºÎ´ë°ø³»¿ª¼­Àû¿ë¼ö·®"/>
      <sheetName val="ºÎ´ë°ø(Áý°è)"/>
      <sheetName val="³«¼®¹æÁöÃ¥"/>
      <sheetName val="³­°£"/>
      <sheetName val="±³Åë¾È³»Ç¥ÁöÆÇ"/>
      <sheetName val="±³ÅëÇ¥ÁöÆÇ±âÃÊ"/>
      <sheetName val="±³ÅëÇ¥ÁöÆÇ±âÃÊ´ÜÀ§"/>
      <sheetName val="Á¶°æ°ø»ç"/>
      <sheetName val="°úÃµMAIN"/>
      <sheetName val="97 »ç¾÷ÃßÁ¤(WEKI)"/>
      <sheetName val="Á÷¿øµ¿¿øSCH"/>
      <sheetName val="°£Á¢ºñÃÑ°ý (2)"/>
      <sheetName val="최민영집계25"/>
      <sheetName val="간접비내역-1"/>
      <sheetName val="갑지"/>
      <sheetName val="Piping(Methanol)"/>
      <sheetName val="NOMUBI"/>
      <sheetName val="ELECTRICAL"/>
      <sheetName val="지급자재"/>
      <sheetName val="자문요청"/>
      <sheetName val="El(Increased)"/>
      <sheetName val="15 문제점"/>
      <sheetName val="Instruction"/>
      <sheetName val="집계표"/>
      <sheetName val="인원동원계획"/>
      <sheetName val="123"/>
      <sheetName val="INSTR"/>
      <sheetName val="차수"/>
      <sheetName val="comm"/>
      <sheetName val="영동"/>
      <sheetName val="경비"/>
      <sheetName val="SE-611"/>
      <sheetName val="1월"/>
      <sheetName val="전신환매도율"/>
      <sheetName val="차집관로내역"/>
      <sheetName val="FORM_3"/>
      <sheetName val="건내용"/>
      <sheetName val="cement"/>
      <sheetName val="와동25-3(변경)"/>
      <sheetName val="SHEET 19"/>
      <sheetName val="Macro1"/>
      <sheetName val="간접비"/>
      <sheetName val=" 견적서"/>
      <sheetName val="견적기준"/>
      <sheetName val="DRUM"/>
      <sheetName val="실행비교"/>
      <sheetName val="FPU"/>
      <sheetName val="부하(성남)"/>
      <sheetName val="EQUIPMENT LIST"/>
      <sheetName val="Pier 3"/>
      <sheetName val="OE"/>
      <sheetName val="부속동"/>
      <sheetName val="CVA"/>
      <sheetName val="I_O Module"/>
      <sheetName val="I_O List"/>
      <sheetName val="건장설비"/>
      <sheetName val="연돌일위집계"/>
      <sheetName val="steam table"/>
      <sheetName val="HRD"/>
      <sheetName val="Pipe Calc"/>
      <sheetName val="가공비"/>
      <sheetName val="수량산출"/>
      <sheetName val="spec' sheet"/>
      <sheetName val="CODE"/>
      <sheetName val="SHL"/>
      <sheetName val="extra"/>
      <sheetName val="ISBL"/>
      <sheetName val="OSBL"/>
      <sheetName val="An.Ars"/>
      <sheetName val="TUAS"/>
      <sheetName val="P110"/>
      <sheetName val="설계조건"/>
      <sheetName val="계장공사"/>
      <sheetName val="1998"/>
      <sheetName val="1999"/>
      <sheetName val="2000"/>
      <sheetName val="HA2TOTAL(Original)"/>
      <sheetName val="PULLING SUPT등"/>
      <sheetName val="변품8-37"/>
      <sheetName val="부표총괄"/>
      <sheetName val="insulation"/>
      <sheetName val="공통부대비"/>
      <sheetName val="95삼성급(본사)"/>
      <sheetName val="1을"/>
      <sheetName val="투찰"/>
      <sheetName val="신호등일위대가"/>
      <sheetName val="배수관공"/>
      <sheetName val="기타공"/>
      <sheetName val="배수집계"/>
      <sheetName val="단가조사서"/>
      <sheetName val="내역서적용수량"/>
      <sheetName val="산출내역서집계표"/>
      <sheetName val="바닥판"/>
      <sheetName val="영업소실적"/>
      <sheetName val="DDR"/>
      <sheetName val="PIPES"/>
      <sheetName val="TABLE2-1 ISBL(GENEAL-CIVIL)"/>
      <sheetName val="TABLE2-1 ISBL-(SlTE PREP)"/>
      <sheetName val="TABLE2.1 ISBL (Soil Invest)"/>
      <sheetName val="TABLE2-2 OSBL(GENERAL-CIVIL)"/>
      <sheetName val="자재군별"/>
      <sheetName val="재료내역"/>
      <sheetName val="ITB COST"/>
      <sheetName val="COMPRESSOR"/>
      <sheetName val="PRICE LIST"/>
      <sheetName val="전기"/>
      <sheetName val="예비품 및 특수공구"/>
      <sheetName val="Pag. 1"/>
      <sheetName val="자재코드"/>
      <sheetName val="Table"/>
      <sheetName val="old"/>
      <sheetName val="GiaVL"/>
      <sheetName val="factor"/>
      <sheetName val="Compare"/>
      <sheetName val="FBODYID"/>
      <sheetName val="C급보 "/>
      <sheetName val="통합"/>
      <sheetName val="Macro"/>
      <sheetName val="NEWDRAW"/>
      <sheetName val="PRO_DCI"/>
      <sheetName val="INST_DCI"/>
      <sheetName val="HVAC_DCI"/>
      <sheetName val="PIPE_DCI"/>
      <sheetName val="TRAY"/>
      <sheetName val="예비품 및 특수렀቟"/>
      <sheetName val="RFP009"/>
      <sheetName val="RFP007"/>
      <sheetName val="11월(일별)_1"/>
      <sheetName val="12월(일별)_1"/>
      <sheetName val="지원사항_21"/>
      <sheetName val="7_6_3_BOQ1"/>
      <sheetName val="7_6_3(A)_AG_Piping1"/>
      <sheetName val="96.12"/>
      <sheetName val="Sheet3 (2)"/>
      <sheetName val="lookup"/>
      <sheetName val="E_Rate PM"/>
      <sheetName val="Proposal"/>
      <sheetName val="일위대가"/>
      <sheetName val="Shipping Cost"/>
      <sheetName val="DATE"/>
      <sheetName val="관세,통관수수료,운반비"/>
      <sheetName val="STAND20"/>
      <sheetName val="가BM"/>
      <sheetName val="투입실적"/>
      <sheetName val="calcul"/>
      <sheetName val="가설건물"/>
      <sheetName val="SCH"/>
      <sheetName val="01하반기노임"/>
      <sheetName val="L형 옹벽"/>
      <sheetName val="ilch"/>
      <sheetName val="공사비집계"/>
      <sheetName val="예산변경사항"/>
      <sheetName val="3.현장배치"/>
      <sheetName val="현장배치"/>
      <sheetName val="대비"/>
      <sheetName val="전기일위대가"/>
      <sheetName val="MOTﻍᇕ"/>
      <sheetName val="교통처리우회도로"/>
      <sheetName val="VENDOR LIST"/>
      <sheetName val="PAGE 3_GENERAL DETAILS"/>
      <sheetName val="수입"/>
      <sheetName val="W-현원가"/>
      <sheetName val="CONCRETE"/>
      <sheetName val="COMPARISON TABLE"/>
      <sheetName val="입사시직위"/>
      <sheetName val="A-4"/>
      <sheetName val="설계"/>
      <sheetName val="평균환율-USD"/>
      <sheetName val="VXXXXXXX"/>
      <sheetName val="MOT᳍፜"/>
      <sheetName val="내역"/>
      <sheetName val="우각부보강"/>
      <sheetName val="공사설계서"/>
      <sheetName val="9-1차이내역"/>
      <sheetName val="B부대공"/>
      <sheetName val="Sheet4"/>
      <sheetName val="眞비상(진주)"/>
      <sheetName val="손익요약(미사용)"/>
      <sheetName val="Data Sheet"/>
      <sheetName val="DATA01"/>
      <sheetName val="가상data"/>
      <sheetName val="설직재-1"/>
      <sheetName val="제-노임"/>
      <sheetName val="제직재"/>
      <sheetName val="AP1"/>
      <sheetName val="Field_Change_Notice1"/>
      <sheetName val="waiver_request1"/>
      <sheetName val="from_KNPC1"/>
      <sheetName val="HDEC_Site_Memo1"/>
      <sheetName val="KNPC_Site_Memo1"/>
      <sheetName val="from_HDEC1"/>
      <sheetName val="7_6_3(B)_UG_Piping1"/>
      <sheetName val="7_6_3(C)_INSUL1"/>
      <sheetName val="7_6_3(D)_PAINT1"/>
      <sheetName val="7_6_3(E)_NDE1"/>
      <sheetName val="7_6_3(F)_Sup't1"/>
      <sheetName val="7_6_3(G)_CHEMICAL_CL1"/>
      <sheetName val="7_6_3(H)_Steam1"/>
      <sheetName val="DCN_Status_1"/>
      <sheetName val="FCN_Status1"/>
      <sheetName val="packing_cover1"/>
      <sheetName val="packing_list1"/>
      <sheetName val="Invoice_cover1"/>
      <sheetName val="7_5_1(A)_Data1"/>
      <sheetName val="7_5_1(B)_BOQ_Breakdown1"/>
      <sheetName val="7_5_1(C)_Scope1"/>
      <sheetName val="7_5_1(D)_Basis1"/>
      <sheetName val="7_5_1(E)_Allowance1"/>
      <sheetName val="7_5_2_BOQ_Summary1"/>
      <sheetName val="7_5_3_BOQ1"/>
      <sheetName val="A__Erec_BOQ(Shop)1"/>
      <sheetName val="B__Erec_BOQ(Field)1"/>
      <sheetName val="C__Surface_Protection1"/>
      <sheetName val="A__Erec_BOQ(Shop)_(2)1"/>
      <sheetName val="B__Erec_BOQ(Field)_(2)1"/>
      <sheetName val="C__Surf_Protection1"/>
      <sheetName val="Attachment_#11"/>
      <sheetName val="Attachment_#21"/>
      <sheetName val="302_C11"/>
      <sheetName val="302_C21"/>
      <sheetName val="SUPPLY_(2)1"/>
      <sheetName val="RETURN_(2)1"/>
      <sheetName val="303_(2)1"/>
      <sheetName val="308_(2)1"/>
      <sheetName val="309_(2)1"/>
      <sheetName val="1_사업개요1"/>
      <sheetName val="2_총괄표1"/>
      <sheetName val="3_설계총괄(확정)1"/>
      <sheetName val="3_전문외주(확정)1"/>
      <sheetName val="3_설계총괄(정산)1"/>
      <sheetName val="3_전문외주(정산)1"/>
      <sheetName val="전문외주비_(Third_Party)1"/>
      <sheetName val="4_인력(확정)1"/>
      <sheetName val="4_인력(조정)1"/>
      <sheetName val="4_인력(정산)1"/>
      <sheetName val="5_경비내역(확정)1"/>
      <sheetName val="5_현장경비(확정)1"/>
      <sheetName val="5_경비내역(정산)1"/>
      <sheetName val="5_현장경비(정산)1"/>
      <sheetName val="7_자금수지1"/>
      <sheetName val="6_프로젝트1"/>
      <sheetName val="6_PCM1"/>
      <sheetName val="6_프로세스1"/>
      <sheetName val="6_프로세스-11"/>
      <sheetName val="6_안전1"/>
      <sheetName val="6_MR1"/>
      <sheetName val="6_MS1"/>
      <sheetName val="6_MT1"/>
      <sheetName val="6_MM1"/>
      <sheetName val="6_MY1"/>
      <sheetName val="6_MH1"/>
      <sheetName val="6_배관1"/>
      <sheetName val="6_전기1"/>
      <sheetName val="6_계장1"/>
      <sheetName val="6_토목1"/>
      <sheetName val="6_건축1"/>
      <sheetName val="Bend_fact_1"/>
      <sheetName val="견적_집계1"/>
      <sheetName val="공사비_내역_(가)1"/>
      <sheetName val="전차선로_물량표1"/>
      <sheetName val="조도계산서_(도서)1"/>
      <sheetName val="화재_탐지_설비1"/>
      <sheetName val="간접비총괄_(2)1"/>
      <sheetName val="Elec__Power1"/>
      <sheetName val="97_사업추정(WEKI)1"/>
      <sheetName val="6PILE__(돌출)1"/>
      <sheetName val="Sheet1_(2)1"/>
      <sheetName val="개비온_단위1"/>
      <sheetName val="(10_bis_OGB_hours_ratio)1"/>
      <sheetName val="Piping_Cost1"/>
      <sheetName val="釤_전기1"/>
      <sheetName val="선적schedule_(2)1"/>
      <sheetName val="CW_Piping_Work1"/>
      <sheetName val="Mtl_Summary"/>
      <sheetName val="FX_Exposure_Nov00"/>
      <sheetName val="FX_Exposure0011_BOD"/>
      <sheetName val="FX_Exposure_Apr2001"/>
      <sheetName val="118_세금과공과"/>
      <sheetName val="Tipo_Terzi"/>
      <sheetName val="TABLE2-2_OSBL-(SITE_PREP)"/>
      <sheetName val="5월_회원사_배분_명세서(2)"/>
      <sheetName val="BQ_List"/>
      <sheetName val="배수내역_(2)"/>
      <sheetName val="BM_DATA_SHEET"/>
      <sheetName val="P_M_별"/>
      <sheetName val="Graph_(LGEN)"/>
      <sheetName val="15_문제점"/>
      <sheetName val="frmm_HDEC"/>
      <sheetName val="Income_Statement"/>
      <sheetName val="General_Data"/>
      <sheetName val="panel_board_installation"/>
      <sheetName val="전체내역_(2)"/>
      <sheetName val="Rekap_A"/>
      <sheetName val="11¿ù(ÀÏº°)_"/>
      <sheetName val="12¿ù(ÀÏº°)_"/>
      <sheetName val="Áö¿ø»çÇ×_2"/>
      <sheetName val="1_»ç¾÷°³¿ä"/>
      <sheetName val="2_ÃÑ°ýÇ¥"/>
      <sheetName val="3_¼³°èÃÑ°ý(È®Á¤)"/>
      <sheetName val="3_Àü¹®¿ÜÁÖ(È®Á¤)"/>
      <sheetName val="3_¼³°èÃÑ°ý(Á¤»ê)"/>
      <sheetName val="3_Àü¹®¿ÜÁÖ(Á¤»ê)"/>
      <sheetName val="Àü¹®¿ÜÁÖºñ_(Third_Party)"/>
      <sheetName val="4_ÀÎ·Â(È®Á¤)"/>
      <sheetName val="4_ÀÎ·Â(Á¶Á¤)"/>
      <sheetName val="4_ÀÎ·Â(Á¤»ê)"/>
      <sheetName val="5_°æºñ³»¿ª(È®Á¤)"/>
      <sheetName val="5_ÇöÀå°æºñ(È®Á¤)"/>
      <sheetName val="5_°æºñ³»¿ª(Á¤»ê)"/>
      <sheetName val="5_ÇöÀå°æºñ(Á¤»ê)"/>
      <sheetName val="7_ÀÚ±Ý¼öÁö"/>
      <sheetName val="6_ÇÁ·ÎÁ§Æ®"/>
      <sheetName val="6_ÇÁ·Î¼¼½º"/>
      <sheetName val="6_ÇÁ·Î¼¼½º-1"/>
      <sheetName val="6_¾ÈÀü"/>
      <sheetName val="6_¹è°ü"/>
      <sheetName val="6_Àü±â"/>
      <sheetName val="6_°èÀå"/>
      <sheetName val="6_Åä¸ñ"/>
      <sheetName val="6_°ÇÃà"/>
      <sheetName val="°ßÀû_Áý°è"/>
      <sheetName val="°ø»çºñ_³»¿ª_(°¡)"/>
      <sheetName val="ÀüÂ÷¼±·Î_¹°·®Ç¥"/>
      <sheetName val="Á¶µµ°è»ê¼­_(µµ¼­)"/>
      <sheetName val="È­Àç_Å½Áö_¼³ºñ"/>
      <sheetName val="97_»ç¾÷ÃßÁ¤(WEKI)"/>
      <sheetName val="°£Á¢ºñÃÑ°ý_(2)"/>
      <sheetName val="steam_table"/>
      <sheetName val="_견적서"/>
      <sheetName val="SHEET_19"/>
      <sheetName val="예비품_및_특수공구"/>
      <sheetName val="tggwan(mac)"/>
      <sheetName val="BQLIST"/>
      <sheetName val="Oficios"/>
      <sheetName val="MFAB"/>
      <sheetName val="MFRT"/>
      <sheetName val="MPKG"/>
      <sheetName val="MPRD"/>
      <sheetName val="INST LIST"/>
      <sheetName val="간접비(1)"/>
      <sheetName val="D=700"/>
      <sheetName val="연돌일頀ᎆ뤀"/>
      <sheetName val="BEAM"/>
      <sheetName val="8"/>
      <sheetName val="10"/>
      <sheetName val="12"/>
      <sheetName val="9"/>
      <sheetName val="11"/>
      <sheetName val="2"/>
      <sheetName val="공사진행"/>
      <sheetName val="토목"/>
      <sheetName val="pipe data"/>
      <sheetName val="SS-Steel Estimate (ASTM - AISC)"/>
      <sheetName val="작성기준"/>
      <sheetName val="06 -Structural Steeel"/>
      <sheetName val="M+1"/>
      <sheetName val="fitting"/>
      <sheetName val="PAGE_3_GENERAL_DETAILS"/>
      <sheetName val="Notes for BOQ"/>
      <sheetName val="Pipe Classes"/>
      <sheetName val="REDUCER"/>
      <sheetName val="WE'T"/>
      <sheetName val="인건-측정"/>
      <sheetName val="总概算"/>
      <sheetName val="inter"/>
      <sheetName val="WIND"/>
      <sheetName val="배수공 주요자재 집계표"/>
      <sheetName val="WIND-EQ"/>
      <sheetName val="HORI. VESSEL"/>
      <sheetName val="D-3503"/>
      <sheetName val="GC-08_1&quo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refreshError="1"/>
      <sheetData sheetId="23"/>
      <sheetData sheetId="24"/>
      <sheetData sheetId="25" refreshError="1"/>
      <sheetData sheetId="26" refreshError="1"/>
      <sheetData sheetId="27" refreshError="1"/>
      <sheetData sheetId="28" refreshError="1"/>
      <sheetData sheetId="29" refreshError="1"/>
      <sheetData sheetId="30" refreshError="1"/>
      <sheetData sheetId="31"/>
      <sheetData sheetId="32"/>
      <sheetData sheetId="33"/>
      <sheetData sheetId="34"/>
      <sheetData sheetId="35"/>
      <sheetData sheetId="36"/>
      <sheetData sheetId="37"/>
      <sheetData sheetId="38"/>
      <sheetData sheetId="39" refreshError="1"/>
      <sheetData sheetId="40" refreshError="1"/>
      <sheetData sheetId="41" refreshError="1"/>
      <sheetData sheetId="42" refreshError="1"/>
      <sheetData sheetId="43"/>
      <sheetData sheetId="44" refreshError="1"/>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refreshError="1"/>
      <sheetData sheetId="80" refreshError="1"/>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refreshError="1"/>
      <sheetData sheetId="122"/>
      <sheetData sheetId="123" refreshError="1"/>
      <sheetData sheetId="124" refreshError="1"/>
      <sheetData sheetId="125" refreshError="1"/>
      <sheetData sheetId="126" refreshError="1"/>
      <sheetData sheetId="127" refreshError="1"/>
      <sheetData sheetId="128" refreshError="1"/>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refreshError="1"/>
      <sheetData sheetId="144" refreshError="1"/>
      <sheetData sheetId="145" refreshError="1"/>
      <sheetData sheetId="146" refreshError="1"/>
      <sheetData sheetId="147" refreshError="1"/>
      <sheetData sheetId="148" refreshError="1"/>
      <sheetData sheetId="149" refreshError="1"/>
      <sheetData sheetId="150"/>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sheetData sheetId="181"/>
      <sheetData sheetId="182"/>
      <sheetData sheetId="183"/>
      <sheetData sheetId="184"/>
      <sheetData sheetId="185"/>
      <sheetData sheetId="186"/>
      <sheetData sheetId="187"/>
      <sheetData sheetId="188" refreshError="1"/>
      <sheetData sheetId="189" refreshError="1"/>
      <sheetData sheetId="190" refreshError="1"/>
      <sheetData sheetId="191"/>
      <sheetData sheetId="192" refreshError="1"/>
      <sheetData sheetId="193" refreshError="1"/>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sheetData sheetId="330"/>
      <sheetData sheetId="331"/>
      <sheetData sheetId="332"/>
      <sheetData sheetId="333" refreshError="1"/>
      <sheetData sheetId="334"/>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Set>
  </externalBook>
</externalLink>
</file>

<file path=xl/externalLinks/externalLink10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Summary"/>
      <sheetName val="Material Cost (Original)"/>
      <sheetName val="Shipping Cost"/>
      <sheetName val="CC&amp;TRANS"/>
      <sheetName val="Allowance"/>
      <sheetName val="ERate"/>
      <sheetName val="Custom Tariff-NA"/>
      <sheetName val="정부노임단가"/>
      <sheetName val="ISBL"/>
      <sheetName val="OSBL"/>
      <sheetName val="Sheet5"/>
      <sheetName val="TABLE2-1 ISBL(GENEAL-CIVIL)"/>
      <sheetName val="TABLE2-1 ISBL-(SlTE PREP)"/>
      <sheetName val="TABLE2.1 ISBL (Soil Invest)"/>
      <sheetName val="TABLE2-2 OSBL(GENERAL-CIVIL)"/>
      <sheetName val="TABLE2-2 OSBL-(SITE PREP)"/>
      <sheetName val="out_prog"/>
      <sheetName val="선적schedule (2)"/>
    </sheetNames>
    <sheetDataSet>
      <sheetData sheetId="0" refreshError="1"/>
      <sheetData sheetId="1" refreshError="1"/>
      <sheetData sheetId="2">
        <row r="3">
          <cell r="AV3" t="str">
            <v>Description</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10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akedişkapak"/>
      <sheetName val="yap.işl.lis."/>
      <sheetName val="yeş.iç-2"/>
      <sheetName val="METRAJ"/>
      <sheetName val="METRAJ (2)"/>
      <sheetName val="07005K-1"/>
      <sheetName val="GGrupları"/>
      <sheetName val="İŞ PROĞRAMI"/>
      <sheetName val="KEŞİF"/>
      <sheetName val="köpr-icm"/>
      <sheetName val="GB"/>
      <sheetName val="103+390-107+250"/>
      <sheetName val="TABLO-3"/>
      <sheetName val="KAŞE"/>
      <sheetName val="data"/>
      <sheetName val="ON BİLGİLER"/>
    </sheetNames>
    <sheetDataSet>
      <sheetData sheetId="0" refreshError="1"/>
      <sheetData sheetId="1" refreshError="1"/>
      <sheetData sheetId="2" refreshError="1"/>
      <sheetData sheetId="3" refreshError="1">
        <row r="11">
          <cell r="A11">
            <v>7405</v>
          </cell>
        </row>
        <row r="12">
          <cell r="A12">
            <v>5190</v>
          </cell>
        </row>
        <row r="13">
          <cell r="A13">
            <v>4900</v>
          </cell>
        </row>
        <row r="14">
          <cell r="A14">
            <v>5720</v>
          </cell>
        </row>
        <row r="15">
          <cell r="A15">
            <v>4466</v>
          </cell>
        </row>
        <row r="16">
          <cell r="A16">
            <v>4588</v>
          </cell>
        </row>
        <row r="17">
          <cell r="A17">
            <v>4668</v>
          </cell>
        </row>
        <row r="18">
          <cell r="A18">
            <v>6292</v>
          </cell>
        </row>
        <row r="19">
          <cell r="A19">
            <v>7770</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10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ABLO-1"/>
      <sheetName val="TABLO-2"/>
      <sheetName val="TABLO-3"/>
      <sheetName val="TABLO-4"/>
      <sheetName val="TABLO-5"/>
      <sheetName val="GRAFET"/>
    </sheetNames>
    <sheetDataSet>
      <sheetData sheetId="0" refreshError="1"/>
      <sheetData sheetId="1"/>
      <sheetData sheetId="2"/>
      <sheetData sheetId="3" refreshError="1"/>
      <sheetData sheetId="4" refreshError="1"/>
      <sheetData sheetId="5" refreshError="1"/>
    </sheetDataSet>
  </externalBook>
</externalLink>
</file>

<file path=xl/externalLinks/externalLink10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직원동원SCH"/>
      <sheetName val="간접비(1)"/>
      <sheetName val="Sheet4"/>
      <sheetName val="공사비PK5월"/>
      <sheetName val="간접비"/>
      <sheetName val="steel data sheet"/>
      <sheetName val="주요가정"/>
      <sheetName val="인원동원계획"/>
      <sheetName val="xxxxxx"/>
      <sheetName val="Staff Mob Sch(현장)"/>
      <sheetName val="Staff Mob Sch(서울)"/>
      <sheetName val="as boq list up"/>
      <sheetName val="A-4"/>
      <sheetName val="SubCon"/>
      <sheetName val="직원동원"/>
      <sheetName val="PRO_DCI"/>
      <sheetName val="INST_DCI"/>
      <sheetName val="HVAC_DCI"/>
      <sheetName val="PIPE_DCI"/>
      <sheetName val="#REF"/>
    </sheetNames>
    <sheetDataSet>
      <sheetData sheetId="0" refreshError="1">
        <row r="14">
          <cell r="D14">
            <v>10</v>
          </cell>
        </row>
        <row r="16">
          <cell r="D16">
            <v>18</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Set>
  </externalBook>
</externalLink>
</file>

<file path=xl/externalLinks/externalLink10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st OVERALL"/>
      <sheetName val="LSTK PRICE BUILD UP(1)"/>
      <sheetName val="LSTK PRICE BUILD UP(2)"/>
      <sheetName val="LSTK PRICE BUILD UP(3)"/>
      <sheetName val="LSTK PRICE BUILD UP(4)"/>
      <sheetName val="LSTK PRICE BUILD UP(5)"/>
      <sheetName val="P_T&amp;C"/>
      <sheetName val="P_수금"/>
      <sheetName val="Total"/>
      <sheetName val="P_지급"/>
      <sheetName val="P_매출"/>
      <sheetName val="Comm"/>
      <sheetName val="해외파견(사우디)"/>
      <sheetName val="7.1"/>
      <sheetName val="7.2"/>
      <sheetName val="7.2.1.7"/>
      <sheetName val="7.2.1.8"/>
      <sheetName val="7.3"/>
      <sheetName val="7.3.a"/>
      <sheetName val="7.3.b"/>
      <sheetName val="7.3.c"/>
      <sheetName val="7.3.d"/>
      <sheetName val="7.4.5.1"/>
      <sheetName val="7.4.5.2"/>
      <sheetName val="7.4.5.3"/>
      <sheetName val="7.4.5.4(Pipe)"/>
      <sheetName val="7.4.5.5(전기)"/>
      <sheetName val="7.4.5.6(계장)"/>
      <sheetName val="7.4.5.7"/>
      <sheetName val="7.4.5.8"/>
      <sheetName val="7.4.5.9"/>
      <sheetName val="7.4.5.10"/>
      <sheetName val="7.4.5.11"/>
      <sheetName val="7.4.6"/>
      <sheetName val="7.5"/>
      <sheetName val="7.6"/>
      <sheetName val="7.7"/>
      <sheetName val="1 Static"/>
      <sheetName val="2 Rotating"/>
      <sheetName val="3 LAB"/>
      <sheetName val="4 Piping"/>
      <sheetName val="5 Inst"/>
      <sheetName val="6 Elec"/>
      <sheetName val="7.8"/>
      <sheetName val="2.8.1"/>
      <sheetName val="7.9"/>
      <sheetName val="7.10"/>
      <sheetName val="Training Plan"/>
      <sheetName val="시공Breakdown"/>
      <sheetName val="Mastersheet"/>
      <sheetName val="월별"/>
      <sheetName val="표지"/>
      <sheetName val="Summary"/>
      <sheetName val="품의서"/>
      <sheetName val="요약"/>
      <sheetName val="목차"/>
      <sheetName val="1."/>
      <sheetName val="1.1"/>
      <sheetName val="1.2"/>
      <sheetName val="2."/>
      <sheetName val="2.0"/>
      <sheetName val="2.1"/>
      <sheetName val="2.1.1"/>
      <sheetName val="2.2"/>
      <sheetName val="2.3"/>
      <sheetName val="3."/>
      <sheetName val="CBE"/>
      <sheetName val="4."/>
      <sheetName val="시공CBE"/>
      <sheetName val="시공CBE (2)"/>
      <sheetName val="5."/>
      <sheetName val="5.0"/>
      <sheetName val="5.1"/>
      <sheetName val="5.1.1"/>
      <sheetName val="5.2"/>
      <sheetName val="5.3"/>
      <sheetName val="5.3.1"/>
      <sheetName val="5.3.2"/>
      <sheetName val="5.4"/>
      <sheetName val="5.4.1"/>
      <sheetName val="6"/>
      <sheetName val="7"/>
      <sheetName val="첨1.1"/>
      <sheetName val="첨1.2"/>
      <sheetName val="첨1.3"/>
      <sheetName val="첨1.4"/>
      <sheetName val="첨2.1"/>
      <sheetName val="첨2.2"/>
      <sheetName val="첨2.3"/>
      <sheetName val="첨3"/>
      <sheetName val="첨4.1"/>
      <sheetName val="첨4.2"/>
      <sheetName val="첨4.3"/>
      <sheetName val="첨5"/>
      <sheetName val="첨5.1"/>
      <sheetName val="첨6"/>
      <sheetName val="운용계획"/>
      <sheetName val="MH비교"/>
      <sheetName val="E"/>
      <sheetName val="P"/>
      <sheetName val="C"/>
      <sheetName val="월별 (2)"/>
      <sheetName val="P_T&amp;C (2)"/>
      <sheetName val="P_수금 (2)"/>
      <sheetName val="P_매출 (2)"/>
      <sheetName val="E (2)"/>
      <sheetName val="P (2)"/>
      <sheetName val="C (2)"/>
      <sheetName val="Comm (2)"/>
      <sheetName val="Total (2)"/>
      <sheetName val="항공"/>
      <sheetName val="간접비"/>
      <sheetName val="파견규칙"/>
      <sheetName val="첨1.5"/>
      <sheetName val="5.5"/>
      <sheetName val="5.5.1"/>
      <sheetName val="MH rate"/>
      <sheetName val="95삼성급(본사)"/>
      <sheetName val="Summary_프린트"/>
      <sheetName val="1"/>
      <sheetName val="1.2.1"/>
      <sheetName val="1.2.2"/>
      <sheetName val="2"/>
      <sheetName val="3"/>
      <sheetName val="4"/>
      <sheetName val="시공Lv3"/>
      <sheetName val="Base(Sour) 시공Level-3 (2)"/>
      <sheetName val="5"/>
      <sheetName val="5.2.1"/>
      <sheetName val="첨1"/>
      <sheetName val="첨5 "/>
      <sheetName val="이후출력금지"/>
      <sheetName val="T&amp;C"/>
      <sheetName val="P_monthly"/>
      <sheetName val="해외수당"/>
      <sheetName val="Index"/>
      <sheetName val="Payment Milestone Schedule"/>
      <sheetName val="Overall"/>
      <sheetName val="Engineering"/>
      <sheetName val="Procurement"/>
      <sheetName val="Construction"/>
      <sheetName val="Commissioning &amp; Start-up"/>
      <sheetName val="PM"/>
      <sheetName val="ENG"/>
      <sheetName val="PRO"/>
      <sheetName val="CON"/>
      <sheetName val="SubCon-Rev"/>
      <sheetName val="Option 1"/>
      <sheetName val="data_dci"/>
      <sheetName val="data_mci"/>
      <sheetName val="behind"/>
      <sheetName val="Main"/>
      <sheetName val="직원동원SCH"/>
    </sheetNames>
    <sheetDataSet>
      <sheetData sheetId="0"/>
      <sheetData sheetId="1"/>
      <sheetData sheetId="2">
        <row r="3">
          <cell r="A3" t="str">
            <v>Ruwais Lube Base Oil Project / UAE</v>
          </cell>
        </row>
      </sheetData>
      <sheetData sheetId="3"/>
      <sheetData sheetId="4">
        <row r="11">
          <cell r="S11">
            <v>1.3</v>
          </cell>
        </row>
      </sheetData>
      <sheetData sheetId="5"/>
      <sheetData sheetId="6"/>
      <sheetData sheetId="7"/>
      <sheetData sheetId="8">
        <row r="3">
          <cell r="A3" t="str">
            <v>Ruwais Lube Base Oil Project / UAE</v>
          </cell>
        </row>
      </sheetData>
      <sheetData sheetId="9"/>
      <sheetData sheetId="10">
        <row r="7">
          <cell r="H7">
            <v>16</v>
          </cell>
        </row>
      </sheetData>
      <sheetData sheetId="11"/>
      <sheetData sheetId="12">
        <row r="7">
          <cell r="H7">
            <v>1</v>
          </cell>
        </row>
      </sheetData>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row r="7">
          <cell r="M7">
            <v>2012</v>
          </cell>
        </row>
      </sheetData>
      <sheetData sheetId="33"/>
      <sheetData sheetId="34"/>
      <sheetData sheetId="35"/>
      <sheetData sheetId="36"/>
      <sheetData sheetId="37"/>
      <sheetData sheetId="38"/>
      <sheetData sheetId="39"/>
      <sheetData sheetId="40"/>
      <sheetData sheetId="41">
        <row r="7">
          <cell r="H7">
            <v>0</v>
          </cell>
        </row>
      </sheetData>
      <sheetData sheetId="42"/>
      <sheetData sheetId="43"/>
      <sheetData sheetId="44"/>
      <sheetData sheetId="45"/>
      <sheetData sheetId="46"/>
      <sheetData sheetId="47"/>
      <sheetData sheetId="48"/>
      <sheetData sheetId="49"/>
      <sheetData sheetId="50"/>
      <sheetData sheetId="51"/>
      <sheetData sheetId="52">
        <row r="3">
          <cell r="A3" t="str">
            <v>Ruwais Lube Base Oil Project / UAE</v>
          </cell>
        </row>
      </sheetData>
      <sheetData sheetId="53"/>
      <sheetData sheetId="54">
        <row r="11">
          <cell r="S11">
            <v>1.3</v>
          </cell>
        </row>
      </sheetData>
      <sheetData sheetId="55"/>
      <sheetData sheetId="56"/>
      <sheetData sheetId="57"/>
      <sheetData sheetId="58"/>
      <sheetData sheetId="59"/>
      <sheetData sheetId="60"/>
      <sheetData sheetId="61"/>
      <sheetData sheetId="62">
        <row r="81">
          <cell r="E81">
            <v>42</v>
          </cell>
        </row>
      </sheetData>
      <sheetData sheetId="63"/>
      <sheetData sheetId="64"/>
      <sheetData sheetId="65"/>
      <sheetData sheetId="66"/>
      <sheetData sheetId="67"/>
      <sheetData sheetId="68"/>
      <sheetData sheetId="69"/>
      <sheetData sheetId="70"/>
      <sheetData sheetId="71"/>
      <sheetData sheetId="72">
        <row r="81">
          <cell r="E81">
            <v>42</v>
          </cell>
        </row>
      </sheetData>
      <sheetData sheetId="73"/>
      <sheetData sheetId="74">
        <row r="7">
          <cell r="H7">
            <v>0</v>
          </cell>
        </row>
      </sheetData>
      <sheetData sheetId="75"/>
      <sheetData sheetId="76"/>
      <sheetData sheetId="77"/>
      <sheetData sheetId="78"/>
      <sheetData sheetId="79"/>
      <sheetData sheetId="80"/>
      <sheetData sheetId="81"/>
      <sheetData sheetId="82"/>
      <sheetData sheetId="83"/>
      <sheetData sheetId="84">
        <row r="7">
          <cell r="H7">
            <v>16</v>
          </cell>
          <cell r="M7">
            <v>389</v>
          </cell>
          <cell r="BN7">
            <v>3694403.5407916871</v>
          </cell>
        </row>
        <row r="29">
          <cell r="H29">
            <v>23</v>
          </cell>
          <cell r="M29">
            <v>325</v>
          </cell>
          <cell r="BN29">
            <v>2383958.6845963881</v>
          </cell>
        </row>
        <row r="51">
          <cell r="H51">
            <v>46</v>
          </cell>
          <cell r="M51">
            <v>1164</v>
          </cell>
          <cell r="BN51">
            <v>1443257.9988750005</v>
          </cell>
        </row>
        <row r="90">
          <cell r="H90">
            <v>3</v>
          </cell>
          <cell r="M90">
            <v>70</v>
          </cell>
          <cell r="BN90">
            <v>134528.84156249999</v>
          </cell>
        </row>
        <row r="109">
          <cell r="H109">
            <v>3</v>
          </cell>
          <cell r="M109">
            <v>11.75</v>
          </cell>
        </row>
      </sheetData>
      <sheetData sheetId="85">
        <row r="7">
          <cell r="H7">
            <v>1</v>
          </cell>
        </row>
      </sheetData>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row r="11">
          <cell r="S11">
            <v>1.3</v>
          </cell>
        </row>
      </sheetData>
      <sheetData sheetId="112"/>
      <sheetData sheetId="113">
        <row r="7">
          <cell r="H7">
            <v>0</v>
          </cell>
          <cell r="M7">
            <v>0</v>
          </cell>
          <cell r="BJ7">
            <v>0</v>
          </cell>
        </row>
        <row r="32">
          <cell r="H32">
            <v>0</v>
          </cell>
          <cell r="M32">
            <v>0</v>
          </cell>
          <cell r="BJ32">
            <v>0</v>
          </cell>
        </row>
        <row r="51">
          <cell r="H51">
            <v>0</v>
          </cell>
          <cell r="M51">
            <v>0</v>
          </cell>
        </row>
        <row r="71">
          <cell r="H71">
            <v>0</v>
          </cell>
          <cell r="M71">
            <v>0</v>
          </cell>
          <cell r="BJ71">
            <v>0</v>
          </cell>
        </row>
        <row r="90">
          <cell r="H90">
            <v>0</v>
          </cell>
          <cell r="M90">
            <v>0</v>
          </cell>
        </row>
      </sheetData>
      <sheetData sheetId="114"/>
      <sheetData sheetId="115"/>
      <sheetData sheetId="116" refreshError="1"/>
      <sheetData sheetId="117" refreshError="1"/>
      <sheetData sheetId="118"/>
      <sheetData sheetId="119"/>
      <sheetData sheetId="120"/>
      <sheetData sheetId="121"/>
      <sheetData sheetId="122"/>
      <sheetData sheetId="123"/>
      <sheetData sheetId="124"/>
      <sheetData sheetId="125"/>
      <sheetData sheetId="126"/>
      <sheetData sheetId="127"/>
      <sheetData sheetId="128"/>
      <sheetData sheetId="129">
        <row r="7">
          <cell r="M7">
            <v>2012</v>
          </cell>
        </row>
      </sheetData>
      <sheetData sheetId="130"/>
      <sheetData sheetId="131"/>
      <sheetData sheetId="132"/>
      <sheetData sheetId="133"/>
      <sheetData sheetId="134"/>
      <sheetData sheetId="135"/>
      <sheetData sheetId="136"/>
      <sheetData sheetId="137"/>
      <sheetData sheetId="138"/>
      <sheetData sheetId="139"/>
      <sheetData sheetId="140"/>
      <sheetData sheetId="141">
        <row r="81">
          <cell r="E81">
            <v>42</v>
          </cell>
        </row>
      </sheetData>
      <sheetData sheetId="142"/>
      <sheetData sheetId="143"/>
      <sheetData sheetId="144"/>
      <sheetData sheetId="145"/>
      <sheetData sheetId="146"/>
      <sheetData sheetId="147"/>
      <sheetData sheetId="148" refreshError="1"/>
      <sheetData sheetId="149" refreshError="1"/>
      <sheetData sheetId="150" refreshError="1"/>
      <sheetData sheetId="151" refreshError="1"/>
      <sheetData sheetId="152" refreshError="1"/>
    </sheetDataSet>
  </externalBook>
</externalLink>
</file>

<file path=xl/externalLinks/externalLink10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C1"/>
      <sheetName val="LOPCALC"/>
      <sheetName val="Shipping Cost"/>
      <sheetName val="관세,통관수수료,운반비"/>
      <sheetName val="PROJECT DATA"/>
      <sheetName val="PLAN_FEB97"/>
      <sheetName val="Factor"/>
      <sheetName val="RC1.XLS"/>
      <sheetName val="Instruction"/>
      <sheetName val="직원동원SCH"/>
      <sheetName val="정부노임단가"/>
      <sheetName val="STAND98"/>
      <sheetName val="eq_dat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10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sheetName val="Split_FDM"/>
      <sheetName val="split_WBS"/>
      <sheetName val="NEWFDM"/>
      <sheetName val="Tab_Dyn"/>
      <sheetName val="300 HU"/>
      <sheetName val="M_imp"/>
      <sheetName val="COUT PERSONNELS DOM"/>
      <sheetName val="CASH FLOW"/>
      <sheetName val="CRANE"/>
      <sheetName val="Dial_Affichage_FDM"/>
      <sheetName val="Dial_Affichage_WBS"/>
      <sheetName val="Dial_choix_FDM"/>
      <sheetName val="Dial_FDM_standard"/>
      <sheetName val="Dial_liste_ligne_FDM"/>
      <sheetName val="Dial_liste_Colonne"/>
      <sheetName val="Dial_liste_BASE"/>
      <sheetName val="Dial_Split_FDM"/>
      <sheetName val="Dial_liste_Monnaies"/>
      <sheetName val="liste_ligne_FDM"/>
      <sheetName val="M_General"/>
      <sheetName val="M_Clic"/>
      <sheetName val="M_FDM"/>
      <sheetName val="Mod_TAB"/>
      <sheetName val="STD59_1"/>
      <sheetName val="LOPCALC"/>
      <sheetName val="Shipping Cost"/>
      <sheetName val="정부노임단가"/>
      <sheetName val="부하LOAD"/>
      <sheetName val="Factor"/>
      <sheetName val="ISBL"/>
      <sheetName val="OSBL"/>
      <sheetName val="PROJECT DATA"/>
      <sheetName val="다이꾸"/>
    </sheetNames>
    <sheetDataSet>
      <sheetData sheetId="0"/>
      <sheetData sheetId="1"/>
      <sheetData sheetId="2"/>
      <sheetData sheetId="3"/>
      <sheetData sheetId="4"/>
      <sheetData sheetId="5"/>
      <sheetData sheetId="6" refreshError="1"/>
      <sheetData sheetId="7"/>
      <sheetData sheetId="8"/>
      <sheetData sheetId="9"/>
      <sheetData sheetId="10"/>
      <sheetData sheetId="11"/>
      <sheetData sheetId="12"/>
      <sheetData sheetId="13"/>
      <sheetData sheetId="14"/>
      <sheetData sheetId="15"/>
      <sheetData sheetId="16"/>
      <sheetData sheetId="17"/>
      <sheetData sheetId="18"/>
      <sheetData sheetId="19"/>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Set>
  </externalBook>
</externalLink>
</file>

<file path=xl/externalLinks/externalLink10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OSBL-TOTAL"/>
      <sheetName val="OSBL-TOTAL (2)"/>
      <sheetName val="OSBL-TOTAL (CIVIL WORK)"/>
      <sheetName val="OSBL-TOTAL (STEEL WORK)"/>
      <sheetName val="OSBL-TOTAL (OTHER WORK)"/>
      <sheetName val="OSBL-TOTAL (SEA WATER)"/>
      <sheetName val="h-013211-2"/>
      <sheetName val="DATA"/>
      <sheetName val="STAFF MOBILIZATION PLAN"/>
      <sheetName val="LOPCALC"/>
      <sheetName val="Shipping Cost"/>
      <sheetName val="관세,통관수수료,운반비"/>
      <sheetName val="OSBL-1105"/>
      <sheetName val="A CONDITIONS"/>
      <sheetName val="단가비교(TOTAL)"/>
      <sheetName val="TOTAL"/>
    </sheetNames>
    <definedNames>
      <definedName name="Macro1"/>
    </definedNames>
    <sheetDataSet>
      <sheetData sheetId="0"/>
      <sheetData sheetId="1"/>
      <sheetData sheetId="2">
        <row r="8">
          <cell r="B8" t="str">
            <v>Stripping, Clearing &amp; Grubbing</v>
          </cell>
        </row>
      </sheetData>
      <sheetData sheetId="3"/>
      <sheetData sheetId="4">
        <row r="8">
          <cell r="B8" t="str">
            <v>Excavation</v>
          </cell>
        </row>
      </sheetData>
      <sheetData sheetId="5">
        <row r="8">
          <cell r="B8" t="str">
            <v>Excavation</v>
          </cell>
        </row>
      </sheetData>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10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CTIVITY"/>
      <sheetName val="Concrete"/>
      <sheetName val="CCP,LEYES, Y DEC."/>
      <sheetName val="GeneralNote"/>
      <sheetName val="eq_data"/>
      <sheetName val="BM DATA SHEET"/>
      <sheetName val="Look-Up"/>
      <sheetName val="PumpSpec"/>
      <sheetName val="내역서"/>
      <sheetName val="차액보증"/>
      <sheetName val="다이꾸"/>
      <sheetName val="TTL"/>
      <sheetName val="경비2내역"/>
      <sheetName val="주관사업"/>
      <sheetName val="Sheet2"/>
      <sheetName val="Sheet1"/>
      <sheetName val="영업소실적"/>
      <sheetName val="h-013211-2"/>
      <sheetName val="DATA"/>
      <sheetName val="D-3503"/>
      <sheetName val="공사비 내역 (가)"/>
      <sheetName val="E_Rate "/>
      <sheetName val="Proposal"/>
      <sheetName val="Pricing Summary"/>
      <sheetName val="Macro1"/>
      <sheetName val="fixwater"/>
      <sheetName val="Sheet4"/>
      <sheetName val="정부노임단가"/>
      <sheetName val="노임단가"/>
      <sheetName val="ACTIVITY.xls"/>
      <sheetName val="사업부배부A"/>
      <sheetName val="Compare-1"/>
      <sheetName val="회사99"/>
      <sheetName val="INSTR"/>
      <sheetName val="MAIN"/>
      <sheetName val="PRO_A"/>
      <sheetName val="PRO"/>
      <sheetName val="수입"/>
      <sheetName val="95삼성급(본사)"/>
      <sheetName val="ELEC_DCI"/>
      <sheetName val="INST_DCI"/>
      <sheetName val="Basic"/>
      <sheetName val="내역"/>
      <sheetName val="lookup"/>
      <sheetName val="적용환율"/>
      <sheetName val="VL"/>
      <sheetName val="개시대사 (2)"/>
      <sheetName val="data_dci"/>
      <sheetName val="data_mci"/>
      <sheetName val="behind"/>
      <sheetName val="HORI. VESSEL"/>
      <sheetName val="FP"/>
      <sheetName val="sheet"/>
      <sheetName val="Equipment"/>
      <sheetName val="Piping"/>
      <sheetName val="Break Down"/>
      <sheetName val=" 견적서"/>
      <sheetName val="Quantity"/>
      <sheetName val="Connections"/>
      <sheetName val="L V Separator"/>
      <sheetName val="ACTDATA"/>
      <sheetName val="97 사업추정(WEKI)"/>
      <sheetName val="환율"/>
      <sheetName val="SE-611"/>
      <sheetName val="GREEN"/>
      <sheetName val="Hawiyah"/>
      <sheetName val="Hawiyah 하청"/>
      <sheetName val="HDEC 1027"/>
      <sheetName val="Juaymah"/>
      <sheetName val="SIPC"/>
      <sheetName val="도"/>
      <sheetName val="Sheet14"/>
      <sheetName val="Sheet13"/>
      <sheetName val="설계조건"/>
      <sheetName val="단면검토"/>
      <sheetName val="접속슬래브"/>
      <sheetName val="CAL"/>
      <sheetName val="PRI CIV"/>
      <sheetName val="FOR CIV"/>
      <sheetName val="SUB CIV"/>
      <sheetName val="ANA CIV"/>
      <sheetName val="AUX CIV"/>
      <sheetName val="costing_CV"/>
      <sheetName val="costing_ESDV"/>
      <sheetName val="costing_FE"/>
      <sheetName val="costing_Misc"/>
      <sheetName val="costing_MOV"/>
      <sheetName val="costing_Press"/>
      <sheetName val="BOQ"/>
      <sheetName val="calcul"/>
      <sheetName val="차수"/>
      <sheetName val="학교기부"/>
      <sheetName val="인원현황"/>
      <sheetName val="Units"/>
      <sheetName val="Instructions"/>
      <sheetName val="CMTD"/>
      <sheetName val="steam table"/>
      <sheetName val="spec' sheet"/>
      <sheetName val="ITEM"/>
      <sheetName val="MATGRADE"/>
      <sheetName val="SIZE"/>
      <sheetName val="SZ DB"/>
      <sheetName val="UNIT DB"/>
      <sheetName val="PDT DB"/>
      <sheetName val="ABAD"/>
      <sheetName val="A1기성"/>
      <sheetName val="BGT"/>
      <sheetName val="CHAVOSH"/>
      <sheetName val="ZAR SAZ"/>
      <sheetName val="토공"/>
      <sheetName val="첨1.5"/>
      <sheetName val="첨1.3"/>
      <sheetName val="노임"/>
      <sheetName val="간접비 총괄표"/>
      <sheetName val="예산M12A"/>
      <sheetName val="B"/>
      <sheetName val="IMPEADENCE MAP 취수장"/>
      <sheetName val="dia"/>
      <sheetName val="F-302"/>
      <sheetName val="Total"/>
      <sheetName val="http___ep_hec_co_kr_PJT_BID_T_2"/>
      <sheetName val=""/>
      <sheetName val="CCP,LEYES,_Y_DEC_"/>
    </sheetNames>
    <definedNames>
      <definedName name="MENU"/>
    </defined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sheetData sheetId="121" refreshError="1"/>
      <sheetData sheetId="122"/>
    </sheetDataSet>
  </externalBook>
</externalLink>
</file>

<file path=xl/externalLinks/externalLink10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ice Format"/>
      <sheetName val="Revision Log"/>
      <sheetName val="표지"/>
      <sheetName val="Indirect Cost Scope"/>
      <sheetName val="Summary(EPC별)"/>
      <sheetName val="Summary"/>
      <sheetName val="품의서"/>
      <sheetName val="입찰내역서"/>
      <sheetName val="목차"/>
      <sheetName val="1."/>
      <sheetName val="1.1"/>
      <sheetName val="1.2a"/>
      <sheetName val="1.2b"/>
      <sheetName val="2 설계비"/>
      <sheetName val="2.1"/>
      <sheetName val="2.2"/>
      <sheetName val="3 자재비"/>
      <sheetName val="CBE "/>
      <sheetName val="4 시공비"/>
      <sheetName val="4.1 시공비 내역"/>
      <sheetName val="4.2 부대공사비 "/>
      <sheetName val="5 간접원가"/>
      <sheetName val="5.0 경상인건비"/>
      <sheetName val="5.1 본사경상비"/>
      <sheetName val="5.1.1"/>
      <sheetName val="5.1.2"/>
      <sheetName val="5.2 현장경상비(Site)"/>
      <sheetName val="5.2.1"/>
      <sheetName val="5.3 현장경상비(기타지역)"/>
      <sheetName val="5.4 공통부대"/>
      <sheetName val="Tax 산정"/>
      <sheetName val="6"/>
      <sheetName val="7"/>
      <sheetName val="첨1 인력동원"/>
      <sheetName val="첨2.1"/>
      <sheetName val="첨2.2"/>
      <sheetName val="첨3"/>
      <sheetName val="첨4.1"/>
      <sheetName val="첨4.2"/>
      <sheetName val="첨5"/>
      <sheetName val="첨6"/>
      <sheetName val="이후 출력 불필요"/>
      <sheetName val="MH 단가"/>
      <sheetName val="월별"/>
      <sheetName val="T&amp;C"/>
      <sheetName val="P_monthly"/>
      <sheetName val="Total"/>
      <sheetName val="경상비산출참고자료"/>
      <sheetName val="계약고별 차등단가"/>
      <sheetName val="항공"/>
    </sheetNames>
    <sheetDataSet>
      <sheetData sheetId="0"/>
      <sheetData sheetId="1"/>
      <sheetData sheetId="2"/>
      <sheetData sheetId="3"/>
      <sheetData sheetId="4"/>
      <sheetData sheetId="5"/>
      <sheetData sheetId="6"/>
      <sheetData sheetId="7">
        <row r="11">
          <cell r="R11">
            <v>1130</v>
          </cell>
        </row>
        <row r="14">
          <cell r="R14">
            <v>0.39551977598879945</v>
          </cell>
        </row>
        <row r="48">
          <cell r="T48">
            <v>0.9</v>
          </cell>
        </row>
        <row r="53">
          <cell r="T53">
            <v>42795</v>
          </cell>
        </row>
        <row r="54">
          <cell r="T54">
            <v>47</v>
          </cell>
        </row>
        <row r="56">
          <cell r="T56" t="str">
            <v>PM</v>
          </cell>
        </row>
        <row r="57">
          <cell r="T57" t="str">
            <v>E</v>
          </cell>
        </row>
        <row r="58">
          <cell r="T58" t="str">
            <v>P</v>
          </cell>
        </row>
        <row r="59">
          <cell r="T59" t="str">
            <v>C</v>
          </cell>
        </row>
        <row r="60">
          <cell r="T60" t="str">
            <v>COMM</v>
          </cell>
        </row>
        <row r="62">
          <cell r="T62" t="str">
            <v>Oman 지사</v>
          </cell>
        </row>
        <row r="63">
          <cell r="T63">
            <v>42</v>
          </cell>
        </row>
        <row r="64">
          <cell r="T64">
            <v>16</v>
          </cell>
        </row>
      </sheetData>
      <sheetData sheetId="8"/>
      <sheetData sheetId="9">
        <row r="5">
          <cell r="C5" t="str">
            <v>Duqm Refinery Project PKG#2 / Oman</v>
          </cell>
        </row>
      </sheetData>
      <sheetData sheetId="10"/>
      <sheetData sheetId="11"/>
      <sheetData sheetId="12"/>
      <sheetData sheetId="13">
        <row r="4">
          <cell r="J4">
            <v>174.25</v>
          </cell>
        </row>
      </sheetData>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row r="4">
          <cell r="D4">
            <v>2016</v>
          </cell>
        </row>
      </sheetData>
      <sheetData sheetId="43"/>
      <sheetData sheetId="44"/>
      <sheetData sheetId="45"/>
      <sheetData sheetId="46"/>
      <sheetData sheetId="47"/>
      <sheetData sheetId="48"/>
      <sheetData sheetId="49"/>
    </sheetDataSet>
  </externalBook>
</externalLink>
</file>

<file path=xl/externalLinks/externalLink1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구의33고"/>
      <sheetName val="주택마감"/>
      <sheetName val="와동25-3(변경)"/>
      <sheetName val="비교표"/>
      <sheetName val="휘경의뢰"/>
      <sheetName val="휘경총괄"/>
      <sheetName val="휘경공통"/>
      <sheetName val="휘경건축"/>
      <sheetName val="N하대25(변경)"/>
      <sheetName val="N양정32(변경)"/>
      <sheetName val="다대43고(변경)"/>
      <sheetName val="휘경토목"/>
      <sheetName val="휘경SERV"/>
      <sheetName val="휘경물가"/>
      <sheetName val="휘경부대"/>
      <sheetName val="휘경파일PHC"/>
      <sheetName val="제출용"/>
      <sheetName val="제출용 (3)"/>
      <sheetName val="제출용 (4)"/>
      <sheetName val="제출용 (5)"/>
      <sheetName val="제출용 (2)"/>
      <sheetName val="성수의뢰"/>
      <sheetName val="성수공통"/>
      <sheetName val="하대건축"/>
      <sheetName val="의뢰서"/>
      <sheetName val="품의서"/>
      <sheetName val="공통부대비"/>
      <sheetName val="SERVICE ITEM"/>
      <sheetName val="인입비및MH건립비"/>
      <sheetName val="부대건축"/>
      <sheetName val="토목공사"/>
      <sheetName val="옥외공사"/>
      <sheetName val="물가상승"/>
      <sheetName val="P.M 별"/>
      <sheetName val="비교표(내역.96-9-2) (2)"/>
      <sheetName val="비교표(내역) (2)"/>
      <sheetName val="비교표(내역.96-9-4) (2)"/>
      <sheetName val="요인(내역) (종)"/>
      <sheetName val="요인(내역) (4)"/>
      <sheetName val="요인(내역) (3)"/>
      <sheetName val="요인(내역) (2)"/>
      <sheetName val="봉천골조 (2)"/>
      <sheetName val="봉천품의 (2)"/>
      <sheetName val="Sheet1"/>
      <sheetName val="APTDATA"/>
      <sheetName val="새공통"/>
      <sheetName val="일위대가(가설)"/>
      <sheetName val="삭제금지단가"/>
      <sheetName val="유림총괄"/>
      <sheetName val="bid"/>
      <sheetName val="원가계산 (2)"/>
      <sheetName val="Sheet2"/>
      <sheetName val="유림골조"/>
      <sheetName val="공통비(전체)"/>
      <sheetName val="간접"/>
      <sheetName val="입력"/>
      <sheetName val="#REF"/>
      <sheetName val="정부노임단가"/>
      <sheetName val="97 사업추정(WEKI)"/>
      <sheetName val="Total"/>
      <sheetName val="새공통(96임금인상기준)"/>
      <sheetName val="콘크리트타설집계표"/>
      <sheetName val="본부장"/>
      <sheetName val="__33_"/>
      <sheetName val="통장출금액"/>
      <sheetName val="식재일위대가"/>
      <sheetName val="코드표"/>
      <sheetName val="견적서"/>
      <sheetName val="확약서"/>
      <sheetName val="기초코드"/>
      <sheetName val="내역"/>
      <sheetName val="산출근거"/>
      <sheetName val="I.설계조건"/>
      <sheetName val="벽체면적당일위대가"/>
    </sheetNames>
    <sheetDataSet>
      <sheetData sheetId="0" refreshError="1"/>
      <sheetData sheetId="1">
        <row r="56">
          <cell r="K56" t="str">
            <v>{MENU}RF,6~{PGDN}{PGDN}{UP}{UP}~</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refreshError="1"/>
      <sheetData sheetId="22" refreshError="1"/>
      <sheetData sheetId="23" refreshError="1"/>
      <sheetData sheetId="24"/>
      <sheetData sheetId="25"/>
      <sheetData sheetId="26">
        <row r="56">
          <cell r="K56" t="str">
            <v>{MENU}RF,6~{PGDN}{PGDN}{UP}{UP}~</v>
          </cell>
        </row>
      </sheetData>
      <sheetData sheetId="27"/>
      <sheetData sheetId="28"/>
      <sheetData sheetId="29"/>
      <sheetData sheetId="30"/>
      <sheetData sheetId="31"/>
      <sheetData sheetId="32"/>
      <sheetData sheetId="33" refreshError="1"/>
      <sheetData sheetId="34"/>
      <sheetData sheetId="35"/>
      <sheetData sheetId="36"/>
      <sheetData sheetId="37"/>
      <sheetData sheetId="38"/>
      <sheetData sheetId="39"/>
      <sheetData sheetId="40"/>
      <sheetData sheetId="41"/>
      <sheetData sheetId="42"/>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Set>
  </externalBook>
</externalLink>
</file>

<file path=xl/externalLinks/externalLink1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ABLO-1"/>
      <sheetName val="TABLO-2"/>
      <sheetName val="TABLO-3"/>
      <sheetName val="TABLO-4"/>
      <sheetName val="TABLO-5"/>
      <sheetName val="GRAFET"/>
    </sheetNames>
    <sheetDataSet>
      <sheetData sheetId="0" refreshError="1"/>
      <sheetData sheetId="1"/>
      <sheetData sheetId="2">
        <row r="8">
          <cell r="B8" t="str">
            <v xml:space="preserve">        TURKEY</v>
          </cell>
        </row>
      </sheetData>
      <sheetData sheetId="3" refreshError="1"/>
      <sheetData sheetId="4" refreshError="1"/>
      <sheetData sheetId="5" refreshError="1"/>
    </sheetDataSet>
  </externalBook>
</externalLink>
</file>

<file path=xl/externalLinks/externalLink1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boq"/>
      <sheetName val="hourly rate"/>
      <sheetName val="Sheet3"/>
      <sheetName val="Sheet4"/>
      <sheetName val="Sheet5"/>
      <sheetName val="Sheet6"/>
      <sheetName val="OSBL-TOTAL (OTHER WORK)"/>
      <sheetName val="OSBL-TOTAL (SEA WATER)"/>
      <sheetName val="OSBL-TOTAL (CIVIL WORK)"/>
      <sheetName val="DATA"/>
      <sheetName val="노임"/>
      <sheetName val="LOPCALC"/>
      <sheetName val="Shipping Cost"/>
      <sheetName val="Associated Const"/>
    </sheetNames>
    <sheetDataSet>
      <sheetData sheetId="0">
        <row r="35">
          <cell r="B35" t="str">
            <v>Demolition (Paving)</v>
          </cell>
        </row>
      </sheetData>
      <sheetData sheetId="1"/>
      <sheetData sheetId="2"/>
      <sheetData sheetId="3"/>
      <sheetData sheetId="4"/>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1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TABLE2-1 ISBL(GENEAL-CIVIL)"/>
      <sheetName val="TABLE2-1 ISBL-(SlTE PREP)"/>
      <sheetName val="TABLE2.1 ISBL (Soil Invest)"/>
      <sheetName val="TABLE2-2 OSBL(GENERAL-CIVIL)"/>
      <sheetName val="TABLE2-2 OSBL-(SITE PREP)"/>
      <sheetName val="TABLE 3"/>
      <sheetName val="TABLE 4"/>
      <sheetName val="TABLE 5"/>
      <sheetName val="boq"/>
      <sheetName val="OSBL-TOTAL (SEA WATER)"/>
      <sheetName val="OSBL-TOTAL (CIVIL WORK)"/>
      <sheetName val="OSBL-TOTAL (OTHER WORK)"/>
    </sheetNames>
    <sheetDataSet>
      <sheetData sheetId="0"/>
      <sheetData sheetId="1"/>
      <sheetData sheetId="2"/>
      <sheetData sheetId="3"/>
      <sheetData sheetId="4">
        <row r="9">
          <cell r="B9" t="str">
            <v>Demolition (Paving)</v>
          </cell>
        </row>
      </sheetData>
      <sheetData sheetId="5"/>
      <sheetData sheetId="6"/>
      <sheetData sheetId="7"/>
      <sheetData sheetId="8" refreshError="1"/>
      <sheetData sheetId="9" refreshError="1"/>
      <sheetData sheetId="10" refreshError="1"/>
      <sheetData sheetId="11" refreshError="1"/>
    </sheetDataSet>
  </externalBook>
</externalLink>
</file>

<file path=xl/externalLinks/externalLink1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견적기준"/>
      <sheetName val="INDEX"/>
      <sheetName val="INSTR"/>
      <sheetName val="PLC"/>
      <sheetName val="CABLE"/>
      <sheetName val="TRAY"/>
      <sheetName val="JB"/>
      <sheetName val="PIPE"/>
      <sheetName val="TUBE"/>
      <sheetName val="MISC"/>
      <sheetName val="설계기준(내부)"/>
      <sheetName val="eq_data"/>
      <sheetName val="PipWT"/>
      <sheetName val="Sheet3"/>
      <sheetName val="Piping Design Data"/>
      <sheetName val="TYPE-B 평균H"/>
      <sheetName val="단면검토"/>
      <sheetName val="설계조건"/>
      <sheetName val="직원동원SCH"/>
      <sheetName val="Sheet1"/>
      <sheetName val="MACRO(전선관)"/>
      <sheetName val="look-up"/>
      <sheetName val="Lookup"/>
      <sheetName val="Table 1"/>
      <sheetName val="DATA"/>
      <sheetName val="Total"/>
      <sheetName val="IN"/>
      <sheetName val="현황CODE"/>
      <sheetName val="손익현황"/>
      <sheetName val="SUM"/>
      <sheetName val="BM-PC0840"/>
      <sheetName val="BQ List"/>
      <sheetName val="Hoja3"/>
      <sheetName val="Hoja2"/>
      <sheetName val="RFP002"/>
      <sheetName val="Basis"/>
      <sheetName val="steam table"/>
      <sheetName val="ISOP"/>
      <sheetName val="SPEC"/>
      <sheetName val="purch-summ-data"/>
      <sheetName val="PEL"/>
      <sheetName val="Piping_Design_Data"/>
      <sheetName val="TYPE-B_평균H"/>
      <sheetName val="Table_1"/>
      <sheetName val="Piping Cost"/>
      <sheetName val="F-302"/>
      <sheetName val="Cover sheet"/>
      <sheetName val="IT-BAT"/>
      <sheetName val="간접비내역-1"/>
      <sheetName val="집계표"/>
      <sheetName val="공사비 내역 (가)"/>
      <sheetName val="PIPE-SUMMARY"/>
      <sheetName val="PIPE-LINK"/>
      <sheetName val="Units"/>
      <sheetName val="Instructions"/>
      <sheetName val="정부노임단가"/>
      <sheetName val="할증 "/>
      <sheetName val="TABLE2-2 OSBL-(SITE PREP)"/>
      <sheetName val="h-013211-2"/>
      <sheetName val="steam_table"/>
      <sheetName val="new급여T(4을-운전)"/>
      <sheetName val="PSIZE"/>
      <sheetName val="산근"/>
      <sheetName val="가상data"/>
      <sheetName val="PBS"/>
      <sheetName val="CONTENTS"/>
      <sheetName val="TOTAL PIPING"/>
      <sheetName val="Bend_fact "/>
      <sheetName val="갑지"/>
      <sheetName val="Tipo Terzi"/>
      <sheetName val="DATA LISTS"/>
      <sheetName val="boq"/>
      <sheetName val="15010"/>
      <sheetName val="24"/>
      <sheetName val="CPS"/>
      <sheetName val="PAD-F"/>
      <sheetName val="PRICE LIST"/>
      <sheetName val="CBE-VSL"/>
      <sheetName val="Testing"/>
      <sheetName val="PROCURE"/>
      <sheetName val="Pag. 1"/>
      <sheetName val="Ex-Rate"/>
      <sheetName val="TTL"/>
      <sheetName val="#4-1표지"/>
      <sheetName val="영업2"/>
      <sheetName val="영업3"/>
      <sheetName val="DSCCI_Print"/>
      <sheetName val="SHL"/>
      <sheetName val="CALCULATION"/>
      <sheetName val="KP1590_E"/>
      <sheetName val="OSBL-TOTAL (SEA WATER)"/>
      <sheetName val="HALOBUTYL"/>
      <sheetName val="P110"/>
      <sheetName val="HRD"/>
      <sheetName val="견적 집계"/>
      <sheetName val="K1"/>
      <sheetName val="DCS"/>
      <sheetName val="ANALYSER"/>
      <sheetName val="상반기손익차2총괄"/>
      <sheetName val="Macro1"/>
      <sheetName val="Code_Magics"/>
      <sheetName val="Code"/>
      <sheetName val="95삼성급(본사)"/>
      <sheetName val="Anal-1 (Nox-SO2-CO)"/>
      <sheetName val="ld-sd-dt"/>
      <sheetName val="highlight"/>
      <sheetName val="ld-sd"/>
      <sheetName val="Connections"/>
      <sheetName val="UG분석표"/>
      <sheetName val="한강운반비"/>
      <sheetName val="Graph (LGEN)"/>
      <sheetName val="out_prog"/>
      <sheetName val="선적schedule (2)"/>
      <sheetName val="piping"/>
      <sheetName val="세금자료"/>
      <sheetName val="개시대사 (2)"/>
      <sheetName val="OSBL-TOTAL (CIVIL WORK)"/>
      <sheetName val="Sheeta"/>
      <sheetName val="Units+rev"/>
      <sheetName val="Insts"/>
      <sheetName val="MAN-STD"/>
      <sheetName val="Step"/>
      <sheetName val="E_Rate PM"/>
      <sheetName val="TIE-INS"/>
      <sheetName val="제출계산서"/>
      <sheetName val="ISO"/>
      <sheetName val="SOURCE"/>
      <sheetName val="SUMMARY"/>
      <sheetName val="TABLE"/>
      <sheetName val="Cover_sheet"/>
      <sheetName val="BQ_List"/>
      <sheetName val="갑지(추정)"/>
      <sheetName val="PumpSpec"/>
      <sheetName val="Process Piping"/>
      <sheetName val="WORK-VOL"/>
      <sheetName val="내역"/>
      <sheetName val="PROCESS"/>
      <sheetName val="기준"/>
      <sheetName val="OSBL-TOTAL (OTHER WORK)"/>
      <sheetName val="DRUM"/>
      <sheetName val="Daten"/>
      <sheetName val="Piping_Design_Data1"/>
      <sheetName val="TYPE-B_평균H1"/>
      <sheetName val="Table_11"/>
      <sheetName val="Piping_Cost"/>
      <sheetName val="Piping_Design_Data2"/>
      <sheetName val="TYPE-B_평균H2"/>
      <sheetName val="Table_12"/>
      <sheetName val="BQ_List1"/>
      <sheetName val="steam_table1"/>
      <sheetName val="Piping_Cost1"/>
      <sheetName val="Cover_sheet1"/>
      <sheetName val="TABLE2-1_ISBL-(SlTE_PREP)"/>
      <sheetName val="TABLE2_1_ISBL_(Soil_Invest)"/>
      <sheetName val="TABLE2-2_OSBL(GENERAL-CIVIL)"/>
      <sheetName val="TABLE2-2_OSBL-(SITE_PREP)"/>
      <sheetName val="#REF"/>
      <sheetName val="갑지1"/>
      <sheetName val="code data"/>
      <sheetName val="BQMPALOC"/>
      <sheetName val="내역서"/>
      <sheetName val="4002"/>
      <sheetName val="표지"/>
      <sheetName val="footing"/>
      <sheetName val="PRESSURE GAUGE"/>
      <sheetName val="SHUTDOWN VALVE"/>
      <sheetName val="조건표"/>
      <sheetName val="97 사업추정(WEKI)"/>
      <sheetName val="ELECTRICAL"/>
      <sheetName val="대비표"/>
      <sheetName val=" 견적서"/>
      <sheetName val="터널조도"/>
      <sheetName val="견적의뢰"/>
      <sheetName val="B"/>
      <sheetName val="B31.1"/>
      <sheetName val="공사비_내역_(가)"/>
      <sheetName val="Tipo_Terzi"/>
      <sheetName val="DATA_LISTS"/>
      <sheetName val="COVER-P"/>
      <sheetName val="Material_Group"/>
      <sheetName val="PTrating all"/>
      <sheetName val="MEXICO-C"/>
      <sheetName val="Default"/>
      <sheetName val="INST LIST"/>
      <sheetName val="입력값1"/>
      <sheetName val="CVA"/>
      <sheetName val="DESIGN(77C-102A)-2"/>
      <sheetName val="비교표"/>
      <sheetName val="BAY별 원가표준"/>
      <sheetName val="기본자료(실행)"/>
      <sheetName val="3cx95sq"/>
      <sheetName val="자재코드"/>
      <sheetName val="ST-CST1"/>
      <sheetName val="CABLE DATA"/>
      <sheetName val="WE'T"/>
      <sheetName val="BQ"/>
      <sheetName val="Sheet5"/>
      <sheetName val="Engrg Est"/>
      <sheetName val="수입"/>
      <sheetName val="41-42-1"/>
      <sheetName val="BASEINPUT"/>
      <sheetName val="TRICONIX"/>
      <sheetName val="DATE"/>
      <sheetName val="Pipe ID"/>
      <sheetName val="notifier"/>
      <sheetName val="OD5000"/>
      <sheetName val="Panel제작명세서"/>
      <sheetName val="배명(단가)"/>
      <sheetName val="E01"/>
      <sheetName val="MVE02"/>
      <sheetName val="소상 &quot;1&quot;"/>
      <sheetName val="Substn, Pdt Trans, Pack, Others"/>
      <sheetName val="000000"/>
      <sheetName val="동결보온"/>
      <sheetName val="list"/>
      <sheetName val="소야공정계획표"/>
      <sheetName val=""/>
      <sheetName val="Submission-Application"/>
      <sheetName val="MOTOR"/>
      <sheetName val="BQLIST"/>
      <sheetName val="1을"/>
      <sheetName val="연돌일위집계"/>
      <sheetName val="조도계산서 (도서)"/>
      <sheetName val="Euro-conversion"/>
      <sheetName val="CYP-O.F"/>
      <sheetName val="ABB"/>
      <sheetName val="노임9월"/>
      <sheetName val="Y-WORK"/>
      <sheetName val="적용환율"/>
      <sheetName val="Taux"/>
      <sheetName val="SCHEDULE"/>
      <sheetName val="Factor"/>
      <sheetName val="당초"/>
      <sheetName val="CAT_5"/>
      <sheetName val="costing_Misc"/>
      <sheetName val="Summary Sheets"/>
      <sheetName val="HVAC"/>
      <sheetName val="DB@Acess"/>
      <sheetName val="Civil"/>
      <sheetName val="costing_Press"/>
      <sheetName val="costing_ESDV"/>
      <sheetName val=" 갑지"/>
      <sheetName val="costing_MOV"/>
      <sheetName val="REDUCER"/>
      <sheetName val="costing_CV"/>
      <sheetName val="Tables"/>
      <sheetName val="合成単価作成表-BLDG"/>
      <sheetName val="POWER"/>
      <sheetName val="w't table"/>
      <sheetName val="COA-17"/>
      <sheetName val="S N"/>
      <sheetName val="costing_FE"/>
      <sheetName val="C-18"/>
      <sheetName val="금액내역서"/>
      <sheetName val="LABTOTAL"/>
      <sheetName val="95신규호표"/>
      <sheetName val="VS배관내역서"/>
      <sheetName val="작성기준"/>
      <sheetName val="Macro"/>
      <sheetName val="노임단가"/>
      <sheetName val="cbe-1"/>
      <sheetName val="VL"/>
      <sheetName val="TN"/>
      <sheetName val="ND"/>
      <sheetName val="attach(2)"/>
      <sheetName val=" "/>
      <sheetName val="#3_일위대가목록"/>
      <sheetName val="장비"/>
      <sheetName val="노무"/>
      <sheetName val="Line Details"/>
      <sheetName val="Two Phase"/>
      <sheetName val="burner-spare"/>
      <sheetName val="Sheet2"/>
      <sheetName val="물량표"/>
      <sheetName val="설계서"/>
      <sheetName val="BM"/>
      <sheetName val="BOM_DWG"/>
      <sheetName val="TYPE-B_평균H3"/>
      <sheetName val="Piping_Design_Data3"/>
      <sheetName val="Table_13"/>
      <sheetName val="BQ_List2"/>
      <sheetName val="steam_table2"/>
      <sheetName val="Piping_Cost2"/>
      <sheetName val="Cover_sheet2"/>
      <sheetName val="공사비_내역_(가)1"/>
      <sheetName val="Tipo_Terzi1"/>
      <sheetName val="할증_"/>
      <sheetName val="PRICE_LIST"/>
      <sheetName val="TABLE2-2_OSBL-(SITE_PREP)1"/>
      <sheetName val="TOTAL_PIPING"/>
      <sheetName val="Bend_fact_"/>
      <sheetName val="DATA_LISTS1"/>
      <sheetName val="Graph_(LGEN)"/>
      <sheetName val="선적schedule_(2)"/>
      <sheetName val="Pag__1"/>
      <sheetName val="견적_집계"/>
      <sheetName val="Anal-1_(Nox-SO2-CO)"/>
      <sheetName val="OSBL-TOTAL_(SEA_WATER)"/>
      <sheetName val="개시대사_(2)"/>
      <sheetName val="E_Rate_PM"/>
      <sheetName val="OSBL-TOTAL_(CIVIL_WORK)"/>
      <sheetName val="PRESSURE_GAUGE"/>
      <sheetName val="SHUTDOWN_VALVE"/>
      <sheetName val="B31_1"/>
      <sheetName val="Process_Piping"/>
      <sheetName val="code_data"/>
      <sheetName val="97_사업추정(WEKI)"/>
      <sheetName val="OSBL-TOTAL_(OTHER_WORK)"/>
      <sheetName val="Pipe_ID"/>
      <sheetName val="PTrating_all"/>
      <sheetName val="INST_LIST"/>
      <sheetName val="_견적서"/>
      <sheetName val="BAY별_원가표준"/>
      <sheetName val="CABLE_DATA"/>
      <sheetName val="Notes for BOQ"/>
      <sheetName val="PRO_DCI"/>
      <sheetName val="ELEC_DCI"/>
      <sheetName val="INST_DCI"/>
      <sheetName val="JOINT1"/>
      <sheetName val="Piping_Design_Data5"/>
      <sheetName val="TYPE-B_평균H5"/>
      <sheetName val="Table_15"/>
      <sheetName val="BQ_List4"/>
      <sheetName val="Piping_Cost4"/>
      <sheetName val="Cover_sheet4"/>
      <sheetName val="steam_table4"/>
      <sheetName val="공사비_내역_(가)2"/>
      <sheetName val="Tipo_Terzi2"/>
      <sheetName val="Pag__12"/>
      <sheetName val="할증_2"/>
      <sheetName val="견적_집계2"/>
      <sheetName val="Anal-1_(Nox-SO2-CO)2"/>
      <sheetName val="DATA_LISTS2"/>
      <sheetName val="TABLE2-2_OSBL-(SITE_PREP)3"/>
      <sheetName val="TOTAL_PIPING2"/>
      <sheetName val="Bend_fact_2"/>
      <sheetName val="PRICE_LIST2"/>
      <sheetName val="Graph_(LGEN)2"/>
      <sheetName val="선적schedule_(2)2"/>
      <sheetName val="Process_Piping2"/>
      <sheetName val="OSBL-TOTAL_(SEA_WATER)2"/>
      <sheetName val="INST_LIST2"/>
      <sheetName val="개시대사_(2)2"/>
      <sheetName val="OSBL-TOTAL_(CIVIL_WORK)2"/>
      <sheetName val="E_Rate_PM2"/>
      <sheetName val="code_data2"/>
      <sheetName val="Piping_Design_Data4"/>
      <sheetName val="TYPE-B_평균H4"/>
      <sheetName val="Table_14"/>
      <sheetName val="BQ_List3"/>
      <sheetName val="Piping_Cost3"/>
      <sheetName val="Cover_sheet3"/>
      <sheetName val="steam_table3"/>
      <sheetName val="Pag__11"/>
      <sheetName val="할증_1"/>
      <sheetName val="견적_집계1"/>
      <sheetName val="Anal-1_(Nox-SO2-CO)1"/>
      <sheetName val="TABLE2-2_OSBL-(SITE_PREP)2"/>
      <sheetName val="TOTAL_PIPING1"/>
      <sheetName val="Bend_fact_1"/>
      <sheetName val="PRICE_LIST1"/>
      <sheetName val="Graph_(LGEN)1"/>
      <sheetName val="선적schedule_(2)1"/>
      <sheetName val="Process_Piping1"/>
      <sheetName val="OSBL-TOTAL_(SEA_WATER)1"/>
      <sheetName val="INST_LIST1"/>
      <sheetName val="개시대사_(2)1"/>
      <sheetName val="OSBL-TOTAL_(CIVIL_WORK)1"/>
      <sheetName val="E_Rate_PM1"/>
      <sheetName val="code_data1"/>
      <sheetName val="Cost_Summary1"/>
      <sheetName val="Summary_Sheets1"/>
      <sheetName val="ITB_COST1"/>
      <sheetName val="DWTables"/>
      <sheetName val="BOM_DCS"/>
      <sheetName val="Piping_Design_Data6"/>
      <sheetName val="TYPE-B_평균H6"/>
      <sheetName val="Table_16"/>
      <sheetName val="BQ_List5"/>
      <sheetName val="Piping_Cost5"/>
      <sheetName val="Cover_sheet5"/>
      <sheetName val="steam_table5"/>
      <sheetName val="공사비_내역_(가)3"/>
      <sheetName val="Tipo_Terzi3"/>
      <sheetName val="Pag__13"/>
      <sheetName val="할증_3"/>
      <sheetName val="견적_집계3"/>
      <sheetName val="Anal-1_(Nox-SO2-CO)3"/>
      <sheetName val="DATA_LISTS3"/>
      <sheetName val="TABLE2-2_OSBL-(SITE_PREP)4"/>
      <sheetName val="TOTAL_PIPING3"/>
      <sheetName val="Bend_fact_3"/>
      <sheetName val="PRICE_LIST3"/>
      <sheetName val="Graph_(LGEN)3"/>
      <sheetName val="선적schedule_(2)3"/>
      <sheetName val="Process_Piping3"/>
      <sheetName val="OSBL-TOTAL_(SEA_WATER)3"/>
      <sheetName val="INST_LIST3"/>
      <sheetName val="개시대사_(2)3"/>
      <sheetName val="OSBL-TOTAL_(CIVIL_WORK)3"/>
      <sheetName val="E_Rate_PM3"/>
      <sheetName val="code_data3"/>
      <sheetName val="PAGE 3_GENERAL DETAILS"/>
      <sheetName val="유효성 검사"/>
      <sheetName val="IO"/>
      <sheetName val="Integration"/>
      <sheetName val="TN IO_LIST"/>
      <sheetName val="6PILE  (돌출)"/>
      <sheetName val="CAL."/>
      <sheetName val="PRESSURE_GAUGE1"/>
      <sheetName val="SHUTDOWN_VALVE1"/>
      <sheetName val="B31_11"/>
      <sheetName val="97_사업추정(WEKI)1"/>
      <sheetName val="OSBL-TOTAL_(OTHER_WORK)1"/>
      <sheetName val="_견적서1"/>
      <sheetName val="Engrg_Est1"/>
      <sheetName val="CABLE_DATA1"/>
      <sheetName val="BAY별_원가표준1"/>
      <sheetName val="PTrating_all1"/>
      <sheetName val="Pipe_ID1"/>
      <sheetName val="_갑지1"/>
      <sheetName val="w't_table1"/>
      <sheetName val="S_N1"/>
      <sheetName val="소상_&quot;1&quot;1"/>
      <sheetName val="Substn,_Pdt_Trans,_Pack,_Other1"/>
      <sheetName val="Engrg_Est"/>
      <sheetName val="Summary_Sheets"/>
      <sheetName val="_갑지"/>
      <sheetName val="w't_table"/>
      <sheetName val="S_N"/>
      <sheetName val="소상_&quot;1&quot;"/>
      <sheetName val="Substn,_Pdt_Trans,_Pack,_Others"/>
      <sheetName val="유효성검사"/>
      <sheetName val="DropBox"/>
      <sheetName val="자문요청"/>
      <sheetName val="I_O Module"/>
      <sheetName val="기준액"/>
      <sheetName val="mto-rev0B"/>
      <sheetName val="PIPES"/>
      <sheetName val="Piping_Design_Data7"/>
      <sheetName val="TYPE-B_평균H7"/>
      <sheetName val="Table_17"/>
      <sheetName val="Cover_sheet6"/>
      <sheetName val="BQ_List6"/>
      <sheetName val="steam_table6"/>
      <sheetName val="Piping_Cost6"/>
      <sheetName val="Pag__14"/>
      <sheetName val="할증_4"/>
      <sheetName val="견적_집계4"/>
      <sheetName val="공사비_내역_(가)4"/>
      <sheetName val="Tipo_Terzi4"/>
      <sheetName val="PRICE_LIST4"/>
      <sheetName val="Anal-1_(Nox-SO2-CO)4"/>
      <sheetName val="Graph_(LGEN)4"/>
      <sheetName val="선적schedule_(2)4"/>
      <sheetName val="DATA_LISTS4"/>
      <sheetName val="TABLE2-2_OSBL-(SITE_PREP)5"/>
      <sheetName val="TOTAL_PIPING4"/>
      <sheetName val="Bend_fact_4"/>
      <sheetName val="Process_Piping4"/>
      <sheetName val="INST_LIST4"/>
      <sheetName val="OSBL-TOTAL_(SEA_WATER)4"/>
      <sheetName val="개시대사_(2)4"/>
      <sheetName val="OSBL-TOTAL_(CIVIL_WORK)4"/>
      <sheetName val="E_Rate_PM4"/>
      <sheetName val="code_data4"/>
      <sheetName val="PRESSURE_GAUGE2"/>
      <sheetName val="SHUTDOWN_VALVE2"/>
      <sheetName val="97_사업추정(WEKI)2"/>
      <sheetName val="OSBL-TOTAL_(OTHER_WORK)2"/>
      <sheetName val="_견적서2"/>
      <sheetName val="B31_12"/>
      <sheetName val="Engrg_Est2"/>
      <sheetName val="CABLE_DATA2"/>
      <sheetName val="BAY별_원가표준2"/>
      <sheetName val="Pipe_ID2"/>
      <sheetName val="PTrating_all2"/>
      <sheetName val="Summary_Sheets2"/>
      <sheetName val="_갑지2"/>
      <sheetName val="w't_table2"/>
      <sheetName val="S_N2"/>
      <sheetName val="소상_&quot;1&quot;2"/>
      <sheetName val="Substn,_Pdt_Trans,_Pack,_Other2"/>
      <sheetName val="Line_Details"/>
      <sheetName val="Two_Phase"/>
      <sheetName val="_"/>
      <sheetName val="CYP-O_F"/>
      <sheetName val="조도계산서_(도서)"/>
      <sheetName val="Notes_for_BOQ"/>
      <sheetName val="PAGE_3_GENERAL_DETAILS"/>
      <sheetName val="TN_IO_LIST"/>
      <sheetName val="유효성_검사"/>
      <sheetName val="2001概算定额"/>
      <sheetName val="RNRLRPL2"/>
      <sheetName val="PRO_A"/>
      <sheetName val="DWG"/>
      <sheetName val="ELEC_MCI"/>
      <sheetName val="MAIN"/>
      <sheetName val="INST_MCI"/>
      <sheetName val="MECH_MCI"/>
      <sheetName val="PRO"/>
      <sheetName val="Activity(new)"/>
      <sheetName val="Total(new)"/>
      <sheetName val="현장지지물물량"/>
      <sheetName val="VESSELS &amp; COLUMNS"/>
      <sheetName val="laroux"/>
      <sheetName val="MATRIAL"/>
      <sheetName val="설정"/>
      <sheetName val="원가 BOM-SLV,LND"/>
      <sheetName val="Alternator"/>
      <sheetName val="일위대가"/>
      <sheetName val="Proposal"/>
      <sheetName val="MTP"/>
      <sheetName val="6PILE__(돌출)"/>
      <sheetName val="CAL_"/>
      <sheetName val="Piping_Design_Data8"/>
      <sheetName val="TYPE-B_평균H8"/>
      <sheetName val="Table_18"/>
      <sheetName val="BQ_List7"/>
      <sheetName val="steam_table7"/>
      <sheetName val="Piping_Cost7"/>
      <sheetName val="Cover_sheet7"/>
      <sheetName val="공사비_내역_(가)5"/>
      <sheetName val="할증_5"/>
      <sheetName val="TABLE2-2_OSBL-(SITE_PREP)6"/>
      <sheetName val="TOTAL_PIPING5"/>
      <sheetName val="Bend_fact_5"/>
      <sheetName val="Tipo_Terzi5"/>
      <sheetName val="DATA_LISTS5"/>
      <sheetName val="PRICE_LIST5"/>
      <sheetName val="Pag__15"/>
      <sheetName val="OSBL-TOTAL_(SEA_WATER)5"/>
      <sheetName val="견적_집계5"/>
      <sheetName val="Anal-1_(Nox-SO2-CO)5"/>
      <sheetName val="Graph_(LGEN)5"/>
      <sheetName val="선적schedule_(2)5"/>
      <sheetName val="개시대사_(2)5"/>
      <sheetName val="OSBL-TOTAL_(CIVIL_WORK)5"/>
      <sheetName val="E_Rate_PM5"/>
      <sheetName val="Process_Piping5"/>
      <sheetName val="code_data5"/>
      <sheetName val="OSBL-TOTAL_(OTHER_WORK)3"/>
      <sheetName val="B31_13"/>
      <sheetName val="PRESSURE_GAUGE3"/>
      <sheetName val="SHUTDOWN_VALVE3"/>
      <sheetName val="BAY별_원가표준3"/>
      <sheetName val="CABLE_DATA3"/>
      <sheetName val="INST_LIST5"/>
      <sheetName val="97_사업추정(WEKI)3"/>
      <sheetName val="_견적서3"/>
      <sheetName val="Pipe_ID3"/>
      <sheetName val="PTrating_all3"/>
      <sheetName val="Engrg_Est3"/>
      <sheetName val="소상_&quot;1&quot;3"/>
      <sheetName val="Substn,_Pdt_Trans,_Pack,_Other3"/>
      <sheetName val="_1"/>
      <sheetName val="조도계산서_(도서)1"/>
      <sheetName val="CYP-O_F1"/>
      <sheetName val="Summary_Sheets3"/>
      <sheetName val="_갑지3"/>
      <sheetName val="w't_table3"/>
      <sheetName val="S_N3"/>
      <sheetName val="Line_Details1"/>
      <sheetName val="Two_Phase1"/>
      <sheetName val="Notes_for_BOQ1"/>
      <sheetName val="PAGE_3_GENERAL_DETAILS1"/>
      <sheetName val="유효성_검사1"/>
      <sheetName val="6PILE__(돌출)1"/>
      <sheetName val="CAL_1"/>
      <sheetName val="TN_IO_LIST1"/>
      <sheetName val="Basic"/>
      <sheetName val="자바라1"/>
      <sheetName val="4B - (1) Materials"/>
      <sheetName val="MHRS"/>
      <sheetName val="Datasheet for STRAINER"/>
      <sheetName val="GROUP"/>
      <sheetName val="EVVK"/>
      <sheetName val="EVVG"/>
      <sheetName val="EYDS"/>
      <sheetName val="EVVB"/>
      <sheetName val="EVVD"/>
      <sheetName val="EVVC"/>
      <sheetName val="EFF"/>
      <sheetName val="EFFH"/>
      <sheetName val="EVVH"/>
      <sheetName val="EVVF"/>
      <sheetName val="EVVE"/>
      <sheetName val="EVVM"/>
      <sheetName val="EFFB"/>
      <sheetName val="EMMT"/>
      <sheetName val="EMMC"/>
      <sheetName val="EMMA"/>
      <sheetName val="Engg-Exec-2"/>
      <sheetName val="Site-Precom-2"/>
      <sheetName val="Cont"/>
      <sheetName val="Ranges"/>
      <sheetName val="User"/>
      <sheetName val="HVAC_DCI"/>
      <sheetName val="PIPE_DCI"/>
      <sheetName val="역T형"/>
      <sheetName val="BELİRLENECEKLER"/>
      <sheetName val="재료비"/>
      <sheetName val="Cashflow Analysis"/>
      <sheetName val="parameters"/>
      <sheetName val="dr &amp; wd"/>
      <sheetName val="細目"/>
      <sheetName val="AC"/>
      <sheetName val="基数"/>
      <sheetName val="salary"/>
      <sheetName val="TABLE-A"/>
      <sheetName val="Heat"/>
      <sheetName val="VA_code"/>
      <sheetName val="Man-month Chart - Overall"/>
      <sheetName val="MH(on site)"/>
      <sheetName val="EQUIP"/>
      <sheetName val="Breakdown-1"/>
      <sheetName val="Add"/>
      <sheetName val="Equipment"/>
      <sheetName val="I_O_Module"/>
      <sheetName val="VESSELS_&amp;_COLUMNS"/>
      <sheetName val="4B_-_(1)_Materials"/>
      <sheetName val="Cash2"/>
      <sheetName val="Z"/>
      <sheetName val="L V Separator"/>
      <sheetName val="General Data"/>
      <sheetName val="ABUT수량-A1"/>
      <sheetName val="NPV"/>
      <sheetName val="Piping_Design_Data9"/>
      <sheetName val="TYPE-B_평균H9"/>
      <sheetName val="Table_19"/>
      <sheetName val="Cover_sheet8"/>
      <sheetName val="BQ_List8"/>
      <sheetName val="steam_table8"/>
      <sheetName val="Piping_Cost8"/>
      <sheetName val="공사비_내역_(가)6"/>
      <sheetName val="Tipo_Terzi6"/>
      <sheetName val="Pag__16"/>
      <sheetName val="할증_6"/>
      <sheetName val="견적_집계6"/>
      <sheetName val="Anal-1_(Nox-SO2-CO)6"/>
      <sheetName val="DATA_LISTS6"/>
      <sheetName val="B31_14"/>
      <sheetName val="Graph_(LGEN)6"/>
      <sheetName val="선적schedule_(2)6"/>
      <sheetName val="PRICE_LIST6"/>
      <sheetName val="TABLE2-2_OSBL-(SITE_PREP)7"/>
      <sheetName val="TOTAL_PIPING6"/>
      <sheetName val="Bend_fact_6"/>
      <sheetName val="OSBL-TOTAL_(SEA_WATER)6"/>
      <sheetName val="BAY별_원가표준4"/>
      <sheetName val="OSBL-TOTAL_(OTHER_WORK)4"/>
      <sheetName val="CABLE_DATA4"/>
      <sheetName val="Process_Piping6"/>
      <sheetName val="개시대사_(2)6"/>
      <sheetName val="OSBL-TOTAL_(CIVIL_WORK)6"/>
      <sheetName val="E_Rate_PM6"/>
      <sheetName val="code_data6"/>
      <sheetName val="PRESSURE_GAUGE4"/>
      <sheetName val="SHUTDOWN_VALVE4"/>
      <sheetName val="INST_LIST6"/>
      <sheetName val="97_사업추정(WEKI)4"/>
      <sheetName val="_견적서4"/>
      <sheetName val="Engrg_Est4"/>
      <sheetName val="PTrating_all4"/>
      <sheetName val="Pipe_ID4"/>
      <sheetName val="Summary_Sheets4"/>
      <sheetName val="_갑지4"/>
      <sheetName val="w't_table4"/>
      <sheetName val="S_N4"/>
      <sheetName val="소상_&quot;1&quot;4"/>
      <sheetName val="Substn,_Pdt_Trans,_Pack,_Other4"/>
      <sheetName val="_2"/>
      <sheetName val="CYP-O_F2"/>
      <sheetName val="Line_Details2"/>
      <sheetName val="Two_Phase2"/>
      <sheetName val="조도계산서_(도서)2"/>
      <sheetName val="Notes_for_BOQ2"/>
      <sheetName val="PAGE_3_GENERAL_DETAILS2"/>
      <sheetName val="유효성_검사2"/>
      <sheetName val="TN_IO_LIST2"/>
      <sheetName val="6PILE__(돌출)2"/>
      <sheetName val="CAL_2"/>
      <sheetName val="원가_BOM-SLV,LND"/>
      <sheetName val="Datasheet_for_STRAINER"/>
      <sheetName val="dr_&amp;_wd"/>
      <sheetName val="Man-month_Chart_-_Overall"/>
      <sheetName val="MH(on_site)"/>
    </sheetNames>
    <sheetDataSet>
      <sheetData sheetId="0">
        <row r="4">
          <cell r="B4" t="str">
            <v>Line N°</v>
          </cell>
        </row>
      </sheetData>
      <sheetData sheetId="1">
        <row r="4">
          <cell r="B4" t="str">
            <v>Line N°</v>
          </cell>
        </row>
      </sheetData>
      <sheetData sheetId="2">
        <row r="4">
          <cell r="B4" t="str">
            <v>Line N°</v>
          </cell>
        </row>
      </sheetData>
      <sheetData sheetId="3" refreshError="1"/>
      <sheetData sheetId="4"/>
      <sheetData sheetId="5"/>
      <sheetData sheetId="6"/>
      <sheetData sheetId="7"/>
      <sheetData sheetId="8"/>
      <sheetData sheetId="9"/>
      <sheetData sheetId="10"/>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sheetData sheetId="224"/>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sheetData sheetId="273" refreshError="1"/>
      <sheetData sheetId="274" refreshError="1"/>
      <sheetData sheetId="275"/>
      <sheetData sheetId="276" refreshError="1"/>
      <sheetData sheetId="277" refreshError="1"/>
      <sheetData sheetId="278" refreshError="1"/>
      <sheetData sheetId="279" refreshError="1"/>
      <sheetData sheetId="280" refreshError="1"/>
      <sheetData sheetId="281" refreshError="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refreshError="1"/>
      <sheetData sheetId="316" refreshError="1"/>
      <sheetData sheetId="317" refreshError="1"/>
      <sheetData sheetId="318" refreshError="1"/>
      <sheetData sheetId="319" refreshError="1"/>
      <sheetData sheetId="320"/>
      <sheetData sheetId="321"/>
      <sheetData sheetId="322"/>
      <sheetData sheetId="323"/>
      <sheetData sheetId="324"/>
      <sheetData sheetId="325" refreshError="1"/>
      <sheetData sheetId="326" refreshError="1"/>
      <sheetData sheetId="327" refreshError="1"/>
      <sheetData sheetId="328" refreshError="1"/>
      <sheetData sheetId="329" refreshError="1"/>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refreshError="1"/>
      <sheetData sheetId="434" refreshError="1"/>
      <sheetData sheetId="435" refreshError="1"/>
      <sheetData sheetId="436" refreshError="1"/>
      <sheetData sheetId="437" refreshError="1"/>
      <sheetData sheetId="438" refreshError="1"/>
      <sheetData sheetId="439" refreshError="1"/>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sheetData sheetId="620"/>
      <sheetData sheetId="621"/>
      <sheetData sheetId="622" refreshError="1"/>
      <sheetData sheetId="623" refreshError="1"/>
      <sheetData sheetId="624" refreshError="1"/>
      <sheetData sheetId="625" refreshError="1"/>
      <sheetData sheetId="626" refreshError="1"/>
      <sheetData sheetId="627" refreshError="1"/>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Set>
  </externalBook>
</externalLink>
</file>

<file path=xl/externalLinks/externalLink1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NX3A61"/>
      <sheetName val="ANX3A62"/>
      <sheetName val="ANX3A63"/>
      <sheetName val="ANX3A64"/>
      <sheetName val="ANX3A65"/>
      <sheetName val="ANX3A66"/>
      <sheetName val="ANX3A67"/>
      <sheetName val="ANX3A68"/>
      <sheetName val="ANX3A69"/>
      <sheetName val="영업소실적"/>
      <sheetName val="eq_data"/>
      <sheetName val="본지점중"/>
      <sheetName val="TABLE2-2 OSBL-(SITE PREP)"/>
      <sheetName val="SKETCH"/>
      <sheetName val="LOADS"/>
      <sheetName val="boq"/>
      <sheetName val="VLOOKUP"/>
      <sheetName val="OSBL-TOTAL (SEA WATER)"/>
      <sheetName val="OSBL-TOTAL (CIVIL WORK)"/>
      <sheetName val="OSBL-TOTAL (OTHER WORK)"/>
      <sheetName val="Graph (LGEN)"/>
      <sheetName val="out_prog"/>
      <sheetName val="선적schedule (2)"/>
      <sheetName val="Information"/>
    </sheetNames>
    <sheetDataSet>
      <sheetData sheetId="0" refreshError="1"/>
      <sheetData sheetId="1" refreshError="1"/>
      <sheetData sheetId="2" refreshError="1"/>
      <sheetData sheetId="3" refreshError="1"/>
      <sheetData sheetId="4">
        <row r="1">
          <cell r="A1" t="str">
            <v xml:space="preserve">  ANNEX-3   BILL  OF  QUANTITY  AND  COST  BREAKDOWN  </v>
          </cell>
        </row>
      </sheetData>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Set>
  </externalBook>
</externalLink>
</file>

<file path=xl/externalLinks/externalLink1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irect oh."/>
      <sheetName val="indirect-oh"/>
      <sheetName val="EQUIP"/>
      <sheetName val="D-1"/>
      <sheetName val="D-2"/>
      <sheetName val="D-3"/>
      <sheetName val="ESCALATED RATIOS"/>
      <sheetName val="cement"/>
      <sheetName val="TABLE2-2 OSBL-(SITE PREP)"/>
      <sheetName val="Civil"/>
      <sheetName val="PROCESS"/>
      <sheetName val="A CONDITIONS"/>
      <sheetName val="Bend_fact "/>
      <sheetName val="estimate"/>
      <sheetName val="OHF~1"/>
      <sheetName val="UTCA"/>
      <sheetName val="General Data"/>
      <sheetName val="KP_List"/>
      <sheetName val="API Units"/>
      <sheetName val="당초"/>
      <sheetName val="공사비 내역 (가)"/>
      <sheetName val="1. Piping Final BOQ List(G)"/>
      <sheetName val="PipWT"/>
      <sheetName val="Macro"/>
      <sheetName val="Taux"/>
      <sheetName val="PUMP"/>
      <sheetName val=" 견적서"/>
      <sheetName val="TIE-INS"/>
      <sheetName val="Sheet1"/>
      <sheetName val="Graph (LGEN)"/>
      <sheetName val="out_prog"/>
      <sheetName val="선적schedule (2)"/>
      <sheetName val="unit rates"/>
      <sheetName val="견적"/>
      <sheetName val="exp-report(e,p,c)"/>
      <sheetName val="MOTOR"/>
      <sheetName val="Main"/>
      <sheetName val="DATA"/>
      <sheetName val="예산서"/>
      <sheetName val="적용환율"/>
      <sheetName val="간접비내역-1"/>
      <sheetName val="작성기준"/>
      <sheetName val="LEGEND"/>
      <sheetName val="AILC004"/>
      <sheetName val="XZLC004_PART2"/>
      <sheetName val="3. Piping"/>
      <sheetName val="1. Stationary"/>
      <sheetName val="CALCULATION"/>
    </sheetNames>
    <sheetDataSet>
      <sheetData sheetId="0" refreshError="1"/>
      <sheetData sheetId="1" refreshError="1"/>
      <sheetData sheetId="2" refreshError="1"/>
      <sheetData sheetId="3" refreshError="1"/>
      <sheetData sheetId="4" refreshError="1"/>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Set>
  </externalBook>
</externalLink>
</file>

<file path=xl/externalLinks/externalLink1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iping Design Data"/>
      <sheetName val="Calc Sheet"/>
      <sheetName val="D-3"/>
      <sheetName val="cement"/>
      <sheetName val="laroux"/>
      <sheetName val="piping"/>
      <sheetName val="AILC004"/>
      <sheetName val="eq_data"/>
      <sheetName val="BQ List"/>
      <sheetName val="PipWT"/>
      <sheetName val="3514-HV-0201"/>
      <sheetName val="A CONDITIONS"/>
      <sheetName val="API Units"/>
      <sheetName val="당초"/>
      <sheetName val="공사비 내역 (가)"/>
      <sheetName val="TYPE-B 평균H"/>
      <sheetName val="Total"/>
      <sheetName val="Civil"/>
      <sheetName val="견적"/>
      <sheetName val="Bend_fact "/>
      <sheetName val="Mtl Summary"/>
      <sheetName val="F-302"/>
      <sheetName val="PIPES"/>
      <sheetName val="Sheet1"/>
      <sheetName val="PROCESS"/>
      <sheetName val="노임"/>
      <sheetName val="Graph (LGEN)"/>
      <sheetName val="out_prog"/>
      <sheetName val="선적schedule (2)"/>
      <sheetName val="TIE-INS"/>
      <sheetName val="LOOKUP"/>
      <sheetName val="paint mat"/>
      <sheetName val="AD merkblatter dış basınç"/>
      <sheetName val="estimate"/>
      <sheetName val="현황CODE"/>
      <sheetName val="손익현황"/>
      <sheetName val="BOQ"/>
      <sheetName val="PUMP"/>
      <sheetName val="Main"/>
      <sheetName val="DATA"/>
      <sheetName val="CAT_5"/>
      <sheetName val="인건비"/>
      <sheetName val="Schedule"/>
      <sheetName val="BM_TOTAL"/>
      <sheetName val="BQ Calc Sheet(Pipe)"/>
      <sheetName val="3. Piping"/>
      <sheetName val="1. Stationary"/>
      <sheetName val="적용환율"/>
      <sheetName val="General Data"/>
      <sheetName val="간접비내역-1"/>
      <sheetName val="Precios"/>
      <sheetName val="CAL."/>
      <sheetName val="예산서"/>
      <sheetName val="General"/>
      <sheetName val="도급양식"/>
      <sheetName val="POWER"/>
      <sheetName val="97 사업추정(WEKI)"/>
      <sheetName val="Pipe Classes"/>
      <sheetName val="설계조건"/>
      <sheetName val="6PILE  (돌출)"/>
      <sheetName val="작성기준"/>
      <sheetName val="LEGEND"/>
      <sheetName val="Units"/>
      <sheetName val="Indeks"/>
      <sheetName val="name"/>
      <sheetName val="MT-C"/>
      <sheetName val="COVER"/>
      <sheetName val="Sheet2"/>
      <sheetName val="ST단가"/>
      <sheetName val="GTC 106-ED- 03"/>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Set>
  </externalBook>
</externalLink>
</file>

<file path=xl/externalLinks/externalLink1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적용 code"/>
      <sheetName val="Information"/>
      <sheetName val="Boilers"/>
      <sheetName val="Air Coolers"/>
      <sheetName val="Coalescers"/>
      <sheetName val="Columns"/>
      <sheetName val="ST Exchangers"/>
      <sheetName val="COLD BOX"/>
      <sheetName val="Filters"/>
      <sheetName val="Vessels"/>
      <sheetName val="Reactors"/>
      <sheetName val="Vacuum system"/>
      <sheetName val="Coalescer"/>
      <sheetName val="Desuperheater"/>
      <sheetName val="Ejectors"/>
      <sheetName val="Storage Tanks"/>
      <sheetName val="Detonation Arrestor"/>
      <sheetName val="Exhaust head"/>
      <sheetName val="영업소실적"/>
      <sheetName val="eq_data"/>
      <sheetName val="TABLE2-2 OSBL-(SITE PREP)"/>
      <sheetName val="SKETCH"/>
      <sheetName val="LOADS"/>
      <sheetName val="boq"/>
      <sheetName val="96.12"/>
      <sheetName val="OSBL-TOTAL (SEA WATER)"/>
      <sheetName val="OSBL-TOTAL (CIVIL WORK)"/>
      <sheetName val="D-3"/>
    </sheetNames>
    <sheetDataSet>
      <sheetData sheetId="0"/>
      <sheetData sheetId="1">
        <row r="22">
          <cell r="C22" t="str">
            <v>kg/cm² (g)</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Set>
  </externalBook>
</externalLink>
</file>

<file path=xl/externalLinks/externalLink1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문제점"/>
      <sheetName val="DCS"/>
      <sheetName val="CMS"/>
      <sheetName val="INSTRUMENT"/>
      <sheetName val="VALVE"/>
      <sheetName val="CABLETRN"/>
      <sheetName val="CBLINJ"/>
      <sheetName val="F.O CABLE TERMI"/>
      <sheetName val="TRAY&amp;LADDER"/>
      <sheetName val="BULK"/>
      <sheetName val="LOCAL INDICATION"/>
      <sheetName val="ANALYSER"/>
      <sheetName val="F&amp;G"/>
      <sheetName val="CABLE"/>
      <sheetName val="ANALYSIS SYS"/>
      <sheetName val="XXXXXX"/>
      <sheetName val="결재용 대비 금액"/>
      <sheetName val="견적대비 시행 "/>
      <sheetName val="FWBS7000,8000"/>
      <sheetName val="비교표"/>
      <sheetName val="MANPOWER"/>
      <sheetName val="CONSUMABLE"/>
      <sheetName val="산출근거"/>
      <sheetName val="TOOL"/>
      <sheetName val="TEST"/>
      <sheetName val="Sheet1"/>
      <sheetName val="condition"/>
      <sheetName val="견적근거"/>
      <sheetName val="DCS ESD 3RD FG"/>
      <sheetName val="F&amp;G DETECTOR"/>
      <sheetName val="LOCAL FIELD"/>
      <sheetName val="FO RO VALVE"/>
      <sheetName val="package"/>
      <sheetName val="CABLErev1"/>
      <sheetName val="CABLE TC rev1"/>
      <sheetName val="TUBE"/>
      <sheetName val="TFTG"/>
      <sheetName val="PIPE"/>
      <sheetName val="PFTrev"/>
      <sheetName val="VLVrev1"/>
      <sheetName val="GLDrev1"/>
      <sheetName val="JB"/>
      <sheetName val="TRAY"/>
      <sheetName val="SUPPrev1"/>
      <sheetName val="CABLE TRAY"/>
      <sheetName val="eq_data"/>
      <sheetName val="경제지표"/>
      <sheetName val="جدول توزيع پيشرفت"/>
      <sheetName val="5"/>
      <sheetName val="Cover"/>
      <sheetName val="ANX3A65"/>
      <sheetName val="001BA"/>
      <sheetName val="세금자료"/>
      <sheetName val="손익차9월2"/>
      <sheetName val="Information"/>
      <sheetName val="영업소실적"/>
      <sheetName val="Piping Design Data"/>
      <sheetName val="EQT-ESTN"/>
      <sheetName val="12CGOU"/>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Set>
  </externalBook>
</externalLink>
</file>

<file path=xl/externalLinks/externalLink1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99년하반기"/>
      <sheetName val="10월추정"/>
      <sheetName val="2001년매출추정실적"/>
      <sheetName val="Sheet3"/>
      <sheetName val="Sheet2"/>
      <sheetName val="C701ACT"/>
      <sheetName val="영업소실적"/>
      <sheetName val="의정부문예회관변경내역"/>
      <sheetName val="현금"/>
      <sheetName val="예산서"/>
      <sheetName val="충주"/>
      <sheetName val="OE"/>
      <sheetName val="D040416"/>
      <sheetName val="97 사업추정(WEKI)"/>
      <sheetName val="우수"/>
      <sheetName val="태화42 "/>
      <sheetName val="ANALYSER"/>
      <sheetName val="1월"/>
      <sheetName val="3-구교-오리지날"/>
      <sheetName val="공통부대비"/>
      <sheetName val="구의33고"/>
      <sheetName val="COVER"/>
      <sheetName val="공정표 "/>
      <sheetName val="부속동"/>
      <sheetName val="10한빛"/>
      <sheetName val="장차입"/>
      <sheetName val="정산표"/>
      <sheetName val="대치판정"/>
      <sheetName val="비교1"/>
      <sheetName val="96.12"/>
      <sheetName val="STAND98"/>
      <sheetName val="97사업계"/>
      <sheetName val="조직표"/>
      <sheetName val="95년12월말"/>
      <sheetName val="주요공사"/>
      <sheetName val="주관사업"/>
      <sheetName val="환율"/>
      <sheetName val="직원동원SCH"/>
      <sheetName val="P.M 별"/>
      <sheetName val="최초침전지집계표"/>
      <sheetName val="PSIZE"/>
      <sheetName val="7.기-검-보.100"/>
      <sheetName val="97년 SEACO예산"/>
      <sheetName val="OUT"/>
      <sheetName val="실적총괄"/>
      <sheetName val="가설건물"/>
      <sheetName val="정부노임단가"/>
      <sheetName val="INSTR"/>
      <sheetName val="1NYS(당)"/>
      <sheetName val="우수공"/>
      <sheetName val="TOEC"/>
      <sheetName val="steel data sheet"/>
      <sheetName val="와동25-3(변경)"/>
      <sheetName val="유림골조"/>
      <sheetName val="청산공사"/>
      <sheetName val="하수급견적대비"/>
      <sheetName val="운동장 (2)"/>
      <sheetName val="월간보고"/>
      <sheetName val="INPUT DATA"/>
      <sheetName val="인원계획"/>
      <sheetName val="#REF"/>
      <sheetName val="고자현황"/>
      <sheetName val="간접비(1)"/>
      <sheetName val="P54"/>
      <sheetName val="001"/>
      <sheetName val="BID"/>
      <sheetName val="마케팅"/>
      <sheetName val="토목공사"/>
      <sheetName val="단가표"/>
      <sheetName val="98지급계획"/>
      <sheetName val="DPRKMHDT"/>
      <sheetName val="T기성9605"/>
      <sheetName val="당초"/>
      <sheetName val="04-D(1)"/>
      <sheetName val="입찰안"/>
      <sheetName val="표지 (2)"/>
      <sheetName val="간접1"/>
      <sheetName val="현장업무"/>
      <sheetName val="TOTAL"/>
      <sheetName val="평균환율-USD"/>
      <sheetName val="광주운남을"/>
      <sheetName val="RCF CLAIMED"/>
      <sheetName val="집계표"/>
      <sheetName val="유기공정"/>
      <sheetName val="TOWER 12TON"/>
      <sheetName val="TOWER 10TON"/>
      <sheetName val="JIB CRANE,HOIST"/>
      <sheetName val="G.R300경비"/>
      <sheetName val="가도공"/>
      <sheetName val="대공종"/>
      <sheetName val="XL4Poppy"/>
      <sheetName val="3차설계"/>
      <sheetName val="단면검토"/>
      <sheetName val="설계조건"/>
      <sheetName val="사급자재"/>
      <sheetName val="ABUT수량-A1"/>
      <sheetName val="BSD (2)"/>
      <sheetName val="계정"/>
      <sheetName val="직원수당"/>
      <sheetName val="new급여T(4을-운전)"/>
      <sheetName val="ITEM"/>
      <sheetName val="내역서"/>
      <sheetName val="마산월령동골조물량변경"/>
      <sheetName val="시험장S자로가로등공사"/>
      <sheetName val="SG"/>
      <sheetName val="간접비내역-1"/>
      <sheetName val="CP-E1(MECEL배분)"/>
      <sheetName val="다이꾸"/>
      <sheetName val="EQT-ESTN"/>
      <sheetName val="투입실적"/>
      <sheetName val="골조물량"/>
      <sheetName val="ANX3A65"/>
      <sheetName val="Information"/>
      <sheetName val="01.가설-파일"/>
      <sheetName val="PRO_A"/>
      <sheetName val="DWG"/>
      <sheetName val="MAIN"/>
      <sheetName val="PRO"/>
      <sheetName val="eq_data"/>
      <sheetName val="WORKER"/>
      <sheetName val="DATA"/>
      <sheetName val="IBASE"/>
      <sheetName val="지급제한자"/>
      <sheetName val="공사비_NDE"/>
      <sheetName val="수입"/>
      <sheetName val="Sheet4"/>
      <sheetName val="본지점중"/>
      <sheetName val="입사시직위"/>
      <sheetName val="Sheet1 (2)"/>
      <sheetName val="Basis"/>
      <sheetName val="TABLE2-2 OSBL-(SITE PREP)"/>
      <sheetName val="공종목록표"/>
      <sheetName val="CAL"/>
      <sheetName val="IPS_0"/>
      <sheetName val="터널조도"/>
      <sheetName val="97_사업추정(WEKI)"/>
      <sheetName val="태화42_"/>
      <sheetName val="상세공정율표"/>
      <sheetName val="1차배부(JB포함)"/>
      <sheetName val="A-8 PD(도로중앙)"/>
      <sheetName val="투찰"/>
      <sheetName val="노임단가"/>
      <sheetName val="현황"/>
      <sheetName val="Piping Design Data"/>
      <sheetName val="내역"/>
      <sheetName val="DHEQSUPT"/>
      <sheetName val="Tipo Terzi"/>
      <sheetName val="3.바닥판설계"/>
      <sheetName val="소화실적"/>
      <sheetName val="UnitList"/>
      <sheetName val="동결보온"/>
      <sheetName val="공사금액 내역 (1)"/>
      <sheetName val="사업부배부A"/>
      <sheetName val="수주실적0709"/>
      <sheetName val="금액내역서"/>
      <sheetName val="CALCULATION"/>
      <sheetName val="CLASS-A"/>
      <sheetName val="유림총괄"/>
      <sheetName val="001BA"/>
      <sheetName val="상반기손익차2총괄"/>
      <sheetName val="PLAN_FEB97"/>
      <sheetName val="96배수"/>
      <sheetName val="배수내역"/>
      <sheetName val="토공"/>
      <sheetName val="공량산출서"/>
      <sheetName val="Sheet6"/>
      <sheetName val="SCH"/>
      <sheetName val="01하반기노임"/>
      <sheetName val="L형 옹벽"/>
      <sheetName val="MOTOR"/>
      <sheetName val="ilch"/>
      <sheetName val="화재 탐지 설비"/>
      <sheetName val="Formulas"/>
      <sheetName val="소상 &quot;1&quot;"/>
      <sheetName val="123"/>
      <sheetName val="980820"/>
      <sheetName val="DNT OSBL"/>
      <sheetName val="평형공사비"/>
      <sheetName val="수안보-MBR1"/>
      <sheetName val="소특"/>
      <sheetName val="TYPE-B 평균H"/>
      <sheetName val="S0"/>
      <sheetName val="설계가"/>
      <sheetName val="Income Statement"/>
      <sheetName val="차액보증"/>
      <sheetName val="PILE길이산출(DRA)"/>
      <sheetName val="초과투입분"/>
      <sheetName val="hvac(제어동)"/>
      <sheetName val="POOM_MOTO"/>
      <sheetName val="POOM_MOTO2"/>
      <sheetName val="남양주댠가표"/>
      <sheetName val="안전내역품의"/>
      <sheetName val="Project Brief"/>
      <sheetName val="TARGET"/>
      <sheetName val="Cac Thong So "/>
      <sheetName val="참고(3)고정비"/>
      <sheetName val="DATE"/>
      <sheetName val="boq"/>
      <sheetName val="OSBL-TOTAL (OTHER WORK)"/>
      <sheetName val="OSBL-TOTAL (SEA WATER)"/>
      <sheetName val="OSBL-TOTAL (CIVIL WORK)"/>
      <sheetName val="3.현장배치"/>
      <sheetName val="현장배치"/>
      <sheetName val="유동표"/>
      <sheetName val="STG TR"/>
      <sheetName val="TYPE-A"/>
      <sheetName val="실행품의서"/>
      <sheetName val="h-013211-2"/>
      <sheetName val="Upgrades pricing"/>
      <sheetName val="DESIGN CRETERIA"/>
      <sheetName val="SE-611"/>
      <sheetName val="실행철강하도"/>
      <sheetName val="PRO_DCI"/>
      <sheetName val="YOEMAGUM"/>
      <sheetName val="기존구조물철거집계계표"/>
      <sheetName val="공사진행"/>
      <sheetName val="가BM"/>
      <sheetName val="시행예산"/>
      <sheetName val="플랜트 설치"/>
      <sheetName val="총체보활공정표"/>
      <sheetName val="단가비교표"/>
      <sheetName val="전기"/>
      <sheetName val="BQ"/>
      <sheetName val="Y-WORK"/>
      <sheetName val="수량집계"/>
      <sheetName val="총괄집계표"/>
      <sheetName val="투찰판"/>
      <sheetName val="표건"/>
      <sheetName val="기준액"/>
      <sheetName val="REDUCER"/>
      <sheetName val="WE'T"/>
      <sheetName val="공사비증감"/>
      <sheetName val="5.전사투자계획종함안"/>
      <sheetName val="pier(각형)"/>
      <sheetName val="건축내역서"/>
      <sheetName val="설비내역서"/>
      <sheetName val="전기내역서"/>
      <sheetName val="이름표"/>
      <sheetName val="안산기계장치"/>
      <sheetName val="실행(7월)"/>
      <sheetName val="지급어음"/>
      <sheetName val="cable-data"/>
      <sheetName val="A"/>
      <sheetName val="sort"/>
      <sheetName val="1.설계조건"/>
      <sheetName val="COPING"/>
      <sheetName val="TABLE2-1 ISBL(GENEAL-CIVIL)"/>
      <sheetName val="TABLE2-1 ISBL-(SlTE PREP)"/>
      <sheetName val="TABLE2.1 ISBL (Soil Invest)"/>
      <sheetName val="TABLE2-2 OSBL(GENERAL-CIVIL)"/>
      <sheetName val="교각(P1)수량"/>
      <sheetName val="지출결의서(1-3)"/>
      <sheetName val="인제내역"/>
      <sheetName val="갑지"/>
      <sheetName val="자료입력"/>
      <sheetName val="6PILE  (돌출)"/>
      <sheetName val="내역(원안-대안)"/>
      <sheetName val="일위대가"/>
      <sheetName val="조건"/>
      <sheetName val="공통비(전체)"/>
      <sheetName val="품의"/>
      <sheetName val="우각부보강"/>
      <sheetName val="JUCKEYK"/>
      <sheetName val="Rent Roll"/>
      <sheetName val="노원열병합  건축공사기성내역서"/>
      <sheetName val="개발비자산성검토"/>
      <sheetName val="밀"/>
      <sheetName val="노무비"/>
      <sheetName val="Ⅳ.1.KEY수입"/>
      <sheetName val="Ⅳ-4.수익총괄"/>
      <sheetName val="hp5월가격"/>
      <sheetName val="Template"/>
      <sheetName val="Initial Input Variable"/>
      <sheetName val="Assumptions"/>
      <sheetName val="tggwan(mac)"/>
      <sheetName val="2.대외공문"/>
      <sheetName val="표지"/>
      <sheetName val="견적서"/>
      <sheetName val="FAB별"/>
      <sheetName val="HDECGTY"/>
      <sheetName val="단자차입일별"/>
      <sheetName val="유가증권"/>
      <sheetName val="유가증권LS"/>
      <sheetName val="지역개발"/>
      <sheetName val="노임"/>
      <sheetName val="물가자료"/>
      <sheetName val="V-VESSEL (WITH DEMISTER)"/>
      <sheetName val="BM DATA SHEET"/>
      <sheetName val="간접비총괄"/>
      <sheetName val="세금자료"/>
      <sheetName val="총원가계산서(요율)"/>
      <sheetName val="발주현황"/>
      <sheetName val="별제권_정리담보권1"/>
      <sheetName val="C급보 "/>
      <sheetName val="공사개요"/>
      <sheetName val="참고"/>
      <sheetName val="내역서(전기)"/>
      <sheetName val="기계공사비집계(원안)"/>
      <sheetName val="RFP007"/>
      <sheetName val="갑지(추정)"/>
      <sheetName val="Area"/>
      <sheetName val="수량산출"/>
      <sheetName val="참조"/>
      <sheetName val="단가"/>
      <sheetName val="BM"/>
      <sheetName val="N賃率-職"/>
      <sheetName val="도급"/>
      <sheetName val="식재"/>
      <sheetName val="시설물"/>
      <sheetName val="식재출력용"/>
      <sheetName val="유지관리"/>
      <sheetName val="단가조사"/>
      <sheetName val="직영2"/>
      <sheetName val="전현장하자보수비"/>
      <sheetName val="민감도분석"/>
      <sheetName val="잡철물"/>
      <sheetName val="쌍송교"/>
      <sheetName val="과천MAIN"/>
      <sheetName val="97_사업추정(WEKI)1"/>
      <sheetName val="태화42_1"/>
      <sheetName val="공정표_"/>
      <sheetName val="96_12"/>
      <sheetName val="P_M_별"/>
      <sheetName val="7_기-검-보_100"/>
      <sheetName val="97년_SEACO예산"/>
      <sheetName val="steel_data_sheet"/>
      <sheetName val="운동장_(2)"/>
      <sheetName val="INPUT_DATA"/>
      <sheetName val="표지_(2)"/>
      <sheetName val="RCF_CLAIMED"/>
      <sheetName val="TOWER_12TON"/>
      <sheetName val="TOWER_10TON"/>
      <sheetName val="JIB_CRANE,HOIST"/>
      <sheetName val="G_R300경비"/>
      <sheetName val="BSD_(2)"/>
      <sheetName val="Sheet1_(2)"/>
      <sheetName val="A-8_PD(도로중앙)"/>
      <sheetName val="공사금액_내역_(1)"/>
      <sheetName val="01_가설-파일"/>
      <sheetName val="3_바닥판설계"/>
      <sheetName val="Tipo_Terzi"/>
      <sheetName val="화재_탐지_설비"/>
      <sheetName val="L형_옹벽"/>
      <sheetName val="주형"/>
      <sheetName val="인사자료총집계"/>
      <sheetName val="COA-17"/>
      <sheetName val="C-18"/>
      <sheetName val="산근"/>
      <sheetName val="설계내역서"/>
      <sheetName val="CTEMCOST"/>
      <sheetName val="노임이"/>
      <sheetName val="hGH정제"/>
      <sheetName val="Testing"/>
      <sheetName val="ELEC_DCI"/>
      <sheetName val="INST_DCI"/>
      <sheetName val="POWER"/>
      <sheetName val="PBS"/>
      <sheetName val="3BL공동구 수량"/>
      <sheetName val="공시지가"/>
      <sheetName val="회사정보"/>
      <sheetName val="지장물-181(2)"/>
      <sheetName val="Tenants"/>
      <sheetName val="토지조서"/>
      <sheetName val="Budget"/>
      <sheetName val="THEME CODE"/>
      <sheetName val="CR CODE"/>
      <sheetName val="부서CODE"/>
      <sheetName val="C3"/>
      <sheetName val="실행(표지,갑,을)"/>
      <sheetName val="98TSON4A"/>
      <sheetName val="잡철단가대비"/>
      <sheetName val="1.CB"/>
      <sheetName val="변수"/>
      <sheetName val="현금및현금등가물1"/>
      <sheetName val="코드"/>
      <sheetName val="nys"/>
      <sheetName val="교대(A1-A2)"/>
      <sheetName val="경제지표"/>
      <sheetName val="호프"/>
      <sheetName val="GAEYO"/>
      <sheetName val=" 태아터널 하도급 승계 공사비 대비표.xlsx"/>
      <sheetName val="실행대비"/>
      <sheetName val="out_prog"/>
      <sheetName val="선적schedule (2)"/>
      <sheetName val="C3.토목_옹벽"/>
      <sheetName val="A3.공사비 검토"/>
      <sheetName val="분당임차변경"/>
      <sheetName val="Schedule 2 and 3"/>
      <sheetName val="종전자산(8명 수정)"/>
      <sheetName val="INPUT"/>
      <sheetName val="마포토정"/>
      <sheetName val=""/>
    </sheetNames>
    <definedNames>
      <definedName name="PRINT"/>
    </defined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refreshError="1"/>
      <sheetData sheetId="345"/>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sheetDataSet>
  </externalBook>
</externalLink>
</file>

<file path=xl/externalLinks/externalLink1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10월추정"/>
      <sheetName val="2001년매출추정실적"/>
      <sheetName val="Sheet3"/>
      <sheetName val="Sheet2"/>
      <sheetName val="C701ACT"/>
      <sheetName val="영업소실적"/>
      <sheetName val="의정부문예회관변경내역"/>
      <sheetName val="현금"/>
      <sheetName val="예산서"/>
      <sheetName val="충주"/>
      <sheetName val="OE"/>
      <sheetName val="D040416"/>
      <sheetName val="99년하반기"/>
      <sheetName val="97 사업추정(WEKI)"/>
      <sheetName val="우수"/>
      <sheetName val="태화42 "/>
      <sheetName val="97사업계"/>
      <sheetName val="본지점중"/>
      <sheetName val="주관사업"/>
      <sheetName val="ANALYSER"/>
      <sheetName val="STAND98"/>
      <sheetName val="1월"/>
      <sheetName val="3-구교-오리지날"/>
      <sheetName val="공통부대비"/>
      <sheetName val="구의33고"/>
      <sheetName val="COVER"/>
      <sheetName val="공정표 "/>
      <sheetName val="부속동"/>
      <sheetName val="10한빛"/>
      <sheetName val="장차입"/>
      <sheetName val="정산표"/>
      <sheetName val="대치판정"/>
      <sheetName val="비교1"/>
      <sheetName val="96.12"/>
      <sheetName val="조직표"/>
      <sheetName val="95년12월말"/>
      <sheetName val="주요공사"/>
      <sheetName val="직원동원SCH"/>
      <sheetName val="실적총괄"/>
      <sheetName val="환율"/>
      <sheetName val="TOEC"/>
      <sheetName val="steel data sheet"/>
      <sheetName val="INSTR"/>
      <sheetName val="최초침전지집계표"/>
      <sheetName val="97년 SEACO예산"/>
      <sheetName val="PSIZE"/>
      <sheetName val="7.기-검-보.100"/>
      <sheetName val="P.M 별"/>
      <sheetName val="OUT"/>
      <sheetName val="가설건물"/>
      <sheetName val="정부노임단가"/>
      <sheetName val="1NYS(당)"/>
      <sheetName val="우수공"/>
      <sheetName val="와동25-3(변경)"/>
      <sheetName val="유림골조"/>
      <sheetName val="청산공사"/>
      <sheetName val="하수급견적대비"/>
      <sheetName val="운동장 (2)"/>
      <sheetName val="월간보고"/>
      <sheetName val="INPUT DATA"/>
      <sheetName val="인원계획"/>
      <sheetName val="#REF"/>
      <sheetName val="고자현황"/>
      <sheetName val="P54"/>
      <sheetName val="001"/>
      <sheetName val="BID"/>
      <sheetName val="마케팅"/>
      <sheetName val="토목공사"/>
      <sheetName val="단가표"/>
      <sheetName val="98지급계획"/>
      <sheetName val="DPRKMHDT"/>
      <sheetName val="T기성9605"/>
      <sheetName val="당초"/>
      <sheetName val="04-D(1)"/>
      <sheetName val="입찰안"/>
      <sheetName val="표지 (2)"/>
      <sheetName val="간접1"/>
      <sheetName val="현장업무"/>
      <sheetName val="평균환율-USD"/>
      <sheetName val="ANX3A65"/>
      <sheetName val="Information"/>
      <sheetName val="01.가설-파일"/>
      <sheetName val="PRO_A"/>
      <sheetName val="DWG"/>
      <sheetName val="MAIN"/>
      <sheetName val="PRO"/>
      <sheetName val="eq_data"/>
      <sheetName val="WORKER"/>
      <sheetName val="DATA"/>
      <sheetName val="간접비(1)"/>
      <sheetName val="TOTAL"/>
      <sheetName val="RCF CLAIMED"/>
      <sheetName val="집계표"/>
      <sheetName val="유기공정"/>
      <sheetName val="광주운남을"/>
      <sheetName val="TOWER 12TON"/>
      <sheetName val="TOWER 10TON"/>
      <sheetName val="JIB CRANE,HOIST"/>
      <sheetName val="G.R300경비"/>
      <sheetName val="가도공"/>
      <sheetName val="대공종"/>
      <sheetName val="XL4Poppy"/>
      <sheetName val="3차설계"/>
      <sheetName val="단면검토"/>
      <sheetName val="설계조건"/>
      <sheetName val="사급자재"/>
      <sheetName val="ABUT수량-A1"/>
      <sheetName val="BSD (2)"/>
      <sheetName val="계정"/>
      <sheetName val="직원수당"/>
      <sheetName val="지급제한자"/>
      <sheetName val="공사비_NDE"/>
      <sheetName val="수입"/>
      <sheetName val="IBASE"/>
      <sheetName val="내역서"/>
      <sheetName val="CP-E1(MECEL배분)"/>
      <sheetName val="다이꾸"/>
      <sheetName val="시험장S자로가로등공사"/>
      <sheetName val="new급여T(4을-운전)"/>
      <sheetName val="Sheet4"/>
      <sheetName val="입사시직위"/>
      <sheetName val="Sheet1 (2)"/>
      <sheetName val="간접비내역-1"/>
      <sheetName val="Basis"/>
      <sheetName val="투입실적"/>
      <sheetName val="ITEM"/>
      <sheetName val="마산월령동골조물량변경"/>
      <sheetName val="SG"/>
      <sheetName val="골조물량"/>
      <sheetName val="EQT-ESTN"/>
      <sheetName val="공종목록표"/>
      <sheetName val="CAL"/>
      <sheetName val="IPS_0"/>
      <sheetName val="터널조도"/>
      <sheetName val="노임단가"/>
      <sheetName val="상세공정율표"/>
      <sheetName val="97_사업추정(WEKI)"/>
      <sheetName val="태화42_"/>
      <sheetName val="Tipo Terzi"/>
      <sheetName val="1차배부(JB포함)"/>
      <sheetName val="A-8 PD(도로중앙)"/>
      <sheetName val="투찰"/>
      <sheetName val="현황"/>
      <sheetName val="내역"/>
      <sheetName val="DHEQSUPT"/>
      <sheetName val="3.바닥판설계"/>
      <sheetName val="소화실적"/>
      <sheetName val="DESIGN CRETERIA"/>
      <sheetName val="UnitList"/>
      <sheetName val="공사금액 내역 (1)"/>
      <sheetName val="사업부배부A"/>
      <sheetName val="수주실적0709"/>
      <sheetName val="금액내역서"/>
      <sheetName val="CALCULATION"/>
      <sheetName val="CLASS-A"/>
      <sheetName val="유림총괄"/>
      <sheetName val="동결보온"/>
      <sheetName val="TABLE2-2 OSBL-(SITE PREP)"/>
      <sheetName val="Piping Design Data"/>
      <sheetName val="화재 탐지 설비"/>
      <sheetName val="001BA"/>
      <sheetName val="상반기손익차2총괄"/>
      <sheetName val="PLAN_FEB97"/>
      <sheetName val="Formulas"/>
      <sheetName val="96배수"/>
      <sheetName val="배수내역"/>
      <sheetName val="토공"/>
      <sheetName val="공량산출서"/>
      <sheetName val="Sheet6"/>
      <sheetName val="SCH"/>
      <sheetName val="01하반기노임"/>
      <sheetName val="L형 옹벽"/>
      <sheetName val="MOTOR"/>
      <sheetName val="ilch"/>
      <sheetName val="123"/>
      <sheetName val="소상 &quot;1&quot;"/>
      <sheetName val="980820"/>
      <sheetName val="DNT OSBL"/>
      <sheetName val="평형공사비"/>
      <sheetName val="수안보-MBR1"/>
      <sheetName val="h-013211-2"/>
      <sheetName val="PRO_DCI"/>
      <sheetName val="수량집계"/>
      <sheetName val="총괄집계표"/>
      <sheetName val="Cac Thong So "/>
      <sheetName val="참고(3)고정비"/>
      <sheetName val="DATE"/>
      <sheetName val="boq"/>
      <sheetName val="OSBL-TOTAL (OTHER WORK)"/>
      <sheetName val="OSBL-TOTAL (SEA WATER)"/>
      <sheetName val="OSBL-TOTAL (CIVIL WORK)"/>
      <sheetName val="3.현장배치"/>
      <sheetName val="현장배치"/>
      <sheetName val="유동표"/>
      <sheetName val="STG TR"/>
      <sheetName val="TYPE-A"/>
      <sheetName val="소특"/>
      <sheetName val="TYPE-B 평균H"/>
      <sheetName val="S0"/>
      <sheetName val="설계가"/>
      <sheetName val="Income Statement"/>
      <sheetName val="차액보증"/>
      <sheetName val="PILE길이산출(DRA)"/>
      <sheetName val="초과투입분"/>
      <sheetName val="실행품의서"/>
      <sheetName val="hvac(제어동)"/>
      <sheetName val="TARGET"/>
      <sheetName val="YOEMAGUM"/>
      <sheetName val="POOM_MOTO"/>
      <sheetName val="POOM_MOTO2"/>
      <sheetName val="남양주댠가표"/>
      <sheetName val="안전내역품의"/>
      <sheetName val="Project Brief"/>
      <sheetName val="기존구조물철거집계계표"/>
      <sheetName val="공사진행"/>
      <sheetName val="가BM"/>
      <sheetName val="시행예산"/>
      <sheetName val="플랜트 설치"/>
      <sheetName val="총체보활공정표"/>
      <sheetName val="전기"/>
      <sheetName val="단가비교표"/>
      <sheetName val="BQ"/>
      <sheetName val="Y-WORK"/>
      <sheetName val="실행철강하도"/>
      <sheetName val="SE-611"/>
      <sheetName val="투찰판"/>
      <sheetName val="표건"/>
      <sheetName val="Upgrades pricing"/>
      <sheetName val="기준액"/>
      <sheetName val="REDUCER"/>
      <sheetName val="WE'T"/>
      <sheetName val="공사비증감"/>
      <sheetName val="COPING"/>
      <sheetName val="이름표"/>
      <sheetName val="안산기계장치"/>
      <sheetName val="5.전사투자계획종함안"/>
      <sheetName val="TABLE2-1 ISBL(GENEAL-CIVIL)"/>
      <sheetName val="TABLE2-1 ISBL-(SlTE PREP)"/>
      <sheetName val="TABLE2.1 ISBL (Soil Invest)"/>
      <sheetName val="TABLE2-2 OSBL(GENERAL-CIVIL)"/>
      <sheetName val="실행(7월)"/>
      <sheetName val="pier(각형)"/>
      <sheetName val="인제내역"/>
      <sheetName val="건축내역서"/>
      <sheetName val="설비내역서"/>
      <sheetName val="전기내역서"/>
      <sheetName val="교각(P1)수량"/>
      <sheetName val="유가증권LS"/>
      <sheetName val="지급어음"/>
      <sheetName val="cable-data"/>
      <sheetName val="A"/>
      <sheetName val="sort"/>
      <sheetName val="1.설계조건"/>
      <sheetName val="내역(원안-대안)"/>
      <sheetName val="일위대가"/>
      <sheetName val="갑지"/>
      <sheetName val="지출결의서(1-3)"/>
      <sheetName val="자료입력"/>
      <sheetName val="JUCKEYK"/>
      <sheetName val="조건"/>
      <sheetName val="공통비(전체)"/>
      <sheetName val="Rent Roll"/>
      <sheetName val="노원열병합  건축공사기성내역서"/>
      <sheetName val="우각부보강"/>
      <sheetName val="6PILE  (돌출)"/>
      <sheetName val="품의"/>
      <sheetName val="표지"/>
      <sheetName val="견적서"/>
      <sheetName val="FAB별"/>
      <sheetName val="HDECGTY"/>
      <sheetName val="단자차입일별"/>
      <sheetName val="유가증권"/>
      <sheetName val="개발비자산성검토"/>
      <sheetName val="밀"/>
      <sheetName val="노무비"/>
      <sheetName val="Ⅳ.1.KEY수입"/>
      <sheetName val="Ⅳ-4.수익총괄"/>
      <sheetName val="hp5월가격"/>
      <sheetName val="Template"/>
      <sheetName val="Initial Input Variable"/>
      <sheetName val="Assumptions"/>
      <sheetName val="tggwan(mac)"/>
      <sheetName val="2.대외공문"/>
      <sheetName val="지역개발"/>
      <sheetName val="노임"/>
      <sheetName val="물가자료"/>
      <sheetName val="간접비총괄"/>
      <sheetName val="세금자료"/>
      <sheetName val="총원가계산서(요율)"/>
      <sheetName val="V-VESSEL (WITH DEMISTER)"/>
      <sheetName val="BM DATA SHEET"/>
      <sheetName val="발주현황"/>
      <sheetName val="공사개요"/>
      <sheetName val="참고"/>
      <sheetName val="별제권_정리담보권1"/>
      <sheetName val="C급보 "/>
      <sheetName val="갑지(추정)"/>
      <sheetName val="Area"/>
      <sheetName val="내역서(전기)"/>
      <sheetName val="기계공사비집계(원안)"/>
      <sheetName val="RFP007"/>
      <sheetName val="수량산출"/>
      <sheetName val="참조"/>
      <sheetName val="단가"/>
      <sheetName val="BM"/>
      <sheetName val="도급"/>
      <sheetName val="식재"/>
      <sheetName val="시설물"/>
      <sheetName val="식재출력용"/>
      <sheetName val="유지관리"/>
      <sheetName val="단가조사"/>
      <sheetName val="직영2"/>
      <sheetName val="N賃率-職"/>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Set>
  </externalBook>
</externalLink>
</file>

<file path=xl/externalLinks/externalLink1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T-TR"/>
      <sheetName val="IT-P"/>
      <sheetName val="SW6_CBE"/>
      <sheetName val="IT-P1"/>
      <sheetName val="IT-BAT"/>
      <sheetName val="Cover"/>
      <sheetName val="Pipe &amp; Fitting"/>
      <sheetName val="Tube &amp; Fitting"/>
      <sheetName val="Cable Tray"/>
      <sheetName val="Elec Conn"/>
      <sheetName val="cable"/>
      <sheetName val="Junction Box"/>
      <sheetName val="Support &amp; Misc."/>
      <sheetName val="IT_BAT"/>
      <sheetName val="BQ_Utl_Off"/>
      <sheetName val="9-1차이내역"/>
      <sheetName val="화재 탐지 설비"/>
      <sheetName val="목록"/>
      <sheetName val="중기"/>
      <sheetName val="Proposal"/>
      <sheetName val=" 갑지"/>
      <sheetName val="RFP002"/>
      <sheetName val="RFP003E"/>
      <sheetName val="터널조도"/>
      <sheetName val="견적집계"/>
      <sheetName val="자재단가"/>
      <sheetName val="영업소실적"/>
      <sheetName val="본지점중"/>
      <sheetName val="일위대가"/>
      <sheetName val="Sheet5"/>
      <sheetName val="INCHON"/>
      <sheetName val="sheet1"/>
      <sheetName val="원가계산서"/>
      <sheetName val="맨홀수량산출"/>
      <sheetName val="BACK DATA"/>
      <sheetName val="INSTR"/>
      <sheetName val="TTL"/>
      <sheetName val="120"/>
      <sheetName val="130"/>
      <sheetName val="100"/>
      <sheetName val="101"/>
      <sheetName val="102"/>
      <sheetName val="103"/>
      <sheetName val="106"/>
      <sheetName val="108"/>
      <sheetName val="109"/>
      <sheetName val="131"/>
      <sheetName val="110"/>
      <sheetName val="111"/>
      <sheetName val="114"/>
      <sheetName val="116"/>
      <sheetName val="132"/>
      <sheetName val="140"/>
      <sheetName val="141"/>
      <sheetName val="142"/>
      <sheetName val="143"/>
      <sheetName val="144"/>
      <sheetName val="145"/>
      <sheetName val="146"/>
      <sheetName val="121"/>
      <sheetName val="147"/>
      <sheetName val="148"/>
      <sheetName val="160"/>
      <sheetName val="164"/>
      <sheetName val="Flaer Area"/>
      <sheetName val="123"/>
      <sheetName val="124"/>
      <sheetName val="125"/>
      <sheetName val="126"/>
      <sheetName val="127"/>
      <sheetName val="128"/>
      <sheetName val="129"/>
      <sheetName val="Hauptdaten"/>
      <sheetName val="Lumen"/>
      <sheetName val="노임단가"/>
      <sheetName val="소화실적"/>
      <sheetName val="2공구산출내역"/>
      <sheetName val="일위대가목차"/>
      <sheetName val="WE'T"/>
      <sheetName val="BREAKDOWN(철거설치)"/>
      <sheetName val="뜃맟뭁돽띿맟?-BLDG"/>
      <sheetName val="IBASE"/>
      <sheetName val="#REF"/>
      <sheetName val="일위"/>
      <sheetName val="Data Sheet"/>
      <sheetName val="OUT"/>
      <sheetName val="입력값"/>
      <sheetName val="eq_data"/>
      <sheetName val="unit 4"/>
      <sheetName val="노임"/>
      <sheetName val="단가비교"/>
      <sheetName val="MixBed"/>
      <sheetName val="실행내역서_DCU_"/>
      <sheetName val="Pipe_&amp;_Fitting"/>
      <sheetName val="Tube_&amp;_Fitting"/>
      <sheetName val="Cable_Tray"/>
      <sheetName val="Elec_Conn"/>
      <sheetName val="Junction_Box"/>
      <sheetName val="Support_&amp;_Misc_"/>
      <sheetName val="화재_탐지_설비"/>
      <sheetName val="PLC B-M"/>
      <sheetName val="WOC95467"/>
      <sheetName val="LINE,UNIT 구분"/>
      <sheetName val="DANGA"/>
      <sheetName val="작업년월"/>
      <sheetName val="세부내역"/>
      <sheetName val="총괄표양식"/>
      <sheetName val="차량운영비"/>
      <sheetName val="E_Rate PM"/>
      <sheetName val="계측"/>
      <sheetName val="가열로SW"/>
      <sheetName val="내역서"/>
      <sheetName val="장비종합부표"/>
      <sheetName val="집계표_식재"/>
      <sheetName val="부표"/>
      <sheetName val="A-4"/>
      <sheetName val="ISOP"/>
      <sheetName val="Inst. Cable"/>
      <sheetName val="C급보 "/>
      <sheetName val="배수내역"/>
      <sheetName val="Q-7100-001"/>
      <sheetName val="summary"/>
      <sheetName val="MATERIAL BALANCE"/>
      <sheetName val="뜃맟뭁돽띿맟_-BLDG"/>
      <sheetName val="DRUM"/>
      <sheetName val="Summary Sheets"/>
      <sheetName val="DATA"/>
      <sheetName val="TOTAL 구매 내역"/>
      <sheetName val="10공구일위"/>
      <sheetName val="실행철강하도"/>
      <sheetName val="9GNG운반"/>
      <sheetName val="Sheet2"/>
      <sheetName val="투찰내역"/>
      <sheetName val="1,2공구원가계산서"/>
      <sheetName val="1공구산출내역서"/>
      <sheetName val="을지"/>
      <sheetName val="VA_code"/>
      <sheetName val="CP BACKDATA"/>
      <sheetName val="손익차9월2"/>
      <sheetName val="배수관공"/>
      <sheetName val="대치판정"/>
      <sheetName val="Cover sheet"/>
      <sheetName val="98TSON4A"/>
      <sheetName val="Total"/>
      <sheetName val="PRO_DCI"/>
      <sheetName val="NC(공사)입력"/>
      <sheetName val="2001년 예산"/>
      <sheetName val="RECIMAKE"/>
      <sheetName val="할증 "/>
      <sheetName val="_갑지"/>
      <sheetName val="BACK_DATA"/>
      <sheetName val="실행내역서 "/>
      <sheetName val="거래처계좌"/>
      <sheetName val="Hoja3"/>
      <sheetName val="Hoja2"/>
      <sheetName val="CondPol"/>
      <sheetName val="구동"/>
      <sheetName val="General Data"/>
      <sheetName val="PUF"/>
      <sheetName val="BREAKDOWN(신규설치)"/>
      <sheetName val="SUMMARY_철거"/>
      <sheetName val="Hot-Piping"/>
      <sheetName val="갑지(추정)"/>
      <sheetName val="차액보증"/>
      <sheetName val="여과지동"/>
      <sheetName val="기초자료"/>
      <sheetName val="프로젝트"/>
      <sheetName val="BATCH"/>
      <sheetName val="일위대가(1)"/>
      <sheetName val="1 OF 7"/>
      <sheetName val="PIPING"/>
      <sheetName val="CONT10"/>
      <sheetName val="충주"/>
      <sheetName val="Piping Design Data"/>
      <sheetName val="양수장(기계)"/>
      <sheetName val="실행(표지,갑,을)"/>
      <sheetName val="종배수관"/>
      <sheetName val="설계"/>
      <sheetName val="건축설비"/>
      <sheetName val="검토"/>
      <sheetName val=" 견적서"/>
      <sheetName val="간지"/>
      <sheetName val="VLOOKUP"/>
      <sheetName val="PRC-SUM"/>
      <sheetName val="Pipe_&amp;_Fitting1"/>
      <sheetName val="Tube_&amp;_Fitting1"/>
      <sheetName val="Cable_Tray1"/>
      <sheetName val="Elec_Conn1"/>
      <sheetName val="Junction_Box1"/>
      <sheetName val="Support_&amp;_Misc_1"/>
      <sheetName val="화재_탐지_설비1"/>
      <sheetName val="_갑지1"/>
      <sheetName val="단가비교(TOTAL)"/>
      <sheetName val="ANX3A65"/>
      <sheetName val="TWO PASS"/>
      <sheetName val="THREE PASS"/>
      <sheetName val="pri-com"/>
      <sheetName val="전등설비"/>
      <sheetName val="일일공정보고(안)"/>
      <sheetName val="SENSOR LIST"/>
      <sheetName val="부대내역"/>
      <sheetName val="Raw Data"/>
      <sheetName val="BQ"/>
      <sheetName val="CAT_5"/>
      <sheetName val="가중치 종합"/>
      <sheetName val="SHL"/>
      <sheetName val="을"/>
      <sheetName val="Pipe"/>
      <sheetName val="단가산"/>
      <sheetName val="본사인상전"/>
      <sheetName val="Power Detailed"/>
      <sheetName val="갑지1"/>
      <sheetName val="연부97-1"/>
      <sheetName val="PRICE-COMP"/>
      <sheetName val="기본설계기준"/>
      <sheetName val="POWER"/>
      <sheetName val="대공종"/>
      <sheetName val="산근"/>
      <sheetName val="Royalty"/>
      <sheetName val="Stack"/>
      <sheetName val="열계산"/>
      <sheetName val="5.소재"/>
      <sheetName val="SAN"/>
      <sheetName val="설비비4"/>
      <sheetName val="NOMUBI"/>
      <sheetName val="sw1"/>
      <sheetName val="SHEET 19"/>
      <sheetName val="실행내역서(DCU)"/>
      <sheetName val="산수배수"/>
      <sheetName val="TYPE-B 평균H"/>
      <sheetName val="BOQ"/>
      <sheetName val="Insts"/>
      <sheetName val="COVER-P"/>
      <sheetName val="DATE"/>
      <sheetName val="Sheet6"/>
      <sheetName val="Inst Matl Table"/>
      <sheetName val="Inst_Type"/>
      <sheetName val="WBS"/>
      <sheetName val="Pag. 1"/>
      <sheetName val="Farmtrac(Long)"/>
      <sheetName val="세계지역"/>
      <sheetName val="Export(특수운송)"/>
      <sheetName val="Piping(Methanol)"/>
      <sheetName val="RFP003 CIVIL"/>
      <sheetName val="SILICATE"/>
      <sheetName val="보온자재단가표"/>
      <sheetName val="Flaer_Area"/>
      <sheetName val="C급보_"/>
      <sheetName val="MEDIUM Balance"/>
      <sheetName val="FG1500"/>
      <sheetName val="FGHIGH"/>
      <sheetName val="Instructions"/>
      <sheetName val="V-VESSEL (WITH DEMISTER)"/>
      <sheetName val="데이타"/>
      <sheetName val="UC"/>
      <sheetName val="설계서"/>
      <sheetName val="예산서"/>
      <sheetName val="총공사비"/>
      <sheetName val="개요"/>
      <sheetName val="주소"/>
      <sheetName val="포장"/>
      <sheetName val="out_prog"/>
      <sheetName val="선적schedule (2)"/>
      <sheetName val="2001~2002"/>
      <sheetName val="단가조사서"/>
      <sheetName val="총계"/>
      <sheetName val="Motor"/>
      <sheetName val="steam table"/>
      <sheetName val="Load Sum"/>
      <sheetName val="CABLE SCH(process)"/>
      <sheetName val="D-RMIL"/>
      <sheetName val="부하LOAD"/>
      <sheetName val="11.자재단가"/>
      <sheetName val="8.수량산출 (2)"/>
      <sheetName val="B"/>
      <sheetName val="5.전사투자계획종함안"/>
      <sheetName val="집계표"/>
      <sheetName val="수로접합"/>
      <sheetName val="97 사업추정(WEKI)"/>
      <sheetName val="OD5000"/>
      <sheetName val="견적집계표"/>
      <sheetName val="Table"/>
      <sheetName val="여비"/>
      <sheetName val="견"/>
      <sheetName val="FA9902"/>
      <sheetName val="MEASURE LIST"/>
      <sheetName val="Testing"/>
      <sheetName val="Reference"/>
      <sheetName val="Instrument List"/>
      <sheetName val="SPEC-DT2"/>
      <sheetName val="BM Total"/>
      <sheetName val="MEXICO-C"/>
      <sheetName val="Spare"/>
      <sheetName val="UOP 508 PG 5-12"/>
      <sheetName val="UOP 508 PG 2-9"/>
      <sheetName val="TABLE2-2 OSBL-(SITE PREP)"/>
      <sheetName val="전기내역"/>
      <sheetName val="2. 집계표"/>
      <sheetName val="품셈"/>
      <sheetName val="PI"/>
      <sheetName val="RD제품개발투자비(매가)"/>
      <sheetName val="Receipts"/>
      <sheetName val="상용_mp"/>
      <sheetName val="기계"/>
      <sheetName val="ORIGN"/>
      <sheetName val="비교원RD-S"/>
      <sheetName val="계실5-1"/>
      <sheetName val="BS"/>
      <sheetName val="CALCULATION"/>
      <sheetName val="1을"/>
      <sheetName val="PipWT"/>
      <sheetName val="LINE_LIST"/>
      <sheetName val="설계예산서"/>
      <sheetName val="예산내역서"/>
      <sheetName val="TIE-INS"/>
      <sheetName val="MEDIUM_Balance"/>
      <sheetName val="V-VESSEL_(WITH_DEMISTER)"/>
      <sheetName val="MEDIUM_Balance1"/>
      <sheetName val="FAB별"/>
      <sheetName val="30万表三"/>
      <sheetName val="定额"/>
      <sheetName val="CM 1"/>
      <sheetName val="45,46"/>
      <sheetName val="CF Rev.0"/>
      <sheetName val="C3"/>
      <sheetName val="TNK12"/>
      <sheetName val="당초"/>
      <sheetName val="수금 일정"/>
      <sheetName val="산출내역서"/>
      <sheetName val="FWBS7000,8000"/>
      <sheetName val="ANALYSER"/>
      <sheetName val="BOM_DWG"/>
      <sheetName val="WORK"/>
      <sheetName val="Factor"/>
      <sheetName val="Sheet3"/>
      <sheetName val="공량산출서"/>
      <sheetName val="단가표"/>
      <sheetName val="직재"/>
      <sheetName val="가시설단위수량"/>
      <sheetName val="하수급견적대비"/>
      <sheetName val="공사비증감"/>
      <sheetName val="TYPE-A"/>
      <sheetName val="CTEMCOST"/>
      <sheetName val="BEND LOSS"/>
      <sheetName val="재료값"/>
      <sheetName val="정부노임단가"/>
      <sheetName val="입찰안"/>
      <sheetName val="갑지"/>
      <sheetName val="Price"/>
      <sheetName val="시운전연료"/>
      <sheetName val="HRD"/>
      <sheetName val="98지급계획"/>
      <sheetName val="조건"/>
      <sheetName val="MACRO(MCC)"/>
      <sheetName val="PRC_BDWN-99"/>
      <sheetName val="공사비 내역 (가)"/>
      <sheetName val="LOG"/>
      <sheetName val="TEAM하반기 계획 (2)"/>
      <sheetName val="BACK_DATA1"/>
      <sheetName val="unit_4"/>
      <sheetName val="Data_Sheet"/>
      <sheetName val="할증_"/>
      <sheetName val="PLC_B-M"/>
      <sheetName val="실행내역서_"/>
      <sheetName val="LINE,UNIT_구분"/>
      <sheetName val="TOTAL_구매_내역"/>
      <sheetName val="Piping_Design_Data"/>
      <sheetName val="MATERIAL_BALANCE"/>
      <sheetName val="_견적서"/>
      <sheetName val="1_OF_7"/>
      <sheetName val="2001년_예산"/>
      <sheetName val="TYPE-B_평균H"/>
      <sheetName val="선적schedule_(2)"/>
      <sheetName val="Pag__1"/>
      <sheetName val="5_소재"/>
      <sheetName val="E_Rate_PM"/>
      <sheetName val="Inst__Cable"/>
      <sheetName val="CP_BACKDATA"/>
      <sheetName val="SHEET_19"/>
      <sheetName val="Summary_Sheets"/>
      <sheetName val="Cover_sheet"/>
      <sheetName val="Power_Detailed"/>
      <sheetName val="Inst_Matl_Table"/>
      <sheetName val="SENSOR_LIST"/>
      <sheetName val="정부노임"/>
      <sheetName val="기본"/>
      <sheetName val="공사내역"/>
      <sheetName val="공정별계획(생산,발송)"/>
      <sheetName val="내역서 "/>
      <sheetName val="산#3-2-2"/>
      <sheetName val="당초명세(평)"/>
      <sheetName val="용선 C.L"/>
      <sheetName val="CODE"/>
      <sheetName val="Other Testing"/>
      <sheetName val="表三甲"/>
      <sheetName val="Formulation(#21)"/>
      <sheetName val="CSF #21"/>
      <sheetName val="Solvent Characteristics"/>
      <sheetName val="견적 집계"/>
      <sheetName val="중동상가"/>
      <sheetName val="관급"/>
      <sheetName val="빌딩 안내"/>
      <sheetName val="1-7(재가공내역)"/>
      <sheetName val="견적정보"/>
      <sheetName val="7.경제성결과"/>
      <sheetName val="운항율"/>
      <sheetName val="원하대비"/>
      <sheetName val="원도급"/>
      <sheetName val="하도급"/>
      <sheetName val="3.바닥판설계"/>
      <sheetName val="1호인버트수량"/>
      <sheetName val="위생설비"/>
      <sheetName val="계산근거"/>
      <sheetName val="UTIL(SORT)"/>
      <sheetName val="오름차순"/>
      <sheetName val="주간계획"/>
      <sheetName val="Sheet12"/>
      <sheetName val="환율change"/>
      <sheetName val="경산"/>
      <sheetName val="npv"/>
      <sheetName val="건축공사"/>
      <sheetName val="실행비교"/>
      <sheetName val="매입세율"/>
      <sheetName val="공사개요"/>
      <sheetName val="방수"/>
      <sheetName val="현장업무"/>
      <sheetName val="2__집계표2"/>
      <sheetName val="Pipe_&amp;_Fitting3"/>
      <sheetName val="Tube_&amp;_Fitting3"/>
      <sheetName val="Cable_Tray3"/>
      <sheetName val="Elec_Conn3"/>
      <sheetName val="Junction_Box3"/>
      <sheetName val="Support_&amp;_Misc_3"/>
      <sheetName val="화재_탐지_설비3"/>
      <sheetName val="_갑지3"/>
      <sheetName val="BACK_DATA2"/>
      <sheetName val="Data_Sheet2"/>
      <sheetName val="2001년_예산2"/>
      <sheetName val="2__집계표"/>
      <sheetName val="2__집계표1"/>
      <sheetName val="Pipe_&amp;_Fitting2"/>
      <sheetName val="Tube_&amp;_Fitting2"/>
      <sheetName val="Cable_Tray2"/>
      <sheetName val="Elec_Conn2"/>
      <sheetName val="Junction_Box2"/>
      <sheetName val="Support_&amp;_Misc_2"/>
      <sheetName val="화재_탐지_설비2"/>
      <sheetName val="_갑지2"/>
      <sheetName val="Data_Sheet1"/>
      <sheetName val="2001년_예산1"/>
      <sheetName val="2__집계표3"/>
      <sheetName val="Pipe_&amp;_Fitting4"/>
      <sheetName val="Tube_&amp;_Fitting4"/>
      <sheetName val="Cable_Tray4"/>
      <sheetName val="Elec_Conn4"/>
      <sheetName val="Junction_Box4"/>
      <sheetName val="Support_&amp;_Misc_4"/>
      <sheetName val="화재_탐지_설비4"/>
      <sheetName val="_갑지4"/>
      <sheetName val="BACK_DATA3"/>
      <sheetName val="Data_Sheet3"/>
      <sheetName val="2001년_예산3"/>
      <sheetName val="BM "/>
      <sheetName val="도"/>
      <sheetName val="금융비용"/>
      <sheetName val="HCCE01"/>
      <sheetName val="당진1,2호기전선관설치및접지4차공사내역서-을지"/>
      <sheetName val="ﾄﾞﾊﾞｲFUEL GAS追見"/>
      <sheetName val="INS"/>
      <sheetName val="MED. TOTAL"/>
      <sheetName val="@"/>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sheetData sheetId="316"/>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Set>
  </externalBook>
</externalLink>
</file>

<file path=xl/externalLinks/externalLink1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C1 9.98"/>
      <sheetName val="VC2 9.98"/>
      <sheetName val="Value Calculation"/>
      <sheetName val="Appx A - Lab &amp; Matl Manifest"/>
      <sheetName val="Appx B -  Materials"/>
      <sheetName val="Appx C - Additional Value"/>
      <sheetName val="Appendix 3 - U&amp;O"/>
      <sheetName val="Appendix 9 - Residual Values"/>
      <sheetName val="Plant VALUE"/>
      <sheetName val="Overhead VALUE"/>
      <sheetName val="영업소실적"/>
      <sheetName val="VC1&amp;2 C5248D 9.98"/>
      <sheetName val="OUT"/>
      <sheetName val="Schedule 2 and 3"/>
      <sheetName val="BOND1"/>
      <sheetName val="COVERSHEET PAGE"/>
      <sheetName val="IT-BAT"/>
      <sheetName val="공사집계"/>
      <sheetName val="간접인원 급료산출"/>
    </sheetNames>
    <sheetDataSet>
      <sheetData sheetId="0" refreshError="1"/>
      <sheetData sheetId="1" refreshError="1">
        <row r="191">
          <cell r="BP191" t="str">
            <v>New</v>
          </cell>
          <cell r="BQ191" t="str">
            <v>Edit</v>
          </cell>
          <cell r="BR191" t="str">
            <v>VOP+MOS</v>
          </cell>
        </row>
        <row r="192">
          <cell r="BP192" t="str">
            <v>Create new report</v>
          </cell>
          <cell r="BQ192" t="str">
            <v>Edit existing report</v>
          </cell>
          <cell r="BR192" t="str">
            <v>Enter cumulative totals for VOP and MOS certified by cost code</v>
          </cell>
        </row>
        <row r="193">
          <cell r="BP193" t="str">
            <v>{GOTO}HOME1~{RIGHT 2}{DOWN 3}{WINDOWSOFF}{PANELOFF}</v>
          </cell>
          <cell r="BQ193" t="str">
            <v>{\R}{WINDOWSOFF}{PANELOFF}</v>
          </cell>
          <cell r="BR193" t="str">
            <v>{\W}</v>
          </cell>
        </row>
        <row r="194">
          <cell r="BP194" t="str">
            <v>{GETNUMBER "Contract period elapsed to date (months)  ",PED}</v>
          </cell>
          <cell r="BQ194" t="str">
            <v>{HOME}{RIGHT 12}{LEFT 3}{DOWN}</v>
          </cell>
        </row>
        <row r="195">
          <cell r="BP195" t="str">
            <v>{GETNUMBER "Enter new cost period end year (eg. 94)  ",$NEWYEAR}</v>
          </cell>
          <cell r="BQ195" t="str">
            <v>{WINDOWSON}{PANELON}</v>
          </cell>
        </row>
        <row r="196">
          <cell r="BP196" t="str">
            <v>{GETNUMBER "Enter new cost period end month (eg. 6)  ",$NEWMONTH}</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1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re"/>
      <sheetName val="Conseil"/>
      <sheetName val="Heures"/>
      <sheetName val="Valorisation"/>
      <sheetName val="Taux"/>
      <sheetName val="Macro"/>
      <sheetName val="사기도장"/>
      <sheetName val="Backup"/>
      <sheetName val="Final(1)summary"/>
      <sheetName val="LEGEND"/>
      <sheetName val="간선계산"/>
      <sheetName val="Architecture Work"/>
      <sheetName val="M_F"/>
      <sheetName val="PIPE-HOT"/>
      <sheetName val="Resource"/>
      <sheetName val="POWER"/>
      <sheetName val="TOTAL"/>
      <sheetName val="Equipment"/>
      <sheetName val="소특"/>
      <sheetName val="BQ List"/>
      <sheetName val="자동제어"/>
      <sheetName val="Thermal_Conductivity"/>
      <sheetName val="Progress"/>
      <sheetName val="#REF"/>
      <sheetName val="A"/>
      <sheetName val="sbdg2002"/>
      <sheetName val="IBASE"/>
      <sheetName val="Man_P"/>
      <sheetName val="Plan_data"/>
      <sheetName val="General Data"/>
      <sheetName val="Base_Data"/>
      <sheetName val="wage"/>
      <sheetName val="indirect"/>
      <sheetName val="indvehcost"/>
      <sheetName val="mantable"/>
      <sheetName val="direct"/>
      <sheetName val="sheeet2"/>
      <sheetName val="Basic_Info"/>
      <sheetName val="Master"/>
      <sheetName val="TOEC"/>
      <sheetName val="집계표"/>
      <sheetName val="Summary Sheets"/>
      <sheetName val="Final_1_summary"/>
      <sheetName val="Architecture_Work"/>
      <sheetName val="General_Data"/>
      <sheetName val="경비집계"/>
    </sheetNames>
    <sheetDataSet>
      <sheetData sheetId="0" refreshError="1"/>
      <sheetData sheetId="1" refreshError="1"/>
      <sheetData sheetId="2" refreshError="1"/>
      <sheetData sheetId="3" refreshError="1"/>
      <sheetData sheetId="4" refreshError="1">
        <row r="13">
          <cell r="C13" t="str">
            <v>SCE</v>
          </cell>
          <cell r="D13" t="str">
            <v>INTITULE</v>
          </cell>
          <cell r="E13" t="str">
            <v>ETAB</v>
          </cell>
          <cell r="F13" t="str">
            <v>CI PARIS</v>
          </cell>
          <cell r="G13" t="str">
            <v>CI LYON</v>
          </cell>
          <cell r="H13" t="str">
            <v>CSI PARIS</v>
          </cell>
          <cell r="I13" t="str">
            <v>CSI LYON</v>
          </cell>
          <cell r="J13" t="str">
            <v>Ext CSI PARIS</v>
          </cell>
          <cell r="K13" t="str">
            <v>Ext CSI LYON</v>
          </cell>
        </row>
        <row r="14">
          <cell r="C14" t="str">
            <v>110</v>
          </cell>
          <cell r="D14" t="str">
            <v>Direction Générale et Comité de Direction</v>
          </cell>
          <cell r="F14">
            <v>0</v>
          </cell>
          <cell r="G14">
            <v>0</v>
          </cell>
          <cell r="H14">
            <v>0</v>
          </cell>
          <cell r="I14">
            <v>0</v>
          </cell>
        </row>
        <row r="15">
          <cell r="C15" t="str">
            <v>142</v>
          </cell>
          <cell r="D15" t="str">
            <v>Contrôle de Gestion, Budget</v>
          </cell>
          <cell r="F15">
            <v>0</v>
          </cell>
          <cell r="G15">
            <v>0</v>
          </cell>
          <cell r="H15">
            <v>0</v>
          </cell>
          <cell r="I15">
            <v>0</v>
          </cell>
        </row>
        <row r="16">
          <cell r="C16" t="str">
            <v>143</v>
          </cell>
          <cell r="D16" t="str">
            <v>Contrôle des Coûts &amp; Risques</v>
          </cell>
          <cell r="F16">
            <v>63.09</v>
          </cell>
          <cell r="G16">
            <v>63.09</v>
          </cell>
          <cell r="H16">
            <v>43.78</v>
          </cell>
          <cell r="I16">
            <v>43.78</v>
          </cell>
        </row>
        <row r="17">
          <cell r="C17" t="str">
            <v>144</v>
          </cell>
          <cell r="D17" t="str">
            <v>Filiales et Participations</v>
          </cell>
          <cell r="F17">
            <v>0</v>
          </cell>
          <cell r="G17">
            <v>0</v>
          </cell>
          <cell r="H17">
            <v>0</v>
          </cell>
          <cell r="I17">
            <v>0</v>
          </cell>
        </row>
        <row r="18">
          <cell r="C18" t="str">
            <v>145</v>
          </cell>
          <cell r="D18" t="str">
            <v>Chargés de Mission, DCC</v>
          </cell>
          <cell r="F18">
            <v>0</v>
          </cell>
          <cell r="G18">
            <v>0</v>
          </cell>
          <cell r="H18">
            <v>0</v>
          </cell>
          <cell r="I18">
            <v>0</v>
          </cell>
        </row>
        <row r="19">
          <cell r="C19" t="str">
            <v>146</v>
          </cell>
          <cell r="D19" t="str">
            <v>Audit Groupe</v>
          </cell>
          <cell r="F19">
            <v>0</v>
          </cell>
          <cell r="G19">
            <v>0</v>
          </cell>
          <cell r="H19">
            <v>0</v>
          </cell>
          <cell r="I19">
            <v>0</v>
          </cell>
        </row>
        <row r="20">
          <cell r="C20" t="str">
            <v>151</v>
          </cell>
          <cell r="D20" t="str">
            <v>Maitrise Qualité &amp; Prév. Risques</v>
          </cell>
          <cell r="F20">
            <v>91.06</v>
          </cell>
          <cell r="G20">
            <v>91.06</v>
          </cell>
          <cell r="H20">
            <v>63.19</v>
          </cell>
          <cell r="I20">
            <v>63.19</v>
          </cell>
        </row>
        <row r="21">
          <cell r="C21" t="str">
            <v>161</v>
          </cell>
          <cell r="D21" t="str">
            <v>Gestion des Ressources Humaines</v>
          </cell>
          <cell r="F21">
            <v>0</v>
          </cell>
          <cell r="G21">
            <v>0</v>
          </cell>
          <cell r="H21">
            <v>0</v>
          </cell>
          <cell r="I21">
            <v>0</v>
          </cell>
        </row>
        <row r="22">
          <cell r="C22" t="str">
            <v>162</v>
          </cell>
          <cell r="D22" t="str">
            <v>Gestion Documentaire</v>
          </cell>
          <cell r="E22" t="str">
            <v>Lyon Inclus 165</v>
          </cell>
          <cell r="F22">
            <v>0</v>
          </cell>
          <cell r="G22">
            <v>0</v>
          </cell>
          <cell r="H22">
            <v>0</v>
          </cell>
          <cell r="I22">
            <v>0</v>
          </cell>
        </row>
        <row r="23">
          <cell r="C23" t="str">
            <v>163</v>
          </cell>
          <cell r="D23" t="str">
            <v>Traductions</v>
          </cell>
          <cell r="F23">
            <v>62.7</v>
          </cell>
          <cell r="G23">
            <v>62.7</v>
          </cell>
          <cell r="H23">
            <v>43.51</v>
          </cell>
          <cell r="I23">
            <v>43.51</v>
          </cell>
        </row>
        <row r="24">
          <cell r="C24" t="str">
            <v>165</v>
          </cell>
          <cell r="D24" t="str">
            <v>Infrastructure et Logistique</v>
          </cell>
          <cell r="F24">
            <v>0</v>
          </cell>
          <cell r="G24">
            <v>0</v>
          </cell>
          <cell r="H24">
            <v>0</v>
          </cell>
          <cell r="I24">
            <v>0</v>
          </cell>
        </row>
        <row r="25">
          <cell r="C25" t="str">
            <v>166</v>
          </cell>
          <cell r="D25" t="str">
            <v>Communication</v>
          </cell>
          <cell r="F25">
            <v>0</v>
          </cell>
          <cell r="G25">
            <v>0</v>
          </cell>
          <cell r="H25">
            <v>0</v>
          </cell>
          <cell r="I25">
            <v>0</v>
          </cell>
        </row>
        <row r="26">
          <cell r="C26" t="str">
            <v>167</v>
          </cell>
          <cell r="D26" t="str">
            <v>Assemblage Montage Documents</v>
          </cell>
          <cell r="E26" t="str">
            <v>Lyon Inclus 165</v>
          </cell>
          <cell r="F26">
            <v>38.92</v>
          </cell>
          <cell r="G26">
            <v>0</v>
          </cell>
          <cell r="H26">
            <v>27.01</v>
          </cell>
          <cell r="I26">
            <v>0</v>
          </cell>
        </row>
        <row r="27">
          <cell r="C27" t="str">
            <v>168</v>
          </cell>
          <cell r="D27" t="str">
            <v>Reprographie</v>
          </cell>
          <cell r="E27" t="str">
            <v>Lyon Inclus 165</v>
          </cell>
          <cell r="F27">
            <v>0</v>
          </cell>
          <cell r="G27">
            <v>0</v>
          </cell>
          <cell r="H27">
            <v>0</v>
          </cell>
          <cell r="I27">
            <v>0</v>
          </cell>
        </row>
        <row r="28">
          <cell r="C28" t="str">
            <v>176</v>
          </cell>
          <cell r="D28" t="str">
            <v>Elèves apprentis</v>
          </cell>
          <cell r="F28">
            <v>0</v>
          </cell>
          <cell r="G28">
            <v>0</v>
          </cell>
          <cell r="H28">
            <v>0</v>
          </cell>
          <cell r="I28">
            <v>0</v>
          </cell>
        </row>
        <row r="29">
          <cell r="C29" t="str">
            <v>177</v>
          </cell>
          <cell r="D29" t="str">
            <v>Détachés au C.E. Paris/Lyon</v>
          </cell>
          <cell r="F29">
            <v>0</v>
          </cell>
          <cell r="G29">
            <v>0</v>
          </cell>
          <cell r="H29">
            <v>0</v>
          </cell>
          <cell r="I29">
            <v>0</v>
          </cell>
        </row>
        <row r="30">
          <cell r="C30" t="str">
            <v>179</v>
          </cell>
          <cell r="D30" t="str">
            <v>Stagiaires école</v>
          </cell>
          <cell r="F30">
            <v>0</v>
          </cell>
          <cell r="G30">
            <v>0</v>
          </cell>
          <cell r="H30">
            <v>0</v>
          </cell>
          <cell r="I30">
            <v>0</v>
          </cell>
        </row>
        <row r="31">
          <cell r="C31" t="str">
            <v>180</v>
          </cell>
          <cell r="D31" t="str">
            <v>Projets Industriels</v>
          </cell>
          <cell r="F31">
            <v>0</v>
          </cell>
          <cell r="G31">
            <v>0</v>
          </cell>
          <cell r="H31">
            <v>0</v>
          </cell>
          <cell r="I31">
            <v>0</v>
          </cell>
        </row>
        <row r="32">
          <cell r="C32" t="str">
            <v>182</v>
          </cell>
          <cell r="D32" t="str">
            <v>Procédés &amp; Ingéniérie Ciment</v>
          </cell>
          <cell r="F32">
            <v>0</v>
          </cell>
          <cell r="G32">
            <v>0</v>
          </cell>
          <cell r="H32">
            <v>0</v>
          </cell>
          <cell r="I32">
            <v>0</v>
          </cell>
        </row>
        <row r="33">
          <cell r="C33" t="str">
            <v>184</v>
          </cell>
          <cell r="D33" t="str">
            <v>Equipements Propriétaires Ciment</v>
          </cell>
          <cell r="F33">
            <v>0</v>
          </cell>
          <cell r="G33">
            <v>0</v>
          </cell>
          <cell r="H33">
            <v>0</v>
          </cell>
          <cell r="I33">
            <v>0</v>
          </cell>
        </row>
        <row r="34">
          <cell r="C34" t="str">
            <v>187</v>
          </cell>
          <cell r="D34" t="str">
            <v>Industries de Transformation</v>
          </cell>
          <cell r="F34">
            <v>0</v>
          </cell>
          <cell r="G34">
            <v>0</v>
          </cell>
          <cell r="H34">
            <v>0</v>
          </cell>
          <cell r="I34">
            <v>0</v>
          </cell>
        </row>
        <row r="35">
          <cell r="C35" t="str">
            <v>191</v>
          </cell>
          <cell r="D35" t="str">
            <v>UCP (Moyen-Orient, Pakistan, Inde)</v>
          </cell>
          <cell r="F35">
            <v>100.85</v>
          </cell>
          <cell r="G35">
            <v>100.85</v>
          </cell>
          <cell r="H35">
            <v>69.98</v>
          </cell>
          <cell r="I35">
            <v>69.98</v>
          </cell>
        </row>
        <row r="36">
          <cell r="C36" t="str">
            <v>195</v>
          </cell>
          <cell r="D36" t="str">
            <v>Advanced Systems Engineering (Ase)</v>
          </cell>
          <cell r="F36">
            <v>85.04</v>
          </cell>
          <cell r="G36">
            <v>85.04</v>
          </cell>
          <cell r="H36">
            <v>59.01</v>
          </cell>
          <cell r="I36">
            <v>59.01</v>
          </cell>
        </row>
        <row r="37">
          <cell r="C37" t="str">
            <v>215</v>
          </cell>
          <cell r="D37" t="str">
            <v>Direction Upstream</v>
          </cell>
          <cell r="F37">
            <v>79.41</v>
          </cell>
          <cell r="G37">
            <v>79.41</v>
          </cell>
          <cell r="H37">
            <v>55.1</v>
          </cell>
          <cell r="I37">
            <v>55.1</v>
          </cell>
        </row>
        <row r="38">
          <cell r="C38" t="str">
            <v>216</v>
          </cell>
          <cell r="D38" t="str">
            <v>Propositions Upstream</v>
          </cell>
          <cell r="F38">
            <v>65.11</v>
          </cell>
          <cell r="G38">
            <v>65.11</v>
          </cell>
          <cell r="H38">
            <v>45.18</v>
          </cell>
          <cell r="I38">
            <v>45.18</v>
          </cell>
        </row>
        <row r="39">
          <cell r="C39" t="str">
            <v>217</v>
          </cell>
          <cell r="D39" t="str">
            <v>Commercial Upstream</v>
          </cell>
          <cell r="F39">
            <v>86.29</v>
          </cell>
          <cell r="G39">
            <v>86.29</v>
          </cell>
          <cell r="H39">
            <v>59.88</v>
          </cell>
          <cell r="I39">
            <v>59.88</v>
          </cell>
        </row>
        <row r="40">
          <cell r="C40" t="str">
            <v>218</v>
          </cell>
          <cell r="D40" t="str">
            <v>LNG</v>
          </cell>
          <cell r="F40">
            <v>119.35</v>
          </cell>
          <cell r="G40">
            <v>119.35</v>
          </cell>
          <cell r="H40">
            <v>82.82</v>
          </cell>
          <cell r="I40">
            <v>82.82</v>
          </cell>
        </row>
        <row r="41">
          <cell r="C41" t="str">
            <v>219</v>
          </cell>
          <cell r="D41" t="str">
            <v>Branch Technip-CSO</v>
          </cell>
          <cell r="F41">
            <v>45.08</v>
          </cell>
          <cell r="G41">
            <v>45.08</v>
          </cell>
          <cell r="H41">
            <v>31.28</v>
          </cell>
          <cell r="I41">
            <v>31.28</v>
          </cell>
        </row>
        <row r="42">
          <cell r="C42" t="str">
            <v>224</v>
          </cell>
          <cell r="D42" t="str">
            <v>Personnel Détaché  Filiales</v>
          </cell>
          <cell r="E42" t="str">
            <v>Service Hors Siège</v>
          </cell>
          <cell r="F42">
            <v>0</v>
          </cell>
          <cell r="G42">
            <v>0</v>
          </cell>
          <cell r="H42">
            <v>0</v>
          </cell>
          <cell r="I42">
            <v>0</v>
          </cell>
        </row>
        <row r="43">
          <cell r="C43" t="str">
            <v>228</v>
          </cell>
          <cell r="D43" t="str">
            <v>Dirigeants Détachés Filiales</v>
          </cell>
          <cell r="E43" t="str">
            <v>Service Hors Siège</v>
          </cell>
          <cell r="F43">
            <v>0</v>
          </cell>
          <cell r="G43">
            <v>0</v>
          </cell>
          <cell r="H43">
            <v>0</v>
          </cell>
          <cell r="I43">
            <v>0</v>
          </cell>
        </row>
        <row r="44">
          <cell r="C44" t="str">
            <v>232</v>
          </cell>
          <cell r="D44" t="str">
            <v>Financement</v>
          </cell>
          <cell r="F44">
            <v>0</v>
          </cell>
          <cell r="G44">
            <v>0</v>
          </cell>
          <cell r="H44">
            <v>0</v>
          </cell>
          <cell r="I44">
            <v>0</v>
          </cell>
        </row>
        <row r="45">
          <cell r="C45" t="str">
            <v>233</v>
          </cell>
          <cell r="D45" t="str">
            <v>Trésorerie Groupe</v>
          </cell>
          <cell r="F45">
            <v>0</v>
          </cell>
          <cell r="G45">
            <v>0</v>
          </cell>
          <cell r="H45">
            <v>0</v>
          </cell>
          <cell r="I45">
            <v>0</v>
          </cell>
        </row>
        <row r="46">
          <cell r="C46" t="str">
            <v>234</v>
          </cell>
          <cell r="D46" t="str">
            <v>Joint Ventures Groupe</v>
          </cell>
          <cell r="F46">
            <v>60.53</v>
          </cell>
          <cell r="G46">
            <v>60.53</v>
          </cell>
          <cell r="H46">
            <v>42</v>
          </cell>
          <cell r="I46">
            <v>42</v>
          </cell>
        </row>
        <row r="47">
          <cell r="C47" t="str">
            <v>235</v>
          </cell>
          <cell r="D47" t="str">
            <v>Comptabilité</v>
          </cell>
          <cell r="F47">
            <v>53.09</v>
          </cell>
          <cell r="G47">
            <v>43.2</v>
          </cell>
          <cell r="H47">
            <v>36.840000000000003</v>
          </cell>
          <cell r="I47">
            <v>31.85</v>
          </cell>
        </row>
        <row r="48">
          <cell r="C48" t="str">
            <v>236</v>
          </cell>
          <cell r="D48" t="str">
            <v>Paie</v>
          </cell>
          <cell r="F48">
            <v>0</v>
          </cell>
          <cell r="G48">
            <v>0</v>
          </cell>
          <cell r="H48">
            <v>0</v>
          </cell>
          <cell r="I48">
            <v>0</v>
          </cell>
        </row>
        <row r="49">
          <cell r="C49" t="str">
            <v>238</v>
          </cell>
          <cell r="D49" t="str">
            <v>Contrôle de gestion et Comptablité Groupe</v>
          </cell>
          <cell r="F49">
            <v>0</v>
          </cell>
          <cell r="G49">
            <v>0</v>
          </cell>
          <cell r="H49">
            <v>0</v>
          </cell>
          <cell r="I49">
            <v>0</v>
          </cell>
        </row>
        <row r="50">
          <cell r="C50" t="str">
            <v>241</v>
          </cell>
          <cell r="D50" t="str">
            <v>Administration, Téléphione Intranet Groupe</v>
          </cell>
          <cell r="F50">
            <v>0</v>
          </cell>
          <cell r="G50">
            <v>0</v>
          </cell>
          <cell r="H50">
            <v>0</v>
          </cell>
          <cell r="I50">
            <v>0</v>
          </cell>
        </row>
        <row r="51">
          <cell r="C51" t="str">
            <v>242</v>
          </cell>
          <cell r="D51" t="str">
            <v>Etudes Informatiques</v>
          </cell>
          <cell r="F51">
            <v>71.77</v>
          </cell>
          <cell r="G51">
            <v>71.77</v>
          </cell>
          <cell r="H51">
            <v>49.8</v>
          </cell>
          <cell r="I51">
            <v>49.8</v>
          </cell>
        </row>
        <row r="52">
          <cell r="C52" t="str">
            <v>243</v>
          </cell>
          <cell r="D52" t="str">
            <v>Exploitation Informatique</v>
          </cell>
          <cell r="F52">
            <v>0</v>
          </cell>
          <cell r="G52">
            <v>53.4</v>
          </cell>
          <cell r="H52">
            <v>0</v>
          </cell>
          <cell r="I52">
            <v>39.369999999999997</v>
          </cell>
        </row>
        <row r="53">
          <cell r="C53" t="str">
            <v>244</v>
          </cell>
          <cell r="D53" t="str">
            <v>Support réseau</v>
          </cell>
          <cell r="F53">
            <v>64.760000000000005</v>
          </cell>
          <cell r="G53">
            <v>64.760000000000005</v>
          </cell>
          <cell r="H53">
            <v>44.94</v>
          </cell>
          <cell r="I53">
            <v>44.94</v>
          </cell>
        </row>
        <row r="54">
          <cell r="C54" t="str">
            <v>251</v>
          </cell>
          <cell r="D54" t="str">
            <v>Juridique, Filiales, Relations Investisseurs</v>
          </cell>
          <cell r="F54">
            <v>0</v>
          </cell>
          <cell r="G54">
            <v>0</v>
          </cell>
          <cell r="H54">
            <v>0</v>
          </cell>
          <cell r="I54">
            <v>0</v>
          </cell>
        </row>
        <row r="55">
          <cell r="C55" t="str">
            <v>263</v>
          </cell>
          <cell r="D55" t="str">
            <v>Estimation</v>
          </cell>
          <cell r="F55">
            <v>70.89</v>
          </cell>
          <cell r="G55">
            <v>56.55</v>
          </cell>
          <cell r="H55">
            <v>49.19</v>
          </cell>
          <cell r="I55">
            <v>41.69</v>
          </cell>
        </row>
        <row r="56">
          <cell r="C56" t="str">
            <v>264</v>
          </cell>
          <cell r="D56" t="str">
            <v>Programmes</v>
          </cell>
          <cell r="F56">
            <v>65.5</v>
          </cell>
          <cell r="G56">
            <v>59.23</v>
          </cell>
          <cell r="H56">
            <v>45.45</v>
          </cell>
          <cell r="I56">
            <v>43.67</v>
          </cell>
        </row>
        <row r="57">
          <cell r="C57" t="str">
            <v>273</v>
          </cell>
          <cell r="D57" t="str">
            <v>Corporate Planning et Technologie</v>
          </cell>
          <cell r="F57">
            <v>88.59</v>
          </cell>
          <cell r="G57">
            <v>88.59</v>
          </cell>
          <cell r="H57">
            <v>61.47</v>
          </cell>
          <cell r="I57">
            <v>61.47</v>
          </cell>
        </row>
        <row r="58">
          <cell r="C58" t="str">
            <v>274</v>
          </cell>
          <cell r="D58" t="str">
            <v>Agence d'Aix en Provence</v>
          </cell>
          <cell r="F58">
            <v>57.38</v>
          </cell>
          <cell r="G58">
            <v>57.38</v>
          </cell>
          <cell r="H58">
            <v>42.3</v>
          </cell>
          <cell r="I58">
            <v>42.3</v>
          </cell>
        </row>
        <row r="59">
          <cell r="C59" t="str">
            <v>275</v>
          </cell>
          <cell r="D59" t="str">
            <v>Zone Europe de l'Ouest</v>
          </cell>
          <cell r="F59">
            <v>101.7</v>
          </cell>
          <cell r="G59">
            <v>88.26</v>
          </cell>
          <cell r="H59">
            <v>70.569999999999993</v>
          </cell>
          <cell r="I59">
            <v>65.069999999999993</v>
          </cell>
        </row>
        <row r="60">
          <cell r="C60" t="str">
            <v>276</v>
          </cell>
          <cell r="D60" t="str">
            <v>Zone Russie CEI</v>
          </cell>
          <cell r="F60">
            <v>86.68</v>
          </cell>
          <cell r="G60">
            <v>86.68</v>
          </cell>
          <cell r="H60">
            <v>60.15</v>
          </cell>
          <cell r="I60">
            <v>60.15</v>
          </cell>
        </row>
        <row r="61">
          <cell r="C61" t="str">
            <v>277</v>
          </cell>
          <cell r="D61" t="str">
            <v>Propositions Tech. &amp; Commerciales</v>
          </cell>
          <cell r="F61">
            <v>48.46</v>
          </cell>
          <cell r="G61">
            <v>48.46</v>
          </cell>
          <cell r="H61">
            <v>33.630000000000003</v>
          </cell>
          <cell r="I61">
            <v>33.630000000000003</v>
          </cell>
        </row>
        <row r="62">
          <cell r="C62" t="str">
            <v>287</v>
          </cell>
          <cell r="D62" t="str">
            <v>Zone afrique</v>
          </cell>
          <cell r="F62">
            <v>80.180000000000007</v>
          </cell>
          <cell r="G62">
            <v>80.180000000000007</v>
          </cell>
          <cell r="H62">
            <v>55.64</v>
          </cell>
          <cell r="I62">
            <v>55.64</v>
          </cell>
        </row>
        <row r="63">
          <cell r="C63" t="str">
            <v>302</v>
          </cell>
          <cell r="D63" t="str">
            <v>Gestion Unités Opérationnelles</v>
          </cell>
          <cell r="F63">
            <v>0</v>
          </cell>
          <cell r="G63">
            <v>0</v>
          </cell>
          <cell r="H63">
            <v>0</v>
          </cell>
          <cell r="I63">
            <v>0</v>
          </cell>
        </row>
        <row r="64">
          <cell r="C64" t="str">
            <v>312</v>
          </cell>
          <cell r="D64" t="str">
            <v>Procédés et Technologies</v>
          </cell>
          <cell r="F64">
            <v>63.15</v>
          </cell>
          <cell r="G64">
            <v>60.36</v>
          </cell>
          <cell r="H64">
            <v>43.82</v>
          </cell>
          <cell r="I64">
            <v>44.5</v>
          </cell>
        </row>
        <row r="65">
          <cell r="C65" t="str">
            <v>315</v>
          </cell>
          <cell r="D65" t="str">
            <v>Echanges Thermiques</v>
          </cell>
          <cell r="F65">
            <v>57.98</v>
          </cell>
          <cell r="G65">
            <v>57.98</v>
          </cell>
          <cell r="H65">
            <v>40.229999999999997</v>
          </cell>
          <cell r="I65">
            <v>40.229999999999997</v>
          </cell>
        </row>
        <row r="66">
          <cell r="C66" t="str">
            <v>316</v>
          </cell>
          <cell r="D66" t="str">
            <v>Sécurité, Environnement Industriel</v>
          </cell>
          <cell r="F66">
            <v>63.9</v>
          </cell>
          <cell r="G66">
            <v>56.81</v>
          </cell>
          <cell r="H66">
            <v>44.34</v>
          </cell>
          <cell r="I66">
            <v>41.88</v>
          </cell>
        </row>
        <row r="67">
          <cell r="C67" t="str">
            <v>318</v>
          </cell>
          <cell r="D67" t="str">
            <v>Matrîse de la connaissance</v>
          </cell>
          <cell r="F67">
            <v>68.5</v>
          </cell>
          <cell r="G67">
            <v>68.5</v>
          </cell>
          <cell r="H67">
            <v>47.53</v>
          </cell>
          <cell r="I67">
            <v>47.53</v>
          </cell>
        </row>
        <row r="68">
          <cell r="C68" t="str">
            <v>319</v>
          </cell>
          <cell r="D68" t="str">
            <v>Secrétariat Procédés</v>
          </cell>
          <cell r="F68">
            <v>41.01</v>
          </cell>
          <cell r="G68">
            <v>41.01</v>
          </cell>
          <cell r="H68">
            <v>28.46</v>
          </cell>
          <cell r="I68">
            <v>28.46</v>
          </cell>
        </row>
        <row r="69">
          <cell r="C69" t="str">
            <v>324</v>
          </cell>
          <cell r="D69" t="str">
            <v>Upstream DP/IP</v>
          </cell>
          <cell r="F69">
            <v>85.65</v>
          </cell>
          <cell r="G69">
            <v>85.65</v>
          </cell>
          <cell r="H69">
            <v>59.43</v>
          </cell>
          <cell r="I69">
            <v>59.43</v>
          </cell>
        </row>
        <row r="70">
          <cell r="C70" t="str">
            <v>325</v>
          </cell>
          <cell r="D70" t="str">
            <v>Structure Offshore</v>
          </cell>
          <cell r="F70">
            <v>64.69</v>
          </cell>
          <cell r="G70">
            <v>64.69</v>
          </cell>
          <cell r="H70">
            <v>44.89</v>
          </cell>
          <cell r="I70">
            <v>44.89</v>
          </cell>
        </row>
        <row r="71">
          <cell r="C71" t="str">
            <v>327</v>
          </cell>
          <cell r="D71" t="str">
            <v>Tuyauterie Offshore</v>
          </cell>
          <cell r="F71">
            <v>56.56</v>
          </cell>
          <cell r="G71">
            <v>56.56</v>
          </cell>
          <cell r="H71">
            <v>39.25</v>
          </cell>
          <cell r="I71">
            <v>39.25</v>
          </cell>
        </row>
        <row r="72">
          <cell r="C72" t="str">
            <v>328</v>
          </cell>
          <cell r="D72" t="str">
            <v>Architecture Navales Statistiques</v>
          </cell>
          <cell r="F72">
            <v>68.680000000000007</v>
          </cell>
          <cell r="G72">
            <v>68.680000000000007</v>
          </cell>
          <cell r="H72">
            <v>47.66</v>
          </cell>
          <cell r="I72">
            <v>47.66</v>
          </cell>
        </row>
        <row r="73">
          <cell r="C73" t="str">
            <v>330</v>
          </cell>
          <cell r="D73" t="str">
            <v>Executive Project Directors</v>
          </cell>
          <cell r="F73">
            <v>140.91</v>
          </cell>
          <cell r="G73">
            <v>140.91</v>
          </cell>
          <cell r="H73">
            <v>97.78</v>
          </cell>
          <cell r="I73">
            <v>97.78</v>
          </cell>
        </row>
        <row r="74">
          <cell r="C74" t="str">
            <v>332</v>
          </cell>
          <cell r="D74" t="str">
            <v>Directeurs et Ingénieurs de Projet</v>
          </cell>
          <cell r="F74">
            <v>94.22</v>
          </cell>
          <cell r="G74">
            <v>75.319999999999993</v>
          </cell>
          <cell r="H74">
            <v>65.38</v>
          </cell>
          <cell r="I74">
            <v>55.53</v>
          </cell>
        </row>
        <row r="75">
          <cell r="C75" t="str">
            <v>335</v>
          </cell>
          <cell r="D75" t="str">
            <v>Contrats</v>
          </cell>
          <cell r="F75">
            <v>76.849999999999994</v>
          </cell>
          <cell r="G75">
            <v>76.849999999999994</v>
          </cell>
          <cell r="H75">
            <v>53.33</v>
          </cell>
          <cell r="I75">
            <v>53.33</v>
          </cell>
        </row>
        <row r="76">
          <cell r="C76" t="str">
            <v>339</v>
          </cell>
          <cell r="D76" t="str">
            <v>Secrétariats de Projet</v>
          </cell>
          <cell r="F76">
            <v>42.43</v>
          </cell>
          <cell r="G76">
            <v>36.94</v>
          </cell>
          <cell r="H76">
            <v>29.44</v>
          </cell>
          <cell r="I76">
            <v>27.23</v>
          </cell>
        </row>
        <row r="77">
          <cell r="C77" t="str">
            <v>341</v>
          </cell>
          <cell r="D77" t="str">
            <v>Fours et Chaudières</v>
          </cell>
          <cell r="F77">
            <v>72.06</v>
          </cell>
          <cell r="G77">
            <v>72.06</v>
          </cell>
          <cell r="H77">
            <v>50</v>
          </cell>
          <cell r="I77">
            <v>50</v>
          </cell>
        </row>
        <row r="78">
          <cell r="C78" t="str">
            <v>343</v>
          </cell>
          <cell r="D78" t="str">
            <v>Génie Climatique</v>
          </cell>
          <cell r="F78">
            <v>64.78</v>
          </cell>
          <cell r="G78">
            <v>64.78</v>
          </cell>
          <cell r="H78">
            <v>44.95</v>
          </cell>
          <cell r="I78">
            <v>44.95</v>
          </cell>
        </row>
        <row r="79">
          <cell r="C79" t="str">
            <v>344</v>
          </cell>
          <cell r="D79" t="str">
            <v>Gestion des Plans Fournisseurs</v>
          </cell>
          <cell r="F79">
            <v>44.31</v>
          </cell>
          <cell r="G79">
            <v>43.11</v>
          </cell>
          <cell r="H79">
            <v>30.75</v>
          </cell>
          <cell r="I79">
            <v>31.78</v>
          </cell>
        </row>
        <row r="80">
          <cell r="C80" t="str">
            <v>346</v>
          </cell>
          <cell r="D80" t="str">
            <v>Electricité</v>
          </cell>
          <cell r="F80">
            <v>63.55</v>
          </cell>
          <cell r="G80">
            <v>54.35</v>
          </cell>
          <cell r="H80">
            <v>44.1</v>
          </cell>
          <cell r="I80">
            <v>40.07</v>
          </cell>
        </row>
        <row r="81">
          <cell r="C81" t="str">
            <v>349</v>
          </cell>
          <cell r="D81" t="str">
            <v>Mécanique</v>
          </cell>
          <cell r="F81">
            <v>71.7</v>
          </cell>
          <cell r="G81">
            <v>63.82</v>
          </cell>
          <cell r="H81">
            <v>49.75</v>
          </cell>
          <cell r="I81">
            <v>47.05</v>
          </cell>
        </row>
        <row r="82">
          <cell r="C82" t="str">
            <v>351</v>
          </cell>
          <cell r="D82" t="str">
            <v>Etudes - Coordination</v>
          </cell>
          <cell r="F82">
            <v>70.59</v>
          </cell>
          <cell r="G82">
            <v>61.34</v>
          </cell>
          <cell r="H82">
            <v>48.98</v>
          </cell>
          <cell r="I82">
            <v>45.22</v>
          </cell>
        </row>
        <row r="83">
          <cell r="C83" t="str">
            <v>353</v>
          </cell>
          <cell r="D83" t="str">
            <v>Installation, Tuyauterie</v>
          </cell>
          <cell r="F83">
            <v>57.13</v>
          </cell>
          <cell r="G83">
            <v>48.06</v>
          </cell>
          <cell r="H83">
            <v>39.64</v>
          </cell>
          <cell r="I83">
            <v>35.43</v>
          </cell>
        </row>
        <row r="84">
          <cell r="C84" t="str">
            <v>354</v>
          </cell>
          <cell r="D84" t="str">
            <v>Appareils Sous Pression</v>
          </cell>
          <cell r="F84">
            <v>64.45</v>
          </cell>
          <cell r="G84">
            <v>45.34</v>
          </cell>
          <cell r="H84">
            <v>44.72</v>
          </cell>
          <cell r="I84">
            <v>33.43</v>
          </cell>
        </row>
        <row r="85">
          <cell r="C85" t="str">
            <v>357</v>
          </cell>
          <cell r="D85" t="str">
            <v>Bâtiments / Génie Civil</v>
          </cell>
          <cell r="F85">
            <v>62.52</v>
          </cell>
          <cell r="G85">
            <v>51.96</v>
          </cell>
          <cell r="H85">
            <v>43.38</v>
          </cell>
          <cell r="I85">
            <v>38.31</v>
          </cell>
        </row>
        <row r="86">
          <cell r="C86" t="str">
            <v>359</v>
          </cell>
          <cell r="D86" t="str">
            <v>Secrétariat Etudes</v>
          </cell>
          <cell r="F86">
            <v>46.48</v>
          </cell>
          <cell r="G86">
            <v>37.31</v>
          </cell>
          <cell r="H86">
            <v>32.25</v>
          </cell>
          <cell r="I86">
            <v>27.51</v>
          </cell>
        </row>
        <row r="87">
          <cell r="C87" t="str">
            <v>361</v>
          </cell>
          <cell r="D87" t="str">
            <v>Achats</v>
          </cell>
          <cell r="F87">
            <v>70.989999999999995</v>
          </cell>
          <cell r="G87">
            <v>60.05</v>
          </cell>
          <cell r="H87">
            <v>49.26</v>
          </cell>
          <cell r="I87">
            <v>44.27</v>
          </cell>
        </row>
        <row r="88">
          <cell r="C88" t="str">
            <v>363</v>
          </cell>
          <cell r="D88" t="str">
            <v>Relance</v>
          </cell>
          <cell r="F88">
            <v>61.12</v>
          </cell>
          <cell r="G88">
            <v>49.41</v>
          </cell>
          <cell r="H88">
            <v>42.41</v>
          </cell>
          <cell r="I88">
            <v>36.43</v>
          </cell>
        </row>
        <row r="89">
          <cell r="C89" t="str">
            <v>364</v>
          </cell>
          <cell r="D89" t="str">
            <v>Inspection</v>
          </cell>
          <cell r="F89">
            <v>71.540000000000006</v>
          </cell>
          <cell r="G89">
            <v>71.540000000000006</v>
          </cell>
          <cell r="H89">
            <v>49.64</v>
          </cell>
          <cell r="I89">
            <v>49.64</v>
          </cell>
        </row>
        <row r="90">
          <cell r="C90" t="str">
            <v>365</v>
          </cell>
          <cell r="D90" t="str">
            <v>Transport</v>
          </cell>
          <cell r="F90">
            <v>58.71</v>
          </cell>
          <cell r="G90">
            <v>38.47</v>
          </cell>
          <cell r="H90">
            <v>40.74</v>
          </cell>
          <cell r="I90">
            <v>28.36</v>
          </cell>
        </row>
        <row r="91">
          <cell r="C91" t="str">
            <v>369</v>
          </cell>
          <cell r="D91" t="str">
            <v>Secrétariat Appro. et Marchés</v>
          </cell>
          <cell r="F91">
            <v>45.15</v>
          </cell>
          <cell r="G91">
            <v>35.92</v>
          </cell>
          <cell r="H91">
            <v>31.33</v>
          </cell>
          <cell r="I91">
            <v>26.48</v>
          </cell>
        </row>
        <row r="92">
          <cell r="C92" t="str">
            <v>371</v>
          </cell>
          <cell r="D92" t="str">
            <v>Construction</v>
          </cell>
          <cell r="F92">
            <v>70.239999999999995</v>
          </cell>
          <cell r="G92">
            <v>70.239999999999995</v>
          </cell>
          <cell r="H92">
            <v>48.74</v>
          </cell>
          <cell r="I92">
            <v>48.74</v>
          </cell>
        </row>
        <row r="93">
          <cell r="C93" t="str">
            <v>372</v>
          </cell>
          <cell r="D93" t="str">
            <v>Marchés</v>
          </cell>
          <cell r="F93">
            <v>70.12</v>
          </cell>
          <cell r="G93">
            <v>64.62</v>
          </cell>
          <cell r="H93">
            <v>48.66</v>
          </cell>
          <cell r="I93">
            <v>47.64</v>
          </cell>
        </row>
        <row r="94">
          <cell r="C94" t="str">
            <v>373</v>
          </cell>
          <cell r="D94" t="str">
            <v>Personnel  Construction - Chantiers</v>
          </cell>
          <cell r="E94" t="str">
            <v>Service Hors Siège</v>
          </cell>
          <cell r="F94">
            <v>71.709999999999994</v>
          </cell>
          <cell r="G94">
            <v>71.709999999999994</v>
          </cell>
          <cell r="H94">
            <v>49.76</v>
          </cell>
          <cell r="I94">
            <v>49.76</v>
          </cell>
        </row>
        <row r="95">
          <cell r="C95" t="str">
            <v>381</v>
          </cell>
          <cell r="D95" t="str">
            <v>Mise en Route Siège</v>
          </cell>
          <cell r="F95">
            <v>96.57</v>
          </cell>
          <cell r="G95">
            <v>96.57</v>
          </cell>
          <cell r="H95">
            <v>67.010000000000005</v>
          </cell>
          <cell r="I95">
            <v>67.010000000000005</v>
          </cell>
        </row>
        <row r="96">
          <cell r="C96" t="str">
            <v>383</v>
          </cell>
          <cell r="D96" t="str">
            <v>Mise en Route Site</v>
          </cell>
          <cell r="E96" t="str">
            <v>Service Hors Siège</v>
          </cell>
          <cell r="F96">
            <v>69</v>
          </cell>
          <cell r="G96">
            <v>69</v>
          </cell>
          <cell r="H96">
            <v>47.88</v>
          </cell>
          <cell r="I96">
            <v>47.88</v>
          </cell>
        </row>
        <row r="97">
          <cell r="C97" t="str">
            <v>392</v>
          </cell>
          <cell r="D97" t="str">
            <v>Automatismes et Systemes (AES)</v>
          </cell>
          <cell r="F97">
            <v>65.569999999999993</v>
          </cell>
          <cell r="G97">
            <v>54.81</v>
          </cell>
          <cell r="H97">
            <v>45.5</v>
          </cell>
          <cell r="I97">
            <v>40.409999999999997</v>
          </cell>
        </row>
        <row r="98">
          <cell r="C98" t="str">
            <v>710</v>
          </cell>
          <cell r="D98" t="str">
            <v>Direction Branche Technip LCI</v>
          </cell>
          <cell r="F98">
            <v>110.91</v>
          </cell>
          <cell r="G98">
            <v>110.91</v>
          </cell>
          <cell r="H98">
            <v>76.959999999999994</v>
          </cell>
          <cell r="I98">
            <v>76.959999999999994</v>
          </cell>
        </row>
        <row r="99">
          <cell r="C99" t="str">
            <v>711</v>
          </cell>
          <cell r="D99" t="str">
            <v>Chimie</v>
          </cell>
          <cell r="F99">
            <v>86.15</v>
          </cell>
          <cell r="G99">
            <v>86.15</v>
          </cell>
          <cell r="H99">
            <v>59.78</v>
          </cell>
          <cell r="I99">
            <v>59.78</v>
          </cell>
        </row>
        <row r="100">
          <cell r="C100" t="str">
            <v>712</v>
          </cell>
          <cell r="D100" t="str">
            <v>Procédés et Technologies - LDP Chimie</v>
          </cell>
          <cell r="F100">
            <v>73.61</v>
          </cell>
          <cell r="G100">
            <v>73.61</v>
          </cell>
          <cell r="H100">
            <v>51.08</v>
          </cell>
          <cell r="I100">
            <v>51.08</v>
          </cell>
        </row>
        <row r="101">
          <cell r="C101" t="str">
            <v>713</v>
          </cell>
          <cell r="D101" t="str">
            <v>Engrais</v>
          </cell>
          <cell r="F101">
            <v>85.43</v>
          </cell>
          <cell r="G101">
            <v>85.43</v>
          </cell>
          <cell r="H101">
            <v>59.28</v>
          </cell>
          <cell r="I101">
            <v>59.28</v>
          </cell>
        </row>
        <row r="102">
          <cell r="C102" t="str">
            <v>714</v>
          </cell>
          <cell r="D102" t="str">
            <v>Défense et Pyrotechnie</v>
          </cell>
          <cell r="F102">
            <v>66</v>
          </cell>
          <cell r="G102">
            <v>66</v>
          </cell>
          <cell r="H102">
            <v>45.8</v>
          </cell>
          <cell r="I102">
            <v>45.8</v>
          </cell>
        </row>
        <row r="103">
          <cell r="C103" t="str">
            <v>715</v>
          </cell>
          <cell r="D103" t="str">
            <v>Formulation et Procédés Discontinus - LDP Chimie</v>
          </cell>
          <cell r="F103">
            <v>60.43</v>
          </cell>
          <cell r="G103">
            <v>60.43</v>
          </cell>
          <cell r="H103">
            <v>41.93</v>
          </cell>
          <cell r="I103">
            <v>41.93</v>
          </cell>
        </row>
        <row r="104">
          <cell r="C104" t="str">
            <v>718</v>
          </cell>
          <cell r="D104" t="str">
            <v>Ingénieurs de Projet - LDP Chimie</v>
          </cell>
          <cell r="F104">
            <v>83.81</v>
          </cell>
          <cell r="G104">
            <v>83.81</v>
          </cell>
          <cell r="H104">
            <v>58.16</v>
          </cell>
          <cell r="I104">
            <v>58.16</v>
          </cell>
        </row>
        <row r="105">
          <cell r="C105" t="str">
            <v>719</v>
          </cell>
          <cell r="D105" t="str">
            <v>Secrétaires de Projet - LDP Chimie</v>
          </cell>
          <cell r="F105">
            <v>40.340000000000003</v>
          </cell>
          <cell r="G105">
            <v>40.340000000000003</v>
          </cell>
          <cell r="H105">
            <v>27.99</v>
          </cell>
          <cell r="I105">
            <v>27.99</v>
          </cell>
        </row>
        <row r="106">
          <cell r="C106" t="str">
            <v>720</v>
          </cell>
          <cell r="D106" t="str">
            <v>Ligne de Produit Sciences de la Vie</v>
          </cell>
          <cell r="F106">
            <v>73.83</v>
          </cell>
          <cell r="G106">
            <v>64.13</v>
          </cell>
          <cell r="H106">
            <v>51.23</v>
          </cell>
          <cell r="I106">
            <v>47.28</v>
          </cell>
        </row>
        <row r="107">
          <cell r="C107" t="str">
            <v>730</v>
          </cell>
          <cell r="D107" t="str">
            <v>Ligne de Produit Industries Diverses</v>
          </cell>
          <cell r="F107">
            <v>92.16</v>
          </cell>
          <cell r="G107">
            <v>73.94</v>
          </cell>
          <cell r="H107">
            <v>63.95</v>
          </cell>
          <cell r="I107">
            <v>54.51</v>
          </cell>
        </row>
        <row r="108">
          <cell r="C108" t="str">
            <v>734</v>
          </cell>
          <cell r="D108" t="str">
            <v>Ciments</v>
          </cell>
          <cell r="F108">
            <v>64.459999999999994</v>
          </cell>
          <cell r="G108">
            <v>60.67</v>
          </cell>
          <cell r="H108">
            <v>44.73</v>
          </cell>
          <cell r="I108">
            <v>44.73</v>
          </cell>
        </row>
        <row r="109">
          <cell r="C109" t="str">
            <v>750</v>
          </cell>
          <cell r="D109" t="str">
            <v>Unite Opérationnelle Branche Technip LCI</v>
          </cell>
          <cell r="F109">
            <v>124.61</v>
          </cell>
          <cell r="G109">
            <v>124.61</v>
          </cell>
          <cell r="H109">
            <v>86.47</v>
          </cell>
          <cell r="I109">
            <v>86.47</v>
          </cell>
        </row>
        <row r="110">
          <cell r="C110" t="str">
            <v>751</v>
          </cell>
          <cell r="D110" t="str">
            <v>SES - Sécurite, Environnement, Surêté</v>
          </cell>
          <cell r="F110">
            <v>61.67</v>
          </cell>
          <cell r="G110">
            <v>61.67</v>
          </cell>
          <cell r="H110">
            <v>42.79</v>
          </cell>
          <cell r="I110">
            <v>42.79</v>
          </cell>
        </row>
        <row r="111">
          <cell r="C111" t="str">
            <v>752</v>
          </cell>
          <cell r="D111" t="str">
            <v>Environement</v>
          </cell>
          <cell r="F111">
            <v>74.84</v>
          </cell>
          <cell r="G111">
            <v>74.84</v>
          </cell>
          <cell r="H111">
            <v>51.93</v>
          </cell>
          <cell r="I111">
            <v>51.93</v>
          </cell>
        </row>
        <row r="112">
          <cell r="C112" t="str">
            <v>753</v>
          </cell>
          <cell r="D112" t="str">
            <v>Installation Générale</v>
          </cell>
          <cell r="F112">
            <v>58.77</v>
          </cell>
          <cell r="G112">
            <v>58.77</v>
          </cell>
          <cell r="H112">
            <v>40.78</v>
          </cell>
          <cell r="I112">
            <v>40.78</v>
          </cell>
        </row>
        <row r="113">
          <cell r="C113" t="str">
            <v>754</v>
          </cell>
          <cell r="D113" t="str">
            <v>Equipements</v>
          </cell>
          <cell r="F113">
            <v>68.22</v>
          </cell>
          <cell r="G113">
            <v>68.22</v>
          </cell>
          <cell r="H113">
            <v>47.34</v>
          </cell>
          <cell r="I113">
            <v>47.34</v>
          </cell>
        </row>
        <row r="114">
          <cell r="C114" t="str">
            <v>755</v>
          </cell>
          <cell r="D114" t="str">
            <v>Automatismes  et  Systèmes  (AES)</v>
          </cell>
          <cell r="F114">
            <v>67.31</v>
          </cell>
          <cell r="G114">
            <v>67.31</v>
          </cell>
          <cell r="H114">
            <v>46.71</v>
          </cell>
          <cell r="I114">
            <v>46.71</v>
          </cell>
        </row>
        <row r="115">
          <cell r="C115" t="str">
            <v>756</v>
          </cell>
          <cell r="D115" t="str">
            <v xml:space="preserve">Electricité  </v>
          </cell>
          <cell r="F115">
            <v>65.5</v>
          </cell>
          <cell r="G115">
            <v>65.5</v>
          </cell>
          <cell r="H115">
            <v>45.45</v>
          </cell>
          <cell r="I115">
            <v>45.45</v>
          </cell>
        </row>
        <row r="116">
          <cell r="C116" t="str">
            <v>757</v>
          </cell>
          <cell r="D116" t="str">
            <v xml:space="preserve">Bâtiments  -  Génie Civil  </v>
          </cell>
          <cell r="F116">
            <v>65.05</v>
          </cell>
          <cell r="G116">
            <v>65.05</v>
          </cell>
          <cell r="H116">
            <v>45.14</v>
          </cell>
          <cell r="I116">
            <v>45.14</v>
          </cell>
        </row>
        <row r="117">
          <cell r="C117" t="str">
            <v>759</v>
          </cell>
          <cell r="D117" t="str">
            <v xml:space="preserve">Secrétariat Etudes </v>
          </cell>
          <cell r="F117">
            <v>37.700000000000003</v>
          </cell>
          <cell r="G117">
            <v>37.700000000000003</v>
          </cell>
          <cell r="H117">
            <v>26.16</v>
          </cell>
          <cell r="I117">
            <v>26.16</v>
          </cell>
        </row>
        <row r="118">
          <cell r="C118" t="str">
            <v>760</v>
          </cell>
          <cell r="D118" t="str">
            <v>Approvisionnements</v>
          </cell>
          <cell r="F118">
            <v>52.98</v>
          </cell>
          <cell r="G118">
            <v>52.98</v>
          </cell>
          <cell r="H118">
            <v>36.76</v>
          </cell>
          <cell r="I118">
            <v>36.76</v>
          </cell>
        </row>
        <row r="119">
          <cell r="C119" t="str">
            <v>770</v>
          </cell>
          <cell r="D119" t="str">
            <v>Marché Travaux</v>
          </cell>
          <cell r="F119">
            <v>60.77</v>
          </cell>
          <cell r="G119">
            <v>60.77</v>
          </cell>
          <cell r="H119">
            <v>42.17</v>
          </cell>
          <cell r="I119">
            <v>42.17</v>
          </cell>
        </row>
        <row r="120">
          <cell r="C120" t="str">
            <v>780</v>
          </cell>
          <cell r="D120" t="str">
            <v xml:space="preserve">Informatique  </v>
          </cell>
          <cell r="F120">
            <v>63.83</v>
          </cell>
          <cell r="G120">
            <v>63.83</v>
          </cell>
          <cell r="H120">
            <v>44.29</v>
          </cell>
          <cell r="I120">
            <v>44.29</v>
          </cell>
        </row>
        <row r="121">
          <cell r="C121" t="str">
            <v>…</v>
          </cell>
          <cell r="D121" t="str">
            <v xml:space="preserve"> </v>
          </cell>
        </row>
      </sheetData>
      <sheetData sheetId="5" refreshError="1">
        <row r="5">
          <cell r="C5" t="str">
            <v>Imprimé le : 05-Mar-2002 at 15:32</v>
          </cell>
        </row>
        <row r="6">
          <cell r="C6" t="str">
            <v>C:\TRAVAIL.XLS\SOHAR\SBDG2002.XLS</v>
          </cell>
        </row>
      </sheetData>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Set>
  </externalBook>
</externalLink>
</file>

<file path=xl/externalLinks/externalLink1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RG.CO"/>
      <sheetName val="RIEP"/>
      <sheetName val="COSTUNI"/>
      <sheetName val="Sheet1"/>
      <sheetName val="서울급여"/>
      <sheetName val="지사급여"/>
      <sheetName val="현장급여"/>
      <sheetName val="eq_data"/>
      <sheetName val="경제지표"/>
      <sheetName val="Cover"/>
      <sheetName val="dummy"/>
      <sheetName val="001BA"/>
      <sheetName val="IT-BAT"/>
      <sheetName val="ANX3A65"/>
      <sheetName val="Information"/>
      <sheetName val="Macro"/>
      <sheetName val="Taux"/>
      <sheetName val="실행철강하도"/>
    </sheetNames>
    <sheetDataSet>
      <sheetData sheetId="0"/>
      <sheetData sheetId="1">
        <row r="5">
          <cell r="F5" t="str">
            <v>LIT x 1000</v>
          </cell>
        </row>
      </sheetData>
      <sheetData sheetId="2">
        <row r="40">
          <cell r="E40">
            <v>53</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1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Index"/>
      <sheetName val="Description"/>
      <sheetName val="Process"/>
      <sheetName val="Mechanical"/>
      <sheetName val="Elec"/>
      <sheetName val="Civil"/>
      <sheetName val="ProcurementService"/>
      <sheetName val="작성시 유의사항"/>
    </sheetNames>
    <sheetDataSet>
      <sheetData sheetId="0" refreshError="1">
        <row r="6">
          <cell r="N6" t="str">
            <v>HH</v>
          </cell>
          <cell r="O6">
            <v>1</v>
          </cell>
        </row>
        <row r="7">
          <cell r="N7" t="str">
            <v>HM</v>
          </cell>
          <cell r="O7">
            <v>2</v>
          </cell>
        </row>
        <row r="8">
          <cell r="N8" t="str">
            <v>HL</v>
          </cell>
          <cell r="O8">
            <v>3</v>
          </cell>
        </row>
        <row r="9">
          <cell r="N9" t="str">
            <v>MH</v>
          </cell>
          <cell r="O9">
            <v>2</v>
          </cell>
        </row>
        <row r="10">
          <cell r="N10" t="str">
            <v>MM</v>
          </cell>
          <cell r="O10">
            <v>4</v>
          </cell>
        </row>
        <row r="11">
          <cell r="N11" t="str">
            <v>ML</v>
          </cell>
          <cell r="O11">
            <v>5</v>
          </cell>
        </row>
        <row r="12">
          <cell r="N12" t="str">
            <v>LH</v>
          </cell>
          <cell r="O12">
            <v>4</v>
          </cell>
        </row>
        <row r="13">
          <cell r="N13" t="str">
            <v>LM</v>
          </cell>
          <cell r="O13">
            <v>5</v>
          </cell>
        </row>
        <row r="14">
          <cell r="N14" t="str">
            <v>LL</v>
          </cell>
          <cell r="O14">
            <v>5</v>
          </cell>
        </row>
      </sheetData>
      <sheetData sheetId="1"/>
      <sheetData sheetId="2"/>
      <sheetData sheetId="3"/>
      <sheetData sheetId="4"/>
      <sheetData sheetId="5"/>
      <sheetData sheetId="6"/>
      <sheetData sheetId="7"/>
      <sheetData sheetId="8"/>
    </sheetDataSet>
  </externalBook>
</externalLink>
</file>

<file path=xl/externalLinks/externalLink1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자재비 총괄표"/>
      <sheetName val="3. 예산금액 총괄표"/>
      <sheetName val="1.공사개요"/>
      <sheetName val="메뉴"/>
      <sheetName val="총괄표"/>
      <sheetName val="검토서"/>
      <sheetName val="내역총괄"/>
      <sheetName val="토건총괄"/>
      <sheetName val="토건내역"/>
      <sheetName val="기계총괄"/>
      <sheetName val="기계내역"/>
      <sheetName val="전기총괄"/>
      <sheetName val="전기내역"/>
      <sheetName val="운송비"/>
      <sheetName val="공통"/>
      <sheetName val="공통내역"/>
      <sheetName val="부대총괄"/>
      <sheetName val="부대공사"/>
      <sheetName val="감독지원"/>
      <sheetName val="감독내역"/>
      <sheetName val="OM"/>
      <sheetName val="가설총괄"/>
      <sheetName val="가설공사"/>
      <sheetName val="경상비"/>
      <sheetName val="산출근거"/>
      <sheetName val="duct 산출"/>
      <sheetName val="TPI"/>
      <sheetName val="SPvision,insp,tranng"/>
      <sheetName val="FTI"/>
      <sheetName val="장비비"/>
      <sheetName val="flight cost"/>
      <sheetName val="Clearence, C_Duty"/>
    </sheetNames>
    <sheetDataSet>
      <sheetData sheetId="0" refreshError="1"/>
      <sheetData sheetId="1" refreshError="1"/>
      <sheetData sheetId="2" refreshError="1"/>
      <sheetData sheetId="3" refreshError="1"/>
      <sheetData sheetId="4" refreshError="1"/>
      <sheetData sheetId="5" refreshError="1"/>
      <sheetData sheetId="6" refreshError="1">
        <row r="3">
          <cell r="L3">
            <v>3.75</v>
          </cell>
        </row>
      </sheetData>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Set>
  </externalBook>
</externalLink>
</file>

<file path=xl/externalLinks/externalLink1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E_Rate PM"/>
      <sheetName val="Summary"/>
      <sheetName val="사장비 TS"/>
      <sheetName val="임대비 비교표"/>
      <sheetName val="장비비 단가"/>
      <sheetName val="PKG-1 동원계획"/>
      <sheetName val="PKG-4 동원계획"/>
      <sheetName val="사장비(09년)"/>
      <sheetName val="사장비(07년)"/>
    </sheetNames>
    <sheetDataSet>
      <sheetData sheetId="0">
        <row r="6">
          <cell r="I6">
            <v>3.7498</v>
          </cell>
        </row>
      </sheetData>
      <sheetData sheetId="1" refreshError="1"/>
      <sheetData sheetId="2" refreshError="1"/>
      <sheetData sheetId="3" refreshError="1"/>
      <sheetData sheetId="4">
        <row r="8">
          <cell r="B8" t="str">
            <v>CC0100</v>
          </cell>
        </row>
      </sheetData>
      <sheetData sheetId="5">
        <row r="3">
          <cell r="E3" t="str">
            <v>Saudi Aramco</v>
          </cell>
        </row>
      </sheetData>
      <sheetData sheetId="6"/>
      <sheetData sheetId="7" refreshError="1"/>
      <sheetData sheetId="8" refreshError="1"/>
    </sheetDataSet>
  </externalBook>
</externalLink>
</file>

<file path=xl/externalLinks/externalLink1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견적조건"/>
      <sheetName val="금액총괄표"/>
      <sheetName val="Toyo인원 간접비"/>
      <sheetName val="세부내역"/>
      <sheetName val="인원총괄표-사업계획서용"/>
      <sheetName val="인원총괄표"/>
      <sheetName val="출입국비용"/>
      <sheetName val="항공임"/>
      <sheetName val="서울사무소출장비"/>
      <sheetName val="Toyo사무소출장비"/>
      <sheetName val="현장 출장비"/>
      <sheetName val="건강검진"/>
      <sheetName val="현장복지후생비"/>
      <sheetName val="숙소 유지비"/>
      <sheetName val="Pioneer"/>
      <sheetName val="차량운영비"/>
      <sheetName val="차량동원계획 (SITE)"/>
      <sheetName val="차량동원계획 (TOYO)"/>
      <sheetName val="용전비"/>
      <sheetName val="용전_DETAIL"/>
      <sheetName val="소비전력"/>
      <sheetName val="용수비"/>
      <sheetName val="용수량"/>
      <sheetName val="LC수수료 &amp; TR 이자율-NA"/>
      <sheetName val="보험"/>
      <sheetName val="IT견적"/>
      <sheetName val="컴퓨터 동원계획"/>
      <sheetName val="Bond Fee"/>
      <sheetName val="환율"/>
      <sheetName val="숙소비품구입(HDEC)"/>
      <sheetName val="사무실집기 단가"/>
      <sheetName val="RIEP"/>
      <sheetName val="eq_data"/>
      <sheetName val="경제지표"/>
      <sheetName val="Cover"/>
      <sheetName val="dummy"/>
      <sheetName val="Summary 2002"/>
    </sheetNames>
    <sheetDataSet>
      <sheetData sheetId="0">
        <row r="5">
          <cell r="A5" t="str">
            <v>Project : RRE Project - PKG 1 / U.A.E</v>
          </cell>
        </row>
      </sheetData>
      <sheetData sheetId="1"/>
      <sheetData sheetId="2"/>
      <sheetData sheetId="3">
        <row r="29">
          <cell r="L29">
            <v>691256.94530788169</v>
          </cell>
        </row>
      </sheetData>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row r="21">
          <cell r="G21">
            <v>1267</v>
          </cell>
        </row>
      </sheetData>
      <sheetData sheetId="29"/>
      <sheetData sheetId="30"/>
      <sheetData sheetId="31" refreshError="1"/>
      <sheetData sheetId="32" refreshError="1"/>
      <sheetData sheetId="33" refreshError="1"/>
      <sheetData sheetId="34" refreshError="1"/>
      <sheetData sheetId="35" refreshError="1"/>
      <sheetData sheetId="36" refreshError="1"/>
    </sheetDataSet>
  </externalBook>
</externalLink>
</file>

<file path=xl/externalLinks/externalLink1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XXXXX"/>
      <sheetName val="Sheet1"/>
      <sheetName val="Sheet1 (2)"/>
      <sheetName val="BM"/>
      <sheetName val="Sheet2"/>
      <sheetName val="B-N BM"/>
      <sheetName val="b-n"/>
      <sheetName val="WE'T"/>
      <sheetName val="REDUCER"/>
      <sheetName val="AWWA FLG"/>
      <sheetName val="OFFER RATE"/>
      <sheetName val="COVERSHEET PAGE"/>
      <sheetName val="세부내역"/>
      <sheetName val="환율"/>
      <sheetName val="Final(1)summary"/>
      <sheetName val="POWER"/>
      <sheetName val="RIEP"/>
      <sheetName val="WIND"/>
      <sheetName val="eq_data"/>
      <sheetName val="경제지표"/>
      <sheetName val="VC2 9.98"/>
      <sheetName val="MR"/>
    </sheetNames>
    <sheetDataSet>
      <sheetData sheetId="0"/>
      <sheetData sheetId="1"/>
      <sheetData sheetId="2"/>
      <sheetData sheetId="3"/>
      <sheetData sheetId="4"/>
      <sheetData sheetId="5"/>
      <sheetData sheetId="6"/>
      <sheetData sheetId="7" refreshError="1"/>
      <sheetData sheetId="8" refreshError="1"/>
      <sheetData sheetId="9"/>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1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96.12"/>
      <sheetName val="96_12"/>
      <sheetName val="완공미토"/>
      <sheetName val="eq_data"/>
      <sheetName val="인건비"/>
      <sheetName val="97 사업추정(WEKI)"/>
      <sheetName val="sort"/>
      <sheetName val="영업소실적"/>
      <sheetName val="기준"/>
      <sheetName val="Sheet1"/>
      <sheetName val="001BA"/>
      <sheetName val="SCH"/>
      <sheetName val="예산서"/>
      <sheetName val="충주"/>
      <sheetName val="A(Rev.3)"/>
      <sheetName val="Mech CIF"/>
      <sheetName val="배관공사내역서"/>
      <sheetName val="tank list"/>
      <sheetName val="OUT"/>
      <sheetName val="투입실적"/>
      <sheetName val="TOEC"/>
      <sheetName val="내역서"/>
      <sheetName val="2.대외공문"/>
      <sheetName val="1월"/>
      <sheetName val="현금"/>
      <sheetName val="내역(한신APT)"/>
      <sheetName val="실행"/>
      <sheetName val="판"/>
      <sheetName val="입출재고현황 (2)"/>
      <sheetName val="OE"/>
      <sheetName val="#REF"/>
      <sheetName val="월간보고"/>
      <sheetName val="B.Q. breakdown (0723_2) (USD)"/>
      <sheetName val="Sheet1 (2)"/>
      <sheetName val="내역"/>
      <sheetName val="REDUCER"/>
      <sheetName val="WE'T"/>
      <sheetName val="골조시행"/>
      <sheetName val="BR"/>
      <sheetName val="경비 (1)"/>
      <sheetName val="고자현황"/>
      <sheetName val="공사손익"/>
      <sheetName val="95년12월말"/>
      <sheetName val="POOM_MOTO2"/>
      <sheetName val="POOM_MOTO"/>
      <sheetName val="1을"/>
      <sheetName val="직원동원계획"/>
      <sheetName val="환율표"/>
      <sheetName val="Cover"/>
      <sheetName val="3-구교-오리지날"/>
      <sheetName val="P.M 별"/>
      <sheetName val="태화42 "/>
      <sheetName val="2000년1차"/>
      <sheetName val="2000전체분"/>
      <sheetName val="3.바닥판설계"/>
      <sheetName val="공량산출서"/>
      <sheetName val="노무비단가"/>
      <sheetName val="주형"/>
      <sheetName val="data_senior"/>
      <sheetName val="BT"/>
      <sheetName val="1.설계기준"/>
      <sheetName val="노임단가"/>
      <sheetName val="Ex.Rate"/>
      <sheetName val="표지"/>
      <sheetName val="UnitRate"/>
      <sheetName val="세원견적서"/>
      <sheetName val="1차배부(JB포함)"/>
      <sheetName val="5.3 단면가정"/>
      <sheetName val="내역서(당초변경)"/>
      <sheetName val="공사집계"/>
      <sheetName val="말뚝지지력산정"/>
      <sheetName val="건축공사"/>
      <sheetName val="경상예산"/>
      <sheetName val="BOTM"/>
      <sheetName val="98지급계획"/>
      <sheetName val="내역을"/>
      <sheetName val="정산서  (2)"/>
      <sheetName val="Final(1)summary"/>
      <sheetName val="UBC(WIND)"/>
      <sheetName val="SPEC-C1A"/>
      <sheetName val="SPEC-C1U"/>
      <sheetName val="SPEC-C2A"/>
      <sheetName val="SPEC-C2U"/>
      <sheetName val="SPEC-C3A"/>
      <sheetName val="SPEC-C3U"/>
      <sheetName val="SPEC-P1A"/>
      <sheetName val="SPEC-P1U"/>
      <sheetName val="SPEC-P2A"/>
      <sheetName val="SPEC-S1A"/>
      <sheetName val="SK Engrg-Q"/>
      <sheetName val="POWER"/>
      <sheetName val="지사급여"/>
      <sheetName val="공사비 내역 (가)"/>
      <sheetName val="Inquiry_List"/>
      <sheetName val="현황CODE"/>
      <sheetName val="손익현황"/>
      <sheetName val="설계예산서1"/>
      <sheetName val="수입"/>
      <sheetName val="적격"/>
      <sheetName val="Summary Sheet"/>
      <sheetName val="평가내역"/>
      <sheetName val="단가"/>
      <sheetName val="CALCULATION"/>
      <sheetName val="P-COST"/>
      <sheetName val="명세서"/>
      <sheetName val="A"/>
      <sheetName val="청산공사"/>
      <sheetName val="상반기손익차2총괄"/>
      <sheetName val="PLAN_FEB97"/>
      <sheetName val="평균환율-USD"/>
      <sheetName val="직원동원SCH"/>
      <sheetName val="HDECGTY"/>
      <sheetName val="간접비(1)"/>
      <sheetName val="사업계획"/>
      <sheetName val="6호기"/>
      <sheetName val="DATE"/>
      <sheetName val="BCPAB"/>
      <sheetName val="96배수"/>
      <sheetName val="실행내역서 "/>
      <sheetName val="OFFER RATE"/>
      <sheetName val="COVERSHEET PAGE"/>
      <sheetName val="본지점중"/>
      <sheetName val="TABLE2-2 OSBL-(SITE PREP)"/>
      <sheetName val="boq"/>
      <sheetName val="OSBL-TOTAL (OTHER WORK)"/>
      <sheetName val="OSBL-TOTAL (SEA WATER)"/>
      <sheetName val="OSBL-TOTAL (CIVIL WORK)"/>
      <sheetName val="5.세운W-A"/>
      <sheetName val="Ⅳ.1.KEY수입"/>
      <sheetName val="Ⅳ-4.수익총괄"/>
      <sheetName val="노무비"/>
      <sheetName val="집계표"/>
      <sheetName val="input"/>
      <sheetName val="96_121"/>
      <sheetName val="97_사업추정(WEKI)"/>
      <sheetName val="A(Rev_3)"/>
      <sheetName val="청하배수"/>
      <sheetName val="공구"/>
      <sheetName val="가BM"/>
      <sheetName val="여찾사12월"/>
      <sheetName val="노마진12"/>
      <sheetName val="티제주12"/>
      <sheetName val="조건"/>
      <sheetName val="bc"/>
      <sheetName val="TOTAL1"/>
      <sheetName val="ABUT수량-A1"/>
      <sheetName val="CRUDE RE-bar"/>
      <sheetName val="MH rate"/>
      <sheetName val="C급보 "/>
      <sheetName val="요약"/>
      <sheetName val="포장공"/>
      <sheetName val="수안보-MBR1"/>
      <sheetName val="COPING"/>
      <sheetName val="ASME B 36.10 M"/>
      <sheetName val="CBE-VSL"/>
      <sheetName val="협조전"/>
      <sheetName val="SUM (실행원가대비)"/>
      <sheetName val="Summary 2002"/>
      <sheetName val="VC2 9.98"/>
      <sheetName val="투찰판"/>
      <sheetName val="하수급견적대비"/>
      <sheetName val="사용성검토"/>
      <sheetName val="Sales by Salesman"/>
      <sheetName val="3.현장배치"/>
      <sheetName val="업무계획1"/>
      <sheetName val="울산시산표"/>
      <sheetName val="Template"/>
      <sheetName val="Initial Input Variable"/>
      <sheetName val="Assumptions"/>
      <sheetName val="tggwan(mac)"/>
      <sheetName val="Tenants"/>
      <sheetName val="우수"/>
      <sheetName val="평형공사비"/>
      <sheetName val="TC표지"/>
      <sheetName val="화재 탐지 설비"/>
      <sheetName val="설계조건"/>
      <sheetName val="TABLE2-2 OSBL(total)"/>
      <sheetName val="플랜트 설치"/>
      <sheetName val="Sensitivity"/>
      <sheetName val="건축내역"/>
      <sheetName val="우각부보강"/>
      <sheetName val="토지조서"/>
      <sheetName val="E_Rate PM"/>
      <sheetName val="static.cal"/>
      <sheetName val="5사남"/>
      <sheetName val="IT-BAT"/>
      <sheetName val="실행철강하도"/>
      <sheetName val="cable"/>
      <sheetName val="V-VESSEL (WITH DEMISTER)"/>
      <sheetName val="7.경제성결과"/>
      <sheetName val="SUMBER DAYA"/>
      <sheetName val="Bill No. 2 - Carpark"/>
      <sheetName val="산출근거(ON-OFF) "/>
      <sheetName val="DATA"/>
      <sheetName val="Macro"/>
      <sheetName val="Taux"/>
      <sheetName val="변수"/>
      <sheetName val="RFP002"/>
      <sheetName val="D"/>
      <sheetName val="BM DATA SHEET"/>
      <sheetName val="SILICATE"/>
      <sheetName val="1"/>
      <sheetName val="Summary Sheets"/>
      <sheetName val="COA-17"/>
      <sheetName val="C-18"/>
      <sheetName val="MEXICO-C"/>
      <sheetName val="CAL"/>
      <sheetName val="부재력정리"/>
      <sheetName val="SHUTDOWN VALVE"/>
      <sheetName val="MINA BM"/>
      <sheetName val="HVAC"/>
      <sheetName val="Estimate Download"/>
      <sheetName val="hori. vessel(E-895)"/>
      <sheetName val="Resource"/>
      <sheetName val="MHR-ANLIS"/>
      <sheetName val="Mech_CIF"/>
      <sheetName val="tank_list"/>
      <sheetName val="B_Q__breakdown_(0723_2)_(USD)"/>
      <sheetName val="2_대외공문"/>
      <sheetName val="입출재고현황_(2)"/>
      <sheetName val="Sheet1_(2)"/>
      <sheetName val="P_M_별"/>
      <sheetName val="경비_(1)"/>
      <sheetName val="태화42_"/>
      <sheetName val="3_바닥판설계"/>
      <sheetName val="5_3_단면가정"/>
      <sheetName val="Ex_Rate"/>
      <sheetName val="1_설계기준"/>
      <sheetName val="Currency"/>
      <sheetName val="마북 손익분석(CATIA)"/>
      <sheetName val="단자차입일별"/>
      <sheetName val="인원계획"/>
      <sheetName val="NOMUBI"/>
      <sheetName val="sw1"/>
      <sheetName val="정부노임단가"/>
      <sheetName val="TYPE-B 평균H"/>
      <sheetName val="BQ_Utl_Off"/>
      <sheetName val="최민영집계25"/>
      <sheetName val="Regenerator  Concrete Structure"/>
      <sheetName val="조명투자및환수계획"/>
      <sheetName val="제조중간결과"/>
      <sheetName val="수력 250MW"/>
      <sheetName val="계측"/>
      <sheetName val="토공정보"/>
      <sheetName val="96_122"/>
      <sheetName val="97_사업추정(WEKI)1"/>
      <sheetName val="A(Rev_3)1"/>
      <sheetName val="Mech_CIF1"/>
      <sheetName val="tank_list1"/>
      <sheetName val="2_대외공문1"/>
      <sheetName val="입출재고현황_(2)1"/>
      <sheetName val="B_Q__breakdown_(0723_2)_(USD)1"/>
      <sheetName val="정산서__(2)1"/>
      <sheetName val="Sheet1_(2)1"/>
      <sheetName val="경비_(1)1"/>
      <sheetName val="정산서__(2)"/>
      <sheetName val="purpose&amp;input"/>
      <sheetName val="Macro1"/>
      <sheetName val="VAE264_VALVES"/>
      <sheetName val="Consumables"/>
      <sheetName val="Benchmark"/>
      <sheetName val="Piping(Methanol)"/>
      <sheetName val="Quantity"/>
      <sheetName val="적정분양가"/>
      <sheetName val="fs도급사업"/>
      <sheetName val="일위대가"/>
      <sheetName val="MINA_BM"/>
      <sheetName val="45,46"/>
      <sheetName val="DWTables"/>
      <sheetName val="직원신상"/>
      <sheetName val="손대지 마세요!"/>
      <sheetName val="Criteria"/>
      <sheetName val="ICGSIP"/>
      <sheetName val="Spread_sht"/>
      <sheetName val="RFP007"/>
      <sheetName val="RFP009"/>
      <sheetName val="토사(PE)"/>
      <sheetName val="손익차9월2"/>
      <sheetName val="편입용지조서"/>
      <sheetName val="1.CB"/>
      <sheetName val="리스료"/>
      <sheetName val="광교1-1"/>
      <sheetName val="BQ-375-1"/>
      <sheetName val="PCSum"/>
      <sheetName val="Project list"/>
      <sheetName val="Interior Wall TAKE OFF"/>
      <sheetName val="Schedule"/>
      <sheetName val="Sheet4"/>
      <sheetName val="Adimi bldg"/>
      <sheetName val="Pump House"/>
      <sheetName val="Fuel Regu Station"/>
      <sheetName val="Summary"/>
      <sheetName val="DHEQSUPT"/>
      <sheetName val="Key Condition"/>
      <sheetName val="01 GTG"/>
      <sheetName val="02 STG"/>
      <sheetName val="03 HRSG"/>
      <sheetName val="04 Mech BOP"/>
      <sheetName val="04 APCS"/>
      <sheetName val="11"/>
      <sheetName val="13"/>
      <sheetName val="14"/>
      <sheetName val="20"/>
      <sheetName val="21"/>
      <sheetName val="22"/>
      <sheetName val="units"/>
      <sheetName val="Y-WORK"/>
      <sheetName val="ITEM"/>
      <sheetName val="EXPAN-1"/>
      <sheetName val="표건"/>
      <sheetName val="tienluong"/>
      <sheetName val="BSD (2)"/>
      <sheetName val="안산기계장치"/>
      <sheetName val="ORIGN"/>
      <sheetName val="표지 (2)"/>
      <sheetName val="RE9604"/>
      <sheetName val="STANDARD (상)-참고"/>
      <sheetName val="0110원본"/>
      <sheetName val="Para"/>
      <sheetName val="96_123"/>
      <sheetName val="97_사업추정(WEKI)2"/>
      <sheetName val="A(Rev_3)2"/>
      <sheetName val="Mech_CIF2"/>
      <sheetName val="tank_list2"/>
      <sheetName val="2_대외공문2"/>
      <sheetName val="입출재고현황_(2)2"/>
      <sheetName val="B_Q__breakdown_(0723_2)_(USD)2"/>
      <sheetName val="Sheet1_(2)2"/>
      <sheetName val="경비_(1)2"/>
      <sheetName val="1_설계기준1"/>
      <sheetName val="P_M_별1"/>
      <sheetName val="태화42_1"/>
      <sheetName val="3_바닥판설계1"/>
      <sheetName val="Ex_Rate1"/>
      <sheetName val="5_3_단면가정1"/>
      <sheetName val="Summary_Sheet"/>
      <sheetName val="정산서__(2)2"/>
      <sheetName val="SK_Engrg-Q"/>
      <sheetName val="공사비_내역_(가)"/>
      <sheetName val="실행내역서_"/>
      <sheetName val="OFFER_RATE"/>
      <sheetName val="COVERSHEET_PAGE"/>
      <sheetName val="TABLE2-2_OSBL-(SITE_PREP)"/>
      <sheetName val="OSBL-TOTAL_(OTHER_WORK)"/>
      <sheetName val="OSBL-TOTAL_(SEA_WATER)"/>
      <sheetName val="OSBL-TOTAL_(CIVIL_WORK)"/>
      <sheetName val="5_세운W-A"/>
      <sheetName val="Ⅳ_1_KEY수입"/>
      <sheetName val="Ⅳ-4_수익총괄"/>
      <sheetName val="ASME_B_36_10_M"/>
      <sheetName val="SUM_(실행원가대비)"/>
      <sheetName val="Summary_2002"/>
      <sheetName val="MH_rate"/>
      <sheetName val="CRUDE_RE-bar"/>
      <sheetName val="C급보_"/>
      <sheetName val="Initial_Input_Variable"/>
      <sheetName val="V-VESSEL_(WITH_DEMISTER)"/>
      <sheetName val="7_경제성결과"/>
      <sheetName val="SUMBER_DAYA"/>
      <sheetName val="Bill_No__2_-_Carpark"/>
      <sheetName val="산출근거(ON-OFF)_"/>
      <sheetName val="VC2_9_98"/>
      <sheetName val="Sales_by_Salesman"/>
      <sheetName val="3_현장배치"/>
      <sheetName val="화재_탐지_설비"/>
      <sheetName val="TABLE2-2_OSBL(total)"/>
      <sheetName val="플랜트_설치"/>
      <sheetName val="E_Rate_PM"/>
      <sheetName val="static_cal"/>
      <sheetName val="마북_손익분석(CATIA)"/>
      <sheetName val="BM_DATA_SHEET"/>
      <sheetName val="Summary_Sheets"/>
      <sheetName val="SHUTDOWN_VALVE"/>
      <sheetName val="MINA_BM1"/>
      <sheetName val="Estimate_Download"/>
      <sheetName val="hori__vessel(E-895)"/>
      <sheetName val="수력_250MW"/>
      <sheetName val="Regenerator__Concrete_Structure"/>
      <sheetName val="STANDARD_(상)-참고"/>
      <sheetName val="TYPE-B_평균H"/>
      <sheetName val="Key_Condition"/>
      <sheetName val="01_GTG"/>
      <sheetName val="02_STG"/>
      <sheetName val="03_HRSG"/>
      <sheetName val="04_Mech_BOP"/>
      <sheetName val="04_APCS"/>
    </sheetNames>
    <sheetDataSet>
      <sheetData sheetId="0" refreshError="1">
        <row r="1">
          <cell r="A1" t="str">
            <v>完 工 工 事  未 決 現 況</v>
          </cell>
        </row>
        <row r="2">
          <cell r="A2" t="str">
            <v>(96年 12月 31日 現在)</v>
          </cell>
        </row>
        <row r="3">
          <cell r="A3" t="str">
            <v xml:space="preserve"> (海外土木)</v>
          </cell>
          <cell r="B3">
            <v>0</v>
          </cell>
          <cell r="C3">
            <v>0</v>
          </cell>
          <cell r="D3">
            <v>0</v>
          </cell>
          <cell r="E3">
            <v>0</v>
          </cell>
          <cell r="F3">
            <v>0</v>
          </cell>
          <cell r="G3">
            <v>0</v>
          </cell>
          <cell r="H3">
            <v>0</v>
          </cell>
          <cell r="I3">
            <v>0</v>
          </cell>
          <cell r="J3">
            <v>0</v>
          </cell>
          <cell r="K3">
            <v>0</v>
          </cell>
          <cell r="L3">
            <v>0</v>
          </cell>
          <cell r="M3">
            <v>0</v>
          </cell>
          <cell r="N3" t="str">
            <v xml:space="preserve">   (單位 : 阡美弗)</v>
          </cell>
        </row>
        <row r="4">
          <cell r="F4" t="str">
            <v xml:space="preserve">   未    決    事    項</v>
          </cell>
        </row>
        <row r="5">
          <cell r="A5" t="str">
            <v xml:space="preserve"> 現 場 名</v>
          </cell>
          <cell r="B5" t="str">
            <v>契約高</v>
          </cell>
          <cell r="C5">
            <v>0</v>
          </cell>
          <cell r="D5">
            <v>0</v>
          </cell>
          <cell r="E5">
            <v>0</v>
          </cell>
          <cell r="F5">
            <v>0</v>
          </cell>
          <cell r="G5">
            <v>0</v>
          </cell>
          <cell r="H5">
            <v>0</v>
          </cell>
          <cell r="I5">
            <v>0</v>
          </cell>
          <cell r="J5" t="str">
            <v>ＣＬＡＩＭ</v>
          </cell>
          <cell r="K5">
            <v>0</v>
          </cell>
          <cell r="L5">
            <v>0</v>
          </cell>
          <cell r="M5" t="str">
            <v xml:space="preserve">                殘餘 事項  및  問題點</v>
          </cell>
          <cell r="N5" t="str">
            <v xml:space="preserve">    措 置 事 項</v>
          </cell>
        </row>
        <row r="6">
          <cell r="B6" t="str">
            <v>( % )</v>
          </cell>
          <cell r="C6" t="str">
            <v>ＰＡＣ</v>
          </cell>
          <cell r="D6" t="str">
            <v>ＦＡＣ</v>
          </cell>
          <cell r="E6" t="str">
            <v xml:space="preserve">     未     收</v>
          </cell>
          <cell r="F6">
            <v>0</v>
          </cell>
          <cell r="G6" t="str">
            <v xml:space="preserve">    ＢＯＮＤ</v>
          </cell>
          <cell r="H6">
            <v>0</v>
          </cell>
          <cell r="I6" t="str">
            <v>提        起</v>
          </cell>
          <cell r="J6">
            <v>0</v>
          </cell>
          <cell r="K6">
            <v>0</v>
          </cell>
          <cell r="L6" t="str">
            <v xml:space="preserve"> 受領</v>
          </cell>
        </row>
        <row r="7">
          <cell r="B7" t="str">
            <v xml:space="preserve"> 工  期</v>
          </cell>
          <cell r="C7">
            <v>0</v>
          </cell>
          <cell r="D7">
            <v>0</v>
          </cell>
          <cell r="E7">
            <v>0</v>
          </cell>
          <cell r="F7">
            <v>0</v>
          </cell>
          <cell r="G7">
            <v>0</v>
          </cell>
          <cell r="H7">
            <v>0</v>
          </cell>
          <cell r="I7" t="str">
            <v>旣提出</v>
          </cell>
          <cell r="J7" t="str">
            <v>提出豫定</v>
          </cell>
          <cell r="K7" t="str">
            <v xml:space="preserve">  小 計</v>
          </cell>
          <cell r="L7" t="str">
            <v xml:space="preserve"> 豫想</v>
          </cell>
        </row>
        <row r="8">
          <cell r="G8" t="str">
            <v xml:space="preserve"> P   :</v>
          </cell>
          <cell r="H8">
            <v>24856</v>
          </cell>
        </row>
        <row r="9">
          <cell r="A9" t="str">
            <v xml:space="preserve">   合   計</v>
          </cell>
          <cell r="B9">
            <v>1998288</v>
          </cell>
          <cell r="C9">
            <v>0</v>
          </cell>
          <cell r="D9">
            <v>0</v>
          </cell>
          <cell r="E9" t="str">
            <v xml:space="preserve"> 旣 成  : </v>
          </cell>
          <cell r="F9">
            <v>16925</v>
          </cell>
          <cell r="G9" t="str">
            <v xml:space="preserve"> C   :</v>
          </cell>
          <cell r="H9">
            <v>140</v>
          </cell>
          <cell r="I9">
            <v>9539</v>
          </cell>
          <cell r="J9">
            <v>0</v>
          </cell>
          <cell r="K9">
            <v>9539</v>
          </cell>
          <cell r="L9" t="str">
            <v xml:space="preserve"> </v>
          </cell>
        </row>
        <row r="10">
          <cell r="A10" t="str">
            <v xml:space="preserve"> (14個現場)</v>
          </cell>
          <cell r="B10">
            <v>0</v>
          </cell>
          <cell r="C10">
            <v>0</v>
          </cell>
          <cell r="D10">
            <v>0</v>
          </cell>
          <cell r="E10" t="str">
            <v xml:space="preserve"> 留 保  : </v>
          </cell>
          <cell r="F10">
            <v>39005</v>
          </cell>
          <cell r="G10" t="str">
            <v xml:space="preserve"> PAYMENT:</v>
          </cell>
          <cell r="H10">
            <v>2451</v>
          </cell>
        </row>
        <row r="11">
          <cell r="G11" t="str">
            <v xml:space="preserve"> R   :</v>
          </cell>
          <cell r="H11">
            <v>1751</v>
          </cell>
        </row>
        <row r="12">
          <cell r="E12" t="str">
            <v xml:space="preserve">   計   :</v>
          </cell>
          <cell r="F12">
            <v>55930</v>
          </cell>
          <cell r="G12" t="str">
            <v xml:space="preserve"> AP  :</v>
          </cell>
          <cell r="H12">
            <v>302</v>
          </cell>
        </row>
        <row r="13">
          <cell r="G13" t="str">
            <v xml:space="preserve"> 計  :</v>
          </cell>
          <cell r="H13">
            <v>29500</v>
          </cell>
        </row>
        <row r="15">
          <cell r="A15" t="str">
            <v xml:space="preserve">  W A S P-1</v>
          </cell>
          <cell r="B15">
            <v>46355</v>
          </cell>
          <cell r="C15" t="str">
            <v xml:space="preserve"> 85.10.21</v>
          </cell>
          <cell r="D15" t="str">
            <v xml:space="preserve"> 87.10.25</v>
          </cell>
          <cell r="E15" t="str">
            <v xml:space="preserve"> 旣 成  : </v>
          </cell>
          <cell r="F15">
            <v>1785</v>
          </cell>
        </row>
        <row r="16">
          <cell r="A16" t="str">
            <v xml:space="preserve">   (IRAQ)</v>
          </cell>
          <cell r="B16" t="str">
            <v xml:space="preserve">     (177.2%)</v>
          </cell>
          <cell r="C16">
            <v>0</v>
          </cell>
          <cell r="D16">
            <v>0</v>
          </cell>
          <cell r="E16" t="str">
            <v xml:space="preserve"> 留 保  : </v>
          </cell>
          <cell r="F16">
            <v>1401</v>
          </cell>
          <cell r="G16">
            <v>0</v>
          </cell>
          <cell r="H16">
            <v>0</v>
          </cell>
          <cell r="I16">
            <v>0</v>
          </cell>
          <cell r="J16">
            <v>0</v>
          </cell>
          <cell r="K16">
            <v>0</v>
          </cell>
          <cell r="L16">
            <v>0</v>
          </cell>
          <cell r="M16" t="str">
            <v xml:space="preserve"> 1. CLAIM : 이란-이락 戰爭 被害 補償</v>
          </cell>
        </row>
        <row r="17">
          <cell r="B17" t="str">
            <v xml:space="preserve">  78.07.29 -</v>
          </cell>
          <cell r="C17">
            <v>0</v>
          </cell>
          <cell r="D17">
            <v>0</v>
          </cell>
          <cell r="E17" t="str">
            <v xml:space="preserve">   計   :</v>
          </cell>
          <cell r="F17">
            <v>3186</v>
          </cell>
          <cell r="G17">
            <v>0</v>
          </cell>
          <cell r="H17">
            <v>0</v>
          </cell>
          <cell r="I17">
            <v>0</v>
          </cell>
          <cell r="J17">
            <v>0</v>
          </cell>
          <cell r="K17">
            <v>0</v>
          </cell>
          <cell r="L17">
            <v>0</v>
          </cell>
          <cell r="M17" t="str">
            <v xml:space="preserve"> 2. 未收旣成 및 NOC 留保金이 아직 PENDING中이며</v>
          </cell>
        </row>
        <row r="18">
          <cell r="B18" t="str">
            <v xml:space="preserve">     85.07.31</v>
          </cell>
          <cell r="C18">
            <v>0</v>
          </cell>
          <cell r="D18">
            <v>0</v>
          </cell>
          <cell r="E18">
            <v>0</v>
          </cell>
          <cell r="F18">
            <v>0</v>
          </cell>
          <cell r="G18">
            <v>0</v>
          </cell>
          <cell r="H18">
            <v>0</v>
          </cell>
          <cell r="I18">
            <v>0</v>
          </cell>
          <cell r="J18">
            <v>0</v>
          </cell>
          <cell r="K18">
            <v>0</v>
          </cell>
          <cell r="L18">
            <v>0</v>
          </cell>
          <cell r="M18" t="str">
            <v xml:space="preserve">    本社의 CLAIM 포기 不可지침으로 取下가 보류된 상태임</v>
          </cell>
        </row>
        <row r="21">
          <cell r="A21" t="str">
            <v xml:space="preserve">  W A S P-2</v>
          </cell>
          <cell r="B21">
            <v>80454</v>
          </cell>
          <cell r="C21" t="str">
            <v xml:space="preserve"> 84.07.05</v>
          </cell>
          <cell r="D21" t="str">
            <v xml:space="preserve"> 87.10.12</v>
          </cell>
          <cell r="E21" t="str">
            <v xml:space="preserve"> 旣 成  : </v>
          </cell>
          <cell r="F21">
            <v>381</v>
          </cell>
          <cell r="G21">
            <v>0</v>
          </cell>
          <cell r="H21">
            <v>0</v>
          </cell>
          <cell r="I21">
            <v>7423</v>
          </cell>
          <cell r="J21">
            <v>0</v>
          </cell>
          <cell r="K21">
            <v>7423</v>
          </cell>
        </row>
        <row r="22">
          <cell r="A22" t="str">
            <v xml:space="preserve">   (IRAQ)</v>
          </cell>
          <cell r="B22" t="str">
            <v xml:space="preserve">      (97.0%)</v>
          </cell>
          <cell r="C22">
            <v>0</v>
          </cell>
          <cell r="D22">
            <v>0</v>
          </cell>
          <cell r="E22" t="str">
            <v xml:space="preserve"> 留 保  : </v>
          </cell>
          <cell r="F22">
            <v>2088</v>
          </cell>
        </row>
        <row r="23">
          <cell r="B23" t="str">
            <v xml:space="preserve">  81.07.07 -</v>
          </cell>
          <cell r="C23">
            <v>0</v>
          </cell>
          <cell r="D23">
            <v>0</v>
          </cell>
          <cell r="E23" t="str">
            <v xml:space="preserve">   計   :</v>
          </cell>
          <cell r="F23">
            <v>2469</v>
          </cell>
        </row>
        <row r="24">
          <cell r="B24" t="str">
            <v xml:space="preserve">     84.07.06</v>
          </cell>
        </row>
        <row r="27">
          <cell r="A27" t="str">
            <v xml:space="preserve">  R A I L N</v>
          </cell>
          <cell r="B27">
            <v>695985</v>
          </cell>
          <cell r="C27" t="str">
            <v xml:space="preserve"> 87.10.01</v>
          </cell>
          <cell r="D27" t="str">
            <v xml:space="preserve"> 92.12.17</v>
          </cell>
          <cell r="E27" t="str">
            <v xml:space="preserve"> 旣 成  : </v>
          </cell>
          <cell r="F27">
            <v>0</v>
          </cell>
          <cell r="G27">
            <v>0</v>
          </cell>
          <cell r="H27">
            <v>0</v>
          </cell>
          <cell r="I27">
            <v>0</v>
          </cell>
          <cell r="J27">
            <v>0</v>
          </cell>
          <cell r="K27">
            <v>0</v>
          </cell>
          <cell r="L27">
            <v>0</v>
          </cell>
          <cell r="M27" t="str">
            <v xml:space="preserve"> 1. 현재 모든 NOC 종결된 상태이나 향후 현지국 경제 및</v>
          </cell>
        </row>
        <row r="28">
          <cell r="A28" t="str">
            <v xml:space="preserve">   (IRAQ)</v>
          </cell>
          <cell r="B28" t="str">
            <v xml:space="preserve">      (83.7%)</v>
          </cell>
          <cell r="C28">
            <v>0</v>
          </cell>
          <cell r="D28">
            <v>0</v>
          </cell>
          <cell r="E28" t="str">
            <v xml:space="preserve"> 留 保  : </v>
          </cell>
          <cell r="F28">
            <v>17446</v>
          </cell>
          <cell r="G28">
            <v>0</v>
          </cell>
          <cell r="H28">
            <v>0</v>
          </cell>
          <cell r="I28">
            <v>0</v>
          </cell>
          <cell r="J28">
            <v>0</v>
          </cell>
          <cell r="K28">
            <v>0</v>
          </cell>
          <cell r="L28">
            <v>0</v>
          </cell>
          <cell r="M28" t="str">
            <v xml:space="preserve">    현지화 가치 안정시까지 취하 보류중임</v>
          </cell>
        </row>
        <row r="29">
          <cell r="B29" t="str">
            <v xml:space="preserve">  82.08.26 -</v>
          </cell>
          <cell r="C29">
            <v>0</v>
          </cell>
          <cell r="D29">
            <v>0</v>
          </cell>
          <cell r="E29" t="str">
            <v xml:space="preserve">   計   :</v>
          </cell>
          <cell r="F29">
            <v>17446</v>
          </cell>
        </row>
        <row r="30">
          <cell r="B30" t="str">
            <v xml:space="preserve">     87.09.30</v>
          </cell>
        </row>
        <row r="33">
          <cell r="A33" t="str">
            <v xml:space="preserve">  K I W A S</v>
          </cell>
          <cell r="B33">
            <v>102090</v>
          </cell>
          <cell r="C33">
            <v>0</v>
          </cell>
          <cell r="D33">
            <v>0</v>
          </cell>
          <cell r="E33" t="str">
            <v xml:space="preserve"> 旣 成  : </v>
          </cell>
          <cell r="F33">
            <v>4113</v>
          </cell>
          <cell r="G33" t="str">
            <v xml:space="preserve"> P  : </v>
          </cell>
          <cell r="H33">
            <v>4374</v>
          </cell>
          <cell r="I33">
            <v>2116</v>
          </cell>
          <cell r="J33">
            <v>0</v>
          </cell>
          <cell r="K33">
            <v>2116</v>
          </cell>
          <cell r="L33">
            <v>0</v>
          </cell>
          <cell r="M33" t="str">
            <v xml:space="preserve"> 1. 現地業體의 殘工事遂行에 따라 93.5.23日付로 契約 終結</v>
          </cell>
        </row>
        <row r="34">
          <cell r="A34" t="str">
            <v xml:space="preserve">   (IRAQ)</v>
          </cell>
          <cell r="B34" t="str">
            <v xml:space="preserve">      (81.0%)</v>
          </cell>
          <cell r="C34">
            <v>0</v>
          </cell>
          <cell r="D34">
            <v>0</v>
          </cell>
          <cell r="E34" t="str">
            <v xml:space="preserve"> 留 保  : </v>
          </cell>
          <cell r="F34">
            <v>5308</v>
          </cell>
          <cell r="G34" t="str">
            <v xml:space="preserve">   (91.01.25)</v>
          </cell>
          <cell r="H34">
            <v>0</v>
          </cell>
          <cell r="I34">
            <v>0</v>
          </cell>
          <cell r="J34">
            <v>0</v>
          </cell>
          <cell r="K34">
            <v>0</v>
          </cell>
          <cell r="L34">
            <v>0</v>
          </cell>
          <cell r="M34" t="str">
            <v xml:space="preserve"> 2. 契約 終結에 따른 補償費 請求: U$ 2,116阡(93.06.26)</v>
          </cell>
        </row>
        <row r="35">
          <cell r="B35" t="str">
            <v xml:space="preserve">  85.11.11 -</v>
          </cell>
          <cell r="C35">
            <v>0</v>
          </cell>
          <cell r="D35">
            <v>0</v>
          </cell>
          <cell r="E35" t="str">
            <v xml:space="preserve">   計   :</v>
          </cell>
          <cell r="F35">
            <v>9421</v>
          </cell>
          <cell r="G35">
            <v>0</v>
          </cell>
          <cell r="H35">
            <v>0</v>
          </cell>
          <cell r="I35">
            <v>0</v>
          </cell>
          <cell r="J35">
            <v>0</v>
          </cell>
          <cell r="K35">
            <v>0</v>
          </cell>
          <cell r="L35">
            <v>0</v>
          </cell>
          <cell r="M35" t="str">
            <v xml:space="preserve"> 3. 전쟁 발발로 인한 공사중단에 따른 93.5.29 TERMINATION LTR</v>
          </cell>
        </row>
        <row r="36">
          <cell r="B36" t="str">
            <v xml:space="preserve">     90.12.10</v>
          </cell>
          <cell r="C36">
            <v>0</v>
          </cell>
          <cell r="D36">
            <v>0</v>
          </cell>
          <cell r="E36">
            <v>0</v>
          </cell>
          <cell r="F36">
            <v>0</v>
          </cell>
          <cell r="G36">
            <v>0</v>
          </cell>
          <cell r="H36">
            <v>0</v>
          </cell>
          <cell r="I36">
            <v>0</v>
          </cell>
          <cell r="J36">
            <v>0</v>
          </cell>
          <cell r="K36">
            <v>0</v>
          </cell>
          <cell r="L36">
            <v>0</v>
          </cell>
          <cell r="M36" t="str">
            <v xml:space="preserve">    93.6.26, CLAIM을 발주처에 제출해 놓은 상태임</v>
          </cell>
          <cell r="N36" t="str">
            <v xml:space="preserve"> * 當社의 法定</v>
          </cell>
        </row>
        <row r="37">
          <cell r="M37" t="str">
            <v xml:space="preserve"> 4. 발주처로부터 AL-FAO로의 기자재 인수 절차가 시작됨에</v>
          </cell>
          <cell r="N37" t="str">
            <v xml:space="preserve">   代理人 選任</v>
          </cell>
        </row>
        <row r="38">
          <cell r="M38" t="str">
            <v xml:space="preserve">    따라 동 인수절차 완료후 미결 137건에 대한 사후관리를</v>
          </cell>
          <cell r="N38" t="str">
            <v xml:space="preserve">   (94.11.11)</v>
          </cell>
        </row>
        <row r="39">
          <cell r="M39" t="str">
            <v xml:space="preserve">    추진할 예정이며 그후 세관 기타 기관의 NOC를 득한 후</v>
          </cell>
        </row>
        <row r="40">
          <cell r="M40" t="str">
            <v xml:space="preserve">    정식 TERMINATION LTR, CLAIM건, P-BOND 해제를 추진할</v>
          </cell>
        </row>
        <row r="41">
          <cell r="M41" t="str">
            <v xml:space="preserve">    예정임</v>
          </cell>
        </row>
        <row r="44">
          <cell r="A44" t="str">
            <v xml:space="preserve">  I P S A-II</v>
          </cell>
          <cell r="B44">
            <v>214630</v>
          </cell>
          <cell r="C44">
            <v>0</v>
          </cell>
          <cell r="D44">
            <v>0</v>
          </cell>
          <cell r="E44">
            <v>0</v>
          </cell>
          <cell r="F44">
            <v>0</v>
          </cell>
          <cell r="G44">
            <v>0</v>
          </cell>
          <cell r="H44">
            <v>0</v>
          </cell>
          <cell r="I44">
            <v>0</v>
          </cell>
          <cell r="J44">
            <v>0</v>
          </cell>
          <cell r="K44">
            <v>0</v>
          </cell>
          <cell r="L44">
            <v>0</v>
          </cell>
          <cell r="M44" t="str">
            <v xml:space="preserve"> * MHI분 입금시 취하예정</v>
          </cell>
        </row>
        <row r="45">
          <cell r="A45" t="str">
            <v xml:space="preserve">   (IRAQ)</v>
          </cell>
          <cell r="B45" t="str">
            <v xml:space="preserve">      (83.0%)</v>
          </cell>
          <cell r="C45">
            <v>0</v>
          </cell>
          <cell r="D45">
            <v>0</v>
          </cell>
          <cell r="E45" t="str">
            <v xml:space="preserve"> 留 保  : </v>
          </cell>
          <cell r="F45">
            <v>555</v>
          </cell>
          <cell r="G45">
            <v>0</v>
          </cell>
          <cell r="H45">
            <v>0</v>
          </cell>
          <cell r="I45">
            <v>0</v>
          </cell>
          <cell r="J45">
            <v>0</v>
          </cell>
          <cell r="K45">
            <v>0</v>
          </cell>
          <cell r="L45">
            <v>0</v>
          </cell>
          <cell r="M45" t="str">
            <v xml:space="preserve"> * NOC 발급 : 96.12.17</v>
          </cell>
        </row>
        <row r="46">
          <cell r="B46" t="str">
            <v xml:space="preserve">  82.09.20 -</v>
          </cell>
          <cell r="C46">
            <v>0</v>
          </cell>
          <cell r="D46">
            <v>0</v>
          </cell>
          <cell r="E46" t="str">
            <v xml:space="preserve">   計   :</v>
          </cell>
          <cell r="F46">
            <v>555</v>
          </cell>
        </row>
        <row r="48">
          <cell r="M48" t="str">
            <v xml:space="preserve"> 1. 해상장비 13척 반출승인 : 1996.3.26일</v>
          </cell>
        </row>
        <row r="49">
          <cell r="A49" t="str">
            <v xml:space="preserve">  N A S R Y</v>
          </cell>
          <cell r="B49" t="str">
            <v xml:space="preserve">    (754,089)</v>
          </cell>
          <cell r="C49">
            <v>0</v>
          </cell>
          <cell r="D49">
            <v>0</v>
          </cell>
          <cell r="E49">
            <v>0</v>
          </cell>
          <cell r="F49">
            <v>0</v>
          </cell>
          <cell r="G49" t="str">
            <v xml:space="preserve"> (P   :  33,693)</v>
          </cell>
          <cell r="H49">
            <v>0</v>
          </cell>
          <cell r="I49" t="str">
            <v xml:space="preserve">  (39,548)</v>
          </cell>
          <cell r="J49">
            <v>0</v>
          </cell>
          <cell r="K49" t="str">
            <v xml:space="preserve">  (39,548)</v>
          </cell>
          <cell r="L49">
            <v>0</v>
          </cell>
          <cell r="M49" t="str">
            <v xml:space="preserve"> 2. 항만청 기증 : 3척</v>
          </cell>
        </row>
        <row r="50">
          <cell r="A50" t="str">
            <v xml:space="preserve">   (IRAQ)</v>
          </cell>
          <cell r="B50" t="str">
            <v xml:space="preserve">      (75.7%)</v>
          </cell>
          <cell r="C50">
            <v>0</v>
          </cell>
          <cell r="D50">
            <v>0</v>
          </cell>
          <cell r="E50">
            <v>0</v>
          </cell>
          <cell r="F50">
            <v>0</v>
          </cell>
          <cell r="G50" t="str">
            <v xml:space="preserve"> (AP  :  67,387)</v>
          </cell>
          <cell r="H50">
            <v>0</v>
          </cell>
          <cell r="I50">
            <v>0</v>
          </cell>
          <cell r="J50">
            <v>0</v>
          </cell>
          <cell r="K50">
            <v>0</v>
          </cell>
          <cell r="L50">
            <v>0</v>
          </cell>
          <cell r="M50" t="str">
            <v xml:space="preserve"> 3. 석유성 임차(6개월) : 4대(3대 반환 예정)</v>
          </cell>
        </row>
        <row r="51">
          <cell r="B51" t="str">
            <v xml:space="preserve">       36個月</v>
          </cell>
          <cell r="C51">
            <v>0</v>
          </cell>
          <cell r="D51">
            <v>0</v>
          </cell>
          <cell r="E51">
            <v>0</v>
          </cell>
          <cell r="F51">
            <v>0</v>
          </cell>
          <cell r="G51" t="str">
            <v xml:space="preserve"> ( 계 : 101,080)</v>
          </cell>
          <cell r="H51">
            <v>0</v>
          </cell>
          <cell r="I51">
            <v>0</v>
          </cell>
          <cell r="J51">
            <v>0</v>
          </cell>
          <cell r="K51">
            <v>0</v>
          </cell>
          <cell r="L51">
            <v>0</v>
          </cell>
          <cell r="M51" t="str">
            <v xml:space="preserve"> 4. 잔여 6대중 1항차 출발 : 96.10.16(BD-5006)</v>
          </cell>
        </row>
        <row r="52">
          <cell r="M52" t="str">
            <v xml:space="preserve"> 5. 잔여 6대중 2항차 출발 : 96.11.21(BD-5005)</v>
          </cell>
        </row>
        <row r="53">
          <cell r="M53" t="str">
            <v xml:space="preserve"> 6. CHECK POINT 미승인 통과로 해상 계류 : 96.11.25</v>
          </cell>
        </row>
        <row r="54">
          <cell r="M54" t="str">
            <v xml:space="preserve"> 7. 반출된 2척 및 잔여 4대, 준설자재 UN 승인 완 : 96.12.12</v>
          </cell>
        </row>
        <row r="58">
          <cell r="A58" t="str">
            <v xml:space="preserve">   IRAQ 計</v>
          </cell>
          <cell r="B58">
            <v>0</v>
          </cell>
          <cell r="C58">
            <v>0</v>
          </cell>
          <cell r="D58">
            <v>0</v>
          </cell>
          <cell r="E58" t="str">
            <v xml:space="preserve"> 旣 成  : </v>
          </cell>
          <cell r="F58">
            <v>6279</v>
          </cell>
          <cell r="G58" t="str">
            <v xml:space="preserve"> P   :</v>
          </cell>
          <cell r="H58">
            <v>4374</v>
          </cell>
          <cell r="I58">
            <v>9539</v>
          </cell>
          <cell r="J58">
            <v>0</v>
          </cell>
          <cell r="K58">
            <v>9539</v>
          </cell>
        </row>
        <row r="59">
          <cell r="A59" t="str">
            <v>(6個 現場)</v>
          </cell>
          <cell r="B59">
            <v>0</v>
          </cell>
          <cell r="C59">
            <v>0</v>
          </cell>
          <cell r="D59">
            <v>0</v>
          </cell>
          <cell r="E59" t="str">
            <v xml:space="preserve"> 留 保  : </v>
          </cell>
          <cell r="F59">
            <v>26798</v>
          </cell>
          <cell r="G59" t="str">
            <v xml:space="preserve"> AP  :  </v>
          </cell>
          <cell r="H59">
            <v>0</v>
          </cell>
        </row>
        <row r="60">
          <cell r="E60" t="str">
            <v xml:space="preserve">   計   :</v>
          </cell>
          <cell r="F60">
            <v>33077</v>
          </cell>
          <cell r="G60" t="str">
            <v xml:space="preserve">  計 :</v>
          </cell>
          <cell r="H60">
            <v>4374</v>
          </cell>
        </row>
      </sheetData>
      <sheetData sheetId="1">
        <row r="1">
          <cell r="A1" t="str">
            <v>完 工 工 事  未 決 現 況</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ow r="1">
          <cell r="A1">
            <v>0</v>
          </cell>
        </row>
      </sheetData>
      <sheetData sheetId="245"/>
      <sheetData sheetId="246"/>
      <sheetData sheetId="247"/>
      <sheetData sheetId="248"/>
      <sheetData sheetId="249"/>
      <sheetData sheetId="250"/>
      <sheetData sheetId="251"/>
      <sheetData sheetId="252"/>
      <sheetData sheetId="253"/>
      <sheetData sheetId="254"/>
      <sheetData sheetId="255"/>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sheetData sheetId="294"/>
      <sheetData sheetId="295">
        <row r="1">
          <cell r="A1">
            <v>0</v>
          </cell>
        </row>
      </sheetData>
      <sheetData sheetId="296"/>
      <sheetData sheetId="297"/>
      <sheetData sheetId="298"/>
      <sheetData sheetId="299">
        <row r="1">
          <cell r="A1">
            <v>0</v>
          </cell>
        </row>
      </sheetData>
      <sheetData sheetId="300"/>
      <sheetData sheetId="301"/>
      <sheetData sheetId="302"/>
      <sheetData sheetId="303"/>
      <sheetData sheetId="304"/>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Set>
  </externalBook>
</externalLink>
</file>

<file path=xl/externalLinks/externalLink1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ates"/>
      <sheetName val="TCC"/>
      <sheetName val="recommandation"/>
      <sheetName val="mode d'emploi"/>
      <sheetName val="INPUT DATA"/>
      <sheetName val="base"/>
      <sheetName val="RIEP"/>
      <sheetName val="MR"/>
      <sheetName val="WE'T"/>
      <sheetName val="세부내역"/>
      <sheetName val="환율"/>
      <sheetName val="Sheet1"/>
      <sheetName val="노임단가"/>
      <sheetName val="96.12"/>
    </sheetNames>
    <sheetDataSet>
      <sheetData sheetId="0">
        <row r="4">
          <cell r="A4">
            <v>1</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1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MR"/>
      <sheetName val="E_Rate"/>
      <sheetName val="WE'T"/>
      <sheetName val="세부내역"/>
      <sheetName val="환율"/>
      <sheetName val="RIEP"/>
      <sheetName val="WIND"/>
      <sheetName val="eq_data"/>
      <sheetName val="경제지표"/>
      <sheetName val="Shipping Cost"/>
      <sheetName val="실행내역"/>
      <sheetName val="TOEC"/>
      <sheetName val="노임단가"/>
    </sheetNames>
    <sheetDataSet>
      <sheetData sheetId="0">
        <row r="3">
          <cell r="S3" t="str">
            <v>B</v>
          </cell>
        </row>
      </sheetData>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1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EACO"/>
      <sheetName val="97년 SEACO예산"/>
    </sheetNames>
    <sheetDataSet>
      <sheetData sheetId="0"/>
      <sheetData sheetId="1">
        <row r="16">
          <cell r="F16">
            <v>88181</v>
          </cell>
          <cell r="I16">
            <v>98048</v>
          </cell>
          <cell r="J16">
            <v>9867</v>
          </cell>
          <cell r="M16">
            <v>77142</v>
          </cell>
          <cell r="N16" t="str">
            <v xml:space="preserve"> </v>
          </cell>
          <cell r="P16">
            <v>5623</v>
          </cell>
          <cell r="S16">
            <v>82765</v>
          </cell>
          <cell r="T16">
            <v>-15283</v>
          </cell>
        </row>
        <row r="17">
          <cell r="D17">
            <v>14</v>
          </cell>
          <cell r="E17">
            <v>2719.7142857142858</v>
          </cell>
          <cell r="F17">
            <v>38076</v>
          </cell>
          <cell r="G17">
            <v>11.75</v>
          </cell>
          <cell r="H17">
            <v>3256.4255319148938</v>
          </cell>
          <cell r="I17">
            <v>38263</v>
          </cell>
          <cell r="J17">
            <v>187</v>
          </cell>
          <cell r="K17">
            <v>11</v>
          </cell>
          <cell r="L17">
            <v>2797.2727272727275</v>
          </cell>
          <cell r="M17">
            <v>30770</v>
          </cell>
          <cell r="N17" t="str">
            <v xml:space="preserve"> </v>
          </cell>
          <cell r="O17">
            <v>21.909090909090537</v>
          </cell>
          <cell r="P17">
            <v>241</v>
          </cell>
          <cell r="Q17">
            <v>11</v>
          </cell>
          <cell r="R17">
            <v>2819.181818181818</v>
          </cell>
          <cell r="S17">
            <v>31011</v>
          </cell>
          <cell r="T17">
            <v>-7252</v>
          </cell>
        </row>
        <row r="18">
          <cell r="D18">
            <v>14</v>
          </cell>
          <cell r="E18">
            <v>1523</v>
          </cell>
          <cell r="F18">
            <v>21322</v>
          </cell>
          <cell r="G18">
            <v>11.75</v>
          </cell>
          <cell r="H18">
            <v>1697.0212765957447</v>
          </cell>
          <cell r="I18">
            <v>19940</v>
          </cell>
          <cell r="J18">
            <v>-1382</v>
          </cell>
          <cell r="K18">
            <v>11</v>
          </cell>
          <cell r="L18">
            <v>1640.909090909091</v>
          </cell>
          <cell r="M18">
            <v>18050</v>
          </cell>
          <cell r="N18" t="str">
            <v xml:space="preserve"> </v>
          </cell>
          <cell r="O18">
            <v>-9.0909090909235601E-2</v>
          </cell>
          <cell r="P18">
            <v>-1</v>
          </cell>
          <cell r="Q18">
            <v>11</v>
          </cell>
          <cell r="R18">
            <v>1640.8181818181818</v>
          </cell>
          <cell r="S18">
            <v>18049</v>
          </cell>
          <cell r="T18">
            <v>-1891</v>
          </cell>
        </row>
        <row r="19">
          <cell r="D19">
            <v>14</v>
          </cell>
          <cell r="E19">
            <v>625.42857142857144</v>
          </cell>
          <cell r="F19">
            <v>8756</v>
          </cell>
          <cell r="G19">
            <v>11.75</v>
          </cell>
          <cell r="H19">
            <v>1715.3191489361702</v>
          </cell>
          <cell r="I19">
            <v>20155</v>
          </cell>
          <cell r="J19">
            <v>11399</v>
          </cell>
          <cell r="K19">
            <v>11</v>
          </cell>
          <cell r="L19">
            <v>1395.909090909091</v>
          </cell>
          <cell r="M19">
            <v>15355</v>
          </cell>
          <cell r="N19" t="str">
            <v xml:space="preserve"> </v>
          </cell>
          <cell r="O19">
            <v>-9.0909090909092356</v>
          </cell>
          <cell r="P19">
            <v>-100</v>
          </cell>
          <cell r="Q19">
            <v>11</v>
          </cell>
          <cell r="R19">
            <v>1386.8181818181818</v>
          </cell>
          <cell r="S19">
            <v>15255</v>
          </cell>
          <cell r="T19">
            <v>-4900</v>
          </cell>
        </row>
        <row r="20">
          <cell r="D20">
            <v>14</v>
          </cell>
          <cell r="E20">
            <v>1430.5</v>
          </cell>
          <cell r="F20">
            <v>20027</v>
          </cell>
          <cell r="G20">
            <v>11.75</v>
          </cell>
          <cell r="H20">
            <v>1675.7446808510638</v>
          </cell>
          <cell r="I20">
            <v>19690</v>
          </cell>
          <cell r="J20">
            <v>-337</v>
          </cell>
          <cell r="K20">
            <v>11</v>
          </cell>
          <cell r="L20">
            <v>1178.8181818181818</v>
          </cell>
          <cell r="M20">
            <v>12967</v>
          </cell>
          <cell r="N20" t="str">
            <v xml:space="preserve"> </v>
          </cell>
          <cell r="O20">
            <v>498.4545454545455</v>
          </cell>
          <cell r="P20">
            <v>5483</v>
          </cell>
          <cell r="Q20">
            <v>11</v>
          </cell>
          <cell r="R20">
            <v>1677.2727272727273</v>
          </cell>
          <cell r="S20">
            <v>18450</v>
          </cell>
          <cell r="T20">
            <v>-1240</v>
          </cell>
        </row>
        <row r="21">
          <cell r="F21">
            <v>37347</v>
          </cell>
          <cell r="I21">
            <v>44684</v>
          </cell>
          <cell r="J21">
            <v>7337</v>
          </cell>
          <cell r="M21">
            <v>48584</v>
          </cell>
          <cell r="P21">
            <v>-2827</v>
          </cell>
          <cell r="S21">
            <v>45757</v>
          </cell>
          <cell r="T21">
            <v>1073</v>
          </cell>
        </row>
        <row r="22">
          <cell r="D22">
            <v>20</v>
          </cell>
          <cell r="E22">
            <v>1186.8499999999999</v>
          </cell>
          <cell r="F22">
            <v>23737</v>
          </cell>
          <cell r="G22">
            <v>20.75</v>
          </cell>
          <cell r="H22">
            <v>1393.8313253012047</v>
          </cell>
          <cell r="I22">
            <v>28922</v>
          </cell>
          <cell r="J22">
            <v>5185</v>
          </cell>
          <cell r="K22">
            <v>22</v>
          </cell>
          <cell r="L22">
            <v>1463.2727272727273</v>
          </cell>
          <cell r="M22">
            <v>32192</v>
          </cell>
          <cell r="N22">
            <v>-1</v>
          </cell>
          <cell r="O22">
            <v>-13.653679653679546</v>
          </cell>
          <cell r="P22">
            <v>-1750</v>
          </cell>
          <cell r="Q22">
            <v>21</v>
          </cell>
          <cell r="R22">
            <v>1449.6190476190477</v>
          </cell>
          <cell r="S22">
            <v>30442</v>
          </cell>
          <cell r="T22">
            <v>1520</v>
          </cell>
        </row>
        <row r="23">
          <cell r="D23">
            <v>20</v>
          </cell>
          <cell r="E23">
            <v>439.15</v>
          </cell>
          <cell r="F23">
            <v>8783</v>
          </cell>
          <cell r="G23">
            <v>20.75</v>
          </cell>
          <cell r="H23">
            <v>536.04819277108436</v>
          </cell>
          <cell r="I23">
            <v>11123</v>
          </cell>
          <cell r="J23">
            <v>2340</v>
          </cell>
          <cell r="K23">
            <v>22</v>
          </cell>
          <cell r="L23">
            <v>438.36363636363637</v>
          </cell>
          <cell r="M23">
            <v>9644</v>
          </cell>
          <cell r="N23">
            <v>-1</v>
          </cell>
          <cell r="O23">
            <v>1.2077922077921812</v>
          </cell>
          <cell r="P23">
            <v>-413</v>
          </cell>
          <cell r="Q23">
            <v>21</v>
          </cell>
          <cell r="R23">
            <v>439.57142857142856</v>
          </cell>
          <cell r="S23">
            <v>9231</v>
          </cell>
          <cell r="T23">
            <v>-1892</v>
          </cell>
        </row>
        <row r="24">
          <cell r="D24">
            <v>20</v>
          </cell>
          <cell r="E24">
            <v>241.35</v>
          </cell>
          <cell r="F24">
            <v>4827</v>
          </cell>
          <cell r="G24">
            <v>20.75</v>
          </cell>
          <cell r="H24">
            <v>223.56626506024097</v>
          </cell>
          <cell r="I24">
            <v>4639</v>
          </cell>
          <cell r="J24">
            <v>-188</v>
          </cell>
          <cell r="K24">
            <v>22</v>
          </cell>
          <cell r="L24">
            <v>306.72727272727275</v>
          </cell>
          <cell r="M24">
            <v>6748</v>
          </cell>
          <cell r="N24">
            <v>-1</v>
          </cell>
          <cell r="O24">
            <v>-17.012987012987026</v>
          </cell>
          <cell r="P24">
            <v>-664</v>
          </cell>
          <cell r="Q24">
            <v>21</v>
          </cell>
          <cell r="R24">
            <v>289.71428571428572</v>
          </cell>
          <cell r="S24">
            <v>6084</v>
          </cell>
          <cell r="T24">
            <v>1445</v>
          </cell>
        </row>
        <row r="25">
          <cell r="F25">
            <v>4975</v>
          </cell>
          <cell r="J25">
            <v>-4975</v>
          </cell>
          <cell r="N25" t="str">
            <v xml:space="preserve"> </v>
          </cell>
          <cell r="O25" t="str">
            <v xml:space="preserve"> </v>
          </cell>
          <cell r="P25" t="str">
            <v xml:space="preserve"> </v>
          </cell>
          <cell r="T25" t="str">
            <v xml:space="preserve"> </v>
          </cell>
        </row>
        <row r="26">
          <cell r="J26" t="str">
            <v xml:space="preserve"> </v>
          </cell>
          <cell r="T26" t="str">
            <v xml:space="preserve"> </v>
          </cell>
        </row>
        <row r="27">
          <cell r="D27">
            <v>3.3</v>
          </cell>
          <cell r="E27">
            <v>1507.5757575757577</v>
          </cell>
          <cell r="F27">
            <v>4975</v>
          </cell>
          <cell r="J27">
            <v>-4975</v>
          </cell>
          <cell r="N27" t="str">
            <v xml:space="preserve"> </v>
          </cell>
          <cell r="O27" t="str">
            <v xml:space="preserve"> </v>
          </cell>
          <cell r="P27" t="str">
            <v xml:space="preserve"> </v>
          </cell>
          <cell r="T27" t="str">
            <v xml:space="preserve"> </v>
          </cell>
        </row>
        <row r="28">
          <cell r="D28">
            <v>13.9</v>
          </cell>
          <cell r="E28">
            <v>571.43884892086328</v>
          </cell>
          <cell r="F28">
            <v>7943</v>
          </cell>
          <cell r="G28">
            <v>11.75</v>
          </cell>
          <cell r="H28">
            <v>1482.2978723404256</v>
          </cell>
          <cell r="I28">
            <v>17417</v>
          </cell>
          <cell r="J28">
            <v>9474</v>
          </cell>
          <cell r="K28">
            <v>11</v>
          </cell>
          <cell r="L28">
            <v>1123.4545454545455</v>
          </cell>
          <cell r="M28">
            <v>12358</v>
          </cell>
          <cell r="N28" t="str">
            <v xml:space="preserve"> </v>
          </cell>
          <cell r="O28">
            <v>-167.36363636363637</v>
          </cell>
          <cell r="P28">
            <v>-1841</v>
          </cell>
          <cell r="Q28">
            <v>11</v>
          </cell>
          <cell r="R28">
            <v>956.09090909090912</v>
          </cell>
          <cell r="S28">
            <v>10517</v>
          </cell>
          <cell r="T28">
            <v>-6900</v>
          </cell>
        </row>
        <row r="29">
          <cell r="F29">
            <v>138446</v>
          </cell>
          <cell r="I29">
            <v>160149</v>
          </cell>
          <cell r="J29">
            <v>21703</v>
          </cell>
          <cell r="M29">
            <v>138084</v>
          </cell>
          <cell r="N29" t="str">
            <v xml:space="preserve"> </v>
          </cell>
          <cell r="O29" t="str">
            <v xml:space="preserve"> </v>
          </cell>
          <cell r="P29">
            <v>955</v>
          </cell>
          <cell r="S29">
            <v>139039</v>
          </cell>
          <cell r="T29">
            <v>-21110</v>
          </cell>
        </row>
        <row r="30">
          <cell r="D30">
            <v>34</v>
          </cell>
          <cell r="E30">
            <v>1015.5588235294117</v>
          </cell>
          <cell r="F30">
            <v>34529</v>
          </cell>
          <cell r="G30">
            <v>32.5</v>
          </cell>
          <cell r="H30">
            <v>1123.2307692307693</v>
          </cell>
          <cell r="I30">
            <v>36505</v>
          </cell>
          <cell r="J30">
            <v>1976</v>
          </cell>
          <cell r="K30">
            <v>30</v>
          </cell>
          <cell r="L30">
            <v>1293.1333333333334</v>
          </cell>
          <cell r="M30">
            <v>38794</v>
          </cell>
          <cell r="N30">
            <v>2</v>
          </cell>
          <cell r="O30">
            <v>-80.820833333333439</v>
          </cell>
          <cell r="Q30">
            <v>32</v>
          </cell>
          <cell r="R30">
            <v>1212.3125</v>
          </cell>
          <cell r="S30">
            <v>38794</v>
          </cell>
          <cell r="T30">
            <v>2289</v>
          </cell>
        </row>
        <row r="31">
          <cell r="F31">
            <v>7094</v>
          </cell>
          <cell r="I31">
            <v>5513</v>
          </cell>
          <cell r="J31">
            <v>-1581</v>
          </cell>
          <cell r="M31">
            <v>3894</v>
          </cell>
          <cell r="N31" t="str">
            <v xml:space="preserve"> </v>
          </cell>
          <cell r="O31" t="str">
            <v xml:space="preserve"> </v>
          </cell>
          <cell r="P31" t="str">
            <v xml:space="preserve"> </v>
          </cell>
          <cell r="S31">
            <v>3894</v>
          </cell>
          <cell r="T31">
            <v>-1619</v>
          </cell>
        </row>
        <row r="32">
          <cell r="J32" t="str">
            <v xml:space="preserve"> </v>
          </cell>
          <cell r="N32" t="str">
            <v xml:space="preserve"> </v>
          </cell>
          <cell r="O32" t="str">
            <v xml:space="preserve"> </v>
          </cell>
          <cell r="T32" t="str">
            <v xml:space="preserve"> </v>
          </cell>
        </row>
        <row r="33">
          <cell r="D33">
            <v>3</v>
          </cell>
          <cell r="E33">
            <v>2364.6666666666665</v>
          </cell>
          <cell r="F33">
            <v>7094</v>
          </cell>
          <cell r="G33">
            <v>11.75</v>
          </cell>
          <cell r="H33">
            <v>469.19148936170211</v>
          </cell>
          <cell r="I33">
            <v>5513</v>
          </cell>
          <cell r="J33">
            <v>-1581</v>
          </cell>
          <cell r="K33">
            <v>10</v>
          </cell>
          <cell r="L33">
            <v>389.4</v>
          </cell>
          <cell r="M33">
            <v>3894</v>
          </cell>
          <cell r="N33">
            <v>-8</v>
          </cell>
          <cell r="O33">
            <v>1557.6</v>
          </cell>
          <cell r="P33" t="str">
            <v xml:space="preserve"> </v>
          </cell>
          <cell r="Q33">
            <v>2</v>
          </cell>
          <cell r="R33">
            <v>1947</v>
          </cell>
          <cell r="S33">
            <v>3894</v>
          </cell>
          <cell r="T33">
            <v>-1619</v>
          </cell>
        </row>
        <row r="34">
          <cell r="J34" t="str">
            <v xml:space="preserve"> </v>
          </cell>
          <cell r="N34" t="str">
            <v xml:space="preserve"> </v>
          </cell>
          <cell r="O34" t="str">
            <v xml:space="preserve"> </v>
          </cell>
          <cell r="P34" t="str">
            <v xml:space="preserve"> </v>
          </cell>
          <cell r="T34" t="str">
            <v xml:space="preserve"> </v>
          </cell>
        </row>
        <row r="35">
          <cell r="D35">
            <v>34</v>
          </cell>
          <cell r="E35">
            <v>34.794117647058826</v>
          </cell>
          <cell r="F35">
            <v>1183</v>
          </cell>
          <cell r="T35" t="str">
            <v xml:space="preserve"> </v>
          </cell>
        </row>
        <row r="36">
          <cell r="J36" t="str">
            <v xml:space="preserve"> </v>
          </cell>
          <cell r="N36" t="str">
            <v xml:space="preserve"> </v>
          </cell>
          <cell r="O36" t="str">
            <v xml:space="preserve"> </v>
          </cell>
          <cell r="P36" t="str">
            <v xml:space="preserve"> </v>
          </cell>
          <cell r="T36" t="str">
            <v xml:space="preserve"> </v>
          </cell>
        </row>
        <row r="37">
          <cell r="D37">
            <v>34</v>
          </cell>
          <cell r="E37">
            <v>8.7058823529411757</v>
          </cell>
          <cell r="F37">
            <v>296</v>
          </cell>
          <cell r="G37">
            <v>32.5</v>
          </cell>
          <cell r="H37">
            <v>22.338461538461537</v>
          </cell>
          <cell r="I37">
            <v>726</v>
          </cell>
          <cell r="K37">
            <v>30</v>
          </cell>
          <cell r="L37">
            <v>14.033333333333333</v>
          </cell>
          <cell r="M37">
            <v>421</v>
          </cell>
          <cell r="N37">
            <v>2</v>
          </cell>
          <cell r="O37">
            <v>-0.87708333333333321</v>
          </cell>
          <cell r="P37" t="str">
            <v xml:space="preserve"> </v>
          </cell>
          <cell r="Q37">
            <v>32</v>
          </cell>
          <cell r="R37">
            <v>13.15625</v>
          </cell>
          <cell r="S37">
            <v>421</v>
          </cell>
        </row>
        <row r="38">
          <cell r="F38">
            <v>43102</v>
          </cell>
          <cell r="I38">
            <v>42744</v>
          </cell>
          <cell r="J38">
            <v>-358</v>
          </cell>
          <cell r="M38">
            <v>43109</v>
          </cell>
          <cell r="N38" t="str">
            <v xml:space="preserve"> </v>
          </cell>
          <cell r="O38" t="str">
            <v xml:space="preserve"> </v>
          </cell>
          <cell r="P38" t="str">
            <v xml:space="preserve"> </v>
          </cell>
          <cell r="S38">
            <v>43109</v>
          </cell>
          <cell r="T38">
            <v>365</v>
          </cell>
        </row>
        <row r="39">
          <cell r="D39">
            <v>1</v>
          </cell>
          <cell r="E39">
            <v>50</v>
          </cell>
          <cell r="F39">
            <v>50</v>
          </cell>
          <cell r="I39">
            <v>153</v>
          </cell>
          <cell r="J39">
            <v>103</v>
          </cell>
          <cell r="N39" t="str">
            <v xml:space="preserve"> </v>
          </cell>
          <cell r="O39" t="str">
            <v xml:space="preserve"> </v>
          </cell>
          <cell r="P39" t="str">
            <v xml:space="preserve"> </v>
          </cell>
          <cell r="T39">
            <v>-153</v>
          </cell>
        </row>
        <row r="40">
          <cell r="D40">
            <v>14</v>
          </cell>
          <cell r="E40">
            <v>140.92857142857142</v>
          </cell>
          <cell r="F40">
            <v>1973</v>
          </cell>
          <cell r="G40">
            <v>11.75</v>
          </cell>
          <cell r="H40">
            <v>55.914893617021278</v>
          </cell>
          <cell r="I40">
            <v>657</v>
          </cell>
          <cell r="J40">
            <v>-1316</v>
          </cell>
          <cell r="K40">
            <v>11</v>
          </cell>
          <cell r="L40">
            <v>70.272727272727266</v>
          </cell>
          <cell r="M40">
            <v>773</v>
          </cell>
          <cell r="N40" t="str">
            <v xml:space="preserve"> </v>
          </cell>
          <cell r="O40">
            <v>-31.54545454545454</v>
          </cell>
          <cell r="P40">
            <v>-347</v>
          </cell>
          <cell r="Q40">
            <v>11</v>
          </cell>
          <cell r="R40">
            <v>38.727272727272727</v>
          </cell>
          <cell r="S40">
            <v>426</v>
          </cell>
          <cell r="T40">
            <v>-231</v>
          </cell>
        </row>
        <row r="41">
          <cell r="D41">
            <v>3</v>
          </cell>
          <cell r="E41">
            <v>43</v>
          </cell>
          <cell r="F41">
            <v>129</v>
          </cell>
          <cell r="I41">
            <v>227</v>
          </cell>
          <cell r="J41">
            <v>98</v>
          </cell>
          <cell r="N41" t="str">
            <v xml:space="preserve"> </v>
          </cell>
          <cell r="O41" t="str">
            <v xml:space="preserve"> </v>
          </cell>
          <cell r="P41" t="str">
            <v xml:space="preserve"> </v>
          </cell>
          <cell r="T41">
            <v>-227</v>
          </cell>
        </row>
        <row r="42">
          <cell r="D42">
            <v>1</v>
          </cell>
          <cell r="E42">
            <v>254</v>
          </cell>
          <cell r="F42">
            <v>254</v>
          </cell>
          <cell r="I42">
            <v>439</v>
          </cell>
          <cell r="J42">
            <v>185</v>
          </cell>
          <cell r="T42">
            <v>-439</v>
          </cell>
        </row>
        <row r="43">
          <cell r="F43">
            <v>2406</v>
          </cell>
          <cell r="I43">
            <v>1476</v>
          </cell>
          <cell r="J43">
            <v>-930</v>
          </cell>
          <cell r="M43">
            <v>773</v>
          </cell>
          <cell r="N43" t="str">
            <v xml:space="preserve"> </v>
          </cell>
          <cell r="O43" t="str">
            <v xml:space="preserve"> </v>
          </cell>
          <cell r="P43">
            <v>-347</v>
          </cell>
          <cell r="S43">
            <v>426</v>
          </cell>
          <cell r="T43">
            <v>-1050</v>
          </cell>
        </row>
        <row r="44">
          <cell r="D44">
            <v>14</v>
          </cell>
          <cell r="E44">
            <v>298.07142857142856</v>
          </cell>
          <cell r="F44">
            <v>4173</v>
          </cell>
          <cell r="G44">
            <v>11.75</v>
          </cell>
          <cell r="H44">
            <v>473.531914893617</v>
          </cell>
          <cell r="I44">
            <v>5564</v>
          </cell>
          <cell r="J44">
            <v>1391</v>
          </cell>
          <cell r="K44">
            <v>11</v>
          </cell>
          <cell r="L44">
            <v>850</v>
          </cell>
          <cell r="M44">
            <v>9350</v>
          </cell>
          <cell r="N44" t="str">
            <v xml:space="preserve"> </v>
          </cell>
          <cell r="O44" t="str">
            <v xml:space="preserve"> </v>
          </cell>
          <cell r="P44" t="str">
            <v xml:space="preserve"> </v>
          </cell>
          <cell r="Q44">
            <v>11</v>
          </cell>
          <cell r="R44">
            <v>850</v>
          </cell>
          <cell r="S44">
            <v>9350</v>
          </cell>
          <cell r="T44">
            <v>3786</v>
          </cell>
        </row>
        <row r="45">
          <cell r="D45">
            <v>34</v>
          </cell>
          <cell r="E45">
            <v>248.94117647058823</v>
          </cell>
          <cell r="F45">
            <v>8464</v>
          </cell>
          <cell r="G45">
            <v>20.75</v>
          </cell>
          <cell r="H45">
            <v>338.89156626506025</v>
          </cell>
          <cell r="I45">
            <v>7032</v>
          </cell>
          <cell r="J45">
            <v>-1432</v>
          </cell>
          <cell r="K45">
            <v>22</v>
          </cell>
          <cell r="L45">
            <v>331.04545454545456</v>
          </cell>
          <cell r="M45">
            <v>7283</v>
          </cell>
          <cell r="N45">
            <v>-1</v>
          </cell>
          <cell r="O45">
            <v>104.7164502164502</v>
          </cell>
          <cell r="P45">
            <v>1868</v>
          </cell>
          <cell r="Q45">
            <v>21</v>
          </cell>
          <cell r="R45">
            <v>435.76190476190476</v>
          </cell>
          <cell r="S45">
            <v>9151</v>
          </cell>
          <cell r="T45">
            <v>2119</v>
          </cell>
        </row>
        <row r="46">
          <cell r="J46" t="str">
            <v xml:space="preserve"> </v>
          </cell>
          <cell r="N46" t="str">
            <v xml:space="preserve"> </v>
          </cell>
          <cell r="O46" t="str">
            <v xml:space="preserve"> </v>
          </cell>
          <cell r="T46" t="str">
            <v xml:space="preserve"> </v>
          </cell>
        </row>
        <row r="47">
          <cell r="F47">
            <v>12637</v>
          </cell>
          <cell r="I47">
            <v>12596</v>
          </cell>
          <cell r="J47">
            <v>-41</v>
          </cell>
          <cell r="M47">
            <v>16633</v>
          </cell>
          <cell r="N47" t="str">
            <v xml:space="preserve"> </v>
          </cell>
          <cell r="O47" t="str">
            <v xml:space="preserve"> </v>
          </cell>
          <cell r="P47">
            <v>1868</v>
          </cell>
          <cell r="S47">
            <v>18501</v>
          </cell>
          <cell r="T47">
            <v>5905</v>
          </cell>
        </row>
        <row r="48">
          <cell r="D48">
            <v>14</v>
          </cell>
          <cell r="E48">
            <v>26</v>
          </cell>
          <cell r="F48">
            <v>364</v>
          </cell>
          <cell r="G48">
            <v>11.75</v>
          </cell>
          <cell r="H48">
            <v>30.297872340425531</v>
          </cell>
          <cell r="I48">
            <v>356</v>
          </cell>
          <cell r="J48">
            <v>-8</v>
          </cell>
          <cell r="K48">
            <v>11</v>
          </cell>
          <cell r="L48">
            <v>23.181818181818183</v>
          </cell>
          <cell r="M48">
            <v>255</v>
          </cell>
          <cell r="N48" t="str">
            <v xml:space="preserve"> </v>
          </cell>
          <cell r="O48" t="str">
            <v xml:space="preserve"> </v>
          </cell>
          <cell r="P48" t="str">
            <v xml:space="preserve"> </v>
          </cell>
          <cell r="Q48">
            <v>11</v>
          </cell>
          <cell r="R48">
            <v>23.181818181818183</v>
          </cell>
          <cell r="S48">
            <v>255</v>
          </cell>
          <cell r="T48">
            <v>-101</v>
          </cell>
        </row>
        <row r="49">
          <cell r="D49">
            <v>14</v>
          </cell>
          <cell r="E49">
            <v>91.642857142857139</v>
          </cell>
          <cell r="F49">
            <v>1283</v>
          </cell>
          <cell r="G49">
            <v>11.75</v>
          </cell>
          <cell r="H49">
            <v>47.319148936170215</v>
          </cell>
          <cell r="I49">
            <v>556</v>
          </cell>
          <cell r="J49">
            <v>-727</v>
          </cell>
          <cell r="K49">
            <v>11</v>
          </cell>
          <cell r="L49">
            <v>77.545454545454547</v>
          </cell>
          <cell r="M49">
            <v>853</v>
          </cell>
          <cell r="N49" t="str">
            <v xml:space="preserve"> </v>
          </cell>
          <cell r="O49">
            <v>-10.63636363636364</v>
          </cell>
          <cell r="P49">
            <v>-117</v>
          </cell>
          <cell r="Q49">
            <v>11</v>
          </cell>
          <cell r="R49">
            <v>66.909090909090907</v>
          </cell>
          <cell r="S49">
            <v>736</v>
          </cell>
          <cell r="T49">
            <v>180</v>
          </cell>
        </row>
        <row r="50">
          <cell r="D50">
            <v>14</v>
          </cell>
          <cell r="E50">
            <v>113.5</v>
          </cell>
          <cell r="F50">
            <v>1589</v>
          </cell>
          <cell r="G50">
            <v>11.75</v>
          </cell>
          <cell r="H50">
            <v>64</v>
          </cell>
          <cell r="I50">
            <v>752</v>
          </cell>
          <cell r="J50">
            <v>-837</v>
          </cell>
          <cell r="K50">
            <v>11</v>
          </cell>
          <cell r="L50">
            <v>124.63636363636364</v>
          </cell>
          <cell r="M50">
            <v>1371</v>
          </cell>
          <cell r="N50" t="str">
            <v xml:space="preserve"> </v>
          </cell>
          <cell r="O50">
            <v>-1.9090909090909065</v>
          </cell>
          <cell r="P50">
            <v>-21</v>
          </cell>
          <cell r="Q50">
            <v>11</v>
          </cell>
          <cell r="R50">
            <v>122.72727272727273</v>
          </cell>
          <cell r="S50">
            <v>1350</v>
          </cell>
          <cell r="T50">
            <v>598</v>
          </cell>
        </row>
        <row r="51">
          <cell r="D51">
            <v>1</v>
          </cell>
          <cell r="E51">
            <v>108</v>
          </cell>
          <cell r="F51">
            <v>108</v>
          </cell>
          <cell r="G51">
            <v>1</v>
          </cell>
          <cell r="H51">
            <v>135</v>
          </cell>
          <cell r="I51">
            <v>135</v>
          </cell>
          <cell r="J51">
            <v>27</v>
          </cell>
          <cell r="K51">
            <v>1</v>
          </cell>
          <cell r="L51">
            <v>118</v>
          </cell>
          <cell r="M51">
            <v>118</v>
          </cell>
          <cell r="N51" t="str">
            <v xml:space="preserve"> </v>
          </cell>
          <cell r="O51" t="str">
            <v xml:space="preserve"> </v>
          </cell>
          <cell r="P51" t="str">
            <v xml:space="preserve"> </v>
          </cell>
          <cell r="Q51">
            <v>1</v>
          </cell>
          <cell r="R51">
            <v>118</v>
          </cell>
          <cell r="S51">
            <v>118</v>
          </cell>
          <cell r="T51">
            <v>-17</v>
          </cell>
        </row>
        <row r="52">
          <cell r="D52">
            <v>1</v>
          </cell>
          <cell r="E52">
            <v>87</v>
          </cell>
          <cell r="F52">
            <v>87</v>
          </cell>
          <cell r="G52">
            <v>11.75</v>
          </cell>
          <cell r="H52">
            <v>11.659574468085106</v>
          </cell>
          <cell r="I52">
            <v>137</v>
          </cell>
          <cell r="J52">
            <v>50</v>
          </cell>
          <cell r="K52">
            <v>11</v>
          </cell>
          <cell r="L52">
            <v>8.0909090909090917</v>
          </cell>
          <cell r="M52">
            <v>89</v>
          </cell>
          <cell r="N52" t="str">
            <v xml:space="preserve"> </v>
          </cell>
          <cell r="O52" t="str">
            <v xml:space="preserve"> </v>
          </cell>
          <cell r="P52" t="str">
            <v xml:space="preserve"> </v>
          </cell>
          <cell r="Q52">
            <v>11</v>
          </cell>
          <cell r="R52">
            <v>8.0909090909090917</v>
          </cell>
          <cell r="S52">
            <v>89</v>
          </cell>
          <cell r="T52">
            <v>-48</v>
          </cell>
        </row>
        <row r="53">
          <cell r="D53">
            <v>1</v>
          </cell>
          <cell r="E53">
            <v>463</v>
          </cell>
          <cell r="F53">
            <v>463</v>
          </cell>
          <cell r="G53">
            <v>11.75</v>
          </cell>
          <cell r="H53">
            <v>11.404255319148936</v>
          </cell>
          <cell r="I53">
            <v>134</v>
          </cell>
          <cell r="J53">
            <v>-329</v>
          </cell>
          <cell r="K53">
            <v>11</v>
          </cell>
          <cell r="L53">
            <v>2.4545454545454546</v>
          </cell>
          <cell r="M53">
            <v>27</v>
          </cell>
          <cell r="N53" t="str">
            <v xml:space="preserve"> </v>
          </cell>
          <cell r="O53">
            <v>33.727272727272727</v>
          </cell>
          <cell r="P53">
            <v>371</v>
          </cell>
          <cell r="Q53">
            <v>11</v>
          </cell>
          <cell r="R53">
            <v>36.18181818181818</v>
          </cell>
          <cell r="S53">
            <v>398</v>
          </cell>
          <cell r="T53">
            <v>264</v>
          </cell>
        </row>
        <row r="54">
          <cell r="F54">
            <v>3894</v>
          </cell>
          <cell r="I54">
            <v>2070</v>
          </cell>
          <cell r="J54">
            <v>-1824</v>
          </cell>
          <cell r="M54">
            <v>2713</v>
          </cell>
          <cell r="N54" t="str">
            <v xml:space="preserve"> </v>
          </cell>
          <cell r="O54" t="str">
            <v xml:space="preserve"> </v>
          </cell>
          <cell r="P54">
            <v>233</v>
          </cell>
          <cell r="S54">
            <v>2946</v>
          </cell>
          <cell r="T54">
            <v>876</v>
          </cell>
        </row>
        <row r="55">
          <cell r="D55">
            <v>1</v>
          </cell>
          <cell r="E55">
            <v>881</v>
          </cell>
          <cell r="F55">
            <v>881</v>
          </cell>
          <cell r="G55">
            <v>1</v>
          </cell>
          <cell r="H55">
            <v>881</v>
          </cell>
          <cell r="I55">
            <v>881</v>
          </cell>
          <cell r="J55" t="str">
            <v xml:space="preserve"> </v>
          </cell>
          <cell r="K55">
            <v>1</v>
          </cell>
          <cell r="L55">
            <v>865</v>
          </cell>
          <cell r="M55">
            <v>865</v>
          </cell>
          <cell r="N55" t="str">
            <v xml:space="preserve"> </v>
          </cell>
          <cell r="Q55">
            <v>1</v>
          </cell>
          <cell r="R55">
            <v>865</v>
          </cell>
          <cell r="S55">
            <v>865</v>
          </cell>
        </row>
        <row r="56">
          <cell r="J56" t="str">
            <v xml:space="preserve"> </v>
          </cell>
          <cell r="N56" t="str">
            <v xml:space="preserve"> </v>
          </cell>
          <cell r="T56" t="str">
            <v xml:space="preserve"> </v>
          </cell>
        </row>
        <row r="57">
          <cell r="F57">
            <v>201366</v>
          </cell>
          <cell r="I57">
            <v>219916</v>
          </cell>
          <cell r="J57">
            <v>18550</v>
          </cell>
          <cell r="M57">
            <v>202177</v>
          </cell>
          <cell r="N57" t="str">
            <v xml:space="preserve"> </v>
          </cell>
          <cell r="O57" t="str">
            <v xml:space="preserve"> </v>
          </cell>
          <cell r="P57">
            <v>2709</v>
          </cell>
          <cell r="S57">
            <v>204886</v>
          </cell>
          <cell r="T57">
            <v>-15030</v>
          </cell>
        </row>
        <row r="59">
          <cell r="T59" t="str">
            <v xml:space="preserve">            (單位 : USD)</v>
          </cell>
        </row>
        <row r="60">
          <cell r="D60" t="str">
            <v>96 年度 豫算</v>
          </cell>
          <cell r="G60" t="str">
            <v>96 年度 實績</v>
          </cell>
          <cell r="K60" t="str">
            <v>97年 要請 豫算</v>
          </cell>
          <cell r="N60" t="str">
            <v>97年 調整 豫算</v>
          </cell>
          <cell r="Q60" t="str">
            <v>97年 調整後 確定豫算</v>
          </cell>
          <cell r="T60" t="str">
            <v>96年實績</v>
          </cell>
        </row>
        <row r="61">
          <cell r="D61" t="str">
            <v xml:space="preserve"> 數量</v>
          </cell>
          <cell r="E61" t="str">
            <v xml:space="preserve"> 單 價</v>
          </cell>
          <cell r="F61" t="str">
            <v>金 額</v>
          </cell>
          <cell r="G61" t="str">
            <v xml:space="preserve"> 數量</v>
          </cell>
          <cell r="H61" t="str">
            <v xml:space="preserve"> 單 價</v>
          </cell>
          <cell r="I61" t="str">
            <v>金 額</v>
          </cell>
          <cell r="J61" t="str">
            <v xml:space="preserve"> 差  異</v>
          </cell>
          <cell r="K61" t="str">
            <v xml:space="preserve"> 數量</v>
          </cell>
          <cell r="L61" t="str">
            <v xml:space="preserve"> 單 價</v>
          </cell>
          <cell r="M61" t="str">
            <v>金 額</v>
          </cell>
          <cell r="N61" t="str">
            <v xml:space="preserve"> 數量</v>
          </cell>
          <cell r="O61" t="str">
            <v xml:space="preserve"> 單 價</v>
          </cell>
          <cell r="P61" t="str">
            <v xml:space="preserve"> 金 額</v>
          </cell>
          <cell r="Q61" t="str">
            <v xml:space="preserve"> 數量</v>
          </cell>
          <cell r="R61" t="str">
            <v xml:space="preserve"> 單 價</v>
          </cell>
          <cell r="S61" t="str">
            <v>金 額</v>
          </cell>
          <cell r="T61" t="str">
            <v>對比增減</v>
          </cell>
        </row>
        <row r="62">
          <cell r="D62">
            <v>14</v>
          </cell>
          <cell r="E62">
            <v>325.28571428571428</v>
          </cell>
          <cell r="F62">
            <v>4554</v>
          </cell>
          <cell r="G62">
            <v>11.75</v>
          </cell>
          <cell r="H62">
            <v>409.02127659574467</v>
          </cell>
          <cell r="I62">
            <v>4806</v>
          </cell>
          <cell r="J62">
            <v>252</v>
          </cell>
          <cell r="K62">
            <v>11</v>
          </cell>
          <cell r="L62">
            <v>499.09090909090907</v>
          </cell>
          <cell r="M62">
            <v>5490</v>
          </cell>
          <cell r="N62" t="str">
            <v xml:space="preserve"> </v>
          </cell>
          <cell r="O62">
            <v>-84.909090909090878</v>
          </cell>
          <cell r="P62">
            <v>-934</v>
          </cell>
          <cell r="Q62">
            <v>11</v>
          </cell>
          <cell r="R62">
            <v>414.18181818181819</v>
          </cell>
          <cell r="S62">
            <v>4556</v>
          </cell>
          <cell r="T62">
            <v>-250</v>
          </cell>
        </row>
        <row r="63">
          <cell r="D63">
            <v>14</v>
          </cell>
          <cell r="E63">
            <v>77.5</v>
          </cell>
          <cell r="F63">
            <v>1085</v>
          </cell>
          <cell r="G63">
            <v>32.5</v>
          </cell>
          <cell r="H63">
            <v>35.353846153846156</v>
          </cell>
          <cell r="I63">
            <v>1149</v>
          </cell>
          <cell r="J63">
            <v>64</v>
          </cell>
          <cell r="K63">
            <v>33</v>
          </cell>
          <cell r="L63">
            <v>37.545454545454547</v>
          </cell>
          <cell r="M63">
            <v>1239</v>
          </cell>
          <cell r="N63">
            <v>-1</v>
          </cell>
          <cell r="O63">
            <v>-4.5454545454546746E-2</v>
          </cell>
          <cell r="P63">
            <v>-39</v>
          </cell>
          <cell r="Q63">
            <v>32</v>
          </cell>
          <cell r="R63">
            <v>37.5</v>
          </cell>
          <cell r="S63">
            <v>1200</v>
          </cell>
          <cell r="T63">
            <v>51</v>
          </cell>
        </row>
        <row r="64">
          <cell r="D64">
            <v>14</v>
          </cell>
          <cell r="E64">
            <v>71.428571428571431</v>
          </cell>
          <cell r="F64">
            <v>1000</v>
          </cell>
          <cell r="G64">
            <v>32.5</v>
          </cell>
          <cell r="H64">
            <v>41.138461538461542</v>
          </cell>
          <cell r="I64">
            <v>1337</v>
          </cell>
          <cell r="J64">
            <v>337</v>
          </cell>
          <cell r="K64">
            <v>33</v>
          </cell>
          <cell r="L64">
            <v>48.484848484848484</v>
          </cell>
          <cell r="M64">
            <v>1600</v>
          </cell>
          <cell r="N64">
            <v>-1</v>
          </cell>
          <cell r="O64">
            <v>-10.984848484848484</v>
          </cell>
          <cell r="P64">
            <v>-400</v>
          </cell>
          <cell r="Q64">
            <v>32</v>
          </cell>
          <cell r="R64">
            <v>37.5</v>
          </cell>
          <cell r="S64">
            <v>1200</v>
          </cell>
          <cell r="T64">
            <v>-137</v>
          </cell>
        </row>
        <row r="65">
          <cell r="D65">
            <v>14</v>
          </cell>
          <cell r="E65">
            <v>58.571428571428569</v>
          </cell>
          <cell r="F65">
            <v>820</v>
          </cell>
          <cell r="G65">
            <v>32.5</v>
          </cell>
          <cell r="H65">
            <v>22.215384615384615</v>
          </cell>
          <cell r="I65">
            <v>722</v>
          </cell>
          <cell r="J65">
            <v>-98</v>
          </cell>
          <cell r="K65">
            <v>33</v>
          </cell>
          <cell r="L65">
            <v>25.272727272727273</v>
          </cell>
          <cell r="M65">
            <v>834</v>
          </cell>
          <cell r="N65">
            <v>-1</v>
          </cell>
          <cell r="O65">
            <v>0.78977272727272663</v>
          </cell>
          <cell r="P65" t="str">
            <v xml:space="preserve"> </v>
          </cell>
          <cell r="Q65">
            <v>32</v>
          </cell>
          <cell r="R65">
            <v>26.0625</v>
          </cell>
          <cell r="S65">
            <v>834</v>
          </cell>
          <cell r="T65">
            <v>112</v>
          </cell>
        </row>
        <row r="66">
          <cell r="D66">
            <v>14</v>
          </cell>
          <cell r="E66">
            <v>71.428571428571431</v>
          </cell>
          <cell r="F66">
            <v>1000</v>
          </cell>
          <cell r="G66">
            <v>32.5</v>
          </cell>
          <cell r="H66">
            <v>35.692307692307693</v>
          </cell>
          <cell r="I66">
            <v>1160</v>
          </cell>
          <cell r="J66">
            <v>160</v>
          </cell>
          <cell r="K66">
            <v>33</v>
          </cell>
          <cell r="L66">
            <v>44.545454545454547</v>
          </cell>
          <cell r="M66">
            <v>1470</v>
          </cell>
          <cell r="N66">
            <v>-1</v>
          </cell>
          <cell r="O66">
            <v>-10.170454545454547</v>
          </cell>
          <cell r="P66">
            <v>-370</v>
          </cell>
          <cell r="Q66">
            <v>32</v>
          </cell>
          <cell r="R66">
            <v>34.375</v>
          </cell>
          <cell r="S66">
            <v>1100</v>
          </cell>
          <cell r="T66">
            <v>-60</v>
          </cell>
        </row>
        <row r="67">
          <cell r="D67">
            <v>14</v>
          </cell>
          <cell r="E67">
            <v>371.35714285714283</v>
          </cell>
          <cell r="F67">
            <v>5199</v>
          </cell>
          <cell r="G67">
            <v>32.5</v>
          </cell>
          <cell r="H67">
            <v>275.32307692307694</v>
          </cell>
          <cell r="I67">
            <v>8948</v>
          </cell>
          <cell r="J67">
            <v>3749</v>
          </cell>
          <cell r="K67">
            <v>33</v>
          </cell>
          <cell r="L67">
            <v>382.72727272727275</v>
          </cell>
          <cell r="M67">
            <v>12630</v>
          </cell>
          <cell r="N67">
            <v>-1</v>
          </cell>
          <cell r="O67">
            <v>1.5852272727272521</v>
          </cell>
          <cell r="P67">
            <v>-332</v>
          </cell>
          <cell r="Q67">
            <v>32</v>
          </cell>
          <cell r="R67">
            <v>384.3125</v>
          </cell>
          <cell r="S67">
            <v>12298</v>
          </cell>
          <cell r="T67">
            <v>3350</v>
          </cell>
        </row>
        <row r="68">
          <cell r="F68">
            <v>13658</v>
          </cell>
          <cell r="I68">
            <v>18122</v>
          </cell>
          <cell r="J68">
            <v>4464</v>
          </cell>
          <cell r="M68">
            <v>23263</v>
          </cell>
          <cell r="N68" t="str">
            <v xml:space="preserve"> </v>
          </cell>
          <cell r="O68" t="str">
            <v xml:space="preserve"> </v>
          </cell>
          <cell r="P68">
            <v>-2075</v>
          </cell>
          <cell r="S68">
            <v>21188</v>
          </cell>
          <cell r="T68">
            <v>3066</v>
          </cell>
        </row>
        <row r="69">
          <cell r="D69">
            <v>34</v>
          </cell>
          <cell r="E69">
            <v>44.117647058823529</v>
          </cell>
          <cell r="F69">
            <v>1500</v>
          </cell>
          <cell r="G69">
            <v>32.5</v>
          </cell>
          <cell r="H69">
            <v>46.030769230769231</v>
          </cell>
          <cell r="I69">
            <v>1496</v>
          </cell>
          <cell r="J69">
            <v>-4</v>
          </cell>
          <cell r="K69">
            <v>33</v>
          </cell>
          <cell r="L69">
            <v>49.090909090909093</v>
          </cell>
          <cell r="M69">
            <v>1620</v>
          </cell>
          <cell r="N69">
            <v>-1</v>
          </cell>
          <cell r="O69">
            <v>-2.2159090909090935</v>
          </cell>
          <cell r="P69">
            <v>-120</v>
          </cell>
          <cell r="Q69">
            <v>32</v>
          </cell>
          <cell r="R69">
            <v>46.875</v>
          </cell>
          <cell r="S69">
            <v>1500</v>
          </cell>
          <cell r="T69">
            <v>4</v>
          </cell>
        </row>
        <row r="70">
          <cell r="D70">
            <v>34</v>
          </cell>
          <cell r="E70">
            <v>44.117647058823529</v>
          </cell>
          <cell r="F70">
            <v>1500</v>
          </cell>
          <cell r="G70">
            <v>32.5</v>
          </cell>
          <cell r="H70">
            <v>33.353846153846156</v>
          </cell>
          <cell r="I70">
            <v>1084</v>
          </cell>
          <cell r="J70">
            <v>-416</v>
          </cell>
          <cell r="K70">
            <v>33</v>
          </cell>
          <cell r="L70">
            <v>87.878787878787875</v>
          </cell>
          <cell r="M70">
            <v>2900</v>
          </cell>
          <cell r="N70">
            <v>-1</v>
          </cell>
          <cell r="O70">
            <v>-53.503787878787875</v>
          </cell>
          <cell r="P70">
            <v>-1800</v>
          </cell>
          <cell r="Q70">
            <v>32</v>
          </cell>
          <cell r="R70">
            <v>34.375</v>
          </cell>
          <cell r="S70">
            <v>1100</v>
          </cell>
          <cell r="T70">
            <v>16</v>
          </cell>
        </row>
        <row r="71">
          <cell r="D71">
            <v>34</v>
          </cell>
          <cell r="E71">
            <v>35.294117647058826</v>
          </cell>
          <cell r="F71">
            <v>1200</v>
          </cell>
          <cell r="G71">
            <v>32.5</v>
          </cell>
          <cell r="H71">
            <v>32.676923076923075</v>
          </cell>
          <cell r="I71">
            <v>1062</v>
          </cell>
          <cell r="J71">
            <v>-138</v>
          </cell>
          <cell r="K71">
            <v>33</v>
          </cell>
          <cell r="L71">
            <v>33.575757575757578</v>
          </cell>
          <cell r="M71">
            <v>1108</v>
          </cell>
          <cell r="N71">
            <v>-1</v>
          </cell>
          <cell r="O71">
            <v>1.0492424242424221</v>
          </cell>
          <cell r="P71" t="str">
            <v xml:space="preserve"> </v>
          </cell>
          <cell r="Q71">
            <v>32</v>
          </cell>
          <cell r="R71">
            <v>34.625</v>
          </cell>
          <cell r="S71">
            <v>1108</v>
          </cell>
          <cell r="T71">
            <v>46</v>
          </cell>
        </row>
        <row r="72">
          <cell r="D72">
            <v>34</v>
          </cell>
          <cell r="E72">
            <v>129.41176470588235</v>
          </cell>
          <cell r="F72">
            <v>4400</v>
          </cell>
          <cell r="G72">
            <v>32.5</v>
          </cell>
          <cell r="H72">
            <v>68.615384615384613</v>
          </cell>
          <cell r="I72">
            <v>2230</v>
          </cell>
          <cell r="J72">
            <v>-2170</v>
          </cell>
          <cell r="K72">
            <v>33</v>
          </cell>
          <cell r="L72">
            <v>121.21212121212122</v>
          </cell>
          <cell r="M72">
            <v>4000</v>
          </cell>
          <cell r="N72">
            <v>-1</v>
          </cell>
          <cell r="O72">
            <v>-43.087121212121218</v>
          </cell>
          <cell r="P72">
            <v>-1500</v>
          </cell>
          <cell r="Q72">
            <v>32</v>
          </cell>
          <cell r="R72">
            <v>78.125</v>
          </cell>
          <cell r="S72">
            <v>2500</v>
          </cell>
          <cell r="T72">
            <v>270</v>
          </cell>
        </row>
        <row r="73">
          <cell r="F73">
            <v>8600</v>
          </cell>
          <cell r="I73">
            <v>5872</v>
          </cell>
          <cell r="J73">
            <v>-2728</v>
          </cell>
          <cell r="M73">
            <v>9628</v>
          </cell>
          <cell r="N73" t="str">
            <v xml:space="preserve"> </v>
          </cell>
          <cell r="O73" t="str">
            <v xml:space="preserve"> </v>
          </cell>
          <cell r="P73">
            <v>-3420</v>
          </cell>
          <cell r="S73">
            <v>6208</v>
          </cell>
          <cell r="T73">
            <v>336</v>
          </cell>
        </row>
        <row r="74">
          <cell r="D74">
            <v>34</v>
          </cell>
          <cell r="E74">
            <v>26.470588235294116</v>
          </cell>
          <cell r="F74">
            <v>900</v>
          </cell>
          <cell r="G74">
            <v>32.5</v>
          </cell>
          <cell r="H74">
            <v>35.04615384615385</v>
          </cell>
          <cell r="I74">
            <v>1139</v>
          </cell>
          <cell r="J74">
            <v>239</v>
          </cell>
          <cell r="K74">
            <v>33</v>
          </cell>
          <cell r="L74">
            <v>53.030303030303031</v>
          </cell>
          <cell r="M74">
            <v>1750</v>
          </cell>
          <cell r="N74">
            <v>-1</v>
          </cell>
          <cell r="O74">
            <v>-6.1553030303030312</v>
          </cell>
          <cell r="P74">
            <v>-250</v>
          </cell>
          <cell r="Q74">
            <v>32</v>
          </cell>
          <cell r="R74">
            <v>46.875</v>
          </cell>
          <cell r="S74">
            <v>1500</v>
          </cell>
          <cell r="T74">
            <v>361</v>
          </cell>
        </row>
        <row r="75">
          <cell r="J75" t="str">
            <v xml:space="preserve"> </v>
          </cell>
          <cell r="N75" t="str">
            <v xml:space="preserve"> </v>
          </cell>
          <cell r="O75" t="str">
            <v xml:space="preserve"> </v>
          </cell>
          <cell r="P75" t="str">
            <v xml:space="preserve"> </v>
          </cell>
          <cell r="T75" t="str">
            <v xml:space="preserve"> </v>
          </cell>
        </row>
        <row r="76">
          <cell r="F76">
            <v>2500</v>
          </cell>
          <cell r="I76">
            <v>3927</v>
          </cell>
          <cell r="J76">
            <v>1427</v>
          </cell>
          <cell r="M76">
            <v>14316</v>
          </cell>
          <cell r="N76" t="str">
            <v xml:space="preserve"> </v>
          </cell>
          <cell r="O76" t="str">
            <v xml:space="preserve"> </v>
          </cell>
          <cell r="P76" t="str">
            <v xml:space="preserve"> </v>
          </cell>
          <cell r="S76">
            <v>14316</v>
          </cell>
          <cell r="T76">
            <v>10389</v>
          </cell>
        </row>
        <row r="77">
          <cell r="D77">
            <v>34</v>
          </cell>
          <cell r="E77">
            <v>11.764705882352942</v>
          </cell>
          <cell r="F77">
            <v>400</v>
          </cell>
          <cell r="G77">
            <v>32.5</v>
          </cell>
          <cell r="H77">
            <v>18.215384615384615</v>
          </cell>
          <cell r="I77">
            <v>592</v>
          </cell>
          <cell r="K77">
            <v>33</v>
          </cell>
          <cell r="L77">
            <v>15.151515151515152</v>
          </cell>
          <cell r="M77">
            <v>500</v>
          </cell>
          <cell r="N77">
            <v>-1</v>
          </cell>
          <cell r="O77">
            <v>0.47348484848484773</v>
          </cell>
          <cell r="P77" t="str">
            <v xml:space="preserve"> </v>
          </cell>
          <cell r="Q77">
            <v>32</v>
          </cell>
          <cell r="R77">
            <v>15.625</v>
          </cell>
          <cell r="S77">
            <v>500</v>
          </cell>
          <cell r="T77">
            <v>-92</v>
          </cell>
        </row>
        <row r="78">
          <cell r="D78">
            <v>34</v>
          </cell>
          <cell r="E78">
            <v>61.764705882352942</v>
          </cell>
          <cell r="F78">
            <v>2100</v>
          </cell>
          <cell r="G78">
            <v>32.5</v>
          </cell>
          <cell r="H78">
            <v>102.61538461538461</v>
          </cell>
          <cell r="I78">
            <v>3335</v>
          </cell>
          <cell r="J78">
            <v>1235</v>
          </cell>
          <cell r="K78">
            <v>33</v>
          </cell>
          <cell r="L78">
            <v>418.66666666666669</v>
          </cell>
          <cell r="M78">
            <v>13816</v>
          </cell>
          <cell r="N78">
            <v>-1</v>
          </cell>
          <cell r="O78">
            <v>13.083333333333314</v>
          </cell>
          <cell r="P78" t="str">
            <v xml:space="preserve"> </v>
          </cell>
          <cell r="Q78">
            <v>32</v>
          </cell>
          <cell r="R78">
            <v>431.75</v>
          </cell>
          <cell r="S78">
            <v>13816</v>
          </cell>
          <cell r="T78">
            <v>10481</v>
          </cell>
        </row>
        <row r="79">
          <cell r="F79">
            <v>3400</v>
          </cell>
          <cell r="I79">
            <v>5066</v>
          </cell>
          <cell r="J79">
            <v>1666</v>
          </cell>
          <cell r="M79">
            <v>16066</v>
          </cell>
          <cell r="N79" t="str">
            <v xml:space="preserve"> </v>
          </cell>
          <cell r="O79" t="str">
            <v xml:space="preserve"> </v>
          </cell>
          <cell r="P79">
            <v>-250</v>
          </cell>
          <cell r="S79">
            <v>15816</v>
          </cell>
          <cell r="T79">
            <v>10750</v>
          </cell>
        </row>
        <row r="80">
          <cell r="D80">
            <v>34</v>
          </cell>
          <cell r="E80">
            <v>14.5</v>
          </cell>
          <cell r="F80">
            <v>493</v>
          </cell>
          <cell r="G80">
            <v>32.5</v>
          </cell>
          <cell r="H80">
            <v>32.4</v>
          </cell>
          <cell r="I80">
            <v>1053</v>
          </cell>
          <cell r="J80">
            <v>560</v>
          </cell>
          <cell r="K80">
            <v>33</v>
          </cell>
          <cell r="L80">
            <v>70.606060606060609</v>
          </cell>
          <cell r="M80">
            <v>2330</v>
          </cell>
          <cell r="N80">
            <v>-33</v>
          </cell>
          <cell r="O80">
            <v>-70.606060606060609</v>
          </cell>
          <cell r="P80">
            <v>-2330</v>
          </cell>
          <cell r="T80">
            <v>-1053</v>
          </cell>
        </row>
        <row r="81">
          <cell r="J81" t="str">
            <v xml:space="preserve"> </v>
          </cell>
          <cell r="N81" t="str">
            <v xml:space="preserve"> </v>
          </cell>
          <cell r="O81" t="str">
            <v xml:space="preserve"> </v>
          </cell>
          <cell r="P81" t="str">
            <v xml:space="preserve"> </v>
          </cell>
          <cell r="T81" t="str">
            <v xml:space="preserve"> </v>
          </cell>
        </row>
        <row r="82">
          <cell r="J82" t="str">
            <v xml:space="preserve"> </v>
          </cell>
          <cell r="T82" t="str">
            <v xml:space="preserve"> </v>
          </cell>
        </row>
        <row r="83">
          <cell r="F83">
            <v>493</v>
          </cell>
          <cell r="I83">
            <v>1053</v>
          </cell>
          <cell r="J83">
            <v>560</v>
          </cell>
          <cell r="M83">
            <v>2330</v>
          </cell>
          <cell r="N83" t="str">
            <v xml:space="preserve"> </v>
          </cell>
          <cell r="O83" t="str">
            <v xml:space="preserve"> </v>
          </cell>
          <cell r="P83">
            <v>-2330</v>
          </cell>
          <cell r="T83">
            <v>-1053</v>
          </cell>
        </row>
        <row r="84">
          <cell r="D84">
            <v>14</v>
          </cell>
          <cell r="E84">
            <v>72.785714285714292</v>
          </cell>
          <cell r="F84">
            <v>1019</v>
          </cell>
          <cell r="G84">
            <v>11.75</v>
          </cell>
          <cell r="H84">
            <v>111.74468085106383</v>
          </cell>
          <cell r="I84">
            <v>1313</v>
          </cell>
          <cell r="J84">
            <v>294</v>
          </cell>
          <cell r="K84">
            <v>11</v>
          </cell>
          <cell r="L84">
            <v>830.4545454545455</v>
          </cell>
          <cell r="M84">
            <v>9135</v>
          </cell>
          <cell r="N84" t="str">
            <v xml:space="preserve"> </v>
          </cell>
          <cell r="O84">
            <v>-466.4545454545455</v>
          </cell>
          <cell r="P84">
            <v>-5131</v>
          </cell>
          <cell r="Q84">
            <v>11</v>
          </cell>
          <cell r="R84">
            <v>364</v>
          </cell>
          <cell r="S84">
            <v>4004</v>
          </cell>
          <cell r="T84">
            <v>2691</v>
          </cell>
        </row>
        <row r="85">
          <cell r="J85" t="str">
            <v xml:space="preserve"> </v>
          </cell>
          <cell r="O85" t="str">
            <v xml:space="preserve"> </v>
          </cell>
          <cell r="T85" t="str">
            <v xml:space="preserve"> </v>
          </cell>
        </row>
        <row r="86">
          <cell r="D86">
            <v>14</v>
          </cell>
          <cell r="E86">
            <v>257.28571428571428</v>
          </cell>
          <cell r="F86">
            <v>3602</v>
          </cell>
          <cell r="G86">
            <v>32.5</v>
          </cell>
          <cell r="H86">
            <v>126.61538461538461</v>
          </cell>
          <cell r="I86">
            <v>4115</v>
          </cell>
          <cell r="J86">
            <v>513</v>
          </cell>
          <cell r="K86">
            <v>33</v>
          </cell>
          <cell r="L86">
            <v>146.30303030303031</v>
          </cell>
          <cell r="M86">
            <v>4828</v>
          </cell>
          <cell r="N86">
            <v>-1</v>
          </cell>
          <cell r="O86">
            <v>-26.365530303030312</v>
          </cell>
          <cell r="P86">
            <v>-990</v>
          </cell>
          <cell r="Q86">
            <v>32</v>
          </cell>
          <cell r="R86">
            <v>119.9375</v>
          </cell>
          <cell r="S86">
            <v>3838</v>
          </cell>
          <cell r="T86">
            <v>-277</v>
          </cell>
        </row>
        <row r="87">
          <cell r="F87">
            <v>4621</v>
          </cell>
          <cell r="I87">
            <v>5428</v>
          </cell>
          <cell r="J87">
            <v>807</v>
          </cell>
          <cell r="M87">
            <v>13963</v>
          </cell>
          <cell r="N87" t="str">
            <v xml:space="preserve"> </v>
          </cell>
          <cell r="O87" t="str">
            <v xml:space="preserve"> </v>
          </cell>
          <cell r="P87">
            <v>-6121</v>
          </cell>
          <cell r="S87">
            <v>7842</v>
          </cell>
          <cell r="T87">
            <v>2414</v>
          </cell>
        </row>
        <row r="88">
          <cell r="D88">
            <v>13</v>
          </cell>
          <cell r="E88">
            <v>230.76923076923077</v>
          </cell>
          <cell r="F88">
            <v>3000</v>
          </cell>
          <cell r="G88">
            <v>11.75</v>
          </cell>
          <cell r="H88">
            <v>202.38297872340425</v>
          </cell>
          <cell r="I88">
            <v>2378</v>
          </cell>
          <cell r="J88">
            <v>-622</v>
          </cell>
          <cell r="K88">
            <v>8</v>
          </cell>
          <cell r="L88">
            <v>377.375</v>
          </cell>
          <cell r="M88">
            <v>3019</v>
          </cell>
          <cell r="N88">
            <v>-1</v>
          </cell>
          <cell r="O88">
            <v>-34.517857142857167</v>
          </cell>
          <cell r="P88">
            <v>-619</v>
          </cell>
          <cell r="Q88">
            <v>7</v>
          </cell>
          <cell r="R88">
            <v>342.85714285714283</v>
          </cell>
          <cell r="S88">
            <v>2400</v>
          </cell>
          <cell r="T88">
            <v>22</v>
          </cell>
        </row>
        <row r="89">
          <cell r="D89">
            <v>1</v>
          </cell>
          <cell r="E89">
            <v>150</v>
          </cell>
          <cell r="F89">
            <v>150</v>
          </cell>
          <cell r="G89">
            <v>1</v>
          </cell>
          <cell r="H89">
            <v>253</v>
          </cell>
          <cell r="I89">
            <v>253</v>
          </cell>
          <cell r="J89">
            <v>103</v>
          </cell>
          <cell r="K89">
            <v>1</v>
          </cell>
          <cell r="L89">
            <v>245</v>
          </cell>
          <cell r="M89">
            <v>245</v>
          </cell>
          <cell r="O89" t="str">
            <v xml:space="preserve"> </v>
          </cell>
          <cell r="P89" t="str">
            <v xml:space="preserve"> </v>
          </cell>
          <cell r="Q89">
            <v>1</v>
          </cell>
          <cell r="R89">
            <v>245</v>
          </cell>
          <cell r="S89">
            <v>245</v>
          </cell>
          <cell r="T89">
            <v>-8</v>
          </cell>
        </row>
        <row r="90">
          <cell r="D90">
            <v>13</v>
          </cell>
          <cell r="E90">
            <v>1305.7692307692307</v>
          </cell>
          <cell r="F90">
            <v>16975</v>
          </cell>
          <cell r="G90">
            <v>6</v>
          </cell>
          <cell r="H90">
            <v>2439</v>
          </cell>
          <cell r="I90">
            <v>14634</v>
          </cell>
          <cell r="K90">
            <v>7</v>
          </cell>
          <cell r="L90">
            <v>1395.5714285714287</v>
          </cell>
          <cell r="M90">
            <v>9769</v>
          </cell>
          <cell r="N90">
            <v>-1</v>
          </cell>
          <cell r="O90">
            <v>20.095238095238074</v>
          </cell>
          <cell r="P90">
            <v>-1275</v>
          </cell>
          <cell r="Q90">
            <v>6</v>
          </cell>
          <cell r="R90">
            <v>1415.6666666666667</v>
          </cell>
          <cell r="S90">
            <v>8494</v>
          </cell>
          <cell r="T90">
            <v>-6140</v>
          </cell>
        </row>
        <row r="91">
          <cell r="D91">
            <v>1</v>
          </cell>
          <cell r="E91">
            <v>261</v>
          </cell>
          <cell r="F91">
            <v>261</v>
          </cell>
          <cell r="G91">
            <v>1</v>
          </cell>
          <cell r="H91">
            <v>511</v>
          </cell>
          <cell r="I91">
            <v>511</v>
          </cell>
          <cell r="J91">
            <v>250</v>
          </cell>
          <cell r="K91">
            <v>1</v>
          </cell>
          <cell r="L91">
            <v>266</v>
          </cell>
          <cell r="M91">
            <v>266</v>
          </cell>
          <cell r="O91" t="str">
            <v xml:space="preserve"> </v>
          </cell>
          <cell r="P91" t="str">
            <v xml:space="preserve"> </v>
          </cell>
          <cell r="Q91">
            <v>1</v>
          </cell>
          <cell r="R91">
            <v>266</v>
          </cell>
          <cell r="S91">
            <v>266</v>
          </cell>
          <cell r="T91">
            <v>-245</v>
          </cell>
        </row>
        <row r="92">
          <cell r="F92">
            <v>20386</v>
          </cell>
          <cell r="I92">
            <v>17776</v>
          </cell>
          <cell r="J92">
            <v>-2610</v>
          </cell>
          <cell r="M92">
            <v>13299</v>
          </cell>
          <cell r="N92" t="str">
            <v xml:space="preserve"> </v>
          </cell>
          <cell r="O92" t="str">
            <v xml:space="preserve"> </v>
          </cell>
          <cell r="P92">
            <v>-1894</v>
          </cell>
          <cell r="S92">
            <v>11405</v>
          </cell>
          <cell r="T92">
            <v>-6371</v>
          </cell>
        </row>
        <row r="93">
          <cell r="D93">
            <v>34</v>
          </cell>
          <cell r="E93">
            <v>8.1764705882352935</v>
          </cell>
          <cell r="F93">
            <v>278</v>
          </cell>
          <cell r="G93">
            <v>32.5</v>
          </cell>
          <cell r="H93">
            <v>16.923076923076923</v>
          </cell>
          <cell r="I93">
            <v>550</v>
          </cell>
          <cell r="J93">
            <v>272</v>
          </cell>
          <cell r="K93">
            <v>33</v>
          </cell>
          <cell r="L93">
            <v>23.606060606060606</v>
          </cell>
          <cell r="M93">
            <v>779</v>
          </cell>
          <cell r="N93">
            <v>-1</v>
          </cell>
          <cell r="O93">
            <v>-7.9810606060606055</v>
          </cell>
          <cell r="P93">
            <v>-279</v>
          </cell>
          <cell r="Q93">
            <v>32</v>
          </cell>
          <cell r="R93">
            <v>15.625</v>
          </cell>
          <cell r="S93">
            <v>500</v>
          </cell>
          <cell r="T93">
            <v>-50</v>
          </cell>
        </row>
        <row r="94">
          <cell r="J94" t="str">
            <v xml:space="preserve"> </v>
          </cell>
          <cell r="N94" t="str">
            <v xml:space="preserve"> </v>
          </cell>
          <cell r="O94" t="str">
            <v xml:space="preserve"> </v>
          </cell>
          <cell r="P94" t="str">
            <v xml:space="preserve"> </v>
          </cell>
          <cell r="T94" t="str">
            <v xml:space="preserve"> </v>
          </cell>
        </row>
        <row r="95">
          <cell r="F95">
            <v>278</v>
          </cell>
          <cell r="I95">
            <v>550</v>
          </cell>
          <cell r="J95">
            <v>272</v>
          </cell>
          <cell r="M95">
            <v>779</v>
          </cell>
          <cell r="N95" t="str">
            <v xml:space="preserve"> </v>
          </cell>
          <cell r="O95" t="str">
            <v xml:space="preserve"> </v>
          </cell>
          <cell r="P95">
            <v>-279</v>
          </cell>
          <cell r="S95">
            <v>500</v>
          </cell>
          <cell r="T95">
            <v>-50</v>
          </cell>
        </row>
        <row r="96">
          <cell r="D96">
            <v>12</v>
          </cell>
          <cell r="E96">
            <v>166.66666666666666</v>
          </cell>
          <cell r="F96">
            <v>2000</v>
          </cell>
          <cell r="G96">
            <v>11.75</v>
          </cell>
          <cell r="H96">
            <v>191.91489361702128</v>
          </cell>
          <cell r="I96">
            <v>2255</v>
          </cell>
          <cell r="J96">
            <v>255</v>
          </cell>
          <cell r="K96">
            <v>11</v>
          </cell>
          <cell r="L96">
            <v>257.45454545454544</v>
          </cell>
          <cell r="M96">
            <v>2832</v>
          </cell>
          <cell r="O96">
            <v>-121.09090909090907</v>
          </cell>
          <cell r="P96">
            <v>-1332</v>
          </cell>
          <cell r="Q96">
            <v>11</v>
          </cell>
          <cell r="R96">
            <v>136.36363636363637</v>
          </cell>
          <cell r="S96">
            <v>1500</v>
          </cell>
          <cell r="T96">
            <v>-755</v>
          </cell>
        </row>
        <row r="97">
          <cell r="D97">
            <v>12</v>
          </cell>
          <cell r="E97">
            <v>83.333333333333329</v>
          </cell>
          <cell r="F97">
            <v>1000</v>
          </cell>
          <cell r="G97">
            <v>11.75</v>
          </cell>
          <cell r="H97">
            <v>170.80851063829786</v>
          </cell>
          <cell r="I97">
            <v>2007</v>
          </cell>
          <cell r="J97">
            <v>1007</v>
          </cell>
          <cell r="K97">
            <v>11</v>
          </cell>
          <cell r="L97">
            <v>509.27272727272725</v>
          </cell>
          <cell r="M97">
            <v>5602</v>
          </cell>
          <cell r="O97">
            <v>-372.90909090909088</v>
          </cell>
          <cell r="P97">
            <v>-4102</v>
          </cell>
          <cell r="Q97">
            <v>11</v>
          </cell>
          <cell r="R97">
            <v>136.36363636363637</v>
          </cell>
          <cell r="S97">
            <v>1500</v>
          </cell>
          <cell r="T97">
            <v>-507</v>
          </cell>
        </row>
        <row r="98">
          <cell r="F98">
            <v>3000</v>
          </cell>
          <cell r="I98">
            <v>4262</v>
          </cell>
          <cell r="J98">
            <v>1262</v>
          </cell>
          <cell r="M98">
            <v>8434</v>
          </cell>
          <cell r="N98" t="str">
            <v xml:space="preserve"> </v>
          </cell>
          <cell r="O98" t="str">
            <v xml:space="preserve"> </v>
          </cell>
          <cell r="P98">
            <v>-5434</v>
          </cell>
          <cell r="S98">
            <v>3000</v>
          </cell>
          <cell r="T98">
            <v>-1262</v>
          </cell>
        </row>
        <row r="99">
          <cell r="D99">
            <v>34</v>
          </cell>
          <cell r="E99">
            <v>101.76470588235294</v>
          </cell>
          <cell r="F99">
            <v>3460</v>
          </cell>
          <cell r="G99">
            <v>32.5</v>
          </cell>
          <cell r="H99">
            <v>170.30769230769232</v>
          </cell>
          <cell r="I99">
            <v>5535</v>
          </cell>
          <cell r="J99">
            <v>2075</v>
          </cell>
          <cell r="K99">
            <v>33</v>
          </cell>
          <cell r="L99">
            <v>186.72727272727272</v>
          </cell>
          <cell r="M99">
            <v>6162</v>
          </cell>
          <cell r="N99">
            <v>-1</v>
          </cell>
          <cell r="O99">
            <v>0.77272727272728048</v>
          </cell>
          <cell r="P99">
            <v>-162</v>
          </cell>
          <cell r="Q99">
            <v>32</v>
          </cell>
          <cell r="R99">
            <v>187.5</v>
          </cell>
          <cell r="S99">
            <v>6000</v>
          </cell>
          <cell r="T99">
            <v>465</v>
          </cell>
        </row>
        <row r="100">
          <cell r="D100">
            <v>34</v>
          </cell>
          <cell r="E100">
            <v>3.8235294117647061</v>
          </cell>
          <cell r="F100">
            <v>130</v>
          </cell>
          <cell r="G100">
            <v>32.5</v>
          </cell>
          <cell r="H100">
            <v>10.092307692307692</v>
          </cell>
          <cell r="I100">
            <v>328</v>
          </cell>
          <cell r="J100">
            <v>198</v>
          </cell>
          <cell r="K100">
            <v>33</v>
          </cell>
          <cell r="L100">
            <v>9.4848484848484844</v>
          </cell>
          <cell r="M100">
            <v>313</v>
          </cell>
          <cell r="N100">
            <v>-1</v>
          </cell>
          <cell r="O100">
            <v>0.29640151515151558</v>
          </cell>
          <cell r="P100" t="str">
            <v xml:space="preserve"> </v>
          </cell>
          <cell r="Q100">
            <v>32</v>
          </cell>
          <cell r="R100">
            <v>9.78125</v>
          </cell>
          <cell r="S100">
            <v>313</v>
          </cell>
          <cell r="T100">
            <v>-15</v>
          </cell>
        </row>
        <row r="101">
          <cell r="D101">
            <v>34</v>
          </cell>
          <cell r="E101">
            <v>1.4705882352941178</v>
          </cell>
          <cell r="F101">
            <v>50</v>
          </cell>
          <cell r="G101">
            <v>32.5</v>
          </cell>
          <cell r="H101">
            <v>1.2307692307692308</v>
          </cell>
          <cell r="I101">
            <v>40</v>
          </cell>
          <cell r="J101">
            <v>-10</v>
          </cell>
          <cell r="K101">
            <v>33</v>
          </cell>
          <cell r="L101">
            <v>4.3030303030303028</v>
          </cell>
          <cell r="M101">
            <v>142</v>
          </cell>
          <cell r="N101">
            <v>-1</v>
          </cell>
          <cell r="O101">
            <v>-2.7405303030303028</v>
          </cell>
          <cell r="P101">
            <v>-92</v>
          </cell>
          <cell r="Q101">
            <v>32</v>
          </cell>
          <cell r="R101">
            <v>1.5625</v>
          </cell>
          <cell r="S101">
            <v>50</v>
          </cell>
          <cell r="T101">
            <v>10</v>
          </cell>
        </row>
        <row r="102">
          <cell r="D102">
            <v>34</v>
          </cell>
          <cell r="E102">
            <v>1.4705882352941178</v>
          </cell>
          <cell r="F102">
            <v>50</v>
          </cell>
          <cell r="G102">
            <v>32.5</v>
          </cell>
          <cell r="H102">
            <v>2.0923076923076924</v>
          </cell>
          <cell r="I102">
            <v>68</v>
          </cell>
          <cell r="J102">
            <v>18</v>
          </cell>
          <cell r="K102">
            <v>33</v>
          </cell>
          <cell r="L102">
            <v>5.1515151515151514</v>
          </cell>
          <cell r="M102">
            <v>170</v>
          </cell>
          <cell r="N102">
            <v>-1</v>
          </cell>
          <cell r="O102">
            <v>-2.0265151515151514</v>
          </cell>
          <cell r="P102">
            <v>-70</v>
          </cell>
          <cell r="Q102">
            <v>32</v>
          </cell>
          <cell r="R102">
            <v>3.125</v>
          </cell>
          <cell r="S102">
            <v>100</v>
          </cell>
          <cell r="T102">
            <v>32</v>
          </cell>
        </row>
        <row r="103">
          <cell r="D103">
            <v>34</v>
          </cell>
          <cell r="E103">
            <v>11.764705882352942</v>
          </cell>
          <cell r="F103">
            <v>400</v>
          </cell>
          <cell r="G103">
            <v>32.5</v>
          </cell>
          <cell r="H103">
            <v>22.061538461538461</v>
          </cell>
          <cell r="I103">
            <v>717</v>
          </cell>
          <cell r="J103">
            <v>317</v>
          </cell>
          <cell r="K103">
            <v>33</v>
          </cell>
          <cell r="L103">
            <v>27.272727272727273</v>
          </cell>
          <cell r="M103">
            <v>900</v>
          </cell>
          <cell r="N103">
            <v>-1</v>
          </cell>
          <cell r="O103">
            <v>-2.2727272727272734</v>
          </cell>
          <cell r="P103">
            <v>-100</v>
          </cell>
          <cell r="Q103">
            <v>32</v>
          </cell>
          <cell r="R103">
            <v>25</v>
          </cell>
          <cell r="S103">
            <v>800</v>
          </cell>
          <cell r="T103">
            <v>83</v>
          </cell>
        </row>
        <row r="104">
          <cell r="D104">
            <v>34</v>
          </cell>
          <cell r="E104">
            <v>30.676470588235293</v>
          </cell>
          <cell r="F104">
            <v>1043</v>
          </cell>
          <cell r="G104">
            <v>32.5</v>
          </cell>
          <cell r="H104">
            <v>44.307692307692307</v>
          </cell>
          <cell r="I104">
            <v>1440</v>
          </cell>
          <cell r="K104">
            <v>33</v>
          </cell>
          <cell r="L104">
            <v>32.18181818181818</v>
          </cell>
          <cell r="M104">
            <v>1062</v>
          </cell>
          <cell r="N104">
            <v>-1</v>
          </cell>
          <cell r="O104">
            <v>1.0056818181818201</v>
          </cell>
          <cell r="P104" t="str">
            <v xml:space="preserve"> </v>
          </cell>
          <cell r="Q104">
            <v>32</v>
          </cell>
          <cell r="R104">
            <v>33.1875</v>
          </cell>
          <cell r="S104">
            <v>1062</v>
          </cell>
          <cell r="T104">
            <v>-378</v>
          </cell>
        </row>
        <row r="105">
          <cell r="D105">
            <v>34</v>
          </cell>
          <cell r="E105">
            <v>44.117647058823529</v>
          </cell>
          <cell r="F105">
            <v>1500</v>
          </cell>
          <cell r="G105">
            <v>32.5</v>
          </cell>
          <cell r="H105">
            <v>71.753846153846155</v>
          </cell>
          <cell r="I105">
            <v>2332</v>
          </cell>
          <cell r="J105">
            <v>832</v>
          </cell>
          <cell r="K105">
            <v>33</v>
          </cell>
          <cell r="L105">
            <v>124.75757575757575</v>
          </cell>
          <cell r="M105">
            <v>4117</v>
          </cell>
          <cell r="N105">
            <v>-1</v>
          </cell>
          <cell r="O105">
            <v>-46.632575757575751</v>
          </cell>
          <cell r="P105">
            <v>-1617</v>
          </cell>
          <cell r="Q105">
            <v>32</v>
          </cell>
          <cell r="R105">
            <v>78.125</v>
          </cell>
          <cell r="S105">
            <v>2500</v>
          </cell>
          <cell r="T105">
            <v>168</v>
          </cell>
        </row>
        <row r="106">
          <cell r="F106">
            <v>6633</v>
          </cell>
          <cell r="I106">
            <v>10460</v>
          </cell>
          <cell r="J106">
            <v>3827</v>
          </cell>
          <cell r="M106">
            <v>12866</v>
          </cell>
          <cell r="N106" t="str">
            <v xml:space="preserve"> </v>
          </cell>
          <cell r="O106" t="str">
            <v xml:space="preserve"> </v>
          </cell>
          <cell r="P106">
            <v>-2041</v>
          </cell>
          <cell r="S106">
            <v>10825</v>
          </cell>
          <cell r="T106">
            <v>365</v>
          </cell>
        </row>
        <row r="107">
          <cell r="F107">
            <v>61069</v>
          </cell>
          <cell r="I107">
            <v>68589</v>
          </cell>
          <cell r="J107">
            <v>7520</v>
          </cell>
          <cell r="M107">
            <v>100628</v>
          </cell>
          <cell r="N107" t="str">
            <v xml:space="preserve"> </v>
          </cell>
          <cell r="O107" t="str">
            <v xml:space="preserve"> </v>
          </cell>
          <cell r="P107">
            <v>-23844</v>
          </cell>
          <cell r="S107">
            <v>76784</v>
          </cell>
          <cell r="T107">
            <v>8195</v>
          </cell>
        </row>
        <row r="108">
          <cell r="F108">
            <v>262435</v>
          </cell>
          <cell r="I108">
            <v>288505</v>
          </cell>
          <cell r="J108">
            <v>26070</v>
          </cell>
          <cell r="M108">
            <v>302805</v>
          </cell>
          <cell r="N108" t="str">
            <v xml:space="preserve"> </v>
          </cell>
          <cell r="P108">
            <v>-21135</v>
          </cell>
          <cell r="S108">
            <v>281670</v>
          </cell>
          <cell r="T108">
            <v>-6835</v>
          </cell>
        </row>
        <row r="109">
          <cell r="D109">
            <v>34</v>
          </cell>
          <cell r="E109">
            <v>227.01989619377161</v>
          </cell>
          <cell r="F109">
            <v>7718.6764705882351</v>
          </cell>
          <cell r="G109">
            <v>32.5</v>
          </cell>
          <cell r="H109">
            <v>273.14082840236688</v>
          </cell>
          <cell r="I109">
            <v>8877.0769230769238</v>
          </cell>
          <cell r="K109">
            <v>30</v>
          </cell>
          <cell r="L109">
            <v>336.45</v>
          </cell>
          <cell r="M109">
            <v>10093.5</v>
          </cell>
          <cell r="N109">
            <v>2</v>
          </cell>
          <cell r="O109">
            <v>-61.381640624999989</v>
          </cell>
          <cell r="P109">
            <v>-1291.3125</v>
          </cell>
          <cell r="Q109">
            <v>32</v>
          </cell>
          <cell r="R109">
            <v>275.068359375</v>
          </cell>
          <cell r="S109">
            <v>8802.1875</v>
          </cell>
          <cell r="T109">
            <v>-74.889423076923777</v>
          </cell>
        </row>
        <row r="110">
          <cell r="F110">
            <v>3149220</v>
          </cell>
          <cell r="I110">
            <v>3462060</v>
          </cell>
          <cell r="J110">
            <v>312840</v>
          </cell>
          <cell r="M110">
            <v>3633660</v>
          </cell>
          <cell r="N110" t="str">
            <v xml:space="preserve"> </v>
          </cell>
          <cell r="O110" t="str">
            <v xml:space="preserve"> </v>
          </cell>
          <cell r="P110">
            <v>-253620</v>
          </cell>
          <cell r="S110">
            <v>3380040</v>
          </cell>
          <cell r="T110">
            <v>-82020</v>
          </cell>
        </row>
      </sheetData>
    </sheetDataSet>
  </externalBook>
</externalLink>
</file>

<file path=xl/externalLinks/externalLink1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공문"/>
      <sheetName val="STAND98"/>
      <sheetName val="월별예산"/>
      <sheetName val="예산내역"/>
      <sheetName val="지점예산"/>
      <sheetName val="예산실행분석"/>
      <sheetName val="한국직원수급"/>
      <sheetName val="현지인수급"/>
      <sheetName val="간접직원수급"/>
      <sheetName val="한국직원현황"/>
      <sheetName val="현지인현황"/>
      <sheetName val="간접직원현황"/>
      <sheetName val="사무임차현황"/>
      <sheetName val="차량현황"/>
      <sheetName val="비품임차현황"/>
      <sheetName val="그룹사현황"/>
      <sheetName val="KOR"/>
      <sheetName val="LOC"/>
      <sheetName val="B.Q. breakdown (0723_2) (USD)"/>
      <sheetName val="예산서"/>
      <sheetName val="Sheet1"/>
      <sheetName val="환율"/>
      <sheetName val="97년 SEACO예산"/>
      <sheetName val="간접인원 급료산출"/>
      <sheetName val="OFFER RATE"/>
    </sheetNames>
    <sheetDataSet>
      <sheetData sheetId="0"/>
      <sheetData sheetId="1" refreshError="1">
        <row r="1">
          <cell r="A1" t="str">
            <v>GUIDELINES ON MAKING-UP OF '98 BUDGET</v>
          </cell>
          <cell r="G1" t="str">
            <v>/PPRAA~AG</v>
          </cell>
        </row>
        <row r="3">
          <cell r="G3" t="str">
            <v>RBB~AG</v>
          </cell>
        </row>
        <row r="4">
          <cell r="A4" t="str">
            <v xml:space="preserve"> A. FIXED EXPENSE</v>
          </cell>
          <cell r="G4" t="str">
            <v>RCC~AG</v>
          </cell>
        </row>
        <row r="5">
          <cell r="G5" t="str">
            <v>RDD~AG</v>
          </cell>
        </row>
        <row r="6">
          <cell r="A6" t="str">
            <v>I T E M</v>
          </cell>
          <cell r="B6" t="str">
            <v>S U B  -  I T E M</v>
          </cell>
          <cell r="C6" t="str">
            <v xml:space="preserve">              G U I D E L I N E S      I N        D E T A I L S</v>
          </cell>
          <cell r="F6" t="str">
            <v>R E M A R K S</v>
          </cell>
          <cell r="G6" t="str">
            <v>REE~AG</v>
          </cell>
        </row>
        <row r="8">
          <cell r="A8" t="str">
            <v xml:space="preserve"> 1. SALARY &amp;</v>
          </cell>
          <cell r="B8" t="str">
            <v xml:space="preserve"> 1. KOREAN STAFF SALARY</v>
          </cell>
          <cell r="C8" t="str">
            <v xml:space="preserve"> - DRAFTED BY PERSON ACCORDING TO MONTHLY DEMAND-SUPPLY SCH.</v>
          </cell>
        </row>
        <row r="9">
          <cell r="A9" t="str">
            <v xml:space="preserve">    WAGE</v>
          </cell>
          <cell r="B9" t="str">
            <v xml:space="preserve">  1) SALARY</v>
          </cell>
          <cell r="C9" t="str">
            <v xml:space="preserve"> - JAN-FEB H/O-PAID SALARY (BASIC SALARY + ALLOWANCE FOR THE POST ATTACHED +</v>
          </cell>
        </row>
        <row r="10">
          <cell r="C10" t="str">
            <v xml:space="preserve">   OVERTIME PAY + LONG-SERVICE ALLOWANCE + ANNUAL ALLOWANCE + OTHER ALLOWANCE)</v>
          </cell>
        </row>
        <row r="11">
          <cell r="C11" t="str">
            <v xml:space="preserve">   FOLLOW CURRENT SALARY &amp; AFTER MARCH REFLECTS A 5% INCREASE.</v>
          </cell>
        </row>
        <row r="12">
          <cell r="B12" t="str">
            <v xml:space="preserve">  2) H/O PAID OVERSEAS</v>
          </cell>
          <cell r="C12" t="str">
            <v xml:space="preserve"> - H/O-PAID OVERSEAS ALLOWANCE BY GRADE BASED ON </v>
          </cell>
        </row>
        <row r="13">
          <cell r="B13" t="str">
            <v xml:space="preserve">     ALLOWANCE</v>
          </cell>
          <cell r="C13" t="str">
            <v xml:space="preserve">   OVERSEAS ALLOWANCE PAYMENT REGULATIONS.</v>
          </cell>
        </row>
        <row r="14">
          <cell r="B14" t="str">
            <v xml:space="preserve">  3) LOCAL-PAID ALLOWANCE</v>
          </cell>
          <cell r="C14" t="str">
            <v xml:space="preserve"> ① LOCAL-PAID OVERSEAS ALLOWANCE BY GRADE, CASHIER ALLOWANCE BASED ON</v>
          </cell>
        </row>
        <row r="15">
          <cell r="C15" t="str">
            <v xml:space="preserve">    OVERSEAS ALLOWANCE PAYMENT REGULATIONS.</v>
          </cell>
        </row>
        <row r="16">
          <cell r="C16" t="str">
            <v xml:space="preserve"> ② PURCHASING BRANCH : LOCAL-PAID ALLOWANCE &amp; HOUSING ALLOWANCE INC.</v>
          </cell>
        </row>
        <row r="17">
          <cell r="C17" t="str">
            <v xml:space="preserve">                        FOOD STUFFS, TAXES.</v>
          </cell>
        </row>
        <row r="18">
          <cell r="C18" t="str">
            <v xml:space="preserve"> ③ EXTENSION-SERVICE ALLOWANCE FOR EXTENTION-SERVICE STAFF.</v>
          </cell>
        </row>
        <row r="19">
          <cell r="C19" t="str">
            <v xml:space="preserve"> ④ HOUSING ALLOWANCE &amp; SINGLE POST ALLOWANCE</v>
          </cell>
        </row>
        <row r="20">
          <cell r="C20" t="str">
            <v xml:space="preserve"> ⑤ SINGLE POSTED ALLOWANCE</v>
          </cell>
        </row>
        <row r="21">
          <cell r="B21" t="str">
            <v xml:space="preserve">  4) BONUS</v>
          </cell>
          <cell r="C21" t="str">
            <v xml:space="preserve"> - (BASIC SALARY + POST ALLOWANCE(WELFARE) + O/T + EXTENSION + </v>
          </cell>
        </row>
        <row r="22">
          <cell r="C22" t="str">
            <v xml:space="preserve">   SELF DEVELOPMENT ALLOWANCE) X 800%</v>
          </cell>
        </row>
        <row r="23">
          <cell r="B23" t="str">
            <v xml:space="preserve"> 2. LOCAL STAFF SALARY</v>
          </cell>
          <cell r="C23" t="str">
            <v xml:space="preserve"> - DRAFTED BY PERSON ACCORDING TO MONTHLY DEMAND-SUPPLY SCH.</v>
          </cell>
          <cell r="F23" t="str">
            <v xml:space="preserve"> - TO ATTACH ONE COPY OF EMPLOYMENT </v>
          </cell>
        </row>
        <row r="24">
          <cell r="B24" t="str">
            <v xml:space="preserve">  1) SALARY</v>
          </cell>
          <cell r="C24" t="str">
            <v xml:space="preserve"> - APPROPRIATE TOTAL MONTHLY-FIXED SALARY ON CONTRACT</v>
          </cell>
          <cell r="F24" t="str">
            <v xml:space="preserve">   CONTRACT AGREEMENT FOR LOCAL STAFF.</v>
          </cell>
        </row>
        <row r="25">
          <cell r="C25" t="str">
            <v xml:space="preserve"> - APPLY SALARY INCREASE IN ACCORADANCE WITH CONTRACT</v>
          </cell>
        </row>
        <row r="26">
          <cell r="B26" t="str">
            <v xml:space="preserve">  2) OVERTIME PAY</v>
          </cell>
          <cell r="C26" t="str">
            <v xml:space="preserve"> - SPECIFY OVERTIME WORK DETAILS, TIME &amp; PAYMENT STANDARDS</v>
          </cell>
        </row>
        <row r="27">
          <cell r="B27" t="str">
            <v xml:space="preserve">  3) BONUS</v>
          </cell>
          <cell r="C27" t="str">
            <v xml:space="preserve"> - CALCULATE BY PAYMENT TERMS SPECIFIED ON CONTRACT</v>
          </cell>
        </row>
        <row r="28">
          <cell r="C28" t="str">
            <v xml:space="preserve">   (PAYMENT TIME &amp; AMOUNT SPECIFIED)</v>
          </cell>
        </row>
        <row r="29">
          <cell r="B29" t="str">
            <v xml:space="preserve"> 3. INDIRECT LABOUR'S WAGE</v>
          </cell>
          <cell r="C29" t="str">
            <v xml:space="preserve"> - DRAFTED BY PERSON ACCORDING TO MONTHLY DEMAND-SUPPLY SCH.</v>
          </cell>
        </row>
        <row r="30">
          <cell r="B30" t="str">
            <v xml:space="preserve">  1) KOREAN</v>
          </cell>
          <cell r="C30" t="str">
            <v xml:space="preserve"> - APPROPRIATE KOREAN LABOUR'S TOTAL WAGE</v>
          </cell>
        </row>
        <row r="31">
          <cell r="B31" t="str">
            <v xml:space="preserve">  2) FOREIGNER</v>
          </cell>
          <cell r="C31" t="str">
            <v xml:space="preserve"> - APPROPRIATE LOCAL &amp; FOREIGN LABOUR'S TOTAL WAGE</v>
          </cell>
        </row>
        <row r="33">
          <cell r="B33" t="str">
            <v xml:space="preserve"> 4. RETIREMENT GRANTS</v>
          </cell>
          <cell r="C33" t="str">
            <v xml:space="preserve"> ① KOREAN STAFF RETIREMENT GRANTS : APPROPRIATE 20% OF TOTAL AMOUNTS FOR </v>
          </cell>
          <cell r="F33" t="str">
            <v xml:space="preserve"> - EXCEPT LOCAL ALLOWANCE</v>
          </cell>
        </row>
        <row r="34">
          <cell r="D34" t="str">
            <v xml:space="preserve">     SALARY, ALLOWANCE(H/O-PAID) AND BONUS.</v>
          </cell>
        </row>
        <row r="35">
          <cell r="C35" t="str">
            <v xml:space="preserve"> ② LOCAL STAFF RETIREMENT GRANTS  : APPROPRIATE AMOUNT OF RELEVANT YEAR</v>
          </cell>
          <cell r="F35" t="str">
            <v xml:space="preserve"> - SPECIFY CALCULATION DETAILS.</v>
          </cell>
        </row>
        <row r="36">
          <cell r="D36" t="str">
            <v xml:space="preserve">     ACCORDING TO LOCAL LAW.</v>
          </cell>
        </row>
        <row r="37">
          <cell r="C37" t="str">
            <v xml:space="preserve"> ③ KOREAN INDIRECT LABOURS' RETIREMENT GRANTS : APPROPRIATE 1/12 OF EACH </v>
          </cell>
          <cell r="F37" t="str">
            <v xml:space="preserve"> -              〃</v>
          </cell>
        </row>
        <row r="38">
          <cell r="D38" t="str">
            <v xml:space="preserve">                 ACTUAL (MONTH) WAGE</v>
          </cell>
        </row>
        <row r="39">
          <cell r="C39" t="str">
            <v xml:space="preserve"> ④ FOREIGN INDIRECT LABOURS' RETIREMENT GRANTS : APPROPRIATE AMOUNT OF</v>
          </cell>
          <cell r="F39" t="str">
            <v xml:space="preserve"> -              〃</v>
          </cell>
        </row>
        <row r="40">
          <cell r="D40" t="str">
            <v xml:space="preserve">         RELEVANT YEAR ACCORDING TO LOCAL LAW.</v>
          </cell>
        </row>
        <row r="42">
          <cell r="A42" t="str">
            <v xml:space="preserve"> 2. RENTAL CHARGE</v>
          </cell>
          <cell r="B42" t="str">
            <v xml:space="preserve"> 1. OFFICE RENTAL CHARGE</v>
          </cell>
          <cell r="C42" t="str">
            <v xml:space="preserve"> ① REFLECT YEARLY RENTAL CHARGE (SPECIFY SIZE, RENTAL CHARGE, RENTAL PERIOD,</v>
          </cell>
          <cell r="F42" t="str">
            <v xml:space="preserve"> - TO ATTACH ONE COPY OF LEASE CONTRACT </v>
          </cell>
        </row>
        <row r="43">
          <cell r="C43" t="str">
            <v xml:space="preserve">    DEPOSITS, PAYMENT TERMS ETC.)</v>
          </cell>
          <cell r="F43" t="str">
            <v xml:space="preserve">   AGREEMENT</v>
          </cell>
        </row>
        <row r="44">
          <cell r="C44" t="str">
            <v xml:space="preserve"> ② ON JOINT USE WITH GROUP CO. SPECIFY ALLOTED DETAILS &amp; STANDARD AND</v>
          </cell>
        </row>
        <row r="45">
          <cell r="C45" t="str">
            <v xml:space="preserve">    APPROPRIATE AMOUNT OF OUR CO.(HDEC) ONLY.</v>
          </cell>
        </row>
        <row r="46">
          <cell r="C46" t="str">
            <v xml:space="preserve"> ③ ADMISTRATIVE EXPENSE OCCURED FLUCTUATELY EVERY MONTH BESIDES RENTAL CHARGE </v>
          </cell>
        </row>
        <row r="47">
          <cell r="C47" t="str">
            <v xml:space="preserve">    (ELECTRICITY, WATER RATE, CLEANING EXPENSE, OTHER ADMISTRATIVE EXPENSE)  </v>
          </cell>
        </row>
        <row r="48">
          <cell r="C48" t="str">
            <v xml:space="preserve">    SHOULD BE REFLECTED IN WATER &amp; ELEC.(ITEM NO : B-7)  OR  QUARTER </v>
          </cell>
        </row>
        <row r="49">
          <cell r="C49" t="str">
            <v xml:space="preserve">   MAINTENANCE EXP. (ITEM NO : B-1-2)</v>
          </cell>
        </row>
        <row r="53">
          <cell r="A53" t="str">
            <v>I T E M</v>
          </cell>
          <cell r="B53" t="str">
            <v>S U B  -  I T E M</v>
          </cell>
          <cell r="C53" t="str">
            <v xml:space="preserve">              G U I D E L I N E S      I N        D E T A I L S</v>
          </cell>
          <cell r="F53" t="str">
            <v>R E M A R K S</v>
          </cell>
        </row>
        <row r="55">
          <cell r="B55" t="str">
            <v xml:space="preserve"> 2. QUARTER RENTAL CHARGE</v>
          </cell>
          <cell r="C55" t="str">
            <v xml:space="preserve"> ① COMPANION QUARTER : APPROPRIATE YEARLY RENTAL CHARGE (SPECIFY AREA, RENTAL </v>
          </cell>
          <cell r="F55" t="str">
            <v xml:space="preserve"> - TO ATTACH ONE COPY OF LEASE CONTRACT </v>
          </cell>
        </row>
        <row r="56">
          <cell r="C56" t="str">
            <v xml:space="preserve">                        CHARGE, RENTAL PERIOD, DEPOSITS, PAYMENT TERMS ETC.)</v>
          </cell>
          <cell r="F56" t="str">
            <v xml:space="preserve">   AGREEMENT</v>
          </cell>
        </row>
        <row r="57">
          <cell r="C57" t="str">
            <v xml:space="preserve"> ② SINGLE    QUARTER : (SPECIFY AREA, RENTAL CHARGE, RENTAL PERIOD, DEPOSITS,</v>
          </cell>
        </row>
        <row r="58">
          <cell r="C58" t="str">
            <v xml:space="preserve">                        PAYMENT TERMS ETC.)</v>
          </cell>
        </row>
        <row r="60">
          <cell r="B60" t="str">
            <v xml:space="preserve"> 3. COMMUNICATION </v>
          </cell>
          <cell r="C60" t="str">
            <v xml:space="preserve"> - COMMUNICATION EQUIPMENTS (TLX M/C, TELEPHONE EXCHANGE) RENTAL CHARGE</v>
          </cell>
          <cell r="F60" t="str">
            <v xml:space="preserve"> - TO ATTACH ONE COPY OF LEASE CONTRACT </v>
          </cell>
        </row>
        <row r="61">
          <cell r="B61" t="str">
            <v xml:space="preserve">  FACILITIES RENTAL CHARGE</v>
          </cell>
          <cell r="C61" t="str">
            <v xml:space="preserve">   (SPECIFY RENTAL TERMS)</v>
          </cell>
          <cell r="F61" t="str">
            <v xml:space="preserve">   AGREEMENT.</v>
          </cell>
        </row>
        <row r="63">
          <cell r="B63" t="str">
            <v xml:space="preserve"> 4. OFFICE FIXTURES RENTAL</v>
          </cell>
          <cell r="C63" t="str">
            <v xml:space="preserve"> - APPROPRIATE OFFICE FIXTURES RENTAL CHARGE (SPECIFY RENTAL TERMS)</v>
          </cell>
          <cell r="F63" t="str">
            <v xml:space="preserve"> -              〃</v>
          </cell>
        </row>
        <row r="64">
          <cell r="B64" t="str">
            <v xml:space="preserve">    CHARGE</v>
          </cell>
        </row>
        <row r="66">
          <cell r="B66" t="str">
            <v xml:space="preserve"> 5. AREA RENTAL CHARGE</v>
          </cell>
          <cell r="C66" t="str">
            <v xml:space="preserve"> - APPROPRIATE YEARLY RENTAL CHARGE (SPECIFY AREA, RENTAL CHARGE, RENTAL PERIOD,</v>
          </cell>
          <cell r="F66" t="str">
            <v xml:space="preserve"> -              〃</v>
          </cell>
        </row>
        <row r="67">
          <cell r="C67" t="str">
            <v xml:space="preserve">                                     DEPOSITS, PAYMENT TERMS ETC.)</v>
          </cell>
        </row>
        <row r="68">
          <cell r="B68" t="str">
            <v xml:space="preserve"> 6. OTHERS</v>
          </cell>
        </row>
        <row r="70">
          <cell r="A70" t="str">
            <v xml:space="preserve"> 3. AIR-FARE</v>
          </cell>
          <cell r="B70" t="str">
            <v xml:space="preserve"> 1. NEW POST AIR-FARE</v>
          </cell>
          <cell r="C70" t="str">
            <v xml:space="preserve"> ① APPROPRIATE NEW POST PERSON'S AIR-FARE ACCORDING TO STAFF &amp; WORKER'S</v>
          </cell>
        </row>
        <row r="71">
          <cell r="C71" t="str">
            <v xml:space="preserve">    DEMAND-SUPPLY SCH.</v>
          </cell>
        </row>
        <row r="72">
          <cell r="C72" t="str">
            <v xml:space="preserve"> ② APPRORIATE PREP. EXP. FOR DEPARTURE (PREP. EXP. FOR PASSPORT, PHYSICAL</v>
          </cell>
        </row>
        <row r="73">
          <cell r="C73" t="str">
            <v xml:space="preserve">    CHECK-UP EXP., AIRPORT RENTAL FEE, VISA FEE ETC.)</v>
          </cell>
        </row>
        <row r="74">
          <cell r="C74" t="str">
            <v xml:space="preserve"> ③ EXCLUDE NEW POST TCN'S AIR-FARE(CHARGE IN PERSON OR BY AGENT)</v>
          </cell>
        </row>
        <row r="75">
          <cell r="B75" t="str">
            <v xml:space="preserve"> 2. VACATION AIR-FARE</v>
          </cell>
          <cell r="C75" t="str">
            <v xml:space="preserve"> - APPROPRIATE SINGLE POST STAFF'S VACATION AIR FARE</v>
          </cell>
        </row>
        <row r="77">
          <cell r="B77" t="str">
            <v xml:space="preserve"> 3. RETURN AIR-FARE</v>
          </cell>
          <cell r="C77" t="str">
            <v xml:space="preserve"> ① APPROPRIATE AIR-FARE ACCORDING TO STAFF &amp; LABOUR RETURN</v>
          </cell>
        </row>
        <row r="78">
          <cell r="C78" t="str">
            <v xml:space="preserve"> ② APPROPRIATE TCN'S RETURN AIR-FARE ACCORDING TO CONTRACT TERMS WITH AGENT</v>
          </cell>
        </row>
        <row r="79">
          <cell r="C79" t="str">
            <v xml:space="preserve">    BY COUNTRY.</v>
          </cell>
        </row>
        <row r="81">
          <cell r="B81" t="str">
            <v xml:space="preserve"> 4. FAMILY AIR-FARE</v>
          </cell>
          <cell r="C81" t="str">
            <v xml:space="preserve"> ① DESPATCHING &amp; RETURN AIR-FARE OF STAFF FAMILY &amp; RETURN-RELATED EXPENSES.</v>
          </cell>
        </row>
        <row r="82">
          <cell r="C82" t="str">
            <v xml:space="preserve"> ② APPROPRIATE FAMILY IMMIGRATION EXPENSES ACCORDING TO CO'S REGULATION.</v>
          </cell>
        </row>
        <row r="83">
          <cell r="C83" t="str">
            <v xml:space="preserve">                          </v>
          </cell>
        </row>
        <row r="84">
          <cell r="A84" t="str">
            <v xml:space="preserve"> 4. TAXES</v>
          </cell>
          <cell r="C84" t="str">
            <v xml:space="preserve">  SPECIFY RELEVANT CLAUSE(TAX AMOUNT &amp; CALCULATION METHOD, PAYMENT PERIOD ETC.)</v>
          </cell>
        </row>
        <row r="85">
          <cell r="C85" t="str">
            <v xml:space="preserve">   ACCORDING TO LOCAL LAW BY COUNTRY.</v>
          </cell>
        </row>
        <row r="86">
          <cell r="B86" t="str">
            <v xml:space="preserve"> 1. INCOME TAX</v>
          </cell>
          <cell r="C86" t="str">
            <v xml:space="preserve"> - INDICATE SUBJECT, TAXATION STANDARD, TAX RATES ETC.</v>
          </cell>
          <cell r="F86" t="str">
            <v xml:space="preserve"> - EXCEPT PURCHASING BRANCH.</v>
          </cell>
        </row>
        <row r="87">
          <cell r="B87" t="str">
            <v xml:space="preserve"> 2. SOCIAL SECURITY TAX</v>
          </cell>
          <cell r="C87" t="str">
            <v xml:space="preserve"> - INDICATE SUBJECT, TAXATION STANDARD, TAX RATES ETC.</v>
          </cell>
        </row>
        <row r="88">
          <cell r="B88" t="str">
            <v xml:space="preserve"> 3. OTHER</v>
          </cell>
          <cell r="C88" t="str">
            <v xml:space="preserve"> - TAXES OTHER THAN ABOVE 1,2 CLAUSE.</v>
          </cell>
        </row>
        <row r="90">
          <cell r="A90" t="str">
            <v xml:space="preserve"> 5. INSURANCE </v>
          </cell>
          <cell r="B90" t="str">
            <v xml:space="preserve"> 1. WORKMAN'S COMPENSATION</v>
          </cell>
          <cell r="C90" t="str">
            <v xml:space="preserve"> ⑴ SAUDI ARABIA</v>
          </cell>
        </row>
        <row r="91">
          <cell r="A91" t="str">
            <v xml:space="preserve">    PREMIUMS</v>
          </cell>
          <cell r="B91" t="str">
            <v xml:space="preserve">    INSURANCE</v>
          </cell>
          <cell r="C91" t="str">
            <v xml:space="preserve">  ① KOREAN STAFF : TOTAL STAFF'S U$ 500 MONTHLY PER PERSON X 4.1922% = MONTHLY </v>
          </cell>
        </row>
        <row r="92">
          <cell r="C92" t="str">
            <v xml:space="preserve">                    INSURANCE PREMIUM.</v>
          </cell>
        </row>
        <row r="93">
          <cell r="C93" t="str">
            <v xml:space="preserve">  ② KOREAN WORKER : TATAL MONTHLY WAGE X 4.04% = MONTHLY INSURANCE PREMIUM.</v>
          </cell>
        </row>
        <row r="94">
          <cell r="C94" t="str">
            <v xml:space="preserve"> ⑵ OTHER AREAS (EXC. SAUDI ARABIA)</v>
          </cell>
        </row>
        <row r="95">
          <cell r="C95" t="str">
            <v xml:space="preserve">  ① KOREAN STAFF : TOTAL STAFF'S U$500 MONTHLY PER PERSON X 4.63675% = MONTHLY</v>
          </cell>
        </row>
        <row r="96">
          <cell r="C96" t="str">
            <v xml:space="preserve">                    INSURANCE PREMIUM.</v>
          </cell>
        </row>
        <row r="97">
          <cell r="C97" t="str">
            <v xml:space="preserve">  ② KOREAN WORKER : TOTAL MONTHLY WAGE X 4.46% = MONTHLY INSURANCE PREMIUM.</v>
          </cell>
        </row>
        <row r="98">
          <cell r="C98" t="str">
            <v xml:space="preserve"> ⑶ INDICATE LOCAL INSURANCE PREMIUM DETAILS IF ANY.</v>
          </cell>
        </row>
        <row r="99">
          <cell r="C99" t="str">
            <v xml:space="preserve"> ⑷ THOUGH LOCAL STAFF/ TCN PAYS PREMIUMS AT HIS OWN EXPENSE IN PRINCIPLE,</v>
          </cell>
        </row>
        <row r="100">
          <cell r="C100" t="str">
            <v xml:space="preserve">    APPROPRIATE IF CONTRACT CONTAINS COMPANY PAY TERMS.</v>
          </cell>
        </row>
        <row r="104">
          <cell r="A104" t="str">
            <v>I T E M</v>
          </cell>
          <cell r="B104" t="str">
            <v>S U B  -  I T E M</v>
          </cell>
          <cell r="C104" t="str">
            <v xml:space="preserve">              G U I D E L I N E S      I N        D E T A I L S</v>
          </cell>
          <cell r="F104" t="str">
            <v>R E M A R K S</v>
          </cell>
        </row>
        <row r="106">
          <cell r="B106" t="str">
            <v xml:space="preserve"> 2. MEDICAL INSURANCE </v>
          </cell>
          <cell r="C106" t="str">
            <v xml:space="preserve"> ① SUBJECT : KOREAN STAFF/WORKER</v>
          </cell>
        </row>
        <row r="107">
          <cell r="B107" t="str">
            <v xml:space="preserve">    PREMIUM</v>
          </cell>
          <cell r="C107" t="str">
            <v xml:space="preserve"> ② INSURANCE PREMIUM : TOTAL MONTHLY SALARY (BONUS EXCLUDED) X 1.5% (CO'S EXP)</v>
          </cell>
        </row>
        <row r="108">
          <cell r="C108" t="str">
            <v xml:space="preserve">  ※ TOTAL MONTHLY SALARY MEANS GROSS SALARY PAID BY HEAD OFFICE</v>
          </cell>
        </row>
        <row r="109">
          <cell r="C109" t="str">
            <v xml:space="preserve">     EXCLUDING BONUS AND LOCAL ALLOWANCE.</v>
          </cell>
        </row>
        <row r="110">
          <cell r="B110" t="str">
            <v xml:space="preserve"> 3. NATIONAL PENSION</v>
          </cell>
          <cell r="C110" t="str">
            <v xml:space="preserve"> ① SUBJECT : KOREAN STAFF/WORKER</v>
          </cell>
        </row>
        <row r="111">
          <cell r="C111" t="str">
            <v xml:space="preserve"> ② PENSION : TOTAL MONTHLY SALARY (BONUS INCLUDED) X 2.0% (CO'S EXPENSE)</v>
          </cell>
        </row>
        <row r="113">
          <cell r="B113" t="str">
            <v xml:space="preserve"> 4. EMPLOYMENT INSURANCE</v>
          </cell>
          <cell r="C113" t="str">
            <v xml:space="preserve"> ① SUBJECT : KOREAN STAFF</v>
          </cell>
        </row>
        <row r="114">
          <cell r="C114" t="str">
            <v xml:space="preserve"> ② INSURANCE PREMIUM : TOTAL MONTHLY SALARY  X 0.55% </v>
          </cell>
        </row>
        <row r="115">
          <cell r="C115" t="str">
            <v xml:space="preserve">  ※ TOTAL MONTHLY SALARY MEANS GROSS SALARY PAID BY HEAD OFFICE</v>
          </cell>
        </row>
        <row r="116">
          <cell r="C116" t="str">
            <v xml:space="preserve">     EXCLUDING LOCAL ALLOWANCE ONLY.</v>
          </cell>
        </row>
        <row r="117">
          <cell r="B117" t="str">
            <v xml:space="preserve"> 5. VEHICLE INSURANCE </v>
          </cell>
          <cell r="C117" t="str">
            <v xml:space="preserve"> - INSURANCE PREMIUM BY VEHICLE TYPE AND NUMBERS.</v>
          </cell>
        </row>
        <row r="118">
          <cell r="B118" t="str">
            <v xml:space="preserve">    PREMIUM</v>
          </cell>
        </row>
        <row r="119">
          <cell r="B119" t="str">
            <v xml:space="preserve"> 6. FIRE INSURANCE PREMIUM</v>
          </cell>
          <cell r="C119" t="str">
            <v xml:space="preserve"> - INSURANCE PREMIUM INSURED AGAINST FIRE.</v>
          </cell>
          <cell r="F119" t="str">
            <v xml:space="preserve"> - TO ATTACH ONE COPY OF INSURANCE</v>
          </cell>
        </row>
        <row r="121">
          <cell r="A121" t="str">
            <v xml:space="preserve"> 6. DEPRECIATIONS</v>
          </cell>
          <cell r="B121" t="str">
            <v xml:space="preserve">    DEPRECIATIONS FOR </v>
          </cell>
          <cell r="C121" t="str">
            <v xml:space="preserve"> - APPROPRIATE EXP. BASED ON YEARLY DEPRECIATIONS RATE</v>
          </cell>
          <cell r="F121" t="str">
            <v xml:space="preserve"> - TO INCLUDE DEPRECIATION FOR TOOLS &amp; FUR-</v>
          </cell>
        </row>
        <row r="122">
          <cell r="B122" t="str">
            <v xml:space="preserve">    BUILDING AND VEHICLES</v>
          </cell>
          <cell r="C122" t="str">
            <v xml:space="preserve">   (SPECIFIED DERECIATION METHOD)</v>
          </cell>
          <cell r="F122" t="str">
            <v xml:space="preserve">   NITURE TO BE PURCHASED NEWLY IN FY 98</v>
          </cell>
        </row>
        <row r="124">
          <cell r="A124" t="str">
            <v xml:space="preserve"> 7. OTHERS</v>
          </cell>
          <cell r="B124" t="str">
            <v xml:space="preserve">    EQUIPMENT MAINTENANCE</v>
          </cell>
          <cell r="C124" t="str">
            <v xml:space="preserve"> - SET UP MONTHLY OPERATION PLAN AND REFLECT THE AMOUNTS SPECIFIED ITEM BY ITEM</v>
          </cell>
          <cell r="F124" t="str">
            <v xml:space="preserve"> - FOR BATAM-YARD, JOR-YARD, BAH-YARD</v>
          </cell>
        </row>
        <row r="125">
          <cell r="B125" t="str">
            <v xml:space="preserve">    EXP.</v>
          </cell>
          <cell r="C125" t="str">
            <v xml:space="preserve">   IN DETAILS.</v>
          </cell>
          <cell r="F125" t="str">
            <v xml:space="preserve">   ONLY</v>
          </cell>
        </row>
        <row r="126">
          <cell r="C126" t="str">
            <v xml:space="preserve">  (REPAIRING/MAINTENANCE FOR EQUIPMENT AND FACILITIES, FUELS, CUSTOM CLEARANCE,</v>
          </cell>
        </row>
        <row r="127">
          <cell r="C127" t="str">
            <v xml:space="preserve">   TRANSPORTATION, SPARE PARTS AND OTHERS)</v>
          </cell>
        </row>
        <row r="130">
          <cell r="A130" t="str">
            <v xml:space="preserve"> B. VARIABLE EXPENSE</v>
          </cell>
        </row>
        <row r="132">
          <cell r="A132" t="str">
            <v>I T E M</v>
          </cell>
          <cell r="B132" t="str">
            <v>S U B  -  I T E M</v>
          </cell>
          <cell r="C132" t="str">
            <v xml:space="preserve">              G U I D E L I N E S      I N        D E T A I L S</v>
          </cell>
          <cell r="F132" t="str">
            <v>R E M A R K S</v>
          </cell>
        </row>
        <row r="134">
          <cell r="A134" t="str">
            <v xml:space="preserve"> 1. WELFARE </v>
          </cell>
          <cell r="B134" t="str">
            <v xml:space="preserve"> 1. MEAL CHARGE</v>
          </cell>
          <cell r="C134" t="str">
            <v xml:space="preserve"> ① BRANCH : REFLECT UNIT PRICE BASED ON ACTUAL MEAL CHARGE.</v>
          </cell>
          <cell r="F134" t="str">
            <v xml:space="preserve"> - EXCEPT PURCHASING BRANCH.</v>
          </cell>
        </row>
        <row r="135">
          <cell r="A135" t="str">
            <v xml:space="preserve">    EXPENSES</v>
          </cell>
          <cell r="C135" t="str">
            <v xml:space="preserve"> ② CATERING BRANCH : APPLY CATERING UNIT PRICE UNDER CONTRACT.</v>
          </cell>
        </row>
        <row r="136">
          <cell r="C136" t="str">
            <v xml:space="preserve"> ③ NUMBERS OF PERSON TAKING MEALS COINCIDE WITH TOTAL M/M OF PERSONNEL</v>
          </cell>
        </row>
        <row r="137">
          <cell r="C137" t="str">
            <v xml:space="preserve">    DEMAND-SUPPLY SCH.</v>
          </cell>
        </row>
        <row r="138">
          <cell r="C138" t="str">
            <v xml:space="preserve"> ④  APPROPRIATE LUNCH COST INSOFAR AS STAFF ACCOMPANIES FAMILY.</v>
          </cell>
        </row>
        <row r="140">
          <cell r="B140" t="str">
            <v xml:space="preserve"> 2. QUARTER MAINTENANCE</v>
          </cell>
          <cell r="C140" t="str">
            <v xml:space="preserve"> - QUARTER &amp; OFFICE MAINTENANCE/REPAIR EXPENSE.</v>
          </cell>
        </row>
        <row r="141">
          <cell r="B141" t="str">
            <v xml:space="preserve">    EXPENSE</v>
          </cell>
        </row>
        <row r="142">
          <cell r="B142" t="str">
            <v xml:space="preserve"> 3. MEDICAL EXP</v>
          </cell>
          <cell r="C142" t="str">
            <v xml:space="preserve"> ① MEDICAL, DISPOSABLE SUPPLIES EXP.</v>
          </cell>
        </row>
        <row r="143">
          <cell r="C143" t="str">
            <v xml:space="preserve"> ② MEDICAL FEE UNCOVERED BY INSURANCE.</v>
          </cell>
        </row>
        <row r="144">
          <cell r="C144" t="str">
            <v xml:space="preserve"> ③ IN CASE STAFF ACOMPANIES FAMILY, APPROPRIATE 60% OF LOCAL HOSPITAL CHARGES</v>
          </cell>
        </row>
        <row r="145">
          <cell r="C145" t="str">
            <v xml:space="preserve">    AND 50% OF OUTPATIENT FEE.</v>
          </cell>
        </row>
        <row r="146">
          <cell r="B146" t="str">
            <v xml:space="preserve"> 4. EDUCATION TRAINING EXP</v>
          </cell>
          <cell r="C146" t="str">
            <v xml:space="preserve"> - APPROPRIATE EDUCATION EXPENSES SUCH AS LANGUAGE TUTORING.</v>
          </cell>
        </row>
        <row r="148">
          <cell r="B148" t="str">
            <v xml:space="preserve"> 5. SPORTS AND RECREATION</v>
          </cell>
          <cell r="C148" t="str">
            <v xml:space="preserve"> ① EVENT &amp; SPORTS COMPETITION EXPENSES (YEAR-END, KOREAN THANKSGIVING HOLIDAY,</v>
          </cell>
        </row>
        <row r="149">
          <cell r="B149" t="str">
            <v xml:space="preserve">    EXP</v>
          </cell>
          <cell r="D149" t="str">
            <v xml:space="preserve">         LABOR DAY ETC.)</v>
          </cell>
        </row>
        <row r="150">
          <cell r="C150" t="str">
            <v xml:space="preserve"> ② APPROPRIATE PURCHASING EXP. FOR SPORTS/RECREATION FACILITIES AND VIDEO TAPE</v>
          </cell>
        </row>
        <row r="151">
          <cell r="C151" t="str">
            <v xml:space="preserve">    RENTAL FEES ETC.</v>
          </cell>
        </row>
        <row r="157">
          <cell r="A157" t="str">
            <v>I T E M</v>
          </cell>
          <cell r="B157" t="str">
            <v>S U B  -  I T E M</v>
          </cell>
          <cell r="C157" t="str">
            <v xml:space="preserve">              G U I D E L I N E S      I N        D E T A I L S</v>
          </cell>
          <cell r="F157" t="str">
            <v>R E M A R K S</v>
          </cell>
        </row>
        <row r="159">
          <cell r="B159" t="str">
            <v xml:space="preserve"> 6. OTHER WELFARE EXP</v>
          </cell>
          <cell r="C159" t="str">
            <v xml:space="preserve"> ① CLOTHING EXP : CLOTHING EXP. SUPPLIED TO STAFF, INDIRECT WORKER BY</v>
          </cell>
        </row>
        <row r="160">
          <cell r="C160" t="str">
            <v xml:space="preserve">                   CLOTHING SUPPLY REGULATIONS.</v>
          </cell>
        </row>
        <row r="161">
          <cell r="C161" t="str">
            <v xml:space="preserve"> ② NIGHT DUTY ALLOWANCE : WEEKDAY - U$ 5 PER DAY. (HOLIDAY - U$ 10 PER DAY.)</v>
          </cell>
          <cell r="F161" t="str">
            <v xml:space="preserve"> - REFER TO INSA LTR 91-646(91.5.31)</v>
          </cell>
        </row>
        <row r="162">
          <cell r="C162" t="str">
            <v xml:space="preserve"> ③ CHILDREN SCHOOLING EXP : SCHOOLING EXP. FOR CHILDREN ACCOMPANIED BY FAMILY.</v>
          </cell>
          <cell r="F162" t="str">
            <v xml:space="preserve">   AND 92-1041 (92.9.24)</v>
          </cell>
        </row>
        <row r="163">
          <cell r="C163" t="str">
            <v xml:space="preserve"> ④ TRAVELING SUBSIDY FOR SIGLE POSTED STAFF</v>
          </cell>
          <cell r="F163" t="str">
            <v xml:space="preserve"> - REFER TO INSA LTR 97-3072(97.9.2)</v>
          </cell>
        </row>
        <row r="165">
          <cell r="A165" t="str">
            <v xml:space="preserve"> 2. STATIONERY </v>
          </cell>
          <cell r="B165" t="str">
            <v xml:space="preserve"> 1. STATIONERY EXP.</v>
          </cell>
          <cell r="C165" t="str">
            <v xml:space="preserve"> - STATIONERY PURCHASING EXP. (ITEM NAME, QUANTITY, UNIT PRICE SPECIFIED)</v>
          </cell>
        </row>
        <row r="166">
          <cell r="A166" t="str">
            <v xml:space="preserve">    EXPENSES</v>
          </cell>
        </row>
        <row r="167">
          <cell r="B167" t="str">
            <v xml:space="preserve"> 2. PRINTING EXP.</v>
          </cell>
          <cell r="C167" t="str">
            <v xml:space="preserve"> - PRINTING EXP., ZEROX CHARGE, PAPER CHARGE.</v>
          </cell>
        </row>
        <row r="169">
          <cell r="B169" t="str">
            <v xml:space="preserve"> 3. PERIODICALS PURCHASING</v>
          </cell>
          <cell r="C169" t="str">
            <v xml:space="preserve"> - NEWSPAPER, MAGAZINE SUBSCRIPTION RATE &amp; REFERENCE BOOK PURCHASING EXP.</v>
          </cell>
        </row>
        <row r="170">
          <cell r="B170" t="str">
            <v xml:space="preserve">    EXP.</v>
          </cell>
          <cell r="C170" t="str">
            <v xml:space="preserve">   (SPECIFY TYPE &amp; MONTHLY SUBSCRIPTION RATE)</v>
          </cell>
        </row>
        <row r="172">
          <cell r="B172" t="str">
            <v xml:space="preserve"> 4. COMPUTER OPERATING </v>
          </cell>
          <cell r="C172" t="str">
            <v xml:space="preserve"> - COMPUTER REPAIR EXP., PAPER CHARGE, PGM DEVELOPMENT EXP., SERVICE EXP. ETC.</v>
          </cell>
          <cell r="F172" t="str">
            <v xml:space="preserve"> - TO APPROPRIATE COMPUTER PURCHASING </v>
          </cell>
        </row>
        <row r="173">
          <cell r="B173" t="str">
            <v xml:space="preserve">    EXP.</v>
          </cell>
          <cell r="F173" t="str">
            <v xml:space="preserve">   AMOUNT AT OFFICE FIXTURES BUDGET.</v>
          </cell>
        </row>
        <row r="175">
          <cell r="A175" t="str">
            <v xml:space="preserve"> 3. COMMUNICATION</v>
          </cell>
          <cell r="B175" t="str">
            <v xml:space="preserve"> 1. POSTAL CHARGES</v>
          </cell>
          <cell r="C175" t="str">
            <v xml:space="preserve"> - STAMP CHARGE, DHL CHARGE.</v>
          </cell>
        </row>
        <row r="176">
          <cell r="A176" t="str">
            <v xml:space="preserve">    EXPENSES</v>
          </cell>
        </row>
        <row r="177">
          <cell r="B177" t="str">
            <v xml:space="preserve"> 2. TLX CHARGE </v>
          </cell>
          <cell r="C177" t="str">
            <v xml:space="preserve"> - CIRCUIT USAGE CHARGE, REPAIR EXP., PAPER CHARGE.</v>
          </cell>
          <cell r="F177" t="str">
            <v xml:space="preserve"> - TO APPROPRIATE TLX M/C LEASE CHARGE</v>
          </cell>
        </row>
        <row r="178">
          <cell r="F178" t="str">
            <v xml:space="preserve">   AT COMMUNICATION FACILITIES RENTAL </v>
          </cell>
        </row>
        <row r="179">
          <cell r="B179" t="str">
            <v xml:space="preserve"> 3. TELEPHONE CHARGE</v>
          </cell>
          <cell r="C179" t="str">
            <v xml:space="preserve"> - INDICATE DIVIDING TELEPHONE &amp; FAX USAGE EXP. INTO USAGE FREQUENCY, AMT.</v>
          </cell>
          <cell r="F179" t="str">
            <v xml:space="preserve">   CHARGE.</v>
          </cell>
        </row>
        <row r="180">
          <cell r="C180" t="str">
            <v xml:space="preserve">   CHARGED PER MINUTE BY COUNTRY.</v>
          </cell>
        </row>
        <row r="181">
          <cell r="B181" t="str">
            <v xml:space="preserve"> ① DOMESTIC TEL. EXP.</v>
          </cell>
          <cell r="C181" t="str">
            <v xml:space="preserve"> - INDICATE MONTHLY AVERAGE USAGE FREQUENCY, USAGE AREA, AMOUNT ETC.</v>
          </cell>
        </row>
        <row r="182">
          <cell r="B182" t="str">
            <v xml:space="preserve"> ② INTERNATIONAL TEL. EXP.</v>
          </cell>
          <cell r="C182" t="str">
            <v xml:space="preserve"> - INDICATE MONTHLY AVERAGE USAGE AREA, AMOUNT ETC.</v>
          </cell>
        </row>
        <row r="184">
          <cell r="A184" t="str">
            <v xml:space="preserve"> 4. FIXTURE </v>
          </cell>
          <cell r="B184" t="str">
            <v xml:space="preserve"> 1. OFFICE FIXTURES</v>
          </cell>
          <cell r="C184" t="str">
            <v xml:space="preserve"> - REPAIR EXP. FOR OFFICE FIXTURES</v>
          </cell>
        </row>
        <row r="185">
          <cell r="A185" t="str">
            <v xml:space="preserve">    REPAIR EXP.</v>
          </cell>
        </row>
        <row r="186">
          <cell r="B186" t="str">
            <v xml:space="preserve"> 2. QUARTER FIXTURES</v>
          </cell>
          <cell r="C186" t="str">
            <v xml:space="preserve"> - REPAIR EXP. FOR QUARTER FIXTURES (EXC. PURCHASING BRANCH)</v>
          </cell>
        </row>
        <row r="188">
          <cell r="B188" t="str">
            <v xml:space="preserve"> 3. KITCHEN FIXTURES</v>
          </cell>
          <cell r="C188" t="str">
            <v xml:space="preserve"> - REPAIR EXP. FOR KITCHEN AND MESS HALL FIXTURES</v>
          </cell>
        </row>
        <row r="189">
          <cell r="C189" t="str">
            <v xml:space="preserve">   (EXC. PURCHASING BRANCH)</v>
          </cell>
        </row>
        <row r="191">
          <cell r="A191" t="str">
            <v xml:space="preserve"> 5. TRAVELLING </v>
          </cell>
          <cell r="B191" t="str">
            <v xml:space="preserve"> 1. OVERSEAS BUSINESS TRIP</v>
          </cell>
          <cell r="C191" t="str">
            <v xml:space="preserve"> - APPROPRIATE AIR-FARE AND VISIT EXP. DURING BUSINESS TRIP SPECIFIED OVERSEAS</v>
          </cell>
        </row>
        <row r="192">
          <cell r="A192" t="str">
            <v xml:space="preserve">    EXPENSES</v>
          </cell>
          <cell r="B192" t="str">
            <v xml:space="preserve">    EXP.</v>
          </cell>
          <cell r="C192" t="str">
            <v xml:space="preserve">   BUSINESS TRIP AREA INC. H/O, NUMBER OF TIMES AND PERIOD.</v>
          </cell>
        </row>
        <row r="193">
          <cell r="B193" t="str">
            <v xml:space="preserve"> 2. DOMESTIC BUSINESS TRIP</v>
          </cell>
          <cell r="C193" t="str">
            <v xml:space="preserve"> - SPECIFY DOMESTIC BUSINESS TRIP AREA, FREQUENCY, PERIOD, VISIT EXP.,</v>
          </cell>
        </row>
        <row r="194">
          <cell r="B194" t="str">
            <v xml:space="preserve">    EXP.</v>
          </cell>
          <cell r="C194" t="str">
            <v xml:space="preserve">   TRANSPORTATION EXP. ETC.</v>
          </cell>
        </row>
        <row r="195">
          <cell r="B195" t="str">
            <v xml:space="preserve"> 3. CITY TRANSPORTATION</v>
          </cell>
          <cell r="C195" t="str">
            <v xml:space="preserve"> - TAXI FARE, PARKING &amp; PASSAGE FEE ETC.</v>
          </cell>
        </row>
        <row r="196">
          <cell r="B196" t="str">
            <v xml:space="preserve">    EXP.</v>
          </cell>
        </row>
        <row r="198">
          <cell r="A198" t="str">
            <v xml:space="preserve"> 6. VEHICLE</v>
          </cell>
          <cell r="B198" t="str">
            <v xml:space="preserve"> 1. FUEL COST</v>
          </cell>
          <cell r="C198" t="str">
            <v xml:space="preserve"> - MONTHLY USAGE STANDARD BY VEHICLE NUMBER, TYPE (BY NUMBER, FUEL EXHAUSTION</v>
          </cell>
        </row>
        <row r="199">
          <cell r="A199" t="str">
            <v xml:space="preserve">    OPERATION </v>
          </cell>
          <cell r="C199" t="str">
            <v xml:space="preserve">   RATE/DAY, FUEL UNIT PRICE, 26 DAYS PER MONTH.)</v>
          </cell>
        </row>
        <row r="200">
          <cell r="A200" t="str">
            <v xml:space="preserve">    EXP.</v>
          </cell>
          <cell r="B200" t="str">
            <v xml:space="preserve"> 2. REPAIR EXP</v>
          </cell>
          <cell r="C200" t="str">
            <v xml:space="preserve"> - VEHICLE REPAIR EXP.</v>
          </cell>
        </row>
        <row r="201">
          <cell r="B201" t="str">
            <v xml:space="preserve"> 3. RENTAL CHARGE</v>
          </cell>
          <cell r="C201" t="str">
            <v xml:space="preserve"> - SPECIFY PURPOSE &amp; USAGE USED AS VEHICLE RENTAL CHARGE</v>
          </cell>
        </row>
        <row r="202">
          <cell r="B202" t="str">
            <v xml:space="preserve"> 4. REGISTRATION &amp;</v>
          </cell>
          <cell r="C202" t="str">
            <v xml:space="preserve"> - COST SPENT ON VEHICLE REGISTRATION &amp; LICENSE ISSUANCE.</v>
          </cell>
        </row>
        <row r="203">
          <cell r="B203" t="str">
            <v xml:space="preserve">    LICENSE ISSUANCE</v>
          </cell>
          <cell r="C203" t="str">
            <v xml:space="preserve"> - ROAD TAX &amp; OTHERS</v>
          </cell>
        </row>
        <row r="208">
          <cell r="A208" t="str">
            <v>I T E M</v>
          </cell>
          <cell r="B208" t="str">
            <v>S U B  -  I T E M</v>
          </cell>
          <cell r="C208" t="str">
            <v xml:space="preserve">              G U I D E L I N E S      I N        D E T A I L S</v>
          </cell>
          <cell r="F208" t="str">
            <v>R E M A R K S</v>
          </cell>
        </row>
        <row r="210">
          <cell r="A210" t="str">
            <v xml:space="preserve"> 7. WATER &amp; ELEC.</v>
          </cell>
          <cell r="B210" t="str">
            <v xml:space="preserve"> 1. ELECTRICITY EXP</v>
          </cell>
          <cell r="C210" t="str">
            <v xml:space="preserve"> - POWER GENERATION EXP., ELECTRICITY EXP., FUEL CHARGE FOR HEATING.</v>
          </cell>
          <cell r="F210" t="str">
            <v xml:space="preserve"> - TO SPECIFY QUANTITY, UNIT PRICE AND</v>
          </cell>
        </row>
        <row r="211">
          <cell r="A211" t="str">
            <v xml:space="preserve">    EXPENSES</v>
          </cell>
          <cell r="F211" t="str">
            <v xml:space="preserve">   CALCULATION DETAILS.</v>
          </cell>
        </row>
        <row r="212">
          <cell r="B212" t="str">
            <v xml:space="preserve"> 2. WATER EXP.</v>
          </cell>
          <cell r="C212" t="str">
            <v xml:space="preserve"> - WATER USAGE EXP.</v>
          </cell>
        </row>
        <row r="215">
          <cell r="A215" t="str">
            <v xml:space="preserve"> 8. ENTERTAINMENT</v>
          </cell>
          <cell r="B215" t="str">
            <v xml:space="preserve"> 1. CLIENT</v>
          </cell>
          <cell r="C215" t="str">
            <v xml:space="preserve"> - ENTERTAINMENT EXP. FOR CLIENT AND CONSULTANT CO.</v>
          </cell>
          <cell r="F215" t="str">
            <v xml:space="preserve"> - EXCLUDE SOO JOO HWALDONG BEE</v>
          </cell>
        </row>
        <row r="216">
          <cell r="A216" t="str">
            <v xml:space="preserve">    EXP.</v>
          </cell>
        </row>
        <row r="217">
          <cell r="B217" t="str">
            <v xml:space="preserve"> 2. GOVERNMENT &amp; PUBLIC</v>
          </cell>
          <cell r="C217" t="str">
            <v xml:space="preserve"> - ENTERTAINMENT EXP. FOR GOVERNMENT, AUTHORITIES CONCERNED, BANK AND CUSTOMER.</v>
          </cell>
        </row>
        <row r="218">
          <cell r="B218" t="str">
            <v xml:space="preserve">    OFFICES, OTHERS</v>
          </cell>
        </row>
        <row r="221">
          <cell r="A221" t="str">
            <v xml:space="preserve"> 9. FEES &amp; </v>
          </cell>
          <cell r="B221" t="str">
            <v xml:space="preserve"> 1. CPA, LEGAL SERVICES</v>
          </cell>
          <cell r="C221" t="str">
            <v xml:space="preserve"> - CPA &amp; LEGAL SERVICES</v>
          </cell>
          <cell r="F221" t="str">
            <v xml:space="preserve"> - TO ATTACH CONTRACT AGREEMENT.</v>
          </cell>
        </row>
        <row r="222">
          <cell r="A222" t="str">
            <v xml:space="preserve">    CHARGES</v>
          </cell>
        </row>
        <row r="223">
          <cell r="B223" t="str">
            <v xml:space="preserve"> 2. STAMP CHARGE </v>
          </cell>
          <cell r="C223" t="str">
            <v xml:space="preserve"> - FEES &amp; CHARGES GENERATED AT LOCAL GOVERNMENT &amp; PUBLIC OFFICES SUCH AS</v>
          </cell>
          <cell r="F223" t="str">
            <v xml:space="preserve"> - TO REFLECT VISA FEE AT AIR-FARE</v>
          </cell>
        </row>
        <row r="224">
          <cell r="C224" t="str">
            <v xml:space="preserve">   R/P, W/P.</v>
          </cell>
        </row>
        <row r="226">
          <cell r="B226" t="str">
            <v xml:space="preserve"> 3. TRANSLATION FEES</v>
          </cell>
          <cell r="C226" t="str">
            <v xml:space="preserve"> - DOCUMENT TRANSLATION FEES &amp; CHARGES.</v>
          </cell>
        </row>
        <row r="228">
          <cell r="B228" t="str">
            <v xml:space="preserve"> 4. CONSULATE-VERIFICATION</v>
          </cell>
          <cell r="C228" t="str">
            <v xml:space="preserve"> - EMBASSY, CONSULATE-VERIFICATION FEES &amp; CHARGES.</v>
          </cell>
        </row>
        <row r="229">
          <cell r="B229" t="str">
            <v xml:space="preserve">    FEES &amp; CHARGE</v>
          </cell>
        </row>
        <row r="231">
          <cell r="B231" t="str">
            <v xml:space="preserve"> 5. BANK REMITTANCE FEES</v>
          </cell>
          <cell r="C231" t="str">
            <v xml:space="preserve"> - P/P &amp; FUND REMITTANCE FEES &amp; CHARGES.</v>
          </cell>
        </row>
        <row r="232">
          <cell r="B232" t="str">
            <v xml:space="preserve">    &amp; CHARGE</v>
          </cell>
        </row>
        <row r="234">
          <cell r="B234" t="str">
            <v xml:space="preserve"> 6. OTHERS</v>
          </cell>
          <cell r="C234" t="str">
            <v xml:space="preserve"> - OTHER FEES &amp; CHARGES.</v>
          </cell>
          <cell r="F234" t="str">
            <v xml:space="preserve"> - TO SPECIFY CALCULATION DETAILS</v>
          </cell>
        </row>
        <row r="235">
          <cell r="F235" t="str">
            <v xml:space="preserve">   BY ITEM.</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Set>
  </externalBook>
</externalLink>
</file>

<file path=xl/externalLinks/externalLink1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بيمه"/>
      <sheetName val="Sheet4"/>
      <sheetName val="Sheet5"/>
      <sheetName val="ماليات خارجي"/>
      <sheetName val=" پايه حقوق 80"/>
      <sheetName val="Sheet8"/>
      <sheetName val="Sheet9"/>
      <sheetName val="정부노임단가"/>
      <sheetName val="ISBL"/>
      <sheetName val="OSBL"/>
      <sheetName val="집계표"/>
      <sheetName val="환율표"/>
      <sheetName val="rates"/>
      <sheetName val="MR"/>
      <sheetName val="입사시직위"/>
      <sheetName val="INPUT DATA"/>
      <sheetName val="RFP007"/>
      <sheetName val="CAL"/>
      <sheetName val="TAX TABEL"/>
      <sheetName val="WE'T"/>
      <sheetName val="fitting"/>
      <sheetName val="ANALYSER"/>
      <sheetName val="SE-611"/>
      <sheetName val="Testing"/>
      <sheetName val="Tipo Terzi"/>
      <sheetName val="Salary"/>
      <sheetName val="ITEM"/>
      <sheetName val="세부내역"/>
      <sheetName val="환율"/>
      <sheetName val="Sheet1"/>
      <sheetName val="STAND98"/>
      <sheetName val="#REF"/>
      <sheetName val="간접비(1)"/>
      <sheetName val="Expat Conditions"/>
      <sheetName val="Staff"/>
      <sheetName val="PRO_DCI"/>
      <sheetName val="INST_DCI"/>
      <sheetName val="HVAC_DCI"/>
      <sheetName val="PIPE_DCI"/>
      <sheetName val="BQ"/>
      <sheetName val="CAT_5"/>
      <sheetName val="97 사업추정(WEKI)"/>
      <sheetName val="7. 매출 투입 취하"/>
      <sheetName val="ITB COST"/>
      <sheetName val="RFP002"/>
      <sheetName val="INPUT RACK"/>
      <sheetName val="source foundation"/>
      <sheetName val="사업계획"/>
      <sheetName val="공사내역"/>
      <sheetName val="plan&amp;section of foundation"/>
      <sheetName val="TABLE2-1 ISBL(GENEAL-CIVIL)"/>
      <sheetName val="TABLE2-1 ISBL-(SlTE PREP)"/>
      <sheetName val="TABLE2.1 ISBL (Soil Invest)"/>
      <sheetName val="TABLE2-2 OSBL(GENERAL-CIVIL)"/>
      <sheetName val="TABLE2-2 OSBL-(SITE PREP)"/>
      <sheetName val="공사비 내역 (가)"/>
      <sheetName val="BQ List"/>
      <sheetName val="BM"/>
      <sheetName val="관람석제출"/>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Set>
  </externalBook>
</externalLink>
</file>

<file path=xl/externalLinks/externalLink13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013211-2"/>
      <sheetName val="h-013201-2"/>
      <sheetName val="h-113003-3"/>
      <sheetName val="h-213002-3"/>
      <sheetName val="h-13101-3"/>
      <sheetName val="h-013001-3"/>
      <sheetName val="013301-2"/>
      <sheetName val="h-013202-2"/>
      <sheetName val="Cover"/>
      <sheetName val="jobhist"/>
      <sheetName val="수입"/>
      <sheetName val="내역서"/>
      <sheetName val="h_013211_2"/>
      <sheetName val="PipWT"/>
      <sheetName val="cal"/>
      <sheetName val="INPUT DATA"/>
      <sheetName val="Summary Sheets"/>
      <sheetName val="eq_data"/>
      <sheetName val="CAT_5"/>
      <sheetName val="INSTR"/>
      <sheetName val="7.6.3(B) UG Piping"/>
      <sheetName val="BOQ"/>
      <sheetName val="Sheet1"/>
      <sheetName val=" Sum"/>
      <sheetName val="#REF"/>
      <sheetName val="ANALYSER"/>
      <sheetName val="SPrep_E4TK(R187)"/>
      <sheetName val="U00"/>
      <sheetName val="U01"/>
      <sheetName val="U02"/>
      <sheetName val="U03"/>
      <sheetName val="U06"/>
      <sheetName val="U07"/>
      <sheetName val="U08"/>
      <sheetName val="U09"/>
      <sheetName val="U10"/>
      <sheetName val="U11"/>
      <sheetName val="U13"/>
      <sheetName val="U21"/>
      <sheetName val="U25"/>
      <sheetName val="U26"/>
      <sheetName val="U29"/>
      <sheetName val="U30"/>
      <sheetName val="U31_Base"/>
      <sheetName val="U40"/>
      <sheetName val="U42"/>
      <sheetName val="U43"/>
      <sheetName val="U45"/>
      <sheetName val="U47"/>
      <sheetName val="U48"/>
      <sheetName val="U60"/>
      <sheetName val="말뚝물량"/>
      <sheetName val="상반기손익차2총괄"/>
      <sheetName val="8.현장관리비"/>
      <sheetName val="7.안전관리비"/>
      <sheetName val="노임단가"/>
      <sheetName val="w't table"/>
      <sheetName val="BQ"/>
      <sheetName val="CondPol"/>
      <sheetName val="영업소실적"/>
      <sheetName val="경제지표"/>
      <sheetName val="세금자료"/>
      <sheetName val="cable"/>
      <sheetName val="DESIGN(77C-102A)-2"/>
      <sheetName val="RFP007"/>
      <sheetName val="0.갑지"/>
      <sheetName val="LOOKUP"/>
      <sheetName val="수량산출서"/>
      <sheetName val="최민영집계25"/>
      <sheetName val="제출sche(Basic)"/>
      <sheetName val="PHALAIDUCT "/>
      <sheetName val="5"/>
      <sheetName val="Database"/>
      <sheetName val="Gia vat tu"/>
      <sheetName val="PDS U-1400"/>
      <sheetName val="Summary"/>
      <sheetName val="대치판정"/>
      <sheetName val="AILC004"/>
      <sheetName val="Sheet4"/>
      <sheetName val="MR"/>
      <sheetName val="EQT-ESTN"/>
      <sheetName val="ZAR SAZ"/>
      <sheetName val="Unit 49_분개표"/>
      <sheetName val="Unit 76_분개표"/>
      <sheetName val="Macro"/>
      <sheetName val="Taux"/>
      <sheetName val="rates"/>
      <sheetName val="구조물철거타공정이월"/>
      <sheetName val="VC2 8.98"/>
      <sheetName val="공사비 내역 (가)"/>
      <sheetName val="간접비 총괄표"/>
      <sheetName val="X17-TOTAL"/>
      <sheetName val="FDM TOT"/>
      <sheetName val="요약배부"/>
      <sheetName val="주관사업"/>
      <sheetName val="내역"/>
      <sheetName val="IT-BAT"/>
      <sheetName val="HVAC"/>
      <sheetName val="정부노임단가"/>
      <sheetName val="DATE"/>
      <sheetName val="TOTAL"/>
      <sheetName val="Factor"/>
      <sheetName val="98TSON4A"/>
      <sheetName val="단중표-ST"/>
      <sheetName val="CIVIL WORK"/>
      <sheetName val="환율"/>
      <sheetName val="인원계획"/>
      <sheetName val="물량집계(전기)"/>
      <sheetName val="물량집계(계장)"/>
      <sheetName val="12CGOU"/>
      <sheetName val="PAINT"/>
      <sheetName val="공정계획(내부계획25%,내부w.f)"/>
      <sheetName val="costing_CV"/>
      <sheetName val="PIPE"/>
      <sheetName val="DESIGN CRETERIA"/>
      <sheetName val="DESIGN CRITERIA"/>
      <sheetName val="COVERSHEET"/>
      <sheetName val="DESIGN_CRETERIA"/>
      <sheetName val="Graph (LGEN)"/>
      <sheetName val="out_prog"/>
      <sheetName val="선적schedule (2)"/>
      <sheetName val="조도계산서 (도서)"/>
      <sheetName val="UnitList"/>
      <sheetName val="96.12"/>
      <sheetName val="직원동원계획"/>
      <sheetName val="REDUCER"/>
      <sheetName val="WE'T"/>
      <sheetName val="Testing"/>
      <sheetName val="PRO_DCI"/>
      <sheetName val="INST_DCI"/>
      <sheetName val="HVAC_DCI"/>
      <sheetName val="PIPE_DCI"/>
      <sheetName val="TRANSPORT"/>
      <sheetName val="working load at the btm ft_"/>
      <sheetName val="plan_section of foundation"/>
      <sheetName val="member design"/>
      <sheetName val="soil bearing check"/>
      <sheetName val="TO  MEST"/>
      <sheetName val="Est-Trench1"/>
      <sheetName val="PumpSpec"/>
      <sheetName val="mhrrate"/>
      <sheetName val="Ind"/>
      <sheetName val="Proposal"/>
      <sheetName val="간접비내역-1"/>
      <sheetName val="AABS내역"/>
      <sheetName val="Main Code"/>
      <sheetName val="집계표(OPTION)"/>
      <sheetName val="변수데이타"/>
      <sheetName val="C급보 "/>
      <sheetName val="ELEC_DCI"/>
      <sheetName val="직원동원SCH"/>
      <sheetName val="Sheet2"/>
      <sheetName val="할증 "/>
      <sheetName val="RENUN"/>
      <sheetName val="공사내역"/>
      <sheetName val="집계표"/>
      <sheetName val="BQ List"/>
      <sheetName val="개시대사 (2)"/>
      <sheetName val="설계조건"/>
      <sheetName val="단면검토"/>
      <sheetName val="BM DATA SHEET"/>
      <sheetName val="사업계획"/>
      <sheetName val="2월가격"/>
      <sheetName val="TOEC"/>
      <sheetName val="Define"/>
      <sheetName val="DESIGN"/>
      <sheetName val="OCT.FDN"/>
      <sheetName val="analisa"/>
      <sheetName val="INSPECTOR (EPC-1)"/>
      <sheetName val="Pipe Classes"/>
      <sheetName val="piping"/>
      <sheetName val="투입실적"/>
      <sheetName val="SPEC"/>
      <sheetName val="Cash2"/>
      <sheetName val="Z"/>
      <sheetName val="Base_Data"/>
      <sheetName val="Basic"/>
      <sheetName val="견적기준"/>
      <sheetName val="DATA"/>
      <sheetName val="REINF."/>
      <sheetName val="LOADS"/>
      <sheetName val="CHECK1"/>
      <sheetName val="MAIN"/>
      <sheetName val="PRO_A"/>
      <sheetName val="PRO"/>
      <sheetName val="Rekap A"/>
      <sheetName val="VL"/>
      <sheetName val="일위대가표(DEEP)"/>
      <sheetName val="연돌일위집계"/>
      <sheetName val="ACTDATA"/>
      <sheetName val="영업2"/>
      <sheetName val="Ox-Air"/>
      <sheetName val="3.현장배치"/>
      <sheetName val="인원현황"/>
      <sheetName val="plan&amp;section of foundation"/>
      <sheetName val="Instruction"/>
      <sheetName val="U+SRU 5UG"/>
      <sheetName val="NEWDRAW"/>
      <sheetName val="131COMP"/>
      <sheetName val="ITstk"/>
      <sheetName val="ECC Master Title"/>
      <sheetName val="SE-611"/>
      <sheetName val="steam table"/>
      <sheetName val="개시전표"/>
      <sheetName val="생산계획"/>
      <sheetName val="95삼성급(본사)"/>
      <sheetName val="EQUIP"/>
      <sheetName val="BQMPALOC"/>
      <sheetName val="자동이름-삽입-시트"/>
      <sheetName val="Desal-E&amp;I"/>
      <sheetName val="PI"/>
      <sheetName val="Staff,Labor Wage &amp; Salary"/>
      <sheetName val="실행(1)"/>
      <sheetName val="SS2"/>
      <sheetName val="인원동원계획"/>
      <sheetName val="갑지"/>
      <sheetName val="PUMP"/>
      <sheetName val="산근"/>
      <sheetName val="PROCURE"/>
      <sheetName val="nde_request"/>
      <sheetName val="Seals"/>
      <sheetName val="4K - (6a) Non Manual Breakdown"/>
      <sheetName val="Hangers"/>
      <sheetName val="Read Me"/>
      <sheetName val="Tbl"/>
      <sheetName val="투입인력"/>
      <sheetName val="wagerate"/>
      <sheetName val="Lab-Rate"/>
      <sheetName val="SITE EST"/>
      <sheetName val="단중표"/>
      <sheetName val="TABLE2-2 OSBL-(SITE PREP)"/>
      <sheetName val="견적의뢰"/>
      <sheetName val="B"/>
      <sheetName val="TANK"/>
      <sheetName val="Piping(Methanol)"/>
      <sheetName val="토목"/>
      <sheetName val="공사비예산서(토목분)"/>
      <sheetName val="loading"/>
      <sheetName val="P-산#1-1(WOWA1)"/>
      <sheetName val="SUPERH_FLAT_END"/>
      <sheetName val="실행내역"/>
      <sheetName val="사업부배부A"/>
      <sheetName val="기준"/>
      <sheetName val="Sheet5"/>
      <sheetName val="9-1차이내역"/>
      <sheetName val="노무비단가"/>
      <sheetName val="배수내역"/>
      <sheetName val="예산M12A"/>
      <sheetName val="RFP009"/>
      <sheetName val="IN"/>
      <sheetName val="Standard Piping MTO"/>
      <sheetName val="Pipe&amp;Valve Coding"/>
      <sheetName val="SubSum"/>
      <sheetName val="ITB COST"/>
      <sheetName val="04 - Civil"/>
      <sheetName val="ELEC_MCI"/>
      <sheetName val="INST_MCI"/>
      <sheetName val="MECH_MCI"/>
      <sheetName val="Table 1"/>
      <sheetName val="제출내역 (2)"/>
      <sheetName val="A LINE"/>
      <sheetName val="부표총괄"/>
      <sheetName val="환율표"/>
      <sheetName val="WorkSheet1"/>
      <sheetName val="VXXXXXX"/>
      <sheetName val="표지"/>
      <sheetName val="OFFER RATE"/>
      <sheetName val="실행철강하도"/>
      <sheetName val="STAND98"/>
      <sheetName val="인사자료총집계"/>
      <sheetName val="T RFA"/>
      <sheetName val="SortedList"/>
      <sheetName val="CVA"/>
      <sheetName val="P1_Body"/>
      <sheetName val="PILOT품"/>
      <sheetName val="Overview"/>
      <sheetName val="M96현황-동아"/>
      <sheetName val="금형품의서"/>
      <sheetName val="수주추정"/>
      <sheetName val="약품공급2"/>
      <sheetName val="JUCKEYK"/>
      <sheetName val="2.대외공문"/>
      <sheetName val="Setup"/>
      <sheetName val="Marsh. FGS (Hours)"/>
      <sheetName val="Marsh. ESD (Materials)"/>
      <sheetName val="Marsh. FGS (Materials)"/>
      <sheetName val="Project Price Summary"/>
      <sheetName val="cable-data"/>
      <sheetName val="Currencies"/>
      <sheetName val="diamètres"/>
      <sheetName val="EQUIPMENT ERECTION BREAKDOWN"/>
      <sheetName val="wg"/>
      <sheetName val="9100"/>
      <sheetName val="Summary_Sheets"/>
      <sheetName val="INPUT_DATA"/>
      <sheetName val="7_6_3(B)_UG_Piping"/>
      <sheetName val="_Sum"/>
      <sheetName val="8_현장관리비"/>
      <sheetName val="7_안전관리비"/>
      <sheetName val="w't_table"/>
      <sheetName val="0_갑지"/>
      <sheetName val="PHALAIDUCT_"/>
      <sheetName val="Gia_vat_tu"/>
      <sheetName val="PDS_U-1400"/>
      <sheetName val="ZAR_SAZ"/>
      <sheetName val="ITB_COST"/>
      <sheetName val="T_RFA"/>
      <sheetName val="Unit_49_분개표"/>
      <sheetName val="Unit_76_분개표"/>
      <sheetName val="공사비_내역_(가)"/>
      <sheetName val="간접비_총괄표"/>
      <sheetName val="VC2_8_98"/>
      <sheetName val="FDM_TOT"/>
      <sheetName val="CIVIL_WORK"/>
      <sheetName val="공정계획(내부계획25%,내부w_f)"/>
      <sheetName val="DESIGN_CRETERIA1"/>
      <sheetName val="DESIGN_CRITERIA"/>
      <sheetName val="Graph_(LGEN)"/>
      <sheetName val="선적schedule_(2)"/>
      <sheetName val="조도계산서_(도서)"/>
      <sheetName val="96_12"/>
      <sheetName val="working_load_at_the_btm_ft_"/>
      <sheetName val="plan_section_of_foundation"/>
      <sheetName val="member_design"/>
      <sheetName val="soil_bearing_check"/>
      <sheetName val="TO__MEST"/>
      <sheetName val="Main_Code"/>
      <sheetName val="C급보_"/>
      <sheetName val="할증_"/>
      <sheetName val="BQ_List"/>
      <sheetName val="개시대사_(2)"/>
      <sheetName val="BM_DATA_SHEET"/>
      <sheetName val="OCT_FDN"/>
      <sheetName val="INSPECTOR_(EPC-1)"/>
      <sheetName val="Pipe_Classes"/>
      <sheetName val="REINF_"/>
      <sheetName val="Rekap_A"/>
      <sheetName val="3_현장배치"/>
      <sheetName val="plan&amp;section_of_foundation"/>
      <sheetName val="U+SRU_5UG"/>
      <sheetName val="ECC_Master_Title"/>
      <sheetName val="steam_table"/>
      <sheetName val="Staff,Labor_Wage_&amp;_Salary"/>
      <sheetName val="4K_-_(6a)_Non_Manual_Breakdown"/>
      <sheetName val="Read_Me"/>
      <sheetName val="SITE_EST"/>
      <sheetName val="TABLE2-2_OSBL-(SITE_PREP)"/>
      <sheetName val="Standard_Piping_MTO"/>
      <sheetName val="Pipe&amp;Valve_Coding"/>
      <sheetName val="04_-_Civil"/>
      <sheetName val="Table_1"/>
      <sheetName val="제출내역_(2)"/>
      <sheetName val="A_LINE"/>
      <sheetName val="OFFER_RATE"/>
      <sheetName val="INPUT_DATA1"/>
      <sheetName val="Summary_Sheets1"/>
      <sheetName val="7_6_3(B)_UG_Piping1"/>
      <sheetName val="_Sum1"/>
      <sheetName val="8_현장관리비1"/>
      <sheetName val="7_안전관리비1"/>
      <sheetName val="w't_table1"/>
      <sheetName val="0_갑지1"/>
      <sheetName val="PHALAIDUCT_1"/>
      <sheetName val="Gia_vat_tu1"/>
      <sheetName val="PDS_U-14001"/>
      <sheetName val="ZAR_SAZ1"/>
      <sheetName val="Unit_49_분개표1"/>
      <sheetName val="Unit_76_분개표1"/>
      <sheetName val="VC2_8_981"/>
      <sheetName val="공사비_내역_(가)1"/>
      <sheetName val="간접비_총괄표1"/>
      <sheetName val="FDM_TOT1"/>
      <sheetName val="CIVIL_WORK1"/>
      <sheetName val="공정계획(내부계획25%,내부w_f)1"/>
      <sheetName val="DESIGN_CRETERIA2"/>
      <sheetName val="DESIGN_CRITERIA1"/>
      <sheetName val="Graph_(LGEN)1"/>
      <sheetName val="선적schedule_(2)1"/>
      <sheetName val="조도계산서_(도서)1"/>
      <sheetName val="96_121"/>
      <sheetName val="working_load_at_the_btm_ft_1"/>
      <sheetName val="plan_section_of_foundation1"/>
      <sheetName val="member_design1"/>
      <sheetName val="soil_bearing_check1"/>
      <sheetName val="TO__MEST1"/>
      <sheetName val="Main_Code1"/>
      <sheetName val="C급보_1"/>
      <sheetName val="할증_1"/>
      <sheetName val="BQ_List1"/>
      <sheetName val="개시대사_(2)1"/>
      <sheetName val="BM_DATA_SHEET1"/>
      <sheetName val="OCT_FDN1"/>
      <sheetName val="INSPECTOR_(EPC-1)1"/>
      <sheetName val="Pipe_Classes1"/>
      <sheetName val="REINF_1"/>
      <sheetName val="Rekap_A1"/>
      <sheetName val="3_현장배치1"/>
      <sheetName val="plan&amp;section_of_foundation1"/>
      <sheetName val="U+SRU_5UG1"/>
      <sheetName val="ECC_Master_Title1"/>
      <sheetName val="steam_table1"/>
      <sheetName val="Staff,Labor_Wage_&amp;_Salary1"/>
      <sheetName val="4K_-_(6a)_Non_Manual_Breakdown1"/>
      <sheetName val="Read_Me1"/>
      <sheetName val="SITE_EST1"/>
      <sheetName val="TABLE2-2_OSBL-(SITE_PREP)1"/>
      <sheetName val="Standard_Piping_MTO1"/>
      <sheetName val="Pipe&amp;Valve_Coding1"/>
      <sheetName val="ITB_COST1"/>
      <sheetName val="04_-_Civil1"/>
      <sheetName val="Table_11"/>
      <sheetName val="제출내역_(2)1"/>
      <sheetName val="A_LINE1"/>
      <sheetName val="OFFER_RATE1"/>
      <sheetName val="T_RFA1"/>
      <sheetName val="ABUT수량-A1"/>
      <sheetName val="Issue Resolution"/>
      <sheetName val="CAPVC"/>
      <sheetName val="가도공"/>
      <sheetName val="Data Pembukaan_1.1"/>
      <sheetName val="공사비_NDE"/>
      <sheetName val="1 COST"/>
      <sheetName val="내역(한신APT)"/>
      <sheetName val="Input"/>
      <sheetName val="DI-ESTI"/>
      <sheetName val="건축집계"/>
      <sheetName val="DB_ET200(R. A)"/>
      <sheetName val="MH rate"/>
      <sheetName val="ASCEandUBC"/>
      <sheetName val="CTEMCOST"/>
      <sheetName val="7_6_3(B)_UG_Piping2"/>
      <sheetName val="Summary_Sheets2"/>
      <sheetName val="INPUT_DATA2"/>
      <sheetName val="_Sum2"/>
      <sheetName val="8_현장관리비2"/>
      <sheetName val="7_안전관리비2"/>
      <sheetName val="w't_table2"/>
      <sheetName val="0_갑지2"/>
      <sheetName val="PHALAIDUCT_2"/>
      <sheetName val="Gia_vat_tu2"/>
      <sheetName val="PDS_U-14002"/>
      <sheetName val="Sheet3"/>
      <sheetName val="TD"/>
      <sheetName val="BT Cane Dev Prog"/>
      <sheetName val="L"/>
      <sheetName val="ANX3A11"/>
      <sheetName val="TYPE-B 평균H"/>
      <sheetName val="FJK 0"/>
      <sheetName val="본지점중"/>
      <sheetName val="data_dci"/>
      <sheetName val="data_mci"/>
      <sheetName val="CODE"/>
      <sheetName val="tank3"/>
      <sheetName val="2.2 STAFF Scedule"/>
      <sheetName val="대비표"/>
      <sheetName val="예총"/>
      <sheetName val="焊工状态表"/>
      <sheetName val="Default"/>
      <sheetName val="breakdown"/>
      <sheetName val="뜃맟뭁돽띿맟_-BLDG"/>
      <sheetName val="BREAKDOWN(신규설치)"/>
      <sheetName val="SUMMARY_철거"/>
      <sheetName val="BREAKDOWN(철거설치)"/>
      <sheetName val="D-3109"/>
      <sheetName val="뜃맟뭁돽띿맟?-BLDG"/>
      <sheetName val="97 사업추정(WEKI)"/>
      <sheetName val="DB@Acess"/>
      <sheetName val="Civil"/>
      <sheetName val="TTL"/>
      <sheetName val="Quantity"/>
      <sheetName val="기성내역"/>
      <sheetName val="7.5.2 BOQ Summary "/>
      <sheetName val="회사99"/>
      <sheetName val="실행"/>
      <sheetName val="DO AM DT"/>
      <sheetName val="TUAS"/>
      <sheetName val="단가비교"/>
      <sheetName val="예산M11A"/>
      <sheetName val="Renf_flat_center"/>
      <sheetName val="TKOFF"/>
      <sheetName val="Notes"/>
      <sheetName val="가상data"/>
      <sheetName val="p.mgmt"/>
      <sheetName val="BRICK"/>
      <sheetName val="COMPRESSOR"/>
      <sheetName val="h-013211-2??0?_x0013_??0?????_x0013_?"/>
      <sheetName val="h-013211-2厧㉠0䧬_x0013_冞㉠0冣㉠幇髃䴾_x0013_Ӥ"/>
      <sheetName val="4.1구조설계"/>
      <sheetName val="TYPE-B_평균H"/>
      <sheetName val="h-013211-2__"/>
      <sheetName val="h-013211-2厧㉠"/>
      <sheetName val="Detail"/>
      <sheetName val="LOPCALC"/>
      <sheetName val="FJK_0"/>
      <sheetName val="2_2_STAFF_Scedule"/>
      <sheetName val="97_사업추정(WEKI)"/>
      <sheetName val="7_5_2_BOQ_Summary_"/>
      <sheetName val="DO_AM_DT"/>
      <sheetName val="Utilities"/>
      <sheetName val="Staff-OP"/>
      <sheetName val="0. SUM"/>
      <sheetName val="Transformer FDN_1"/>
      <sheetName val="Transformer FDN_2"/>
      <sheetName val="Transformer FDN_3"/>
      <sheetName val="Fuel Oil Tank_1"/>
      <sheetName val="Fuel Oil Tank_2"/>
      <sheetName val="WATER TRETMENT PLANT"/>
      <sheetName val="Untreated Water Tank"/>
      <sheetName val="Untreated Water Tank Demi"/>
      <sheetName val="Pretreated Water Tank"/>
      <sheetName val="Demineralized Tank"/>
      <sheetName val="Potabel Water Tank"/>
      <sheetName val="Waste Water Treatment System"/>
      <sheetName val="Modular Septic Tank"/>
      <sheetName val="OSSPA"/>
      <sheetName val="OSSWL"/>
      <sheetName val="Skimmed Oil Tank"/>
      <sheetName val="Oil Sludge Tank"/>
      <sheetName val="Oil Sludge Discharge Pump"/>
      <sheetName val="STG"/>
      <sheetName val="BOILER"/>
      <sheetName val="PRECIPITATOR&amp;ID FAN"/>
      <sheetName val="Air Cooled Condenser FDN"/>
      <sheetName val="Fly Ash Silos"/>
      <sheetName val="BOTTOM ASH SILO"/>
      <sheetName val="FUEL OIL PUMPING"/>
      <sheetName val="FLASH TANK"/>
      <sheetName val="ACC DUCT1"/>
      <sheetName val="ACC DUCT"/>
      <sheetName val="STEAM AIR"/>
      <sheetName val="EXTRACTION PUMP"/>
      <sheetName val="CLOSE COOLING WATER PUMP"/>
      <sheetName val="Closed cooling water cooler"/>
      <sheetName val="33628-Rev. A"/>
      <sheetName val="ZAR_SAZ2"/>
      <sheetName val="Unit_49_분개표2"/>
      <sheetName val="Unit_76_분개표2"/>
      <sheetName val="공사비_내역_(가)2"/>
      <sheetName val="간접비_총괄표2"/>
      <sheetName val="FDM_TOT2"/>
      <sheetName val="VC2_8_982"/>
      <sheetName val="CIVIL_WORK2"/>
      <sheetName val="공정계획(내부계획25%,내부w_f)2"/>
      <sheetName val="DESIGN_CRETERIA3"/>
      <sheetName val="DESIGN_CRITERIA2"/>
      <sheetName val="Graph_(LGEN)2"/>
      <sheetName val="선적schedule_(2)2"/>
      <sheetName val="조도계산서_(도서)2"/>
      <sheetName val="working_load_at_the_btm_ft_2"/>
      <sheetName val="plan_section_of_foundation2"/>
      <sheetName val="member_design2"/>
      <sheetName val="soil_bearing_check2"/>
      <sheetName val="TO__MEST2"/>
      <sheetName val="C급보_2"/>
      <sheetName val="Main_Code2"/>
      <sheetName val="BQ_List2"/>
      <sheetName val="Staff,Labor_Wage_&amp;_Salary2"/>
      <sheetName val="할증_2"/>
      <sheetName val="개시대사_(2)2"/>
      <sheetName val="BM_DATA_SHEET2"/>
      <sheetName val="OCT_FDN2"/>
      <sheetName val="INSPECTOR_(EPC-1)2"/>
      <sheetName val="Pipe_Classes2"/>
      <sheetName val="REINF_2"/>
      <sheetName val="Rekap_A2"/>
      <sheetName val="3_현장배치2"/>
      <sheetName val="plan&amp;section_of_foundation2"/>
      <sheetName val="U+SRU_5UG2"/>
      <sheetName val="ECC_Master_Title2"/>
      <sheetName val="steam_table2"/>
      <sheetName val="96_122"/>
      <sheetName val="4K_-_(6a)_Non_Manual_Breakdown2"/>
      <sheetName val="Read_Me2"/>
      <sheetName val="SITE_EST2"/>
      <sheetName val="TABLE2-2_OSBL-(SITE_PREP)2"/>
      <sheetName val="Standard_Piping_MTO2"/>
      <sheetName val="Pipe&amp;Valve_Coding2"/>
      <sheetName val="ITB_COST2"/>
      <sheetName val="04_-_Civil2"/>
      <sheetName val="Table_12"/>
      <sheetName val="A_LINE2"/>
      <sheetName val="제출내역_(2)2"/>
      <sheetName val="OFFER_RATE2"/>
      <sheetName val="T_RFA2"/>
      <sheetName val="Marsh__FGS_(Hours)"/>
      <sheetName val="Marsh__ESD_(Materials)"/>
      <sheetName val="Marsh__FGS_(Materials)"/>
      <sheetName val="Project_Price_Summary"/>
      <sheetName val="EQUIPMENT_ERECTION_BREAKDOWN"/>
      <sheetName val="Issue_Resolution"/>
      <sheetName val="DB_ET200(R__A)"/>
      <sheetName val="2_대외공문"/>
      <sheetName val="Data_Pembukaan_1_1"/>
      <sheetName val="h-013211-2??"/>
      <sheetName val="표지세로"/>
      <sheetName val="일위대가(가설)"/>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sheetData sheetId="431"/>
      <sheetData sheetId="432"/>
      <sheetData sheetId="433"/>
      <sheetData sheetId="434"/>
      <sheetData sheetId="435"/>
      <sheetData sheetId="436"/>
      <sheetData sheetId="437"/>
      <sheetData sheetId="438"/>
      <sheetData sheetId="439"/>
      <sheetData sheetId="440"/>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sheetData sheetId="489" refreshError="1"/>
      <sheetData sheetId="490" refreshError="1"/>
      <sheetData sheetId="491" refreshError="1"/>
      <sheetData sheetId="492" refreshError="1"/>
      <sheetData sheetId="493"/>
      <sheetData sheetId="494"/>
      <sheetData sheetId="495"/>
      <sheetData sheetId="496"/>
      <sheetData sheetId="497"/>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refreshError="1"/>
      <sheetData sheetId="594" refreshError="1"/>
      <sheetData sheetId="595" refreshError="1"/>
    </sheetDataSet>
  </externalBook>
</externalLink>
</file>

<file path=xl/externalLinks/externalLink13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etara입찰견적서_원본"/>
      <sheetName val="Sheet1"/>
      <sheetName val="#REF"/>
      <sheetName val="01.가설-파일"/>
      <sheetName val="공정"/>
      <sheetName val="인력동원-본사-현장-외주"/>
      <sheetName val="안전"/>
      <sheetName val="장치"/>
      <sheetName val="기계"/>
      <sheetName val="전기"/>
      <sheetName val="계장"/>
      <sheetName val="배관"/>
      <sheetName val="토목"/>
      <sheetName val="건축"/>
      <sheetName val="설비"/>
      <sheetName val="개시전표"/>
      <sheetName val="공사집계"/>
      <sheetName val="SW 소요계획 "/>
      <sheetName val="영업소실적"/>
      <sheetName val="8.PILE  (돌출)"/>
      <sheetName val="eq_data"/>
      <sheetName val="대비표"/>
      <sheetName val="CIVIL WORK"/>
      <sheetName val="bqmpaloc"/>
      <sheetName val="3. HS Pek SILO &amp; Pondasi"/>
      <sheetName val="1 COST"/>
      <sheetName val="tj定额"/>
      <sheetName val="Upgrades pricing"/>
      <sheetName val="MTO - TUBING &amp; FITTINGS"/>
      <sheetName val="Summary Assumptions"/>
      <sheetName val="Cover"/>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Set>
  </externalBook>
</externalLink>
</file>

<file path=xl/externalLinks/externalLink13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ABLO-1"/>
      <sheetName val="TABLO-2"/>
      <sheetName val="TABLO-3"/>
      <sheetName val="TABLO-4"/>
      <sheetName val="TABLO-5"/>
      <sheetName val="GRAFET"/>
    </sheetNames>
    <sheetDataSet>
      <sheetData sheetId="0" refreshError="1"/>
      <sheetData sheetId="1"/>
      <sheetData sheetId="2"/>
      <sheetData sheetId="3" refreshError="1"/>
      <sheetData sheetId="4" refreshError="1"/>
      <sheetData sheetId="5" refreshError="1"/>
    </sheetDataSet>
  </externalBook>
</externalLink>
</file>

<file path=xl/externalLinks/externalLink14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ABLO-1"/>
      <sheetName val="TABLO-2"/>
      <sheetName val="TABLO-3"/>
      <sheetName val="TABLO-4"/>
      <sheetName val="TABLO-5"/>
      <sheetName val="GRAFET"/>
    </sheetNames>
    <sheetDataSet>
      <sheetData sheetId="0" refreshError="1"/>
      <sheetData sheetId="1"/>
      <sheetData sheetId="2">
        <row r="8">
          <cell r="B8" t="str">
            <v xml:space="preserve">        TURKEY</v>
          </cell>
        </row>
      </sheetData>
      <sheetData sheetId="3" refreshError="1"/>
      <sheetData sheetId="4" refreshError="1"/>
      <sheetData sheetId="5" refreshError="1"/>
    </sheetDataSet>
  </externalBook>
</externalLink>
</file>

<file path=xl/externalLinks/externalLink14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INDEX"/>
      <sheetName val="NOTES"/>
      <sheetName val="RFP002"/>
      <sheetName val="RFP003  "/>
      <sheetName val="RFP004"/>
      <sheetName val="RFP005 "/>
      <sheetName val="RFP006"/>
      <sheetName val="RFP007"/>
      <sheetName val="RFP008"/>
      <sheetName val="RFP009"/>
      <sheetName val="RFP010"/>
      <sheetName val="RFP011"/>
      <sheetName val="RFP11(1)"/>
      <sheetName val="RFP11(3)"/>
      <sheetName val="RFP012"/>
      <sheetName val="RFP013"/>
      <sheetName val="RFP014"/>
      <sheetName val="RFP015"/>
      <sheetName val="rates"/>
      <sheetName val="Sheet4"/>
      <sheetName val="MR"/>
      <sheetName val="CAL"/>
      <sheetName val="환율"/>
      <sheetName val="부재력정리"/>
      <sheetName val="CIVIL WORK"/>
      <sheetName val="WE'T"/>
      <sheetName val="HVAC"/>
    </sheetNames>
    <sheetDataSet>
      <sheetData sheetId="0" refreshError="1"/>
      <sheetData sheetId="1" refreshError="1"/>
      <sheetData sheetId="2" refreshError="1"/>
      <sheetData sheetId="3" refreshError="1"/>
      <sheetData sheetId="4" refreshError="1"/>
      <sheetData sheetId="5" refreshError="1"/>
      <sheetData sheetId="6" refreshError="1"/>
      <sheetData sheetId="7">
        <row r="45">
          <cell r="L45">
            <v>216210</v>
          </cell>
        </row>
      </sheetData>
      <sheetData sheetId="8" refreshError="1"/>
      <sheetData sheetId="9"/>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Set>
  </externalBook>
</externalLink>
</file>

<file path=xl/externalLinks/externalLink14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ABLO-1"/>
      <sheetName val="TABLO-2"/>
      <sheetName val="TABLO-3"/>
      <sheetName val="TABLO-4"/>
      <sheetName val="TABLO-5"/>
      <sheetName val="GRAFET"/>
    </sheetNames>
    <sheetDataSet>
      <sheetData sheetId="0" refreshError="1"/>
      <sheetData sheetId="1"/>
      <sheetData sheetId="2"/>
      <sheetData sheetId="3" refreshError="1"/>
      <sheetData sheetId="4" refreshError="1"/>
      <sheetData sheetId="5" refreshError="1"/>
    </sheetDataSet>
  </externalBook>
</externalLink>
</file>

<file path=xl/externalLinks/externalLink14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data"/>
      <sheetName val="Split_CPS"/>
      <sheetName val="GRS"/>
      <sheetName val="split_WBS"/>
      <sheetName val="NEWCPS"/>
      <sheetName val="Piv_Table_Cost"/>
      <sheetName val="Piv_Table_Price"/>
      <sheetName val="Cash Flow"/>
      <sheetName val="SoP OGTEB"/>
      <sheetName val="SoP OGB"/>
      <sheetName val="SoP TEB"/>
      <sheetName val="Cancelled SoP TEB"/>
      <sheetName val="NEW WBS"/>
      <sheetName val="Options"/>
      <sheetName val="Proc_General"/>
      <sheetName val="time"/>
      <sheetName val="RFP007"/>
      <sheetName val="ANALYSER"/>
      <sheetName val="Sheet4"/>
      <sheetName val="EQT-ESTN"/>
      <sheetName val="경제지표"/>
      <sheetName val="세금자료"/>
      <sheetName val="rates"/>
      <sheetName val="Unit 49_분개표"/>
      <sheetName val="Unit 76_분개표"/>
      <sheetName val="VC2 8.98"/>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Set>
  </externalBook>
</externalLink>
</file>

<file path=xl/externalLinks/externalLink14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ALL WORK"/>
      <sheetName val="Mob eq (Civil)"/>
      <sheetName val="Mob La SC-1&amp;2&amp;3"/>
      <sheetName val="Mob La TANKAGE(SC-1&amp;2&amp;3)"/>
      <sheetName val="Mob La SITE PREP(SC-1&amp;2&amp;3)"/>
      <sheetName val="SUM"/>
      <sheetName val="TOTAL"/>
      <sheetName val="SC-1 &amp; SC-2"/>
      <sheetName val="SC1&amp;2&amp;3"/>
      <sheetName val="SC-1"/>
      <sheetName val="SC-2"/>
      <sheetName val="SC-3"/>
      <sheetName val="SITE PREPARATION"/>
      <sheetName val="shoreline protect"/>
      <sheetName val="Tankage Area"/>
      <sheetName val="Temporary"/>
      <sheetName val="단가비교(TOTAL)"/>
      <sheetName val="FDM TOT"/>
      <sheetName val="NEWCPS"/>
      <sheetName val="RFP009"/>
      <sheetName val="RFP007"/>
      <sheetName val="ANALYSER"/>
      <sheetName val="가도공"/>
      <sheetName val="EQT-ESTN"/>
      <sheetName val="rates"/>
      <sheetName val="Sheet4"/>
    </sheetNames>
    <sheetDataSet>
      <sheetData sheetId="0"/>
      <sheetData sheetId="1"/>
      <sheetData sheetId="2"/>
      <sheetData sheetId="3"/>
      <sheetData sheetId="4"/>
      <sheetData sheetId="5"/>
      <sheetData sheetId="6">
        <row r="8">
          <cell r="F8" t="str">
            <v>Building</v>
          </cell>
        </row>
      </sheetData>
      <sheetData sheetId="7"/>
      <sheetData sheetId="8"/>
      <sheetData sheetId="9"/>
      <sheetData sheetId="10"/>
      <sheetData sheetId="11"/>
      <sheetData sheetId="12"/>
      <sheetData sheetId="13"/>
      <sheetData sheetId="14"/>
      <sheetData sheetId="15"/>
      <sheetData sheetId="16">
        <row r="4">
          <cell r="B4" t="str">
            <v>Building</v>
          </cell>
        </row>
      </sheetData>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Set>
  </externalBook>
</externalLink>
</file>

<file path=xl/externalLinks/externalLink14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se"/>
      <sheetName val="base1"/>
      <sheetName val="Unit 49_분개표"/>
      <sheetName val="Unit 76_분개표"/>
      <sheetName val="수입"/>
      <sheetName val="TOTAL"/>
      <sheetName val="FDM TOT"/>
      <sheetName val="NEWCPS"/>
      <sheetName val="ANALYSER"/>
      <sheetName val="Information"/>
      <sheetName val="가도공"/>
      <sheetName val="RIEP"/>
    </sheetNames>
    <sheetDataSet>
      <sheetData sheetId="0">
        <row r="76">
          <cell r="F76" t="str">
            <v>INSTALLATION WORK FOR:</v>
          </cell>
        </row>
      </sheetData>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14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SUMMARY"/>
      <sheetName val="base"/>
      <sheetName val="TOTAL"/>
      <sheetName val="ANX3A65"/>
      <sheetName val="design criteria"/>
      <sheetName val="FDM TOT"/>
      <sheetName val="NEWCPS"/>
      <sheetName val="ANALYSER"/>
    </sheetNames>
    <sheetDataSet>
      <sheetData sheetId="0">
        <row r="24">
          <cell r="T24">
            <v>14251719.733223382</v>
          </cell>
        </row>
      </sheetData>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14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10월추정"/>
      <sheetName val="2001년매출추정실적"/>
      <sheetName val="Sheet3"/>
      <sheetName val="Sheet2"/>
      <sheetName val="C701ACT"/>
      <sheetName val="영업소실적"/>
      <sheetName val="의정부문예회관변경내역"/>
      <sheetName val="현금"/>
      <sheetName val="예산서"/>
      <sheetName val="충주"/>
      <sheetName val="OE"/>
      <sheetName val="D040416"/>
      <sheetName val="99년하반기"/>
      <sheetName val="97 사업추정(WEKI)"/>
      <sheetName val="우수"/>
      <sheetName val="태화42 "/>
      <sheetName val="ANALYSER"/>
      <sheetName val="1월"/>
      <sheetName val="3-구교-오리지날"/>
      <sheetName val="공통부대비"/>
      <sheetName val="구의33고"/>
      <sheetName val="COVER"/>
      <sheetName val="공정표 "/>
      <sheetName val="부속동"/>
      <sheetName val="10한빛"/>
      <sheetName val="장차입"/>
      <sheetName val="정산표"/>
      <sheetName val="대치판정"/>
      <sheetName val="비교1"/>
      <sheetName val="96.12"/>
      <sheetName val="STAND98"/>
      <sheetName val="97사업계"/>
      <sheetName val="조직표"/>
      <sheetName val="95년12월말"/>
      <sheetName val="주요공사"/>
      <sheetName val="주관사업"/>
      <sheetName val="직원동원SCH"/>
      <sheetName val="실적총괄"/>
      <sheetName val="환율"/>
      <sheetName val="TOEC"/>
      <sheetName val="steel data sheet"/>
      <sheetName val="INSTR"/>
      <sheetName val="최초침전지집계표"/>
      <sheetName val="97년 SEACO예산"/>
      <sheetName val="PSIZE"/>
      <sheetName val="7.기-검-보.100"/>
      <sheetName val="P.M 별"/>
      <sheetName val="OUT"/>
      <sheetName val="가설건물"/>
      <sheetName val="정부노임단가"/>
      <sheetName val="1NYS(당)"/>
      <sheetName val="우수공"/>
      <sheetName val="와동25-3(변경)"/>
      <sheetName val="INPUT DATA"/>
      <sheetName val="유림골조"/>
      <sheetName val="청산공사"/>
      <sheetName val="하수급견적대비"/>
      <sheetName val="운동장 (2)"/>
      <sheetName val="월간보고"/>
      <sheetName val="인원계획"/>
      <sheetName val="P54"/>
      <sheetName val="001"/>
      <sheetName val="#REF"/>
      <sheetName val="고자현황"/>
      <sheetName val="간접비(1)"/>
      <sheetName val="BID"/>
      <sheetName val="마케팅"/>
      <sheetName val="토목공사"/>
      <sheetName val="단가표"/>
      <sheetName val="98지급계획"/>
      <sheetName val="DPRKMHDT"/>
      <sheetName val="T기성9605"/>
      <sheetName val="당초"/>
      <sheetName val="04-D(1)"/>
      <sheetName val="입찰안"/>
      <sheetName val="표지 (2)"/>
      <sheetName val="간접1"/>
      <sheetName val="현장업무"/>
      <sheetName val="TOTAL"/>
      <sheetName val="평균환율-USD"/>
      <sheetName val="RCF CLAIMED"/>
      <sheetName val="집계표"/>
      <sheetName val="유기공정"/>
      <sheetName val="광주운남을"/>
      <sheetName val="TOWER 12TON"/>
      <sheetName val="TOWER 10TON"/>
      <sheetName val="JIB CRANE,HOIST"/>
      <sheetName val="G.R300경비"/>
      <sheetName val="가도공"/>
      <sheetName val="대공종"/>
      <sheetName val="XL4Poppy"/>
      <sheetName val="3차설계"/>
      <sheetName val="단면검토"/>
      <sheetName val="설계조건"/>
      <sheetName val="사급자재"/>
      <sheetName val="ABUT수량-A1"/>
      <sheetName val="BSD (2)"/>
      <sheetName val="계정"/>
      <sheetName val="직원수당"/>
      <sheetName val="ANX3A65"/>
      <sheetName val="Information"/>
      <sheetName val="01.가설-파일"/>
      <sheetName val="PRO_A"/>
      <sheetName val="DWG"/>
      <sheetName val="MAIN"/>
      <sheetName val="PRO"/>
      <sheetName val="eq_data"/>
      <sheetName val="WORKER"/>
      <sheetName val="DATA"/>
      <sheetName val="IBASE"/>
      <sheetName val="new급여T(4을-운전)"/>
      <sheetName val="ITEM"/>
      <sheetName val="내역서"/>
      <sheetName val="마산월령동골조물량변경"/>
      <sheetName val="시험장S자로가로등공사"/>
      <sheetName val="SG"/>
      <sheetName val="간접비내역-1"/>
      <sheetName val="CP-E1(MECEL배분)"/>
      <sheetName val="다이꾸"/>
      <sheetName val="EQT-ESTN"/>
      <sheetName val="투입실적"/>
      <sheetName val="골조물량"/>
      <sheetName val="지급제한자"/>
      <sheetName val="공사비_NDE"/>
      <sheetName val="수입"/>
      <sheetName val="Sheet4"/>
      <sheetName val="상세공정율표"/>
      <sheetName val="공종목록표"/>
      <sheetName val="노임단가"/>
      <sheetName val="Sheet1 (2)"/>
      <sheetName val="IPS_0"/>
      <sheetName val="터널조도"/>
      <sheetName val="97_사업추정(WEKI)"/>
      <sheetName val="태화42_"/>
      <sheetName val="CAL"/>
      <sheetName val="내역"/>
      <sheetName val="DHEQSUPT"/>
      <sheetName val="3.바닥판설계"/>
      <sheetName val="1차배부(JB포함)"/>
      <sheetName val="A-8 PD(도로중앙)"/>
      <sheetName val="투찰"/>
      <sheetName val="현황"/>
      <sheetName val="소화실적"/>
      <sheetName val="공사금액 내역 (1)"/>
      <sheetName val="사업부배부A"/>
      <sheetName val="수주실적0709"/>
      <sheetName val="본지점중"/>
      <sheetName val="입사시직위"/>
      <sheetName val="Basis"/>
      <sheetName val="TABLE2-2 OSBL-(SITE PREP)"/>
      <sheetName val="Piping Design Data"/>
      <sheetName val="금액내역서"/>
      <sheetName val="CALCULATION"/>
      <sheetName val="CLASS-A"/>
      <sheetName val="Tipo Terzi"/>
      <sheetName val="유림총괄"/>
      <sheetName val="001BA"/>
      <sheetName val="상반기손익차2총괄"/>
      <sheetName val="PLAN_FEB97"/>
      <sheetName val="동결보온"/>
      <sheetName val="UnitList"/>
      <sheetName val="96배수"/>
      <sheetName val="배수내역"/>
      <sheetName val="토공"/>
      <sheetName val="공량산출서"/>
      <sheetName val="Sheet6"/>
      <sheetName val="SCH"/>
      <sheetName val="01하반기노임"/>
      <sheetName val="L형 옹벽"/>
      <sheetName val="MOTOR"/>
      <sheetName val="ilch"/>
      <sheetName val="화재 탐지 설비"/>
      <sheetName val="Formulas"/>
      <sheetName val="980820"/>
      <sheetName val="123"/>
      <sheetName val="소상 &quot;1&quot;"/>
      <sheetName val="DNT OSBL"/>
      <sheetName val="평형공사비"/>
      <sheetName val="수안보-MBR1"/>
      <sheetName val="소특"/>
      <sheetName val="TYPE-B 평균H"/>
      <sheetName val="S0"/>
      <sheetName val="설계가"/>
      <sheetName val="Income Statement"/>
      <sheetName val="차액보증"/>
      <sheetName val="PILE길이산출(DRA)"/>
      <sheetName val="초과투입분"/>
      <sheetName val="hvac(제어동)"/>
      <sheetName val="POOM_MOTO"/>
      <sheetName val="POOM_MOTO2"/>
      <sheetName val="남양주댠가표"/>
      <sheetName val="안전내역품의"/>
      <sheetName val="Project Brief"/>
      <sheetName val="TARGET"/>
      <sheetName val="Cac Thong So "/>
      <sheetName val="참고(3)고정비"/>
      <sheetName val="DATE"/>
      <sheetName val="boq"/>
      <sheetName val="OSBL-TOTAL (OTHER WORK)"/>
      <sheetName val="OSBL-TOTAL (SEA WATER)"/>
      <sheetName val="OSBL-TOTAL (CIVIL WORK)"/>
      <sheetName val="3.현장배치"/>
      <sheetName val="현장배치"/>
      <sheetName val="유동표"/>
      <sheetName val="STG TR"/>
      <sheetName val="TYPE-A"/>
      <sheetName val="실행품의서"/>
      <sheetName val="h-013211-2"/>
      <sheetName val="Upgrades pricing"/>
      <sheetName val="DESIGN CRETERIA"/>
      <sheetName val="SE-611"/>
      <sheetName val="실행철강하도"/>
      <sheetName val="PRO_DCI"/>
      <sheetName val="YOEMAGUM"/>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Set>
  </externalBook>
</externalLink>
</file>

<file path=xl/externalLinks/externalLink14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C1 8.98"/>
      <sheetName val="VC2 8.98"/>
      <sheetName val="Value Calculation"/>
      <sheetName val="Appx A - Lab &amp; Matl Manifest"/>
      <sheetName val="Appx B - Plant Allowance"/>
      <sheetName val="Appx C - Permanent Material"/>
      <sheetName val="Appx D - Hydro Equip"/>
      <sheetName val="Appx E - Temporary Matls"/>
      <sheetName val="Appx F - Additional Value"/>
      <sheetName val="Appx G - Overheads"/>
      <sheetName val="Appendix 3 - U&amp;O"/>
      <sheetName val="Appendix 9 - Residual Values"/>
      <sheetName val="수입"/>
      <sheetName val="Unit 49_분개표"/>
      <sheetName val="Unit 76_분개표"/>
      <sheetName val="PLAN_FEB97"/>
      <sheetName val="공정계획(내부계획25%,내부w.f)"/>
      <sheetName val="Sheet1"/>
      <sheetName val="STAND98"/>
      <sheetName val="SPrep_E4TK(R187)"/>
      <sheetName val="U00"/>
      <sheetName val="U01"/>
      <sheetName val="U02"/>
      <sheetName val="U03"/>
      <sheetName val="U06"/>
      <sheetName val="U07"/>
      <sheetName val="U08"/>
      <sheetName val="U09"/>
      <sheetName val="U10"/>
      <sheetName val="U11"/>
      <sheetName val="U13"/>
      <sheetName val="U21"/>
      <sheetName val="U25"/>
      <sheetName val="U26"/>
      <sheetName val="U29"/>
      <sheetName val="U30"/>
      <sheetName val="U31_Base"/>
      <sheetName val="U40"/>
      <sheetName val="U42"/>
      <sheetName val="U43"/>
      <sheetName val="U45"/>
      <sheetName val="U47"/>
      <sheetName val="U48"/>
      <sheetName val="U60"/>
      <sheetName val="INPUT DATA"/>
      <sheetName val="간접비내역-1"/>
      <sheetName val="97년 SEACO예산"/>
      <sheetName val="TST"/>
      <sheetName val="C701ACT"/>
      <sheetName val="DATA"/>
      <sheetName val="ANALYSER"/>
    </sheetNames>
    <sheetDataSet>
      <sheetData sheetId="0" refreshError="1"/>
      <sheetData sheetId="1" refreshError="1">
        <row r="187">
          <cell r="BN187" t="str">
            <v>/WTC</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Set>
  </externalBook>
</externalLink>
</file>

<file path=xl/externalLinks/externalLink14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AMENDMENT"/>
      <sheetName val="COST BREAKDOWN"/>
      <sheetName val="EXCHANGE RATE (2)"/>
      <sheetName val="SUMMARY_A"/>
      <sheetName val="SUMMARY_B"/>
      <sheetName val="BREAKDOWN"/>
      <sheetName val="KUWAITIZATION"/>
      <sheetName val="MANPOWER ORGANIZATION"/>
      <sheetName val="MANPOWER MOBILIZATION"/>
      <sheetName val="STAFF MOBILIZATION SUMMARY"/>
      <sheetName val="STAFF MOBILIZATION PLAN_HDEC"/>
      <sheetName val="INDIRECT MOBILIZATION PLAN"/>
      <sheetName val="EUR, TCN &amp; LOC STAFF SALARY"/>
      <sheetName val="INDIRECT SALARY"/>
      <sheetName val="HEC SEOUL MOBILIZATION"/>
      <sheetName val="LIST OF AIR FARE"/>
      <sheetName val="AIR FARE"/>
      <sheetName val="OVERSEAS TRAVELING EXPENSE"/>
      <sheetName val="BUSINESS TRIP_FROM SEOUL"/>
      <sheetName val="BUSINESS TRIP_FROM MILAN"/>
      <sheetName val="BUSINESS TRIP_FROM SITE"/>
      <sheetName val="TF - Summary"/>
      <sheetName val="TF - Site Office"/>
      <sheetName val="TF - Laydown Area"/>
      <sheetName val="OFFICE EQUIPMENT_LIST"/>
      <sheetName val="OFFICE EQUIPMENT_유지보수"/>
      <sheetName val="OFFICE EQUIPMENT_소모품구입"/>
      <sheetName val="FURNITURE 표준단가표"/>
      <sheetName val="FURNITURE FROM AL HANA"/>
      <sheetName val="PERIODIC MEDICAL TEST"/>
      <sheetName val="VEHICLE_MOBILIZATION PLAN"/>
      <sheetName val="COST FOR VEHICLE_SITE"/>
      <sheetName val="KOR STAFF ALLOWANCE_현지불수당"/>
      <sheetName val="KOR STAFF ALLOWANCE_연장수당"/>
      <sheetName val="KOR STAFF ALLOWANCE_직책수당"/>
      <sheetName val="KOR STAFF SALARY_단신부임수당"/>
      <sheetName val="WELFARE COST_SITE"/>
      <sheetName val="CLOTHES PAYMENT CONDITION"/>
      <sheetName val="CAMP OPERATION COST"/>
      <sheetName val="VISA &amp; PERMIT"/>
      <sheetName val="WATER SUPPLY"/>
      <sheetName val="KOR STAFF SALARY_HDEC ONLY"/>
      <sheetName val="HDEC STAFF SALARY_HOME"/>
      <sheetName val="HDEC STAFF SALARY_SITE"/>
      <sheetName val="HDEC STAFF SALARY_BRANCH"/>
      <sheetName val="KOR STAFF ALLOWANCE"/>
      <sheetName val="INSURANCE_KOR_STAFF"/>
      <sheetName val="INSURANCE_KOR_INDIRECT"/>
      <sheetName val="Generator Fuel Consumption"/>
      <sheetName val="여기까지"/>
      <sheetName val="HEC COST BREAKDOWN"/>
      <sheetName val="STAFF MOBILIZATION PLAN_JGC"/>
      <sheetName val="COST FOR VEHICLE_YOC"/>
      <sheetName val="용전비"/>
      <sheetName val="용전_DETAIL"/>
      <sheetName val="소비전력"/>
      <sheetName val="SUMMARY"/>
      <sheetName val="base"/>
      <sheetName val="TOTAL"/>
      <sheetName val="design criteria"/>
      <sheetName val="Testing"/>
      <sheetName val="FDM TOT"/>
      <sheetName val="1100-1200-1300-1910-2140-LEV 2"/>
      <sheetName val="세금자료"/>
      <sheetName val="LABOR MOBILIZATION PLAN"/>
      <sheetName val="STAFF MOBILIZATION PLAN"/>
      <sheetName val="LIST OF OFFICE EQUIPMENT"/>
      <sheetName val="PERSONNEL SETUP"/>
      <sheetName val="BOQ0822"/>
      <sheetName val="KOREAN STAFF SALARY - SITE"/>
      <sheetName val="TEMPORARY FACILITIES"/>
    </sheetNames>
    <sheetDataSet>
      <sheetData sheetId="0" refreshError="1"/>
      <sheetData sheetId="1" refreshError="1"/>
      <sheetData sheetId="2" refreshError="1"/>
      <sheetData sheetId="3" refreshError="1"/>
      <sheetData sheetId="4">
        <row r="21">
          <cell r="E21">
            <v>4812983.1293478785</v>
          </cell>
        </row>
      </sheetData>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Set>
  </externalBook>
</externalLink>
</file>

<file path=xl/externalLinks/externalLink15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대외공문"/>
      <sheetName val="해외"/>
      <sheetName val="현금흐름표"/>
    </sheetNames>
    <sheetDataSet>
      <sheetData sheetId="0"/>
      <sheetData sheetId="1" refreshError="1"/>
      <sheetData sheetId="2" refreshError="1"/>
    </sheetDataSet>
  </externalBook>
</externalLink>
</file>

<file path=xl/externalLinks/externalLink15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총괄표 (R3)"/>
      <sheetName val="총괄표 (R2)"/>
      <sheetName val="총괄표 (R1)"/>
      <sheetName val="총괄표"/>
      <sheetName val="색인표"/>
      <sheetName val="표지"/>
      <sheetName val="목차"/>
      <sheetName val="공장배치"/>
      <sheetName val="공사개요"/>
      <sheetName val="지도"/>
      <sheetName val="공사물량"/>
      <sheetName val="투찰금액"/>
      <sheetName val="공사비 내역 (가)"/>
      <sheetName val="공정표"/>
      <sheetName val="공사비 내역"/>
      <sheetName val="직원조직"/>
      <sheetName val="직원조직 (2)"/>
      <sheetName val="직원동원"/>
      <sheetName val="직원(SEL)"/>
      <sheetName val="직원(THR)"/>
      <sheetName val="직원(MIL)"/>
      <sheetName val="간접인원계획"/>
      <sheetName val="기능공동원"/>
      <sheetName val="간접비총괄"/>
      <sheetName val="Sheet2"/>
      <sheetName val="공사비_NDE"/>
      <sheetName val="설계명세서"/>
      <sheetName val="품셈표"/>
      <sheetName val="간접비 총괄표"/>
      <sheetName val="h-013211-2"/>
      <sheetName val="상반기손익차2총괄"/>
      <sheetName val="인원계획"/>
      <sheetName val="base"/>
      <sheetName val="간접비총괄 (2)"/>
      <sheetName val="1-11조직표"/>
      <sheetName val="간접비"/>
      <sheetName val="데이타"/>
      <sheetName val="식재인부"/>
      <sheetName val="직원수당"/>
      <sheetName val="노임이"/>
    </sheetNames>
    <sheetDataSet>
      <sheetData sheetId="0"/>
      <sheetData sheetId="1"/>
      <sheetData sheetId="2"/>
      <sheetData sheetId="3"/>
      <sheetData sheetId="4" refreshError="1"/>
      <sheetData sheetId="5"/>
      <sheetData sheetId="6"/>
      <sheetData sheetId="7"/>
      <sheetData sheetId="8"/>
      <sheetData sheetId="9"/>
      <sheetData sheetId="10"/>
      <sheetData sheetId="11"/>
      <sheetData sheetId="12"/>
      <sheetData sheetId="13"/>
      <sheetData sheetId="14"/>
      <sheetData sheetId="15"/>
      <sheetData sheetId="16"/>
      <sheetData sheetId="17" refreshError="1"/>
      <sheetData sheetId="18"/>
      <sheetData sheetId="19"/>
      <sheetData sheetId="20"/>
      <sheetData sheetId="21"/>
      <sheetData sheetId="22"/>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Set>
  </externalBook>
</externalLink>
</file>

<file path=xl/externalLinks/externalLink15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공사비_NDE"/>
      <sheetName val="공사비_BULK"/>
      <sheetName val="공사비_INSUL"/>
      <sheetName val="BULK"/>
      <sheetName val="INSULATION"/>
      <sheetName val="PAINT"/>
      <sheetName val="NDE"/>
      <sheetName val="h-013211-2"/>
      <sheetName val="공사내역"/>
      <sheetName val="jobhist"/>
      <sheetName val="DATE"/>
      <sheetName val="전체"/>
      <sheetName val="청천내"/>
      <sheetName val="B"/>
      <sheetName val="세금자료"/>
      <sheetName val="VA_code"/>
      <sheetName val="현장업무"/>
      <sheetName val="접대비명세서"/>
      <sheetName val="산근"/>
      <sheetName val="노임단가"/>
      <sheetName val="공사계획서"/>
      <sheetName val="품셈표"/>
      <sheetName val="경제지표"/>
      <sheetName val="CAT_5"/>
      <sheetName val="수입"/>
      <sheetName val="내역서"/>
      <sheetName val="3.내역서"/>
      <sheetName val="GeneralNote"/>
      <sheetName val="노임"/>
      <sheetName val="Cash2"/>
      <sheetName val="Z"/>
      <sheetName val="eq_data"/>
      <sheetName val="A"/>
      <sheetName val="INSTR"/>
      <sheetName val="cable-data"/>
      <sheetName val="Panel제작명세서"/>
      <sheetName val="FILTER"/>
      <sheetName val="Pivot"/>
      <sheetName val="설계명세서-2"/>
      <sheetName val="UnitList"/>
      <sheetName val="data_dci"/>
      <sheetName val="data_mci"/>
      <sheetName val="behind"/>
      <sheetName val="Main"/>
      <sheetName val="BREAKDOWN"/>
      <sheetName val="BUSINESS TRIP-TRAVELING EXPENSE"/>
      <sheetName val="LIST OF AIR FARE"/>
      <sheetName val="CAMP - RENTAL"/>
      <sheetName val="CAMP - COMMON FACILITIES"/>
      <sheetName val="ELECTRIC POWER CONSUMPTION"/>
      <sheetName val="INDIRECT SALARY"/>
      <sheetName val="EUR, TCN &amp; LOC STAFF SALARY"/>
      <sheetName val="INDIRECT MOBILIZATION PLAN"/>
      <sheetName val="MANPOWER MOBILIZATION"/>
      <sheetName val="STAFF MOBILIZATION PLAN"/>
      <sheetName val="LABOR MOBILIZATION PLAN"/>
      <sheetName val="LIST OF OFFICE EQUIPMENT"/>
      <sheetName val="PERSONNEL SETUP"/>
      <sheetName val="KOREAN STAFF SALARY - BRANCH"/>
      <sheetName val="TEMPORARY FACILITIES"/>
      <sheetName val="WATER SUPPLY"/>
      <sheetName val="3.공통공사대비"/>
      <sheetName val="데이타"/>
      <sheetName val="PDS U-1400"/>
      <sheetName val="INPUT DATA"/>
      <sheetName val="품셈 "/>
      <sheetName val="공사비 내역 (가)"/>
      <sheetName val="1100-1200-1300-1910-2140-LEV 2"/>
      <sheetName val="TOTAL"/>
      <sheetName val="base"/>
      <sheetName val="설계내역서"/>
      <sheetName val="ANALYSER"/>
      <sheetName val="costing_CV"/>
      <sheetName val="CondPol"/>
      <sheetName val="Sheet1"/>
      <sheetName val="Cover"/>
      <sheetName val="정부노임단가"/>
      <sheetName val="설계명세서"/>
      <sheetName val="Data Pembukaan_1.1"/>
      <sheetName val="HVAC"/>
      <sheetName val="견적주요현황"/>
      <sheetName val="입력SHEET"/>
      <sheetName val="참고"/>
      <sheetName val="NEWCPS"/>
      <sheetName val="BQ"/>
      <sheetName val="w't table"/>
      <sheetName val="Ind"/>
      <sheetName val="mhrrate"/>
      <sheetName val="A01"/>
      <sheetName val="A11"/>
      <sheetName val="A16"/>
      <sheetName val="A02"/>
      <sheetName val="A03"/>
      <sheetName val="A04"/>
      <sheetName val="A05"/>
      <sheetName val="A06"/>
      <sheetName val="A07"/>
      <sheetName val="A08a"/>
      <sheetName val="A08b"/>
      <sheetName val="Currencies"/>
      <sheetName val="02-10 (실행)"/>
      <sheetName val="영업2"/>
      <sheetName val="영업3"/>
      <sheetName val="#REF"/>
      <sheetName val="Gia vat tu"/>
      <sheetName val="P-Ph3-F-002"/>
      <sheetName val="CODE"/>
      <sheetName val="동아합의"/>
      <sheetName val="3)단가산출 가)관종별접합및부설"/>
      <sheetName val="다)~아)"/>
      <sheetName val="cal"/>
      <sheetName val="실행철강하도"/>
      <sheetName val="영업소실적"/>
      <sheetName val="B31.1"/>
      <sheetName val="PSIZE"/>
      <sheetName val="cable"/>
      <sheetName val="3_내역서"/>
      <sheetName val="Unit_Name"/>
      <sheetName val="3_내역서1"/>
      <sheetName val="인원계획"/>
      <sheetName val="주관사업"/>
      <sheetName val="M-EQPT-Z"/>
      <sheetName val="손익차총괄2"/>
      <sheetName val="97 사업추정(WEKI)"/>
      <sheetName val="wordsdata"/>
      <sheetName val="Sheet4"/>
      <sheetName val="내역(원안-대안)"/>
      <sheetName val="Project overview"/>
      <sheetName val="금액"/>
      <sheetName val="Pump"/>
      <sheetName val="12CGOU"/>
      <sheetName val="VST재료산출"/>
      <sheetName val="Basic"/>
      <sheetName val="7.6.3(B) UG Piping"/>
      <sheetName val="TDC_ADMIN"/>
      <sheetName val="Requisitions"/>
      <sheetName val="ICDS"/>
      <sheetName val="Compressors"/>
      <sheetName val="SS2"/>
      <sheetName val="견적내역서"/>
      <sheetName val="일위대가 "/>
      <sheetName val="출금실적"/>
      <sheetName val="자재코드"/>
      <sheetName val="Table"/>
      <sheetName val="기초입력"/>
      <sheetName val="견적기준"/>
      <sheetName val="Marsh. FGS (Hours)"/>
      <sheetName val="Marsh. ESD (Materials)"/>
      <sheetName val="Marsh. FGS (Materials)"/>
      <sheetName val="Project Price Summary"/>
      <sheetName val="4002"/>
      <sheetName val="4-3LEVEL-5 epic.4"/>
      <sheetName val="잡비계산"/>
      <sheetName val="sum"/>
      <sheetName val="설계예산서"/>
      <sheetName val="예산내역서"/>
      <sheetName val="현장경비"/>
      <sheetName val=" Sum"/>
      <sheetName val="철거산출근거"/>
      <sheetName val="working load at the btm ft."/>
      <sheetName val="DATA1"/>
      <sheetName val="CoverShawIntl"/>
      <sheetName val="DropDown"/>
      <sheetName val="자재단가"/>
      <sheetName val="자재비"/>
      <sheetName val="동원인원"/>
      <sheetName val="calc"/>
      <sheetName val="DTCT"/>
      <sheetName val="SPrep_E4TK(R187)"/>
      <sheetName val="U00"/>
      <sheetName val="U01"/>
      <sheetName val="U02"/>
      <sheetName val="U03"/>
      <sheetName val="U06"/>
      <sheetName val="U07"/>
      <sheetName val="U08"/>
      <sheetName val="U09"/>
      <sheetName val="U10"/>
      <sheetName val="U11"/>
      <sheetName val="U13"/>
      <sheetName val="U21"/>
      <sheetName val="U25"/>
      <sheetName val="U26"/>
      <sheetName val="U29"/>
      <sheetName val="U30"/>
      <sheetName val="U31_Base"/>
      <sheetName val="U40"/>
      <sheetName val="U42"/>
      <sheetName val="U43"/>
      <sheetName val="U45"/>
      <sheetName val="U47"/>
      <sheetName val="U48"/>
      <sheetName val="U60"/>
      <sheetName val="SortedList"/>
      <sheetName val="상반기손익차2총괄"/>
      <sheetName val="수주추정"/>
      <sheetName val="도급예산내역서봉투"/>
      <sheetName val="공사원가계산서"/>
      <sheetName val="기계경비(시간당)"/>
      <sheetName val="설계산출표지"/>
      <sheetName val="도급예산내역서총괄표"/>
      <sheetName val="램머"/>
      <sheetName val="을부담운반비"/>
      <sheetName val="운반비산출"/>
      <sheetName val="입찰내역서"/>
      <sheetName val="계약고별 차등단가"/>
      <sheetName val="Foglio1"/>
      <sheetName val="vendors"/>
      <sheetName val="tower 10ton"/>
      <sheetName val="tower 12ton"/>
      <sheetName val="JIB CRANE,HOIST"/>
      <sheetName val="w't_table"/>
      <sheetName val="3)단가산출_가)관종별접합및부설"/>
      <sheetName val="PDS_U-1400"/>
      <sheetName val="INPUT_DATA"/>
      <sheetName val="품셈_"/>
      <sheetName val="BUSINESS_TRIP-TRAVELING_EXPENSE"/>
      <sheetName val="LIST_OF_AIR_FARE"/>
      <sheetName val="CAMP_-_RENTAL"/>
      <sheetName val="CAMP_-_COMMON_FACILITIES"/>
      <sheetName val="ELECTRIC_POWER_CONSUMPTION"/>
      <sheetName val="INDIRECT_SALARY"/>
      <sheetName val="EUR,_TCN_&amp;_LOC_STAFF_SALARY"/>
      <sheetName val="INDIRECT_MOBILIZATION_PLAN"/>
      <sheetName val="MANPOWER_MOBILIZATION"/>
      <sheetName val="STAFF_MOBILIZATION_PLAN"/>
      <sheetName val="LABOR_MOBILIZATION_PLAN"/>
      <sheetName val="LIST_OF_OFFICE_EQUIPMENT"/>
      <sheetName val="PERSONNEL_SETUP"/>
      <sheetName val="KOREAN_STAFF_SALARY_-_BRANCH"/>
      <sheetName val="TEMPORARY_FACILITIES"/>
      <sheetName val="WATER_SUPPLY"/>
      <sheetName val="이름정의"/>
      <sheetName val="INPUT"/>
      <sheetName val="Bend_fact "/>
      <sheetName val="계정"/>
      <sheetName val="COVERSHEET PAGE"/>
      <sheetName val="BM"/>
      <sheetName val="삭제금지단가"/>
      <sheetName val="Status"/>
      <sheetName val="ACTDATA"/>
      <sheetName val="AILC004"/>
      <sheetName val="ITB"/>
      <sheetName val="_Sum"/>
      <sheetName val="공사비_내역_(가)"/>
      <sheetName val="1100-1200-1300-1910-2140-LEV_2"/>
      <sheetName val="3_공통공사대비"/>
      <sheetName val="02-10_(실행)"/>
      <sheetName val="설계산출기초"/>
      <sheetName val="조명시설"/>
      <sheetName val="BUSINESS_TRIP-TRAVELING_EXPENS1"/>
      <sheetName val="LIST_OF_AIR_FARE1"/>
      <sheetName val="CAMP_-_RENTAL1"/>
      <sheetName val="CAMP_-_COMMON_FACILITIES1"/>
      <sheetName val="ELECTRIC_POWER_CONSUMPTION1"/>
      <sheetName val="INDIRECT_SALARY1"/>
      <sheetName val="EUR,_TCN_&amp;_LOC_STAFF_SALARY1"/>
      <sheetName val="INDIRECT_MOBILIZATION_PLAN1"/>
      <sheetName val="MANPOWER_MOBILIZATION1"/>
      <sheetName val="STAFF_MOBILIZATION_PLAN1"/>
      <sheetName val="LABOR_MOBILIZATION_PLAN1"/>
      <sheetName val="LIST_OF_OFFICE_EQUIPMENT1"/>
      <sheetName val="PERSONNEL_SETUP1"/>
      <sheetName val="KOREAN_STAFF_SALARY_-_BRANCH1"/>
      <sheetName val="TEMPORARY_FACILITIES1"/>
      <sheetName val="WATER_SUPPLY1"/>
      <sheetName val="PDS_U-14001"/>
      <sheetName val="INPUT_DATA1"/>
      <sheetName val="공사비_내역_(가)1"/>
      <sheetName val="품셈_1"/>
      <sheetName val="1100-1200-1300-1910-2140-LEV_21"/>
      <sheetName val="3_내역서2"/>
      <sheetName val="BUSINESS_TRIP-TRAVELING_EXPENS2"/>
      <sheetName val="LIST_OF_AIR_FARE2"/>
      <sheetName val="CAMP_-_RENTAL2"/>
      <sheetName val="CAMP_-_COMMON_FACILITIES2"/>
      <sheetName val="ELECTRIC_POWER_CONSUMPTION2"/>
      <sheetName val="INDIRECT_SALARY2"/>
      <sheetName val="EUR,_TCN_&amp;_LOC_STAFF_SALARY2"/>
      <sheetName val="INDIRECT_MOBILIZATION_PLAN2"/>
      <sheetName val="MANPOWER_MOBILIZATION2"/>
      <sheetName val="STAFF_MOBILIZATION_PLAN2"/>
      <sheetName val="LABOR_MOBILIZATION_PLAN2"/>
      <sheetName val="LIST_OF_OFFICE_EQUIPMENT2"/>
      <sheetName val="PERSONNEL_SETUP2"/>
      <sheetName val="KOREAN_STAFF_SALARY_-_BRANCH2"/>
      <sheetName val="TEMPORARY_FACILITIES2"/>
      <sheetName val="WATER_SUPPLY2"/>
      <sheetName val="PDS_U-14002"/>
      <sheetName val="INPUT_DATA2"/>
      <sheetName val="공사비_내역_(가)2"/>
      <sheetName val="품셈_2"/>
      <sheetName val="1100-1200-1300-1910-2140-LEV_22"/>
      <sheetName val="3_내역서4"/>
      <sheetName val="BUSINESS_TRIP-TRAVELING_EXPENS4"/>
      <sheetName val="LIST_OF_AIR_FARE4"/>
      <sheetName val="CAMP_-_RENTAL4"/>
      <sheetName val="CAMP_-_COMMON_FACILITIES4"/>
      <sheetName val="ELECTRIC_POWER_CONSUMPTION4"/>
      <sheetName val="INDIRECT_SALARY4"/>
      <sheetName val="EUR,_TCN_&amp;_LOC_STAFF_SALARY4"/>
      <sheetName val="INDIRECT_MOBILIZATION_PLAN4"/>
      <sheetName val="MANPOWER_MOBILIZATION4"/>
      <sheetName val="STAFF_MOBILIZATION_PLAN4"/>
      <sheetName val="LABOR_MOBILIZATION_PLAN4"/>
      <sheetName val="LIST_OF_OFFICE_EQUIPMENT4"/>
      <sheetName val="PERSONNEL_SETUP4"/>
      <sheetName val="KOREAN_STAFF_SALARY_-_BRANCH4"/>
      <sheetName val="TEMPORARY_FACILITIES4"/>
      <sheetName val="WATER_SUPPLY4"/>
      <sheetName val="PDS_U-14004"/>
      <sheetName val="INPUT_DATA4"/>
      <sheetName val="공사비_내역_(가)4"/>
      <sheetName val="품셈_4"/>
      <sheetName val="1100-1200-1300-1910-2140-LEV_24"/>
      <sheetName val="3_내역서3"/>
      <sheetName val="BUSINESS_TRIP-TRAVELING_EXPENS3"/>
      <sheetName val="LIST_OF_AIR_FARE3"/>
      <sheetName val="CAMP_-_RENTAL3"/>
      <sheetName val="CAMP_-_COMMON_FACILITIES3"/>
      <sheetName val="ELECTRIC_POWER_CONSUMPTION3"/>
      <sheetName val="INDIRECT_SALARY3"/>
      <sheetName val="EUR,_TCN_&amp;_LOC_STAFF_SALARY3"/>
      <sheetName val="INDIRECT_MOBILIZATION_PLAN3"/>
      <sheetName val="MANPOWER_MOBILIZATION3"/>
      <sheetName val="STAFF_MOBILIZATION_PLAN3"/>
      <sheetName val="LABOR_MOBILIZATION_PLAN3"/>
      <sheetName val="LIST_OF_OFFICE_EQUIPMENT3"/>
      <sheetName val="PERSONNEL_SETUP3"/>
      <sheetName val="KOREAN_STAFF_SALARY_-_BRANCH3"/>
      <sheetName val="TEMPORARY_FACILITIES3"/>
      <sheetName val="WATER_SUPPLY3"/>
      <sheetName val="PDS_U-14003"/>
      <sheetName val="INPUT_DATA3"/>
      <sheetName val="공사비_내역_(가)3"/>
      <sheetName val="품셈_3"/>
      <sheetName val="1100-1200-1300-1910-2140-LEV_23"/>
      <sheetName val="3_내역서5"/>
      <sheetName val="BUSINESS_TRIP-TRAVELING_EXPENS5"/>
      <sheetName val="LIST_OF_AIR_FARE5"/>
      <sheetName val="CAMP_-_RENTAL5"/>
      <sheetName val="CAMP_-_COMMON_FACILITIES5"/>
      <sheetName val="ELECTRIC_POWER_CONSUMPTION5"/>
      <sheetName val="INDIRECT_SALARY5"/>
      <sheetName val="EUR,_TCN_&amp;_LOC_STAFF_SALARY5"/>
      <sheetName val="INDIRECT_MOBILIZATION_PLAN5"/>
      <sheetName val="MANPOWER_MOBILIZATION5"/>
      <sheetName val="STAFF_MOBILIZATION_PLAN5"/>
      <sheetName val="LABOR_MOBILIZATION_PLAN5"/>
      <sheetName val="LIST_OF_OFFICE_EQUIPMENT5"/>
      <sheetName val="PERSONNEL_SETUP5"/>
      <sheetName val="KOREAN_STAFF_SALARY_-_BRANCH5"/>
      <sheetName val="TEMPORARY_FACILITIES5"/>
      <sheetName val="WATER_SUPPLY5"/>
      <sheetName val="PDS_U-14005"/>
      <sheetName val="INPUT_DATA5"/>
      <sheetName val="공사비_내역_(가)5"/>
      <sheetName val="품셈_5"/>
      <sheetName val="1100-1200-1300-1910-2140-LEV_25"/>
      <sheetName val="F.D."/>
      <sheetName val="집계표(option)"/>
      <sheetName val="Segment"/>
      <sheetName val=" 갑  지 "/>
      <sheetName val="INDEX"/>
      <sheetName val="플랜트 설치"/>
      <sheetName val="증감내역서"/>
      <sheetName val="P-산#1-1(WOWA1)"/>
      <sheetName val="ASCEandUBC"/>
      <sheetName val="_Sum2"/>
      <sheetName val="_Sum1"/>
      <sheetName val="기계내역서"/>
      <sheetName val="자료"/>
      <sheetName val="집계표"/>
      <sheetName val="7.공정표"/>
      <sheetName val="Spec1"/>
      <sheetName val="1호인버트수량"/>
      <sheetName val="#REF!"/>
      <sheetName val="BREAKDOWN(철거설치)"/>
      <sheetName val="C.배수관공"/>
      <sheetName val="Pipe"/>
      <sheetName val="EQT-ESTN"/>
      <sheetName val="Harga Satuan"/>
      <sheetName val="공정계획(내부계획25%,내부w.f)"/>
      <sheetName val="BAG_2"/>
      <sheetName val="BUDGET"/>
      <sheetName val="Analis Kusen okk"/>
      <sheetName val="Public Area"/>
      <sheetName val="板房区目标成本"/>
      <sheetName val="Ana. PU"/>
      <sheetName val="Konfirm"/>
      <sheetName val="MT"/>
      <sheetName val="BQ &amp; Harga"/>
      <sheetName val="Sumber Daya"/>
      <sheetName val="다이꾸"/>
      <sheetName val="손익차9월2"/>
      <sheetName val="수주현황2월"/>
      <sheetName val="3-DIV3"/>
      <sheetName val="analis standar(20m)"/>
      <sheetName val="ANAL BETON"/>
      <sheetName val="BoQ"/>
      <sheetName val="AnalisaSIPIL RIIL"/>
      <sheetName val="Bill No 6 Koord &amp; Attendance"/>
      <sheetName val="97_사업추정(WEKI)"/>
      <sheetName val="Gia_vat_tu"/>
      <sheetName val="B31_1"/>
      <sheetName val="Project_overview"/>
      <sheetName val="Data_Pembukaan_1_1"/>
      <sheetName val="7_6_3(B)_UG_Piping"/>
      <sheetName val="일위대가_"/>
      <sheetName val="Marsh__FGS_(Hours)"/>
      <sheetName val="Marsh__ESD_(Materials)"/>
      <sheetName val="Marsh__FGS_(Materials)"/>
      <sheetName val="Project_Price_Summary"/>
      <sheetName val="4-3LEVEL-5_epic_4"/>
      <sheetName val="w't_table1"/>
      <sheetName val="3)단가산출_가)관종별접합및부설1"/>
      <sheetName val="tower_10ton"/>
      <sheetName val="tower_12ton"/>
      <sheetName val="JIB_CRANE,HOIST"/>
      <sheetName val="working_load_at_the_btm_ft_"/>
      <sheetName val="L3-AAA"/>
      <sheetName val="2. OFF-PLOT RFC1"/>
      <sheetName val="자재단가조사표-수목"/>
      <sheetName val="TDI ISBL"/>
      <sheetName val="REDUCER"/>
      <sheetName val="WE'T"/>
      <sheetName val="협력업체"/>
      <sheetName val="BLDG_DCI"/>
      <sheetName val="BLDG_MCI"/>
      <sheetName val="RFP Codes"/>
      <sheetName val="Phase 2A - REvised"/>
      <sheetName val="derive"/>
      <sheetName val="96.12"/>
      <sheetName val="BQ Bpo stand alone"/>
      <sheetName val="Interior Wall TAKE OFF"/>
      <sheetName val="9-30-06 graduates"/>
      <sheetName val="EX_STRBQ"/>
      <sheetName val="경비일위"/>
      <sheetName val="경비목록"/>
      <sheetName val="계산일위"/>
      <sheetName val="계산목록"/>
      <sheetName val="단위일위"/>
      <sheetName val="단위목록"/>
      <sheetName val="3.옥내전력"/>
      <sheetName val="1.옥외전력"/>
      <sheetName val="자재"/>
      <sheetName val="4.자탐설비"/>
      <sheetName val="2.전력장치"/>
      <sheetName val="조합일위"/>
      <sheetName val="조합목록"/>
      <sheetName val="21301동"/>
      <sheetName val="A(Rev.3)"/>
      <sheetName val="D 5243-ARAMCO"/>
      <sheetName val="D-4801 OXY"/>
      <sheetName val="단가표"/>
      <sheetName val="내역"/>
      <sheetName val="EXPAN-1"/>
      <sheetName val="3_내역서6"/>
      <sheetName val="품셈_6"/>
      <sheetName val="BUSINESS_TRIP-TRAVELING_EXPENS6"/>
      <sheetName val="LIST_OF_AIR_FARE6"/>
      <sheetName val="CAMP_-_RENTAL6"/>
      <sheetName val="CAMP_-_COMMON_FACILITIES6"/>
      <sheetName val="ELECTRIC_POWER_CONSUMPTION6"/>
      <sheetName val="INDIRECT_SALARY6"/>
      <sheetName val="EUR,_TCN_&amp;_LOC_STAFF_SALARY6"/>
      <sheetName val="INDIRECT_MOBILIZATION_PLAN6"/>
      <sheetName val="MANPOWER_MOBILIZATION6"/>
      <sheetName val="STAFF_MOBILIZATION_PLAN6"/>
      <sheetName val="LABOR_MOBILIZATION_PLAN6"/>
      <sheetName val="LIST_OF_OFFICE_EQUIPMENT6"/>
      <sheetName val="PERSONNEL_SETUP6"/>
      <sheetName val="KOREAN_STAFF_SALARY_-_BRANCH6"/>
      <sheetName val="TEMPORARY_FACILITIES6"/>
      <sheetName val="WATER_SUPPLY6"/>
      <sheetName val="공사비_내역_(가)6"/>
      <sheetName val="PDS_U-14006"/>
      <sheetName val="INPUT_DATA6"/>
      <sheetName val="1100-1200-1300-1910-2140-LEV_26"/>
      <sheetName val="3_공통공사대비1"/>
      <sheetName val="02-10_(실행)1"/>
      <sheetName val="97_사업추정(WEKI)1"/>
      <sheetName val="Gia_vat_tu1"/>
      <sheetName val="B31_11"/>
      <sheetName val="Project_overview1"/>
      <sheetName val="Data_Pembukaan_1_11"/>
      <sheetName val="7_6_3(B)_UG_Piping1"/>
      <sheetName val="일위대가_1"/>
      <sheetName val="Marsh__FGS_(Hours)1"/>
      <sheetName val="Marsh__ESD_(Materials)1"/>
      <sheetName val="Marsh__FGS_(Materials)1"/>
      <sheetName val="Project_Price_Summary1"/>
      <sheetName val="4-3LEVEL-5_epic_41"/>
      <sheetName val="계약고별_차등단가"/>
      <sheetName val="F_D_"/>
      <sheetName val="Bend_fact_"/>
      <sheetName val="COVERSHEET_PAGE"/>
      <sheetName val="플랜트_설치"/>
      <sheetName val="_갑__지_"/>
      <sheetName val="STAND20"/>
      <sheetName val="간접비 총괄표"/>
      <sheetName val="1999-2000 MONTHLY CASHFLOW"/>
      <sheetName val="Summ"/>
      <sheetName val="RFP_Codes"/>
      <sheetName val="Phase_2A_-_REvised"/>
      <sheetName val="96_12"/>
      <sheetName val="BQ_Bpo_stand_alone"/>
      <sheetName val="Interior_Wall_TAKE_OFF"/>
      <sheetName val="9-30-06_graduates"/>
      <sheetName val="1999-2000_MONTHLY_CASHFLOW"/>
      <sheetName val="PCSum"/>
      <sheetName val="POWER"/>
      <sheetName val="RW48 E"/>
      <sheetName val="Summary"/>
      <sheetName val="요약"/>
      <sheetName val="COST-TZ"/>
      <sheetName val="일위대가"/>
    </sheetNames>
    <sheetDataSet>
      <sheetData sheetId="0" refreshError="1">
        <row r="1">
          <cell r="A1" t="str">
            <v>AREA</v>
          </cell>
          <cell r="B1" t="str">
            <v>SPC1</v>
          </cell>
          <cell r="C1" t="str">
            <v>SERCOD</v>
          </cell>
          <cell r="D1" t="str">
            <v>LINO</v>
          </cell>
          <cell r="E1" t="str">
            <v>ITNM</v>
          </cell>
          <cell r="F1" t="str">
            <v>GROUP</v>
          </cell>
          <cell r="G1" t="str">
            <v>MAT_CODE</v>
          </cell>
          <cell r="H1" t="str">
            <v>SIZ1</v>
          </cell>
          <cell r="I1" t="str">
            <v>SIZ2</v>
          </cell>
          <cell r="J1" t="str">
            <v>QTY</v>
          </cell>
          <cell r="K1" t="str">
            <v>QTY</v>
          </cell>
        </row>
        <row r="2">
          <cell r="A2" t="str">
            <v>M1</v>
          </cell>
          <cell r="B2" t="str">
            <v>B2C</v>
          </cell>
          <cell r="C2" t="str">
            <v>SH</v>
          </cell>
          <cell r="D2" t="str">
            <v>22611</v>
          </cell>
          <cell r="E2" t="str">
            <v>PIPE</v>
          </cell>
          <cell r="F2">
            <v>1</v>
          </cell>
          <cell r="G2" t="str">
            <v>CB100508000H00</v>
          </cell>
          <cell r="H2">
            <v>0.5</v>
          </cell>
          <cell r="I2" t="str">
            <v>--</v>
          </cell>
          <cell r="J2">
            <v>0.3</v>
          </cell>
          <cell r="K2">
            <v>0.3</v>
          </cell>
        </row>
        <row r="3">
          <cell r="A3" t="str">
            <v>M1</v>
          </cell>
          <cell r="B3" t="str">
            <v>A5C</v>
          </cell>
          <cell r="C3" t="str">
            <v>P</v>
          </cell>
          <cell r="D3" t="str">
            <v>22065</v>
          </cell>
          <cell r="E3" t="str">
            <v>PIPE</v>
          </cell>
          <cell r="F3">
            <v>1</v>
          </cell>
          <cell r="G3" t="str">
            <v>CB100508000H00</v>
          </cell>
          <cell r="H3">
            <v>0.5</v>
          </cell>
          <cell r="I3" t="str">
            <v>--</v>
          </cell>
          <cell r="J3">
            <v>0.5</v>
          </cell>
          <cell r="K3">
            <v>0.5</v>
          </cell>
        </row>
        <row r="4">
          <cell r="A4" t="str">
            <v>M1</v>
          </cell>
          <cell r="B4" t="str">
            <v>A5C</v>
          </cell>
          <cell r="C4" t="str">
            <v>P</v>
          </cell>
          <cell r="D4" t="str">
            <v>22157</v>
          </cell>
          <cell r="E4" t="str">
            <v>PIPE</v>
          </cell>
          <cell r="F4">
            <v>1</v>
          </cell>
          <cell r="G4" t="str">
            <v>CB100508000H00</v>
          </cell>
          <cell r="H4">
            <v>0.5</v>
          </cell>
          <cell r="I4" t="str">
            <v>--</v>
          </cell>
          <cell r="J4">
            <v>0.8</v>
          </cell>
          <cell r="K4">
            <v>0.8</v>
          </cell>
        </row>
        <row r="5">
          <cell r="A5" t="str">
            <v>M1</v>
          </cell>
          <cell r="B5" t="str">
            <v>A5C</v>
          </cell>
          <cell r="C5" t="str">
            <v>P</v>
          </cell>
          <cell r="D5" t="str">
            <v>22158</v>
          </cell>
          <cell r="E5" t="str">
            <v>PIPE</v>
          </cell>
          <cell r="F5">
            <v>1</v>
          </cell>
          <cell r="G5" t="str">
            <v>CB100508000H00</v>
          </cell>
          <cell r="H5">
            <v>0.5</v>
          </cell>
          <cell r="I5" t="str">
            <v>--</v>
          </cell>
          <cell r="J5">
            <v>0.8</v>
          </cell>
          <cell r="K5">
            <v>0.8</v>
          </cell>
        </row>
        <row r="6">
          <cell r="A6" t="str">
            <v>M1</v>
          </cell>
          <cell r="B6" t="str">
            <v>A5C</v>
          </cell>
          <cell r="C6" t="str">
            <v>P</v>
          </cell>
          <cell r="D6" t="str">
            <v>22040</v>
          </cell>
          <cell r="E6" t="str">
            <v>PIPE</v>
          </cell>
          <cell r="F6">
            <v>1</v>
          </cell>
          <cell r="G6" t="str">
            <v>CB100508000H00</v>
          </cell>
          <cell r="H6">
            <v>0.5</v>
          </cell>
          <cell r="I6" t="str">
            <v>--</v>
          </cell>
          <cell r="J6">
            <v>0.8</v>
          </cell>
          <cell r="K6">
            <v>0.8</v>
          </cell>
        </row>
        <row r="7">
          <cell r="A7" t="str">
            <v>M1</v>
          </cell>
          <cell r="B7" t="str">
            <v>A5C</v>
          </cell>
          <cell r="C7" t="str">
            <v>P</v>
          </cell>
          <cell r="D7" t="str">
            <v>22039</v>
          </cell>
          <cell r="E7" t="str">
            <v>PIPE</v>
          </cell>
          <cell r="F7">
            <v>1</v>
          </cell>
          <cell r="G7" t="str">
            <v>CB100508000H00</v>
          </cell>
          <cell r="H7">
            <v>0.5</v>
          </cell>
          <cell r="I7" t="str">
            <v>--</v>
          </cell>
          <cell r="J7">
            <v>0.8</v>
          </cell>
          <cell r="K7">
            <v>0.8</v>
          </cell>
        </row>
        <row r="8">
          <cell r="A8" t="str">
            <v>M1</v>
          </cell>
          <cell r="B8" t="str">
            <v>A5C</v>
          </cell>
          <cell r="C8" t="str">
            <v>P</v>
          </cell>
          <cell r="D8" t="str">
            <v>22041</v>
          </cell>
          <cell r="E8" t="str">
            <v>PIPE</v>
          </cell>
          <cell r="F8">
            <v>1</v>
          </cell>
          <cell r="G8" t="str">
            <v>CB100508000H00</v>
          </cell>
          <cell r="H8">
            <v>0.5</v>
          </cell>
          <cell r="I8" t="str">
            <v>--</v>
          </cell>
          <cell r="J8">
            <v>0.8</v>
          </cell>
          <cell r="K8">
            <v>0.8</v>
          </cell>
        </row>
        <row r="9">
          <cell r="A9" t="str">
            <v>M1</v>
          </cell>
          <cell r="B9" t="str">
            <v>A5C</v>
          </cell>
          <cell r="C9" t="str">
            <v>N</v>
          </cell>
          <cell r="D9" t="str">
            <v>22670</v>
          </cell>
          <cell r="E9" t="str">
            <v>PIPE</v>
          </cell>
          <cell r="F9">
            <v>1</v>
          </cell>
          <cell r="G9" t="str">
            <v>CB100508000H00</v>
          </cell>
          <cell r="H9">
            <v>0.5</v>
          </cell>
          <cell r="I9" t="str">
            <v>--</v>
          </cell>
          <cell r="J9">
            <v>1</v>
          </cell>
          <cell r="K9">
            <v>1</v>
          </cell>
        </row>
        <row r="10">
          <cell r="A10" t="str">
            <v>M1</v>
          </cell>
          <cell r="B10" t="str">
            <v>A4C</v>
          </cell>
          <cell r="C10" t="str">
            <v>P</v>
          </cell>
          <cell r="D10" t="str">
            <v>22031</v>
          </cell>
          <cell r="E10" t="str">
            <v>PIPE</v>
          </cell>
          <cell r="F10">
            <v>1</v>
          </cell>
          <cell r="G10" t="str">
            <v>CB110508000H00</v>
          </cell>
          <cell r="H10">
            <v>0.5</v>
          </cell>
          <cell r="I10" t="str">
            <v>--</v>
          </cell>
          <cell r="J10">
            <v>3</v>
          </cell>
          <cell r="K10">
            <v>3</v>
          </cell>
        </row>
        <row r="11">
          <cell r="A11" t="str">
            <v>M1</v>
          </cell>
          <cell r="B11" t="str">
            <v>A5C</v>
          </cell>
          <cell r="C11" t="str">
            <v>SCD</v>
          </cell>
          <cell r="D11" t="str">
            <v>HOLD1</v>
          </cell>
          <cell r="E11" t="str">
            <v>PIPE</v>
          </cell>
          <cell r="F11">
            <v>1</v>
          </cell>
          <cell r="G11" t="str">
            <v>CB100508000H00</v>
          </cell>
          <cell r="H11">
            <v>0.5</v>
          </cell>
          <cell r="I11" t="str">
            <v>--</v>
          </cell>
          <cell r="J11">
            <v>4</v>
          </cell>
          <cell r="K11">
            <v>4</v>
          </cell>
        </row>
        <row r="12">
          <cell r="A12" t="str">
            <v>M1</v>
          </cell>
          <cell r="B12" t="str">
            <v>A5C</v>
          </cell>
          <cell r="C12" t="str">
            <v>SCC</v>
          </cell>
          <cell r="D12" t="str">
            <v>HOLD1</v>
          </cell>
          <cell r="E12" t="str">
            <v>PIPE</v>
          </cell>
          <cell r="F12">
            <v>1</v>
          </cell>
          <cell r="G12" t="str">
            <v>CB100508000H00</v>
          </cell>
          <cell r="H12">
            <v>0.5</v>
          </cell>
          <cell r="I12" t="str">
            <v>--</v>
          </cell>
          <cell r="J12">
            <v>5</v>
          </cell>
          <cell r="K12">
            <v>5</v>
          </cell>
        </row>
        <row r="13">
          <cell r="A13" t="str">
            <v>M1</v>
          </cell>
          <cell r="B13" t="str">
            <v>A5C</v>
          </cell>
          <cell r="C13" t="str">
            <v>P</v>
          </cell>
          <cell r="D13" t="str">
            <v>22107</v>
          </cell>
          <cell r="E13" t="str">
            <v>PIPE</v>
          </cell>
          <cell r="F13">
            <v>1</v>
          </cell>
          <cell r="G13" t="str">
            <v>CB100508000H00</v>
          </cell>
          <cell r="H13">
            <v>0.5</v>
          </cell>
          <cell r="I13" t="str">
            <v>--</v>
          </cell>
          <cell r="J13">
            <v>19.600000000000001</v>
          </cell>
          <cell r="K13">
            <v>19.600000000000001</v>
          </cell>
        </row>
        <row r="14">
          <cell r="A14" t="str">
            <v>M1</v>
          </cell>
          <cell r="B14" t="str">
            <v>A5C</v>
          </cell>
          <cell r="C14" t="str">
            <v>COMP</v>
          </cell>
          <cell r="D14" t="str">
            <v>006</v>
          </cell>
          <cell r="E14" t="str">
            <v>PIPE</v>
          </cell>
          <cell r="F14">
            <v>1</v>
          </cell>
          <cell r="G14" t="str">
            <v>CB100508000H00</v>
          </cell>
          <cell r="H14">
            <v>0.5</v>
          </cell>
          <cell r="I14" t="str">
            <v>--</v>
          </cell>
          <cell r="J14">
            <v>36</v>
          </cell>
          <cell r="K14">
            <v>36</v>
          </cell>
        </row>
        <row r="15">
          <cell r="A15" t="str">
            <v>M1</v>
          </cell>
          <cell r="B15" t="str">
            <v>B2C</v>
          </cell>
          <cell r="C15" t="str">
            <v>SH</v>
          </cell>
          <cell r="D15" t="str">
            <v>22601</v>
          </cell>
          <cell r="E15" t="str">
            <v>PIPE</v>
          </cell>
          <cell r="F15">
            <v>1</v>
          </cell>
          <cell r="G15" t="str">
            <v>CB100508000T00</v>
          </cell>
          <cell r="H15">
            <v>0.75</v>
          </cell>
          <cell r="I15" t="str">
            <v>--</v>
          </cell>
          <cell r="J15">
            <v>0.2</v>
          </cell>
          <cell r="K15">
            <v>0.2</v>
          </cell>
        </row>
        <row r="16">
          <cell r="A16" t="str">
            <v>M1</v>
          </cell>
          <cell r="B16" t="str">
            <v>A5C</v>
          </cell>
          <cell r="C16" t="str">
            <v>N</v>
          </cell>
          <cell r="D16" t="str">
            <v>25613</v>
          </cell>
          <cell r="E16" t="str">
            <v>PIPE</v>
          </cell>
          <cell r="F16">
            <v>1</v>
          </cell>
          <cell r="G16" t="str">
            <v>CB100508000T00</v>
          </cell>
          <cell r="H16">
            <v>0.75</v>
          </cell>
          <cell r="I16" t="str">
            <v>--</v>
          </cell>
          <cell r="J16">
            <v>0.2</v>
          </cell>
          <cell r="K16">
            <v>0.2</v>
          </cell>
        </row>
        <row r="17">
          <cell r="A17" t="str">
            <v>M1</v>
          </cell>
          <cell r="B17" t="str">
            <v>B1C</v>
          </cell>
          <cell r="C17" t="str">
            <v>P</v>
          </cell>
          <cell r="D17" t="str">
            <v>22029</v>
          </cell>
          <cell r="E17" t="str">
            <v>PIPE</v>
          </cell>
          <cell r="F17">
            <v>1</v>
          </cell>
          <cell r="G17" t="str">
            <v>CB100508000T00</v>
          </cell>
          <cell r="H17">
            <v>0.75</v>
          </cell>
          <cell r="I17" t="str">
            <v>--</v>
          </cell>
          <cell r="J17">
            <v>0.2</v>
          </cell>
          <cell r="K17">
            <v>0.2</v>
          </cell>
        </row>
        <row r="18">
          <cell r="A18" t="str">
            <v>M1</v>
          </cell>
          <cell r="B18" t="str">
            <v>A5C</v>
          </cell>
          <cell r="C18" t="str">
            <v>N</v>
          </cell>
          <cell r="D18" t="str">
            <v>25618</v>
          </cell>
          <cell r="E18" t="str">
            <v>PIPE</v>
          </cell>
          <cell r="F18">
            <v>1</v>
          </cell>
          <cell r="G18" t="str">
            <v>CB100508000T00</v>
          </cell>
          <cell r="H18">
            <v>0.75</v>
          </cell>
          <cell r="I18" t="str">
            <v>--</v>
          </cell>
          <cell r="J18">
            <v>0.3</v>
          </cell>
          <cell r="K18">
            <v>0.3</v>
          </cell>
        </row>
        <row r="19">
          <cell r="A19" t="str">
            <v>M1</v>
          </cell>
          <cell r="B19" t="str">
            <v>A6C</v>
          </cell>
          <cell r="C19" t="str">
            <v>HOR</v>
          </cell>
          <cell r="D19" t="str">
            <v>65622</v>
          </cell>
          <cell r="E19" t="str">
            <v>PIPE</v>
          </cell>
          <cell r="F19">
            <v>1</v>
          </cell>
          <cell r="G19" t="str">
            <v>CB100508000T00</v>
          </cell>
          <cell r="H19">
            <v>0.75</v>
          </cell>
          <cell r="I19" t="str">
            <v>--</v>
          </cell>
          <cell r="J19">
            <v>0.4</v>
          </cell>
          <cell r="K19">
            <v>0.4</v>
          </cell>
        </row>
        <row r="20">
          <cell r="A20" t="str">
            <v>M1</v>
          </cell>
          <cell r="B20" t="str">
            <v>B1X</v>
          </cell>
          <cell r="C20" t="str">
            <v>P</v>
          </cell>
          <cell r="D20" t="str">
            <v>22042</v>
          </cell>
          <cell r="E20" t="str">
            <v>PIPE</v>
          </cell>
          <cell r="F20">
            <v>1</v>
          </cell>
          <cell r="G20" t="str">
            <v>CB100508000T00</v>
          </cell>
          <cell r="H20">
            <v>0.75</v>
          </cell>
          <cell r="I20" t="str">
            <v>--</v>
          </cell>
          <cell r="J20">
            <v>0.4</v>
          </cell>
          <cell r="K20">
            <v>0.4</v>
          </cell>
        </row>
        <row r="21">
          <cell r="A21" t="str">
            <v>M1</v>
          </cell>
          <cell r="B21" t="str">
            <v>A6C</v>
          </cell>
          <cell r="C21" t="str">
            <v>TRIM</v>
          </cell>
          <cell r="D21" t="str">
            <v>H-6501</v>
          </cell>
          <cell r="E21" t="str">
            <v>PIPE</v>
          </cell>
          <cell r="F21">
            <v>1</v>
          </cell>
          <cell r="G21" t="str">
            <v>CB100508000T00</v>
          </cell>
          <cell r="H21">
            <v>0.75</v>
          </cell>
          <cell r="I21" t="str">
            <v>--</v>
          </cell>
          <cell r="J21">
            <v>0.5</v>
          </cell>
          <cell r="K21">
            <v>0.5</v>
          </cell>
        </row>
        <row r="22">
          <cell r="A22" t="str">
            <v>M1</v>
          </cell>
          <cell r="B22" t="str">
            <v>A5C</v>
          </cell>
          <cell r="C22" t="str">
            <v>WW</v>
          </cell>
          <cell r="D22" t="str">
            <v>22601</v>
          </cell>
          <cell r="E22" t="str">
            <v>PIPE</v>
          </cell>
          <cell r="F22">
            <v>1</v>
          </cell>
          <cell r="G22" t="str">
            <v>CB100508000T00</v>
          </cell>
          <cell r="H22">
            <v>0.75</v>
          </cell>
          <cell r="I22" t="str">
            <v>--</v>
          </cell>
          <cell r="J22">
            <v>1</v>
          </cell>
          <cell r="K22">
            <v>1</v>
          </cell>
        </row>
        <row r="23">
          <cell r="A23" t="str">
            <v>M1</v>
          </cell>
          <cell r="B23" t="str">
            <v>A5C</v>
          </cell>
          <cell r="C23" t="str">
            <v>N</v>
          </cell>
          <cell r="D23" t="str">
            <v>22617</v>
          </cell>
          <cell r="E23" t="str">
            <v>PIPE</v>
          </cell>
          <cell r="F23">
            <v>1</v>
          </cell>
          <cell r="G23" t="str">
            <v>CB100508000T00</v>
          </cell>
          <cell r="H23">
            <v>0.75</v>
          </cell>
          <cell r="I23" t="str">
            <v>--</v>
          </cell>
          <cell r="J23">
            <v>1.3</v>
          </cell>
          <cell r="K23">
            <v>1.3</v>
          </cell>
        </row>
        <row r="24">
          <cell r="A24" t="str">
            <v>M1</v>
          </cell>
          <cell r="B24" t="str">
            <v>A5C</v>
          </cell>
          <cell r="C24" t="str">
            <v>N</v>
          </cell>
          <cell r="D24" t="str">
            <v>22670</v>
          </cell>
          <cell r="E24" t="str">
            <v>PIPE</v>
          </cell>
          <cell r="F24">
            <v>1</v>
          </cell>
          <cell r="G24" t="str">
            <v>CB100508000T00</v>
          </cell>
          <cell r="H24">
            <v>0.75</v>
          </cell>
          <cell r="I24" t="str">
            <v>--</v>
          </cell>
          <cell r="J24">
            <v>1.3</v>
          </cell>
          <cell r="K24">
            <v>1.3</v>
          </cell>
        </row>
        <row r="25">
          <cell r="A25" t="str">
            <v>M1</v>
          </cell>
          <cell r="B25" t="str">
            <v>A6C</v>
          </cell>
          <cell r="C25" t="str">
            <v>TRIM</v>
          </cell>
          <cell r="D25" t="str">
            <v>V-6502</v>
          </cell>
          <cell r="E25" t="str">
            <v>PIPE</v>
          </cell>
          <cell r="F25">
            <v>1</v>
          </cell>
          <cell r="G25" t="str">
            <v>CB100508000T00</v>
          </cell>
          <cell r="H25">
            <v>0.75</v>
          </cell>
          <cell r="I25" t="str">
            <v>--</v>
          </cell>
          <cell r="J25">
            <v>1.6</v>
          </cell>
          <cell r="K25">
            <v>1.6</v>
          </cell>
        </row>
        <row r="26">
          <cell r="A26" t="str">
            <v>M1</v>
          </cell>
          <cell r="B26" t="str">
            <v>A6C</v>
          </cell>
          <cell r="C26" t="str">
            <v>HOR</v>
          </cell>
          <cell r="D26" t="str">
            <v>65612</v>
          </cell>
          <cell r="E26" t="str">
            <v>PIPE</v>
          </cell>
          <cell r="F26">
            <v>1</v>
          </cell>
          <cell r="G26" t="str">
            <v>CB100508000T00</v>
          </cell>
          <cell r="H26">
            <v>0.75</v>
          </cell>
          <cell r="I26" t="str">
            <v>--</v>
          </cell>
          <cell r="J26">
            <v>2</v>
          </cell>
          <cell r="K26">
            <v>2</v>
          </cell>
        </row>
        <row r="27">
          <cell r="A27" t="str">
            <v>M1</v>
          </cell>
          <cell r="B27" t="str">
            <v>A6C</v>
          </cell>
          <cell r="C27" t="str">
            <v>HOS</v>
          </cell>
          <cell r="D27" t="str">
            <v>65634</v>
          </cell>
          <cell r="E27" t="str">
            <v>PIPE</v>
          </cell>
          <cell r="F27">
            <v>1</v>
          </cell>
          <cell r="G27" t="str">
            <v>CB100508000T00</v>
          </cell>
          <cell r="H27">
            <v>0.75</v>
          </cell>
          <cell r="I27" t="str">
            <v>--</v>
          </cell>
          <cell r="J27">
            <v>5.8</v>
          </cell>
          <cell r="K27">
            <v>5.8</v>
          </cell>
        </row>
        <row r="28">
          <cell r="A28" t="str">
            <v>M1</v>
          </cell>
          <cell r="B28" t="str">
            <v>A6C</v>
          </cell>
          <cell r="C28" t="str">
            <v>HOR</v>
          </cell>
          <cell r="D28" t="str">
            <v>65620</v>
          </cell>
          <cell r="E28" t="str">
            <v>PIPE</v>
          </cell>
          <cell r="F28">
            <v>1</v>
          </cell>
          <cell r="G28" t="str">
            <v>CB100508000T00</v>
          </cell>
          <cell r="H28">
            <v>0.75</v>
          </cell>
          <cell r="I28" t="str">
            <v>--</v>
          </cell>
          <cell r="J28">
            <v>7.7</v>
          </cell>
          <cell r="K28">
            <v>7.7</v>
          </cell>
        </row>
        <row r="29">
          <cell r="A29" t="str">
            <v>M1</v>
          </cell>
          <cell r="B29" t="str">
            <v>A6C</v>
          </cell>
          <cell r="C29" t="str">
            <v>HOR</v>
          </cell>
          <cell r="D29" t="str">
            <v>65612</v>
          </cell>
          <cell r="E29" t="str">
            <v>PIPE</v>
          </cell>
          <cell r="F29">
            <v>1</v>
          </cell>
          <cell r="G29" t="str">
            <v>CB100508000T00</v>
          </cell>
          <cell r="H29">
            <v>0.75</v>
          </cell>
          <cell r="I29" t="str">
            <v>--</v>
          </cell>
          <cell r="J29">
            <v>10.6</v>
          </cell>
          <cell r="K29">
            <v>10.6</v>
          </cell>
        </row>
        <row r="30">
          <cell r="A30" t="str">
            <v>M1</v>
          </cell>
          <cell r="B30" t="str">
            <v>A5C</v>
          </cell>
          <cell r="C30" t="str">
            <v>P</v>
          </cell>
          <cell r="D30" t="str">
            <v>22065</v>
          </cell>
          <cell r="E30" t="str">
            <v>PIPE</v>
          </cell>
          <cell r="F30">
            <v>1</v>
          </cell>
          <cell r="G30" t="str">
            <v>CB100508000T00</v>
          </cell>
          <cell r="H30">
            <v>0.75</v>
          </cell>
          <cell r="I30" t="str">
            <v>--</v>
          </cell>
          <cell r="J30">
            <v>17.5</v>
          </cell>
          <cell r="K30">
            <v>17.5</v>
          </cell>
        </row>
        <row r="31">
          <cell r="A31" t="str">
            <v>M1</v>
          </cell>
          <cell r="B31" t="str">
            <v>A6C</v>
          </cell>
          <cell r="C31" t="str">
            <v>HOS</v>
          </cell>
          <cell r="D31" t="str">
            <v>65629</v>
          </cell>
          <cell r="E31" t="str">
            <v>PIPE</v>
          </cell>
          <cell r="F31">
            <v>1</v>
          </cell>
          <cell r="G31" t="str">
            <v>CB100508000T00</v>
          </cell>
          <cell r="H31">
            <v>0.75</v>
          </cell>
          <cell r="I31" t="str">
            <v>--</v>
          </cell>
          <cell r="J31">
            <v>24.5</v>
          </cell>
          <cell r="K31">
            <v>24.5</v>
          </cell>
        </row>
        <row r="32">
          <cell r="A32" t="str">
            <v>M1</v>
          </cell>
          <cell r="B32" t="str">
            <v>A5C</v>
          </cell>
          <cell r="C32" t="str">
            <v>SCD</v>
          </cell>
          <cell r="D32" t="str">
            <v>HOLD1</v>
          </cell>
          <cell r="E32" t="str">
            <v>PIPE</v>
          </cell>
          <cell r="F32">
            <v>1</v>
          </cell>
          <cell r="G32" t="str">
            <v>CB100508000T00</v>
          </cell>
          <cell r="H32">
            <v>0.75</v>
          </cell>
          <cell r="I32" t="str">
            <v>--</v>
          </cell>
          <cell r="J32">
            <v>25</v>
          </cell>
          <cell r="K32">
            <v>25</v>
          </cell>
        </row>
        <row r="33">
          <cell r="A33" t="str">
            <v>M1</v>
          </cell>
          <cell r="B33" t="str">
            <v>A5C</v>
          </cell>
          <cell r="C33" t="str">
            <v>P</v>
          </cell>
          <cell r="D33" t="str">
            <v>24029</v>
          </cell>
          <cell r="E33" t="str">
            <v>PIPE</v>
          </cell>
          <cell r="F33">
            <v>1</v>
          </cell>
          <cell r="G33" t="str">
            <v>CB100508000T00</v>
          </cell>
          <cell r="H33">
            <v>0.75</v>
          </cell>
          <cell r="I33" t="str">
            <v>--</v>
          </cell>
          <cell r="J33">
            <v>36</v>
          </cell>
          <cell r="K33">
            <v>36</v>
          </cell>
        </row>
        <row r="34">
          <cell r="A34" t="str">
            <v>M1</v>
          </cell>
          <cell r="B34" t="str">
            <v>A5C</v>
          </cell>
          <cell r="C34" t="str">
            <v>SCC</v>
          </cell>
          <cell r="D34" t="str">
            <v>HOLD1</v>
          </cell>
          <cell r="E34" t="str">
            <v>PIPE</v>
          </cell>
          <cell r="F34">
            <v>1</v>
          </cell>
          <cell r="G34" t="str">
            <v>CB100508000T00</v>
          </cell>
          <cell r="H34">
            <v>0.75</v>
          </cell>
          <cell r="I34" t="str">
            <v>--</v>
          </cell>
          <cell r="J34">
            <v>41</v>
          </cell>
          <cell r="K34">
            <v>41</v>
          </cell>
        </row>
        <row r="35">
          <cell r="A35" t="str">
            <v>M1</v>
          </cell>
          <cell r="B35" t="str">
            <v>B2C</v>
          </cell>
          <cell r="C35" t="str">
            <v>SH</v>
          </cell>
          <cell r="D35" t="str">
            <v>22611</v>
          </cell>
          <cell r="E35" t="str">
            <v>PIPE</v>
          </cell>
          <cell r="F35">
            <v>1</v>
          </cell>
          <cell r="G35" t="str">
            <v>CB100508000100</v>
          </cell>
          <cell r="H35">
            <v>1</v>
          </cell>
          <cell r="I35" t="str">
            <v>--</v>
          </cell>
          <cell r="J35">
            <v>0.2</v>
          </cell>
          <cell r="K35">
            <v>0.2</v>
          </cell>
        </row>
        <row r="36">
          <cell r="A36" t="str">
            <v>M1</v>
          </cell>
          <cell r="B36" t="str">
            <v>A5C</v>
          </cell>
          <cell r="C36" t="str">
            <v>P</v>
          </cell>
          <cell r="D36" t="str">
            <v>22130</v>
          </cell>
          <cell r="E36" t="str">
            <v>PIPE</v>
          </cell>
          <cell r="F36">
            <v>1</v>
          </cell>
          <cell r="G36" t="str">
            <v>CB100508000100</v>
          </cell>
          <cell r="H36">
            <v>1</v>
          </cell>
          <cell r="I36" t="str">
            <v>--</v>
          </cell>
          <cell r="J36">
            <v>0.2</v>
          </cell>
          <cell r="K36">
            <v>0.2</v>
          </cell>
        </row>
        <row r="37">
          <cell r="A37" t="str">
            <v>M1</v>
          </cell>
          <cell r="B37" t="str">
            <v>A5C</v>
          </cell>
          <cell r="C37" t="str">
            <v>P</v>
          </cell>
          <cell r="D37" t="str">
            <v>22140</v>
          </cell>
          <cell r="E37" t="str">
            <v>PIPE</v>
          </cell>
          <cell r="F37">
            <v>1</v>
          </cell>
          <cell r="G37" t="str">
            <v>CB100508000100</v>
          </cell>
          <cell r="H37">
            <v>1</v>
          </cell>
          <cell r="I37" t="str">
            <v>--</v>
          </cell>
          <cell r="J37">
            <v>0.2</v>
          </cell>
          <cell r="K37">
            <v>0.2</v>
          </cell>
        </row>
        <row r="38">
          <cell r="A38" t="str">
            <v>M1</v>
          </cell>
          <cell r="B38" t="str">
            <v>A5C</v>
          </cell>
          <cell r="C38" t="str">
            <v>P</v>
          </cell>
          <cell r="D38" t="str">
            <v>22100</v>
          </cell>
          <cell r="E38" t="str">
            <v>PIPE</v>
          </cell>
          <cell r="F38">
            <v>1</v>
          </cell>
          <cell r="G38" t="str">
            <v>CB100508000100</v>
          </cell>
          <cell r="H38">
            <v>1</v>
          </cell>
          <cell r="I38" t="str">
            <v>--</v>
          </cell>
          <cell r="J38">
            <v>0.2</v>
          </cell>
          <cell r="K38">
            <v>0.2</v>
          </cell>
        </row>
        <row r="39">
          <cell r="A39" t="str">
            <v>M1</v>
          </cell>
          <cell r="B39" t="str">
            <v>A5C</v>
          </cell>
          <cell r="C39" t="str">
            <v>N</v>
          </cell>
          <cell r="D39" t="str">
            <v>22670</v>
          </cell>
          <cell r="E39" t="str">
            <v>PIPE</v>
          </cell>
          <cell r="F39">
            <v>1</v>
          </cell>
          <cell r="G39" t="str">
            <v>CB100508000100</v>
          </cell>
          <cell r="H39">
            <v>1</v>
          </cell>
          <cell r="I39" t="str">
            <v>--</v>
          </cell>
          <cell r="J39">
            <v>0.5</v>
          </cell>
          <cell r="K39">
            <v>0.5</v>
          </cell>
        </row>
        <row r="40">
          <cell r="A40" t="str">
            <v>M1</v>
          </cell>
          <cell r="B40" t="str">
            <v>A5C</v>
          </cell>
          <cell r="C40" t="str">
            <v>N</v>
          </cell>
          <cell r="D40" t="str">
            <v>22731</v>
          </cell>
          <cell r="E40" t="str">
            <v>PIPE</v>
          </cell>
          <cell r="F40">
            <v>1</v>
          </cell>
          <cell r="G40" t="str">
            <v>CB100508000100</v>
          </cell>
          <cell r="H40">
            <v>1</v>
          </cell>
          <cell r="I40" t="str">
            <v>--</v>
          </cell>
          <cell r="J40">
            <v>0.6</v>
          </cell>
          <cell r="K40">
            <v>0.6</v>
          </cell>
        </row>
        <row r="41">
          <cell r="A41" t="str">
            <v>M1</v>
          </cell>
          <cell r="B41" t="str">
            <v>A5C</v>
          </cell>
          <cell r="C41" t="str">
            <v>P</v>
          </cell>
          <cell r="D41" t="str">
            <v>22066</v>
          </cell>
          <cell r="E41" t="str">
            <v>PIPE</v>
          </cell>
          <cell r="F41">
            <v>1</v>
          </cell>
          <cell r="G41" t="str">
            <v>CB100508000100</v>
          </cell>
          <cell r="H41">
            <v>1</v>
          </cell>
          <cell r="I41" t="str">
            <v>--</v>
          </cell>
          <cell r="J41">
            <v>0.6</v>
          </cell>
          <cell r="K41">
            <v>0.6</v>
          </cell>
        </row>
        <row r="42">
          <cell r="A42" t="str">
            <v>M1</v>
          </cell>
          <cell r="B42" t="str">
            <v>A5C</v>
          </cell>
          <cell r="C42" t="str">
            <v>N</v>
          </cell>
          <cell r="D42" t="str">
            <v>22682</v>
          </cell>
          <cell r="E42" t="str">
            <v>PIPE</v>
          </cell>
          <cell r="F42">
            <v>1</v>
          </cell>
          <cell r="G42" t="str">
            <v>CB100508000100</v>
          </cell>
          <cell r="H42">
            <v>1</v>
          </cell>
          <cell r="I42" t="str">
            <v>--</v>
          </cell>
          <cell r="J42">
            <v>0.8</v>
          </cell>
          <cell r="K42">
            <v>0.8</v>
          </cell>
        </row>
        <row r="43">
          <cell r="A43" t="str">
            <v>M1</v>
          </cell>
          <cell r="B43" t="str">
            <v>A5C</v>
          </cell>
          <cell r="C43" t="str">
            <v>N</v>
          </cell>
          <cell r="D43" t="str">
            <v>22685</v>
          </cell>
          <cell r="E43" t="str">
            <v>PIPE</v>
          </cell>
          <cell r="F43">
            <v>1</v>
          </cell>
          <cell r="G43" t="str">
            <v>CB100508000100</v>
          </cell>
          <cell r="H43">
            <v>1</v>
          </cell>
          <cell r="I43" t="str">
            <v>--</v>
          </cell>
          <cell r="J43">
            <v>0.8</v>
          </cell>
          <cell r="K43">
            <v>0.8</v>
          </cell>
        </row>
        <row r="44">
          <cell r="A44" t="str">
            <v>M1</v>
          </cell>
          <cell r="B44" t="str">
            <v>A5C</v>
          </cell>
          <cell r="C44" t="str">
            <v>N</v>
          </cell>
          <cell r="D44" t="str">
            <v>22686</v>
          </cell>
          <cell r="E44" t="str">
            <v>PIPE</v>
          </cell>
          <cell r="F44">
            <v>1</v>
          </cell>
          <cell r="G44" t="str">
            <v>CB100508000100</v>
          </cell>
          <cell r="H44">
            <v>1</v>
          </cell>
          <cell r="I44" t="str">
            <v>--</v>
          </cell>
          <cell r="J44">
            <v>0.8</v>
          </cell>
          <cell r="K44">
            <v>0.8</v>
          </cell>
        </row>
        <row r="45">
          <cell r="A45" t="str">
            <v>M1</v>
          </cell>
          <cell r="B45" t="str">
            <v>A5C</v>
          </cell>
          <cell r="C45" t="str">
            <v>N</v>
          </cell>
          <cell r="D45" t="str">
            <v>22681</v>
          </cell>
          <cell r="E45" t="str">
            <v>PIPE</v>
          </cell>
          <cell r="F45">
            <v>1</v>
          </cell>
          <cell r="G45" t="str">
            <v>CB100508000100</v>
          </cell>
          <cell r="H45">
            <v>1</v>
          </cell>
          <cell r="I45" t="str">
            <v>--</v>
          </cell>
          <cell r="J45">
            <v>0.8</v>
          </cell>
          <cell r="K45">
            <v>0.8</v>
          </cell>
        </row>
        <row r="46">
          <cell r="A46" t="str">
            <v>M1</v>
          </cell>
          <cell r="B46" t="str">
            <v>A5C</v>
          </cell>
          <cell r="C46" t="str">
            <v>N</v>
          </cell>
          <cell r="D46" t="str">
            <v>22670</v>
          </cell>
          <cell r="E46" t="str">
            <v>PIPE</v>
          </cell>
          <cell r="F46">
            <v>1</v>
          </cell>
          <cell r="G46" t="str">
            <v>CB100508000100</v>
          </cell>
          <cell r="H46">
            <v>1</v>
          </cell>
          <cell r="I46" t="str">
            <v>--</v>
          </cell>
          <cell r="J46">
            <v>1</v>
          </cell>
          <cell r="K46">
            <v>1</v>
          </cell>
        </row>
        <row r="47">
          <cell r="A47" t="str">
            <v>M1</v>
          </cell>
          <cell r="B47" t="str">
            <v>A5C</v>
          </cell>
          <cell r="C47" t="str">
            <v>N</v>
          </cell>
          <cell r="D47" t="str">
            <v>25611</v>
          </cell>
          <cell r="E47" t="str">
            <v>PIPE</v>
          </cell>
          <cell r="F47">
            <v>1</v>
          </cell>
          <cell r="G47" t="str">
            <v>CB100508000100</v>
          </cell>
          <cell r="H47">
            <v>1</v>
          </cell>
          <cell r="I47" t="str">
            <v>--</v>
          </cell>
          <cell r="J47">
            <v>1</v>
          </cell>
          <cell r="K47">
            <v>1</v>
          </cell>
        </row>
        <row r="48">
          <cell r="A48" t="str">
            <v>M1</v>
          </cell>
          <cell r="B48" t="str">
            <v>A5C</v>
          </cell>
          <cell r="C48" t="str">
            <v>P</v>
          </cell>
          <cell r="D48" t="str">
            <v>24029</v>
          </cell>
          <cell r="E48" t="str">
            <v>PIPE</v>
          </cell>
          <cell r="F48">
            <v>1</v>
          </cell>
          <cell r="G48" t="str">
            <v>CB100508000100</v>
          </cell>
          <cell r="H48">
            <v>1</v>
          </cell>
          <cell r="I48" t="str">
            <v>--</v>
          </cell>
          <cell r="J48">
            <v>1</v>
          </cell>
          <cell r="K48">
            <v>1</v>
          </cell>
        </row>
        <row r="49">
          <cell r="A49" t="str">
            <v>M1</v>
          </cell>
          <cell r="B49" t="str">
            <v>B2C</v>
          </cell>
          <cell r="C49" t="str">
            <v>SH</v>
          </cell>
          <cell r="D49" t="str">
            <v>22614</v>
          </cell>
          <cell r="E49" t="str">
            <v>PIPE</v>
          </cell>
          <cell r="F49">
            <v>1</v>
          </cell>
          <cell r="G49" t="str">
            <v>CB100508000100</v>
          </cell>
          <cell r="H49">
            <v>1</v>
          </cell>
          <cell r="I49" t="str">
            <v>--</v>
          </cell>
          <cell r="J49">
            <v>2</v>
          </cell>
          <cell r="K49">
            <v>2</v>
          </cell>
        </row>
        <row r="50">
          <cell r="A50" t="str">
            <v>M1</v>
          </cell>
          <cell r="B50" t="str">
            <v>A5C</v>
          </cell>
          <cell r="C50" t="str">
            <v>TRIM</v>
          </cell>
          <cell r="D50" t="str">
            <v>V-2202</v>
          </cell>
          <cell r="E50" t="str">
            <v>PIPE</v>
          </cell>
          <cell r="F50">
            <v>1</v>
          </cell>
          <cell r="G50" t="str">
            <v>CB100508000100</v>
          </cell>
          <cell r="H50">
            <v>1</v>
          </cell>
          <cell r="I50" t="str">
            <v>--</v>
          </cell>
          <cell r="J50">
            <v>2</v>
          </cell>
          <cell r="K50">
            <v>2</v>
          </cell>
        </row>
        <row r="51">
          <cell r="A51" t="str">
            <v>M1</v>
          </cell>
          <cell r="B51" t="str">
            <v>A6C</v>
          </cell>
          <cell r="C51" t="str">
            <v>HOS</v>
          </cell>
          <cell r="D51" t="str">
            <v>65621</v>
          </cell>
          <cell r="E51" t="str">
            <v>PIPE</v>
          </cell>
          <cell r="F51">
            <v>1</v>
          </cell>
          <cell r="G51" t="str">
            <v>CB100508000100</v>
          </cell>
          <cell r="H51">
            <v>1</v>
          </cell>
          <cell r="I51" t="str">
            <v>--</v>
          </cell>
          <cell r="J51">
            <v>2</v>
          </cell>
          <cell r="K51">
            <v>2</v>
          </cell>
        </row>
        <row r="52">
          <cell r="A52" t="str">
            <v>M1</v>
          </cell>
          <cell r="B52" t="str">
            <v>A5C</v>
          </cell>
          <cell r="C52" t="str">
            <v>P</v>
          </cell>
          <cell r="D52" t="str">
            <v>22063</v>
          </cell>
          <cell r="E52" t="str">
            <v>PIPE</v>
          </cell>
          <cell r="F52">
            <v>1</v>
          </cell>
          <cell r="G52" t="str">
            <v>CB100508000100</v>
          </cell>
          <cell r="H52">
            <v>1</v>
          </cell>
          <cell r="I52" t="str">
            <v>--</v>
          </cell>
          <cell r="J52">
            <v>2.2000000000000002</v>
          </cell>
          <cell r="K52">
            <v>2.2000000000000002</v>
          </cell>
        </row>
        <row r="53">
          <cell r="A53" t="str">
            <v>M1</v>
          </cell>
          <cell r="B53" t="str">
            <v>A5C</v>
          </cell>
          <cell r="C53" t="str">
            <v>N</v>
          </cell>
          <cell r="D53" t="str">
            <v>22679</v>
          </cell>
          <cell r="E53" t="str">
            <v>PIPE</v>
          </cell>
          <cell r="F53">
            <v>1</v>
          </cell>
          <cell r="G53" t="str">
            <v>CB100508000100</v>
          </cell>
          <cell r="H53">
            <v>1</v>
          </cell>
          <cell r="I53" t="str">
            <v>--</v>
          </cell>
          <cell r="J53">
            <v>2.2000000000000002</v>
          </cell>
          <cell r="K53">
            <v>2.2000000000000002</v>
          </cell>
        </row>
        <row r="54">
          <cell r="A54" t="str">
            <v>M1</v>
          </cell>
          <cell r="B54" t="str">
            <v>A5C</v>
          </cell>
          <cell r="C54" t="str">
            <v>N</v>
          </cell>
          <cell r="D54" t="str">
            <v>25614</v>
          </cell>
          <cell r="E54" t="str">
            <v>PIPE</v>
          </cell>
          <cell r="F54">
            <v>1</v>
          </cell>
          <cell r="G54" t="str">
            <v>CB100508000100</v>
          </cell>
          <cell r="H54">
            <v>1</v>
          </cell>
          <cell r="I54" t="str">
            <v>--</v>
          </cell>
          <cell r="J54">
            <v>2.2000000000000002</v>
          </cell>
          <cell r="K54">
            <v>2.2000000000000002</v>
          </cell>
        </row>
        <row r="55">
          <cell r="A55" t="str">
            <v>M1</v>
          </cell>
          <cell r="B55" t="str">
            <v>A5C</v>
          </cell>
          <cell r="C55" t="str">
            <v>N</v>
          </cell>
          <cell r="D55" t="str">
            <v>22684</v>
          </cell>
          <cell r="E55" t="str">
            <v>PIPE</v>
          </cell>
          <cell r="F55">
            <v>1</v>
          </cell>
          <cell r="G55" t="str">
            <v>CB100508000100</v>
          </cell>
          <cell r="H55">
            <v>1</v>
          </cell>
          <cell r="I55" t="str">
            <v>--</v>
          </cell>
          <cell r="J55">
            <v>2.5</v>
          </cell>
          <cell r="K55">
            <v>2.5</v>
          </cell>
        </row>
        <row r="56">
          <cell r="A56" t="str">
            <v>M1</v>
          </cell>
          <cell r="B56" t="str">
            <v>A5C</v>
          </cell>
          <cell r="C56" t="str">
            <v>N</v>
          </cell>
          <cell r="D56" t="str">
            <v>22683</v>
          </cell>
          <cell r="E56" t="str">
            <v>PIPE</v>
          </cell>
          <cell r="F56">
            <v>1</v>
          </cell>
          <cell r="G56" t="str">
            <v>CB100508000100</v>
          </cell>
          <cell r="H56">
            <v>1</v>
          </cell>
          <cell r="I56" t="str">
            <v>--</v>
          </cell>
          <cell r="J56">
            <v>2.5</v>
          </cell>
          <cell r="K56">
            <v>2.5</v>
          </cell>
        </row>
        <row r="57">
          <cell r="A57" t="str">
            <v>M1</v>
          </cell>
          <cell r="B57" t="str">
            <v>A6C</v>
          </cell>
          <cell r="C57" t="str">
            <v>HOR</v>
          </cell>
          <cell r="D57" t="str">
            <v>65622</v>
          </cell>
          <cell r="E57" t="str">
            <v>PIPE</v>
          </cell>
          <cell r="F57">
            <v>1</v>
          </cell>
          <cell r="G57" t="str">
            <v>CB100508000100</v>
          </cell>
          <cell r="H57">
            <v>1</v>
          </cell>
          <cell r="I57" t="str">
            <v>--</v>
          </cell>
          <cell r="J57">
            <v>2.8</v>
          </cell>
          <cell r="K57">
            <v>2.8</v>
          </cell>
        </row>
        <row r="58">
          <cell r="A58" t="str">
            <v>M1</v>
          </cell>
          <cell r="B58" t="str">
            <v>A6C</v>
          </cell>
          <cell r="C58" t="str">
            <v>HOS</v>
          </cell>
          <cell r="D58" t="str">
            <v>65613</v>
          </cell>
          <cell r="E58" t="str">
            <v>PIPE</v>
          </cell>
          <cell r="F58">
            <v>1</v>
          </cell>
          <cell r="G58" t="str">
            <v>CB100508000100</v>
          </cell>
          <cell r="H58">
            <v>1</v>
          </cell>
          <cell r="I58" t="str">
            <v>--</v>
          </cell>
          <cell r="J58">
            <v>3</v>
          </cell>
          <cell r="K58">
            <v>3</v>
          </cell>
        </row>
        <row r="59">
          <cell r="A59" t="str">
            <v>M1</v>
          </cell>
          <cell r="B59" t="str">
            <v>A4C</v>
          </cell>
          <cell r="C59" t="str">
            <v>N</v>
          </cell>
          <cell r="D59" t="str">
            <v>22661</v>
          </cell>
          <cell r="E59" t="str">
            <v>PIPE</v>
          </cell>
          <cell r="F59">
            <v>1</v>
          </cell>
          <cell r="G59" t="str">
            <v>CB110508000100</v>
          </cell>
          <cell r="H59">
            <v>1</v>
          </cell>
          <cell r="I59" t="str">
            <v>--</v>
          </cell>
          <cell r="J59">
            <v>3.5</v>
          </cell>
          <cell r="K59">
            <v>3.5</v>
          </cell>
        </row>
        <row r="60">
          <cell r="A60" t="str">
            <v>M1</v>
          </cell>
          <cell r="B60" t="str">
            <v>A6C</v>
          </cell>
          <cell r="C60" t="str">
            <v>HOS</v>
          </cell>
          <cell r="D60" t="str">
            <v>65616</v>
          </cell>
          <cell r="E60" t="str">
            <v>PIPE</v>
          </cell>
          <cell r="F60">
            <v>1</v>
          </cell>
          <cell r="G60" t="str">
            <v>CB100508000100</v>
          </cell>
          <cell r="H60">
            <v>1</v>
          </cell>
          <cell r="I60" t="str">
            <v>--</v>
          </cell>
          <cell r="J60">
            <v>3.5</v>
          </cell>
          <cell r="K60">
            <v>3.5</v>
          </cell>
        </row>
        <row r="61">
          <cell r="A61" t="str">
            <v>M1</v>
          </cell>
          <cell r="B61" t="str">
            <v>A5C</v>
          </cell>
          <cell r="C61" t="str">
            <v>P</v>
          </cell>
          <cell r="D61" t="str">
            <v>22157</v>
          </cell>
          <cell r="E61" t="str">
            <v>PIPE</v>
          </cell>
          <cell r="F61">
            <v>1</v>
          </cell>
          <cell r="G61" t="str">
            <v>CB100508000100</v>
          </cell>
          <cell r="H61">
            <v>1</v>
          </cell>
          <cell r="I61" t="str">
            <v>--</v>
          </cell>
          <cell r="J61">
            <v>4</v>
          </cell>
          <cell r="K61">
            <v>4</v>
          </cell>
        </row>
        <row r="62">
          <cell r="A62" t="str">
            <v>M1</v>
          </cell>
          <cell r="B62" t="str">
            <v>A5C</v>
          </cell>
          <cell r="C62" t="str">
            <v>P</v>
          </cell>
          <cell r="D62" t="str">
            <v>22158</v>
          </cell>
          <cell r="E62" t="str">
            <v>PIPE</v>
          </cell>
          <cell r="F62">
            <v>1</v>
          </cell>
          <cell r="G62" t="str">
            <v>CB100508000100</v>
          </cell>
          <cell r="H62">
            <v>1</v>
          </cell>
          <cell r="I62" t="str">
            <v>--</v>
          </cell>
          <cell r="J62">
            <v>4</v>
          </cell>
          <cell r="K62">
            <v>4</v>
          </cell>
        </row>
        <row r="63">
          <cell r="A63" t="str">
            <v>M1</v>
          </cell>
          <cell r="B63" t="str">
            <v>A5C</v>
          </cell>
          <cell r="C63" t="str">
            <v>P</v>
          </cell>
          <cell r="D63" t="str">
            <v>22039</v>
          </cell>
          <cell r="E63" t="str">
            <v>PIPE</v>
          </cell>
          <cell r="F63">
            <v>1</v>
          </cell>
          <cell r="G63" t="str">
            <v>CB100508000100</v>
          </cell>
          <cell r="H63">
            <v>1</v>
          </cell>
          <cell r="I63" t="str">
            <v>--</v>
          </cell>
          <cell r="J63">
            <v>4</v>
          </cell>
          <cell r="K63">
            <v>4</v>
          </cell>
        </row>
        <row r="64">
          <cell r="A64" t="str">
            <v>M1</v>
          </cell>
          <cell r="B64" t="str">
            <v>A5C</v>
          </cell>
          <cell r="C64" t="str">
            <v>P</v>
          </cell>
          <cell r="D64" t="str">
            <v>22040</v>
          </cell>
          <cell r="E64" t="str">
            <v>PIPE</v>
          </cell>
          <cell r="F64">
            <v>1</v>
          </cell>
          <cell r="G64" t="str">
            <v>CB100508000100</v>
          </cell>
          <cell r="H64">
            <v>1</v>
          </cell>
          <cell r="I64" t="str">
            <v>--</v>
          </cell>
          <cell r="J64">
            <v>4</v>
          </cell>
          <cell r="K64">
            <v>4</v>
          </cell>
        </row>
        <row r="65">
          <cell r="A65" t="str">
            <v>M1</v>
          </cell>
          <cell r="B65" t="str">
            <v>A5C</v>
          </cell>
          <cell r="C65" t="str">
            <v>P</v>
          </cell>
          <cell r="D65" t="str">
            <v>22041</v>
          </cell>
          <cell r="E65" t="str">
            <v>PIPE</v>
          </cell>
          <cell r="F65">
            <v>1</v>
          </cell>
          <cell r="G65" t="str">
            <v>CB100508000100</v>
          </cell>
          <cell r="H65">
            <v>1</v>
          </cell>
          <cell r="I65" t="str">
            <v>--</v>
          </cell>
          <cell r="J65">
            <v>4</v>
          </cell>
          <cell r="K65">
            <v>4</v>
          </cell>
        </row>
        <row r="66">
          <cell r="A66" t="str">
            <v>M1</v>
          </cell>
          <cell r="B66" t="str">
            <v>A5C</v>
          </cell>
          <cell r="C66" t="str">
            <v>N</v>
          </cell>
          <cell r="D66" t="str">
            <v>22630</v>
          </cell>
          <cell r="E66" t="str">
            <v>PIPE</v>
          </cell>
          <cell r="F66">
            <v>1</v>
          </cell>
          <cell r="G66" t="str">
            <v>CB100508000100</v>
          </cell>
          <cell r="H66">
            <v>1</v>
          </cell>
          <cell r="I66" t="str">
            <v>--</v>
          </cell>
          <cell r="J66">
            <v>4.5</v>
          </cell>
          <cell r="K66">
            <v>4.5</v>
          </cell>
        </row>
        <row r="67">
          <cell r="A67" t="str">
            <v>M1</v>
          </cell>
          <cell r="B67" t="str">
            <v>A5C</v>
          </cell>
          <cell r="C67" t="str">
            <v>P</v>
          </cell>
          <cell r="D67" t="str">
            <v>22105</v>
          </cell>
          <cell r="E67" t="str">
            <v>PIPE</v>
          </cell>
          <cell r="F67">
            <v>1</v>
          </cell>
          <cell r="G67" t="str">
            <v>CB100508000100</v>
          </cell>
          <cell r="H67">
            <v>1</v>
          </cell>
          <cell r="I67" t="str">
            <v>--</v>
          </cell>
          <cell r="J67">
            <v>5.8</v>
          </cell>
          <cell r="K67">
            <v>5.8</v>
          </cell>
        </row>
        <row r="68">
          <cell r="A68" t="str">
            <v>M1</v>
          </cell>
          <cell r="B68" t="str">
            <v>A5C</v>
          </cell>
          <cell r="C68" t="str">
            <v>P</v>
          </cell>
          <cell r="D68" t="str">
            <v>22103</v>
          </cell>
          <cell r="E68" t="str">
            <v>PIPE</v>
          </cell>
          <cell r="F68">
            <v>1</v>
          </cell>
          <cell r="G68" t="str">
            <v>CB100508000100</v>
          </cell>
          <cell r="H68">
            <v>1</v>
          </cell>
          <cell r="I68" t="str">
            <v>--</v>
          </cell>
          <cell r="J68">
            <v>9</v>
          </cell>
          <cell r="K68">
            <v>9</v>
          </cell>
        </row>
        <row r="69">
          <cell r="A69" t="str">
            <v>M1</v>
          </cell>
          <cell r="B69" t="str">
            <v>A5C</v>
          </cell>
          <cell r="C69" t="str">
            <v>P</v>
          </cell>
          <cell r="D69" t="str">
            <v>22106</v>
          </cell>
          <cell r="E69" t="str">
            <v>PIPE</v>
          </cell>
          <cell r="F69">
            <v>1</v>
          </cell>
          <cell r="G69" t="str">
            <v>CB100508000100</v>
          </cell>
          <cell r="H69">
            <v>1</v>
          </cell>
          <cell r="I69" t="str">
            <v>--</v>
          </cell>
          <cell r="J69">
            <v>11</v>
          </cell>
          <cell r="K69">
            <v>11</v>
          </cell>
        </row>
        <row r="70">
          <cell r="A70" t="str">
            <v>M1</v>
          </cell>
          <cell r="B70" t="str">
            <v>A5C</v>
          </cell>
          <cell r="C70" t="str">
            <v>P</v>
          </cell>
          <cell r="D70" t="str">
            <v>21004</v>
          </cell>
          <cell r="E70" t="str">
            <v>PIPE</v>
          </cell>
          <cell r="F70">
            <v>1</v>
          </cell>
          <cell r="G70" t="str">
            <v>CB100508000100</v>
          </cell>
          <cell r="H70">
            <v>1</v>
          </cell>
          <cell r="I70" t="str">
            <v>--</v>
          </cell>
          <cell r="J70">
            <v>11.5</v>
          </cell>
          <cell r="K70">
            <v>11.5</v>
          </cell>
        </row>
        <row r="71">
          <cell r="A71" t="str">
            <v>M1</v>
          </cell>
          <cell r="B71" t="str">
            <v>A5C</v>
          </cell>
          <cell r="C71" t="str">
            <v>P</v>
          </cell>
          <cell r="D71" t="str">
            <v>99002</v>
          </cell>
          <cell r="E71" t="str">
            <v>PIPE</v>
          </cell>
          <cell r="F71">
            <v>1</v>
          </cell>
          <cell r="G71" t="str">
            <v>CB100508000100</v>
          </cell>
          <cell r="H71">
            <v>1</v>
          </cell>
          <cell r="I71" t="str">
            <v>--</v>
          </cell>
          <cell r="J71">
            <v>16.3</v>
          </cell>
          <cell r="K71">
            <v>16.3</v>
          </cell>
        </row>
        <row r="72">
          <cell r="A72" t="str">
            <v>M1</v>
          </cell>
          <cell r="B72" t="str">
            <v>A6C</v>
          </cell>
          <cell r="C72" t="str">
            <v>HOR</v>
          </cell>
          <cell r="D72" t="str">
            <v>65612</v>
          </cell>
          <cell r="E72" t="str">
            <v>PIPE</v>
          </cell>
          <cell r="F72">
            <v>1</v>
          </cell>
          <cell r="G72" t="str">
            <v>CB100508000100</v>
          </cell>
          <cell r="H72">
            <v>1</v>
          </cell>
          <cell r="I72" t="str">
            <v>--</v>
          </cell>
          <cell r="J72">
            <v>23.6</v>
          </cell>
          <cell r="K72">
            <v>23.6</v>
          </cell>
        </row>
        <row r="73">
          <cell r="A73" t="str">
            <v>M1</v>
          </cell>
          <cell r="B73" t="str">
            <v>A5C</v>
          </cell>
          <cell r="C73" t="str">
            <v>P</v>
          </cell>
          <cell r="D73" t="str">
            <v>22117</v>
          </cell>
          <cell r="E73" t="str">
            <v>PIPE</v>
          </cell>
          <cell r="F73">
            <v>1</v>
          </cell>
          <cell r="G73" t="str">
            <v>CB100508001H00</v>
          </cell>
          <cell r="H73">
            <v>1.5</v>
          </cell>
          <cell r="I73" t="str">
            <v>--</v>
          </cell>
          <cell r="J73">
            <v>0.1</v>
          </cell>
          <cell r="K73">
            <v>0.1</v>
          </cell>
        </row>
        <row r="74">
          <cell r="A74" t="str">
            <v>M1</v>
          </cell>
          <cell r="B74" t="str">
            <v>A5C</v>
          </cell>
          <cell r="C74" t="str">
            <v>P</v>
          </cell>
          <cell r="D74" t="str">
            <v>22004</v>
          </cell>
          <cell r="E74" t="str">
            <v>PIPE</v>
          </cell>
          <cell r="F74">
            <v>1</v>
          </cell>
          <cell r="G74" t="str">
            <v>CB100508001H00</v>
          </cell>
          <cell r="H74">
            <v>1.5</v>
          </cell>
          <cell r="I74" t="str">
            <v>--</v>
          </cell>
          <cell r="J74">
            <v>0.1</v>
          </cell>
          <cell r="K74">
            <v>0.1</v>
          </cell>
        </row>
        <row r="75">
          <cell r="A75" t="str">
            <v>M1</v>
          </cell>
          <cell r="B75" t="str">
            <v>B2C</v>
          </cell>
          <cell r="C75" t="str">
            <v>SH</v>
          </cell>
          <cell r="D75" t="str">
            <v>22614</v>
          </cell>
          <cell r="E75" t="str">
            <v>PIPE</v>
          </cell>
          <cell r="F75">
            <v>1</v>
          </cell>
          <cell r="G75" t="str">
            <v>CB100508001H00</v>
          </cell>
          <cell r="H75">
            <v>1.5</v>
          </cell>
          <cell r="I75" t="str">
            <v>--</v>
          </cell>
          <cell r="J75">
            <v>0.2</v>
          </cell>
          <cell r="K75">
            <v>0.2</v>
          </cell>
        </row>
        <row r="76">
          <cell r="A76" t="str">
            <v>M1</v>
          </cell>
          <cell r="B76" t="str">
            <v>A4C</v>
          </cell>
          <cell r="C76" t="str">
            <v>N</v>
          </cell>
          <cell r="D76" t="str">
            <v>22662</v>
          </cell>
          <cell r="E76" t="str">
            <v>PIPE</v>
          </cell>
          <cell r="F76">
            <v>1</v>
          </cell>
          <cell r="G76" t="str">
            <v>CB110508001H00</v>
          </cell>
          <cell r="H76">
            <v>1.5</v>
          </cell>
          <cell r="I76" t="str">
            <v>--</v>
          </cell>
          <cell r="J76">
            <v>1</v>
          </cell>
          <cell r="K76">
            <v>1</v>
          </cell>
        </row>
        <row r="77">
          <cell r="A77" t="str">
            <v>M1</v>
          </cell>
          <cell r="B77" t="str">
            <v>A6C</v>
          </cell>
          <cell r="C77" t="str">
            <v>HOS</v>
          </cell>
          <cell r="D77" t="str">
            <v>65618</v>
          </cell>
          <cell r="E77" t="str">
            <v>PIPE</v>
          </cell>
          <cell r="F77">
            <v>1</v>
          </cell>
          <cell r="G77" t="str">
            <v>CB100508001H00</v>
          </cell>
          <cell r="H77">
            <v>1.5</v>
          </cell>
          <cell r="I77" t="str">
            <v>--</v>
          </cell>
          <cell r="J77">
            <v>1.5</v>
          </cell>
          <cell r="K77">
            <v>1.5</v>
          </cell>
        </row>
        <row r="78">
          <cell r="A78" t="str">
            <v>M1</v>
          </cell>
          <cell r="B78" t="str">
            <v>A5C</v>
          </cell>
          <cell r="C78" t="str">
            <v>P</v>
          </cell>
          <cell r="D78" t="str">
            <v>22158</v>
          </cell>
          <cell r="E78" t="str">
            <v>PIPE</v>
          </cell>
          <cell r="F78">
            <v>1</v>
          </cell>
          <cell r="G78" t="str">
            <v>CB100508001H00</v>
          </cell>
          <cell r="H78">
            <v>1.5</v>
          </cell>
          <cell r="I78" t="str">
            <v>--</v>
          </cell>
          <cell r="J78">
            <v>2</v>
          </cell>
          <cell r="K78">
            <v>2</v>
          </cell>
        </row>
        <row r="79">
          <cell r="A79" t="str">
            <v>M1</v>
          </cell>
          <cell r="B79" t="str">
            <v>A5C</v>
          </cell>
          <cell r="C79" t="str">
            <v>P</v>
          </cell>
          <cell r="D79" t="str">
            <v>22039</v>
          </cell>
          <cell r="E79" t="str">
            <v>PIPE</v>
          </cell>
          <cell r="F79">
            <v>1</v>
          </cell>
          <cell r="G79" t="str">
            <v>CB100508001H00</v>
          </cell>
          <cell r="H79">
            <v>1.5</v>
          </cell>
          <cell r="I79" t="str">
            <v>--</v>
          </cell>
          <cell r="J79">
            <v>2</v>
          </cell>
          <cell r="K79">
            <v>2</v>
          </cell>
        </row>
        <row r="80">
          <cell r="A80" t="str">
            <v>M1</v>
          </cell>
          <cell r="B80" t="str">
            <v>A5C</v>
          </cell>
          <cell r="C80" t="str">
            <v>P</v>
          </cell>
          <cell r="D80" t="str">
            <v>22040</v>
          </cell>
          <cell r="E80" t="str">
            <v>PIPE</v>
          </cell>
          <cell r="F80">
            <v>1</v>
          </cell>
          <cell r="G80" t="str">
            <v>CB100508001H00</v>
          </cell>
          <cell r="H80">
            <v>1.5</v>
          </cell>
          <cell r="I80" t="str">
            <v>--</v>
          </cell>
          <cell r="J80">
            <v>2</v>
          </cell>
          <cell r="K80">
            <v>2</v>
          </cell>
        </row>
        <row r="81">
          <cell r="A81" t="str">
            <v>M1</v>
          </cell>
          <cell r="B81" t="str">
            <v>A5C</v>
          </cell>
          <cell r="C81" t="str">
            <v>P</v>
          </cell>
          <cell r="D81" t="str">
            <v>22041</v>
          </cell>
          <cell r="E81" t="str">
            <v>PIPE</v>
          </cell>
          <cell r="F81">
            <v>1</v>
          </cell>
          <cell r="G81" t="str">
            <v>CB100508001H00</v>
          </cell>
          <cell r="H81">
            <v>1.5</v>
          </cell>
          <cell r="I81" t="str">
            <v>--</v>
          </cell>
          <cell r="J81">
            <v>2</v>
          </cell>
          <cell r="K81">
            <v>2</v>
          </cell>
        </row>
        <row r="82">
          <cell r="A82" t="str">
            <v>M1</v>
          </cell>
          <cell r="B82" t="str">
            <v>A6C</v>
          </cell>
          <cell r="C82" t="str">
            <v>HOS</v>
          </cell>
          <cell r="D82" t="str">
            <v>65622</v>
          </cell>
          <cell r="E82" t="str">
            <v>PIPE</v>
          </cell>
          <cell r="F82">
            <v>1</v>
          </cell>
          <cell r="G82" t="str">
            <v>CB100508001H00</v>
          </cell>
          <cell r="H82">
            <v>1.5</v>
          </cell>
          <cell r="I82" t="str">
            <v>--</v>
          </cell>
          <cell r="J82">
            <v>3.7</v>
          </cell>
          <cell r="K82">
            <v>3.7</v>
          </cell>
        </row>
        <row r="83">
          <cell r="A83" t="str">
            <v>M1</v>
          </cell>
          <cell r="B83" t="str">
            <v>A5C</v>
          </cell>
          <cell r="C83" t="str">
            <v>P</v>
          </cell>
          <cell r="D83" t="str">
            <v>22064</v>
          </cell>
          <cell r="E83" t="str">
            <v>PIPE</v>
          </cell>
          <cell r="F83">
            <v>1</v>
          </cell>
          <cell r="G83" t="str">
            <v>CB100508001H00</v>
          </cell>
          <cell r="H83">
            <v>1.5</v>
          </cell>
          <cell r="I83" t="str">
            <v>--</v>
          </cell>
          <cell r="J83">
            <v>3.8</v>
          </cell>
          <cell r="K83">
            <v>3.8</v>
          </cell>
        </row>
        <row r="84">
          <cell r="A84" t="str">
            <v>M1</v>
          </cell>
          <cell r="B84" t="str">
            <v>A5C</v>
          </cell>
          <cell r="C84" t="str">
            <v>P</v>
          </cell>
          <cell r="D84" t="str">
            <v>22085</v>
          </cell>
          <cell r="E84" t="str">
            <v>PIPE</v>
          </cell>
          <cell r="F84">
            <v>1</v>
          </cell>
          <cell r="G84" t="str">
            <v>CB100508001H00</v>
          </cell>
          <cell r="H84">
            <v>1.5</v>
          </cell>
          <cell r="I84" t="str">
            <v>--</v>
          </cell>
          <cell r="J84">
            <v>4</v>
          </cell>
          <cell r="K84">
            <v>4</v>
          </cell>
        </row>
        <row r="85">
          <cell r="A85" t="str">
            <v>M1</v>
          </cell>
          <cell r="B85" t="str">
            <v>A6C</v>
          </cell>
          <cell r="C85" t="str">
            <v>HOR</v>
          </cell>
          <cell r="D85" t="str">
            <v>65618</v>
          </cell>
          <cell r="E85" t="str">
            <v>PIPE</v>
          </cell>
          <cell r="F85">
            <v>1</v>
          </cell>
          <cell r="G85" t="str">
            <v>CB100508001H00</v>
          </cell>
          <cell r="H85">
            <v>1.5</v>
          </cell>
          <cell r="I85" t="str">
            <v>--</v>
          </cell>
          <cell r="J85">
            <v>5.5</v>
          </cell>
          <cell r="K85">
            <v>5.5</v>
          </cell>
        </row>
        <row r="86">
          <cell r="A86" t="str">
            <v>M1</v>
          </cell>
          <cell r="B86" t="str">
            <v>A5C</v>
          </cell>
          <cell r="C86" t="str">
            <v>P</v>
          </cell>
          <cell r="D86" t="str">
            <v>22113</v>
          </cell>
          <cell r="E86" t="str">
            <v>PIPE</v>
          </cell>
          <cell r="F86">
            <v>1</v>
          </cell>
          <cell r="G86" t="str">
            <v>CB100508001H00</v>
          </cell>
          <cell r="H86">
            <v>1.5</v>
          </cell>
          <cell r="I86" t="str">
            <v>--</v>
          </cell>
          <cell r="J86">
            <v>5.8</v>
          </cell>
          <cell r="K86">
            <v>5.8</v>
          </cell>
        </row>
        <row r="87">
          <cell r="A87" t="str">
            <v>M1</v>
          </cell>
          <cell r="B87" t="str">
            <v>A4C</v>
          </cell>
          <cell r="C87" t="str">
            <v>P</v>
          </cell>
          <cell r="D87" t="str">
            <v>22031</v>
          </cell>
          <cell r="E87" t="str">
            <v>PIPE</v>
          </cell>
          <cell r="F87">
            <v>1</v>
          </cell>
          <cell r="G87" t="str">
            <v>CB110508001H00</v>
          </cell>
          <cell r="H87">
            <v>1.5</v>
          </cell>
          <cell r="I87" t="str">
            <v>--</v>
          </cell>
          <cell r="J87">
            <v>6</v>
          </cell>
          <cell r="K87">
            <v>6</v>
          </cell>
        </row>
        <row r="88">
          <cell r="A88" t="str">
            <v>M1</v>
          </cell>
          <cell r="B88" t="str">
            <v>A5C</v>
          </cell>
          <cell r="C88" t="str">
            <v>P</v>
          </cell>
          <cell r="D88" t="str">
            <v>22071</v>
          </cell>
          <cell r="E88" t="str">
            <v>PIPE</v>
          </cell>
          <cell r="F88">
            <v>1</v>
          </cell>
          <cell r="G88" t="str">
            <v>CB100508001H00</v>
          </cell>
          <cell r="H88">
            <v>1.5</v>
          </cell>
          <cell r="I88" t="str">
            <v>--</v>
          </cell>
          <cell r="J88">
            <v>6.5</v>
          </cell>
          <cell r="K88">
            <v>6.5</v>
          </cell>
        </row>
        <row r="89">
          <cell r="A89" t="str">
            <v>M1</v>
          </cell>
          <cell r="B89" t="str">
            <v>A5C</v>
          </cell>
          <cell r="C89" t="str">
            <v>P</v>
          </cell>
          <cell r="D89" t="str">
            <v>22087</v>
          </cell>
          <cell r="E89" t="str">
            <v>PIPE</v>
          </cell>
          <cell r="F89">
            <v>1</v>
          </cell>
          <cell r="G89" t="str">
            <v>CB100508001H00</v>
          </cell>
          <cell r="H89">
            <v>1.5</v>
          </cell>
          <cell r="I89" t="str">
            <v>--</v>
          </cell>
          <cell r="J89">
            <v>6.6</v>
          </cell>
          <cell r="K89">
            <v>6.6</v>
          </cell>
        </row>
        <row r="90">
          <cell r="A90" t="str">
            <v>M1</v>
          </cell>
          <cell r="B90" t="str">
            <v>A5C</v>
          </cell>
          <cell r="C90" t="str">
            <v>RW</v>
          </cell>
          <cell r="D90" t="str">
            <v>25611</v>
          </cell>
          <cell r="E90" t="str">
            <v>PIPE</v>
          </cell>
          <cell r="F90">
            <v>1</v>
          </cell>
          <cell r="G90" t="str">
            <v>CB100508001H00</v>
          </cell>
          <cell r="H90">
            <v>1.5</v>
          </cell>
          <cell r="I90" t="str">
            <v>--</v>
          </cell>
          <cell r="J90">
            <v>7</v>
          </cell>
          <cell r="K90">
            <v>7</v>
          </cell>
        </row>
        <row r="91">
          <cell r="A91" t="str">
            <v>M1</v>
          </cell>
          <cell r="B91" t="str">
            <v>A6C</v>
          </cell>
          <cell r="C91" t="str">
            <v>HOS</v>
          </cell>
          <cell r="D91" t="str">
            <v>65611</v>
          </cell>
          <cell r="E91" t="str">
            <v>PIPE</v>
          </cell>
          <cell r="F91">
            <v>1</v>
          </cell>
          <cell r="G91" t="str">
            <v>CB100508001H00</v>
          </cell>
          <cell r="H91">
            <v>1.5</v>
          </cell>
          <cell r="I91" t="str">
            <v>--</v>
          </cell>
          <cell r="J91">
            <v>7.3</v>
          </cell>
          <cell r="K91">
            <v>7.3</v>
          </cell>
        </row>
        <row r="92">
          <cell r="A92" t="str">
            <v>M1</v>
          </cell>
          <cell r="B92" t="str">
            <v>A5C</v>
          </cell>
          <cell r="C92" t="str">
            <v>P</v>
          </cell>
          <cell r="D92" t="str">
            <v>22114</v>
          </cell>
          <cell r="E92" t="str">
            <v>PIPE</v>
          </cell>
          <cell r="F92">
            <v>1</v>
          </cell>
          <cell r="G92" t="str">
            <v>CB100508001H00</v>
          </cell>
          <cell r="H92">
            <v>1.5</v>
          </cell>
          <cell r="I92" t="str">
            <v>--</v>
          </cell>
          <cell r="J92">
            <v>7.4</v>
          </cell>
          <cell r="K92">
            <v>7.4</v>
          </cell>
        </row>
        <row r="93">
          <cell r="A93" t="str">
            <v>M1</v>
          </cell>
          <cell r="B93" t="str">
            <v>A6C</v>
          </cell>
          <cell r="C93" t="str">
            <v>HOS</v>
          </cell>
          <cell r="D93" t="str">
            <v>65623</v>
          </cell>
          <cell r="E93" t="str">
            <v>PIPE</v>
          </cell>
          <cell r="F93">
            <v>1</v>
          </cell>
          <cell r="G93" t="str">
            <v>CB100508001H00</v>
          </cell>
          <cell r="H93">
            <v>1.5</v>
          </cell>
          <cell r="I93" t="str">
            <v>--</v>
          </cell>
          <cell r="J93">
            <v>7.5</v>
          </cell>
          <cell r="K93">
            <v>7.5</v>
          </cell>
        </row>
        <row r="94">
          <cell r="A94" t="str">
            <v>M1</v>
          </cell>
          <cell r="B94" t="str">
            <v>A6C</v>
          </cell>
          <cell r="C94" t="str">
            <v>HOS</v>
          </cell>
          <cell r="D94" t="str">
            <v>65632</v>
          </cell>
          <cell r="E94" t="str">
            <v>PIPE</v>
          </cell>
          <cell r="F94">
            <v>1</v>
          </cell>
          <cell r="G94" t="str">
            <v>CB100508001H00</v>
          </cell>
          <cell r="H94">
            <v>1.5</v>
          </cell>
          <cell r="I94" t="str">
            <v>--</v>
          </cell>
          <cell r="J94">
            <v>10.5</v>
          </cell>
          <cell r="K94">
            <v>10.5</v>
          </cell>
        </row>
        <row r="95">
          <cell r="A95" t="str">
            <v>M1</v>
          </cell>
          <cell r="B95" t="str">
            <v>A5C</v>
          </cell>
          <cell r="C95" t="str">
            <v>P</v>
          </cell>
          <cell r="D95" t="str">
            <v>22109</v>
          </cell>
          <cell r="E95" t="str">
            <v>PIPE</v>
          </cell>
          <cell r="F95">
            <v>1</v>
          </cell>
          <cell r="G95" t="str">
            <v>CB100508001H00</v>
          </cell>
          <cell r="H95">
            <v>1.5</v>
          </cell>
          <cell r="I95" t="str">
            <v>--</v>
          </cell>
          <cell r="J95">
            <v>11</v>
          </cell>
          <cell r="K95">
            <v>11</v>
          </cell>
        </row>
        <row r="96">
          <cell r="A96" t="str">
            <v>M1</v>
          </cell>
          <cell r="B96" t="str">
            <v>A5C</v>
          </cell>
          <cell r="C96" t="str">
            <v>P</v>
          </cell>
          <cell r="D96" t="str">
            <v>22002</v>
          </cell>
          <cell r="E96" t="str">
            <v>PIPE</v>
          </cell>
          <cell r="F96">
            <v>1</v>
          </cell>
          <cell r="G96" t="str">
            <v>CB100508001H00</v>
          </cell>
          <cell r="H96">
            <v>1.5</v>
          </cell>
          <cell r="I96" t="str">
            <v>--</v>
          </cell>
          <cell r="J96">
            <v>13.3</v>
          </cell>
          <cell r="K96">
            <v>13.3</v>
          </cell>
        </row>
        <row r="97">
          <cell r="A97" t="str">
            <v>M1</v>
          </cell>
          <cell r="B97" t="str">
            <v>A5C</v>
          </cell>
          <cell r="C97" t="str">
            <v>P</v>
          </cell>
          <cell r="D97" t="str">
            <v>22070</v>
          </cell>
          <cell r="E97" t="str">
            <v>PIPE</v>
          </cell>
          <cell r="F97">
            <v>1</v>
          </cell>
          <cell r="G97" t="str">
            <v>CB100508001H00</v>
          </cell>
          <cell r="H97">
            <v>1.5</v>
          </cell>
          <cell r="I97" t="str">
            <v>--</v>
          </cell>
          <cell r="J97">
            <v>13.4</v>
          </cell>
          <cell r="K97">
            <v>13.4</v>
          </cell>
        </row>
        <row r="98">
          <cell r="A98" t="str">
            <v>M1</v>
          </cell>
          <cell r="B98" t="str">
            <v>A6C</v>
          </cell>
          <cell r="C98" t="str">
            <v>HOR</v>
          </cell>
          <cell r="D98" t="str">
            <v>65612</v>
          </cell>
          <cell r="E98" t="str">
            <v>PIPE</v>
          </cell>
          <cell r="F98">
            <v>1</v>
          </cell>
          <cell r="G98" t="str">
            <v>CB100508001H00</v>
          </cell>
          <cell r="H98">
            <v>1.5</v>
          </cell>
          <cell r="I98" t="str">
            <v>--</v>
          </cell>
          <cell r="J98">
            <v>13.9</v>
          </cell>
          <cell r="K98">
            <v>13.9</v>
          </cell>
        </row>
        <row r="99">
          <cell r="A99" t="str">
            <v>M1</v>
          </cell>
          <cell r="B99" t="str">
            <v>A5C</v>
          </cell>
          <cell r="C99" t="str">
            <v>P</v>
          </cell>
          <cell r="D99" t="str">
            <v>22078</v>
          </cell>
          <cell r="E99" t="str">
            <v>PIPE</v>
          </cell>
          <cell r="F99">
            <v>1</v>
          </cell>
          <cell r="G99" t="str">
            <v>CB100508001H00</v>
          </cell>
          <cell r="H99">
            <v>1.5</v>
          </cell>
          <cell r="I99" t="str">
            <v>--</v>
          </cell>
          <cell r="J99">
            <v>14</v>
          </cell>
          <cell r="K99">
            <v>14</v>
          </cell>
        </row>
        <row r="100">
          <cell r="A100" t="str">
            <v>M1</v>
          </cell>
          <cell r="B100" t="str">
            <v>A6C</v>
          </cell>
          <cell r="C100" t="str">
            <v>HOS</v>
          </cell>
          <cell r="D100" t="str">
            <v>65633</v>
          </cell>
          <cell r="E100" t="str">
            <v>PIPE</v>
          </cell>
          <cell r="F100">
            <v>1</v>
          </cell>
          <cell r="G100" t="str">
            <v>CB100508001H00</v>
          </cell>
          <cell r="H100">
            <v>1.5</v>
          </cell>
          <cell r="I100" t="str">
            <v>--</v>
          </cell>
          <cell r="J100">
            <v>14.7</v>
          </cell>
          <cell r="K100">
            <v>14.7</v>
          </cell>
        </row>
        <row r="101">
          <cell r="A101" t="str">
            <v>M1</v>
          </cell>
          <cell r="B101" t="str">
            <v>A6C</v>
          </cell>
          <cell r="C101" t="str">
            <v>HOR</v>
          </cell>
          <cell r="D101" t="str">
            <v>65612</v>
          </cell>
          <cell r="E101" t="str">
            <v>PIPE</v>
          </cell>
          <cell r="F101">
            <v>1</v>
          </cell>
          <cell r="G101" t="str">
            <v>CB100508001H00</v>
          </cell>
          <cell r="H101">
            <v>1.5</v>
          </cell>
          <cell r="I101" t="str">
            <v>--</v>
          </cell>
          <cell r="J101">
            <v>16.2</v>
          </cell>
          <cell r="K101">
            <v>16.2</v>
          </cell>
        </row>
        <row r="102">
          <cell r="A102" t="str">
            <v>M1</v>
          </cell>
          <cell r="B102" t="str">
            <v>A5C</v>
          </cell>
          <cell r="C102" t="str">
            <v>P</v>
          </cell>
          <cell r="D102" t="str">
            <v>22157</v>
          </cell>
          <cell r="E102" t="str">
            <v>PIPE</v>
          </cell>
          <cell r="F102">
            <v>1</v>
          </cell>
          <cell r="G102" t="str">
            <v>CB100508001H00</v>
          </cell>
          <cell r="H102">
            <v>1.5</v>
          </cell>
          <cell r="I102" t="str">
            <v>--</v>
          </cell>
          <cell r="J102">
            <v>17</v>
          </cell>
          <cell r="K102">
            <v>17</v>
          </cell>
        </row>
        <row r="103">
          <cell r="A103" t="str">
            <v>M1</v>
          </cell>
          <cell r="B103" t="str">
            <v>A5C</v>
          </cell>
          <cell r="C103" t="str">
            <v>P</v>
          </cell>
          <cell r="D103" t="str">
            <v>22071</v>
          </cell>
          <cell r="E103" t="str">
            <v>PIPE</v>
          </cell>
          <cell r="F103">
            <v>1</v>
          </cell>
          <cell r="G103" t="str">
            <v>CB100508001H00</v>
          </cell>
          <cell r="H103">
            <v>1.5</v>
          </cell>
          <cell r="I103" t="str">
            <v>--</v>
          </cell>
          <cell r="J103">
            <v>18.399999999999999</v>
          </cell>
          <cell r="K103">
            <v>18.399999999999999</v>
          </cell>
        </row>
        <row r="104">
          <cell r="A104" t="str">
            <v>M1</v>
          </cell>
          <cell r="B104" t="str">
            <v>A5C</v>
          </cell>
          <cell r="C104" t="str">
            <v>P</v>
          </cell>
          <cell r="D104" t="str">
            <v>22036</v>
          </cell>
          <cell r="E104" t="str">
            <v>PIPE</v>
          </cell>
          <cell r="F104">
            <v>1</v>
          </cell>
          <cell r="G104" t="str">
            <v>CB100508001H00</v>
          </cell>
          <cell r="H104">
            <v>1.5</v>
          </cell>
          <cell r="I104" t="str">
            <v>--</v>
          </cell>
          <cell r="J104">
            <v>18.5</v>
          </cell>
          <cell r="K104">
            <v>18.5</v>
          </cell>
        </row>
        <row r="105">
          <cell r="A105" t="str">
            <v>M1</v>
          </cell>
          <cell r="B105" t="str">
            <v>A5C</v>
          </cell>
          <cell r="C105" t="str">
            <v>P</v>
          </cell>
          <cell r="D105" t="str">
            <v>22102</v>
          </cell>
          <cell r="E105" t="str">
            <v>PIPE</v>
          </cell>
          <cell r="F105">
            <v>1</v>
          </cell>
          <cell r="G105" t="str">
            <v>CB100508001H00</v>
          </cell>
          <cell r="H105">
            <v>1.5</v>
          </cell>
          <cell r="I105" t="str">
            <v>--</v>
          </cell>
          <cell r="J105">
            <v>19</v>
          </cell>
          <cell r="K105">
            <v>19</v>
          </cell>
        </row>
        <row r="106">
          <cell r="A106" t="str">
            <v>M1</v>
          </cell>
          <cell r="B106" t="str">
            <v>A4C</v>
          </cell>
          <cell r="C106" t="str">
            <v>P</v>
          </cell>
          <cell r="D106" t="str">
            <v>22031</v>
          </cell>
          <cell r="E106" t="str">
            <v>PIPE</v>
          </cell>
          <cell r="F106">
            <v>1</v>
          </cell>
          <cell r="G106" t="str">
            <v>CB110508001H00</v>
          </cell>
          <cell r="H106">
            <v>1.5</v>
          </cell>
          <cell r="I106" t="str">
            <v>--</v>
          </cell>
          <cell r="J106">
            <v>21.1</v>
          </cell>
          <cell r="K106">
            <v>21.1</v>
          </cell>
        </row>
        <row r="107">
          <cell r="A107" t="str">
            <v>M1</v>
          </cell>
          <cell r="B107" t="str">
            <v>A5C</v>
          </cell>
          <cell r="C107" t="str">
            <v>P</v>
          </cell>
          <cell r="D107" t="str">
            <v>22045</v>
          </cell>
          <cell r="E107" t="str">
            <v>PIPE</v>
          </cell>
          <cell r="F107">
            <v>1</v>
          </cell>
          <cell r="G107" t="str">
            <v>CB100508001H00</v>
          </cell>
          <cell r="H107">
            <v>1.5</v>
          </cell>
          <cell r="I107" t="str">
            <v>--</v>
          </cell>
          <cell r="J107">
            <v>21.4</v>
          </cell>
          <cell r="K107">
            <v>21.4</v>
          </cell>
        </row>
        <row r="108">
          <cell r="A108" t="str">
            <v>M1</v>
          </cell>
          <cell r="B108" t="str">
            <v>A5C</v>
          </cell>
          <cell r="C108" t="str">
            <v>P</v>
          </cell>
          <cell r="D108" t="str">
            <v>22079</v>
          </cell>
          <cell r="E108" t="str">
            <v>PIPE</v>
          </cell>
          <cell r="F108">
            <v>1</v>
          </cell>
          <cell r="G108" t="str">
            <v>CB100508001H00</v>
          </cell>
          <cell r="H108">
            <v>1.5</v>
          </cell>
          <cell r="I108" t="str">
            <v>--</v>
          </cell>
          <cell r="J108">
            <v>21.6</v>
          </cell>
          <cell r="K108">
            <v>21.6</v>
          </cell>
        </row>
        <row r="109">
          <cell r="A109" t="str">
            <v>M1</v>
          </cell>
          <cell r="B109" t="str">
            <v>A5C</v>
          </cell>
          <cell r="C109" t="str">
            <v>P</v>
          </cell>
          <cell r="D109" t="str">
            <v>22111</v>
          </cell>
          <cell r="E109" t="str">
            <v>PIPE</v>
          </cell>
          <cell r="F109">
            <v>1</v>
          </cell>
          <cell r="G109" t="str">
            <v>CB100508001H00</v>
          </cell>
          <cell r="H109">
            <v>1.5</v>
          </cell>
          <cell r="I109" t="str">
            <v>--</v>
          </cell>
          <cell r="J109">
            <v>24.8</v>
          </cell>
          <cell r="K109">
            <v>24.8</v>
          </cell>
        </row>
        <row r="110">
          <cell r="A110" t="str">
            <v>M1</v>
          </cell>
          <cell r="B110" t="str">
            <v>A6C</v>
          </cell>
          <cell r="C110" t="str">
            <v>HOS</v>
          </cell>
          <cell r="D110" t="str">
            <v>65633</v>
          </cell>
          <cell r="E110" t="str">
            <v>PIPE</v>
          </cell>
          <cell r="F110">
            <v>1</v>
          </cell>
          <cell r="G110" t="str">
            <v>CB100508001H00</v>
          </cell>
          <cell r="H110">
            <v>1.5</v>
          </cell>
          <cell r="I110" t="str">
            <v>--</v>
          </cell>
          <cell r="J110">
            <v>32.299999999999997</v>
          </cell>
          <cell r="K110">
            <v>32.299999999999997</v>
          </cell>
        </row>
        <row r="111">
          <cell r="A111" t="str">
            <v>M1</v>
          </cell>
          <cell r="B111" t="str">
            <v>A5C</v>
          </cell>
          <cell r="C111" t="str">
            <v>P</v>
          </cell>
          <cell r="D111" t="str">
            <v>22102</v>
          </cell>
          <cell r="E111" t="str">
            <v>PIPE</v>
          </cell>
          <cell r="F111">
            <v>1</v>
          </cell>
          <cell r="G111" t="str">
            <v>CB100508001H00</v>
          </cell>
          <cell r="H111">
            <v>1.5</v>
          </cell>
          <cell r="I111" t="str">
            <v>--</v>
          </cell>
          <cell r="J111">
            <v>33</v>
          </cell>
          <cell r="K111">
            <v>33</v>
          </cell>
        </row>
        <row r="112">
          <cell r="A112" t="str">
            <v>M1</v>
          </cell>
          <cell r="B112" t="str">
            <v>A5C</v>
          </cell>
          <cell r="C112" t="str">
            <v>P</v>
          </cell>
          <cell r="D112" t="str">
            <v>22108</v>
          </cell>
          <cell r="E112" t="str">
            <v>PIPE</v>
          </cell>
          <cell r="F112">
            <v>1</v>
          </cell>
          <cell r="G112" t="str">
            <v>CB100508001H00</v>
          </cell>
          <cell r="H112">
            <v>1.5</v>
          </cell>
          <cell r="I112" t="str">
            <v>--</v>
          </cell>
          <cell r="J112">
            <v>33.299999999999997</v>
          </cell>
          <cell r="K112">
            <v>33.299999999999997</v>
          </cell>
        </row>
        <row r="113">
          <cell r="A113" t="str">
            <v>M1</v>
          </cell>
          <cell r="B113" t="str">
            <v>A5C</v>
          </cell>
          <cell r="C113" t="str">
            <v>P</v>
          </cell>
          <cell r="D113" t="str">
            <v>22104</v>
          </cell>
          <cell r="E113" t="str">
            <v>PIPE</v>
          </cell>
          <cell r="F113">
            <v>1</v>
          </cell>
          <cell r="G113" t="str">
            <v>CB100508001H00</v>
          </cell>
          <cell r="H113">
            <v>1.5</v>
          </cell>
          <cell r="I113" t="str">
            <v>--</v>
          </cell>
          <cell r="J113">
            <v>36</v>
          </cell>
          <cell r="K113">
            <v>36</v>
          </cell>
        </row>
        <row r="114">
          <cell r="A114" t="str">
            <v>M1</v>
          </cell>
          <cell r="B114" t="str">
            <v>A5C</v>
          </cell>
          <cell r="C114" t="str">
            <v>P</v>
          </cell>
          <cell r="D114" t="str">
            <v>22071</v>
          </cell>
          <cell r="E114" t="str">
            <v>PIPE</v>
          </cell>
          <cell r="F114">
            <v>1</v>
          </cell>
          <cell r="G114" t="str">
            <v>CB100508001H00</v>
          </cell>
          <cell r="H114">
            <v>1.5</v>
          </cell>
          <cell r="I114" t="str">
            <v>--</v>
          </cell>
          <cell r="J114">
            <v>38</v>
          </cell>
          <cell r="K114">
            <v>38</v>
          </cell>
        </row>
        <row r="115">
          <cell r="A115" t="str">
            <v>M1</v>
          </cell>
          <cell r="B115" t="str">
            <v>A5C</v>
          </cell>
          <cell r="C115" t="str">
            <v>P</v>
          </cell>
          <cell r="D115" t="str">
            <v>22069</v>
          </cell>
          <cell r="E115" t="str">
            <v>PIPE</v>
          </cell>
          <cell r="F115">
            <v>1</v>
          </cell>
          <cell r="G115" t="str">
            <v>CB100408000200</v>
          </cell>
          <cell r="H115">
            <v>2</v>
          </cell>
          <cell r="I115" t="str">
            <v>--</v>
          </cell>
          <cell r="J115">
            <v>0.5</v>
          </cell>
          <cell r="K115">
            <v>0.6</v>
          </cell>
        </row>
        <row r="116">
          <cell r="A116" t="str">
            <v>M1</v>
          </cell>
          <cell r="B116" t="str">
            <v>B2C</v>
          </cell>
          <cell r="C116" t="str">
            <v>CWR</v>
          </cell>
          <cell r="D116" t="str">
            <v>22620</v>
          </cell>
          <cell r="E116" t="str">
            <v>PIPE</v>
          </cell>
          <cell r="F116">
            <v>1</v>
          </cell>
          <cell r="G116" t="str">
            <v>CB100408000200</v>
          </cell>
          <cell r="H116">
            <v>2</v>
          </cell>
          <cell r="I116" t="str">
            <v>--</v>
          </cell>
          <cell r="J116">
            <v>1</v>
          </cell>
          <cell r="K116">
            <v>1.1000000000000001</v>
          </cell>
        </row>
        <row r="117">
          <cell r="A117" t="str">
            <v>M1</v>
          </cell>
          <cell r="B117" t="str">
            <v>B2C</v>
          </cell>
          <cell r="C117" t="str">
            <v>CWR</v>
          </cell>
          <cell r="D117" t="str">
            <v>22619</v>
          </cell>
          <cell r="E117" t="str">
            <v>PIPE</v>
          </cell>
          <cell r="F117">
            <v>1</v>
          </cell>
          <cell r="G117" t="str">
            <v>CB100408000200</v>
          </cell>
          <cell r="H117">
            <v>2</v>
          </cell>
          <cell r="I117" t="str">
            <v>--</v>
          </cell>
          <cell r="J117">
            <v>1</v>
          </cell>
          <cell r="K117">
            <v>1.1000000000000001</v>
          </cell>
        </row>
        <row r="118">
          <cell r="A118" t="str">
            <v>M1</v>
          </cell>
          <cell r="B118" t="str">
            <v>A5C</v>
          </cell>
          <cell r="C118" t="str">
            <v>P</v>
          </cell>
          <cell r="D118" t="str">
            <v>22153</v>
          </cell>
          <cell r="E118" t="str">
            <v>PIPE</v>
          </cell>
          <cell r="F118">
            <v>1</v>
          </cell>
          <cell r="G118" t="str">
            <v>CB100408000200</v>
          </cell>
          <cell r="H118">
            <v>2</v>
          </cell>
          <cell r="I118" t="str">
            <v>--</v>
          </cell>
          <cell r="J118">
            <v>1</v>
          </cell>
          <cell r="K118">
            <v>1.1000000000000001</v>
          </cell>
        </row>
        <row r="119">
          <cell r="A119" t="str">
            <v>M1</v>
          </cell>
          <cell r="B119" t="str">
            <v>A5C</v>
          </cell>
          <cell r="C119" t="str">
            <v>TRIM</v>
          </cell>
          <cell r="D119" t="str">
            <v>F-2213A</v>
          </cell>
          <cell r="E119" t="str">
            <v>PIPE</v>
          </cell>
          <cell r="F119">
            <v>1</v>
          </cell>
          <cell r="G119" t="str">
            <v>CB100408000200</v>
          </cell>
          <cell r="H119">
            <v>2</v>
          </cell>
          <cell r="I119" t="str">
            <v>--</v>
          </cell>
          <cell r="J119">
            <v>1</v>
          </cell>
          <cell r="K119">
            <v>1.1000000000000001</v>
          </cell>
        </row>
        <row r="120">
          <cell r="A120" t="str">
            <v>M1</v>
          </cell>
          <cell r="B120" t="str">
            <v>A5C</v>
          </cell>
          <cell r="C120" t="str">
            <v>TRIM</v>
          </cell>
          <cell r="D120" t="str">
            <v>F-2213B</v>
          </cell>
          <cell r="E120" t="str">
            <v>PIPE</v>
          </cell>
          <cell r="F120">
            <v>1</v>
          </cell>
          <cell r="G120" t="str">
            <v>CB100408000200</v>
          </cell>
          <cell r="H120">
            <v>2</v>
          </cell>
          <cell r="I120" t="str">
            <v>--</v>
          </cell>
          <cell r="J120">
            <v>1</v>
          </cell>
          <cell r="K120">
            <v>1.1000000000000001</v>
          </cell>
        </row>
        <row r="121">
          <cell r="A121" t="str">
            <v>M1</v>
          </cell>
          <cell r="B121" t="str">
            <v>A5C</v>
          </cell>
          <cell r="C121" t="str">
            <v>COMP</v>
          </cell>
          <cell r="D121" t="str">
            <v>005</v>
          </cell>
          <cell r="E121" t="str">
            <v>PIPE</v>
          </cell>
          <cell r="F121">
            <v>1</v>
          </cell>
          <cell r="G121" t="str">
            <v>CB100408000200</v>
          </cell>
          <cell r="H121">
            <v>2</v>
          </cell>
          <cell r="I121" t="str">
            <v>--</v>
          </cell>
          <cell r="J121">
            <v>1.5</v>
          </cell>
          <cell r="K121">
            <v>1.7</v>
          </cell>
        </row>
        <row r="122">
          <cell r="A122" t="str">
            <v>M1</v>
          </cell>
          <cell r="B122" t="str">
            <v>B2C</v>
          </cell>
          <cell r="C122" t="str">
            <v>TRIM</v>
          </cell>
          <cell r="D122" t="str">
            <v>V-2218</v>
          </cell>
          <cell r="E122" t="str">
            <v>PIPE</v>
          </cell>
          <cell r="F122">
            <v>1</v>
          </cell>
          <cell r="G122" t="str">
            <v>CB100408000200</v>
          </cell>
          <cell r="H122">
            <v>2</v>
          </cell>
          <cell r="I122" t="str">
            <v>--</v>
          </cell>
          <cell r="J122">
            <v>1.6</v>
          </cell>
          <cell r="K122">
            <v>1.8</v>
          </cell>
        </row>
        <row r="123">
          <cell r="A123" t="str">
            <v>M1</v>
          </cell>
          <cell r="B123" t="str">
            <v>A5C</v>
          </cell>
          <cell r="C123" t="str">
            <v>TRIM</v>
          </cell>
          <cell r="D123" t="str">
            <v>C-2201</v>
          </cell>
          <cell r="E123" t="str">
            <v>PIPE</v>
          </cell>
          <cell r="F123">
            <v>1</v>
          </cell>
          <cell r="G123" t="str">
            <v>CB100408000200</v>
          </cell>
          <cell r="H123">
            <v>2</v>
          </cell>
          <cell r="I123" t="str">
            <v>--</v>
          </cell>
          <cell r="J123">
            <v>1.6</v>
          </cell>
          <cell r="K123">
            <v>1.8</v>
          </cell>
        </row>
        <row r="124">
          <cell r="A124" t="str">
            <v>M1</v>
          </cell>
          <cell r="B124" t="str">
            <v>A5C</v>
          </cell>
          <cell r="C124" t="str">
            <v>P</v>
          </cell>
          <cell r="D124" t="str">
            <v>22096</v>
          </cell>
          <cell r="E124" t="str">
            <v>PIPE</v>
          </cell>
          <cell r="F124">
            <v>1</v>
          </cell>
          <cell r="G124" t="str">
            <v>CB100408000200</v>
          </cell>
          <cell r="H124">
            <v>2</v>
          </cell>
          <cell r="I124" t="str">
            <v>--</v>
          </cell>
          <cell r="J124">
            <v>2.7</v>
          </cell>
          <cell r="K124">
            <v>3</v>
          </cell>
        </row>
        <row r="125">
          <cell r="A125" t="str">
            <v>M1</v>
          </cell>
          <cell r="B125" t="str">
            <v>A5C</v>
          </cell>
          <cell r="C125" t="str">
            <v>P</v>
          </cell>
          <cell r="D125" t="str">
            <v>22004</v>
          </cell>
          <cell r="E125" t="str">
            <v>PIPE</v>
          </cell>
          <cell r="F125">
            <v>1</v>
          </cell>
          <cell r="G125" t="str">
            <v>CB100408000200</v>
          </cell>
          <cell r="H125">
            <v>2</v>
          </cell>
          <cell r="I125" t="str">
            <v>--</v>
          </cell>
          <cell r="J125">
            <v>3</v>
          </cell>
          <cell r="K125">
            <v>3.3</v>
          </cell>
        </row>
        <row r="126">
          <cell r="A126" t="str">
            <v>M1</v>
          </cell>
          <cell r="B126" t="str">
            <v>A6C</v>
          </cell>
          <cell r="C126" t="str">
            <v>TRIM</v>
          </cell>
          <cell r="D126" t="str">
            <v>V-6501</v>
          </cell>
          <cell r="E126" t="str">
            <v>PIPE</v>
          </cell>
          <cell r="F126">
            <v>1</v>
          </cell>
          <cell r="G126" t="str">
            <v>CB100408000200</v>
          </cell>
          <cell r="H126">
            <v>2</v>
          </cell>
          <cell r="I126" t="str">
            <v>--</v>
          </cell>
          <cell r="J126">
            <v>3</v>
          </cell>
          <cell r="K126">
            <v>3.3</v>
          </cell>
        </row>
        <row r="127">
          <cell r="A127" t="str">
            <v>M1</v>
          </cell>
          <cell r="B127" t="str">
            <v>A5C</v>
          </cell>
          <cell r="C127" t="str">
            <v>P</v>
          </cell>
          <cell r="D127" t="str">
            <v>22097</v>
          </cell>
          <cell r="E127" t="str">
            <v>PIPE</v>
          </cell>
          <cell r="F127">
            <v>1</v>
          </cell>
          <cell r="G127" t="str">
            <v>CB100408000200</v>
          </cell>
          <cell r="H127">
            <v>2</v>
          </cell>
          <cell r="I127" t="str">
            <v>--</v>
          </cell>
          <cell r="J127">
            <v>3.3</v>
          </cell>
          <cell r="K127">
            <v>3.7</v>
          </cell>
        </row>
        <row r="128">
          <cell r="A128" t="str">
            <v>M1</v>
          </cell>
          <cell r="B128" t="str">
            <v>A5C</v>
          </cell>
          <cell r="C128" t="str">
            <v>P</v>
          </cell>
          <cell r="D128" t="str">
            <v>22115</v>
          </cell>
          <cell r="E128" t="str">
            <v>PIPE</v>
          </cell>
          <cell r="F128">
            <v>1</v>
          </cell>
          <cell r="G128" t="str">
            <v>CB100408000200</v>
          </cell>
          <cell r="H128">
            <v>2</v>
          </cell>
          <cell r="I128" t="str">
            <v>--</v>
          </cell>
          <cell r="J128">
            <v>3.5</v>
          </cell>
          <cell r="K128">
            <v>3.9</v>
          </cell>
        </row>
        <row r="129">
          <cell r="A129" t="str">
            <v>M1</v>
          </cell>
          <cell r="B129" t="str">
            <v>A5C</v>
          </cell>
          <cell r="C129" t="str">
            <v>P</v>
          </cell>
          <cell r="D129" t="str">
            <v>22101</v>
          </cell>
          <cell r="E129" t="str">
            <v>PIPE</v>
          </cell>
          <cell r="F129">
            <v>1</v>
          </cell>
          <cell r="G129" t="str">
            <v>CB100408000200</v>
          </cell>
          <cell r="H129">
            <v>2</v>
          </cell>
          <cell r="I129" t="str">
            <v>--</v>
          </cell>
          <cell r="J129">
            <v>4.8</v>
          </cell>
          <cell r="K129">
            <v>5.3</v>
          </cell>
        </row>
        <row r="130">
          <cell r="A130" t="str">
            <v>M1</v>
          </cell>
          <cell r="B130" t="str">
            <v>A5C</v>
          </cell>
          <cell r="C130" t="str">
            <v>P</v>
          </cell>
          <cell r="D130" t="str">
            <v>22100</v>
          </cell>
          <cell r="E130" t="str">
            <v>PIPE</v>
          </cell>
          <cell r="F130">
            <v>1</v>
          </cell>
          <cell r="G130" t="str">
            <v>CB100408000200</v>
          </cell>
          <cell r="H130">
            <v>2</v>
          </cell>
          <cell r="I130" t="str">
            <v>--</v>
          </cell>
          <cell r="J130">
            <v>4.8</v>
          </cell>
          <cell r="K130">
            <v>5.3</v>
          </cell>
        </row>
        <row r="131">
          <cell r="A131" t="str">
            <v>M1</v>
          </cell>
          <cell r="B131" t="str">
            <v>A5C</v>
          </cell>
          <cell r="C131" t="str">
            <v>N</v>
          </cell>
          <cell r="D131" t="str">
            <v>25611</v>
          </cell>
          <cell r="E131" t="str">
            <v>PIPE</v>
          </cell>
          <cell r="F131">
            <v>1</v>
          </cell>
          <cell r="G131" t="str">
            <v>CB100408000200</v>
          </cell>
          <cell r="H131">
            <v>2</v>
          </cell>
          <cell r="I131" t="str">
            <v>--</v>
          </cell>
          <cell r="J131">
            <v>5</v>
          </cell>
          <cell r="K131">
            <v>5.5</v>
          </cell>
        </row>
        <row r="132">
          <cell r="A132" t="str">
            <v>M1</v>
          </cell>
          <cell r="B132" t="str">
            <v>A5C</v>
          </cell>
          <cell r="C132" t="str">
            <v>P</v>
          </cell>
          <cell r="D132" t="str">
            <v>22117</v>
          </cell>
          <cell r="E132" t="str">
            <v>PIPE</v>
          </cell>
          <cell r="F132">
            <v>1</v>
          </cell>
          <cell r="G132" t="str">
            <v>CB100408000200</v>
          </cell>
          <cell r="H132">
            <v>2</v>
          </cell>
          <cell r="I132" t="str">
            <v>--</v>
          </cell>
          <cell r="J132">
            <v>5</v>
          </cell>
          <cell r="K132">
            <v>5.5</v>
          </cell>
        </row>
        <row r="133">
          <cell r="A133" t="str">
            <v>M1</v>
          </cell>
          <cell r="B133" t="str">
            <v>A5C</v>
          </cell>
          <cell r="C133" t="str">
            <v>P</v>
          </cell>
          <cell r="D133" t="str">
            <v>22130</v>
          </cell>
          <cell r="E133" t="str">
            <v>PIPE</v>
          </cell>
          <cell r="F133">
            <v>1</v>
          </cell>
          <cell r="G133" t="str">
            <v>CB100408000200</v>
          </cell>
          <cell r="H133">
            <v>2</v>
          </cell>
          <cell r="I133" t="str">
            <v>--</v>
          </cell>
          <cell r="J133">
            <v>5</v>
          </cell>
          <cell r="K133">
            <v>5.5</v>
          </cell>
        </row>
        <row r="134">
          <cell r="A134" t="str">
            <v>M1</v>
          </cell>
          <cell r="B134" t="str">
            <v>A5C</v>
          </cell>
          <cell r="C134" t="str">
            <v>P</v>
          </cell>
          <cell r="D134" t="str">
            <v>22140</v>
          </cell>
          <cell r="E134" t="str">
            <v>PIPE</v>
          </cell>
          <cell r="F134">
            <v>1</v>
          </cell>
          <cell r="G134" t="str">
            <v>CB100408000200</v>
          </cell>
          <cell r="H134">
            <v>2</v>
          </cell>
          <cell r="I134" t="str">
            <v>--</v>
          </cell>
          <cell r="J134">
            <v>5</v>
          </cell>
          <cell r="K134">
            <v>5.5</v>
          </cell>
        </row>
        <row r="135">
          <cell r="A135" t="str">
            <v>M1</v>
          </cell>
          <cell r="B135" t="str">
            <v>B2C</v>
          </cell>
          <cell r="C135" t="str">
            <v>SH</v>
          </cell>
          <cell r="D135" t="str">
            <v>22611</v>
          </cell>
          <cell r="E135" t="str">
            <v>PIPE</v>
          </cell>
          <cell r="F135">
            <v>1</v>
          </cell>
          <cell r="G135" t="str">
            <v>CB100408000200</v>
          </cell>
          <cell r="H135">
            <v>2</v>
          </cell>
          <cell r="I135" t="str">
            <v>--</v>
          </cell>
          <cell r="J135">
            <v>6.5</v>
          </cell>
          <cell r="K135">
            <v>7.2</v>
          </cell>
        </row>
        <row r="136">
          <cell r="A136" t="str">
            <v>M1</v>
          </cell>
          <cell r="B136" t="str">
            <v>A5C</v>
          </cell>
          <cell r="C136" t="str">
            <v>P</v>
          </cell>
          <cell r="D136" t="str">
            <v>22110</v>
          </cell>
          <cell r="E136" t="str">
            <v>PIPE</v>
          </cell>
          <cell r="F136">
            <v>1</v>
          </cell>
          <cell r="G136" t="str">
            <v>CB100408000200</v>
          </cell>
          <cell r="H136">
            <v>2</v>
          </cell>
          <cell r="I136" t="str">
            <v>--</v>
          </cell>
          <cell r="J136">
            <v>7.2</v>
          </cell>
          <cell r="K136">
            <v>8</v>
          </cell>
        </row>
        <row r="137">
          <cell r="A137" t="str">
            <v>M1</v>
          </cell>
          <cell r="B137" t="str">
            <v>B2C</v>
          </cell>
          <cell r="C137" t="str">
            <v>SH</v>
          </cell>
          <cell r="D137" t="str">
            <v>22611</v>
          </cell>
          <cell r="E137" t="str">
            <v>PIPE</v>
          </cell>
          <cell r="F137">
            <v>1</v>
          </cell>
          <cell r="G137" t="str">
            <v>CB100408000200</v>
          </cell>
          <cell r="H137">
            <v>2</v>
          </cell>
          <cell r="I137" t="str">
            <v>--</v>
          </cell>
          <cell r="J137">
            <v>8.5</v>
          </cell>
          <cell r="K137">
            <v>9.4</v>
          </cell>
        </row>
        <row r="138">
          <cell r="A138" t="str">
            <v>M1</v>
          </cell>
          <cell r="B138" t="str">
            <v>A5C</v>
          </cell>
          <cell r="C138" t="str">
            <v>P</v>
          </cell>
          <cell r="D138" t="str">
            <v>22066</v>
          </cell>
          <cell r="E138" t="str">
            <v>PIPE</v>
          </cell>
          <cell r="F138">
            <v>1</v>
          </cell>
          <cell r="G138" t="str">
            <v>CB100408000200</v>
          </cell>
          <cell r="H138">
            <v>2</v>
          </cell>
          <cell r="I138" t="str">
            <v>--</v>
          </cell>
          <cell r="J138">
            <v>9.1999999999999993</v>
          </cell>
          <cell r="K138">
            <v>10.199999999999999</v>
          </cell>
        </row>
        <row r="139">
          <cell r="A139" t="str">
            <v>M1</v>
          </cell>
          <cell r="B139" t="str">
            <v>A5C</v>
          </cell>
          <cell r="C139" t="str">
            <v>P</v>
          </cell>
          <cell r="D139" t="str">
            <v>22068</v>
          </cell>
          <cell r="E139" t="str">
            <v>PIPE</v>
          </cell>
          <cell r="F139">
            <v>1</v>
          </cell>
          <cell r="G139" t="str">
            <v>CB100408000200</v>
          </cell>
          <cell r="H139">
            <v>2</v>
          </cell>
          <cell r="I139" t="str">
            <v>--</v>
          </cell>
          <cell r="J139">
            <v>9.6</v>
          </cell>
          <cell r="K139">
            <v>10.6</v>
          </cell>
        </row>
        <row r="140">
          <cell r="A140" t="str">
            <v>M1</v>
          </cell>
          <cell r="B140" t="str">
            <v>B2C</v>
          </cell>
          <cell r="C140" t="str">
            <v>SH</v>
          </cell>
          <cell r="D140" t="str">
            <v>22613</v>
          </cell>
          <cell r="E140" t="str">
            <v>PIPE</v>
          </cell>
          <cell r="F140">
            <v>1</v>
          </cell>
          <cell r="G140" t="str">
            <v>CB100408000200</v>
          </cell>
          <cell r="H140">
            <v>2</v>
          </cell>
          <cell r="I140" t="str">
            <v>--</v>
          </cell>
          <cell r="J140">
            <v>13.4</v>
          </cell>
          <cell r="K140">
            <v>14.8</v>
          </cell>
        </row>
        <row r="141">
          <cell r="A141" t="str">
            <v>M1</v>
          </cell>
          <cell r="B141" t="str">
            <v>A5C</v>
          </cell>
          <cell r="C141" t="str">
            <v>P</v>
          </cell>
          <cell r="D141" t="str">
            <v>21006</v>
          </cell>
          <cell r="E141" t="str">
            <v>PIPE</v>
          </cell>
          <cell r="F141">
            <v>1</v>
          </cell>
          <cell r="G141" t="str">
            <v>CB100408000200</v>
          </cell>
          <cell r="H141">
            <v>2</v>
          </cell>
          <cell r="I141" t="str">
            <v>--</v>
          </cell>
          <cell r="J141">
            <v>14</v>
          </cell>
          <cell r="K141">
            <v>15.4</v>
          </cell>
        </row>
        <row r="142">
          <cell r="A142" t="str">
            <v>M1</v>
          </cell>
          <cell r="B142" t="str">
            <v>B2C</v>
          </cell>
          <cell r="C142" t="str">
            <v>SH</v>
          </cell>
          <cell r="D142" t="str">
            <v>22614</v>
          </cell>
          <cell r="E142" t="str">
            <v>PIPE</v>
          </cell>
          <cell r="F142">
            <v>1</v>
          </cell>
          <cell r="G142" t="str">
            <v>CB100408000200</v>
          </cell>
          <cell r="H142">
            <v>2</v>
          </cell>
          <cell r="I142" t="str">
            <v>--</v>
          </cell>
          <cell r="J142">
            <v>15.3</v>
          </cell>
          <cell r="K142">
            <v>16.899999999999999</v>
          </cell>
        </row>
        <row r="143">
          <cell r="A143" t="str">
            <v>M1</v>
          </cell>
          <cell r="B143" t="str">
            <v>A5C</v>
          </cell>
          <cell r="C143" t="str">
            <v>P</v>
          </cell>
          <cell r="D143" t="str">
            <v>22004</v>
          </cell>
          <cell r="E143" t="str">
            <v>PIPE</v>
          </cell>
          <cell r="F143">
            <v>1</v>
          </cell>
          <cell r="G143" t="str">
            <v>CB100408000200</v>
          </cell>
          <cell r="H143">
            <v>2</v>
          </cell>
          <cell r="I143" t="str">
            <v>--</v>
          </cell>
          <cell r="J143">
            <v>16.899999999999999</v>
          </cell>
          <cell r="K143">
            <v>18.600000000000001</v>
          </cell>
        </row>
        <row r="144">
          <cell r="A144" t="str">
            <v>M1</v>
          </cell>
          <cell r="B144" t="str">
            <v>A5C</v>
          </cell>
          <cell r="C144" t="str">
            <v>P</v>
          </cell>
          <cell r="D144" t="str">
            <v>22004</v>
          </cell>
          <cell r="E144" t="str">
            <v>PIPE</v>
          </cell>
          <cell r="F144">
            <v>1</v>
          </cell>
          <cell r="G144" t="str">
            <v>CB100408000200</v>
          </cell>
          <cell r="H144">
            <v>2</v>
          </cell>
          <cell r="I144" t="str">
            <v>--</v>
          </cell>
          <cell r="J144">
            <v>17.899999999999999</v>
          </cell>
          <cell r="K144">
            <v>19.7</v>
          </cell>
        </row>
        <row r="145">
          <cell r="A145" t="str">
            <v>M1</v>
          </cell>
          <cell r="B145" t="str">
            <v>A5C</v>
          </cell>
          <cell r="C145" t="str">
            <v>N</v>
          </cell>
          <cell r="D145" t="str">
            <v>25617</v>
          </cell>
          <cell r="E145" t="str">
            <v>PIPE</v>
          </cell>
          <cell r="F145">
            <v>1</v>
          </cell>
          <cell r="G145" t="str">
            <v>CB100408000200</v>
          </cell>
          <cell r="H145">
            <v>2</v>
          </cell>
          <cell r="I145" t="str">
            <v>--</v>
          </cell>
          <cell r="J145">
            <v>18</v>
          </cell>
          <cell r="K145">
            <v>19.8</v>
          </cell>
        </row>
        <row r="146">
          <cell r="A146" t="str">
            <v>M1</v>
          </cell>
          <cell r="B146" t="str">
            <v>B2C</v>
          </cell>
          <cell r="C146" t="str">
            <v>SH</v>
          </cell>
          <cell r="D146" t="str">
            <v>22612</v>
          </cell>
          <cell r="E146" t="str">
            <v>PIPE</v>
          </cell>
          <cell r="F146">
            <v>1</v>
          </cell>
          <cell r="G146" t="str">
            <v>CB100408000200</v>
          </cell>
          <cell r="H146">
            <v>2</v>
          </cell>
          <cell r="I146" t="str">
            <v>--</v>
          </cell>
          <cell r="J146">
            <v>27.7</v>
          </cell>
          <cell r="K146">
            <v>30.5</v>
          </cell>
        </row>
        <row r="147">
          <cell r="A147" t="str">
            <v>M1</v>
          </cell>
          <cell r="B147" t="str">
            <v>A6C</v>
          </cell>
          <cell r="C147" t="str">
            <v>HOS</v>
          </cell>
          <cell r="D147" t="str">
            <v>65624</v>
          </cell>
          <cell r="E147" t="str">
            <v>PIPE</v>
          </cell>
          <cell r="F147">
            <v>1</v>
          </cell>
          <cell r="G147" t="str">
            <v>CB100408000200</v>
          </cell>
          <cell r="H147">
            <v>2</v>
          </cell>
          <cell r="I147" t="str">
            <v>--</v>
          </cell>
          <cell r="J147">
            <v>28</v>
          </cell>
          <cell r="K147">
            <v>30.8</v>
          </cell>
        </row>
        <row r="148">
          <cell r="A148" t="str">
            <v>M1</v>
          </cell>
          <cell r="B148" t="str">
            <v>A6C</v>
          </cell>
          <cell r="C148" t="str">
            <v>HOS</v>
          </cell>
          <cell r="D148" t="str">
            <v>65624</v>
          </cell>
          <cell r="E148" t="str">
            <v>PIPE</v>
          </cell>
          <cell r="F148">
            <v>1</v>
          </cell>
          <cell r="G148" t="str">
            <v>CB100408000200</v>
          </cell>
          <cell r="H148">
            <v>2</v>
          </cell>
          <cell r="I148" t="str">
            <v>--</v>
          </cell>
          <cell r="J148">
            <v>28</v>
          </cell>
          <cell r="K148">
            <v>30.8</v>
          </cell>
        </row>
        <row r="149">
          <cell r="A149" t="str">
            <v>M1</v>
          </cell>
          <cell r="B149" t="str">
            <v>A6C</v>
          </cell>
          <cell r="C149" t="str">
            <v>HOR</v>
          </cell>
          <cell r="D149" t="str">
            <v>65611</v>
          </cell>
          <cell r="E149" t="str">
            <v>PIPE</v>
          </cell>
          <cell r="F149">
            <v>1</v>
          </cell>
          <cell r="G149" t="str">
            <v>CB100408000200</v>
          </cell>
          <cell r="H149">
            <v>2</v>
          </cell>
          <cell r="I149" t="str">
            <v>--</v>
          </cell>
          <cell r="J149">
            <v>28</v>
          </cell>
          <cell r="K149">
            <v>30.8</v>
          </cell>
        </row>
        <row r="150">
          <cell r="A150" t="str">
            <v>M1</v>
          </cell>
          <cell r="B150" t="str">
            <v>A6C</v>
          </cell>
          <cell r="C150" t="str">
            <v>HOR</v>
          </cell>
          <cell r="D150" t="str">
            <v>65611</v>
          </cell>
          <cell r="E150" t="str">
            <v>PIPE</v>
          </cell>
          <cell r="F150">
            <v>1</v>
          </cell>
          <cell r="G150" t="str">
            <v>CB100408000200</v>
          </cell>
          <cell r="H150">
            <v>2</v>
          </cell>
          <cell r="I150" t="str">
            <v>--</v>
          </cell>
          <cell r="J150">
            <v>28</v>
          </cell>
          <cell r="K150">
            <v>30.8</v>
          </cell>
        </row>
        <row r="151">
          <cell r="A151" t="str">
            <v>M1</v>
          </cell>
          <cell r="B151" t="str">
            <v>A6C</v>
          </cell>
          <cell r="C151" t="str">
            <v>HOS</v>
          </cell>
          <cell r="D151" t="str">
            <v>65620</v>
          </cell>
          <cell r="E151" t="str">
            <v>PIPE</v>
          </cell>
          <cell r="F151">
            <v>1</v>
          </cell>
          <cell r="G151" t="str">
            <v>CB100408000200</v>
          </cell>
          <cell r="H151">
            <v>2</v>
          </cell>
          <cell r="I151" t="str">
            <v>--</v>
          </cell>
          <cell r="J151">
            <v>29.9</v>
          </cell>
          <cell r="K151">
            <v>32.9</v>
          </cell>
        </row>
        <row r="152">
          <cell r="A152" t="str">
            <v>M1</v>
          </cell>
          <cell r="B152" t="str">
            <v>CA304</v>
          </cell>
          <cell r="C152" t="str">
            <v>MC</v>
          </cell>
          <cell r="D152" t="str">
            <v>12014</v>
          </cell>
          <cell r="E152" t="str">
            <v>PIPE</v>
          </cell>
          <cell r="F152">
            <v>1</v>
          </cell>
          <cell r="G152" t="str">
            <v>CB100405000200</v>
          </cell>
          <cell r="H152">
            <v>2</v>
          </cell>
          <cell r="I152" t="str">
            <v>--</v>
          </cell>
          <cell r="J152">
            <v>49.5</v>
          </cell>
          <cell r="K152">
            <v>54.5</v>
          </cell>
        </row>
        <row r="153">
          <cell r="A153" t="str">
            <v>M1</v>
          </cell>
          <cell r="B153" t="str">
            <v>A5C</v>
          </cell>
          <cell r="C153" t="str">
            <v>P</v>
          </cell>
          <cell r="D153" t="str">
            <v>22062</v>
          </cell>
          <cell r="E153" t="str">
            <v>PIPE</v>
          </cell>
          <cell r="F153">
            <v>1</v>
          </cell>
          <cell r="G153" t="str">
            <v>CB100404000300</v>
          </cell>
          <cell r="H153">
            <v>3</v>
          </cell>
          <cell r="I153" t="str">
            <v>--</v>
          </cell>
          <cell r="J153">
            <v>0.1</v>
          </cell>
          <cell r="K153">
            <v>0.2</v>
          </cell>
        </row>
        <row r="154">
          <cell r="A154" t="str">
            <v>M1</v>
          </cell>
          <cell r="B154" t="str">
            <v>A5C</v>
          </cell>
          <cell r="C154" t="str">
            <v>P</v>
          </cell>
          <cell r="D154" t="str">
            <v>22073</v>
          </cell>
          <cell r="E154" t="str">
            <v>PIPE</v>
          </cell>
          <cell r="F154">
            <v>1</v>
          </cell>
          <cell r="G154" t="str">
            <v>CB100404000300</v>
          </cell>
          <cell r="H154">
            <v>3</v>
          </cell>
          <cell r="I154" t="str">
            <v>--</v>
          </cell>
          <cell r="J154">
            <v>0.1</v>
          </cell>
          <cell r="K154">
            <v>0.2</v>
          </cell>
        </row>
        <row r="155">
          <cell r="A155" t="str">
            <v>M1</v>
          </cell>
          <cell r="B155" t="str">
            <v>B2C</v>
          </cell>
          <cell r="C155" t="str">
            <v>SH</v>
          </cell>
          <cell r="D155" t="str">
            <v>22612</v>
          </cell>
          <cell r="E155" t="str">
            <v>PIPE</v>
          </cell>
          <cell r="F155">
            <v>1</v>
          </cell>
          <cell r="G155" t="str">
            <v>CB100404000300</v>
          </cell>
          <cell r="H155">
            <v>3</v>
          </cell>
          <cell r="I155" t="str">
            <v>--</v>
          </cell>
          <cell r="J155">
            <v>0.5</v>
          </cell>
          <cell r="K155">
            <v>0.6</v>
          </cell>
        </row>
        <row r="156">
          <cell r="A156" t="str">
            <v>M1</v>
          </cell>
          <cell r="B156" t="str">
            <v>A5C</v>
          </cell>
          <cell r="C156" t="str">
            <v>TRIM</v>
          </cell>
          <cell r="D156" t="str">
            <v>V-2216B</v>
          </cell>
          <cell r="E156" t="str">
            <v>PIPE</v>
          </cell>
          <cell r="F156">
            <v>1</v>
          </cell>
          <cell r="G156" t="str">
            <v>CB100404000300</v>
          </cell>
          <cell r="H156">
            <v>3</v>
          </cell>
          <cell r="I156" t="str">
            <v>--</v>
          </cell>
          <cell r="J156">
            <v>0.5</v>
          </cell>
          <cell r="K156">
            <v>0.6</v>
          </cell>
        </row>
        <row r="157">
          <cell r="A157" t="str">
            <v>M1</v>
          </cell>
          <cell r="B157" t="str">
            <v>A5C</v>
          </cell>
          <cell r="C157" t="str">
            <v>TRIM</v>
          </cell>
          <cell r="D157" t="str">
            <v>V-2216A</v>
          </cell>
          <cell r="E157" t="str">
            <v>PIPE</v>
          </cell>
          <cell r="F157">
            <v>1</v>
          </cell>
          <cell r="G157" t="str">
            <v>CB100404000300</v>
          </cell>
          <cell r="H157">
            <v>3</v>
          </cell>
          <cell r="I157" t="str">
            <v>--</v>
          </cell>
          <cell r="J157">
            <v>0.5</v>
          </cell>
          <cell r="K157">
            <v>0.6</v>
          </cell>
        </row>
        <row r="158">
          <cell r="A158" t="str">
            <v>M1</v>
          </cell>
          <cell r="B158" t="str">
            <v>A5C</v>
          </cell>
          <cell r="C158" t="str">
            <v>P</v>
          </cell>
          <cell r="D158" t="str">
            <v>25002</v>
          </cell>
          <cell r="E158" t="str">
            <v>PIPE</v>
          </cell>
          <cell r="F158">
            <v>1</v>
          </cell>
          <cell r="G158" t="str">
            <v>CB100404000300</v>
          </cell>
          <cell r="H158">
            <v>3</v>
          </cell>
          <cell r="I158" t="str">
            <v>--</v>
          </cell>
          <cell r="J158">
            <v>1</v>
          </cell>
          <cell r="K158">
            <v>1.1000000000000001</v>
          </cell>
        </row>
        <row r="159">
          <cell r="A159" t="str">
            <v>M1</v>
          </cell>
          <cell r="B159" t="str">
            <v>A6C</v>
          </cell>
          <cell r="C159" t="str">
            <v>HOR</v>
          </cell>
          <cell r="D159" t="str">
            <v>65621</v>
          </cell>
          <cell r="E159" t="str">
            <v>PIPE</v>
          </cell>
          <cell r="F159">
            <v>1</v>
          </cell>
          <cell r="G159" t="str">
            <v>CB100404000300</v>
          </cell>
          <cell r="H159">
            <v>3</v>
          </cell>
          <cell r="I159" t="str">
            <v>--</v>
          </cell>
          <cell r="J159">
            <v>1.5</v>
          </cell>
          <cell r="K159">
            <v>1.7</v>
          </cell>
        </row>
        <row r="160">
          <cell r="A160" t="str">
            <v>M1</v>
          </cell>
          <cell r="B160" t="str">
            <v>A5C</v>
          </cell>
          <cell r="C160" t="str">
            <v>P</v>
          </cell>
          <cell r="D160" t="str">
            <v>22133</v>
          </cell>
          <cell r="E160" t="str">
            <v>PIPE</v>
          </cell>
          <cell r="F160">
            <v>1</v>
          </cell>
          <cell r="G160" t="str">
            <v>CB100404000300</v>
          </cell>
          <cell r="H160">
            <v>3</v>
          </cell>
          <cell r="I160" t="str">
            <v>--</v>
          </cell>
          <cell r="J160">
            <v>1.8</v>
          </cell>
          <cell r="K160">
            <v>2</v>
          </cell>
        </row>
        <row r="161">
          <cell r="A161" t="str">
            <v>M1</v>
          </cell>
          <cell r="B161" t="str">
            <v>A5C</v>
          </cell>
          <cell r="C161" t="str">
            <v>P</v>
          </cell>
          <cell r="D161" t="str">
            <v>22096</v>
          </cell>
          <cell r="E161" t="str">
            <v>PIPE</v>
          </cell>
          <cell r="F161">
            <v>1</v>
          </cell>
          <cell r="G161" t="str">
            <v>CB100404000300</v>
          </cell>
          <cell r="H161">
            <v>3</v>
          </cell>
          <cell r="I161" t="str">
            <v>--</v>
          </cell>
          <cell r="J161">
            <v>1.9</v>
          </cell>
          <cell r="K161">
            <v>2.1</v>
          </cell>
        </row>
        <row r="162">
          <cell r="A162" t="str">
            <v>M1</v>
          </cell>
          <cell r="B162" t="str">
            <v>A5C</v>
          </cell>
          <cell r="C162" t="str">
            <v>P</v>
          </cell>
          <cell r="D162" t="str">
            <v>22090</v>
          </cell>
          <cell r="E162" t="str">
            <v>PIPE</v>
          </cell>
          <cell r="F162">
            <v>1</v>
          </cell>
          <cell r="G162" t="str">
            <v>CB100404000300</v>
          </cell>
          <cell r="H162">
            <v>3</v>
          </cell>
          <cell r="I162" t="str">
            <v>--</v>
          </cell>
          <cell r="J162">
            <v>2.5</v>
          </cell>
          <cell r="K162">
            <v>2.8</v>
          </cell>
        </row>
        <row r="163">
          <cell r="A163" t="str">
            <v>M1</v>
          </cell>
          <cell r="B163" t="str">
            <v>A6C</v>
          </cell>
          <cell r="C163" t="str">
            <v>TRIM</v>
          </cell>
          <cell r="D163" t="str">
            <v>V-6501</v>
          </cell>
          <cell r="E163" t="str">
            <v>PIPE</v>
          </cell>
          <cell r="F163">
            <v>1</v>
          </cell>
          <cell r="G163" t="str">
            <v>CB100404000300</v>
          </cell>
          <cell r="H163">
            <v>3</v>
          </cell>
          <cell r="I163" t="str">
            <v>--</v>
          </cell>
          <cell r="J163">
            <v>2.5</v>
          </cell>
          <cell r="K163">
            <v>2.8</v>
          </cell>
        </row>
        <row r="164">
          <cell r="A164" t="str">
            <v>M1</v>
          </cell>
          <cell r="B164" t="str">
            <v>A5C</v>
          </cell>
          <cell r="C164" t="str">
            <v>TRIM</v>
          </cell>
          <cell r="D164" t="str">
            <v>C-2201</v>
          </cell>
          <cell r="E164" t="str">
            <v>PIPE</v>
          </cell>
          <cell r="F164">
            <v>1</v>
          </cell>
          <cell r="G164" t="str">
            <v>CB100404000300</v>
          </cell>
          <cell r="H164">
            <v>3</v>
          </cell>
          <cell r="I164" t="str">
            <v>--</v>
          </cell>
          <cell r="J164">
            <v>2.5</v>
          </cell>
          <cell r="K164">
            <v>2.8</v>
          </cell>
        </row>
        <row r="165">
          <cell r="A165" t="str">
            <v>M1</v>
          </cell>
          <cell r="B165" t="str">
            <v>A5C</v>
          </cell>
          <cell r="C165" t="str">
            <v>P</v>
          </cell>
          <cell r="D165" t="str">
            <v>22153</v>
          </cell>
          <cell r="E165" t="str">
            <v>PIPE</v>
          </cell>
          <cell r="F165">
            <v>1</v>
          </cell>
          <cell r="G165" t="str">
            <v>CB100404000300</v>
          </cell>
          <cell r="H165">
            <v>3</v>
          </cell>
          <cell r="I165" t="str">
            <v>--</v>
          </cell>
          <cell r="J165">
            <v>3.2</v>
          </cell>
          <cell r="K165">
            <v>3.6</v>
          </cell>
        </row>
        <row r="166">
          <cell r="A166" t="str">
            <v>M1</v>
          </cell>
          <cell r="B166" t="str">
            <v>A5C</v>
          </cell>
          <cell r="C166" t="str">
            <v>P</v>
          </cell>
          <cell r="D166" t="str">
            <v>22118</v>
          </cell>
          <cell r="E166" t="str">
            <v>PIPE</v>
          </cell>
          <cell r="F166">
            <v>1</v>
          </cell>
          <cell r="G166" t="str">
            <v>CB100404000300</v>
          </cell>
          <cell r="H166">
            <v>3</v>
          </cell>
          <cell r="I166" t="str">
            <v>--</v>
          </cell>
          <cell r="J166">
            <v>3.5</v>
          </cell>
          <cell r="K166">
            <v>3.9</v>
          </cell>
        </row>
        <row r="167">
          <cell r="A167" t="str">
            <v>M1</v>
          </cell>
          <cell r="B167" t="str">
            <v>B2C</v>
          </cell>
          <cell r="C167" t="str">
            <v>TRIM</v>
          </cell>
          <cell r="D167" t="str">
            <v>V-2218</v>
          </cell>
          <cell r="E167" t="str">
            <v>PIPE</v>
          </cell>
          <cell r="F167">
            <v>1</v>
          </cell>
          <cell r="G167" t="str">
            <v>CB100404000300</v>
          </cell>
          <cell r="H167">
            <v>3</v>
          </cell>
          <cell r="I167" t="str">
            <v>--</v>
          </cell>
          <cell r="J167">
            <v>4</v>
          </cell>
          <cell r="K167">
            <v>4.4000000000000004</v>
          </cell>
        </row>
        <row r="168">
          <cell r="A168" t="str">
            <v>M1</v>
          </cell>
          <cell r="B168" t="str">
            <v>A5C</v>
          </cell>
          <cell r="C168" t="str">
            <v>P</v>
          </cell>
          <cell r="D168" t="str">
            <v>22025</v>
          </cell>
          <cell r="E168" t="str">
            <v>PIPE</v>
          </cell>
          <cell r="F168">
            <v>1</v>
          </cell>
          <cell r="G168" t="str">
            <v>CB100404000300</v>
          </cell>
          <cell r="H168">
            <v>3</v>
          </cell>
          <cell r="I168" t="str">
            <v>--</v>
          </cell>
          <cell r="J168">
            <v>4</v>
          </cell>
          <cell r="K168">
            <v>4.4000000000000004</v>
          </cell>
        </row>
        <row r="169">
          <cell r="A169" t="str">
            <v>M1</v>
          </cell>
          <cell r="B169" t="str">
            <v>A5C</v>
          </cell>
          <cell r="C169" t="str">
            <v>P</v>
          </cell>
          <cell r="D169" t="str">
            <v>22130</v>
          </cell>
          <cell r="E169" t="str">
            <v>PIPE</v>
          </cell>
          <cell r="F169">
            <v>1</v>
          </cell>
          <cell r="G169" t="str">
            <v>CB100404000300</v>
          </cell>
          <cell r="H169">
            <v>3</v>
          </cell>
          <cell r="I169" t="str">
            <v>--</v>
          </cell>
          <cell r="J169">
            <v>4</v>
          </cell>
          <cell r="K169">
            <v>4.4000000000000004</v>
          </cell>
        </row>
        <row r="170">
          <cell r="A170" t="str">
            <v>M1</v>
          </cell>
          <cell r="B170" t="str">
            <v>A5C</v>
          </cell>
          <cell r="C170" t="str">
            <v>P</v>
          </cell>
          <cell r="D170" t="str">
            <v>22140</v>
          </cell>
          <cell r="E170" t="str">
            <v>PIPE</v>
          </cell>
          <cell r="F170">
            <v>1</v>
          </cell>
          <cell r="G170" t="str">
            <v>CB100404000300</v>
          </cell>
          <cell r="H170">
            <v>3</v>
          </cell>
          <cell r="I170" t="str">
            <v>--</v>
          </cell>
          <cell r="J170">
            <v>4</v>
          </cell>
          <cell r="K170">
            <v>4.4000000000000004</v>
          </cell>
        </row>
        <row r="171">
          <cell r="A171" t="str">
            <v>M1</v>
          </cell>
          <cell r="B171" t="str">
            <v>A5C</v>
          </cell>
          <cell r="C171" t="str">
            <v>P</v>
          </cell>
          <cell r="D171" t="str">
            <v>22134</v>
          </cell>
          <cell r="E171" t="str">
            <v>PIPE</v>
          </cell>
          <cell r="F171">
            <v>1</v>
          </cell>
          <cell r="G171" t="str">
            <v>CB100404000300</v>
          </cell>
          <cell r="H171">
            <v>3</v>
          </cell>
          <cell r="I171" t="str">
            <v>--</v>
          </cell>
          <cell r="J171">
            <v>4</v>
          </cell>
          <cell r="K171">
            <v>4.4000000000000004</v>
          </cell>
        </row>
        <row r="172">
          <cell r="A172" t="str">
            <v>M1</v>
          </cell>
          <cell r="B172" t="str">
            <v>A5C</v>
          </cell>
          <cell r="C172" t="str">
            <v>P</v>
          </cell>
          <cell r="D172" t="str">
            <v>22061</v>
          </cell>
          <cell r="E172" t="str">
            <v>PIPE</v>
          </cell>
          <cell r="F172">
            <v>1</v>
          </cell>
          <cell r="G172" t="str">
            <v>CB100404000300</v>
          </cell>
          <cell r="H172">
            <v>3</v>
          </cell>
          <cell r="I172" t="str">
            <v>--</v>
          </cell>
          <cell r="J172">
            <v>4</v>
          </cell>
          <cell r="K172">
            <v>4.4000000000000004</v>
          </cell>
        </row>
        <row r="173">
          <cell r="A173" t="str">
            <v>M1</v>
          </cell>
          <cell r="B173" t="str">
            <v>A5C</v>
          </cell>
          <cell r="C173" t="str">
            <v>TRIM</v>
          </cell>
          <cell r="D173" t="str">
            <v>V-2211</v>
          </cell>
          <cell r="E173" t="str">
            <v>PIPE</v>
          </cell>
          <cell r="F173">
            <v>1</v>
          </cell>
          <cell r="G173" t="str">
            <v>CB100404000300</v>
          </cell>
          <cell r="H173">
            <v>3</v>
          </cell>
          <cell r="I173" t="str">
            <v>--</v>
          </cell>
          <cell r="J173">
            <v>4.5</v>
          </cell>
          <cell r="K173">
            <v>5</v>
          </cell>
        </row>
        <row r="174">
          <cell r="A174" t="str">
            <v>M1</v>
          </cell>
          <cell r="B174" t="str">
            <v>A6C</v>
          </cell>
          <cell r="C174" t="str">
            <v>HOR</v>
          </cell>
          <cell r="D174" t="str">
            <v>65813</v>
          </cell>
          <cell r="E174" t="str">
            <v>PIPE</v>
          </cell>
          <cell r="F174">
            <v>1</v>
          </cell>
          <cell r="G174" t="str">
            <v>CB100404000300</v>
          </cell>
          <cell r="H174">
            <v>3</v>
          </cell>
          <cell r="I174" t="str">
            <v>--</v>
          </cell>
          <cell r="J174">
            <v>6</v>
          </cell>
          <cell r="K174">
            <v>6.6</v>
          </cell>
        </row>
        <row r="175">
          <cell r="A175" t="str">
            <v>M1</v>
          </cell>
          <cell r="B175" t="str">
            <v>A6C</v>
          </cell>
          <cell r="C175" t="str">
            <v>HOS</v>
          </cell>
          <cell r="D175" t="str">
            <v>65634</v>
          </cell>
          <cell r="E175" t="str">
            <v>PIPE</v>
          </cell>
          <cell r="F175">
            <v>1</v>
          </cell>
          <cell r="G175" t="str">
            <v>CB100404000300</v>
          </cell>
          <cell r="H175">
            <v>3</v>
          </cell>
          <cell r="I175" t="str">
            <v>--</v>
          </cell>
          <cell r="J175">
            <v>6</v>
          </cell>
          <cell r="K175">
            <v>6.6</v>
          </cell>
        </row>
        <row r="176">
          <cell r="A176" t="str">
            <v>M1</v>
          </cell>
          <cell r="B176" t="str">
            <v>A5C</v>
          </cell>
          <cell r="C176" t="str">
            <v>P</v>
          </cell>
          <cell r="D176" t="str">
            <v>22092</v>
          </cell>
          <cell r="E176" t="str">
            <v>PIPE</v>
          </cell>
          <cell r="F176">
            <v>1</v>
          </cell>
          <cell r="G176" t="str">
            <v>CB100404000300</v>
          </cell>
          <cell r="H176">
            <v>3</v>
          </cell>
          <cell r="I176" t="str">
            <v>--</v>
          </cell>
          <cell r="J176">
            <v>6.5</v>
          </cell>
          <cell r="K176">
            <v>7.2</v>
          </cell>
        </row>
        <row r="177">
          <cell r="A177" t="str">
            <v>M1</v>
          </cell>
          <cell r="B177" t="str">
            <v>A5C</v>
          </cell>
          <cell r="C177" t="str">
            <v>P</v>
          </cell>
          <cell r="D177" t="str">
            <v>22095</v>
          </cell>
          <cell r="E177" t="str">
            <v>PIPE</v>
          </cell>
          <cell r="F177">
            <v>1</v>
          </cell>
          <cell r="G177" t="str">
            <v>CB100404000300</v>
          </cell>
          <cell r="H177">
            <v>3</v>
          </cell>
          <cell r="I177" t="str">
            <v>--</v>
          </cell>
          <cell r="J177">
            <v>6.8</v>
          </cell>
          <cell r="K177">
            <v>7.5</v>
          </cell>
        </row>
        <row r="178">
          <cell r="A178" t="str">
            <v>M1</v>
          </cell>
          <cell r="B178" t="str">
            <v>A5C</v>
          </cell>
          <cell r="C178" t="str">
            <v>P</v>
          </cell>
          <cell r="D178" t="str">
            <v>22094</v>
          </cell>
          <cell r="E178" t="str">
            <v>PIPE</v>
          </cell>
          <cell r="F178">
            <v>1</v>
          </cell>
          <cell r="G178" t="str">
            <v>CB100404000300</v>
          </cell>
          <cell r="H178">
            <v>3</v>
          </cell>
          <cell r="I178" t="str">
            <v>--</v>
          </cell>
          <cell r="J178">
            <v>6.8</v>
          </cell>
          <cell r="K178">
            <v>7.5</v>
          </cell>
        </row>
        <row r="179">
          <cell r="A179" t="str">
            <v>M1</v>
          </cell>
          <cell r="B179" t="str">
            <v>A5C</v>
          </cell>
          <cell r="C179" t="str">
            <v>P</v>
          </cell>
          <cell r="D179" t="str">
            <v>22089</v>
          </cell>
          <cell r="E179" t="str">
            <v>PIPE</v>
          </cell>
          <cell r="F179">
            <v>1</v>
          </cell>
          <cell r="G179" t="str">
            <v>CB100404000300</v>
          </cell>
          <cell r="H179">
            <v>3</v>
          </cell>
          <cell r="I179" t="str">
            <v>--</v>
          </cell>
          <cell r="J179">
            <v>6.8</v>
          </cell>
          <cell r="K179">
            <v>7.5</v>
          </cell>
        </row>
        <row r="180">
          <cell r="A180" t="str">
            <v>M1</v>
          </cell>
          <cell r="B180" t="str">
            <v>A5C</v>
          </cell>
          <cell r="C180" t="str">
            <v>P</v>
          </cell>
          <cell r="D180" t="str">
            <v>22091</v>
          </cell>
          <cell r="E180" t="str">
            <v>PIPE</v>
          </cell>
          <cell r="F180">
            <v>1</v>
          </cell>
          <cell r="G180" t="str">
            <v>CB100404000300</v>
          </cell>
          <cell r="H180">
            <v>3</v>
          </cell>
          <cell r="I180" t="str">
            <v>--</v>
          </cell>
          <cell r="J180">
            <v>7.7</v>
          </cell>
          <cell r="K180">
            <v>8.5</v>
          </cell>
        </row>
        <row r="181">
          <cell r="A181" t="str">
            <v>M1</v>
          </cell>
          <cell r="B181" t="str">
            <v>A5C</v>
          </cell>
          <cell r="C181" t="str">
            <v>P</v>
          </cell>
          <cell r="D181" t="str">
            <v>22090</v>
          </cell>
          <cell r="E181" t="str">
            <v>PIPE</v>
          </cell>
          <cell r="F181">
            <v>1</v>
          </cell>
          <cell r="G181" t="str">
            <v>CB100404000300</v>
          </cell>
          <cell r="H181">
            <v>3</v>
          </cell>
          <cell r="I181" t="str">
            <v>--</v>
          </cell>
          <cell r="J181">
            <v>8.1999999999999993</v>
          </cell>
          <cell r="K181">
            <v>9.1</v>
          </cell>
        </row>
        <row r="182">
          <cell r="A182" t="str">
            <v>M1</v>
          </cell>
          <cell r="B182" t="str">
            <v>A5C</v>
          </cell>
          <cell r="C182" t="str">
            <v>P</v>
          </cell>
          <cell r="D182" t="str">
            <v>22004</v>
          </cell>
          <cell r="E182" t="str">
            <v>PIPE</v>
          </cell>
          <cell r="F182">
            <v>1</v>
          </cell>
          <cell r="G182" t="str">
            <v>CB100404000300</v>
          </cell>
          <cell r="H182">
            <v>3</v>
          </cell>
          <cell r="I182" t="str">
            <v>--</v>
          </cell>
          <cell r="J182">
            <v>8.5</v>
          </cell>
          <cell r="K182">
            <v>9.4</v>
          </cell>
        </row>
        <row r="183">
          <cell r="A183" t="str">
            <v>M1</v>
          </cell>
          <cell r="B183" t="str">
            <v>A5C</v>
          </cell>
          <cell r="C183" t="str">
            <v>P</v>
          </cell>
          <cell r="D183" t="str">
            <v>22005</v>
          </cell>
          <cell r="E183" t="str">
            <v>PIPE</v>
          </cell>
          <cell r="F183">
            <v>1</v>
          </cell>
          <cell r="G183" t="str">
            <v>CB100404000300</v>
          </cell>
          <cell r="H183">
            <v>3</v>
          </cell>
          <cell r="I183" t="str">
            <v>--</v>
          </cell>
          <cell r="J183">
            <v>8.6</v>
          </cell>
          <cell r="K183">
            <v>9.5</v>
          </cell>
        </row>
        <row r="184">
          <cell r="A184" t="str">
            <v>M1</v>
          </cell>
          <cell r="B184" t="str">
            <v>A5C</v>
          </cell>
          <cell r="C184" t="str">
            <v>P</v>
          </cell>
          <cell r="D184" t="str">
            <v>22093</v>
          </cell>
          <cell r="E184" t="str">
            <v>PIPE</v>
          </cell>
          <cell r="F184">
            <v>1</v>
          </cell>
          <cell r="G184" t="str">
            <v>CB100404000300</v>
          </cell>
          <cell r="H184">
            <v>3</v>
          </cell>
          <cell r="I184" t="str">
            <v>--</v>
          </cell>
          <cell r="J184">
            <v>9</v>
          </cell>
          <cell r="K184">
            <v>9.9</v>
          </cell>
        </row>
        <row r="185">
          <cell r="A185" t="str">
            <v>M1</v>
          </cell>
          <cell r="B185" t="str">
            <v>A6C</v>
          </cell>
          <cell r="C185" t="str">
            <v>HOS</v>
          </cell>
          <cell r="D185" t="str">
            <v>65612</v>
          </cell>
          <cell r="E185" t="str">
            <v>PIPE</v>
          </cell>
          <cell r="F185">
            <v>1</v>
          </cell>
          <cell r="G185" t="str">
            <v>CB100404000300</v>
          </cell>
          <cell r="H185">
            <v>3</v>
          </cell>
          <cell r="I185" t="str">
            <v>--</v>
          </cell>
          <cell r="J185">
            <v>9</v>
          </cell>
          <cell r="K185">
            <v>9.9</v>
          </cell>
        </row>
        <row r="186">
          <cell r="A186" t="str">
            <v>M1</v>
          </cell>
          <cell r="B186" t="str">
            <v>A5C</v>
          </cell>
          <cell r="C186" t="str">
            <v>P</v>
          </cell>
          <cell r="D186" t="str">
            <v>22003</v>
          </cell>
          <cell r="E186" t="str">
            <v>PIPE</v>
          </cell>
          <cell r="F186">
            <v>1</v>
          </cell>
          <cell r="G186" t="str">
            <v>CB100404000300</v>
          </cell>
          <cell r="H186">
            <v>3</v>
          </cell>
          <cell r="I186" t="str">
            <v>--</v>
          </cell>
          <cell r="J186">
            <v>11</v>
          </cell>
          <cell r="K186">
            <v>12.1</v>
          </cell>
        </row>
        <row r="187">
          <cell r="A187" t="str">
            <v>M1</v>
          </cell>
          <cell r="B187" t="str">
            <v>A4C</v>
          </cell>
          <cell r="C187" t="str">
            <v>P</v>
          </cell>
          <cell r="D187" t="str">
            <v>22003</v>
          </cell>
          <cell r="E187" t="str">
            <v>PIPE</v>
          </cell>
          <cell r="F187">
            <v>1</v>
          </cell>
          <cell r="G187" t="str">
            <v>CB110404000300</v>
          </cell>
          <cell r="H187">
            <v>3</v>
          </cell>
          <cell r="I187" t="str">
            <v>--</v>
          </cell>
          <cell r="J187">
            <v>11.1</v>
          </cell>
          <cell r="K187">
            <v>12.3</v>
          </cell>
        </row>
        <row r="188">
          <cell r="A188" t="str">
            <v>M1</v>
          </cell>
          <cell r="B188" t="str">
            <v>A5C</v>
          </cell>
          <cell r="C188" t="str">
            <v>P</v>
          </cell>
          <cell r="D188" t="str">
            <v>22004</v>
          </cell>
          <cell r="E188" t="str">
            <v>PIPE</v>
          </cell>
          <cell r="F188">
            <v>1</v>
          </cell>
          <cell r="G188" t="str">
            <v>CB100404000300</v>
          </cell>
          <cell r="H188">
            <v>3</v>
          </cell>
          <cell r="I188" t="str">
            <v>--</v>
          </cell>
          <cell r="J188">
            <v>11.5</v>
          </cell>
          <cell r="K188">
            <v>12.7</v>
          </cell>
        </row>
        <row r="189">
          <cell r="A189" t="str">
            <v>M1</v>
          </cell>
          <cell r="B189" t="str">
            <v>B2C</v>
          </cell>
          <cell r="C189" t="str">
            <v>SH</v>
          </cell>
          <cell r="D189" t="str">
            <v>22625</v>
          </cell>
          <cell r="E189" t="str">
            <v>PIPE</v>
          </cell>
          <cell r="F189">
            <v>1</v>
          </cell>
          <cell r="G189" t="str">
            <v>CB100404000300</v>
          </cell>
          <cell r="H189">
            <v>3</v>
          </cell>
          <cell r="I189" t="str">
            <v>--</v>
          </cell>
          <cell r="J189">
            <v>12.5</v>
          </cell>
          <cell r="K189">
            <v>13.8</v>
          </cell>
        </row>
        <row r="190">
          <cell r="A190" t="str">
            <v>M1</v>
          </cell>
          <cell r="B190" t="str">
            <v>A5C</v>
          </cell>
          <cell r="C190" t="str">
            <v>P</v>
          </cell>
          <cell r="D190" t="str">
            <v>22026</v>
          </cell>
          <cell r="E190" t="str">
            <v>PIPE</v>
          </cell>
          <cell r="F190">
            <v>1</v>
          </cell>
          <cell r="G190" t="str">
            <v>CB100404000300</v>
          </cell>
          <cell r="H190">
            <v>3</v>
          </cell>
          <cell r="I190" t="str">
            <v>--</v>
          </cell>
          <cell r="J190">
            <v>14.1</v>
          </cell>
          <cell r="K190">
            <v>15.6</v>
          </cell>
        </row>
        <row r="191">
          <cell r="A191" t="str">
            <v>M1</v>
          </cell>
          <cell r="B191" t="str">
            <v>A5C</v>
          </cell>
          <cell r="C191" t="str">
            <v>P</v>
          </cell>
          <cell r="D191" t="str">
            <v>22088</v>
          </cell>
          <cell r="E191" t="str">
            <v>PIPE</v>
          </cell>
          <cell r="F191">
            <v>1</v>
          </cell>
          <cell r="G191" t="str">
            <v>CB100404000300</v>
          </cell>
          <cell r="H191">
            <v>3</v>
          </cell>
          <cell r="I191" t="str">
            <v>--</v>
          </cell>
          <cell r="J191">
            <v>15.1</v>
          </cell>
          <cell r="K191">
            <v>16.7</v>
          </cell>
        </row>
        <row r="192">
          <cell r="A192" t="str">
            <v>M1</v>
          </cell>
          <cell r="B192" t="str">
            <v>A5C</v>
          </cell>
          <cell r="C192" t="str">
            <v>P</v>
          </cell>
          <cell r="D192" t="str">
            <v>22081</v>
          </cell>
          <cell r="E192" t="str">
            <v>PIPE</v>
          </cell>
          <cell r="F192">
            <v>1</v>
          </cell>
          <cell r="G192" t="str">
            <v>CB100404000300</v>
          </cell>
          <cell r="H192">
            <v>3</v>
          </cell>
          <cell r="I192" t="str">
            <v>--</v>
          </cell>
          <cell r="J192">
            <v>15.2</v>
          </cell>
          <cell r="K192">
            <v>16.8</v>
          </cell>
        </row>
        <row r="193">
          <cell r="A193" t="str">
            <v>M1</v>
          </cell>
          <cell r="B193" t="str">
            <v>A5C</v>
          </cell>
          <cell r="C193" t="str">
            <v>P</v>
          </cell>
          <cell r="D193" t="str">
            <v>22100</v>
          </cell>
          <cell r="E193" t="str">
            <v>PIPE</v>
          </cell>
          <cell r="F193">
            <v>1</v>
          </cell>
          <cell r="G193" t="str">
            <v>CB100404000300</v>
          </cell>
          <cell r="H193">
            <v>3</v>
          </cell>
          <cell r="I193" t="str">
            <v>--</v>
          </cell>
          <cell r="J193">
            <v>15.5</v>
          </cell>
          <cell r="K193">
            <v>17.100000000000001</v>
          </cell>
        </row>
        <row r="194">
          <cell r="A194" t="str">
            <v>M1</v>
          </cell>
          <cell r="B194" t="str">
            <v>A5C</v>
          </cell>
          <cell r="C194" t="str">
            <v>P</v>
          </cell>
          <cell r="D194" t="str">
            <v>22001</v>
          </cell>
          <cell r="E194" t="str">
            <v>PIPE</v>
          </cell>
          <cell r="F194">
            <v>1</v>
          </cell>
          <cell r="G194" t="str">
            <v>CB100404000300</v>
          </cell>
          <cell r="H194">
            <v>3</v>
          </cell>
          <cell r="I194" t="str">
            <v>--</v>
          </cell>
          <cell r="J194">
            <v>37.200000000000003</v>
          </cell>
          <cell r="K194">
            <v>41</v>
          </cell>
        </row>
        <row r="195">
          <cell r="A195" t="str">
            <v>M1</v>
          </cell>
          <cell r="B195" t="str">
            <v>B2C</v>
          </cell>
          <cell r="C195" t="str">
            <v>SH</v>
          </cell>
          <cell r="D195" t="str">
            <v>22601</v>
          </cell>
          <cell r="E195" t="str">
            <v>PIPE</v>
          </cell>
          <cell r="F195">
            <v>1</v>
          </cell>
          <cell r="G195" t="str">
            <v>CB100404000300</v>
          </cell>
          <cell r="H195">
            <v>3</v>
          </cell>
          <cell r="I195" t="str">
            <v>--</v>
          </cell>
          <cell r="J195">
            <v>60.5</v>
          </cell>
          <cell r="K195">
            <v>66.599999999999994</v>
          </cell>
        </row>
        <row r="196">
          <cell r="A196" t="str">
            <v>M1</v>
          </cell>
          <cell r="B196" t="str">
            <v>A5C</v>
          </cell>
          <cell r="C196" t="str">
            <v>P</v>
          </cell>
          <cell r="D196" t="str">
            <v>22003</v>
          </cell>
          <cell r="E196" t="str">
            <v>PIPE</v>
          </cell>
          <cell r="F196">
            <v>1</v>
          </cell>
          <cell r="G196" t="str">
            <v>CB100404000400</v>
          </cell>
          <cell r="H196">
            <v>4</v>
          </cell>
          <cell r="I196" t="str">
            <v>--</v>
          </cell>
          <cell r="J196">
            <v>0.2</v>
          </cell>
          <cell r="K196">
            <v>0.3</v>
          </cell>
        </row>
        <row r="197">
          <cell r="A197" t="str">
            <v>M1</v>
          </cell>
          <cell r="B197" t="str">
            <v>A4C</v>
          </cell>
          <cell r="C197" t="str">
            <v>N</v>
          </cell>
          <cell r="D197" t="str">
            <v>22611</v>
          </cell>
          <cell r="E197" t="str">
            <v>PIPE</v>
          </cell>
          <cell r="F197">
            <v>1</v>
          </cell>
          <cell r="G197" t="str">
            <v>CB110404000400</v>
          </cell>
          <cell r="H197">
            <v>4</v>
          </cell>
          <cell r="I197" t="str">
            <v>--</v>
          </cell>
          <cell r="J197">
            <v>0.3</v>
          </cell>
          <cell r="K197">
            <v>0.4</v>
          </cell>
        </row>
        <row r="198">
          <cell r="A198" t="str">
            <v>M1</v>
          </cell>
          <cell r="B198" t="str">
            <v>A5C</v>
          </cell>
          <cell r="C198" t="str">
            <v>P</v>
          </cell>
          <cell r="D198" t="str">
            <v>22109</v>
          </cell>
          <cell r="E198" t="str">
            <v>PIPE</v>
          </cell>
          <cell r="F198">
            <v>1</v>
          </cell>
          <cell r="G198" t="str">
            <v>CB100404000400</v>
          </cell>
          <cell r="H198">
            <v>4</v>
          </cell>
          <cell r="I198" t="str">
            <v>--</v>
          </cell>
          <cell r="J198">
            <v>0.3</v>
          </cell>
          <cell r="K198">
            <v>0.4</v>
          </cell>
        </row>
        <row r="199">
          <cell r="A199" t="str">
            <v>M1</v>
          </cell>
          <cell r="B199" t="str">
            <v>A5C</v>
          </cell>
          <cell r="C199" t="str">
            <v>P</v>
          </cell>
          <cell r="D199" t="str">
            <v>22102</v>
          </cell>
          <cell r="E199" t="str">
            <v>PIPE</v>
          </cell>
          <cell r="F199">
            <v>1</v>
          </cell>
          <cell r="G199" t="str">
            <v>CB100404000400</v>
          </cell>
          <cell r="H199">
            <v>4</v>
          </cell>
          <cell r="I199" t="str">
            <v>--</v>
          </cell>
          <cell r="J199">
            <v>0.3</v>
          </cell>
          <cell r="K199">
            <v>0.4</v>
          </cell>
        </row>
        <row r="200">
          <cell r="A200" t="str">
            <v>M1</v>
          </cell>
          <cell r="B200" t="str">
            <v>A5C</v>
          </cell>
          <cell r="C200" t="str">
            <v>TRIM</v>
          </cell>
          <cell r="D200" t="str">
            <v>V-2211</v>
          </cell>
          <cell r="E200" t="str">
            <v>PIPE</v>
          </cell>
          <cell r="F200">
            <v>1</v>
          </cell>
          <cell r="G200" t="str">
            <v>CB100404000400</v>
          </cell>
          <cell r="H200">
            <v>4</v>
          </cell>
          <cell r="I200" t="str">
            <v>--</v>
          </cell>
          <cell r="J200">
            <v>1.5</v>
          </cell>
          <cell r="K200">
            <v>1.8</v>
          </cell>
        </row>
        <row r="201">
          <cell r="A201" t="str">
            <v>M1</v>
          </cell>
          <cell r="B201" t="str">
            <v>A5C</v>
          </cell>
          <cell r="C201" t="str">
            <v>TRIM</v>
          </cell>
          <cell r="D201" t="str">
            <v>X-2220</v>
          </cell>
          <cell r="E201" t="str">
            <v>PIPE</v>
          </cell>
          <cell r="F201">
            <v>1</v>
          </cell>
          <cell r="G201" t="str">
            <v>CB100404000400</v>
          </cell>
          <cell r="H201">
            <v>4</v>
          </cell>
          <cell r="I201" t="str">
            <v>--</v>
          </cell>
          <cell r="J201">
            <v>2.5</v>
          </cell>
          <cell r="K201">
            <v>3</v>
          </cell>
        </row>
        <row r="202">
          <cell r="A202" t="str">
            <v>M1</v>
          </cell>
          <cell r="B202" t="str">
            <v>A5C</v>
          </cell>
          <cell r="C202" t="str">
            <v>P</v>
          </cell>
          <cell r="D202" t="str">
            <v>22139</v>
          </cell>
          <cell r="E202" t="str">
            <v>PIPE</v>
          </cell>
          <cell r="F202">
            <v>1</v>
          </cell>
          <cell r="G202" t="str">
            <v>CB100404000400</v>
          </cell>
          <cell r="H202">
            <v>4</v>
          </cell>
          <cell r="I202" t="str">
            <v>--</v>
          </cell>
          <cell r="J202">
            <v>2.7</v>
          </cell>
          <cell r="K202">
            <v>3.3</v>
          </cell>
        </row>
        <row r="203">
          <cell r="A203" t="str">
            <v>M1</v>
          </cell>
          <cell r="B203" t="str">
            <v>A5C</v>
          </cell>
          <cell r="C203" t="str">
            <v>P</v>
          </cell>
          <cell r="D203" t="str">
            <v>22021</v>
          </cell>
          <cell r="E203" t="str">
            <v>PIPE</v>
          </cell>
          <cell r="F203">
            <v>1</v>
          </cell>
          <cell r="G203" t="str">
            <v>CB100404000400</v>
          </cell>
          <cell r="H203">
            <v>4</v>
          </cell>
          <cell r="I203" t="str">
            <v>--</v>
          </cell>
          <cell r="J203">
            <v>3</v>
          </cell>
          <cell r="K203">
            <v>3.6</v>
          </cell>
        </row>
        <row r="204">
          <cell r="A204" t="str">
            <v>M1</v>
          </cell>
          <cell r="B204" t="str">
            <v>A5C</v>
          </cell>
          <cell r="C204" t="str">
            <v>P</v>
          </cell>
          <cell r="D204" t="str">
            <v>22059</v>
          </cell>
          <cell r="E204" t="str">
            <v>PIPE</v>
          </cell>
          <cell r="F204">
            <v>1</v>
          </cell>
          <cell r="G204" t="str">
            <v>CB100404000400</v>
          </cell>
          <cell r="H204">
            <v>4</v>
          </cell>
          <cell r="I204" t="str">
            <v>--</v>
          </cell>
          <cell r="J204">
            <v>3</v>
          </cell>
          <cell r="K204">
            <v>3.6</v>
          </cell>
        </row>
        <row r="205">
          <cell r="A205" t="str">
            <v>M1</v>
          </cell>
          <cell r="B205" t="str">
            <v>A5C</v>
          </cell>
          <cell r="C205" t="str">
            <v>P</v>
          </cell>
          <cell r="D205" t="str">
            <v>22024</v>
          </cell>
          <cell r="E205" t="str">
            <v>PIPE</v>
          </cell>
          <cell r="F205">
            <v>1</v>
          </cell>
          <cell r="G205" t="str">
            <v>CB100404000400</v>
          </cell>
          <cell r="H205">
            <v>4</v>
          </cell>
          <cell r="I205" t="str">
            <v>--</v>
          </cell>
          <cell r="J205">
            <v>3.5</v>
          </cell>
          <cell r="K205">
            <v>4.2</v>
          </cell>
        </row>
        <row r="206">
          <cell r="A206" t="str">
            <v>M1</v>
          </cell>
          <cell r="B206" t="str">
            <v>A5C</v>
          </cell>
          <cell r="C206" t="str">
            <v>P</v>
          </cell>
          <cell r="D206" t="str">
            <v>22057</v>
          </cell>
          <cell r="E206" t="str">
            <v>PIPE</v>
          </cell>
          <cell r="F206">
            <v>1</v>
          </cell>
          <cell r="G206" t="str">
            <v>CB100404000400</v>
          </cell>
          <cell r="H206">
            <v>4</v>
          </cell>
          <cell r="I206" t="str">
            <v>--</v>
          </cell>
          <cell r="J206">
            <v>4.2</v>
          </cell>
          <cell r="K206">
            <v>5.0999999999999996</v>
          </cell>
        </row>
        <row r="207">
          <cell r="A207" t="str">
            <v>M1</v>
          </cell>
          <cell r="B207" t="str">
            <v>A5C</v>
          </cell>
          <cell r="C207" t="str">
            <v>WW</v>
          </cell>
          <cell r="D207" t="str">
            <v>22601</v>
          </cell>
          <cell r="E207" t="str">
            <v>PIPE</v>
          </cell>
          <cell r="F207">
            <v>1</v>
          </cell>
          <cell r="G207" t="str">
            <v>CB100404000400</v>
          </cell>
          <cell r="H207">
            <v>4</v>
          </cell>
          <cell r="I207" t="str">
            <v>--</v>
          </cell>
          <cell r="J207">
            <v>4.5999999999999996</v>
          </cell>
          <cell r="K207">
            <v>5.6</v>
          </cell>
        </row>
        <row r="208">
          <cell r="A208" t="str">
            <v>M1</v>
          </cell>
          <cell r="B208" t="str">
            <v>A5C</v>
          </cell>
          <cell r="C208" t="str">
            <v>P</v>
          </cell>
          <cell r="D208" t="str">
            <v>22098</v>
          </cell>
          <cell r="E208" t="str">
            <v>PIPE</v>
          </cell>
          <cell r="F208">
            <v>1</v>
          </cell>
          <cell r="G208" t="str">
            <v>CB100404000400</v>
          </cell>
          <cell r="H208">
            <v>4</v>
          </cell>
          <cell r="I208" t="str">
            <v>--</v>
          </cell>
          <cell r="J208">
            <v>5</v>
          </cell>
          <cell r="K208">
            <v>6</v>
          </cell>
        </row>
        <row r="209">
          <cell r="A209" t="str">
            <v>M1</v>
          </cell>
          <cell r="B209" t="str">
            <v>A5C</v>
          </cell>
          <cell r="C209" t="str">
            <v>COMP</v>
          </cell>
          <cell r="D209" t="str">
            <v>005</v>
          </cell>
          <cell r="E209" t="str">
            <v>PIPE</v>
          </cell>
          <cell r="F209">
            <v>1</v>
          </cell>
          <cell r="G209" t="str">
            <v>CB100404000400</v>
          </cell>
          <cell r="H209">
            <v>4</v>
          </cell>
          <cell r="I209" t="str">
            <v>--</v>
          </cell>
          <cell r="J209">
            <v>8</v>
          </cell>
          <cell r="K209">
            <v>9.6</v>
          </cell>
        </row>
        <row r="210">
          <cell r="A210" t="str">
            <v>M1</v>
          </cell>
          <cell r="B210" t="str">
            <v>B1C</v>
          </cell>
          <cell r="C210" t="str">
            <v>P</v>
          </cell>
          <cell r="D210" t="str">
            <v>22029</v>
          </cell>
          <cell r="E210" t="str">
            <v>PIPE</v>
          </cell>
          <cell r="F210">
            <v>1</v>
          </cell>
          <cell r="G210" t="str">
            <v>CB100404000400</v>
          </cell>
          <cell r="H210">
            <v>4</v>
          </cell>
          <cell r="I210" t="str">
            <v>--</v>
          </cell>
          <cell r="J210">
            <v>8.1999999999999993</v>
          </cell>
          <cell r="K210">
            <v>9.9</v>
          </cell>
        </row>
        <row r="211">
          <cell r="A211" t="str">
            <v>M1</v>
          </cell>
          <cell r="B211" t="str">
            <v>A5C</v>
          </cell>
          <cell r="C211" t="str">
            <v>P</v>
          </cell>
          <cell r="D211" t="str">
            <v>22099</v>
          </cell>
          <cell r="E211" t="str">
            <v>PIPE</v>
          </cell>
          <cell r="F211">
            <v>1</v>
          </cell>
          <cell r="G211" t="str">
            <v>CB100404000400</v>
          </cell>
          <cell r="H211">
            <v>4</v>
          </cell>
          <cell r="I211" t="str">
            <v>--</v>
          </cell>
          <cell r="J211">
            <v>9</v>
          </cell>
          <cell r="K211">
            <v>10.8</v>
          </cell>
        </row>
        <row r="212">
          <cell r="A212" t="str">
            <v>M1</v>
          </cell>
          <cell r="B212" t="str">
            <v>A6C</v>
          </cell>
          <cell r="C212" t="str">
            <v>HOS</v>
          </cell>
          <cell r="D212" t="str">
            <v>65634</v>
          </cell>
          <cell r="E212" t="str">
            <v>PIPE</v>
          </cell>
          <cell r="F212">
            <v>1</v>
          </cell>
          <cell r="G212" t="str">
            <v>CB100404000400</v>
          </cell>
          <cell r="H212">
            <v>4</v>
          </cell>
          <cell r="I212" t="str">
            <v>--</v>
          </cell>
          <cell r="J212">
            <v>10.3</v>
          </cell>
          <cell r="K212">
            <v>12.4</v>
          </cell>
        </row>
        <row r="213">
          <cell r="A213" t="str">
            <v>M1</v>
          </cell>
          <cell r="B213" t="str">
            <v>A6C</v>
          </cell>
          <cell r="C213" t="str">
            <v>HOR</v>
          </cell>
          <cell r="D213" t="str">
            <v>65813</v>
          </cell>
          <cell r="E213" t="str">
            <v>PIPE</v>
          </cell>
          <cell r="F213">
            <v>1</v>
          </cell>
          <cell r="G213" t="str">
            <v>CB100404000400</v>
          </cell>
          <cell r="H213">
            <v>4</v>
          </cell>
          <cell r="I213" t="str">
            <v>--</v>
          </cell>
          <cell r="J213">
            <v>10.3</v>
          </cell>
          <cell r="K213">
            <v>12.4</v>
          </cell>
        </row>
        <row r="214">
          <cell r="A214" t="str">
            <v>M1</v>
          </cell>
          <cell r="B214" t="str">
            <v>A6C</v>
          </cell>
          <cell r="C214" t="str">
            <v>HOS</v>
          </cell>
          <cell r="D214" t="str">
            <v>65614</v>
          </cell>
          <cell r="E214" t="str">
            <v>PIPE</v>
          </cell>
          <cell r="F214">
            <v>1</v>
          </cell>
          <cell r="G214" t="str">
            <v>CB100404000400</v>
          </cell>
          <cell r="H214">
            <v>4</v>
          </cell>
          <cell r="I214" t="str">
            <v>--</v>
          </cell>
          <cell r="J214">
            <v>10.3</v>
          </cell>
          <cell r="K214">
            <v>12.4</v>
          </cell>
        </row>
        <row r="215">
          <cell r="A215" t="str">
            <v>M1</v>
          </cell>
          <cell r="B215" t="str">
            <v>A5C</v>
          </cell>
          <cell r="C215" t="str">
            <v>P</v>
          </cell>
          <cell r="D215" t="str">
            <v>22082</v>
          </cell>
          <cell r="E215" t="str">
            <v>PIPE</v>
          </cell>
          <cell r="F215">
            <v>1</v>
          </cell>
          <cell r="G215" t="str">
            <v>CB100404000400</v>
          </cell>
          <cell r="H215">
            <v>4</v>
          </cell>
          <cell r="I215" t="str">
            <v>--</v>
          </cell>
          <cell r="J215">
            <v>11.3</v>
          </cell>
          <cell r="K215">
            <v>13.6</v>
          </cell>
        </row>
        <row r="216">
          <cell r="A216" t="str">
            <v>M1</v>
          </cell>
          <cell r="B216" t="str">
            <v>A5C</v>
          </cell>
          <cell r="C216" t="str">
            <v>P</v>
          </cell>
          <cell r="D216" t="str">
            <v>22069</v>
          </cell>
          <cell r="E216" t="str">
            <v>PIPE</v>
          </cell>
          <cell r="F216">
            <v>1</v>
          </cell>
          <cell r="G216" t="str">
            <v>CB100404000400</v>
          </cell>
          <cell r="H216">
            <v>4</v>
          </cell>
          <cell r="I216" t="str">
            <v>--</v>
          </cell>
          <cell r="J216">
            <v>12</v>
          </cell>
          <cell r="K216">
            <v>14.4</v>
          </cell>
        </row>
        <row r="217">
          <cell r="A217" t="str">
            <v>M1</v>
          </cell>
          <cell r="B217" t="str">
            <v>A4C</v>
          </cell>
          <cell r="C217" t="str">
            <v>P</v>
          </cell>
          <cell r="D217" t="str">
            <v>22009</v>
          </cell>
          <cell r="E217" t="str">
            <v>PIPE</v>
          </cell>
          <cell r="F217">
            <v>1</v>
          </cell>
          <cell r="G217" t="str">
            <v>CB110404000400</v>
          </cell>
          <cell r="H217">
            <v>4</v>
          </cell>
          <cell r="I217" t="str">
            <v>--</v>
          </cell>
          <cell r="J217">
            <v>19.8</v>
          </cell>
          <cell r="K217">
            <v>23.8</v>
          </cell>
        </row>
        <row r="218">
          <cell r="A218" t="str">
            <v>M1</v>
          </cell>
          <cell r="B218" t="str">
            <v>A5C</v>
          </cell>
          <cell r="C218" t="str">
            <v>WW</v>
          </cell>
          <cell r="D218" t="str">
            <v>22613</v>
          </cell>
          <cell r="E218" t="str">
            <v>PIPE</v>
          </cell>
          <cell r="F218">
            <v>1</v>
          </cell>
          <cell r="G218" t="str">
            <v>CB100404000400</v>
          </cell>
          <cell r="H218">
            <v>4</v>
          </cell>
          <cell r="I218" t="str">
            <v>--</v>
          </cell>
          <cell r="J218">
            <v>22</v>
          </cell>
          <cell r="K218">
            <v>26.4</v>
          </cell>
        </row>
        <row r="219">
          <cell r="A219" t="str">
            <v>M1</v>
          </cell>
          <cell r="B219" t="str">
            <v>A5C</v>
          </cell>
          <cell r="C219" t="str">
            <v>P</v>
          </cell>
          <cell r="D219" t="str">
            <v>22094</v>
          </cell>
          <cell r="E219" t="str">
            <v>PIPE</v>
          </cell>
          <cell r="F219">
            <v>1</v>
          </cell>
          <cell r="G219" t="str">
            <v>CB100404000400</v>
          </cell>
          <cell r="H219">
            <v>4</v>
          </cell>
          <cell r="I219" t="str">
            <v>--</v>
          </cell>
          <cell r="J219">
            <v>22.5</v>
          </cell>
          <cell r="K219">
            <v>27</v>
          </cell>
        </row>
        <row r="220">
          <cell r="A220" t="str">
            <v>M1</v>
          </cell>
          <cell r="B220" t="str">
            <v>A5C</v>
          </cell>
          <cell r="C220" t="str">
            <v>P</v>
          </cell>
          <cell r="D220" t="str">
            <v>22095</v>
          </cell>
          <cell r="E220" t="str">
            <v>PIPE</v>
          </cell>
          <cell r="F220">
            <v>1</v>
          </cell>
          <cell r="G220" t="str">
            <v>CB100404000400</v>
          </cell>
          <cell r="H220">
            <v>4</v>
          </cell>
          <cell r="I220" t="str">
            <v>--</v>
          </cell>
          <cell r="J220">
            <v>22.5</v>
          </cell>
          <cell r="K220">
            <v>27</v>
          </cell>
        </row>
        <row r="221">
          <cell r="A221" t="str">
            <v>M1</v>
          </cell>
          <cell r="B221" t="str">
            <v>A5C</v>
          </cell>
          <cell r="C221" t="str">
            <v>P</v>
          </cell>
          <cell r="D221" t="str">
            <v>22069</v>
          </cell>
          <cell r="E221" t="str">
            <v>PIPE</v>
          </cell>
          <cell r="F221">
            <v>1</v>
          </cell>
          <cell r="G221" t="str">
            <v>CB100404000400</v>
          </cell>
          <cell r="H221">
            <v>4</v>
          </cell>
          <cell r="I221" t="str">
            <v>--</v>
          </cell>
          <cell r="J221">
            <v>23.3</v>
          </cell>
          <cell r="K221">
            <v>28</v>
          </cell>
        </row>
        <row r="222">
          <cell r="A222" t="str">
            <v>M1</v>
          </cell>
          <cell r="B222" t="str">
            <v>A6C</v>
          </cell>
          <cell r="C222" t="str">
            <v>HOS</v>
          </cell>
          <cell r="D222" t="str">
            <v>65628</v>
          </cell>
          <cell r="E222" t="str">
            <v>PIPE</v>
          </cell>
          <cell r="F222">
            <v>1</v>
          </cell>
          <cell r="G222" t="str">
            <v>CB100404000400</v>
          </cell>
          <cell r="H222">
            <v>4</v>
          </cell>
          <cell r="I222" t="str">
            <v>--</v>
          </cell>
          <cell r="J222">
            <v>26.2</v>
          </cell>
          <cell r="K222">
            <v>31.5</v>
          </cell>
        </row>
        <row r="223">
          <cell r="A223" t="str">
            <v>M1</v>
          </cell>
          <cell r="B223" t="str">
            <v>A5C</v>
          </cell>
          <cell r="C223" t="str">
            <v>P</v>
          </cell>
          <cell r="D223" t="str">
            <v>21005</v>
          </cell>
          <cell r="E223" t="str">
            <v>PIPE</v>
          </cell>
          <cell r="F223">
            <v>1</v>
          </cell>
          <cell r="G223" t="str">
            <v>CB1004040004000400</v>
          </cell>
          <cell r="H223">
            <v>4</v>
          </cell>
          <cell r="I223" t="str">
            <v>--</v>
          </cell>
          <cell r="J223">
            <v>33.4</v>
          </cell>
          <cell r="K223">
            <v>40.1</v>
          </cell>
        </row>
        <row r="224">
          <cell r="A224" t="str">
            <v>M1</v>
          </cell>
          <cell r="B224" t="str">
            <v>A5C</v>
          </cell>
          <cell r="C224" t="str">
            <v>P</v>
          </cell>
          <cell r="D224" t="str">
            <v>22022</v>
          </cell>
          <cell r="E224" t="str">
            <v>PIPE</v>
          </cell>
          <cell r="F224">
            <v>1</v>
          </cell>
          <cell r="G224" t="str">
            <v>CB100404000600</v>
          </cell>
          <cell r="H224">
            <v>6</v>
          </cell>
          <cell r="I224" t="str">
            <v>--</v>
          </cell>
          <cell r="J224">
            <v>0.2</v>
          </cell>
          <cell r="K224">
            <v>0.3</v>
          </cell>
        </row>
        <row r="225">
          <cell r="A225" t="str">
            <v>M1</v>
          </cell>
          <cell r="B225" t="str">
            <v>A6C</v>
          </cell>
          <cell r="C225" t="str">
            <v>HOR</v>
          </cell>
          <cell r="D225" t="str">
            <v>65635</v>
          </cell>
          <cell r="E225" t="str">
            <v>PIPE</v>
          </cell>
          <cell r="F225">
            <v>1</v>
          </cell>
          <cell r="G225" t="str">
            <v>CB100404000600</v>
          </cell>
          <cell r="H225">
            <v>6</v>
          </cell>
          <cell r="I225" t="str">
            <v>--</v>
          </cell>
          <cell r="J225">
            <v>1</v>
          </cell>
          <cell r="K225">
            <v>1.2</v>
          </cell>
        </row>
        <row r="226">
          <cell r="A226" t="str">
            <v>M1</v>
          </cell>
          <cell r="B226" t="str">
            <v>A5C</v>
          </cell>
          <cell r="C226" t="str">
            <v>P</v>
          </cell>
          <cell r="D226" t="str">
            <v>22034</v>
          </cell>
          <cell r="E226" t="str">
            <v>PIPE</v>
          </cell>
          <cell r="F226">
            <v>1</v>
          </cell>
          <cell r="G226" t="str">
            <v>CB1004040006000600</v>
          </cell>
          <cell r="H226">
            <v>6</v>
          </cell>
          <cell r="I226" t="str">
            <v>--</v>
          </cell>
          <cell r="J226">
            <v>2.5</v>
          </cell>
          <cell r="K226">
            <v>3</v>
          </cell>
        </row>
        <row r="227">
          <cell r="A227" t="str">
            <v>M1</v>
          </cell>
          <cell r="B227" t="str">
            <v>A6C</v>
          </cell>
          <cell r="C227" t="str">
            <v>HOS</v>
          </cell>
          <cell r="D227" t="str">
            <v>65624</v>
          </cell>
          <cell r="E227" t="str">
            <v>PIPE</v>
          </cell>
          <cell r="F227">
            <v>1</v>
          </cell>
          <cell r="G227" t="str">
            <v>CB100404000600</v>
          </cell>
          <cell r="H227">
            <v>6</v>
          </cell>
          <cell r="I227" t="str">
            <v>--</v>
          </cell>
          <cell r="J227">
            <v>6.4</v>
          </cell>
          <cell r="K227">
            <v>7.7</v>
          </cell>
        </row>
        <row r="228">
          <cell r="A228" t="str">
            <v>M1</v>
          </cell>
          <cell r="B228" t="str">
            <v>A6C</v>
          </cell>
          <cell r="C228" t="str">
            <v>HOS</v>
          </cell>
          <cell r="D228" t="str">
            <v>65624</v>
          </cell>
          <cell r="E228" t="str">
            <v>PIPE</v>
          </cell>
          <cell r="F228">
            <v>1</v>
          </cell>
          <cell r="G228" t="str">
            <v>CB100404000600</v>
          </cell>
          <cell r="H228">
            <v>6</v>
          </cell>
          <cell r="I228" t="str">
            <v>--</v>
          </cell>
          <cell r="J228">
            <v>6.4</v>
          </cell>
          <cell r="K228">
            <v>7.7</v>
          </cell>
        </row>
        <row r="229">
          <cell r="A229" t="str">
            <v>M1</v>
          </cell>
          <cell r="B229" t="str">
            <v>A6C</v>
          </cell>
          <cell r="C229" t="str">
            <v>HOR</v>
          </cell>
          <cell r="D229" t="str">
            <v>65611</v>
          </cell>
          <cell r="E229" t="str">
            <v>PIPE</v>
          </cell>
          <cell r="F229">
            <v>1</v>
          </cell>
          <cell r="G229" t="str">
            <v>CB100404000600</v>
          </cell>
          <cell r="H229">
            <v>6</v>
          </cell>
          <cell r="I229" t="str">
            <v>--</v>
          </cell>
          <cell r="J229">
            <v>6.4</v>
          </cell>
          <cell r="K229">
            <v>7.7</v>
          </cell>
        </row>
        <row r="230">
          <cell r="A230" t="str">
            <v>M1</v>
          </cell>
          <cell r="B230" t="str">
            <v>A6C</v>
          </cell>
          <cell r="C230" t="str">
            <v>HOR</v>
          </cell>
          <cell r="D230" t="str">
            <v>65611</v>
          </cell>
          <cell r="E230" t="str">
            <v>PIPE</v>
          </cell>
          <cell r="F230">
            <v>1</v>
          </cell>
          <cell r="G230" t="str">
            <v>CB100404000600</v>
          </cell>
          <cell r="H230">
            <v>6</v>
          </cell>
          <cell r="I230" t="str">
            <v>--</v>
          </cell>
          <cell r="J230">
            <v>6.4</v>
          </cell>
          <cell r="K230">
            <v>7.7</v>
          </cell>
        </row>
        <row r="231">
          <cell r="A231" t="str">
            <v>M1</v>
          </cell>
          <cell r="B231" t="str">
            <v>A5C</v>
          </cell>
          <cell r="C231" t="str">
            <v>COMP</v>
          </cell>
          <cell r="D231" t="str">
            <v>003</v>
          </cell>
          <cell r="E231" t="str">
            <v>PIPE</v>
          </cell>
          <cell r="F231">
            <v>1</v>
          </cell>
          <cell r="G231" t="str">
            <v>CB100404000600</v>
          </cell>
          <cell r="H231">
            <v>6</v>
          </cell>
          <cell r="I231" t="str">
            <v>--</v>
          </cell>
          <cell r="J231">
            <v>6.5</v>
          </cell>
          <cell r="K231">
            <v>7.8</v>
          </cell>
        </row>
        <row r="232">
          <cell r="A232" t="str">
            <v>M1</v>
          </cell>
          <cell r="B232" t="str">
            <v>A5C</v>
          </cell>
          <cell r="C232" t="str">
            <v>P</v>
          </cell>
          <cell r="D232" t="str">
            <v>22055</v>
          </cell>
          <cell r="E232" t="str">
            <v>PIPE</v>
          </cell>
          <cell r="F232">
            <v>1</v>
          </cell>
          <cell r="G232" t="str">
            <v>CB100404000600</v>
          </cell>
          <cell r="H232">
            <v>6</v>
          </cell>
          <cell r="I232" t="str">
            <v>--</v>
          </cell>
          <cell r="J232">
            <v>8</v>
          </cell>
          <cell r="K232">
            <v>9.6</v>
          </cell>
        </row>
        <row r="233">
          <cell r="A233" t="str">
            <v>M1</v>
          </cell>
          <cell r="B233" t="str">
            <v>A5C</v>
          </cell>
          <cell r="C233" t="str">
            <v>P</v>
          </cell>
          <cell r="D233" t="str">
            <v>22035</v>
          </cell>
          <cell r="E233" t="str">
            <v>PIPE</v>
          </cell>
          <cell r="F233">
            <v>1</v>
          </cell>
          <cell r="G233" t="str">
            <v>CB100404000600</v>
          </cell>
          <cell r="H233">
            <v>6</v>
          </cell>
          <cell r="I233" t="str">
            <v>--</v>
          </cell>
          <cell r="J233">
            <v>8.8000000000000007</v>
          </cell>
          <cell r="K233">
            <v>10.6</v>
          </cell>
        </row>
        <row r="234">
          <cell r="A234" t="str">
            <v>M1</v>
          </cell>
          <cell r="B234" t="str">
            <v>A5C</v>
          </cell>
          <cell r="C234" t="str">
            <v>P</v>
          </cell>
          <cell r="D234" t="str">
            <v>22023</v>
          </cell>
          <cell r="E234" t="str">
            <v>PIPE</v>
          </cell>
          <cell r="F234">
            <v>1</v>
          </cell>
          <cell r="G234" t="str">
            <v>CB100404000600</v>
          </cell>
          <cell r="H234">
            <v>6</v>
          </cell>
          <cell r="I234" t="str">
            <v>--</v>
          </cell>
          <cell r="J234">
            <v>12.1</v>
          </cell>
          <cell r="K234">
            <v>14.6</v>
          </cell>
        </row>
        <row r="235">
          <cell r="A235" t="str">
            <v>M1</v>
          </cell>
          <cell r="B235" t="str">
            <v>A5C</v>
          </cell>
          <cell r="C235" t="str">
            <v>P</v>
          </cell>
          <cell r="D235" t="str">
            <v>22028</v>
          </cell>
          <cell r="E235" t="str">
            <v>PIPE</v>
          </cell>
          <cell r="F235">
            <v>1</v>
          </cell>
          <cell r="G235" t="str">
            <v>CB100404000600</v>
          </cell>
          <cell r="H235">
            <v>6</v>
          </cell>
          <cell r="I235" t="str">
            <v>--</v>
          </cell>
          <cell r="J235">
            <v>12.8</v>
          </cell>
          <cell r="K235">
            <v>15.4</v>
          </cell>
        </row>
        <row r="236">
          <cell r="A236" t="str">
            <v>M1</v>
          </cell>
          <cell r="B236" t="str">
            <v>A5C</v>
          </cell>
          <cell r="C236" t="str">
            <v>P</v>
          </cell>
          <cell r="D236" t="str">
            <v>22065</v>
          </cell>
          <cell r="E236" t="str">
            <v>PIPE</v>
          </cell>
          <cell r="F236">
            <v>1</v>
          </cell>
          <cell r="G236" t="str">
            <v>CB100404000600</v>
          </cell>
          <cell r="H236">
            <v>6</v>
          </cell>
          <cell r="I236" t="str">
            <v>--</v>
          </cell>
          <cell r="J236">
            <v>13.9</v>
          </cell>
          <cell r="K236">
            <v>16.7</v>
          </cell>
        </row>
        <row r="237">
          <cell r="A237" t="str">
            <v>M1</v>
          </cell>
          <cell r="B237" t="str">
            <v>A5C</v>
          </cell>
          <cell r="C237" t="str">
            <v>P</v>
          </cell>
          <cell r="D237" t="str">
            <v>22139</v>
          </cell>
          <cell r="E237" t="str">
            <v>PIPE</v>
          </cell>
          <cell r="F237">
            <v>1</v>
          </cell>
          <cell r="G237" t="str">
            <v>CB100404000600</v>
          </cell>
          <cell r="H237">
            <v>6</v>
          </cell>
          <cell r="I237" t="str">
            <v>--</v>
          </cell>
          <cell r="J237">
            <v>14.7</v>
          </cell>
          <cell r="K237">
            <v>17.7</v>
          </cell>
        </row>
        <row r="238">
          <cell r="A238" t="str">
            <v>M1</v>
          </cell>
          <cell r="B238" t="str">
            <v>B1C</v>
          </cell>
          <cell r="C238" t="str">
            <v>P</v>
          </cell>
          <cell r="D238" t="str">
            <v>22029</v>
          </cell>
          <cell r="E238" t="str">
            <v>PIPE</v>
          </cell>
          <cell r="F238">
            <v>1</v>
          </cell>
          <cell r="G238" t="str">
            <v>CB100404000600</v>
          </cell>
          <cell r="H238">
            <v>6</v>
          </cell>
          <cell r="I238" t="str">
            <v>--</v>
          </cell>
          <cell r="J238">
            <v>14.7</v>
          </cell>
          <cell r="K238">
            <v>17.7</v>
          </cell>
        </row>
        <row r="239">
          <cell r="A239" t="str">
            <v>M1</v>
          </cell>
          <cell r="B239" t="str">
            <v>A5C</v>
          </cell>
          <cell r="C239" t="str">
            <v>WW</v>
          </cell>
          <cell r="D239" t="str">
            <v>22601</v>
          </cell>
          <cell r="E239" t="str">
            <v>PIPE</v>
          </cell>
          <cell r="F239">
            <v>1</v>
          </cell>
          <cell r="G239" t="str">
            <v>CB100404000600</v>
          </cell>
          <cell r="H239">
            <v>6</v>
          </cell>
          <cell r="I239" t="str">
            <v>--</v>
          </cell>
          <cell r="J239">
            <v>15</v>
          </cell>
          <cell r="K239">
            <v>18</v>
          </cell>
        </row>
        <row r="240">
          <cell r="A240" t="str">
            <v>M1</v>
          </cell>
          <cell r="B240" t="str">
            <v>A5C</v>
          </cell>
          <cell r="C240" t="str">
            <v>P</v>
          </cell>
          <cell r="D240" t="str">
            <v>22019</v>
          </cell>
          <cell r="E240" t="str">
            <v>PIPE</v>
          </cell>
          <cell r="F240">
            <v>1</v>
          </cell>
          <cell r="G240" t="str">
            <v>CB1004040006000600</v>
          </cell>
          <cell r="H240">
            <v>6</v>
          </cell>
          <cell r="I240" t="str">
            <v>--</v>
          </cell>
          <cell r="J240">
            <v>17</v>
          </cell>
          <cell r="K240">
            <v>20.399999999999999</v>
          </cell>
        </row>
        <row r="241">
          <cell r="A241" t="str">
            <v>M1</v>
          </cell>
          <cell r="B241" t="str">
            <v>A5C</v>
          </cell>
          <cell r="C241" t="str">
            <v>P</v>
          </cell>
          <cell r="D241" t="str">
            <v>22048</v>
          </cell>
          <cell r="E241" t="str">
            <v>PIPE</v>
          </cell>
          <cell r="F241">
            <v>1</v>
          </cell>
          <cell r="G241" t="str">
            <v>CB1004040006000600</v>
          </cell>
          <cell r="H241">
            <v>6</v>
          </cell>
          <cell r="I241" t="str">
            <v>--</v>
          </cell>
          <cell r="J241">
            <v>17.5</v>
          </cell>
          <cell r="K241">
            <v>21</v>
          </cell>
        </row>
        <row r="242">
          <cell r="A242" t="str">
            <v>M1</v>
          </cell>
          <cell r="B242" t="str">
            <v>A5C</v>
          </cell>
          <cell r="C242" t="str">
            <v>P</v>
          </cell>
          <cell r="D242" t="str">
            <v>22048</v>
          </cell>
          <cell r="E242" t="str">
            <v>PIPE</v>
          </cell>
          <cell r="F242">
            <v>1</v>
          </cell>
          <cell r="G242" t="str">
            <v>CB1004040006000600</v>
          </cell>
          <cell r="H242">
            <v>6</v>
          </cell>
          <cell r="I242" t="str">
            <v>--</v>
          </cell>
          <cell r="J242">
            <v>19.5</v>
          </cell>
          <cell r="K242">
            <v>23.4</v>
          </cell>
        </row>
        <row r="243">
          <cell r="A243" t="str">
            <v>M1</v>
          </cell>
          <cell r="B243" t="str">
            <v>A5C</v>
          </cell>
          <cell r="C243" t="str">
            <v>P</v>
          </cell>
          <cell r="D243" t="str">
            <v>22020</v>
          </cell>
          <cell r="E243" t="str">
            <v>PIPE</v>
          </cell>
          <cell r="F243">
            <v>1</v>
          </cell>
          <cell r="G243" t="str">
            <v>CB1004040006000600</v>
          </cell>
          <cell r="H243">
            <v>6</v>
          </cell>
          <cell r="I243" t="str">
            <v>--</v>
          </cell>
          <cell r="J243">
            <v>45.9</v>
          </cell>
          <cell r="K243">
            <v>55.1</v>
          </cell>
        </row>
        <row r="244">
          <cell r="A244" t="str">
            <v>M1</v>
          </cell>
          <cell r="B244" t="str">
            <v>A5C</v>
          </cell>
          <cell r="C244" t="str">
            <v>WW</v>
          </cell>
          <cell r="D244" t="str">
            <v>22601</v>
          </cell>
          <cell r="E244" t="str">
            <v>PIPE</v>
          </cell>
          <cell r="F244">
            <v>1</v>
          </cell>
          <cell r="G244" t="str">
            <v>CB100404000600</v>
          </cell>
          <cell r="H244">
            <v>6</v>
          </cell>
          <cell r="I244" t="str">
            <v>--</v>
          </cell>
          <cell r="J244">
            <v>49</v>
          </cell>
          <cell r="K244">
            <v>58.8</v>
          </cell>
        </row>
        <row r="245">
          <cell r="A245" t="str">
            <v>M1</v>
          </cell>
          <cell r="B245" t="str">
            <v>A6C</v>
          </cell>
          <cell r="C245" t="str">
            <v>HOS</v>
          </cell>
          <cell r="D245" t="str">
            <v>65631</v>
          </cell>
          <cell r="E245" t="str">
            <v>PIPE</v>
          </cell>
          <cell r="F245">
            <v>1</v>
          </cell>
          <cell r="G245" t="str">
            <v>CB100404000800</v>
          </cell>
          <cell r="H245">
            <v>8</v>
          </cell>
          <cell r="I245" t="str">
            <v>--</v>
          </cell>
          <cell r="J245">
            <v>0.9</v>
          </cell>
          <cell r="K245">
            <v>1.1000000000000001</v>
          </cell>
        </row>
        <row r="246">
          <cell r="A246" t="str">
            <v>M1</v>
          </cell>
          <cell r="B246" t="str">
            <v>A6C</v>
          </cell>
          <cell r="C246" t="str">
            <v>HOR</v>
          </cell>
          <cell r="D246" t="str">
            <v>65615</v>
          </cell>
          <cell r="E246" t="str">
            <v>PIPE</v>
          </cell>
          <cell r="F246">
            <v>1</v>
          </cell>
          <cell r="G246" t="str">
            <v>CB100404000800</v>
          </cell>
          <cell r="H246">
            <v>8</v>
          </cell>
          <cell r="I246" t="str">
            <v>--</v>
          </cell>
          <cell r="J246">
            <v>1.6</v>
          </cell>
          <cell r="K246">
            <v>2</v>
          </cell>
        </row>
        <row r="247">
          <cell r="A247" t="str">
            <v>M1</v>
          </cell>
          <cell r="B247" t="str">
            <v>A5C</v>
          </cell>
          <cell r="C247" t="str">
            <v>P</v>
          </cell>
          <cell r="D247" t="str">
            <v>22074</v>
          </cell>
          <cell r="E247" t="str">
            <v>PIPE</v>
          </cell>
          <cell r="F247">
            <v>1</v>
          </cell>
          <cell r="G247" t="str">
            <v>CB100404000800</v>
          </cell>
          <cell r="H247">
            <v>8</v>
          </cell>
          <cell r="I247" t="str">
            <v>--</v>
          </cell>
          <cell r="J247">
            <v>1.8</v>
          </cell>
          <cell r="K247">
            <v>2.2000000000000002</v>
          </cell>
        </row>
        <row r="248">
          <cell r="A248" t="str">
            <v>M1</v>
          </cell>
          <cell r="B248" t="str">
            <v>A6C</v>
          </cell>
          <cell r="C248" t="str">
            <v>HOR</v>
          </cell>
          <cell r="D248" t="str">
            <v>65621</v>
          </cell>
          <cell r="E248" t="str">
            <v>PIPE</v>
          </cell>
          <cell r="F248">
            <v>1</v>
          </cell>
          <cell r="G248" t="str">
            <v>CB100404000800</v>
          </cell>
          <cell r="H248">
            <v>8</v>
          </cell>
          <cell r="I248" t="str">
            <v>--</v>
          </cell>
          <cell r="J248">
            <v>2.2000000000000002</v>
          </cell>
          <cell r="K248">
            <v>2.7</v>
          </cell>
        </row>
        <row r="249">
          <cell r="A249" t="str">
            <v>M1</v>
          </cell>
          <cell r="B249" t="str">
            <v>A6C</v>
          </cell>
          <cell r="C249" t="str">
            <v>HOS</v>
          </cell>
          <cell r="D249" t="str">
            <v>65619</v>
          </cell>
          <cell r="E249" t="str">
            <v>PIPE</v>
          </cell>
          <cell r="F249">
            <v>1</v>
          </cell>
          <cell r="G249" t="str">
            <v>CB100404000800</v>
          </cell>
          <cell r="H249">
            <v>8</v>
          </cell>
          <cell r="I249" t="str">
            <v>--</v>
          </cell>
          <cell r="J249">
            <v>2.7</v>
          </cell>
          <cell r="K249">
            <v>3.3</v>
          </cell>
        </row>
        <row r="250">
          <cell r="A250" t="str">
            <v>M1</v>
          </cell>
          <cell r="B250" t="str">
            <v>A5C</v>
          </cell>
          <cell r="C250" t="str">
            <v>P</v>
          </cell>
          <cell r="D250" t="str">
            <v>22044</v>
          </cell>
          <cell r="E250" t="str">
            <v>PIPE</v>
          </cell>
          <cell r="F250">
            <v>1</v>
          </cell>
          <cell r="G250" t="str">
            <v>CB100404000800</v>
          </cell>
          <cell r="H250">
            <v>8</v>
          </cell>
          <cell r="I250" t="str">
            <v>--</v>
          </cell>
          <cell r="J250">
            <v>3.6</v>
          </cell>
          <cell r="K250">
            <v>4.4000000000000004</v>
          </cell>
        </row>
        <row r="251">
          <cell r="A251" t="str">
            <v>M1</v>
          </cell>
          <cell r="B251" t="str">
            <v>A6C</v>
          </cell>
          <cell r="C251" t="str">
            <v>HOS</v>
          </cell>
          <cell r="D251" t="str">
            <v>65613</v>
          </cell>
          <cell r="E251" t="str">
            <v>PIPE</v>
          </cell>
          <cell r="F251">
            <v>1</v>
          </cell>
          <cell r="G251" t="str">
            <v>CB100404000800</v>
          </cell>
          <cell r="H251">
            <v>8</v>
          </cell>
          <cell r="I251" t="str">
            <v>--</v>
          </cell>
          <cell r="J251">
            <v>3.6</v>
          </cell>
          <cell r="K251">
            <v>4.4000000000000004</v>
          </cell>
        </row>
        <row r="252">
          <cell r="A252" t="str">
            <v>M1</v>
          </cell>
          <cell r="B252" t="str">
            <v>A6C</v>
          </cell>
          <cell r="C252" t="str">
            <v>HOS</v>
          </cell>
          <cell r="D252" t="str">
            <v>65624</v>
          </cell>
          <cell r="E252" t="str">
            <v>PIPE</v>
          </cell>
          <cell r="F252">
            <v>1</v>
          </cell>
          <cell r="G252" t="str">
            <v>CB100404000800</v>
          </cell>
          <cell r="H252">
            <v>8</v>
          </cell>
          <cell r="I252" t="str">
            <v>--</v>
          </cell>
          <cell r="J252">
            <v>3.7</v>
          </cell>
          <cell r="K252">
            <v>4.5</v>
          </cell>
        </row>
        <row r="253">
          <cell r="A253" t="str">
            <v>M1</v>
          </cell>
          <cell r="B253" t="str">
            <v>A6C</v>
          </cell>
          <cell r="C253" t="str">
            <v>HOS</v>
          </cell>
          <cell r="D253" t="str">
            <v>65617</v>
          </cell>
          <cell r="E253" t="str">
            <v>PIPE</v>
          </cell>
          <cell r="F253">
            <v>1</v>
          </cell>
          <cell r="G253" t="str">
            <v>CB100404000800</v>
          </cell>
          <cell r="H253">
            <v>8</v>
          </cell>
          <cell r="I253" t="str">
            <v>--</v>
          </cell>
          <cell r="J253">
            <v>4</v>
          </cell>
          <cell r="K253">
            <v>4.8</v>
          </cell>
        </row>
        <row r="254">
          <cell r="A254" t="str">
            <v>M1</v>
          </cell>
          <cell r="B254" t="str">
            <v>A6C</v>
          </cell>
          <cell r="C254" t="str">
            <v>HOR</v>
          </cell>
          <cell r="D254" t="str">
            <v>65619</v>
          </cell>
          <cell r="E254" t="str">
            <v>PIPE</v>
          </cell>
          <cell r="F254">
            <v>1</v>
          </cell>
          <cell r="G254" t="str">
            <v>CB100404000800</v>
          </cell>
          <cell r="H254">
            <v>8</v>
          </cell>
          <cell r="I254" t="str">
            <v>--</v>
          </cell>
          <cell r="J254">
            <v>4.4000000000000004</v>
          </cell>
          <cell r="K254">
            <v>5.3</v>
          </cell>
        </row>
        <row r="255">
          <cell r="A255" t="str">
            <v>M1</v>
          </cell>
          <cell r="B255" t="str">
            <v>A6C</v>
          </cell>
          <cell r="C255" t="str">
            <v>HOS</v>
          </cell>
          <cell r="D255" t="str">
            <v>65624</v>
          </cell>
          <cell r="E255" t="str">
            <v>PIPE</v>
          </cell>
          <cell r="F255">
            <v>1</v>
          </cell>
          <cell r="G255" t="str">
            <v>CB100404000800</v>
          </cell>
          <cell r="H255">
            <v>8</v>
          </cell>
          <cell r="I255" t="str">
            <v>--</v>
          </cell>
          <cell r="J255">
            <v>6</v>
          </cell>
          <cell r="K255">
            <v>7.2</v>
          </cell>
        </row>
        <row r="256">
          <cell r="A256" t="str">
            <v>M1</v>
          </cell>
          <cell r="B256" t="str">
            <v>A6C</v>
          </cell>
          <cell r="C256" t="str">
            <v>HOS</v>
          </cell>
          <cell r="D256" t="str">
            <v>65613</v>
          </cell>
          <cell r="E256" t="str">
            <v>PIPE</v>
          </cell>
          <cell r="F256">
            <v>1</v>
          </cell>
          <cell r="G256" t="str">
            <v>CB100404000800</v>
          </cell>
          <cell r="H256">
            <v>8</v>
          </cell>
          <cell r="I256" t="str">
            <v>--</v>
          </cell>
          <cell r="J256">
            <v>6.5</v>
          </cell>
          <cell r="K256">
            <v>7.8</v>
          </cell>
        </row>
        <row r="257">
          <cell r="A257" t="str">
            <v>M1</v>
          </cell>
          <cell r="B257" t="str">
            <v>A6C</v>
          </cell>
          <cell r="C257" t="str">
            <v>HOS</v>
          </cell>
          <cell r="D257" t="str">
            <v>65624</v>
          </cell>
          <cell r="E257" t="str">
            <v>PIPE</v>
          </cell>
          <cell r="F257">
            <v>1</v>
          </cell>
          <cell r="G257" t="str">
            <v>CB100404000800</v>
          </cell>
          <cell r="H257">
            <v>8</v>
          </cell>
          <cell r="I257" t="str">
            <v>--</v>
          </cell>
          <cell r="J257">
            <v>7</v>
          </cell>
          <cell r="K257">
            <v>8.4</v>
          </cell>
        </row>
        <row r="258">
          <cell r="A258" t="str">
            <v>M1</v>
          </cell>
          <cell r="B258" t="str">
            <v>A6C</v>
          </cell>
          <cell r="C258" t="str">
            <v>HOS</v>
          </cell>
          <cell r="D258" t="str">
            <v>65624</v>
          </cell>
          <cell r="E258" t="str">
            <v>PIPE</v>
          </cell>
          <cell r="F258">
            <v>1</v>
          </cell>
          <cell r="G258" t="str">
            <v>CB100404000800</v>
          </cell>
          <cell r="H258">
            <v>8</v>
          </cell>
          <cell r="I258" t="str">
            <v>--</v>
          </cell>
          <cell r="J258">
            <v>7.1</v>
          </cell>
          <cell r="K258">
            <v>8.6</v>
          </cell>
        </row>
        <row r="259">
          <cell r="A259" t="str">
            <v>M1</v>
          </cell>
          <cell r="B259" t="str">
            <v>A6C</v>
          </cell>
          <cell r="C259" t="str">
            <v>HOS</v>
          </cell>
          <cell r="D259" t="str">
            <v>65615</v>
          </cell>
          <cell r="E259" t="str">
            <v>PIPE</v>
          </cell>
          <cell r="F259">
            <v>1</v>
          </cell>
          <cell r="G259" t="str">
            <v>CB100404000800</v>
          </cell>
          <cell r="H259">
            <v>8</v>
          </cell>
          <cell r="I259" t="str">
            <v>--</v>
          </cell>
          <cell r="J259">
            <v>7.4</v>
          </cell>
          <cell r="K259">
            <v>8.9</v>
          </cell>
        </row>
        <row r="260">
          <cell r="A260" t="str">
            <v>M1</v>
          </cell>
          <cell r="B260" t="str">
            <v>A5C</v>
          </cell>
          <cell r="C260" t="str">
            <v>COMP</v>
          </cell>
          <cell r="D260" t="str">
            <v>004</v>
          </cell>
          <cell r="E260" t="str">
            <v>PIPE</v>
          </cell>
          <cell r="F260">
            <v>1</v>
          </cell>
          <cell r="G260" t="str">
            <v>CB100404000800</v>
          </cell>
          <cell r="H260">
            <v>8</v>
          </cell>
          <cell r="I260" t="str">
            <v>--</v>
          </cell>
          <cell r="J260">
            <v>8</v>
          </cell>
          <cell r="K260">
            <v>9.6</v>
          </cell>
        </row>
        <row r="261">
          <cell r="A261" t="str">
            <v>M1</v>
          </cell>
          <cell r="B261" t="str">
            <v>A5C</v>
          </cell>
          <cell r="C261" t="str">
            <v>P</v>
          </cell>
          <cell r="D261" t="str">
            <v>22011</v>
          </cell>
          <cell r="E261" t="str">
            <v>PIPE</v>
          </cell>
          <cell r="F261">
            <v>1</v>
          </cell>
          <cell r="G261" t="str">
            <v>CB100404000800</v>
          </cell>
          <cell r="H261">
            <v>8</v>
          </cell>
          <cell r="I261" t="str">
            <v>--</v>
          </cell>
          <cell r="J261">
            <v>8</v>
          </cell>
          <cell r="K261">
            <v>9.6</v>
          </cell>
        </row>
        <row r="262">
          <cell r="A262" t="str">
            <v>M1</v>
          </cell>
          <cell r="B262" t="str">
            <v>A6C</v>
          </cell>
          <cell r="C262" t="str">
            <v>HOR</v>
          </cell>
          <cell r="D262" t="str">
            <v>65611</v>
          </cell>
          <cell r="E262" t="str">
            <v>PIPE</v>
          </cell>
          <cell r="F262">
            <v>1</v>
          </cell>
          <cell r="G262" t="str">
            <v>CB100404000800</v>
          </cell>
          <cell r="H262">
            <v>8</v>
          </cell>
          <cell r="I262" t="str">
            <v>--</v>
          </cell>
          <cell r="J262">
            <v>8.1999999999999993</v>
          </cell>
          <cell r="K262">
            <v>9.9</v>
          </cell>
        </row>
        <row r="263">
          <cell r="A263" t="str">
            <v>M1</v>
          </cell>
          <cell r="B263" t="str">
            <v>A6C</v>
          </cell>
          <cell r="C263" t="str">
            <v>HOR</v>
          </cell>
          <cell r="D263" t="str">
            <v>65611</v>
          </cell>
          <cell r="E263" t="str">
            <v>PIPE</v>
          </cell>
          <cell r="F263">
            <v>1</v>
          </cell>
          <cell r="G263" t="str">
            <v>CB100404000800</v>
          </cell>
          <cell r="H263">
            <v>8</v>
          </cell>
          <cell r="I263" t="str">
            <v>--</v>
          </cell>
          <cell r="J263">
            <v>8.5</v>
          </cell>
          <cell r="K263">
            <v>10.199999999999999</v>
          </cell>
        </row>
        <row r="264">
          <cell r="A264" t="str">
            <v>M1</v>
          </cell>
          <cell r="B264" t="str">
            <v>A6C</v>
          </cell>
          <cell r="C264" t="str">
            <v>HOS</v>
          </cell>
          <cell r="D264" t="str">
            <v>65613</v>
          </cell>
          <cell r="E264" t="str">
            <v>PIPE</v>
          </cell>
          <cell r="F264">
            <v>1</v>
          </cell>
          <cell r="G264" t="str">
            <v>CB100404000800</v>
          </cell>
          <cell r="H264">
            <v>8</v>
          </cell>
          <cell r="I264" t="str">
            <v>--</v>
          </cell>
          <cell r="J264">
            <v>9.1</v>
          </cell>
          <cell r="K264">
            <v>11</v>
          </cell>
        </row>
        <row r="265">
          <cell r="A265" t="str">
            <v>M1</v>
          </cell>
          <cell r="B265" t="str">
            <v>A6C</v>
          </cell>
          <cell r="C265" t="str">
            <v>HOS</v>
          </cell>
          <cell r="D265" t="str">
            <v>65625</v>
          </cell>
          <cell r="E265" t="str">
            <v>PIPE</v>
          </cell>
          <cell r="F265">
            <v>1</v>
          </cell>
          <cell r="G265" t="str">
            <v>CB100404000800</v>
          </cell>
          <cell r="H265">
            <v>8</v>
          </cell>
          <cell r="I265" t="str">
            <v>--</v>
          </cell>
          <cell r="J265">
            <v>9.5</v>
          </cell>
          <cell r="K265">
            <v>11.4</v>
          </cell>
        </row>
        <row r="266">
          <cell r="A266" t="str">
            <v>M1</v>
          </cell>
          <cell r="B266" t="str">
            <v>A6C</v>
          </cell>
          <cell r="C266" t="str">
            <v>HOR</v>
          </cell>
          <cell r="D266" t="str">
            <v>65611</v>
          </cell>
          <cell r="E266" t="str">
            <v>PIPE</v>
          </cell>
          <cell r="F266">
            <v>1</v>
          </cell>
          <cell r="G266" t="str">
            <v>CB100404000800</v>
          </cell>
          <cell r="H266">
            <v>8</v>
          </cell>
          <cell r="I266" t="str">
            <v>--</v>
          </cell>
          <cell r="J266">
            <v>14.2</v>
          </cell>
          <cell r="K266">
            <v>17.100000000000001</v>
          </cell>
        </row>
        <row r="267">
          <cell r="A267" t="str">
            <v>M1</v>
          </cell>
          <cell r="B267" t="str">
            <v>A6C</v>
          </cell>
          <cell r="C267" t="str">
            <v>HOR</v>
          </cell>
          <cell r="D267" t="str">
            <v>65619</v>
          </cell>
          <cell r="E267" t="str">
            <v>PIPE</v>
          </cell>
          <cell r="F267">
            <v>1</v>
          </cell>
          <cell r="G267" t="str">
            <v>CB100404000800</v>
          </cell>
          <cell r="H267">
            <v>8</v>
          </cell>
          <cell r="I267" t="str">
            <v>--</v>
          </cell>
          <cell r="J267">
            <v>19.5</v>
          </cell>
          <cell r="K267">
            <v>23.4</v>
          </cell>
        </row>
        <row r="268">
          <cell r="A268" t="str">
            <v>M1</v>
          </cell>
          <cell r="B268" t="str">
            <v>A6C</v>
          </cell>
          <cell r="C268" t="str">
            <v>HOS</v>
          </cell>
          <cell r="D268" t="str">
            <v>65627</v>
          </cell>
          <cell r="E268" t="str">
            <v>PIPE</v>
          </cell>
          <cell r="F268">
            <v>1</v>
          </cell>
          <cell r="G268" t="str">
            <v>CB100404000800</v>
          </cell>
          <cell r="H268">
            <v>8</v>
          </cell>
          <cell r="I268" t="str">
            <v>--</v>
          </cell>
          <cell r="J268">
            <v>25.8</v>
          </cell>
          <cell r="K268">
            <v>31</v>
          </cell>
        </row>
        <row r="269">
          <cell r="A269" t="str">
            <v>M1</v>
          </cell>
          <cell r="B269" t="str">
            <v>A6C</v>
          </cell>
          <cell r="C269" t="str">
            <v>HOS</v>
          </cell>
          <cell r="D269" t="str">
            <v>65624</v>
          </cell>
          <cell r="E269" t="str">
            <v>PIPE</v>
          </cell>
          <cell r="F269">
            <v>1</v>
          </cell>
          <cell r="G269" t="str">
            <v>CB100404000800</v>
          </cell>
          <cell r="H269">
            <v>8</v>
          </cell>
          <cell r="I269" t="str">
            <v>--</v>
          </cell>
          <cell r="J269">
            <v>33.4</v>
          </cell>
          <cell r="K269">
            <v>40.1</v>
          </cell>
        </row>
        <row r="270">
          <cell r="A270" t="str">
            <v>M1</v>
          </cell>
          <cell r="B270" t="str">
            <v>A6C</v>
          </cell>
          <cell r="C270" t="str">
            <v>HOR</v>
          </cell>
          <cell r="D270" t="str">
            <v>65621</v>
          </cell>
          <cell r="E270" t="str">
            <v>PIPE</v>
          </cell>
          <cell r="F270">
            <v>1</v>
          </cell>
          <cell r="G270" t="str">
            <v>CB100404000800</v>
          </cell>
          <cell r="H270">
            <v>8</v>
          </cell>
          <cell r="I270" t="str">
            <v>--</v>
          </cell>
          <cell r="J270">
            <v>34.799999999999997</v>
          </cell>
          <cell r="K270">
            <v>41.8</v>
          </cell>
        </row>
        <row r="271">
          <cell r="A271" t="str">
            <v>M1</v>
          </cell>
          <cell r="B271" t="str">
            <v>A6C</v>
          </cell>
          <cell r="C271" t="str">
            <v>HOR</v>
          </cell>
          <cell r="D271" t="str">
            <v>65615</v>
          </cell>
          <cell r="E271" t="str">
            <v>PIPE</v>
          </cell>
          <cell r="F271">
            <v>1</v>
          </cell>
          <cell r="G271" t="str">
            <v>CB100404000800</v>
          </cell>
          <cell r="H271">
            <v>8</v>
          </cell>
          <cell r="I271" t="str">
            <v>--</v>
          </cell>
          <cell r="J271">
            <v>37.200000000000003</v>
          </cell>
          <cell r="K271">
            <v>44.7</v>
          </cell>
        </row>
        <row r="272">
          <cell r="A272" t="str">
            <v>M1</v>
          </cell>
          <cell r="B272" t="str">
            <v>A4C</v>
          </cell>
          <cell r="C272" t="str">
            <v>P</v>
          </cell>
          <cell r="D272" t="str">
            <v>22008</v>
          </cell>
          <cell r="E272" t="str">
            <v>PIPE</v>
          </cell>
          <cell r="F272">
            <v>1</v>
          </cell>
          <cell r="G272" t="str">
            <v>CB110404001000</v>
          </cell>
          <cell r="H272">
            <v>10</v>
          </cell>
          <cell r="I272" t="str">
            <v>--</v>
          </cell>
          <cell r="J272">
            <v>5.9</v>
          </cell>
          <cell r="K272">
            <v>6.5</v>
          </cell>
        </row>
        <row r="273">
          <cell r="A273" t="str">
            <v>M1</v>
          </cell>
          <cell r="B273" t="str">
            <v>A5C</v>
          </cell>
          <cell r="C273" t="str">
            <v>P</v>
          </cell>
          <cell r="D273" t="str">
            <v>22073</v>
          </cell>
          <cell r="E273" t="str">
            <v>PIPE</v>
          </cell>
          <cell r="F273">
            <v>1</v>
          </cell>
          <cell r="G273" t="str">
            <v>CB100404001000</v>
          </cell>
          <cell r="H273">
            <v>10</v>
          </cell>
          <cell r="I273" t="str">
            <v>--</v>
          </cell>
          <cell r="J273">
            <v>6.8</v>
          </cell>
          <cell r="K273">
            <v>7.5</v>
          </cell>
        </row>
        <row r="274">
          <cell r="A274" t="str">
            <v>M1</v>
          </cell>
          <cell r="B274" t="str">
            <v>A5C</v>
          </cell>
          <cell r="C274" t="str">
            <v>P</v>
          </cell>
          <cell r="D274" t="str">
            <v>22074</v>
          </cell>
          <cell r="E274" t="str">
            <v>PIPE</v>
          </cell>
          <cell r="F274">
            <v>1</v>
          </cell>
          <cell r="G274" t="str">
            <v>CB100404001000</v>
          </cell>
          <cell r="H274">
            <v>10</v>
          </cell>
          <cell r="I274" t="str">
            <v>--</v>
          </cell>
          <cell r="J274">
            <v>7.9</v>
          </cell>
          <cell r="K274">
            <v>8.6999999999999993</v>
          </cell>
        </row>
        <row r="275">
          <cell r="A275" t="str">
            <v>M1</v>
          </cell>
          <cell r="B275" t="str">
            <v>A5C</v>
          </cell>
          <cell r="C275" t="str">
            <v>P</v>
          </cell>
          <cell r="D275" t="str">
            <v>22075</v>
          </cell>
          <cell r="E275" t="str">
            <v>PIPE</v>
          </cell>
          <cell r="F275">
            <v>1</v>
          </cell>
          <cell r="G275" t="str">
            <v>CB100404001000</v>
          </cell>
          <cell r="H275">
            <v>10</v>
          </cell>
          <cell r="I275" t="str">
            <v>--</v>
          </cell>
          <cell r="J275">
            <v>8.3000000000000007</v>
          </cell>
          <cell r="K275">
            <v>9.1999999999999993</v>
          </cell>
        </row>
        <row r="276">
          <cell r="A276" t="str">
            <v>M1</v>
          </cell>
          <cell r="B276" t="str">
            <v>A5C</v>
          </cell>
          <cell r="C276" t="str">
            <v>P</v>
          </cell>
          <cell r="D276" t="str">
            <v>22062</v>
          </cell>
          <cell r="E276" t="str">
            <v>PIPE</v>
          </cell>
          <cell r="F276">
            <v>1</v>
          </cell>
          <cell r="G276" t="str">
            <v>CB100404001000</v>
          </cell>
          <cell r="H276">
            <v>10</v>
          </cell>
          <cell r="I276" t="str">
            <v>--</v>
          </cell>
          <cell r="J276">
            <v>9.3000000000000007</v>
          </cell>
          <cell r="K276">
            <v>10.3</v>
          </cell>
        </row>
        <row r="277">
          <cell r="A277" t="str">
            <v>M1</v>
          </cell>
          <cell r="B277" t="str">
            <v>A4C</v>
          </cell>
          <cell r="C277" t="str">
            <v>P</v>
          </cell>
          <cell r="D277" t="str">
            <v>22080</v>
          </cell>
          <cell r="E277" t="str">
            <v>PIPE</v>
          </cell>
          <cell r="F277">
            <v>1</v>
          </cell>
          <cell r="G277" t="str">
            <v>CB110404001000</v>
          </cell>
          <cell r="H277">
            <v>10</v>
          </cell>
          <cell r="I277" t="str">
            <v>--</v>
          </cell>
          <cell r="J277">
            <v>9.3000000000000007</v>
          </cell>
          <cell r="K277">
            <v>10.3</v>
          </cell>
        </row>
        <row r="278">
          <cell r="A278" t="str">
            <v>M1</v>
          </cell>
          <cell r="B278" t="str">
            <v>A5C</v>
          </cell>
          <cell r="C278" t="str">
            <v>P</v>
          </cell>
          <cell r="D278" t="str">
            <v>22060</v>
          </cell>
          <cell r="E278" t="str">
            <v>PIPE</v>
          </cell>
          <cell r="F278">
            <v>1</v>
          </cell>
          <cell r="G278" t="str">
            <v>CB100404001000</v>
          </cell>
          <cell r="H278">
            <v>10</v>
          </cell>
          <cell r="I278" t="str">
            <v>--</v>
          </cell>
          <cell r="J278">
            <v>9.4</v>
          </cell>
          <cell r="K278">
            <v>10.4</v>
          </cell>
        </row>
        <row r="279">
          <cell r="A279" t="str">
            <v>M1</v>
          </cell>
          <cell r="B279" t="str">
            <v>A5C</v>
          </cell>
          <cell r="C279" t="str">
            <v>P</v>
          </cell>
          <cell r="D279" t="str">
            <v>22077</v>
          </cell>
          <cell r="E279" t="str">
            <v>PIPE</v>
          </cell>
          <cell r="F279">
            <v>1</v>
          </cell>
          <cell r="G279" t="str">
            <v>CB100404001000</v>
          </cell>
          <cell r="H279">
            <v>10</v>
          </cell>
          <cell r="I279" t="str">
            <v>--</v>
          </cell>
          <cell r="J279">
            <v>13.4</v>
          </cell>
          <cell r="K279">
            <v>14.8</v>
          </cell>
        </row>
        <row r="280">
          <cell r="A280" t="str">
            <v>M1</v>
          </cell>
          <cell r="B280" t="str">
            <v>A4C</v>
          </cell>
          <cell r="C280" t="str">
            <v>P</v>
          </cell>
          <cell r="D280" t="str">
            <v>22008</v>
          </cell>
          <cell r="E280" t="str">
            <v>PIPE</v>
          </cell>
          <cell r="F280">
            <v>1</v>
          </cell>
          <cell r="G280" t="str">
            <v>CB110404001000</v>
          </cell>
          <cell r="H280">
            <v>10</v>
          </cell>
          <cell r="I280" t="str">
            <v>--</v>
          </cell>
          <cell r="J280">
            <v>22.7</v>
          </cell>
          <cell r="K280">
            <v>25</v>
          </cell>
        </row>
        <row r="281">
          <cell r="A281" t="str">
            <v>M1</v>
          </cell>
          <cell r="B281" t="str">
            <v>A4C</v>
          </cell>
          <cell r="C281" t="str">
            <v>P</v>
          </cell>
          <cell r="D281" t="str">
            <v>22008</v>
          </cell>
          <cell r="E281" t="str">
            <v>PIPE</v>
          </cell>
          <cell r="F281">
            <v>1</v>
          </cell>
          <cell r="G281" t="str">
            <v>CB110404001000</v>
          </cell>
          <cell r="H281">
            <v>10</v>
          </cell>
          <cell r="I281" t="str">
            <v>--</v>
          </cell>
          <cell r="J281">
            <v>25.4</v>
          </cell>
          <cell r="K281">
            <v>28</v>
          </cell>
        </row>
        <row r="282">
          <cell r="A282" t="str">
            <v>M1</v>
          </cell>
          <cell r="B282" t="str">
            <v>A5C</v>
          </cell>
          <cell r="C282" t="str">
            <v>P</v>
          </cell>
          <cell r="D282" t="str">
            <v>22062</v>
          </cell>
          <cell r="E282" t="str">
            <v>PIPE</v>
          </cell>
          <cell r="F282">
            <v>1</v>
          </cell>
          <cell r="G282" t="str">
            <v>CB100404001000</v>
          </cell>
          <cell r="H282">
            <v>10</v>
          </cell>
          <cell r="I282" t="str">
            <v>--</v>
          </cell>
          <cell r="J282">
            <v>34.1</v>
          </cell>
          <cell r="K282">
            <v>37.6</v>
          </cell>
        </row>
        <row r="283">
          <cell r="A283" t="str">
            <v>M1</v>
          </cell>
          <cell r="B283" t="str">
            <v>A5C</v>
          </cell>
          <cell r="C283" t="str">
            <v>P</v>
          </cell>
          <cell r="D283" t="str">
            <v>22077</v>
          </cell>
          <cell r="E283" t="str">
            <v>PIPE</v>
          </cell>
          <cell r="F283">
            <v>1</v>
          </cell>
          <cell r="G283" t="str">
            <v>CB100404001000</v>
          </cell>
          <cell r="H283">
            <v>10</v>
          </cell>
          <cell r="I283" t="str">
            <v>--</v>
          </cell>
          <cell r="J283">
            <v>38.6</v>
          </cell>
          <cell r="K283">
            <v>42.5</v>
          </cell>
        </row>
        <row r="284">
          <cell r="A284" t="str">
            <v>M1</v>
          </cell>
          <cell r="B284" t="str">
            <v>B1X</v>
          </cell>
          <cell r="C284" t="str">
            <v>P</v>
          </cell>
          <cell r="D284" t="str">
            <v>22042</v>
          </cell>
          <cell r="E284" t="str">
            <v>PIPE</v>
          </cell>
          <cell r="F284">
            <v>1</v>
          </cell>
          <cell r="G284" t="str">
            <v>LN100404001200</v>
          </cell>
          <cell r="H284">
            <v>12</v>
          </cell>
          <cell r="I284" t="str">
            <v>--</v>
          </cell>
          <cell r="J284">
            <v>2</v>
          </cell>
          <cell r="K284">
            <v>2.2000000000000002</v>
          </cell>
        </row>
        <row r="285">
          <cell r="A285" t="str">
            <v>M1</v>
          </cell>
          <cell r="B285" t="str">
            <v>A5C</v>
          </cell>
          <cell r="C285" t="str">
            <v>COMP</v>
          </cell>
          <cell r="D285" t="str">
            <v>001</v>
          </cell>
          <cell r="E285" t="str">
            <v>PIPE</v>
          </cell>
          <cell r="F285">
            <v>1</v>
          </cell>
          <cell r="G285" t="str">
            <v>CB100404001200</v>
          </cell>
          <cell r="H285">
            <v>12</v>
          </cell>
          <cell r="I285" t="str">
            <v>--</v>
          </cell>
          <cell r="J285">
            <v>6.5</v>
          </cell>
          <cell r="K285">
            <v>7.2</v>
          </cell>
        </row>
        <row r="286">
          <cell r="A286" t="str">
            <v>M1</v>
          </cell>
          <cell r="B286" t="str">
            <v>A5C</v>
          </cell>
          <cell r="C286" t="str">
            <v>COMP</v>
          </cell>
          <cell r="D286" t="str">
            <v>002</v>
          </cell>
          <cell r="E286" t="str">
            <v>PIPE</v>
          </cell>
          <cell r="F286">
            <v>1</v>
          </cell>
          <cell r="G286" t="str">
            <v>CB100404001200</v>
          </cell>
          <cell r="H286">
            <v>12</v>
          </cell>
          <cell r="I286" t="str">
            <v>--</v>
          </cell>
          <cell r="J286">
            <v>6.5</v>
          </cell>
          <cell r="K286">
            <v>7.2</v>
          </cell>
        </row>
        <row r="287">
          <cell r="A287" t="str">
            <v>M1</v>
          </cell>
          <cell r="B287" t="str">
            <v>B1C</v>
          </cell>
          <cell r="C287" t="str">
            <v>P</v>
          </cell>
          <cell r="D287" t="str">
            <v>22027</v>
          </cell>
          <cell r="E287" t="str">
            <v>PIPE</v>
          </cell>
          <cell r="F287">
            <v>1</v>
          </cell>
          <cell r="G287" t="str">
            <v>CB100404001400</v>
          </cell>
          <cell r="H287">
            <v>14</v>
          </cell>
          <cell r="I287" t="str">
            <v>--</v>
          </cell>
          <cell r="J287">
            <v>1</v>
          </cell>
          <cell r="K287">
            <v>1</v>
          </cell>
        </row>
        <row r="288">
          <cell r="A288" t="str">
            <v>M1</v>
          </cell>
          <cell r="B288" t="str">
            <v>A5C</v>
          </cell>
          <cell r="C288" t="str">
            <v>P</v>
          </cell>
          <cell r="D288" t="str">
            <v>22056</v>
          </cell>
          <cell r="E288" t="str">
            <v>PIPE</v>
          </cell>
          <cell r="F288">
            <v>1</v>
          </cell>
          <cell r="G288" t="str">
            <v>CB100404001400</v>
          </cell>
          <cell r="H288">
            <v>14</v>
          </cell>
          <cell r="I288" t="str">
            <v>--</v>
          </cell>
          <cell r="J288">
            <v>5.9</v>
          </cell>
          <cell r="K288">
            <v>5.9</v>
          </cell>
        </row>
        <row r="289">
          <cell r="A289" t="str">
            <v>M1</v>
          </cell>
          <cell r="B289" t="str">
            <v>A5C</v>
          </cell>
          <cell r="C289" t="str">
            <v>P</v>
          </cell>
          <cell r="D289" t="str">
            <v>22058</v>
          </cell>
          <cell r="E289" t="str">
            <v>PIPE</v>
          </cell>
          <cell r="F289">
            <v>1</v>
          </cell>
          <cell r="G289" t="str">
            <v>CB100404001400</v>
          </cell>
          <cell r="H289">
            <v>14</v>
          </cell>
          <cell r="I289" t="str">
            <v>--</v>
          </cell>
          <cell r="J289">
            <v>5.9</v>
          </cell>
          <cell r="K289">
            <v>5.9</v>
          </cell>
        </row>
        <row r="290">
          <cell r="A290" t="str">
            <v>M1</v>
          </cell>
          <cell r="B290" t="str">
            <v>A5C</v>
          </cell>
          <cell r="C290" t="str">
            <v>P</v>
          </cell>
          <cell r="D290" t="str">
            <v>22054</v>
          </cell>
          <cell r="E290" t="str">
            <v>PIPE</v>
          </cell>
          <cell r="F290">
            <v>1</v>
          </cell>
          <cell r="G290" t="str">
            <v>CB100404001400</v>
          </cell>
          <cell r="H290">
            <v>14</v>
          </cell>
          <cell r="I290" t="str">
            <v>--</v>
          </cell>
          <cell r="J290">
            <v>7.1</v>
          </cell>
          <cell r="K290">
            <v>7.1</v>
          </cell>
        </row>
        <row r="291">
          <cell r="A291" t="str">
            <v>M1</v>
          </cell>
          <cell r="B291" t="str">
            <v>A5C</v>
          </cell>
          <cell r="C291" t="str">
            <v>P</v>
          </cell>
          <cell r="D291" t="str">
            <v>22074</v>
          </cell>
          <cell r="E291" t="str">
            <v>PIPE</v>
          </cell>
          <cell r="F291">
            <v>1</v>
          </cell>
          <cell r="G291" t="str">
            <v>CB100404001600</v>
          </cell>
          <cell r="H291">
            <v>16</v>
          </cell>
          <cell r="I291" t="str">
            <v>--</v>
          </cell>
          <cell r="J291">
            <v>4</v>
          </cell>
          <cell r="K291">
            <v>4</v>
          </cell>
        </row>
        <row r="292">
          <cell r="A292" t="str">
            <v>M1</v>
          </cell>
          <cell r="B292" t="str">
            <v>A5C</v>
          </cell>
          <cell r="C292" t="str">
            <v>P</v>
          </cell>
          <cell r="D292" t="str">
            <v>22034</v>
          </cell>
          <cell r="E292" t="str">
            <v>PIPE</v>
          </cell>
          <cell r="F292">
            <v>1</v>
          </cell>
          <cell r="G292" t="str">
            <v>CB1005080001000100</v>
          </cell>
          <cell r="H292">
            <v>1</v>
          </cell>
          <cell r="I292" t="str">
            <v>--</v>
          </cell>
          <cell r="J292">
            <v>0.5</v>
          </cell>
          <cell r="K292">
            <v>0.5</v>
          </cell>
        </row>
        <row r="293">
          <cell r="A293" t="str">
            <v>M1</v>
          </cell>
          <cell r="B293" t="str">
            <v>A5C</v>
          </cell>
          <cell r="C293" t="str">
            <v>P</v>
          </cell>
          <cell r="D293" t="str">
            <v>21002</v>
          </cell>
          <cell r="E293" t="str">
            <v>PIPE</v>
          </cell>
          <cell r="F293">
            <v>1</v>
          </cell>
          <cell r="G293" t="str">
            <v>CB1004040010001000</v>
          </cell>
          <cell r="H293">
            <v>10</v>
          </cell>
          <cell r="I293" t="str">
            <v>--</v>
          </cell>
          <cell r="J293">
            <v>1</v>
          </cell>
          <cell r="K293">
            <v>1.1000000000000001</v>
          </cell>
        </row>
        <row r="294">
          <cell r="A294" t="str">
            <v>M1</v>
          </cell>
          <cell r="B294" t="str">
            <v>A5C</v>
          </cell>
          <cell r="C294" t="str">
            <v>P</v>
          </cell>
          <cell r="D294" t="str">
            <v>22046</v>
          </cell>
          <cell r="E294" t="str">
            <v>PIPE</v>
          </cell>
          <cell r="F294">
            <v>1</v>
          </cell>
          <cell r="G294" t="str">
            <v>CB1004040010001000</v>
          </cell>
          <cell r="H294">
            <v>10</v>
          </cell>
          <cell r="I294" t="str">
            <v>--</v>
          </cell>
          <cell r="J294">
            <v>3.1</v>
          </cell>
          <cell r="K294">
            <v>3.5</v>
          </cell>
        </row>
        <row r="295">
          <cell r="A295" t="str">
            <v>M1</v>
          </cell>
          <cell r="B295" t="str">
            <v>B2C</v>
          </cell>
          <cell r="C295" t="str">
            <v>SH</v>
          </cell>
          <cell r="D295" t="str">
            <v>22601</v>
          </cell>
          <cell r="E295" t="str">
            <v>NPL</v>
          </cell>
          <cell r="F295">
            <v>2</v>
          </cell>
          <cell r="G295" t="str">
            <v>CB132108000HVR</v>
          </cell>
          <cell r="H295">
            <v>0.5</v>
          </cell>
          <cell r="I295" t="str">
            <v>75mm</v>
          </cell>
          <cell r="J295">
            <v>2</v>
          </cell>
          <cell r="K295">
            <v>2</v>
          </cell>
        </row>
        <row r="296">
          <cell r="A296" t="str">
            <v>M1</v>
          </cell>
          <cell r="B296" t="str">
            <v>B2C</v>
          </cell>
          <cell r="C296" t="str">
            <v>SH</v>
          </cell>
          <cell r="D296" t="str">
            <v>22614</v>
          </cell>
          <cell r="E296" t="str">
            <v>NPL</v>
          </cell>
          <cell r="F296">
            <v>2</v>
          </cell>
          <cell r="G296" t="str">
            <v>CB132108000HVR</v>
          </cell>
          <cell r="H296">
            <v>0.5</v>
          </cell>
          <cell r="I296" t="str">
            <v>75mm</v>
          </cell>
          <cell r="J296">
            <v>1</v>
          </cell>
          <cell r="K296">
            <v>1</v>
          </cell>
        </row>
        <row r="297">
          <cell r="A297" t="str">
            <v>M1</v>
          </cell>
          <cell r="B297" t="str">
            <v>B2C</v>
          </cell>
          <cell r="C297" t="str">
            <v>SH</v>
          </cell>
          <cell r="D297" t="str">
            <v>22614</v>
          </cell>
          <cell r="E297" t="str">
            <v>NPL</v>
          </cell>
          <cell r="F297">
            <v>2</v>
          </cell>
          <cell r="G297" t="str">
            <v>CB132108000HWL</v>
          </cell>
          <cell r="H297">
            <v>0.5</v>
          </cell>
          <cell r="I297" t="str">
            <v>150mm</v>
          </cell>
          <cell r="J297">
            <v>1</v>
          </cell>
          <cell r="K297">
            <v>1</v>
          </cell>
        </row>
        <row r="298">
          <cell r="A298" t="str">
            <v>M1</v>
          </cell>
          <cell r="B298" t="str">
            <v>A5C</v>
          </cell>
          <cell r="C298" t="str">
            <v>COMP</v>
          </cell>
          <cell r="D298" t="str">
            <v>006</v>
          </cell>
          <cell r="E298" t="str">
            <v>90 ELL</v>
          </cell>
          <cell r="F298">
            <v>2</v>
          </cell>
          <cell r="G298" t="str">
            <v>CB400100001000</v>
          </cell>
          <cell r="H298">
            <v>0.5</v>
          </cell>
          <cell r="I298" t="str">
            <v>--</v>
          </cell>
          <cell r="J298">
            <v>8</v>
          </cell>
          <cell r="K298">
            <v>8</v>
          </cell>
        </row>
        <row r="299">
          <cell r="A299" t="str">
            <v>M1</v>
          </cell>
          <cell r="B299" t="str">
            <v>A5C</v>
          </cell>
          <cell r="C299" t="str">
            <v>P</v>
          </cell>
          <cell r="D299" t="str">
            <v>22107</v>
          </cell>
          <cell r="E299" t="str">
            <v>90 ELL</v>
          </cell>
          <cell r="F299">
            <v>2</v>
          </cell>
          <cell r="G299" t="str">
            <v>CB400100001000</v>
          </cell>
          <cell r="H299">
            <v>0.5</v>
          </cell>
          <cell r="I299" t="str">
            <v>--</v>
          </cell>
          <cell r="J299">
            <v>20</v>
          </cell>
          <cell r="K299">
            <v>20</v>
          </cell>
        </row>
        <row r="300">
          <cell r="A300" t="str">
            <v>M1</v>
          </cell>
          <cell r="B300" t="str">
            <v>A5C</v>
          </cell>
          <cell r="C300" t="str">
            <v>P</v>
          </cell>
          <cell r="D300" t="str">
            <v>22157</v>
          </cell>
          <cell r="E300" t="str">
            <v>90 ELL</v>
          </cell>
          <cell r="F300">
            <v>2</v>
          </cell>
          <cell r="G300" t="str">
            <v>CB400100001000</v>
          </cell>
          <cell r="H300">
            <v>0.5</v>
          </cell>
          <cell r="I300" t="str">
            <v>--</v>
          </cell>
          <cell r="J300">
            <v>1</v>
          </cell>
          <cell r="K300">
            <v>1</v>
          </cell>
        </row>
        <row r="301">
          <cell r="A301" t="str">
            <v>M1</v>
          </cell>
          <cell r="B301" t="str">
            <v>A5C</v>
          </cell>
          <cell r="C301" t="str">
            <v>P</v>
          </cell>
          <cell r="D301" t="str">
            <v>22158</v>
          </cell>
          <cell r="E301" t="str">
            <v>90 ELL</v>
          </cell>
          <cell r="F301">
            <v>2</v>
          </cell>
          <cell r="G301" t="str">
            <v>CB400100001000</v>
          </cell>
          <cell r="H301">
            <v>0.5</v>
          </cell>
          <cell r="I301" t="str">
            <v>--</v>
          </cell>
          <cell r="J301">
            <v>1</v>
          </cell>
          <cell r="K301">
            <v>1</v>
          </cell>
        </row>
        <row r="302">
          <cell r="A302" t="str">
            <v>M1</v>
          </cell>
          <cell r="B302" t="str">
            <v>A5C</v>
          </cell>
          <cell r="C302" t="str">
            <v>SCD</v>
          </cell>
          <cell r="D302" t="str">
            <v>HOLD1</v>
          </cell>
          <cell r="E302" t="str">
            <v>C SWG</v>
          </cell>
          <cell r="F302">
            <v>2</v>
          </cell>
          <cell r="G302" t="str">
            <v>CB161308080H0Q</v>
          </cell>
          <cell r="H302">
            <v>0.5</v>
          </cell>
          <cell r="I302">
            <v>0.25</v>
          </cell>
          <cell r="J302">
            <v>2</v>
          </cell>
          <cell r="K302">
            <v>2</v>
          </cell>
        </row>
        <row r="303">
          <cell r="A303" t="str">
            <v>M1</v>
          </cell>
          <cell r="B303" t="str">
            <v>A5C</v>
          </cell>
          <cell r="C303" t="str">
            <v>SCC</v>
          </cell>
          <cell r="D303" t="str">
            <v>HOLD1</v>
          </cell>
          <cell r="E303" t="str">
            <v>C SWG</v>
          </cell>
          <cell r="F303">
            <v>2</v>
          </cell>
          <cell r="G303" t="str">
            <v>CB161308080H0Q</v>
          </cell>
          <cell r="H303">
            <v>0.5</v>
          </cell>
          <cell r="I303">
            <v>0.25</v>
          </cell>
          <cell r="J303">
            <v>3</v>
          </cell>
          <cell r="K303">
            <v>3</v>
          </cell>
        </row>
        <row r="304">
          <cell r="A304" t="str">
            <v>M1</v>
          </cell>
          <cell r="B304" t="str">
            <v>A5C</v>
          </cell>
          <cell r="C304" t="str">
            <v>P</v>
          </cell>
          <cell r="D304" t="str">
            <v>22107</v>
          </cell>
          <cell r="E304" t="str">
            <v>CAP</v>
          </cell>
          <cell r="F304">
            <v>2</v>
          </cell>
          <cell r="G304" t="str">
            <v>CB520700000H00</v>
          </cell>
          <cell r="H304">
            <v>0.5</v>
          </cell>
          <cell r="I304" t="str">
            <v>--</v>
          </cell>
          <cell r="J304">
            <v>4</v>
          </cell>
          <cell r="K304">
            <v>4</v>
          </cell>
        </row>
        <row r="305">
          <cell r="A305" t="str">
            <v>M1</v>
          </cell>
          <cell r="B305" t="str">
            <v>A5C</v>
          </cell>
          <cell r="C305" t="str">
            <v>P</v>
          </cell>
          <cell r="D305" t="str">
            <v>22065</v>
          </cell>
          <cell r="E305" t="str">
            <v>CPLG</v>
          </cell>
          <cell r="F305">
            <v>2</v>
          </cell>
          <cell r="G305" t="str">
            <v>CB400500000H00</v>
          </cell>
          <cell r="H305">
            <v>0.5</v>
          </cell>
          <cell r="I305" t="str">
            <v>--</v>
          </cell>
          <cell r="J305">
            <v>1</v>
          </cell>
          <cell r="K305">
            <v>1</v>
          </cell>
        </row>
        <row r="306">
          <cell r="A306" t="str">
            <v>M1</v>
          </cell>
          <cell r="B306" t="str">
            <v>A5C</v>
          </cell>
          <cell r="C306" t="str">
            <v>P</v>
          </cell>
          <cell r="D306" t="str">
            <v>22104</v>
          </cell>
          <cell r="E306" t="str">
            <v>CPLG</v>
          </cell>
          <cell r="F306">
            <v>2</v>
          </cell>
          <cell r="G306" t="str">
            <v>CB400500000H00</v>
          </cell>
          <cell r="H306">
            <v>0.5</v>
          </cell>
          <cell r="I306" t="str">
            <v>--</v>
          </cell>
          <cell r="J306">
            <v>2</v>
          </cell>
          <cell r="K306">
            <v>2</v>
          </cell>
        </row>
        <row r="307">
          <cell r="A307" t="str">
            <v>M1</v>
          </cell>
          <cell r="B307" t="str">
            <v>A5C</v>
          </cell>
          <cell r="C307" t="str">
            <v>COMP</v>
          </cell>
          <cell r="D307" t="str">
            <v>006</v>
          </cell>
          <cell r="E307" t="str">
            <v>TEE</v>
          </cell>
          <cell r="F307">
            <v>2</v>
          </cell>
          <cell r="G307" t="str">
            <v>CB400300000H00</v>
          </cell>
          <cell r="H307">
            <v>0.5</v>
          </cell>
          <cell r="I307" t="str">
            <v>--</v>
          </cell>
          <cell r="J307">
            <v>4</v>
          </cell>
          <cell r="K307">
            <v>4</v>
          </cell>
        </row>
        <row r="308">
          <cell r="A308" t="str">
            <v>M1</v>
          </cell>
          <cell r="B308" t="str">
            <v>A5C</v>
          </cell>
          <cell r="C308" t="str">
            <v>P</v>
          </cell>
          <cell r="D308" t="str">
            <v>22065</v>
          </cell>
          <cell r="E308" t="str">
            <v>TEE</v>
          </cell>
          <cell r="F308">
            <v>2</v>
          </cell>
          <cell r="G308" t="str">
            <v>CB400300000H00</v>
          </cell>
          <cell r="H308">
            <v>0.5</v>
          </cell>
          <cell r="I308" t="str">
            <v>--</v>
          </cell>
          <cell r="J308">
            <v>1</v>
          </cell>
          <cell r="K308">
            <v>1</v>
          </cell>
        </row>
        <row r="309">
          <cell r="A309" t="str">
            <v>M1</v>
          </cell>
          <cell r="B309" t="str">
            <v>A5C</v>
          </cell>
          <cell r="C309" t="str">
            <v>SCC</v>
          </cell>
          <cell r="D309" t="str">
            <v>HOLD1</v>
          </cell>
          <cell r="E309" t="str">
            <v>TEE</v>
          </cell>
          <cell r="F309">
            <v>2</v>
          </cell>
          <cell r="G309" t="str">
            <v>CB400300000H00</v>
          </cell>
          <cell r="H309">
            <v>0.5</v>
          </cell>
          <cell r="I309" t="str">
            <v>--</v>
          </cell>
          <cell r="J309">
            <v>3</v>
          </cell>
          <cell r="K309">
            <v>3</v>
          </cell>
        </row>
        <row r="310">
          <cell r="A310" t="str">
            <v>M1</v>
          </cell>
          <cell r="B310" t="str">
            <v>A5C</v>
          </cell>
          <cell r="C310" t="str">
            <v>P</v>
          </cell>
          <cell r="D310" t="str">
            <v>22107</v>
          </cell>
          <cell r="E310" t="str">
            <v>TEE</v>
          </cell>
          <cell r="F310">
            <v>2</v>
          </cell>
          <cell r="G310" t="str">
            <v>CB400300000H00</v>
          </cell>
          <cell r="H310">
            <v>0.5</v>
          </cell>
          <cell r="I310" t="str">
            <v>--</v>
          </cell>
          <cell r="J310">
            <v>8</v>
          </cell>
          <cell r="K310">
            <v>8</v>
          </cell>
        </row>
        <row r="311">
          <cell r="A311" t="str">
            <v>M1</v>
          </cell>
          <cell r="B311" t="str">
            <v>A5C</v>
          </cell>
          <cell r="C311" t="str">
            <v>SCD</v>
          </cell>
          <cell r="D311" t="str">
            <v>HOLD1</v>
          </cell>
          <cell r="E311" t="str">
            <v>TEE</v>
          </cell>
          <cell r="F311">
            <v>2</v>
          </cell>
          <cell r="G311" t="str">
            <v>CB400300000H00</v>
          </cell>
          <cell r="H311">
            <v>0.5</v>
          </cell>
          <cell r="I311" t="str">
            <v>--</v>
          </cell>
          <cell r="J311">
            <v>2</v>
          </cell>
          <cell r="K311">
            <v>2</v>
          </cell>
        </row>
        <row r="312">
          <cell r="A312" t="str">
            <v>M1</v>
          </cell>
          <cell r="B312" t="str">
            <v>A5C</v>
          </cell>
          <cell r="C312" t="str">
            <v>P</v>
          </cell>
          <cell r="D312" t="str">
            <v>22041</v>
          </cell>
          <cell r="E312" t="str">
            <v>CPLG</v>
          </cell>
          <cell r="F312">
            <v>2</v>
          </cell>
          <cell r="G312" t="str">
            <v>CB400500000H00</v>
          </cell>
          <cell r="H312">
            <v>0.5</v>
          </cell>
          <cell r="I312" t="str">
            <v>--</v>
          </cell>
          <cell r="J312">
            <v>1</v>
          </cell>
          <cell r="K312">
            <v>1</v>
          </cell>
        </row>
        <row r="313">
          <cell r="A313" t="str">
            <v>M1</v>
          </cell>
          <cell r="B313" t="str">
            <v>A6C</v>
          </cell>
          <cell r="C313" t="str">
            <v>HOS</v>
          </cell>
          <cell r="D313" t="str">
            <v>65624</v>
          </cell>
          <cell r="E313" t="str">
            <v>NPL</v>
          </cell>
          <cell r="F313">
            <v>2</v>
          </cell>
          <cell r="G313" t="str">
            <v>CB132308000HVR</v>
          </cell>
          <cell r="H313">
            <v>0.5</v>
          </cell>
          <cell r="I313" t="str">
            <v>75mm</v>
          </cell>
          <cell r="J313">
            <v>2</v>
          </cell>
          <cell r="K313">
            <v>2</v>
          </cell>
        </row>
        <row r="314">
          <cell r="A314" t="str">
            <v>M1</v>
          </cell>
          <cell r="B314" t="str">
            <v>A6C</v>
          </cell>
          <cell r="C314" t="str">
            <v>HOS</v>
          </cell>
          <cell r="D314" t="str">
            <v>65615</v>
          </cell>
          <cell r="E314" t="str">
            <v>NPL</v>
          </cell>
          <cell r="F314">
            <v>2</v>
          </cell>
          <cell r="G314" t="str">
            <v>CB132308000HVR</v>
          </cell>
          <cell r="H314">
            <v>0.5</v>
          </cell>
          <cell r="I314" t="str">
            <v>75mm</v>
          </cell>
          <cell r="J314">
            <v>2</v>
          </cell>
          <cell r="K314">
            <v>2</v>
          </cell>
        </row>
        <row r="315">
          <cell r="A315" t="str">
            <v>M1</v>
          </cell>
          <cell r="B315" t="str">
            <v>A6C</v>
          </cell>
          <cell r="C315" t="str">
            <v>HOS</v>
          </cell>
          <cell r="D315" t="str">
            <v>65628</v>
          </cell>
          <cell r="E315" t="str">
            <v>NPL</v>
          </cell>
          <cell r="F315">
            <v>2</v>
          </cell>
          <cell r="G315" t="str">
            <v>CB132308000HVR</v>
          </cell>
          <cell r="H315">
            <v>0.5</v>
          </cell>
          <cell r="I315" t="str">
            <v>75mm</v>
          </cell>
          <cell r="J315">
            <v>2</v>
          </cell>
          <cell r="K315">
            <v>2</v>
          </cell>
        </row>
        <row r="316">
          <cell r="A316" t="str">
            <v>M1</v>
          </cell>
          <cell r="B316" t="str">
            <v>B2C</v>
          </cell>
          <cell r="C316" t="str">
            <v>SH</v>
          </cell>
          <cell r="D316" t="str">
            <v>22601</v>
          </cell>
          <cell r="E316" t="str">
            <v>CAP</v>
          </cell>
          <cell r="F316">
            <v>2</v>
          </cell>
          <cell r="G316" t="str">
            <v>CB520700000T00</v>
          </cell>
          <cell r="H316">
            <v>0.75</v>
          </cell>
          <cell r="I316" t="str">
            <v>--</v>
          </cell>
          <cell r="J316">
            <v>1</v>
          </cell>
          <cell r="K316">
            <v>1</v>
          </cell>
        </row>
        <row r="317">
          <cell r="A317" t="str">
            <v>M1</v>
          </cell>
          <cell r="B317" t="str">
            <v>B2C</v>
          </cell>
          <cell r="C317" t="str">
            <v>SH</v>
          </cell>
          <cell r="D317" t="str">
            <v>22612</v>
          </cell>
          <cell r="E317" t="str">
            <v>CAP</v>
          </cell>
          <cell r="F317">
            <v>2</v>
          </cell>
          <cell r="G317" t="str">
            <v>CB520700000T00</v>
          </cell>
          <cell r="H317">
            <v>0.75</v>
          </cell>
          <cell r="I317" t="str">
            <v>--</v>
          </cell>
          <cell r="J317">
            <v>1</v>
          </cell>
          <cell r="K317">
            <v>1</v>
          </cell>
        </row>
        <row r="318">
          <cell r="A318" t="str">
            <v>M1</v>
          </cell>
          <cell r="B318" t="str">
            <v>B2C</v>
          </cell>
          <cell r="C318" t="str">
            <v>SH</v>
          </cell>
          <cell r="D318" t="str">
            <v>22613</v>
          </cell>
          <cell r="E318" t="str">
            <v>CAP</v>
          </cell>
          <cell r="F318">
            <v>2</v>
          </cell>
          <cell r="G318" t="str">
            <v>CB520700000T00</v>
          </cell>
          <cell r="H318">
            <v>0.75</v>
          </cell>
          <cell r="I318" t="str">
            <v>--</v>
          </cell>
          <cell r="J318">
            <v>1</v>
          </cell>
          <cell r="K318">
            <v>1</v>
          </cell>
        </row>
        <row r="319">
          <cell r="A319" t="str">
            <v>M1</v>
          </cell>
          <cell r="B319" t="str">
            <v>B2C</v>
          </cell>
          <cell r="C319" t="str">
            <v>TRIM</v>
          </cell>
          <cell r="D319" t="str">
            <v>V-2218</v>
          </cell>
          <cell r="E319" t="str">
            <v>CAP</v>
          </cell>
          <cell r="F319">
            <v>2</v>
          </cell>
          <cell r="G319" t="str">
            <v>CB520700000T00</v>
          </cell>
          <cell r="H319">
            <v>0.75</v>
          </cell>
          <cell r="I319" t="str">
            <v>--</v>
          </cell>
          <cell r="J319">
            <v>2</v>
          </cell>
          <cell r="K319">
            <v>2</v>
          </cell>
        </row>
        <row r="320">
          <cell r="A320" t="str">
            <v>M1</v>
          </cell>
          <cell r="B320" t="str">
            <v>B2C</v>
          </cell>
          <cell r="C320" t="str">
            <v>SH</v>
          </cell>
          <cell r="D320" t="str">
            <v>22612</v>
          </cell>
          <cell r="E320" t="str">
            <v>NPL</v>
          </cell>
          <cell r="F320">
            <v>2</v>
          </cell>
          <cell r="G320" t="str">
            <v>CB132308000TVR</v>
          </cell>
          <cell r="H320">
            <v>0.75</v>
          </cell>
          <cell r="I320" t="str">
            <v>75mm</v>
          </cell>
          <cell r="J320">
            <v>1</v>
          </cell>
          <cell r="K320">
            <v>1</v>
          </cell>
        </row>
        <row r="321">
          <cell r="A321" t="str">
            <v>M1</v>
          </cell>
          <cell r="B321" t="str">
            <v>B2C</v>
          </cell>
          <cell r="C321" t="str">
            <v>SH</v>
          </cell>
          <cell r="D321" t="str">
            <v>22612</v>
          </cell>
          <cell r="E321" t="str">
            <v>NPL</v>
          </cell>
          <cell r="F321">
            <v>2</v>
          </cell>
          <cell r="G321" t="str">
            <v>CB132108000TVR</v>
          </cell>
          <cell r="H321">
            <v>0.75</v>
          </cell>
          <cell r="I321" t="str">
            <v>75mm</v>
          </cell>
          <cell r="J321">
            <v>2</v>
          </cell>
          <cell r="K321">
            <v>2</v>
          </cell>
        </row>
        <row r="322">
          <cell r="A322" t="str">
            <v>M1</v>
          </cell>
          <cell r="B322" t="str">
            <v>B2C</v>
          </cell>
          <cell r="C322" t="str">
            <v>SH</v>
          </cell>
          <cell r="D322" t="str">
            <v>22601</v>
          </cell>
          <cell r="E322" t="str">
            <v>NPL</v>
          </cell>
          <cell r="F322">
            <v>2</v>
          </cell>
          <cell r="G322" t="str">
            <v>CB132308000TVR</v>
          </cell>
          <cell r="H322">
            <v>0.75</v>
          </cell>
          <cell r="I322" t="str">
            <v>75mm</v>
          </cell>
          <cell r="J322">
            <v>1</v>
          </cell>
          <cell r="K322">
            <v>1</v>
          </cell>
        </row>
        <row r="323">
          <cell r="A323" t="str">
            <v>M1</v>
          </cell>
          <cell r="B323" t="str">
            <v>B2C</v>
          </cell>
          <cell r="C323" t="str">
            <v>SH</v>
          </cell>
          <cell r="D323" t="str">
            <v>22613</v>
          </cell>
          <cell r="E323" t="str">
            <v>NPL</v>
          </cell>
          <cell r="F323">
            <v>2</v>
          </cell>
          <cell r="G323" t="str">
            <v>CB132108000TVR</v>
          </cell>
          <cell r="H323">
            <v>0.75</v>
          </cell>
          <cell r="I323" t="str">
            <v>75mm</v>
          </cell>
          <cell r="J323">
            <v>2</v>
          </cell>
          <cell r="K323">
            <v>2</v>
          </cell>
        </row>
        <row r="324">
          <cell r="A324" t="str">
            <v>M1</v>
          </cell>
          <cell r="B324" t="str">
            <v>B2C</v>
          </cell>
          <cell r="C324" t="str">
            <v>SH</v>
          </cell>
          <cell r="D324" t="str">
            <v>22613</v>
          </cell>
          <cell r="E324" t="str">
            <v>NPL</v>
          </cell>
          <cell r="F324">
            <v>2</v>
          </cell>
          <cell r="G324" t="str">
            <v>CB132208000TVR</v>
          </cell>
          <cell r="H324">
            <v>0.75</v>
          </cell>
          <cell r="I324" t="str">
            <v>75mm</v>
          </cell>
          <cell r="J324">
            <v>1</v>
          </cell>
          <cell r="K324">
            <v>1</v>
          </cell>
        </row>
        <row r="325">
          <cell r="A325" t="str">
            <v>M1</v>
          </cell>
          <cell r="B325" t="str">
            <v>B2C</v>
          </cell>
          <cell r="C325" t="str">
            <v>TRIM</v>
          </cell>
          <cell r="D325" t="str">
            <v>V-2218</v>
          </cell>
          <cell r="E325" t="str">
            <v>NPL</v>
          </cell>
          <cell r="F325">
            <v>2</v>
          </cell>
          <cell r="G325" t="str">
            <v>CB132108000TVR</v>
          </cell>
          <cell r="H325">
            <v>0.75</v>
          </cell>
          <cell r="I325" t="str">
            <v>75mm</v>
          </cell>
          <cell r="J325">
            <v>4</v>
          </cell>
          <cell r="K325">
            <v>4</v>
          </cell>
        </row>
        <row r="326">
          <cell r="A326" t="str">
            <v>M1</v>
          </cell>
          <cell r="B326" t="str">
            <v>B2C</v>
          </cell>
          <cell r="C326" t="str">
            <v>TRIM</v>
          </cell>
          <cell r="D326" t="str">
            <v>V-2218</v>
          </cell>
          <cell r="E326" t="str">
            <v>NPL</v>
          </cell>
          <cell r="F326">
            <v>2</v>
          </cell>
          <cell r="G326" t="str">
            <v>CB132308000TVR</v>
          </cell>
          <cell r="H326">
            <v>0.75</v>
          </cell>
          <cell r="I326" t="str">
            <v>75mm</v>
          </cell>
          <cell r="J326">
            <v>2</v>
          </cell>
          <cell r="K326">
            <v>2</v>
          </cell>
        </row>
        <row r="327">
          <cell r="A327" t="str">
            <v>M1</v>
          </cell>
          <cell r="B327" t="str">
            <v>B2C</v>
          </cell>
          <cell r="C327" t="str">
            <v>SH</v>
          </cell>
          <cell r="D327" t="str">
            <v>22614</v>
          </cell>
          <cell r="E327" t="str">
            <v>NPL</v>
          </cell>
          <cell r="F327">
            <v>2</v>
          </cell>
          <cell r="G327" t="str">
            <v>CB132108000TVR</v>
          </cell>
          <cell r="H327">
            <v>0.75</v>
          </cell>
          <cell r="I327" t="str">
            <v>75mm</v>
          </cell>
          <cell r="J327">
            <v>1</v>
          </cell>
          <cell r="K327">
            <v>1</v>
          </cell>
        </row>
        <row r="328">
          <cell r="A328" t="str">
            <v>M1</v>
          </cell>
          <cell r="B328" t="str">
            <v>A5C</v>
          </cell>
          <cell r="C328" t="str">
            <v>N</v>
          </cell>
          <cell r="D328" t="str">
            <v>22617</v>
          </cell>
          <cell r="E328" t="str">
            <v>90 ELL</v>
          </cell>
          <cell r="F328">
            <v>2</v>
          </cell>
          <cell r="G328" t="str">
            <v>CB400100001000</v>
          </cell>
          <cell r="H328">
            <v>0.75</v>
          </cell>
          <cell r="I328" t="str">
            <v>--</v>
          </cell>
          <cell r="J328">
            <v>2</v>
          </cell>
          <cell r="K328">
            <v>2</v>
          </cell>
        </row>
        <row r="329">
          <cell r="A329" t="str">
            <v>M1</v>
          </cell>
          <cell r="B329" t="str">
            <v>A5C</v>
          </cell>
          <cell r="C329" t="str">
            <v>P</v>
          </cell>
          <cell r="D329" t="str">
            <v>22069</v>
          </cell>
          <cell r="E329" t="str">
            <v>90 ELL</v>
          </cell>
          <cell r="F329">
            <v>2</v>
          </cell>
          <cell r="G329" t="str">
            <v>CB400100001000</v>
          </cell>
          <cell r="H329">
            <v>0.75</v>
          </cell>
          <cell r="I329" t="str">
            <v>--</v>
          </cell>
          <cell r="J329">
            <v>4</v>
          </cell>
          <cell r="K329">
            <v>4</v>
          </cell>
        </row>
        <row r="330">
          <cell r="A330" t="str">
            <v>M1</v>
          </cell>
          <cell r="B330" t="str">
            <v>A5C</v>
          </cell>
          <cell r="C330" t="str">
            <v>P</v>
          </cell>
          <cell r="D330" t="str">
            <v>22071</v>
          </cell>
          <cell r="E330" t="str">
            <v>90 ELL</v>
          </cell>
          <cell r="F330">
            <v>2</v>
          </cell>
          <cell r="G330" t="str">
            <v>CB400100001000</v>
          </cell>
          <cell r="H330">
            <v>0.75</v>
          </cell>
          <cell r="I330" t="str">
            <v>--</v>
          </cell>
          <cell r="J330">
            <v>1</v>
          </cell>
          <cell r="K330">
            <v>1</v>
          </cell>
        </row>
        <row r="331">
          <cell r="A331" t="str">
            <v>M1</v>
          </cell>
          <cell r="B331" t="str">
            <v>A5C</v>
          </cell>
          <cell r="C331" t="str">
            <v>P</v>
          </cell>
          <cell r="D331" t="str">
            <v>22102</v>
          </cell>
          <cell r="E331" t="str">
            <v>90 ELL</v>
          </cell>
          <cell r="F331">
            <v>2</v>
          </cell>
          <cell r="G331" t="str">
            <v>CB400100001000</v>
          </cell>
          <cell r="H331">
            <v>0.75</v>
          </cell>
          <cell r="I331" t="str">
            <v>--</v>
          </cell>
          <cell r="J331">
            <v>2</v>
          </cell>
          <cell r="K331">
            <v>2</v>
          </cell>
        </row>
        <row r="332">
          <cell r="A332" t="str">
            <v>M1</v>
          </cell>
          <cell r="B332" t="str">
            <v>A5C</v>
          </cell>
          <cell r="C332" t="str">
            <v>P</v>
          </cell>
          <cell r="D332" t="str">
            <v>22130</v>
          </cell>
          <cell r="E332" t="str">
            <v>90 ELL</v>
          </cell>
          <cell r="F332">
            <v>2</v>
          </cell>
          <cell r="G332" t="str">
            <v>CB400100001000</v>
          </cell>
          <cell r="H332">
            <v>0.75</v>
          </cell>
          <cell r="I332" t="str">
            <v>--</v>
          </cell>
          <cell r="J332">
            <v>2</v>
          </cell>
          <cell r="K332">
            <v>2</v>
          </cell>
        </row>
        <row r="333">
          <cell r="A333" t="str">
            <v>M1</v>
          </cell>
          <cell r="B333" t="str">
            <v>A5C</v>
          </cell>
          <cell r="C333" t="str">
            <v>P</v>
          </cell>
          <cell r="D333" t="str">
            <v>22139</v>
          </cell>
          <cell r="E333" t="str">
            <v>90 ELL</v>
          </cell>
          <cell r="F333">
            <v>2</v>
          </cell>
          <cell r="G333" t="str">
            <v>CB400100001000</v>
          </cell>
          <cell r="H333">
            <v>0.75</v>
          </cell>
          <cell r="I333" t="str">
            <v>--</v>
          </cell>
          <cell r="J333">
            <v>2</v>
          </cell>
          <cell r="K333">
            <v>2</v>
          </cell>
        </row>
        <row r="334">
          <cell r="A334" t="str">
            <v>M1</v>
          </cell>
          <cell r="B334" t="str">
            <v>A5C</v>
          </cell>
          <cell r="C334" t="str">
            <v>P</v>
          </cell>
          <cell r="D334" t="str">
            <v>22140</v>
          </cell>
          <cell r="E334" t="str">
            <v>90 ELL</v>
          </cell>
          <cell r="F334">
            <v>2</v>
          </cell>
          <cell r="G334" t="str">
            <v>CB400100001000</v>
          </cell>
          <cell r="H334">
            <v>0.75</v>
          </cell>
          <cell r="I334" t="str">
            <v>--</v>
          </cell>
          <cell r="J334">
            <v>2</v>
          </cell>
          <cell r="K334">
            <v>2</v>
          </cell>
        </row>
        <row r="335">
          <cell r="A335" t="str">
            <v>M1</v>
          </cell>
          <cell r="B335" t="str">
            <v>A5C</v>
          </cell>
          <cell r="C335" t="str">
            <v>P</v>
          </cell>
          <cell r="D335" t="str">
            <v>24029</v>
          </cell>
          <cell r="E335" t="str">
            <v>90 ELL</v>
          </cell>
          <cell r="F335">
            <v>2</v>
          </cell>
          <cell r="G335" t="str">
            <v>CB400100001000</v>
          </cell>
          <cell r="H335">
            <v>0.75</v>
          </cell>
          <cell r="I335" t="str">
            <v>--</v>
          </cell>
          <cell r="J335">
            <v>5</v>
          </cell>
          <cell r="K335">
            <v>5</v>
          </cell>
        </row>
        <row r="336">
          <cell r="A336" t="str">
            <v>M1</v>
          </cell>
          <cell r="B336" t="str">
            <v>A5C</v>
          </cell>
          <cell r="C336" t="str">
            <v>SCC</v>
          </cell>
          <cell r="D336" t="str">
            <v>HOLD1</v>
          </cell>
          <cell r="E336" t="str">
            <v>90 ELL</v>
          </cell>
          <cell r="F336">
            <v>2</v>
          </cell>
          <cell r="G336" t="str">
            <v>CB400100001000</v>
          </cell>
          <cell r="H336">
            <v>0.75</v>
          </cell>
          <cell r="I336" t="str">
            <v>--</v>
          </cell>
          <cell r="J336">
            <v>18</v>
          </cell>
          <cell r="K336">
            <v>18</v>
          </cell>
        </row>
        <row r="337">
          <cell r="A337" t="str">
            <v>M1</v>
          </cell>
          <cell r="B337" t="str">
            <v>A5C</v>
          </cell>
          <cell r="C337" t="str">
            <v>SCD</v>
          </cell>
          <cell r="D337" t="str">
            <v>HOLD1</v>
          </cell>
          <cell r="E337" t="str">
            <v>90 ELL</v>
          </cell>
          <cell r="F337">
            <v>2</v>
          </cell>
          <cell r="G337" t="str">
            <v>CB400100001000</v>
          </cell>
          <cell r="H337">
            <v>0.75</v>
          </cell>
          <cell r="I337" t="str">
            <v>--</v>
          </cell>
          <cell r="J337">
            <v>8</v>
          </cell>
          <cell r="K337">
            <v>8</v>
          </cell>
        </row>
        <row r="338">
          <cell r="A338" t="str">
            <v>M1</v>
          </cell>
          <cell r="B338" t="str">
            <v>A5C</v>
          </cell>
          <cell r="C338" t="str">
            <v>TRIM</v>
          </cell>
          <cell r="D338" t="str">
            <v>V-2206</v>
          </cell>
          <cell r="E338" t="str">
            <v>90 ELL</v>
          </cell>
          <cell r="F338">
            <v>2</v>
          </cell>
          <cell r="G338" t="str">
            <v>CB400100001000</v>
          </cell>
          <cell r="H338">
            <v>0.75</v>
          </cell>
          <cell r="I338" t="str">
            <v>--</v>
          </cell>
          <cell r="J338">
            <v>1</v>
          </cell>
          <cell r="K338">
            <v>1</v>
          </cell>
        </row>
        <row r="339">
          <cell r="A339" t="str">
            <v>M1</v>
          </cell>
          <cell r="B339" t="str">
            <v>A5C</v>
          </cell>
          <cell r="C339" t="str">
            <v>N</v>
          </cell>
          <cell r="D339" t="str">
            <v>22670</v>
          </cell>
          <cell r="E339" t="str">
            <v>90 ELL</v>
          </cell>
          <cell r="F339">
            <v>2</v>
          </cell>
          <cell r="G339" t="str">
            <v>CB400100001000</v>
          </cell>
          <cell r="H339">
            <v>0.75</v>
          </cell>
          <cell r="I339" t="str">
            <v>--</v>
          </cell>
          <cell r="J339">
            <v>1</v>
          </cell>
          <cell r="K339">
            <v>1</v>
          </cell>
        </row>
        <row r="340">
          <cell r="A340" t="str">
            <v>M1</v>
          </cell>
          <cell r="B340" t="str">
            <v>A5C</v>
          </cell>
          <cell r="C340" t="str">
            <v>P</v>
          </cell>
          <cell r="D340" t="str">
            <v>22065</v>
          </cell>
          <cell r="E340" t="str">
            <v>90 ELL</v>
          </cell>
          <cell r="F340">
            <v>2</v>
          </cell>
          <cell r="G340" t="str">
            <v>CB400100001000</v>
          </cell>
          <cell r="H340">
            <v>0.75</v>
          </cell>
          <cell r="I340" t="str">
            <v>--</v>
          </cell>
          <cell r="J340">
            <v>5</v>
          </cell>
          <cell r="K340">
            <v>5</v>
          </cell>
        </row>
        <row r="341">
          <cell r="A341" t="str">
            <v>M1</v>
          </cell>
          <cell r="B341" t="str">
            <v>A5C</v>
          </cell>
          <cell r="C341" t="str">
            <v>P</v>
          </cell>
          <cell r="D341" t="str">
            <v>22071</v>
          </cell>
          <cell r="E341" t="str">
            <v>90 ELL</v>
          </cell>
          <cell r="F341">
            <v>2</v>
          </cell>
          <cell r="G341" t="str">
            <v>CB400100001000</v>
          </cell>
          <cell r="H341">
            <v>0.75</v>
          </cell>
          <cell r="I341" t="str">
            <v>--</v>
          </cell>
          <cell r="J341">
            <v>4</v>
          </cell>
          <cell r="K341">
            <v>4</v>
          </cell>
        </row>
        <row r="342">
          <cell r="A342" t="str">
            <v>M1</v>
          </cell>
          <cell r="B342" t="str">
            <v>A5C</v>
          </cell>
          <cell r="C342" t="str">
            <v>P</v>
          </cell>
          <cell r="D342" t="str">
            <v>22065</v>
          </cell>
          <cell r="E342" t="str">
            <v>C SWG</v>
          </cell>
          <cell r="F342">
            <v>2</v>
          </cell>
          <cell r="G342" t="str">
            <v>CB161108080T0H</v>
          </cell>
          <cell r="H342">
            <v>0.75</v>
          </cell>
          <cell r="I342">
            <v>0.5</v>
          </cell>
          <cell r="J342">
            <v>1</v>
          </cell>
          <cell r="K342">
            <v>1</v>
          </cell>
        </row>
        <row r="343">
          <cell r="A343" t="str">
            <v>M1</v>
          </cell>
          <cell r="B343" t="str">
            <v>A5C</v>
          </cell>
          <cell r="C343" t="str">
            <v>SCD</v>
          </cell>
          <cell r="D343" t="str">
            <v>HOLD1</v>
          </cell>
          <cell r="E343" t="str">
            <v>C SWG</v>
          </cell>
          <cell r="F343">
            <v>2</v>
          </cell>
          <cell r="G343" t="str">
            <v>CB161308080T0Q</v>
          </cell>
          <cell r="H343">
            <v>0.75</v>
          </cell>
          <cell r="I343">
            <v>0.25</v>
          </cell>
          <cell r="J343">
            <v>2</v>
          </cell>
          <cell r="K343">
            <v>2</v>
          </cell>
        </row>
        <row r="344">
          <cell r="A344" t="str">
            <v>M1</v>
          </cell>
          <cell r="B344" t="str">
            <v>A5C</v>
          </cell>
          <cell r="C344" t="str">
            <v>SCD</v>
          </cell>
          <cell r="D344" t="str">
            <v>HOLD1</v>
          </cell>
          <cell r="E344" t="str">
            <v>C SWG</v>
          </cell>
          <cell r="F344">
            <v>2</v>
          </cell>
          <cell r="G344" t="str">
            <v>CB161108080T0H</v>
          </cell>
          <cell r="H344">
            <v>0.75</v>
          </cell>
          <cell r="I344">
            <v>0.5</v>
          </cell>
          <cell r="J344">
            <v>2</v>
          </cell>
          <cell r="K344">
            <v>2</v>
          </cell>
        </row>
        <row r="345">
          <cell r="A345" t="str">
            <v>M1</v>
          </cell>
          <cell r="B345" t="str">
            <v>A5C</v>
          </cell>
          <cell r="C345" t="str">
            <v>SCC</v>
          </cell>
          <cell r="D345" t="str">
            <v>HOLD1</v>
          </cell>
          <cell r="E345" t="str">
            <v>C SWG</v>
          </cell>
          <cell r="F345">
            <v>2</v>
          </cell>
          <cell r="G345" t="str">
            <v>CB161308080T0Q</v>
          </cell>
          <cell r="H345">
            <v>0.75</v>
          </cell>
          <cell r="I345">
            <v>0.25</v>
          </cell>
          <cell r="J345">
            <v>3</v>
          </cell>
          <cell r="K345">
            <v>3</v>
          </cell>
        </row>
        <row r="346">
          <cell r="A346" t="str">
            <v>M1</v>
          </cell>
          <cell r="B346" t="str">
            <v>A5C</v>
          </cell>
          <cell r="C346" t="str">
            <v>SCC</v>
          </cell>
          <cell r="D346" t="str">
            <v>HOLD1</v>
          </cell>
          <cell r="E346" t="str">
            <v>C SWG</v>
          </cell>
          <cell r="F346">
            <v>2</v>
          </cell>
          <cell r="G346" t="str">
            <v>CB161108080T0H</v>
          </cell>
          <cell r="H346">
            <v>0.75</v>
          </cell>
          <cell r="I346">
            <v>0.5</v>
          </cell>
          <cell r="J346">
            <v>3</v>
          </cell>
          <cell r="K346">
            <v>3</v>
          </cell>
        </row>
        <row r="347">
          <cell r="A347" t="str">
            <v>M1</v>
          </cell>
          <cell r="B347" t="str">
            <v>A5C</v>
          </cell>
          <cell r="C347" t="str">
            <v>N</v>
          </cell>
          <cell r="D347" t="str">
            <v>25611</v>
          </cell>
          <cell r="E347" t="str">
            <v>CAP</v>
          </cell>
          <cell r="F347">
            <v>2</v>
          </cell>
          <cell r="G347" t="str">
            <v>CB520700000T00</v>
          </cell>
          <cell r="H347">
            <v>0.75</v>
          </cell>
          <cell r="I347" t="str">
            <v>--</v>
          </cell>
          <cell r="J347">
            <v>1</v>
          </cell>
          <cell r="K347">
            <v>1</v>
          </cell>
        </row>
        <row r="348">
          <cell r="A348" t="str">
            <v>M1</v>
          </cell>
          <cell r="B348" t="str">
            <v>A5C</v>
          </cell>
          <cell r="C348" t="str">
            <v>P</v>
          </cell>
          <cell r="D348" t="str">
            <v>22065</v>
          </cell>
          <cell r="E348" t="str">
            <v>CAP</v>
          </cell>
          <cell r="F348">
            <v>2</v>
          </cell>
          <cell r="G348" t="str">
            <v>CB520700000T00</v>
          </cell>
          <cell r="H348">
            <v>0.75</v>
          </cell>
          <cell r="I348" t="str">
            <v>--</v>
          </cell>
          <cell r="J348">
            <v>4</v>
          </cell>
          <cell r="K348">
            <v>4</v>
          </cell>
        </row>
        <row r="349">
          <cell r="A349" t="str">
            <v>M1</v>
          </cell>
          <cell r="B349" t="str">
            <v>A5C</v>
          </cell>
          <cell r="C349" t="str">
            <v>P</v>
          </cell>
          <cell r="D349" t="str">
            <v>22068</v>
          </cell>
          <cell r="E349" t="str">
            <v>CAP</v>
          </cell>
          <cell r="F349">
            <v>2</v>
          </cell>
          <cell r="G349" t="str">
            <v>CB520700000T00</v>
          </cell>
          <cell r="H349">
            <v>0.75</v>
          </cell>
          <cell r="I349" t="str">
            <v>--</v>
          </cell>
          <cell r="J349">
            <v>2</v>
          </cell>
          <cell r="K349">
            <v>2</v>
          </cell>
        </row>
        <row r="350">
          <cell r="A350" t="str">
            <v>M1</v>
          </cell>
          <cell r="B350" t="str">
            <v>A5C</v>
          </cell>
          <cell r="C350" t="str">
            <v>P</v>
          </cell>
          <cell r="D350" t="str">
            <v>22069</v>
          </cell>
          <cell r="E350" t="str">
            <v>CAP</v>
          </cell>
          <cell r="F350">
            <v>2</v>
          </cell>
          <cell r="G350" t="str">
            <v>CB520700000T00</v>
          </cell>
          <cell r="H350">
            <v>0.75</v>
          </cell>
          <cell r="I350" t="str">
            <v>--</v>
          </cell>
          <cell r="J350">
            <v>2</v>
          </cell>
          <cell r="K350">
            <v>2</v>
          </cell>
        </row>
        <row r="351">
          <cell r="A351" t="str">
            <v>M1</v>
          </cell>
          <cell r="B351" t="str">
            <v>A5C</v>
          </cell>
          <cell r="C351" t="str">
            <v>P</v>
          </cell>
          <cell r="D351" t="str">
            <v>22069</v>
          </cell>
          <cell r="E351" t="str">
            <v>CAP</v>
          </cell>
          <cell r="F351">
            <v>2</v>
          </cell>
          <cell r="G351" t="str">
            <v>CB520700000T00</v>
          </cell>
          <cell r="H351">
            <v>0.75</v>
          </cell>
          <cell r="I351" t="str">
            <v>--</v>
          </cell>
          <cell r="J351">
            <v>1</v>
          </cell>
          <cell r="K351">
            <v>1</v>
          </cell>
        </row>
        <row r="352">
          <cell r="A352" t="str">
            <v>M1</v>
          </cell>
          <cell r="B352" t="str">
            <v>A5C</v>
          </cell>
          <cell r="C352" t="str">
            <v>P</v>
          </cell>
          <cell r="D352" t="str">
            <v>22071</v>
          </cell>
          <cell r="E352" t="str">
            <v>CAP</v>
          </cell>
          <cell r="F352">
            <v>2</v>
          </cell>
          <cell r="G352" t="str">
            <v>CB520700000T00</v>
          </cell>
          <cell r="H352">
            <v>0.75</v>
          </cell>
          <cell r="I352" t="str">
            <v>--</v>
          </cell>
          <cell r="J352">
            <v>1</v>
          </cell>
          <cell r="K352">
            <v>1</v>
          </cell>
        </row>
        <row r="353">
          <cell r="A353" t="str">
            <v>M1</v>
          </cell>
          <cell r="B353" t="str">
            <v>A5C</v>
          </cell>
          <cell r="C353" t="str">
            <v>P</v>
          </cell>
          <cell r="D353" t="str">
            <v>22078</v>
          </cell>
          <cell r="E353" t="str">
            <v>CAP</v>
          </cell>
          <cell r="F353">
            <v>2</v>
          </cell>
          <cell r="G353" t="str">
            <v>CB520700000T00</v>
          </cell>
          <cell r="H353">
            <v>0.75</v>
          </cell>
          <cell r="I353" t="str">
            <v>--</v>
          </cell>
          <cell r="J353">
            <v>1</v>
          </cell>
          <cell r="K353">
            <v>1</v>
          </cell>
        </row>
        <row r="354">
          <cell r="A354" t="str">
            <v>M1</v>
          </cell>
          <cell r="B354" t="str">
            <v>A5C</v>
          </cell>
          <cell r="C354" t="str">
            <v>P</v>
          </cell>
          <cell r="D354" t="str">
            <v>22087</v>
          </cell>
          <cell r="E354" t="str">
            <v>CAP</v>
          </cell>
          <cell r="F354">
            <v>2</v>
          </cell>
          <cell r="G354" t="str">
            <v>CB520700000T00</v>
          </cell>
          <cell r="H354">
            <v>0.75</v>
          </cell>
          <cell r="I354" t="str">
            <v>--</v>
          </cell>
          <cell r="J354">
            <v>1</v>
          </cell>
          <cell r="K354">
            <v>1</v>
          </cell>
        </row>
        <row r="355">
          <cell r="A355" t="str">
            <v>M1</v>
          </cell>
          <cell r="B355" t="str">
            <v>A5C</v>
          </cell>
          <cell r="C355" t="str">
            <v>P</v>
          </cell>
          <cell r="D355" t="str">
            <v>22071</v>
          </cell>
          <cell r="E355" t="str">
            <v>CAP</v>
          </cell>
          <cell r="F355">
            <v>2</v>
          </cell>
          <cell r="G355" t="str">
            <v>CB520700000T00</v>
          </cell>
          <cell r="H355">
            <v>0.75</v>
          </cell>
          <cell r="I355" t="str">
            <v>--</v>
          </cell>
          <cell r="J355">
            <v>2</v>
          </cell>
          <cell r="K355">
            <v>2</v>
          </cell>
        </row>
        <row r="356">
          <cell r="A356" t="str">
            <v>M1</v>
          </cell>
          <cell r="B356" t="str">
            <v>A5C</v>
          </cell>
          <cell r="C356" t="str">
            <v>P</v>
          </cell>
          <cell r="D356" t="str">
            <v>22071</v>
          </cell>
          <cell r="E356" t="str">
            <v>CAP</v>
          </cell>
          <cell r="F356">
            <v>2</v>
          </cell>
          <cell r="G356" t="str">
            <v>CB520700000T00</v>
          </cell>
          <cell r="H356">
            <v>0.75</v>
          </cell>
          <cell r="I356" t="str">
            <v>--</v>
          </cell>
          <cell r="J356">
            <v>4</v>
          </cell>
          <cell r="K356">
            <v>4</v>
          </cell>
        </row>
        <row r="357">
          <cell r="A357" t="str">
            <v>M1</v>
          </cell>
          <cell r="B357" t="str">
            <v>A5C</v>
          </cell>
          <cell r="C357" t="str">
            <v>P</v>
          </cell>
          <cell r="D357" t="str">
            <v>22081</v>
          </cell>
          <cell r="E357" t="str">
            <v>CAP</v>
          </cell>
          <cell r="F357">
            <v>2</v>
          </cell>
          <cell r="G357" t="str">
            <v>CB520700000T00</v>
          </cell>
          <cell r="H357">
            <v>0.75</v>
          </cell>
          <cell r="I357" t="str">
            <v>--</v>
          </cell>
          <cell r="J357">
            <v>3</v>
          </cell>
          <cell r="K357">
            <v>3</v>
          </cell>
        </row>
        <row r="358">
          <cell r="A358" t="str">
            <v>M1</v>
          </cell>
          <cell r="B358" t="str">
            <v>A5C</v>
          </cell>
          <cell r="C358" t="str">
            <v>P</v>
          </cell>
          <cell r="D358" t="str">
            <v>22101</v>
          </cell>
          <cell r="E358" t="str">
            <v>CAP</v>
          </cell>
          <cell r="F358">
            <v>2</v>
          </cell>
          <cell r="G358" t="str">
            <v>CB520700000T00</v>
          </cell>
          <cell r="H358">
            <v>0.75</v>
          </cell>
          <cell r="I358" t="str">
            <v>--</v>
          </cell>
          <cell r="J358">
            <v>2</v>
          </cell>
          <cell r="K358">
            <v>2</v>
          </cell>
        </row>
        <row r="359">
          <cell r="A359" t="str">
            <v>M1</v>
          </cell>
          <cell r="B359" t="str">
            <v>A5C</v>
          </cell>
          <cell r="C359" t="str">
            <v>P</v>
          </cell>
          <cell r="D359" t="str">
            <v>22102</v>
          </cell>
          <cell r="E359" t="str">
            <v>CAP</v>
          </cell>
          <cell r="F359">
            <v>2</v>
          </cell>
          <cell r="G359" t="str">
            <v>CB520700000T00</v>
          </cell>
          <cell r="H359">
            <v>0.75</v>
          </cell>
          <cell r="I359" t="str">
            <v>--</v>
          </cell>
          <cell r="J359">
            <v>2</v>
          </cell>
          <cell r="K359">
            <v>2</v>
          </cell>
        </row>
        <row r="360">
          <cell r="A360" t="str">
            <v>M1</v>
          </cell>
          <cell r="B360" t="str">
            <v>A5C</v>
          </cell>
          <cell r="C360" t="str">
            <v>P</v>
          </cell>
          <cell r="D360" t="str">
            <v>22103</v>
          </cell>
          <cell r="E360" t="str">
            <v>CAP</v>
          </cell>
          <cell r="F360">
            <v>2</v>
          </cell>
          <cell r="G360" t="str">
            <v>CB520700000T00</v>
          </cell>
          <cell r="H360">
            <v>0.75</v>
          </cell>
          <cell r="I360" t="str">
            <v>--</v>
          </cell>
          <cell r="J360">
            <v>1</v>
          </cell>
          <cell r="K360">
            <v>1</v>
          </cell>
        </row>
        <row r="361">
          <cell r="A361" t="str">
            <v>M1</v>
          </cell>
          <cell r="B361" t="str">
            <v>A5C</v>
          </cell>
          <cell r="C361" t="str">
            <v>P</v>
          </cell>
          <cell r="D361" t="str">
            <v>22114</v>
          </cell>
          <cell r="E361" t="str">
            <v>CAP</v>
          </cell>
          <cell r="F361">
            <v>2</v>
          </cell>
          <cell r="G361" t="str">
            <v>CB520700000T00</v>
          </cell>
          <cell r="H361">
            <v>0.75</v>
          </cell>
          <cell r="I361" t="str">
            <v>--</v>
          </cell>
          <cell r="J361">
            <v>1</v>
          </cell>
          <cell r="K361">
            <v>1</v>
          </cell>
        </row>
        <row r="362">
          <cell r="A362" t="str">
            <v>M1</v>
          </cell>
          <cell r="B362" t="str">
            <v>A5C</v>
          </cell>
          <cell r="C362" t="str">
            <v>P</v>
          </cell>
          <cell r="D362" t="str">
            <v>22113</v>
          </cell>
          <cell r="E362" t="str">
            <v>CAP</v>
          </cell>
          <cell r="F362">
            <v>2</v>
          </cell>
          <cell r="G362" t="str">
            <v>CB520700000T00</v>
          </cell>
          <cell r="H362">
            <v>0.75</v>
          </cell>
          <cell r="I362" t="str">
            <v>--</v>
          </cell>
          <cell r="J362">
            <v>1</v>
          </cell>
          <cell r="K362">
            <v>1</v>
          </cell>
        </row>
        <row r="363">
          <cell r="A363" t="str">
            <v>M1</v>
          </cell>
          <cell r="B363" t="str">
            <v>A5C</v>
          </cell>
          <cell r="C363" t="str">
            <v>SCD</v>
          </cell>
          <cell r="D363" t="str">
            <v>HOLD1</v>
          </cell>
          <cell r="E363" t="str">
            <v>CAP</v>
          </cell>
          <cell r="F363">
            <v>2</v>
          </cell>
          <cell r="G363" t="str">
            <v>CB520700000T00</v>
          </cell>
          <cell r="H363">
            <v>0.75</v>
          </cell>
          <cell r="I363" t="str">
            <v>--</v>
          </cell>
          <cell r="J363">
            <v>2</v>
          </cell>
          <cell r="K363">
            <v>2</v>
          </cell>
        </row>
        <row r="364">
          <cell r="A364" t="str">
            <v>M1</v>
          </cell>
          <cell r="B364" t="str">
            <v>A5C</v>
          </cell>
          <cell r="C364" t="str">
            <v>TRIM</v>
          </cell>
          <cell r="D364" t="str">
            <v>V-2211</v>
          </cell>
          <cell r="E364" t="str">
            <v>CAP</v>
          </cell>
          <cell r="F364">
            <v>2</v>
          </cell>
          <cell r="G364" t="str">
            <v>CB520700000T00</v>
          </cell>
          <cell r="H364">
            <v>0.75</v>
          </cell>
          <cell r="I364" t="str">
            <v>--</v>
          </cell>
          <cell r="J364">
            <v>2</v>
          </cell>
          <cell r="K364">
            <v>2</v>
          </cell>
        </row>
        <row r="365">
          <cell r="A365" t="str">
            <v>M1</v>
          </cell>
          <cell r="B365" t="str">
            <v>A5C</v>
          </cell>
          <cell r="C365" t="str">
            <v>P</v>
          </cell>
          <cell r="D365" t="str">
            <v>22028</v>
          </cell>
          <cell r="E365" t="str">
            <v>CAP</v>
          </cell>
          <cell r="F365">
            <v>2</v>
          </cell>
          <cell r="G365" t="str">
            <v>CB520700000T00</v>
          </cell>
          <cell r="H365">
            <v>0.75</v>
          </cell>
          <cell r="I365" t="str">
            <v>--</v>
          </cell>
          <cell r="J365">
            <v>1</v>
          </cell>
          <cell r="K365">
            <v>1</v>
          </cell>
        </row>
        <row r="366">
          <cell r="A366" t="str">
            <v>M1</v>
          </cell>
          <cell r="B366" t="str">
            <v>A5C</v>
          </cell>
          <cell r="C366" t="str">
            <v>P</v>
          </cell>
          <cell r="D366" t="str">
            <v>22066</v>
          </cell>
          <cell r="E366" t="str">
            <v>CAP</v>
          </cell>
          <cell r="F366">
            <v>2</v>
          </cell>
          <cell r="G366" t="str">
            <v>CB520700000T00</v>
          </cell>
          <cell r="H366">
            <v>0.75</v>
          </cell>
          <cell r="I366" t="str">
            <v>--</v>
          </cell>
          <cell r="J366">
            <v>4</v>
          </cell>
          <cell r="K366">
            <v>4</v>
          </cell>
        </row>
        <row r="367">
          <cell r="A367" t="str">
            <v>M1</v>
          </cell>
          <cell r="B367" t="str">
            <v>A5C</v>
          </cell>
          <cell r="C367" t="str">
            <v>P</v>
          </cell>
          <cell r="D367" t="str">
            <v>22082</v>
          </cell>
          <cell r="E367" t="str">
            <v>CAP</v>
          </cell>
          <cell r="F367">
            <v>2</v>
          </cell>
          <cell r="G367" t="str">
            <v>CB520700000T00</v>
          </cell>
          <cell r="H367">
            <v>0.75</v>
          </cell>
          <cell r="I367" t="str">
            <v>--</v>
          </cell>
          <cell r="J367">
            <v>2</v>
          </cell>
          <cell r="K367">
            <v>2</v>
          </cell>
        </row>
        <row r="368">
          <cell r="A368" t="str">
            <v>M1</v>
          </cell>
          <cell r="B368" t="str">
            <v>A5C</v>
          </cell>
          <cell r="C368" t="str">
            <v>P</v>
          </cell>
          <cell r="D368" t="str">
            <v>22102</v>
          </cell>
          <cell r="E368" t="str">
            <v>CAP</v>
          </cell>
          <cell r="F368">
            <v>2</v>
          </cell>
          <cell r="G368" t="str">
            <v>CB520700000T00</v>
          </cell>
          <cell r="H368">
            <v>0.75</v>
          </cell>
          <cell r="I368" t="str">
            <v>--</v>
          </cell>
          <cell r="J368">
            <v>2</v>
          </cell>
          <cell r="K368">
            <v>2</v>
          </cell>
        </row>
        <row r="369">
          <cell r="A369" t="str">
            <v>M1</v>
          </cell>
          <cell r="B369" t="str">
            <v>A5C</v>
          </cell>
          <cell r="C369" t="str">
            <v>P</v>
          </cell>
          <cell r="D369" t="str">
            <v>22104</v>
          </cell>
          <cell r="E369" t="str">
            <v>CAP</v>
          </cell>
          <cell r="F369">
            <v>2</v>
          </cell>
          <cell r="G369" t="str">
            <v>CB520700000T00</v>
          </cell>
          <cell r="H369">
            <v>0.75</v>
          </cell>
          <cell r="I369" t="str">
            <v>--</v>
          </cell>
          <cell r="J369">
            <v>1</v>
          </cell>
          <cell r="K369">
            <v>1</v>
          </cell>
        </row>
        <row r="370">
          <cell r="A370" t="str">
            <v>M1</v>
          </cell>
          <cell r="B370" t="str">
            <v>A5C</v>
          </cell>
          <cell r="C370" t="str">
            <v>P</v>
          </cell>
          <cell r="D370" t="str">
            <v>22106</v>
          </cell>
          <cell r="E370" t="str">
            <v>CAP</v>
          </cell>
          <cell r="F370">
            <v>2</v>
          </cell>
          <cell r="G370" t="str">
            <v>CB520700000T00</v>
          </cell>
          <cell r="H370">
            <v>0.75</v>
          </cell>
          <cell r="I370" t="str">
            <v>--</v>
          </cell>
          <cell r="J370">
            <v>2</v>
          </cell>
          <cell r="K370">
            <v>2</v>
          </cell>
        </row>
        <row r="371">
          <cell r="A371" t="str">
            <v>M1</v>
          </cell>
          <cell r="B371" t="str">
            <v>A5C</v>
          </cell>
          <cell r="C371" t="str">
            <v>P</v>
          </cell>
          <cell r="D371" t="str">
            <v>22153</v>
          </cell>
          <cell r="E371" t="str">
            <v>CAP</v>
          </cell>
          <cell r="F371">
            <v>2</v>
          </cell>
          <cell r="G371" t="str">
            <v>CB520700000T00</v>
          </cell>
          <cell r="H371">
            <v>0.75</v>
          </cell>
          <cell r="I371" t="str">
            <v>--</v>
          </cell>
          <cell r="J371">
            <v>2</v>
          </cell>
          <cell r="K371">
            <v>2</v>
          </cell>
        </row>
        <row r="372">
          <cell r="A372" t="str">
            <v>M1</v>
          </cell>
          <cell r="B372" t="str">
            <v>A5C</v>
          </cell>
          <cell r="C372" t="str">
            <v>N</v>
          </cell>
          <cell r="D372" t="str">
            <v>22670</v>
          </cell>
          <cell r="E372" t="str">
            <v>CPLG</v>
          </cell>
          <cell r="F372">
            <v>2</v>
          </cell>
          <cell r="G372" t="str">
            <v>CB400500000T00</v>
          </cell>
          <cell r="H372">
            <v>0.75</v>
          </cell>
          <cell r="I372" t="str">
            <v>--</v>
          </cell>
          <cell r="J372">
            <v>1</v>
          </cell>
          <cell r="K372">
            <v>1</v>
          </cell>
        </row>
        <row r="373">
          <cell r="A373" t="str">
            <v>M1</v>
          </cell>
          <cell r="B373" t="str">
            <v>A5C</v>
          </cell>
          <cell r="C373" t="str">
            <v>P</v>
          </cell>
          <cell r="D373" t="str">
            <v>22065</v>
          </cell>
          <cell r="E373" t="str">
            <v>CPLG</v>
          </cell>
          <cell r="F373">
            <v>2</v>
          </cell>
          <cell r="G373" t="str">
            <v>CB400500000T00</v>
          </cell>
          <cell r="H373">
            <v>0.75</v>
          </cell>
          <cell r="I373" t="str">
            <v>--</v>
          </cell>
          <cell r="J373">
            <v>2</v>
          </cell>
          <cell r="K373">
            <v>2</v>
          </cell>
        </row>
        <row r="374">
          <cell r="A374" t="str">
            <v>M1</v>
          </cell>
          <cell r="B374" t="str">
            <v>A5C</v>
          </cell>
          <cell r="C374" t="str">
            <v>P</v>
          </cell>
          <cell r="D374" t="str">
            <v>24029</v>
          </cell>
          <cell r="E374" t="str">
            <v>CPLG</v>
          </cell>
          <cell r="F374">
            <v>2</v>
          </cell>
          <cell r="G374" t="str">
            <v>CB400500000T00</v>
          </cell>
          <cell r="H374">
            <v>0.75</v>
          </cell>
          <cell r="I374" t="str">
            <v>--</v>
          </cell>
          <cell r="J374">
            <v>6</v>
          </cell>
          <cell r="K374">
            <v>6</v>
          </cell>
        </row>
        <row r="375">
          <cell r="A375" t="str">
            <v>M1</v>
          </cell>
          <cell r="B375" t="str">
            <v>A5C</v>
          </cell>
          <cell r="C375" t="str">
            <v>TRIM</v>
          </cell>
          <cell r="D375" t="str">
            <v>V-2206</v>
          </cell>
          <cell r="E375" t="str">
            <v>CPLG</v>
          </cell>
          <cell r="F375">
            <v>2</v>
          </cell>
          <cell r="G375" t="str">
            <v>CB400500000T00</v>
          </cell>
          <cell r="H375">
            <v>0.75</v>
          </cell>
          <cell r="I375" t="str">
            <v>--</v>
          </cell>
          <cell r="J375">
            <v>1</v>
          </cell>
          <cell r="K375">
            <v>1</v>
          </cell>
        </row>
        <row r="376">
          <cell r="A376" t="str">
            <v>M1</v>
          </cell>
          <cell r="B376" t="str">
            <v>A5C</v>
          </cell>
          <cell r="C376" t="str">
            <v>P</v>
          </cell>
          <cell r="D376" t="str">
            <v>22069</v>
          </cell>
          <cell r="E376" t="str">
            <v>NPL</v>
          </cell>
          <cell r="F376">
            <v>2</v>
          </cell>
          <cell r="G376" t="str">
            <v>CB132108000TVR</v>
          </cell>
          <cell r="H376">
            <v>0.75</v>
          </cell>
          <cell r="I376" t="str">
            <v>75mm</v>
          </cell>
          <cell r="J376">
            <v>4</v>
          </cell>
          <cell r="K376">
            <v>4</v>
          </cell>
        </row>
        <row r="377">
          <cell r="A377" t="str">
            <v>M1</v>
          </cell>
          <cell r="B377" t="str">
            <v>A5C</v>
          </cell>
          <cell r="C377" t="str">
            <v>P</v>
          </cell>
          <cell r="D377" t="str">
            <v>22071</v>
          </cell>
          <cell r="E377" t="str">
            <v>NPL</v>
          </cell>
          <cell r="F377">
            <v>2</v>
          </cell>
          <cell r="G377" t="str">
            <v>CB132108000TVR</v>
          </cell>
          <cell r="H377">
            <v>0.75</v>
          </cell>
          <cell r="I377" t="str">
            <v>75mm</v>
          </cell>
          <cell r="J377">
            <v>4</v>
          </cell>
          <cell r="K377">
            <v>4</v>
          </cell>
        </row>
        <row r="378">
          <cell r="A378" t="str">
            <v>M1</v>
          </cell>
          <cell r="B378" t="str">
            <v>A5C</v>
          </cell>
          <cell r="C378" t="str">
            <v>P</v>
          </cell>
          <cell r="D378" t="str">
            <v>22071</v>
          </cell>
          <cell r="E378" t="str">
            <v>NPL</v>
          </cell>
          <cell r="F378">
            <v>2</v>
          </cell>
          <cell r="G378" t="str">
            <v>CB132108000TVR</v>
          </cell>
          <cell r="H378">
            <v>0.75</v>
          </cell>
          <cell r="I378" t="str">
            <v>75mm</v>
          </cell>
          <cell r="J378">
            <v>1</v>
          </cell>
          <cell r="K378">
            <v>1</v>
          </cell>
        </row>
        <row r="379">
          <cell r="A379" t="str">
            <v>M1</v>
          </cell>
          <cell r="B379" t="str">
            <v>A5C</v>
          </cell>
          <cell r="C379" t="str">
            <v>P</v>
          </cell>
          <cell r="D379" t="str">
            <v>22102</v>
          </cell>
          <cell r="E379" t="str">
            <v>NPL</v>
          </cell>
          <cell r="F379">
            <v>2</v>
          </cell>
          <cell r="G379" t="str">
            <v>CB132108000TVR</v>
          </cell>
          <cell r="H379">
            <v>0.75</v>
          </cell>
          <cell r="I379" t="str">
            <v>75mm</v>
          </cell>
          <cell r="J379">
            <v>2</v>
          </cell>
          <cell r="K379">
            <v>2</v>
          </cell>
        </row>
        <row r="380">
          <cell r="A380" t="str">
            <v>M1</v>
          </cell>
          <cell r="B380" t="str">
            <v>A5C</v>
          </cell>
          <cell r="C380" t="str">
            <v>P</v>
          </cell>
          <cell r="D380" t="str">
            <v>22130</v>
          </cell>
          <cell r="E380" t="str">
            <v>NPL</v>
          </cell>
          <cell r="F380">
            <v>2</v>
          </cell>
          <cell r="G380" t="str">
            <v>CB132108000TVR</v>
          </cell>
          <cell r="H380">
            <v>0.75</v>
          </cell>
          <cell r="I380" t="str">
            <v>75mm</v>
          </cell>
          <cell r="J380">
            <v>2</v>
          </cell>
          <cell r="K380">
            <v>2</v>
          </cell>
        </row>
        <row r="381">
          <cell r="A381" t="str">
            <v>M1</v>
          </cell>
          <cell r="B381" t="str">
            <v>A5C</v>
          </cell>
          <cell r="C381" t="str">
            <v>P</v>
          </cell>
          <cell r="D381" t="str">
            <v>22140</v>
          </cell>
          <cell r="E381" t="str">
            <v>NPL</v>
          </cell>
          <cell r="F381">
            <v>2</v>
          </cell>
          <cell r="G381" t="str">
            <v>CB132108000TVR</v>
          </cell>
          <cell r="H381">
            <v>0.75</v>
          </cell>
          <cell r="I381" t="str">
            <v>75mm</v>
          </cell>
          <cell r="J381">
            <v>2</v>
          </cell>
          <cell r="K381">
            <v>2</v>
          </cell>
        </row>
        <row r="382">
          <cell r="A382" t="str">
            <v>M1</v>
          </cell>
          <cell r="B382" t="str">
            <v>A5C</v>
          </cell>
          <cell r="C382" t="str">
            <v>P</v>
          </cell>
          <cell r="D382" t="str">
            <v>22153</v>
          </cell>
          <cell r="E382" t="str">
            <v>NPL</v>
          </cell>
          <cell r="F382">
            <v>2</v>
          </cell>
          <cell r="G382" t="str">
            <v>CB132108000TVR</v>
          </cell>
          <cell r="H382">
            <v>0.75</v>
          </cell>
          <cell r="I382" t="str">
            <v>75mm</v>
          </cell>
          <cell r="J382">
            <v>4</v>
          </cell>
          <cell r="K382">
            <v>4</v>
          </cell>
        </row>
        <row r="383">
          <cell r="A383" t="str">
            <v>M1</v>
          </cell>
          <cell r="B383" t="str">
            <v>A5C</v>
          </cell>
          <cell r="C383" t="str">
            <v>P</v>
          </cell>
          <cell r="D383" t="str">
            <v>22153</v>
          </cell>
          <cell r="E383" t="str">
            <v>NPL</v>
          </cell>
          <cell r="F383">
            <v>2</v>
          </cell>
          <cell r="G383" t="str">
            <v>CB132308000TVR</v>
          </cell>
          <cell r="H383">
            <v>0.75</v>
          </cell>
          <cell r="I383" t="str">
            <v>75mm</v>
          </cell>
          <cell r="J383">
            <v>2</v>
          </cell>
          <cell r="K383">
            <v>2</v>
          </cell>
        </row>
        <row r="384">
          <cell r="A384" t="str">
            <v>M1</v>
          </cell>
          <cell r="B384" t="str">
            <v>A5C</v>
          </cell>
          <cell r="C384" t="str">
            <v>TRIM</v>
          </cell>
          <cell r="D384" t="str">
            <v>V-2206</v>
          </cell>
          <cell r="E384" t="str">
            <v>NPL</v>
          </cell>
          <cell r="F384">
            <v>2</v>
          </cell>
          <cell r="G384" t="str">
            <v>CB132108000TVR</v>
          </cell>
          <cell r="H384">
            <v>0.75</v>
          </cell>
          <cell r="I384" t="str">
            <v>75mm</v>
          </cell>
          <cell r="J384">
            <v>1</v>
          </cell>
          <cell r="K384">
            <v>1</v>
          </cell>
        </row>
        <row r="385">
          <cell r="A385" t="str">
            <v>M1</v>
          </cell>
          <cell r="B385" t="str">
            <v>A5C</v>
          </cell>
          <cell r="C385" t="str">
            <v>N</v>
          </cell>
          <cell r="D385" t="str">
            <v>22617</v>
          </cell>
          <cell r="E385" t="str">
            <v>NPL</v>
          </cell>
          <cell r="F385">
            <v>2</v>
          </cell>
          <cell r="G385" t="str">
            <v>CB132108000TVR</v>
          </cell>
          <cell r="H385">
            <v>0.75</v>
          </cell>
          <cell r="I385" t="str">
            <v>75mm</v>
          </cell>
          <cell r="J385">
            <v>1</v>
          </cell>
          <cell r="K385">
            <v>1</v>
          </cell>
        </row>
        <row r="386">
          <cell r="A386" t="str">
            <v>M1</v>
          </cell>
          <cell r="B386" t="str">
            <v>A5C</v>
          </cell>
          <cell r="C386" t="str">
            <v>P</v>
          </cell>
          <cell r="D386" t="str">
            <v>22139</v>
          </cell>
          <cell r="E386" t="str">
            <v>NPL</v>
          </cell>
          <cell r="F386">
            <v>2</v>
          </cell>
          <cell r="G386" t="str">
            <v>CB132108000TVR</v>
          </cell>
          <cell r="H386">
            <v>0.75</v>
          </cell>
          <cell r="I386" t="str">
            <v>75mm</v>
          </cell>
          <cell r="J386">
            <v>2</v>
          </cell>
          <cell r="K386">
            <v>2</v>
          </cell>
        </row>
        <row r="387">
          <cell r="A387" t="str">
            <v>M1</v>
          </cell>
          <cell r="B387" t="str">
            <v>A5C</v>
          </cell>
          <cell r="C387" t="str">
            <v>P</v>
          </cell>
          <cell r="D387" t="str">
            <v>22065</v>
          </cell>
          <cell r="E387" t="str">
            <v>R TEE</v>
          </cell>
          <cell r="F387">
            <v>2</v>
          </cell>
          <cell r="G387" t="str">
            <v>CB400400000T0H</v>
          </cell>
          <cell r="H387">
            <v>0.75</v>
          </cell>
          <cell r="I387">
            <v>0.5</v>
          </cell>
          <cell r="J387">
            <v>1</v>
          </cell>
          <cell r="K387">
            <v>1</v>
          </cell>
        </row>
        <row r="388">
          <cell r="A388" t="str">
            <v>M1</v>
          </cell>
          <cell r="B388" t="str">
            <v>A5C</v>
          </cell>
          <cell r="C388" t="str">
            <v>SCC</v>
          </cell>
          <cell r="D388" t="str">
            <v>HOLD1</v>
          </cell>
          <cell r="E388" t="str">
            <v>R TEE</v>
          </cell>
          <cell r="F388">
            <v>2</v>
          </cell>
          <cell r="G388" t="str">
            <v>CB400400000T0H</v>
          </cell>
          <cell r="H388">
            <v>0.75</v>
          </cell>
          <cell r="I388">
            <v>0.5</v>
          </cell>
          <cell r="J388">
            <v>3</v>
          </cell>
          <cell r="K388">
            <v>3</v>
          </cell>
        </row>
        <row r="389">
          <cell r="A389" t="str">
            <v>M1</v>
          </cell>
          <cell r="B389" t="str">
            <v>A5C</v>
          </cell>
          <cell r="C389" t="str">
            <v>SCD</v>
          </cell>
          <cell r="D389" t="str">
            <v>HOLD1</v>
          </cell>
          <cell r="E389" t="str">
            <v>R TEE</v>
          </cell>
          <cell r="F389">
            <v>2</v>
          </cell>
          <cell r="G389" t="str">
            <v>CB400400000T0H</v>
          </cell>
          <cell r="H389">
            <v>0.75</v>
          </cell>
          <cell r="I389">
            <v>0.5</v>
          </cell>
          <cell r="J389">
            <v>2</v>
          </cell>
          <cell r="K389">
            <v>2</v>
          </cell>
        </row>
        <row r="390">
          <cell r="A390" t="str">
            <v>M1</v>
          </cell>
          <cell r="B390" t="str">
            <v>A5C</v>
          </cell>
          <cell r="C390" t="str">
            <v>N</v>
          </cell>
          <cell r="D390" t="str">
            <v>22617</v>
          </cell>
          <cell r="E390" t="str">
            <v>TEE</v>
          </cell>
          <cell r="F390">
            <v>2</v>
          </cell>
          <cell r="G390" t="str">
            <v>CB400300000T00</v>
          </cell>
          <cell r="H390">
            <v>0.75</v>
          </cell>
          <cell r="I390" t="str">
            <v>--</v>
          </cell>
          <cell r="J390">
            <v>1</v>
          </cell>
          <cell r="K390">
            <v>1</v>
          </cell>
        </row>
        <row r="391">
          <cell r="A391" t="str">
            <v>M1</v>
          </cell>
          <cell r="B391" t="str">
            <v>A5C</v>
          </cell>
          <cell r="C391" t="str">
            <v>P</v>
          </cell>
          <cell r="D391" t="str">
            <v>22094</v>
          </cell>
          <cell r="E391" t="str">
            <v>90 ELL</v>
          </cell>
          <cell r="F391">
            <v>2</v>
          </cell>
          <cell r="G391" t="str">
            <v>CB400100001000</v>
          </cell>
          <cell r="H391">
            <v>0.75</v>
          </cell>
          <cell r="I391" t="str">
            <v>--</v>
          </cell>
          <cell r="J391">
            <v>2</v>
          </cell>
          <cell r="K391">
            <v>2</v>
          </cell>
        </row>
        <row r="392">
          <cell r="A392" t="str">
            <v>M1</v>
          </cell>
          <cell r="B392" t="str">
            <v>A5C</v>
          </cell>
          <cell r="C392" t="str">
            <v>P</v>
          </cell>
          <cell r="D392" t="str">
            <v>22095</v>
          </cell>
          <cell r="E392" t="str">
            <v>90 ELL</v>
          </cell>
          <cell r="F392">
            <v>2</v>
          </cell>
          <cell r="G392" t="str">
            <v>CB400100001000</v>
          </cell>
          <cell r="H392">
            <v>0.75</v>
          </cell>
          <cell r="I392" t="str">
            <v>--</v>
          </cell>
          <cell r="J392">
            <v>2</v>
          </cell>
          <cell r="K392">
            <v>2</v>
          </cell>
        </row>
        <row r="393">
          <cell r="A393" t="str">
            <v>M1</v>
          </cell>
          <cell r="B393" t="str">
            <v>A5C</v>
          </cell>
          <cell r="C393" t="str">
            <v>P</v>
          </cell>
          <cell r="D393" t="str">
            <v>22100</v>
          </cell>
          <cell r="E393" t="str">
            <v>90 ELL</v>
          </cell>
          <cell r="F393">
            <v>2</v>
          </cell>
          <cell r="G393" t="str">
            <v>CB400100001000</v>
          </cell>
          <cell r="H393">
            <v>0.75</v>
          </cell>
          <cell r="I393" t="str">
            <v>--</v>
          </cell>
          <cell r="J393">
            <v>2</v>
          </cell>
          <cell r="K393">
            <v>2</v>
          </cell>
        </row>
        <row r="394">
          <cell r="A394" t="str">
            <v>M1</v>
          </cell>
          <cell r="B394" t="str">
            <v>A5C</v>
          </cell>
          <cell r="C394" t="str">
            <v>P</v>
          </cell>
          <cell r="D394" t="str">
            <v>22099</v>
          </cell>
          <cell r="E394" t="str">
            <v>90 ELL</v>
          </cell>
          <cell r="F394">
            <v>2</v>
          </cell>
          <cell r="G394" t="str">
            <v>CB400100001000</v>
          </cell>
          <cell r="H394">
            <v>0.75</v>
          </cell>
          <cell r="I394" t="str">
            <v>--</v>
          </cell>
          <cell r="J394">
            <v>2</v>
          </cell>
          <cell r="K394">
            <v>2</v>
          </cell>
        </row>
        <row r="395">
          <cell r="A395" t="str">
            <v>M1</v>
          </cell>
          <cell r="B395" t="str">
            <v>A5C</v>
          </cell>
          <cell r="C395" t="str">
            <v>P</v>
          </cell>
          <cell r="D395" t="str">
            <v>22090</v>
          </cell>
          <cell r="E395" t="str">
            <v>CAP</v>
          </cell>
          <cell r="F395">
            <v>2</v>
          </cell>
          <cell r="G395" t="str">
            <v>CB520700000T00</v>
          </cell>
          <cell r="H395">
            <v>0.75</v>
          </cell>
          <cell r="I395" t="str">
            <v>--</v>
          </cell>
          <cell r="J395">
            <v>1</v>
          </cell>
          <cell r="K395">
            <v>1</v>
          </cell>
        </row>
        <row r="396">
          <cell r="A396" t="str">
            <v>M1</v>
          </cell>
          <cell r="B396" t="str">
            <v>A5C</v>
          </cell>
          <cell r="C396" t="str">
            <v>P</v>
          </cell>
          <cell r="D396" t="str">
            <v>22094</v>
          </cell>
          <cell r="E396" t="str">
            <v>NPL</v>
          </cell>
          <cell r="F396">
            <v>2</v>
          </cell>
          <cell r="G396" t="str">
            <v>CB132108000TVR</v>
          </cell>
          <cell r="H396">
            <v>0.75</v>
          </cell>
          <cell r="I396" t="str">
            <v>75mm</v>
          </cell>
          <cell r="J396">
            <v>2</v>
          </cell>
          <cell r="K396">
            <v>2</v>
          </cell>
        </row>
        <row r="397">
          <cell r="A397" t="str">
            <v>M1</v>
          </cell>
          <cell r="B397" t="str">
            <v>A5C</v>
          </cell>
          <cell r="C397" t="str">
            <v>P</v>
          </cell>
          <cell r="D397" t="str">
            <v>22095</v>
          </cell>
          <cell r="E397" t="str">
            <v>NPL</v>
          </cell>
          <cell r="F397">
            <v>2</v>
          </cell>
          <cell r="G397" t="str">
            <v>CB132108000TVR</v>
          </cell>
          <cell r="H397">
            <v>0.75</v>
          </cell>
          <cell r="I397" t="str">
            <v>75mm</v>
          </cell>
          <cell r="J397">
            <v>2</v>
          </cell>
          <cell r="K397">
            <v>2</v>
          </cell>
        </row>
        <row r="398">
          <cell r="A398" t="str">
            <v>M1</v>
          </cell>
          <cell r="B398" t="str">
            <v>A5C</v>
          </cell>
          <cell r="C398" t="str">
            <v>P</v>
          </cell>
          <cell r="D398" t="str">
            <v>22100</v>
          </cell>
          <cell r="E398" t="str">
            <v>NPL</v>
          </cell>
          <cell r="F398">
            <v>2</v>
          </cell>
          <cell r="G398" t="str">
            <v>CB132108000TVR</v>
          </cell>
          <cell r="H398">
            <v>0.75</v>
          </cell>
          <cell r="I398" t="str">
            <v>75mm</v>
          </cell>
          <cell r="J398">
            <v>2</v>
          </cell>
          <cell r="K398">
            <v>2</v>
          </cell>
        </row>
        <row r="399">
          <cell r="A399" t="str">
            <v>M1</v>
          </cell>
          <cell r="B399" t="str">
            <v>A5C</v>
          </cell>
          <cell r="C399" t="str">
            <v>P</v>
          </cell>
          <cell r="D399" t="str">
            <v>22099</v>
          </cell>
          <cell r="E399" t="str">
            <v>NPL</v>
          </cell>
          <cell r="F399">
            <v>2</v>
          </cell>
          <cell r="G399" t="str">
            <v>CB132108000TVR</v>
          </cell>
          <cell r="H399">
            <v>0.75</v>
          </cell>
          <cell r="I399" t="str">
            <v>75mm</v>
          </cell>
          <cell r="J399">
            <v>2</v>
          </cell>
          <cell r="K399">
            <v>2</v>
          </cell>
        </row>
        <row r="400">
          <cell r="A400" t="str">
            <v>M1</v>
          </cell>
          <cell r="B400" t="str">
            <v>A6C</v>
          </cell>
          <cell r="C400" t="str">
            <v>HOR</v>
          </cell>
          <cell r="D400" t="str">
            <v>65612</v>
          </cell>
          <cell r="E400" t="str">
            <v>90 ELL</v>
          </cell>
          <cell r="F400">
            <v>2</v>
          </cell>
          <cell r="G400" t="str">
            <v>CB400100001000</v>
          </cell>
          <cell r="H400">
            <v>0.75</v>
          </cell>
          <cell r="I400" t="str">
            <v>--</v>
          </cell>
          <cell r="J400">
            <v>4</v>
          </cell>
          <cell r="K400">
            <v>4</v>
          </cell>
        </row>
        <row r="401">
          <cell r="A401" t="str">
            <v>M1</v>
          </cell>
          <cell r="B401" t="str">
            <v>A5C</v>
          </cell>
          <cell r="C401" t="str">
            <v>P</v>
          </cell>
          <cell r="D401" t="str">
            <v>22062</v>
          </cell>
          <cell r="E401" t="str">
            <v>90 ELL</v>
          </cell>
          <cell r="F401">
            <v>2</v>
          </cell>
          <cell r="G401" t="str">
            <v>CB400100001000</v>
          </cell>
          <cell r="H401">
            <v>0.75</v>
          </cell>
          <cell r="I401" t="str">
            <v>--</v>
          </cell>
          <cell r="J401">
            <v>2</v>
          </cell>
          <cell r="K401">
            <v>2</v>
          </cell>
        </row>
        <row r="402">
          <cell r="A402" t="str">
            <v>M1</v>
          </cell>
          <cell r="B402" t="str">
            <v>A5C</v>
          </cell>
          <cell r="C402" t="str">
            <v>P</v>
          </cell>
          <cell r="D402" t="str">
            <v>22002</v>
          </cell>
          <cell r="E402" t="str">
            <v>90 ELL</v>
          </cell>
          <cell r="F402">
            <v>2</v>
          </cell>
          <cell r="G402" t="str">
            <v>CB400100001000</v>
          </cell>
          <cell r="H402">
            <v>0.75</v>
          </cell>
          <cell r="I402" t="str">
            <v>--</v>
          </cell>
          <cell r="J402">
            <v>2</v>
          </cell>
          <cell r="K402">
            <v>2</v>
          </cell>
        </row>
        <row r="403">
          <cell r="A403" t="str">
            <v>M1</v>
          </cell>
          <cell r="B403" t="str">
            <v>A5C</v>
          </cell>
          <cell r="C403" t="str">
            <v>P</v>
          </cell>
          <cell r="D403" t="str">
            <v>22073</v>
          </cell>
          <cell r="E403" t="str">
            <v>90 ELL</v>
          </cell>
          <cell r="F403">
            <v>2</v>
          </cell>
          <cell r="G403" t="str">
            <v>CB400100001000</v>
          </cell>
          <cell r="H403">
            <v>0.75</v>
          </cell>
          <cell r="I403" t="str">
            <v>--</v>
          </cell>
          <cell r="J403">
            <v>2</v>
          </cell>
          <cell r="K403">
            <v>2</v>
          </cell>
        </row>
        <row r="404">
          <cell r="A404" t="str">
            <v>M1</v>
          </cell>
          <cell r="B404" t="str">
            <v>A5C</v>
          </cell>
          <cell r="C404" t="str">
            <v>WW</v>
          </cell>
          <cell r="D404" t="str">
            <v>22601</v>
          </cell>
          <cell r="E404" t="str">
            <v>90 ELL</v>
          </cell>
          <cell r="F404">
            <v>2</v>
          </cell>
          <cell r="G404" t="str">
            <v>CB400100001000</v>
          </cell>
          <cell r="H404">
            <v>0.75</v>
          </cell>
          <cell r="I404" t="str">
            <v>--</v>
          </cell>
          <cell r="J404">
            <v>4</v>
          </cell>
          <cell r="K404">
            <v>4</v>
          </cell>
        </row>
        <row r="405">
          <cell r="A405" t="str">
            <v>M1</v>
          </cell>
          <cell r="B405" t="str">
            <v>A6C</v>
          </cell>
          <cell r="C405" t="str">
            <v>HOS</v>
          </cell>
          <cell r="D405" t="str">
            <v>65632</v>
          </cell>
          <cell r="E405" t="str">
            <v>CAP</v>
          </cell>
          <cell r="F405">
            <v>2</v>
          </cell>
          <cell r="G405" t="str">
            <v>CB520700000T00</v>
          </cell>
          <cell r="H405">
            <v>0.75</v>
          </cell>
          <cell r="I405" t="str">
            <v>--</v>
          </cell>
          <cell r="J405">
            <v>2</v>
          </cell>
          <cell r="K405">
            <v>2</v>
          </cell>
        </row>
        <row r="406">
          <cell r="A406" t="str">
            <v>M1</v>
          </cell>
          <cell r="B406" t="str">
            <v>A6C</v>
          </cell>
          <cell r="C406" t="str">
            <v>HOS</v>
          </cell>
          <cell r="D406" t="str">
            <v>65633</v>
          </cell>
          <cell r="E406" t="str">
            <v>CAP</v>
          </cell>
          <cell r="F406">
            <v>2</v>
          </cell>
          <cell r="G406" t="str">
            <v>CB520700000T00</v>
          </cell>
          <cell r="H406">
            <v>0.75</v>
          </cell>
          <cell r="I406" t="str">
            <v>--</v>
          </cell>
          <cell r="J406">
            <v>1</v>
          </cell>
          <cell r="K406">
            <v>1</v>
          </cell>
        </row>
        <row r="407">
          <cell r="A407" t="str">
            <v>M1</v>
          </cell>
          <cell r="B407" t="str">
            <v>A5C</v>
          </cell>
          <cell r="C407" t="str">
            <v>P</v>
          </cell>
          <cell r="D407" t="str">
            <v>22003</v>
          </cell>
          <cell r="E407" t="str">
            <v>CAP</v>
          </cell>
          <cell r="F407">
            <v>2</v>
          </cell>
          <cell r="G407" t="str">
            <v>CB520700000T00</v>
          </cell>
          <cell r="H407">
            <v>0.75</v>
          </cell>
          <cell r="I407" t="str">
            <v>--</v>
          </cell>
          <cell r="J407">
            <v>1</v>
          </cell>
          <cell r="K407">
            <v>1</v>
          </cell>
        </row>
        <row r="408">
          <cell r="A408" t="str">
            <v>M1</v>
          </cell>
          <cell r="B408" t="str">
            <v>A5C</v>
          </cell>
          <cell r="C408" t="str">
            <v>P</v>
          </cell>
          <cell r="D408" t="str">
            <v>22004</v>
          </cell>
          <cell r="E408" t="str">
            <v>CAP</v>
          </cell>
          <cell r="F408">
            <v>2</v>
          </cell>
          <cell r="G408" t="str">
            <v>CB520700000T00</v>
          </cell>
          <cell r="H408">
            <v>0.75</v>
          </cell>
          <cell r="I408" t="str">
            <v>--</v>
          </cell>
          <cell r="J408">
            <v>2</v>
          </cell>
          <cell r="K408">
            <v>2</v>
          </cell>
        </row>
        <row r="409">
          <cell r="A409" t="str">
            <v>M1</v>
          </cell>
          <cell r="B409" t="str">
            <v>A5C</v>
          </cell>
          <cell r="C409" t="str">
            <v>P</v>
          </cell>
          <cell r="D409" t="str">
            <v>22004</v>
          </cell>
          <cell r="E409" t="str">
            <v>CAP</v>
          </cell>
          <cell r="F409">
            <v>2</v>
          </cell>
          <cell r="G409" t="str">
            <v>CB520700000T00</v>
          </cell>
          <cell r="H409">
            <v>0.75</v>
          </cell>
          <cell r="I409" t="str">
            <v>--</v>
          </cell>
          <cell r="J409">
            <v>1</v>
          </cell>
          <cell r="K409">
            <v>1</v>
          </cell>
        </row>
        <row r="410">
          <cell r="A410" t="str">
            <v>M1</v>
          </cell>
          <cell r="B410" t="str">
            <v>A5C</v>
          </cell>
          <cell r="C410" t="str">
            <v>P</v>
          </cell>
          <cell r="D410" t="str">
            <v>22074</v>
          </cell>
          <cell r="E410" t="str">
            <v>CAP</v>
          </cell>
          <cell r="F410">
            <v>2</v>
          </cell>
          <cell r="G410" t="str">
            <v>CB520700000T00</v>
          </cell>
          <cell r="H410">
            <v>0.75</v>
          </cell>
          <cell r="I410" t="str">
            <v>--</v>
          </cell>
          <cell r="J410">
            <v>3</v>
          </cell>
          <cell r="K410">
            <v>3</v>
          </cell>
        </row>
        <row r="411">
          <cell r="A411" t="str">
            <v>M1</v>
          </cell>
          <cell r="B411" t="str">
            <v>A5C</v>
          </cell>
          <cell r="C411" t="str">
            <v>P</v>
          </cell>
          <cell r="D411" t="str">
            <v>22077</v>
          </cell>
          <cell r="E411" t="str">
            <v>CAP</v>
          </cell>
          <cell r="F411">
            <v>2</v>
          </cell>
          <cell r="G411" t="str">
            <v>CB520700000T00</v>
          </cell>
          <cell r="H411">
            <v>0.75</v>
          </cell>
          <cell r="I411" t="str">
            <v>--</v>
          </cell>
          <cell r="J411">
            <v>1</v>
          </cell>
          <cell r="K411">
            <v>1</v>
          </cell>
        </row>
        <row r="412">
          <cell r="A412" t="str">
            <v>M1</v>
          </cell>
          <cell r="B412" t="str">
            <v>A5C</v>
          </cell>
          <cell r="C412" t="str">
            <v>P</v>
          </cell>
          <cell r="D412" t="str">
            <v>22077</v>
          </cell>
          <cell r="E412" t="str">
            <v>CAP</v>
          </cell>
          <cell r="F412">
            <v>2</v>
          </cell>
          <cell r="G412" t="str">
            <v>CB520700000T00</v>
          </cell>
          <cell r="H412">
            <v>0.75</v>
          </cell>
          <cell r="I412" t="str">
            <v>--</v>
          </cell>
          <cell r="J412">
            <v>1</v>
          </cell>
          <cell r="K412">
            <v>1</v>
          </cell>
        </row>
        <row r="413">
          <cell r="A413" t="str">
            <v>M1</v>
          </cell>
          <cell r="B413" t="str">
            <v>A5C</v>
          </cell>
          <cell r="C413" t="str">
            <v>P</v>
          </cell>
          <cell r="D413" t="str">
            <v>22111</v>
          </cell>
          <cell r="E413" t="str">
            <v>CAP</v>
          </cell>
          <cell r="F413">
            <v>2</v>
          </cell>
          <cell r="G413" t="str">
            <v>CB520700000T00</v>
          </cell>
          <cell r="H413">
            <v>0.75</v>
          </cell>
          <cell r="I413" t="str">
            <v>--</v>
          </cell>
          <cell r="J413">
            <v>2</v>
          </cell>
          <cell r="K413">
            <v>2</v>
          </cell>
        </row>
        <row r="414">
          <cell r="A414" t="str">
            <v>M1</v>
          </cell>
          <cell r="B414" t="str">
            <v>A5C</v>
          </cell>
          <cell r="C414" t="str">
            <v>TRIM</v>
          </cell>
          <cell r="D414" t="str">
            <v>V-2214</v>
          </cell>
          <cell r="E414" t="str">
            <v>CAP</v>
          </cell>
          <cell r="F414">
            <v>2</v>
          </cell>
          <cell r="G414" t="str">
            <v>CB520700000T00</v>
          </cell>
          <cell r="H414">
            <v>0.75</v>
          </cell>
          <cell r="I414" t="str">
            <v>--</v>
          </cell>
          <cell r="J414">
            <v>1</v>
          </cell>
          <cell r="K414">
            <v>1</v>
          </cell>
        </row>
        <row r="415">
          <cell r="A415" t="str">
            <v>M1</v>
          </cell>
          <cell r="B415" t="str">
            <v>A5C</v>
          </cell>
          <cell r="C415" t="str">
            <v>P</v>
          </cell>
          <cell r="D415" t="str">
            <v>22005</v>
          </cell>
          <cell r="E415" t="str">
            <v>CAP</v>
          </cell>
          <cell r="F415">
            <v>2</v>
          </cell>
          <cell r="G415" t="str">
            <v>CB520700000T00</v>
          </cell>
          <cell r="H415">
            <v>0.75</v>
          </cell>
          <cell r="I415" t="str">
            <v>--</v>
          </cell>
          <cell r="J415">
            <v>1</v>
          </cell>
          <cell r="K415">
            <v>1</v>
          </cell>
        </row>
        <row r="416">
          <cell r="A416" t="str">
            <v>M1</v>
          </cell>
          <cell r="B416" t="str">
            <v>A6C</v>
          </cell>
          <cell r="C416" t="str">
            <v>HOS</v>
          </cell>
          <cell r="D416" t="str">
            <v>65633</v>
          </cell>
          <cell r="E416" t="str">
            <v>CPLG</v>
          </cell>
          <cell r="F416">
            <v>2</v>
          </cell>
          <cell r="G416" t="str">
            <v>CB400500000T00</v>
          </cell>
          <cell r="H416">
            <v>0.75</v>
          </cell>
          <cell r="I416" t="str">
            <v>--</v>
          </cell>
          <cell r="J416">
            <v>1</v>
          </cell>
          <cell r="K416">
            <v>1</v>
          </cell>
        </row>
        <row r="417">
          <cell r="A417" t="str">
            <v>M1</v>
          </cell>
          <cell r="B417" t="str">
            <v>A6C</v>
          </cell>
          <cell r="C417" t="str">
            <v>HOS</v>
          </cell>
          <cell r="D417" t="str">
            <v>65632</v>
          </cell>
          <cell r="E417" t="str">
            <v>NPL</v>
          </cell>
          <cell r="F417">
            <v>2</v>
          </cell>
          <cell r="G417" t="str">
            <v>CB132308000TVR</v>
          </cell>
          <cell r="H417">
            <v>0.75</v>
          </cell>
          <cell r="I417" t="str">
            <v>75mm</v>
          </cell>
          <cell r="J417">
            <v>2</v>
          </cell>
          <cell r="K417">
            <v>2</v>
          </cell>
        </row>
        <row r="418">
          <cell r="A418" t="str">
            <v>M1</v>
          </cell>
          <cell r="B418" t="str">
            <v>A6C</v>
          </cell>
          <cell r="C418" t="str">
            <v>HOS</v>
          </cell>
          <cell r="D418" t="str">
            <v>65633</v>
          </cell>
          <cell r="E418" t="str">
            <v>NPL</v>
          </cell>
          <cell r="F418">
            <v>2</v>
          </cell>
          <cell r="G418" t="str">
            <v>CB132108000TVR</v>
          </cell>
          <cell r="H418">
            <v>0.75</v>
          </cell>
          <cell r="I418" t="str">
            <v>75mm</v>
          </cell>
          <cell r="J418">
            <v>3</v>
          </cell>
          <cell r="K418">
            <v>3</v>
          </cell>
        </row>
        <row r="419">
          <cell r="A419" t="str">
            <v>M1</v>
          </cell>
          <cell r="B419" t="str">
            <v>A6C</v>
          </cell>
          <cell r="C419" t="str">
            <v>HOS</v>
          </cell>
          <cell r="D419" t="str">
            <v>65632</v>
          </cell>
          <cell r="E419" t="str">
            <v>NPL</v>
          </cell>
          <cell r="F419">
            <v>2</v>
          </cell>
          <cell r="G419" t="str">
            <v>CB132108000TVR</v>
          </cell>
          <cell r="H419">
            <v>0.75</v>
          </cell>
          <cell r="I419" t="str">
            <v>75mm</v>
          </cell>
          <cell r="J419">
            <v>2</v>
          </cell>
          <cell r="K419">
            <v>2</v>
          </cell>
        </row>
        <row r="420">
          <cell r="A420" t="str">
            <v>M1</v>
          </cell>
          <cell r="B420" t="str">
            <v>A5C</v>
          </cell>
          <cell r="C420" t="str">
            <v>P</v>
          </cell>
          <cell r="D420" t="str">
            <v>22002</v>
          </cell>
          <cell r="E420" t="str">
            <v>NPL</v>
          </cell>
          <cell r="F420">
            <v>2</v>
          </cell>
          <cell r="G420" t="str">
            <v>CB132108000TVR</v>
          </cell>
          <cell r="H420">
            <v>0.75</v>
          </cell>
          <cell r="I420" t="str">
            <v>75mm</v>
          </cell>
          <cell r="J420">
            <v>4</v>
          </cell>
          <cell r="K420">
            <v>4</v>
          </cell>
        </row>
        <row r="421">
          <cell r="A421" t="str">
            <v>M1</v>
          </cell>
          <cell r="B421" t="str">
            <v>A5C</v>
          </cell>
          <cell r="C421" t="str">
            <v>P</v>
          </cell>
          <cell r="D421" t="str">
            <v>22003</v>
          </cell>
          <cell r="E421" t="str">
            <v>NPL</v>
          </cell>
          <cell r="F421">
            <v>2</v>
          </cell>
          <cell r="G421" t="str">
            <v>CB132108000TVR</v>
          </cell>
          <cell r="H421">
            <v>0.75</v>
          </cell>
          <cell r="I421" t="str">
            <v>75mm</v>
          </cell>
          <cell r="J421">
            <v>3</v>
          </cell>
          <cell r="K421">
            <v>3</v>
          </cell>
        </row>
        <row r="422">
          <cell r="A422" t="str">
            <v>M1</v>
          </cell>
          <cell r="B422" t="str">
            <v>A5C</v>
          </cell>
          <cell r="C422" t="str">
            <v>P</v>
          </cell>
          <cell r="D422" t="str">
            <v>22004</v>
          </cell>
          <cell r="E422" t="str">
            <v>NPL</v>
          </cell>
          <cell r="F422">
            <v>2</v>
          </cell>
          <cell r="G422" t="str">
            <v>CB132108000TVR</v>
          </cell>
          <cell r="H422">
            <v>0.75</v>
          </cell>
          <cell r="I422" t="str">
            <v>75mm</v>
          </cell>
          <cell r="J422">
            <v>2</v>
          </cell>
          <cell r="K422">
            <v>2</v>
          </cell>
        </row>
        <row r="423">
          <cell r="A423" t="str">
            <v>M1</v>
          </cell>
          <cell r="B423" t="str">
            <v>A5C</v>
          </cell>
          <cell r="C423" t="str">
            <v>P</v>
          </cell>
          <cell r="D423" t="str">
            <v>22004</v>
          </cell>
          <cell r="E423" t="str">
            <v>NPL</v>
          </cell>
          <cell r="F423">
            <v>2</v>
          </cell>
          <cell r="G423" t="str">
            <v>CB132308000TVR</v>
          </cell>
          <cell r="H423">
            <v>0.75</v>
          </cell>
          <cell r="I423" t="str">
            <v>75mm</v>
          </cell>
          <cell r="J423">
            <v>2</v>
          </cell>
          <cell r="K423">
            <v>2</v>
          </cell>
        </row>
        <row r="424">
          <cell r="A424" t="str">
            <v>M1</v>
          </cell>
          <cell r="B424" t="str">
            <v>A5C</v>
          </cell>
          <cell r="C424" t="str">
            <v>P</v>
          </cell>
          <cell r="D424" t="str">
            <v>22004</v>
          </cell>
          <cell r="E424" t="str">
            <v>NPL</v>
          </cell>
          <cell r="F424">
            <v>2</v>
          </cell>
          <cell r="G424" t="str">
            <v>CB132108000TVR</v>
          </cell>
          <cell r="H424">
            <v>0.75</v>
          </cell>
          <cell r="I424" t="str">
            <v>75mm</v>
          </cell>
          <cell r="J424">
            <v>1</v>
          </cell>
          <cell r="K424">
            <v>1</v>
          </cell>
        </row>
        <row r="425">
          <cell r="A425" t="str">
            <v>M1</v>
          </cell>
          <cell r="B425" t="str">
            <v>A5C</v>
          </cell>
          <cell r="C425" t="str">
            <v>P</v>
          </cell>
          <cell r="D425" t="str">
            <v>22005</v>
          </cell>
          <cell r="E425" t="str">
            <v>NPL</v>
          </cell>
          <cell r="F425">
            <v>2</v>
          </cell>
          <cell r="G425" t="str">
            <v>CB132308000TVR</v>
          </cell>
          <cell r="H425">
            <v>0.75</v>
          </cell>
          <cell r="I425" t="str">
            <v>75mm</v>
          </cell>
          <cell r="J425">
            <v>2</v>
          </cell>
          <cell r="K425">
            <v>2</v>
          </cell>
        </row>
        <row r="426">
          <cell r="A426" t="str">
            <v>M1</v>
          </cell>
          <cell r="B426" t="str">
            <v>A5C</v>
          </cell>
          <cell r="C426" t="str">
            <v>P</v>
          </cell>
          <cell r="D426" t="str">
            <v>22062</v>
          </cell>
          <cell r="E426" t="str">
            <v>NPL</v>
          </cell>
          <cell r="F426">
            <v>2</v>
          </cell>
          <cell r="G426" t="str">
            <v>CB132108000TVR</v>
          </cell>
          <cell r="H426">
            <v>0.75</v>
          </cell>
          <cell r="I426" t="str">
            <v>75mm</v>
          </cell>
          <cell r="J426">
            <v>2</v>
          </cell>
          <cell r="K426">
            <v>2</v>
          </cell>
        </row>
        <row r="427">
          <cell r="A427" t="str">
            <v>M1</v>
          </cell>
          <cell r="B427" t="str">
            <v>A5C</v>
          </cell>
          <cell r="C427" t="str">
            <v>P</v>
          </cell>
          <cell r="D427" t="str">
            <v>22001</v>
          </cell>
          <cell r="E427" t="str">
            <v>NPL</v>
          </cell>
          <cell r="F427">
            <v>2</v>
          </cell>
          <cell r="G427" t="str">
            <v>CB132108000TVR</v>
          </cell>
          <cell r="H427">
            <v>0.75</v>
          </cell>
          <cell r="I427" t="str">
            <v>75mm</v>
          </cell>
          <cell r="J427">
            <v>3</v>
          </cell>
          <cell r="K427">
            <v>3</v>
          </cell>
        </row>
        <row r="428">
          <cell r="A428" t="str">
            <v>M1</v>
          </cell>
          <cell r="B428" t="str">
            <v>A5C</v>
          </cell>
          <cell r="C428" t="str">
            <v>P</v>
          </cell>
          <cell r="D428" t="str">
            <v>22004</v>
          </cell>
          <cell r="E428" t="str">
            <v>NPL</v>
          </cell>
          <cell r="F428">
            <v>2</v>
          </cell>
          <cell r="G428" t="str">
            <v>CB132308000TVR</v>
          </cell>
          <cell r="H428">
            <v>0.75</v>
          </cell>
          <cell r="I428" t="str">
            <v>75mm</v>
          </cell>
          <cell r="J428">
            <v>1</v>
          </cell>
          <cell r="K428">
            <v>1</v>
          </cell>
        </row>
        <row r="429">
          <cell r="A429" t="str">
            <v>M1</v>
          </cell>
          <cell r="B429" t="str">
            <v>A5C</v>
          </cell>
          <cell r="C429" t="str">
            <v>P</v>
          </cell>
          <cell r="D429" t="str">
            <v>22073</v>
          </cell>
          <cell r="E429" t="str">
            <v>NPL</v>
          </cell>
          <cell r="F429">
            <v>2</v>
          </cell>
          <cell r="G429" t="str">
            <v>CB132108000TVR</v>
          </cell>
          <cell r="H429">
            <v>0.75</v>
          </cell>
          <cell r="I429" t="str">
            <v>75mm</v>
          </cell>
          <cell r="J429">
            <v>2</v>
          </cell>
          <cell r="K429">
            <v>2</v>
          </cell>
        </row>
        <row r="430">
          <cell r="A430" t="str">
            <v>M1</v>
          </cell>
          <cell r="B430" t="str">
            <v>A6C</v>
          </cell>
          <cell r="C430" t="str">
            <v>HOS</v>
          </cell>
          <cell r="D430" t="str">
            <v>65629</v>
          </cell>
          <cell r="E430" t="str">
            <v>90 ELL</v>
          </cell>
          <cell r="F430">
            <v>2</v>
          </cell>
          <cell r="G430" t="str">
            <v>CB400100001000</v>
          </cell>
          <cell r="H430">
            <v>0.75</v>
          </cell>
          <cell r="I430" t="str">
            <v>--</v>
          </cell>
          <cell r="J430">
            <v>3</v>
          </cell>
          <cell r="K430">
            <v>3</v>
          </cell>
        </row>
        <row r="431">
          <cell r="A431" t="str">
            <v>M1</v>
          </cell>
          <cell r="B431" t="str">
            <v>A6C</v>
          </cell>
          <cell r="C431" t="str">
            <v>HOS</v>
          </cell>
          <cell r="D431" t="str">
            <v>65624</v>
          </cell>
          <cell r="E431" t="str">
            <v>90 ELL</v>
          </cell>
          <cell r="F431">
            <v>2</v>
          </cell>
          <cell r="G431" t="str">
            <v>CB400100001000</v>
          </cell>
          <cell r="H431">
            <v>0.75</v>
          </cell>
          <cell r="I431" t="str">
            <v>--</v>
          </cell>
          <cell r="J431">
            <v>1</v>
          </cell>
          <cell r="K431">
            <v>1</v>
          </cell>
        </row>
        <row r="432">
          <cell r="A432" t="str">
            <v>M1</v>
          </cell>
          <cell r="B432" t="str">
            <v>A6C</v>
          </cell>
          <cell r="C432" t="str">
            <v>HOS</v>
          </cell>
          <cell r="D432" t="str">
            <v>65634</v>
          </cell>
          <cell r="E432" t="str">
            <v>90 ELL</v>
          </cell>
          <cell r="F432">
            <v>2</v>
          </cell>
          <cell r="G432" t="str">
            <v>CB400100001000</v>
          </cell>
          <cell r="H432">
            <v>0.75</v>
          </cell>
          <cell r="I432" t="str">
            <v>--</v>
          </cell>
          <cell r="J432">
            <v>3</v>
          </cell>
          <cell r="K432">
            <v>3</v>
          </cell>
        </row>
        <row r="433">
          <cell r="A433" t="str">
            <v>M1</v>
          </cell>
          <cell r="B433" t="str">
            <v>A4C</v>
          </cell>
          <cell r="C433" t="str">
            <v>P</v>
          </cell>
          <cell r="D433" t="str">
            <v>22008</v>
          </cell>
          <cell r="E433" t="str">
            <v>90 ELL</v>
          </cell>
          <cell r="F433">
            <v>2</v>
          </cell>
          <cell r="G433" t="str">
            <v>CB400100001000</v>
          </cell>
          <cell r="H433">
            <v>0.75</v>
          </cell>
          <cell r="I433" t="str">
            <v>--</v>
          </cell>
          <cell r="J433">
            <v>1</v>
          </cell>
          <cell r="K433">
            <v>1</v>
          </cell>
        </row>
        <row r="434">
          <cell r="A434" t="str">
            <v>M1</v>
          </cell>
          <cell r="B434" t="str">
            <v>A4C</v>
          </cell>
          <cell r="C434" t="str">
            <v>P</v>
          </cell>
          <cell r="D434" t="str">
            <v>22031</v>
          </cell>
          <cell r="E434" t="str">
            <v>90 ELL</v>
          </cell>
          <cell r="F434">
            <v>2</v>
          </cell>
          <cell r="G434" t="str">
            <v>CB400100001000</v>
          </cell>
          <cell r="H434">
            <v>0.75</v>
          </cell>
          <cell r="I434" t="str">
            <v>--</v>
          </cell>
          <cell r="J434">
            <v>1</v>
          </cell>
          <cell r="K434">
            <v>1</v>
          </cell>
        </row>
        <row r="435">
          <cell r="A435" t="str">
            <v>M1</v>
          </cell>
          <cell r="B435" t="str">
            <v>A6C</v>
          </cell>
          <cell r="C435" t="str">
            <v>TRIM</v>
          </cell>
          <cell r="D435" t="str">
            <v>H-6501</v>
          </cell>
          <cell r="E435" t="str">
            <v>90 ELL</v>
          </cell>
          <cell r="F435">
            <v>2</v>
          </cell>
          <cell r="G435" t="str">
            <v>CB400100001000</v>
          </cell>
          <cell r="H435">
            <v>0.75</v>
          </cell>
          <cell r="I435" t="str">
            <v>--</v>
          </cell>
          <cell r="J435">
            <v>1</v>
          </cell>
          <cell r="K435">
            <v>1</v>
          </cell>
        </row>
        <row r="436">
          <cell r="A436" t="str">
            <v>M1</v>
          </cell>
          <cell r="B436" t="str">
            <v>A6C</v>
          </cell>
          <cell r="C436" t="str">
            <v>TRIM</v>
          </cell>
          <cell r="D436" t="str">
            <v>V-6502</v>
          </cell>
          <cell r="E436" t="str">
            <v>90 ELL</v>
          </cell>
          <cell r="F436">
            <v>2</v>
          </cell>
          <cell r="G436" t="str">
            <v>CB400100001000</v>
          </cell>
          <cell r="H436">
            <v>0.75</v>
          </cell>
          <cell r="I436" t="str">
            <v>--</v>
          </cell>
          <cell r="J436">
            <v>2</v>
          </cell>
          <cell r="K436">
            <v>2</v>
          </cell>
        </row>
        <row r="437">
          <cell r="A437" t="str">
            <v>M1</v>
          </cell>
          <cell r="B437" t="str">
            <v>A6C</v>
          </cell>
          <cell r="C437" t="str">
            <v>HOR</v>
          </cell>
          <cell r="D437" t="str">
            <v>65620</v>
          </cell>
          <cell r="E437" t="str">
            <v>90 ELL</v>
          </cell>
          <cell r="F437">
            <v>2</v>
          </cell>
          <cell r="G437" t="str">
            <v>CB400100001000</v>
          </cell>
          <cell r="H437">
            <v>0.75</v>
          </cell>
          <cell r="I437" t="str">
            <v>--</v>
          </cell>
          <cell r="J437">
            <v>7</v>
          </cell>
          <cell r="K437">
            <v>7</v>
          </cell>
        </row>
        <row r="438">
          <cell r="A438" t="str">
            <v>M1</v>
          </cell>
          <cell r="B438" t="str">
            <v>A4C</v>
          </cell>
          <cell r="C438" t="str">
            <v>P</v>
          </cell>
          <cell r="D438" t="str">
            <v>22008</v>
          </cell>
          <cell r="E438" t="str">
            <v>90 ELL</v>
          </cell>
          <cell r="F438">
            <v>2</v>
          </cell>
          <cell r="G438" t="str">
            <v>CB400100001000</v>
          </cell>
          <cell r="H438">
            <v>0.75</v>
          </cell>
          <cell r="I438" t="str">
            <v>--</v>
          </cell>
          <cell r="J438">
            <v>1</v>
          </cell>
          <cell r="K438">
            <v>1</v>
          </cell>
        </row>
        <row r="439">
          <cell r="A439" t="str">
            <v>M1</v>
          </cell>
          <cell r="B439" t="str">
            <v>A4C</v>
          </cell>
          <cell r="C439" t="str">
            <v>P</v>
          </cell>
          <cell r="D439" t="str">
            <v>22009</v>
          </cell>
          <cell r="E439" t="str">
            <v>90 ELL</v>
          </cell>
          <cell r="F439">
            <v>2</v>
          </cell>
          <cell r="G439" t="str">
            <v>CB400100001000</v>
          </cell>
          <cell r="H439">
            <v>0.75</v>
          </cell>
          <cell r="I439" t="str">
            <v>--</v>
          </cell>
          <cell r="J439">
            <v>2</v>
          </cell>
          <cell r="K439">
            <v>2</v>
          </cell>
        </row>
        <row r="440">
          <cell r="A440" t="str">
            <v>M1</v>
          </cell>
          <cell r="B440" t="str">
            <v>A5C</v>
          </cell>
          <cell r="C440" t="str">
            <v>P</v>
          </cell>
          <cell r="D440" t="str">
            <v>22098</v>
          </cell>
          <cell r="E440" t="str">
            <v>90 ELL</v>
          </cell>
          <cell r="F440">
            <v>2</v>
          </cell>
          <cell r="G440" t="str">
            <v>CB400100001000</v>
          </cell>
          <cell r="H440">
            <v>0.75</v>
          </cell>
          <cell r="I440" t="str">
            <v>--</v>
          </cell>
          <cell r="J440">
            <v>1</v>
          </cell>
          <cell r="K440">
            <v>1</v>
          </cell>
        </row>
        <row r="441">
          <cell r="A441" t="str">
            <v>M1</v>
          </cell>
          <cell r="B441" t="str">
            <v>A6C</v>
          </cell>
          <cell r="C441" t="str">
            <v>HOR</v>
          </cell>
          <cell r="D441" t="str">
            <v>65620</v>
          </cell>
          <cell r="E441" t="str">
            <v>C SWG</v>
          </cell>
          <cell r="F441">
            <v>2</v>
          </cell>
          <cell r="G441" t="str">
            <v>CB161308080T0Q</v>
          </cell>
          <cell r="H441">
            <v>0.75</v>
          </cell>
          <cell r="I441">
            <v>0.25</v>
          </cell>
          <cell r="J441">
            <v>1</v>
          </cell>
          <cell r="K441">
            <v>1</v>
          </cell>
        </row>
        <row r="442">
          <cell r="A442" t="str">
            <v>M1</v>
          </cell>
          <cell r="B442" t="str">
            <v>A6C</v>
          </cell>
          <cell r="C442" t="str">
            <v>HOS</v>
          </cell>
          <cell r="D442" t="str">
            <v>65613</v>
          </cell>
          <cell r="E442" t="str">
            <v>CAP</v>
          </cell>
          <cell r="F442">
            <v>2</v>
          </cell>
          <cell r="G442" t="str">
            <v>CB520700000T00</v>
          </cell>
          <cell r="H442">
            <v>0.75</v>
          </cell>
          <cell r="I442" t="str">
            <v>--</v>
          </cell>
          <cell r="J442">
            <v>2</v>
          </cell>
          <cell r="K442">
            <v>2</v>
          </cell>
        </row>
        <row r="443">
          <cell r="A443" t="str">
            <v>M1</v>
          </cell>
          <cell r="B443" t="str">
            <v>A6C</v>
          </cell>
          <cell r="C443" t="str">
            <v>HOS</v>
          </cell>
          <cell r="D443" t="str">
            <v>65624</v>
          </cell>
          <cell r="E443" t="str">
            <v>CAP</v>
          </cell>
          <cell r="F443">
            <v>2</v>
          </cell>
          <cell r="G443" t="str">
            <v>CB520700000T00</v>
          </cell>
          <cell r="H443">
            <v>0.75</v>
          </cell>
          <cell r="I443" t="str">
            <v>--</v>
          </cell>
          <cell r="J443">
            <v>2</v>
          </cell>
          <cell r="K443">
            <v>2</v>
          </cell>
        </row>
        <row r="444">
          <cell r="A444" t="str">
            <v>M1</v>
          </cell>
          <cell r="B444" t="str">
            <v>A6C</v>
          </cell>
          <cell r="C444" t="str">
            <v>HOS</v>
          </cell>
          <cell r="D444" t="str">
            <v>65627</v>
          </cell>
          <cell r="E444" t="str">
            <v>CAP</v>
          </cell>
          <cell r="F444">
            <v>2</v>
          </cell>
          <cell r="G444" t="str">
            <v>CB520700000T00</v>
          </cell>
          <cell r="H444">
            <v>0.75</v>
          </cell>
          <cell r="I444" t="str">
            <v>--</v>
          </cell>
          <cell r="J444">
            <v>1</v>
          </cell>
          <cell r="K444">
            <v>1</v>
          </cell>
        </row>
        <row r="445">
          <cell r="A445" t="str">
            <v>M1</v>
          </cell>
          <cell r="B445" t="str">
            <v>A6C</v>
          </cell>
          <cell r="C445" t="str">
            <v>HOS</v>
          </cell>
          <cell r="D445" t="str">
            <v>65628</v>
          </cell>
          <cell r="E445" t="str">
            <v>CAP</v>
          </cell>
          <cell r="F445">
            <v>2</v>
          </cell>
          <cell r="G445" t="str">
            <v>CB520700000T00</v>
          </cell>
          <cell r="H445">
            <v>0.75</v>
          </cell>
          <cell r="I445" t="str">
            <v>--</v>
          </cell>
          <cell r="J445">
            <v>1</v>
          </cell>
          <cell r="K445">
            <v>1</v>
          </cell>
        </row>
        <row r="446">
          <cell r="A446" t="str">
            <v>M1</v>
          </cell>
          <cell r="B446" t="str">
            <v>A5C</v>
          </cell>
          <cell r="C446" t="str">
            <v>P</v>
          </cell>
          <cell r="D446" t="str">
            <v>22089</v>
          </cell>
          <cell r="E446" t="str">
            <v>CAP</v>
          </cell>
          <cell r="F446">
            <v>2</v>
          </cell>
          <cell r="G446" t="str">
            <v>CB520700000T00</v>
          </cell>
          <cell r="H446">
            <v>0.75</v>
          </cell>
          <cell r="I446" t="str">
            <v>--</v>
          </cell>
          <cell r="J446">
            <v>1</v>
          </cell>
          <cell r="K446">
            <v>1</v>
          </cell>
        </row>
        <row r="447">
          <cell r="A447" t="str">
            <v>M1</v>
          </cell>
          <cell r="B447" t="str">
            <v>A5C</v>
          </cell>
          <cell r="C447" t="str">
            <v>TRIM</v>
          </cell>
          <cell r="D447" t="str">
            <v>C-2201</v>
          </cell>
          <cell r="E447" t="str">
            <v>CAP</v>
          </cell>
          <cell r="F447">
            <v>2</v>
          </cell>
          <cell r="G447" t="str">
            <v>CB520700000T00</v>
          </cell>
          <cell r="H447">
            <v>0.75</v>
          </cell>
          <cell r="I447" t="str">
            <v>--</v>
          </cell>
          <cell r="J447">
            <v>2</v>
          </cell>
          <cell r="K447">
            <v>2</v>
          </cell>
        </row>
        <row r="448">
          <cell r="A448" t="str">
            <v>M1</v>
          </cell>
          <cell r="B448" t="str">
            <v>A6C</v>
          </cell>
          <cell r="C448" t="str">
            <v>TRIM</v>
          </cell>
          <cell r="D448" t="str">
            <v>V-6501</v>
          </cell>
          <cell r="E448" t="str">
            <v>CAP</v>
          </cell>
          <cell r="F448">
            <v>2</v>
          </cell>
          <cell r="G448" t="str">
            <v>CB520700000T00</v>
          </cell>
          <cell r="H448">
            <v>0.75</v>
          </cell>
          <cell r="I448" t="str">
            <v>--</v>
          </cell>
          <cell r="J448">
            <v>2</v>
          </cell>
          <cell r="K448">
            <v>2</v>
          </cell>
        </row>
        <row r="449">
          <cell r="A449" t="str">
            <v>M1</v>
          </cell>
          <cell r="B449" t="str">
            <v>A6C</v>
          </cell>
          <cell r="C449" t="str">
            <v>HOR</v>
          </cell>
          <cell r="D449" t="str">
            <v>65619</v>
          </cell>
          <cell r="E449" t="str">
            <v>CAP</v>
          </cell>
          <cell r="F449">
            <v>2</v>
          </cell>
          <cell r="G449" t="str">
            <v>CB520700000T00</v>
          </cell>
          <cell r="H449">
            <v>0.75</v>
          </cell>
          <cell r="I449" t="str">
            <v>--</v>
          </cell>
          <cell r="J449">
            <v>1</v>
          </cell>
          <cell r="K449">
            <v>1</v>
          </cell>
        </row>
        <row r="450">
          <cell r="A450" t="str">
            <v>M1</v>
          </cell>
          <cell r="B450" t="str">
            <v>A6C</v>
          </cell>
          <cell r="C450" t="str">
            <v>HOR</v>
          </cell>
          <cell r="D450" t="str">
            <v>65611</v>
          </cell>
          <cell r="E450" t="str">
            <v>CAP</v>
          </cell>
          <cell r="F450">
            <v>2</v>
          </cell>
          <cell r="G450" t="str">
            <v>CB520700000T00</v>
          </cell>
          <cell r="H450">
            <v>0.75</v>
          </cell>
          <cell r="I450" t="str">
            <v>--</v>
          </cell>
          <cell r="J450">
            <v>1</v>
          </cell>
          <cell r="K450">
            <v>1</v>
          </cell>
        </row>
        <row r="451">
          <cell r="A451" t="str">
            <v>M1</v>
          </cell>
          <cell r="B451" t="str">
            <v>A6C</v>
          </cell>
          <cell r="C451" t="str">
            <v>HOR</v>
          </cell>
          <cell r="D451" t="str">
            <v>65619</v>
          </cell>
          <cell r="E451" t="str">
            <v>CAP</v>
          </cell>
          <cell r="F451">
            <v>2</v>
          </cell>
          <cell r="G451" t="str">
            <v>CB520700000T00</v>
          </cell>
          <cell r="H451">
            <v>0.75</v>
          </cell>
          <cell r="I451" t="str">
            <v>--</v>
          </cell>
          <cell r="J451">
            <v>4</v>
          </cell>
          <cell r="K451">
            <v>4</v>
          </cell>
        </row>
        <row r="452">
          <cell r="A452" t="str">
            <v>M1</v>
          </cell>
          <cell r="B452" t="str">
            <v>A5C</v>
          </cell>
          <cell r="C452" t="str">
            <v>P</v>
          </cell>
          <cell r="D452" t="str">
            <v>22088</v>
          </cell>
          <cell r="E452" t="str">
            <v>CAP</v>
          </cell>
          <cell r="F452">
            <v>2</v>
          </cell>
          <cell r="G452" t="str">
            <v>CB520700000T00</v>
          </cell>
          <cell r="H452">
            <v>0.75</v>
          </cell>
          <cell r="I452" t="str">
            <v>--</v>
          </cell>
          <cell r="J452">
            <v>1</v>
          </cell>
          <cell r="K452">
            <v>1</v>
          </cell>
        </row>
        <row r="453">
          <cell r="A453" t="str">
            <v>M1</v>
          </cell>
          <cell r="B453" t="str">
            <v>A6C</v>
          </cell>
          <cell r="C453" t="str">
            <v>TRIM</v>
          </cell>
          <cell r="D453" t="str">
            <v>H-6501</v>
          </cell>
          <cell r="E453" t="str">
            <v>CAP</v>
          </cell>
          <cell r="F453">
            <v>2</v>
          </cell>
          <cell r="G453" t="str">
            <v>CB520700000T00</v>
          </cell>
          <cell r="H453">
            <v>0.75</v>
          </cell>
          <cell r="I453" t="str">
            <v>--</v>
          </cell>
          <cell r="J453">
            <v>1</v>
          </cell>
          <cell r="K453">
            <v>1</v>
          </cell>
        </row>
        <row r="454">
          <cell r="A454" t="str">
            <v>M1</v>
          </cell>
          <cell r="B454" t="str">
            <v>A6C</v>
          </cell>
          <cell r="C454" t="str">
            <v>HOS</v>
          </cell>
          <cell r="D454" t="str">
            <v>65629</v>
          </cell>
          <cell r="E454" t="str">
            <v>CPLG</v>
          </cell>
          <cell r="F454">
            <v>2</v>
          </cell>
          <cell r="G454" t="str">
            <v>CB400500000T00</v>
          </cell>
          <cell r="H454">
            <v>0.75</v>
          </cell>
          <cell r="I454" t="str">
            <v>--</v>
          </cell>
          <cell r="J454">
            <v>2</v>
          </cell>
          <cell r="K454">
            <v>2</v>
          </cell>
        </row>
        <row r="455">
          <cell r="A455" t="str">
            <v>M1</v>
          </cell>
          <cell r="B455" t="str">
            <v>A5C</v>
          </cell>
          <cell r="C455" t="str">
            <v>TRIM</v>
          </cell>
          <cell r="D455" t="str">
            <v>V-2208</v>
          </cell>
          <cell r="E455" t="str">
            <v>CPLG</v>
          </cell>
          <cell r="F455">
            <v>2</v>
          </cell>
          <cell r="G455" t="str">
            <v>CB400500000T00</v>
          </cell>
          <cell r="H455">
            <v>0.75</v>
          </cell>
          <cell r="I455" t="str">
            <v>--</v>
          </cell>
          <cell r="J455">
            <v>1</v>
          </cell>
          <cell r="K455">
            <v>1</v>
          </cell>
        </row>
        <row r="456">
          <cell r="A456" t="str">
            <v>M1</v>
          </cell>
          <cell r="B456" t="str">
            <v>A6C</v>
          </cell>
          <cell r="C456" t="str">
            <v>HOR</v>
          </cell>
          <cell r="D456" t="str">
            <v>65622</v>
          </cell>
          <cell r="E456" t="str">
            <v>CPLG</v>
          </cell>
          <cell r="F456">
            <v>2</v>
          </cell>
          <cell r="G456" t="str">
            <v>CB400500000T00</v>
          </cell>
          <cell r="H456">
            <v>0.75</v>
          </cell>
          <cell r="I456" t="str">
            <v>--</v>
          </cell>
          <cell r="J456">
            <v>4</v>
          </cell>
          <cell r="K456">
            <v>4</v>
          </cell>
        </row>
        <row r="457">
          <cell r="A457" t="str">
            <v>M1</v>
          </cell>
          <cell r="B457" t="str">
            <v>A5C</v>
          </cell>
          <cell r="C457" t="str">
            <v>TRIM</v>
          </cell>
          <cell r="D457" t="str">
            <v>V-2209</v>
          </cell>
          <cell r="E457" t="str">
            <v>CPLG</v>
          </cell>
          <cell r="F457">
            <v>2</v>
          </cell>
          <cell r="G457" t="str">
            <v>CB400500000T00</v>
          </cell>
          <cell r="H457">
            <v>0.75</v>
          </cell>
          <cell r="I457" t="str">
            <v>--</v>
          </cell>
          <cell r="J457">
            <v>1</v>
          </cell>
          <cell r="K457">
            <v>1</v>
          </cell>
        </row>
        <row r="458">
          <cell r="A458" t="str">
            <v>M1</v>
          </cell>
          <cell r="B458" t="str">
            <v>A6C</v>
          </cell>
          <cell r="C458" t="str">
            <v>HOS</v>
          </cell>
          <cell r="D458" t="str">
            <v>65624</v>
          </cell>
          <cell r="E458" t="str">
            <v>NPL</v>
          </cell>
          <cell r="F458">
            <v>2</v>
          </cell>
          <cell r="G458" t="str">
            <v>CB132108000TVR</v>
          </cell>
          <cell r="H458">
            <v>0.75</v>
          </cell>
          <cell r="I458" t="str">
            <v>75mm</v>
          </cell>
          <cell r="J458">
            <v>6</v>
          </cell>
          <cell r="K458">
            <v>6</v>
          </cell>
        </row>
        <row r="459">
          <cell r="A459" t="str">
            <v>M1</v>
          </cell>
          <cell r="B459" t="str">
            <v>A6C</v>
          </cell>
          <cell r="C459" t="str">
            <v>HOS</v>
          </cell>
          <cell r="D459" t="str">
            <v>65627</v>
          </cell>
          <cell r="E459" t="str">
            <v>NPL</v>
          </cell>
          <cell r="F459">
            <v>2</v>
          </cell>
          <cell r="G459" t="str">
            <v>CB132108000TVR</v>
          </cell>
          <cell r="H459">
            <v>0.75</v>
          </cell>
          <cell r="I459" t="str">
            <v>75mm</v>
          </cell>
          <cell r="J459">
            <v>1</v>
          </cell>
          <cell r="K459">
            <v>1</v>
          </cell>
        </row>
        <row r="460">
          <cell r="A460" t="str">
            <v>M1</v>
          </cell>
          <cell r="B460" t="str">
            <v>A6C</v>
          </cell>
          <cell r="C460" t="str">
            <v>HOS</v>
          </cell>
          <cell r="D460" t="str">
            <v>65627</v>
          </cell>
          <cell r="E460" t="str">
            <v>NPL</v>
          </cell>
          <cell r="F460">
            <v>2</v>
          </cell>
          <cell r="G460" t="str">
            <v>CB132308000TVR</v>
          </cell>
          <cell r="H460">
            <v>0.75</v>
          </cell>
          <cell r="I460" t="str">
            <v>75mm</v>
          </cell>
          <cell r="J460">
            <v>1</v>
          </cell>
          <cell r="K460">
            <v>1</v>
          </cell>
        </row>
        <row r="461">
          <cell r="A461" t="str">
            <v>M1</v>
          </cell>
          <cell r="B461" t="str">
            <v>A6C</v>
          </cell>
          <cell r="C461" t="str">
            <v>HOS</v>
          </cell>
          <cell r="D461" t="str">
            <v>65628</v>
          </cell>
          <cell r="E461" t="str">
            <v>NPL</v>
          </cell>
          <cell r="F461">
            <v>2</v>
          </cell>
          <cell r="G461" t="str">
            <v>CB132108000TVR</v>
          </cell>
          <cell r="H461">
            <v>0.75</v>
          </cell>
          <cell r="I461" t="str">
            <v>75mm</v>
          </cell>
          <cell r="J461">
            <v>2</v>
          </cell>
          <cell r="K461">
            <v>2</v>
          </cell>
        </row>
        <row r="462">
          <cell r="A462" t="str">
            <v>M1</v>
          </cell>
          <cell r="B462" t="str">
            <v>A4C</v>
          </cell>
          <cell r="C462" t="str">
            <v>P</v>
          </cell>
          <cell r="D462" t="str">
            <v>22008</v>
          </cell>
          <cell r="E462" t="str">
            <v>NPL</v>
          </cell>
          <cell r="F462">
            <v>2</v>
          </cell>
          <cell r="G462" t="str">
            <v>CB132108000TVR</v>
          </cell>
          <cell r="H462">
            <v>0.75</v>
          </cell>
          <cell r="I462" t="str">
            <v>75mm</v>
          </cell>
          <cell r="J462">
            <v>1</v>
          </cell>
          <cell r="K462">
            <v>1</v>
          </cell>
        </row>
        <row r="463">
          <cell r="A463" t="str">
            <v>M1</v>
          </cell>
          <cell r="B463" t="str">
            <v>A4C</v>
          </cell>
          <cell r="C463" t="str">
            <v>P</v>
          </cell>
          <cell r="D463" t="str">
            <v>22008</v>
          </cell>
          <cell r="E463" t="str">
            <v>NPL</v>
          </cell>
          <cell r="F463">
            <v>2</v>
          </cell>
          <cell r="G463" t="str">
            <v>CB132108000TVR</v>
          </cell>
          <cell r="H463">
            <v>0.75</v>
          </cell>
          <cell r="I463" t="str">
            <v>75mm</v>
          </cell>
          <cell r="J463">
            <v>2</v>
          </cell>
          <cell r="K463">
            <v>2</v>
          </cell>
        </row>
        <row r="464">
          <cell r="A464" t="str">
            <v>M1</v>
          </cell>
          <cell r="B464" t="str">
            <v>A4C</v>
          </cell>
          <cell r="C464" t="str">
            <v>P</v>
          </cell>
          <cell r="D464" t="str">
            <v>22031</v>
          </cell>
          <cell r="E464" t="str">
            <v>NPL</v>
          </cell>
          <cell r="F464">
            <v>2</v>
          </cell>
          <cell r="G464" t="str">
            <v>CB132108000TVR</v>
          </cell>
          <cell r="H464">
            <v>0.75</v>
          </cell>
          <cell r="I464" t="str">
            <v>75mm</v>
          </cell>
          <cell r="J464">
            <v>1</v>
          </cell>
          <cell r="K464">
            <v>1</v>
          </cell>
        </row>
        <row r="465">
          <cell r="A465" t="str">
            <v>M1</v>
          </cell>
          <cell r="B465" t="str">
            <v>A6C</v>
          </cell>
          <cell r="C465" t="str">
            <v>HOR</v>
          </cell>
          <cell r="D465" t="str">
            <v>65611</v>
          </cell>
          <cell r="E465" t="str">
            <v>NPL</v>
          </cell>
          <cell r="F465">
            <v>2</v>
          </cell>
          <cell r="G465" t="str">
            <v>CB132108000TVR</v>
          </cell>
          <cell r="H465">
            <v>0.75</v>
          </cell>
          <cell r="I465" t="str">
            <v>75mm</v>
          </cell>
          <cell r="J465">
            <v>2</v>
          </cell>
          <cell r="K465">
            <v>2</v>
          </cell>
        </row>
        <row r="466">
          <cell r="A466" t="str">
            <v>M1</v>
          </cell>
          <cell r="B466" t="str">
            <v>A6C</v>
          </cell>
          <cell r="C466" t="str">
            <v>HOS</v>
          </cell>
          <cell r="D466" t="str">
            <v>65613</v>
          </cell>
          <cell r="E466" t="str">
            <v>NPL</v>
          </cell>
          <cell r="F466">
            <v>2</v>
          </cell>
          <cell r="G466" t="str">
            <v>CB132308000TVR</v>
          </cell>
          <cell r="H466">
            <v>0.75</v>
          </cell>
          <cell r="I466" t="str">
            <v>75mm</v>
          </cell>
          <cell r="J466">
            <v>6</v>
          </cell>
          <cell r="K466">
            <v>6</v>
          </cell>
        </row>
        <row r="467">
          <cell r="A467" t="str">
            <v>M1</v>
          </cell>
          <cell r="B467" t="str">
            <v>A6C</v>
          </cell>
          <cell r="C467" t="str">
            <v>HOR</v>
          </cell>
          <cell r="D467" t="str">
            <v>65619</v>
          </cell>
          <cell r="E467" t="str">
            <v>NPL</v>
          </cell>
          <cell r="F467">
            <v>2</v>
          </cell>
          <cell r="G467" t="str">
            <v>CB132108000TVR</v>
          </cell>
          <cell r="H467">
            <v>0.75</v>
          </cell>
          <cell r="I467" t="str">
            <v>75mm</v>
          </cell>
          <cell r="J467">
            <v>2</v>
          </cell>
          <cell r="K467">
            <v>2</v>
          </cell>
        </row>
        <row r="468">
          <cell r="A468" t="str">
            <v>M1</v>
          </cell>
          <cell r="B468" t="str">
            <v>A6C</v>
          </cell>
          <cell r="C468" t="str">
            <v>HOR</v>
          </cell>
          <cell r="D468" t="str">
            <v>65619</v>
          </cell>
          <cell r="E468" t="str">
            <v>NPL</v>
          </cell>
          <cell r="F468">
            <v>2</v>
          </cell>
          <cell r="G468" t="str">
            <v>CB132108000TVR</v>
          </cell>
          <cell r="H468">
            <v>0.75</v>
          </cell>
          <cell r="I468" t="str">
            <v>75mm</v>
          </cell>
          <cell r="J468">
            <v>10</v>
          </cell>
          <cell r="K468">
            <v>10</v>
          </cell>
        </row>
        <row r="469">
          <cell r="A469" t="str">
            <v>M1</v>
          </cell>
          <cell r="B469" t="str">
            <v>A4C</v>
          </cell>
          <cell r="C469" t="str">
            <v>P</v>
          </cell>
          <cell r="D469" t="str">
            <v>22009</v>
          </cell>
          <cell r="E469" t="str">
            <v>NPL</v>
          </cell>
          <cell r="F469">
            <v>2</v>
          </cell>
          <cell r="G469" t="str">
            <v>CB132108000TVR</v>
          </cell>
          <cell r="H469">
            <v>0.75</v>
          </cell>
          <cell r="I469" t="str">
            <v>75mm</v>
          </cell>
          <cell r="J469">
            <v>2</v>
          </cell>
          <cell r="K469">
            <v>2</v>
          </cell>
        </row>
        <row r="470">
          <cell r="A470" t="str">
            <v>M1</v>
          </cell>
          <cell r="B470" t="str">
            <v>A6C</v>
          </cell>
          <cell r="C470" t="str">
            <v>TRIM</v>
          </cell>
          <cell r="D470" t="str">
            <v>H-6501</v>
          </cell>
          <cell r="E470" t="str">
            <v>NPL</v>
          </cell>
          <cell r="F470">
            <v>2</v>
          </cell>
          <cell r="G470" t="str">
            <v>CB132108000TVR</v>
          </cell>
          <cell r="H470">
            <v>0.75</v>
          </cell>
          <cell r="I470" t="str">
            <v>75mm</v>
          </cell>
          <cell r="J470">
            <v>4</v>
          </cell>
          <cell r="K470">
            <v>4</v>
          </cell>
        </row>
        <row r="471">
          <cell r="A471" t="str">
            <v>M1</v>
          </cell>
          <cell r="B471" t="str">
            <v>A6C</v>
          </cell>
          <cell r="C471" t="str">
            <v>TRIM</v>
          </cell>
          <cell r="D471" t="str">
            <v>V-6501</v>
          </cell>
          <cell r="E471" t="str">
            <v>NPL</v>
          </cell>
          <cell r="F471">
            <v>2</v>
          </cell>
          <cell r="G471" t="str">
            <v>CB132108000TVR</v>
          </cell>
          <cell r="H471">
            <v>0.75</v>
          </cell>
          <cell r="I471" t="str">
            <v>75mm</v>
          </cell>
          <cell r="J471">
            <v>8</v>
          </cell>
          <cell r="K471">
            <v>8</v>
          </cell>
        </row>
        <row r="472">
          <cell r="A472" t="str">
            <v>M1</v>
          </cell>
          <cell r="B472" t="str">
            <v>A4C</v>
          </cell>
          <cell r="C472" t="str">
            <v>P</v>
          </cell>
          <cell r="D472" t="str">
            <v>22008</v>
          </cell>
          <cell r="E472" t="str">
            <v>TEE</v>
          </cell>
          <cell r="F472">
            <v>2</v>
          </cell>
          <cell r="G472" t="str">
            <v>CB400300000T00</v>
          </cell>
          <cell r="H472">
            <v>0.75</v>
          </cell>
          <cell r="I472" t="str">
            <v>--</v>
          </cell>
          <cell r="J472">
            <v>1</v>
          </cell>
          <cell r="K472">
            <v>1</v>
          </cell>
        </row>
        <row r="473">
          <cell r="A473" t="str">
            <v>M1</v>
          </cell>
          <cell r="B473" t="str">
            <v>A6C</v>
          </cell>
          <cell r="C473" t="str">
            <v>TRIM</v>
          </cell>
          <cell r="D473" t="str">
            <v>H-6501</v>
          </cell>
          <cell r="E473" t="str">
            <v>TEE</v>
          </cell>
          <cell r="F473">
            <v>2</v>
          </cell>
          <cell r="G473" t="str">
            <v>CB400300000T00</v>
          </cell>
          <cell r="H473">
            <v>0.75</v>
          </cell>
          <cell r="I473" t="str">
            <v>--</v>
          </cell>
          <cell r="J473">
            <v>2</v>
          </cell>
          <cell r="K473">
            <v>2</v>
          </cell>
        </row>
        <row r="474">
          <cell r="A474" t="str">
            <v>M1</v>
          </cell>
          <cell r="B474" t="str">
            <v>A6C</v>
          </cell>
          <cell r="C474" t="str">
            <v>HOR</v>
          </cell>
          <cell r="D474" t="str">
            <v>65620</v>
          </cell>
          <cell r="E474" t="str">
            <v>TEE</v>
          </cell>
          <cell r="F474">
            <v>2</v>
          </cell>
          <cell r="G474" t="str">
            <v>CB400300000T00</v>
          </cell>
          <cell r="H474">
            <v>0.75</v>
          </cell>
          <cell r="I474" t="str">
            <v>--</v>
          </cell>
          <cell r="J474">
            <v>1</v>
          </cell>
          <cell r="K474">
            <v>1</v>
          </cell>
        </row>
        <row r="475">
          <cell r="A475" t="str">
            <v>M1</v>
          </cell>
          <cell r="B475" t="str">
            <v>B1C</v>
          </cell>
          <cell r="C475" t="str">
            <v>P</v>
          </cell>
          <cell r="D475" t="str">
            <v>22029</v>
          </cell>
          <cell r="E475" t="str">
            <v>90 ELL</v>
          </cell>
          <cell r="F475">
            <v>2</v>
          </cell>
          <cell r="G475" t="str">
            <v>CB400100001000</v>
          </cell>
          <cell r="H475">
            <v>0.75</v>
          </cell>
          <cell r="I475" t="str">
            <v>--</v>
          </cell>
          <cell r="J475">
            <v>2</v>
          </cell>
          <cell r="K475">
            <v>2</v>
          </cell>
        </row>
        <row r="476">
          <cell r="A476" t="str">
            <v>M1</v>
          </cell>
          <cell r="B476" t="str">
            <v>B1C</v>
          </cell>
          <cell r="C476" t="str">
            <v>P</v>
          </cell>
          <cell r="D476" t="str">
            <v>22027</v>
          </cell>
          <cell r="E476" t="str">
            <v>90 ELL</v>
          </cell>
          <cell r="F476">
            <v>2</v>
          </cell>
          <cell r="G476" t="str">
            <v>CB400100001000</v>
          </cell>
          <cell r="H476">
            <v>0.75</v>
          </cell>
          <cell r="I476" t="str">
            <v>--</v>
          </cell>
          <cell r="J476">
            <v>1</v>
          </cell>
          <cell r="K476">
            <v>1</v>
          </cell>
        </row>
        <row r="477">
          <cell r="A477" t="str">
            <v>M1</v>
          </cell>
          <cell r="B477" t="str">
            <v>B1X</v>
          </cell>
          <cell r="C477" t="str">
            <v>P</v>
          </cell>
          <cell r="D477" t="str">
            <v>22042</v>
          </cell>
          <cell r="E477" t="str">
            <v>90 ELL</v>
          </cell>
          <cell r="F477">
            <v>2</v>
          </cell>
          <cell r="G477" t="str">
            <v>CB400100001000</v>
          </cell>
          <cell r="H477">
            <v>0.75</v>
          </cell>
          <cell r="I477" t="str">
            <v>--</v>
          </cell>
          <cell r="J477">
            <v>2</v>
          </cell>
          <cell r="K477">
            <v>2</v>
          </cell>
        </row>
        <row r="478">
          <cell r="A478" t="str">
            <v>M1</v>
          </cell>
          <cell r="B478" t="str">
            <v>B1C</v>
          </cell>
          <cell r="C478" t="str">
            <v>P</v>
          </cell>
          <cell r="D478" t="str">
            <v>22027</v>
          </cell>
          <cell r="E478" t="str">
            <v>NPL</v>
          </cell>
          <cell r="F478">
            <v>2</v>
          </cell>
          <cell r="G478" t="str">
            <v>CB132308000TVR</v>
          </cell>
          <cell r="H478">
            <v>0.75</v>
          </cell>
          <cell r="I478" t="str">
            <v>75mm</v>
          </cell>
          <cell r="J478">
            <v>1</v>
          </cell>
          <cell r="K478">
            <v>1</v>
          </cell>
        </row>
        <row r="479">
          <cell r="A479" t="str">
            <v>M1</v>
          </cell>
          <cell r="B479" t="str">
            <v>A6C</v>
          </cell>
          <cell r="C479" t="str">
            <v>HOS</v>
          </cell>
          <cell r="D479" t="str">
            <v>65613</v>
          </cell>
          <cell r="E479" t="str">
            <v>90 ELL</v>
          </cell>
          <cell r="F479">
            <v>2</v>
          </cell>
          <cell r="G479" t="str">
            <v>CB400100001000</v>
          </cell>
          <cell r="H479">
            <v>1</v>
          </cell>
          <cell r="I479" t="str">
            <v>--</v>
          </cell>
          <cell r="J479">
            <v>8</v>
          </cell>
          <cell r="K479">
            <v>8</v>
          </cell>
        </row>
        <row r="480">
          <cell r="A480" t="str">
            <v>M1</v>
          </cell>
          <cell r="B480" t="str">
            <v>A5C</v>
          </cell>
          <cell r="C480" t="str">
            <v>P</v>
          </cell>
          <cell r="D480" t="str">
            <v>22103</v>
          </cell>
          <cell r="E480" t="str">
            <v>90 ELL</v>
          </cell>
          <cell r="F480">
            <v>2</v>
          </cell>
          <cell r="G480" t="str">
            <v>CB400100001000</v>
          </cell>
          <cell r="H480">
            <v>1</v>
          </cell>
          <cell r="I480" t="str">
            <v>--</v>
          </cell>
          <cell r="J480">
            <v>6</v>
          </cell>
          <cell r="K480">
            <v>6</v>
          </cell>
        </row>
        <row r="481">
          <cell r="A481" t="str">
            <v>M1</v>
          </cell>
          <cell r="B481" t="str">
            <v>A5C</v>
          </cell>
          <cell r="C481" t="str">
            <v>P</v>
          </cell>
          <cell r="D481" t="str">
            <v>22106</v>
          </cell>
          <cell r="E481" t="str">
            <v>90 ELL</v>
          </cell>
          <cell r="F481">
            <v>2</v>
          </cell>
          <cell r="G481" t="str">
            <v>CB400100000100</v>
          </cell>
          <cell r="H481">
            <v>1</v>
          </cell>
          <cell r="I481" t="str">
            <v>--</v>
          </cell>
          <cell r="J481">
            <v>5</v>
          </cell>
          <cell r="K481">
            <v>5</v>
          </cell>
        </row>
        <row r="482">
          <cell r="A482" t="str">
            <v>M1</v>
          </cell>
          <cell r="B482" t="str">
            <v>A6C</v>
          </cell>
          <cell r="C482" t="str">
            <v>HOR</v>
          </cell>
          <cell r="D482" t="str">
            <v>65612</v>
          </cell>
          <cell r="E482" t="str">
            <v>90 ELL</v>
          </cell>
          <cell r="F482">
            <v>2</v>
          </cell>
          <cell r="G482" t="str">
            <v>CB400100000100</v>
          </cell>
          <cell r="H482">
            <v>1</v>
          </cell>
          <cell r="I482" t="str">
            <v>--</v>
          </cell>
          <cell r="J482">
            <v>5</v>
          </cell>
          <cell r="K482">
            <v>5</v>
          </cell>
        </row>
        <row r="483">
          <cell r="A483" t="str">
            <v>M1</v>
          </cell>
          <cell r="B483" t="str">
            <v>A6C</v>
          </cell>
          <cell r="C483" t="str">
            <v>HOR</v>
          </cell>
          <cell r="D483" t="str">
            <v>65622</v>
          </cell>
          <cell r="E483" t="str">
            <v>90 ELL</v>
          </cell>
          <cell r="F483">
            <v>2</v>
          </cell>
          <cell r="G483" t="str">
            <v>CB400100000100</v>
          </cell>
          <cell r="H483">
            <v>1</v>
          </cell>
          <cell r="I483" t="str">
            <v>--</v>
          </cell>
          <cell r="J483">
            <v>4</v>
          </cell>
          <cell r="K483">
            <v>4</v>
          </cell>
        </row>
        <row r="484">
          <cell r="A484" t="str">
            <v>M1</v>
          </cell>
          <cell r="B484" t="str">
            <v>A5C</v>
          </cell>
          <cell r="C484" t="str">
            <v>P</v>
          </cell>
          <cell r="D484" t="str">
            <v>22106</v>
          </cell>
          <cell r="E484" t="str">
            <v>R TEE</v>
          </cell>
          <cell r="F484">
            <v>2</v>
          </cell>
          <cell r="G484" t="str">
            <v>CB40040000010H</v>
          </cell>
          <cell r="H484">
            <v>1</v>
          </cell>
          <cell r="I484">
            <v>0.5</v>
          </cell>
          <cell r="J484">
            <v>4</v>
          </cell>
          <cell r="K484">
            <v>4</v>
          </cell>
        </row>
        <row r="485">
          <cell r="A485" t="str">
            <v>M1</v>
          </cell>
          <cell r="B485" t="str">
            <v>A6C</v>
          </cell>
          <cell r="C485" t="str">
            <v>HOR</v>
          </cell>
          <cell r="D485" t="str">
            <v>65612</v>
          </cell>
          <cell r="E485" t="str">
            <v>R TEE</v>
          </cell>
          <cell r="F485">
            <v>2</v>
          </cell>
          <cell r="G485" t="str">
            <v>CB40040000010T</v>
          </cell>
          <cell r="H485">
            <v>1</v>
          </cell>
          <cell r="I485">
            <v>0.75</v>
          </cell>
          <cell r="J485">
            <v>4</v>
          </cell>
          <cell r="K485">
            <v>4</v>
          </cell>
        </row>
        <row r="486">
          <cell r="A486" t="str">
            <v>M1</v>
          </cell>
          <cell r="B486" t="str">
            <v>A4C</v>
          </cell>
          <cell r="C486" t="str">
            <v>N</v>
          </cell>
          <cell r="D486" t="str">
            <v>22661</v>
          </cell>
          <cell r="E486" t="str">
            <v>90 ELL</v>
          </cell>
          <cell r="F486">
            <v>2</v>
          </cell>
          <cell r="G486" t="str">
            <v>CB400100000100</v>
          </cell>
          <cell r="H486">
            <v>1</v>
          </cell>
          <cell r="I486" t="str">
            <v>--</v>
          </cell>
          <cell r="J486">
            <v>3</v>
          </cell>
          <cell r="K486">
            <v>3</v>
          </cell>
        </row>
        <row r="487">
          <cell r="A487" t="str">
            <v>M1</v>
          </cell>
          <cell r="B487" t="str">
            <v>A5C</v>
          </cell>
          <cell r="C487" t="str">
            <v>P</v>
          </cell>
          <cell r="D487" t="str">
            <v>22105</v>
          </cell>
          <cell r="E487" t="str">
            <v>90 ELL</v>
          </cell>
          <cell r="F487">
            <v>2</v>
          </cell>
          <cell r="G487" t="str">
            <v>CB400100001000</v>
          </cell>
          <cell r="H487">
            <v>1</v>
          </cell>
          <cell r="I487" t="str">
            <v>--</v>
          </cell>
          <cell r="J487">
            <v>4</v>
          </cell>
          <cell r="K487">
            <v>4</v>
          </cell>
        </row>
        <row r="488">
          <cell r="A488" t="str">
            <v>M1</v>
          </cell>
          <cell r="B488" t="str">
            <v>A5C</v>
          </cell>
          <cell r="C488" t="str">
            <v>P</v>
          </cell>
          <cell r="D488" t="str">
            <v>22157</v>
          </cell>
          <cell r="E488" t="str">
            <v>R TEE</v>
          </cell>
          <cell r="F488">
            <v>2</v>
          </cell>
          <cell r="G488" t="str">
            <v>CB400400001H01</v>
          </cell>
          <cell r="H488">
            <v>1</v>
          </cell>
          <cell r="I488" t="str">
            <v>-</v>
          </cell>
          <cell r="J488">
            <v>5</v>
          </cell>
          <cell r="K488">
            <v>5</v>
          </cell>
        </row>
        <row r="489">
          <cell r="A489" t="str">
            <v>M1</v>
          </cell>
          <cell r="B489" t="str">
            <v>B2C</v>
          </cell>
          <cell r="C489" t="str">
            <v>SH</v>
          </cell>
          <cell r="D489" t="str">
            <v>22614</v>
          </cell>
          <cell r="E489" t="str">
            <v>90 ELL</v>
          </cell>
          <cell r="F489">
            <v>2</v>
          </cell>
          <cell r="G489" t="str">
            <v>CB400100001000</v>
          </cell>
          <cell r="H489">
            <v>1</v>
          </cell>
          <cell r="I489" t="str">
            <v>--</v>
          </cell>
          <cell r="J489">
            <v>2</v>
          </cell>
          <cell r="K489">
            <v>2</v>
          </cell>
        </row>
        <row r="490">
          <cell r="A490" t="str">
            <v>M1</v>
          </cell>
          <cell r="B490" t="str">
            <v>B2C</v>
          </cell>
          <cell r="C490" t="str">
            <v>SH</v>
          </cell>
          <cell r="D490" t="str">
            <v>22611</v>
          </cell>
          <cell r="E490" t="str">
            <v>CPLG</v>
          </cell>
          <cell r="F490">
            <v>2</v>
          </cell>
          <cell r="G490" t="str">
            <v>CB400500000100</v>
          </cell>
          <cell r="H490">
            <v>1</v>
          </cell>
          <cell r="I490" t="str">
            <v>--</v>
          </cell>
          <cell r="J490">
            <v>2</v>
          </cell>
          <cell r="K490">
            <v>2</v>
          </cell>
        </row>
        <row r="491">
          <cell r="A491" t="str">
            <v>M1</v>
          </cell>
          <cell r="B491" t="str">
            <v>B2C</v>
          </cell>
          <cell r="C491" t="str">
            <v>TRIM</v>
          </cell>
          <cell r="D491" t="str">
            <v>E-2204</v>
          </cell>
          <cell r="E491" t="str">
            <v>NPL</v>
          </cell>
          <cell r="F491">
            <v>2</v>
          </cell>
          <cell r="G491" t="str">
            <v>CB1321080001VR</v>
          </cell>
          <cell r="H491">
            <v>1</v>
          </cell>
          <cell r="I491" t="str">
            <v>75mm</v>
          </cell>
          <cell r="J491">
            <v>2</v>
          </cell>
          <cell r="K491">
            <v>2</v>
          </cell>
        </row>
        <row r="492">
          <cell r="A492" t="str">
            <v>M1</v>
          </cell>
          <cell r="B492" t="str">
            <v>A5C</v>
          </cell>
          <cell r="C492" t="str">
            <v>P</v>
          </cell>
          <cell r="D492" t="str">
            <v>22063</v>
          </cell>
          <cell r="E492" t="str">
            <v>90 ELL</v>
          </cell>
          <cell r="F492">
            <v>2</v>
          </cell>
          <cell r="G492" t="str">
            <v>CB400100001000</v>
          </cell>
          <cell r="H492">
            <v>1</v>
          </cell>
          <cell r="I492" t="str">
            <v>--</v>
          </cell>
          <cell r="J492">
            <v>2</v>
          </cell>
          <cell r="K492">
            <v>2</v>
          </cell>
        </row>
        <row r="493">
          <cell r="A493" t="str">
            <v>M1</v>
          </cell>
          <cell r="B493" t="str">
            <v>A5C</v>
          </cell>
          <cell r="C493" t="str">
            <v>P</v>
          </cell>
          <cell r="D493" t="str">
            <v>99002</v>
          </cell>
          <cell r="E493" t="str">
            <v>90 ELL</v>
          </cell>
          <cell r="F493">
            <v>2</v>
          </cell>
          <cell r="G493" t="str">
            <v>CB400100000100</v>
          </cell>
          <cell r="H493">
            <v>1</v>
          </cell>
          <cell r="I493" t="str">
            <v>--</v>
          </cell>
          <cell r="J493">
            <v>2</v>
          </cell>
          <cell r="K493">
            <v>2</v>
          </cell>
        </row>
        <row r="494">
          <cell r="A494" t="str">
            <v>M1</v>
          </cell>
          <cell r="B494" t="str">
            <v>A5C</v>
          </cell>
          <cell r="C494" t="str">
            <v>P</v>
          </cell>
          <cell r="D494" t="str">
            <v>22106</v>
          </cell>
          <cell r="E494" t="str">
            <v>R TEE</v>
          </cell>
          <cell r="F494">
            <v>2</v>
          </cell>
          <cell r="G494" t="str">
            <v>CB40040000010T</v>
          </cell>
          <cell r="H494">
            <v>1</v>
          </cell>
          <cell r="I494">
            <v>0.75</v>
          </cell>
          <cell r="J494">
            <v>2</v>
          </cell>
          <cell r="K494">
            <v>2</v>
          </cell>
        </row>
        <row r="495">
          <cell r="A495" t="str">
            <v>M1</v>
          </cell>
          <cell r="B495" t="str">
            <v>A6C</v>
          </cell>
          <cell r="C495" t="str">
            <v>HOS</v>
          </cell>
          <cell r="D495" t="str">
            <v>65625</v>
          </cell>
          <cell r="E495" t="str">
            <v>NPL</v>
          </cell>
          <cell r="F495">
            <v>2</v>
          </cell>
          <cell r="G495" t="str">
            <v>CB1321080001VR</v>
          </cell>
          <cell r="H495">
            <v>1</v>
          </cell>
          <cell r="I495" t="str">
            <v>75mm</v>
          </cell>
          <cell r="J495">
            <v>2</v>
          </cell>
          <cell r="K495">
            <v>2</v>
          </cell>
        </row>
        <row r="496">
          <cell r="A496" t="str">
            <v>M1</v>
          </cell>
          <cell r="B496" t="str">
            <v>A6C</v>
          </cell>
          <cell r="C496" t="str">
            <v>HOS</v>
          </cell>
          <cell r="D496" t="str">
            <v>65613</v>
          </cell>
          <cell r="E496" t="str">
            <v>NPL</v>
          </cell>
          <cell r="F496">
            <v>2</v>
          </cell>
          <cell r="G496" t="str">
            <v>CB1323080001VR</v>
          </cell>
          <cell r="H496">
            <v>1</v>
          </cell>
          <cell r="I496" t="str">
            <v>75mm</v>
          </cell>
          <cell r="J496">
            <v>2</v>
          </cell>
          <cell r="K496">
            <v>2</v>
          </cell>
        </row>
        <row r="497">
          <cell r="A497" t="str">
            <v>M1</v>
          </cell>
          <cell r="B497" t="str">
            <v>A6C</v>
          </cell>
          <cell r="C497" t="str">
            <v>HOS</v>
          </cell>
          <cell r="D497" t="str">
            <v>65621</v>
          </cell>
          <cell r="E497" t="str">
            <v>TEE</v>
          </cell>
          <cell r="F497">
            <v>2</v>
          </cell>
          <cell r="G497" t="str">
            <v>CB400300000100</v>
          </cell>
          <cell r="H497">
            <v>1</v>
          </cell>
          <cell r="I497" t="str">
            <v>--</v>
          </cell>
          <cell r="J497">
            <v>1</v>
          </cell>
          <cell r="K497">
            <v>1</v>
          </cell>
        </row>
        <row r="498">
          <cell r="A498" t="str">
            <v>M1</v>
          </cell>
          <cell r="B498" t="str">
            <v>A6C</v>
          </cell>
          <cell r="C498" t="str">
            <v>HOR</v>
          </cell>
          <cell r="D498" t="str">
            <v>65612</v>
          </cell>
          <cell r="E498" t="str">
            <v>TEE</v>
          </cell>
          <cell r="F498">
            <v>2</v>
          </cell>
          <cell r="G498" t="str">
            <v>CB400300000100</v>
          </cell>
          <cell r="H498">
            <v>1</v>
          </cell>
          <cell r="I498" t="str">
            <v>--</v>
          </cell>
          <cell r="J498">
            <v>1</v>
          </cell>
          <cell r="K498">
            <v>1</v>
          </cell>
        </row>
        <row r="499">
          <cell r="A499" t="str">
            <v>M1</v>
          </cell>
          <cell r="B499" t="str">
            <v>A6C</v>
          </cell>
          <cell r="C499" t="str">
            <v>HOR</v>
          </cell>
          <cell r="D499" t="str">
            <v>65622</v>
          </cell>
          <cell r="E499" t="str">
            <v>TEE</v>
          </cell>
          <cell r="F499">
            <v>2</v>
          </cell>
          <cell r="G499" t="str">
            <v>CB400300000100</v>
          </cell>
          <cell r="H499">
            <v>1</v>
          </cell>
          <cell r="I499" t="str">
            <v>--</v>
          </cell>
          <cell r="J499">
            <v>1</v>
          </cell>
          <cell r="K499">
            <v>1</v>
          </cell>
        </row>
        <row r="500">
          <cell r="A500" t="str">
            <v>M1</v>
          </cell>
          <cell r="B500" t="str">
            <v>A5C</v>
          </cell>
          <cell r="C500" t="str">
            <v>N</v>
          </cell>
          <cell r="D500" t="str">
            <v>22679</v>
          </cell>
          <cell r="E500" t="str">
            <v>90 ELL</v>
          </cell>
          <cell r="F500">
            <v>2</v>
          </cell>
          <cell r="G500" t="str">
            <v>CB400100001000</v>
          </cell>
          <cell r="H500">
            <v>1</v>
          </cell>
          <cell r="I500" t="str">
            <v>--</v>
          </cell>
          <cell r="J500">
            <v>2</v>
          </cell>
          <cell r="K500">
            <v>2</v>
          </cell>
        </row>
        <row r="501">
          <cell r="A501" t="str">
            <v>M1</v>
          </cell>
          <cell r="B501" t="str">
            <v>A5C</v>
          </cell>
          <cell r="C501" t="str">
            <v>N</v>
          </cell>
          <cell r="D501" t="str">
            <v>25614</v>
          </cell>
          <cell r="E501" t="str">
            <v>90 ELL</v>
          </cell>
          <cell r="F501">
            <v>2</v>
          </cell>
          <cell r="G501" t="str">
            <v>CB400100000100</v>
          </cell>
          <cell r="H501">
            <v>1</v>
          </cell>
          <cell r="I501" t="str">
            <v>--</v>
          </cell>
          <cell r="J501">
            <v>2</v>
          </cell>
          <cell r="K501">
            <v>2</v>
          </cell>
        </row>
        <row r="502">
          <cell r="A502" t="str">
            <v>M1</v>
          </cell>
          <cell r="B502" t="str">
            <v>A5C</v>
          </cell>
          <cell r="C502" t="str">
            <v>N</v>
          </cell>
          <cell r="D502" t="str">
            <v>22670</v>
          </cell>
          <cell r="E502" t="str">
            <v>C SWG</v>
          </cell>
          <cell r="F502">
            <v>2</v>
          </cell>
          <cell r="G502" t="str">
            <v>CB16110808010H</v>
          </cell>
          <cell r="H502">
            <v>1</v>
          </cell>
          <cell r="I502">
            <v>0.5</v>
          </cell>
          <cell r="J502">
            <v>4</v>
          </cell>
          <cell r="K502">
            <v>4</v>
          </cell>
        </row>
        <row r="503">
          <cell r="A503" t="str">
            <v>M1</v>
          </cell>
          <cell r="B503" t="str">
            <v>A5C</v>
          </cell>
          <cell r="C503" t="str">
            <v>P</v>
          </cell>
          <cell r="D503" t="str">
            <v>22066</v>
          </cell>
          <cell r="E503" t="str">
            <v>CPLG</v>
          </cell>
          <cell r="F503">
            <v>2</v>
          </cell>
          <cell r="G503" t="str">
            <v>CB400500000100</v>
          </cell>
          <cell r="H503">
            <v>1</v>
          </cell>
          <cell r="I503" t="str">
            <v>--</v>
          </cell>
          <cell r="J503">
            <v>2</v>
          </cell>
          <cell r="K503">
            <v>2</v>
          </cell>
        </row>
        <row r="504">
          <cell r="A504" t="str">
            <v>M1</v>
          </cell>
          <cell r="B504" t="str">
            <v>A5C</v>
          </cell>
          <cell r="C504" t="str">
            <v>P</v>
          </cell>
          <cell r="D504" t="str">
            <v>99002</v>
          </cell>
          <cell r="E504" t="str">
            <v>CPLG</v>
          </cell>
          <cell r="F504">
            <v>2</v>
          </cell>
          <cell r="G504" t="str">
            <v>CB400500000100</v>
          </cell>
          <cell r="H504">
            <v>1</v>
          </cell>
          <cell r="I504" t="str">
            <v>--</v>
          </cell>
          <cell r="J504">
            <v>2</v>
          </cell>
          <cell r="K504">
            <v>2</v>
          </cell>
        </row>
        <row r="505">
          <cell r="A505" t="str">
            <v>M1</v>
          </cell>
          <cell r="B505" t="str">
            <v>A5C</v>
          </cell>
          <cell r="C505" t="str">
            <v>TRIM</v>
          </cell>
          <cell r="D505" t="str">
            <v>V-2206</v>
          </cell>
          <cell r="E505" t="str">
            <v>NPL</v>
          </cell>
          <cell r="F505">
            <v>2</v>
          </cell>
          <cell r="G505" t="str">
            <v>CB1321080001VR</v>
          </cell>
          <cell r="H505">
            <v>1</v>
          </cell>
          <cell r="I505" t="str">
            <v>75mm</v>
          </cell>
          <cell r="J505">
            <v>2</v>
          </cell>
          <cell r="K505">
            <v>2</v>
          </cell>
        </row>
        <row r="506">
          <cell r="A506" t="str">
            <v>M1</v>
          </cell>
          <cell r="B506" t="str">
            <v>A6C</v>
          </cell>
          <cell r="C506" t="str">
            <v>HOS</v>
          </cell>
          <cell r="D506" t="str">
            <v>65624</v>
          </cell>
          <cell r="E506" t="str">
            <v>NPL</v>
          </cell>
          <cell r="F506">
            <v>2</v>
          </cell>
          <cell r="G506" t="str">
            <v>CB1321080001VR</v>
          </cell>
          <cell r="H506">
            <v>1</v>
          </cell>
          <cell r="I506" t="str">
            <v>75mm</v>
          </cell>
          <cell r="J506">
            <v>2</v>
          </cell>
          <cell r="K506">
            <v>2</v>
          </cell>
        </row>
        <row r="507">
          <cell r="A507" t="str">
            <v>M1</v>
          </cell>
          <cell r="B507" t="str">
            <v>A4C</v>
          </cell>
          <cell r="C507" t="str">
            <v>N</v>
          </cell>
          <cell r="D507" t="str">
            <v>22661</v>
          </cell>
          <cell r="E507" t="str">
            <v>TEE</v>
          </cell>
          <cell r="F507">
            <v>2</v>
          </cell>
          <cell r="G507" t="str">
            <v>CB400300000100</v>
          </cell>
          <cell r="H507">
            <v>1</v>
          </cell>
          <cell r="I507" t="str">
            <v>--</v>
          </cell>
          <cell r="J507">
            <v>1</v>
          </cell>
          <cell r="K507">
            <v>1</v>
          </cell>
        </row>
        <row r="508">
          <cell r="A508" t="str">
            <v>M1</v>
          </cell>
          <cell r="B508" t="str">
            <v>A5C</v>
          </cell>
          <cell r="C508" t="str">
            <v>N</v>
          </cell>
          <cell r="D508" t="str">
            <v>22684</v>
          </cell>
          <cell r="E508" t="str">
            <v>90 ELL</v>
          </cell>
          <cell r="F508">
            <v>2</v>
          </cell>
          <cell r="G508" t="str">
            <v>CB400100001000</v>
          </cell>
          <cell r="H508">
            <v>1</v>
          </cell>
          <cell r="I508" t="str">
            <v>--</v>
          </cell>
          <cell r="J508">
            <v>1</v>
          </cell>
          <cell r="K508">
            <v>1</v>
          </cell>
        </row>
        <row r="509">
          <cell r="A509" t="str">
            <v>M1</v>
          </cell>
          <cell r="B509" t="str">
            <v>A5C</v>
          </cell>
          <cell r="C509" t="str">
            <v>N</v>
          </cell>
          <cell r="D509" t="str">
            <v>25611</v>
          </cell>
          <cell r="E509" t="str">
            <v>90 ELL</v>
          </cell>
          <cell r="F509">
            <v>2</v>
          </cell>
          <cell r="G509" t="str">
            <v>CB400100001000</v>
          </cell>
          <cell r="H509">
            <v>1</v>
          </cell>
          <cell r="I509" t="str">
            <v>--</v>
          </cell>
          <cell r="J509">
            <v>1</v>
          </cell>
          <cell r="K509">
            <v>1</v>
          </cell>
        </row>
        <row r="510">
          <cell r="A510" t="str">
            <v>M1</v>
          </cell>
          <cell r="B510" t="str">
            <v>A5C</v>
          </cell>
          <cell r="C510" t="str">
            <v>N</v>
          </cell>
          <cell r="D510" t="str">
            <v>22682</v>
          </cell>
          <cell r="E510" t="str">
            <v>90 ELL</v>
          </cell>
          <cell r="F510">
            <v>2</v>
          </cell>
          <cell r="G510" t="str">
            <v>CB400100000100</v>
          </cell>
          <cell r="H510">
            <v>1</v>
          </cell>
          <cell r="I510" t="str">
            <v>--</v>
          </cell>
          <cell r="J510">
            <v>1</v>
          </cell>
          <cell r="K510">
            <v>1</v>
          </cell>
        </row>
        <row r="511">
          <cell r="A511" t="str">
            <v>M1</v>
          </cell>
          <cell r="B511" t="str">
            <v>A5C</v>
          </cell>
          <cell r="C511" t="str">
            <v>N</v>
          </cell>
          <cell r="D511" t="str">
            <v>22683</v>
          </cell>
          <cell r="E511" t="str">
            <v>90 ELL</v>
          </cell>
          <cell r="F511">
            <v>2</v>
          </cell>
          <cell r="G511" t="str">
            <v>CB400100000100</v>
          </cell>
          <cell r="H511">
            <v>1</v>
          </cell>
          <cell r="I511" t="str">
            <v>--</v>
          </cell>
          <cell r="J511">
            <v>1</v>
          </cell>
          <cell r="K511">
            <v>1</v>
          </cell>
        </row>
        <row r="512">
          <cell r="A512" t="str">
            <v>M1</v>
          </cell>
          <cell r="B512" t="str">
            <v>A5C</v>
          </cell>
          <cell r="C512" t="str">
            <v>N</v>
          </cell>
          <cell r="D512" t="str">
            <v>22670</v>
          </cell>
          <cell r="E512" t="str">
            <v>CPLG</v>
          </cell>
          <cell r="F512">
            <v>2</v>
          </cell>
          <cell r="G512" t="str">
            <v>CB400500000100</v>
          </cell>
          <cell r="H512">
            <v>1</v>
          </cell>
          <cell r="I512" t="str">
            <v>--</v>
          </cell>
          <cell r="J512">
            <v>1</v>
          </cell>
          <cell r="K512">
            <v>1</v>
          </cell>
        </row>
        <row r="513">
          <cell r="A513" t="str">
            <v>M1</v>
          </cell>
          <cell r="B513" t="str">
            <v>A5C</v>
          </cell>
          <cell r="C513" t="str">
            <v>P</v>
          </cell>
          <cell r="D513" t="str">
            <v>22157</v>
          </cell>
          <cell r="E513" t="str">
            <v>CPLG</v>
          </cell>
          <cell r="F513">
            <v>2</v>
          </cell>
          <cell r="G513" t="str">
            <v>CB400500000100</v>
          </cell>
          <cell r="H513">
            <v>1</v>
          </cell>
          <cell r="I513" t="str">
            <v>--</v>
          </cell>
          <cell r="J513">
            <v>1</v>
          </cell>
          <cell r="K513">
            <v>1</v>
          </cell>
        </row>
        <row r="514">
          <cell r="A514" t="str">
            <v>M1</v>
          </cell>
          <cell r="B514" t="str">
            <v>A5C</v>
          </cell>
          <cell r="C514" t="str">
            <v>TRIM</v>
          </cell>
          <cell r="D514" t="str">
            <v>V-2206</v>
          </cell>
          <cell r="E514" t="str">
            <v>R TEE</v>
          </cell>
          <cell r="F514">
            <v>2</v>
          </cell>
          <cell r="G514" t="str">
            <v>CB40040000010T</v>
          </cell>
          <cell r="H514">
            <v>1</v>
          </cell>
          <cell r="I514">
            <v>0.75</v>
          </cell>
          <cell r="J514">
            <v>1</v>
          </cell>
          <cell r="K514">
            <v>1</v>
          </cell>
        </row>
        <row r="515">
          <cell r="A515" t="str">
            <v>M1</v>
          </cell>
          <cell r="B515" t="str">
            <v>A5C</v>
          </cell>
          <cell r="C515" t="str">
            <v>P</v>
          </cell>
          <cell r="D515" t="str">
            <v>22040</v>
          </cell>
          <cell r="E515" t="str">
            <v>90 ELL</v>
          </cell>
          <cell r="F515">
            <v>2</v>
          </cell>
          <cell r="G515" t="str">
            <v>CB400100001000</v>
          </cell>
          <cell r="H515">
            <v>1</v>
          </cell>
          <cell r="I515" t="str">
            <v>--</v>
          </cell>
          <cell r="J515">
            <v>1</v>
          </cell>
          <cell r="K515">
            <v>1</v>
          </cell>
        </row>
        <row r="516">
          <cell r="A516" t="str">
            <v>M1</v>
          </cell>
          <cell r="B516" t="str">
            <v>A5C</v>
          </cell>
          <cell r="C516" t="str">
            <v>P</v>
          </cell>
          <cell r="D516" t="str">
            <v>22039</v>
          </cell>
          <cell r="E516" t="str">
            <v>CPLG</v>
          </cell>
          <cell r="F516">
            <v>2</v>
          </cell>
          <cell r="G516" t="str">
            <v>CB400500000100</v>
          </cell>
          <cell r="H516">
            <v>1</v>
          </cell>
          <cell r="I516" t="str">
            <v>--</v>
          </cell>
          <cell r="J516">
            <v>1</v>
          </cell>
          <cell r="K516">
            <v>1</v>
          </cell>
        </row>
        <row r="517">
          <cell r="A517" t="str">
            <v>M1</v>
          </cell>
          <cell r="B517" t="str">
            <v>A5C</v>
          </cell>
          <cell r="C517" t="str">
            <v>P</v>
          </cell>
          <cell r="D517" t="str">
            <v>22111</v>
          </cell>
          <cell r="E517" t="str">
            <v>CPLG</v>
          </cell>
          <cell r="F517">
            <v>2</v>
          </cell>
          <cell r="G517" t="str">
            <v>CB400500000100</v>
          </cell>
          <cell r="H517">
            <v>1</v>
          </cell>
          <cell r="I517" t="str">
            <v>--</v>
          </cell>
          <cell r="J517">
            <v>1</v>
          </cell>
          <cell r="K517">
            <v>1</v>
          </cell>
        </row>
        <row r="518">
          <cell r="A518" t="str">
            <v>M1</v>
          </cell>
          <cell r="B518" t="str">
            <v>A5C</v>
          </cell>
          <cell r="C518" t="str">
            <v>TRIM</v>
          </cell>
          <cell r="D518" t="str">
            <v>V-2208</v>
          </cell>
          <cell r="E518" t="str">
            <v>NPL</v>
          </cell>
          <cell r="F518">
            <v>2</v>
          </cell>
          <cell r="G518" t="str">
            <v>CB1321080001VR</v>
          </cell>
          <cell r="H518">
            <v>1</v>
          </cell>
          <cell r="I518" t="str">
            <v>75mm</v>
          </cell>
          <cell r="J518">
            <v>1</v>
          </cell>
          <cell r="K518">
            <v>1</v>
          </cell>
        </row>
        <row r="519">
          <cell r="A519" t="str">
            <v>M1</v>
          </cell>
          <cell r="B519" t="str">
            <v>A5C</v>
          </cell>
          <cell r="C519" t="str">
            <v>TRIM</v>
          </cell>
          <cell r="D519" t="str">
            <v>V-2209</v>
          </cell>
          <cell r="E519" t="str">
            <v>NPL</v>
          </cell>
          <cell r="F519">
            <v>2</v>
          </cell>
          <cell r="G519" t="str">
            <v>CB1321080001VR</v>
          </cell>
          <cell r="H519">
            <v>1</v>
          </cell>
          <cell r="I519" t="str">
            <v>75mm</v>
          </cell>
          <cell r="J519">
            <v>1</v>
          </cell>
          <cell r="K519">
            <v>1</v>
          </cell>
        </row>
        <row r="520">
          <cell r="A520" t="str">
            <v>M1</v>
          </cell>
          <cell r="B520" t="str">
            <v>A6C</v>
          </cell>
          <cell r="C520" t="str">
            <v>HOR</v>
          </cell>
          <cell r="D520" t="str">
            <v>65612</v>
          </cell>
          <cell r="E520" t="str">
            <v>R TEE</v>
          </cell>
          <cell r="F520">
            <v>2</v>
          </cell>
          <cell r="G520" t="str">
            <v>CB400400001H01</v>
          </cell>
          <cell r="H520">
            <v>1</v>
          </cell>
          <cell r="I520" t="str">
            <v>-</v>
          </cell>
          <cell r="J520">
            <v>2</v>
          </cell>
          <cell r="K520">
            <v>2</v>
          </cell>
        </row>
        <row r="521">
          <cell r="A521" t="str">
            <v>M1</v>
          </cell>
          <cell r="B521" t="str">
            <v>B2C</v>
          </cell>
          <cell r="C521" t="str">
            <v>TRIM</v>
          </cell>
          <cell r="D521" t="str">
            <v>E-2204</v>
          </cell>
          <cell r="E521" t="str">
            <v>CAP</v>
          </cell>
          <cell r="F521">
            <v>2</v>
          </cell>
          <cell r="G521" t="str">
            <v>CB520700000100</v>
          </cell>
          <cell r="H521">
            <v>1</v>
          </cell>
          <cell r="I521" t="str">
            <v>--</v>
          </cell>
          <cell r="J521">
            <v>1</v>
          </cell>
          <cell r="K521">
            <v>1</v>
          </cell>
        </row>
        <row r="522">
          <cell r="A522" t="str">
            <v>M1</v>
          </cell>
          <cell r="B522" t="str">
            <v>A5C</v>
          </cell>
          <cell r="C522" t="str">
            <v>P</v>
          </cell>
          <cell r="D522" t="str">
            <v>21004</v>
          </cell>
          <cell r="E522" t="str">
            <v>90 ELL</v>
          </cell>
          <cell r="F522">
            <v>2</v>
          </cell>
          <cell r="G522" t="str">
            <v>CB400100001000</v>
          </cell>
          <cell r="H522">
            <v>1</v>
          </cell>
          <cell r="I522" t="str">
            <v>--</v>
          </cell>
          <cell r="J522">
            <v>2</v>
          </cell>
          <cell r="K522">
            <v>2</v>
          </cell>
        </row>
        <row r="523">
          <cell r="A523" t="str">
            <v>M1</v>
          </cell>
          <cell r="B523" t="str">
            <v>A5C</v>
          </cell>
          <cell r="C523" t="str">
            <v>P</v>
          </cell>
          <cell r="D523" t="str">
            <v>24029</v>
          </cell>
          <cell r="E523" t="str">
            <v>C SWG</v>
          </cell>
          <cell r="F523">
            <v>2</v>
          </cell>
          <cell r="G523" t="str">
            <v>CB16110808010T</v>
          </cell>
          <cell r="H523">
            <v>1</v>
          </cell>
          <cell r="I523">
            <v>0.75</v>
          </cell>
          <cell r="J523">
            <v>1</v>
          </cell>
          <cell r="K523">
            <v>1</v>
          </cell>
        </row>
        <row r="524">
          <cell r="A524" t="str">
            <v>M1</v>
          </cell>
          <cell r="B524" t="str">
            <v>A5C</v>
          </cell>
          <cell r="C524" t="str">
            <v>TRIM</v>
          </cell>
          <cell r="D524" t="str">
            <v>V-2206</v>
          </cell>
          <cell r="E524" t="str">
            <v>C SWG</v>
          </cell>
          <cell r="F524">
            <v>2</v>
          </cell>
          <cell r="G524" t="str">
            <v>CB16110808010T</v>
          </cell>
          <cell r="H524">
            <v>1</v>
          </cell>
          <cell r="I524">
            <v>0.75</v>
          </cell>
          <cell r="J524">
            <v>1</v>
          </cell>
          <cell r="K524">
            <v>1</v>
          </cell>
        </row>
        <row r="525">
          <cell r="A525" t="str">
            <v>M1</v>
          </cell>
          <cell r="B525" t="str">
            <v>A5C</v>
          </cell>
          <cell r="C525" t="str">
            <v>P</v>
          </cell>
          <cell r="D525" t="str">
            <v>22158</v>
          </cell>
          <cell r="E525" t="str">
            <v>CPLG</v>
          </cell>
          <cell r="F525">
            <v>2</v>
          </cell>
          <cell r="G525" t="str">
            <v>CB400500000100</v>
          </cell>
          <cell r="H525">
            <v>1</v>
          </cell>
          <cell r="I525" t="str">
            <v>--</v>
          </cell>
          <cell r="J525">
            <v>1</v>
          </cell>
          <cell r="K525">
            <v>1</v>
          </cell>
        </row>
        <row r="526">
          <cell r="A526" t="str">
            <v>M1</v>
          </cell>
          <cell r="B526" t="str">
            <v>A5C</v>
          </cell>
          <cell r="C526" t="str">
            <v>P</v>
          </cell>
          <cell r="D526" t="str">
            <v>24029</v>
          </cell>
          <cell r="E526" t="str">
            <v>CPLG</v>
          </cell>
          <cell r="F526">
            <v>2</v>
          </cell>
          <cell r="G526" t="str">
            <v>CB400500000100</v>
          </cell>
          <cell r="H526">
            <v>1</v>
          </cell>
          <cell r="I526" t="str">
            <v>--</v>
          </cell>
          <cell r="J526">
            <v>1</v>
          </cell>
          <cell r="K526">
            <v>1</v>
          </cell>
        </row>
        <row r="527">
          <cell r="A527" t="str">
            <v>M1</v>
          </cell>
          <cell r="B527" t="str">
            <v>A5C</v>
          </cell>
          <cell r="C527" t="str">
            <v>TRIM</v>
          </cell>
          <cell r="D527" t="str">
            <v>V-2206</v>
          </cell>
          <cell r="E527" t="str">
            <v>CPLG</v>
          </cell>
          <cell r="F527">
            <v>2</v>
          </cell>
          <cell r="G527" t="str">
            <v>CB400500000100</v>
          </cell>
          <cell r="H527">
            <v>1</v>
          </cell>
          <cell r="I527" t="str">
            <v>--</v>
          </cell>
          <cell r="J527">
            <v>1</v>
          </cell>
          <cell r="K527">
            <v>1</v>
          </cell>
        </row>
        <row r="528">
          <cell r="A528" t="str">
            <v>M1</v>
          </cell>
          <cell r="B528" t="str">
            <v>A5C</v>
          </cell>
          <cell r="C528" t="str">
            <v>P</v>
          </cell>
          <cell r="D528" t="str">
            <v>22103</v>
          </cell>
          <cell r="E528" t="str">
            <v>R TEE</v>
          </cell>
          <cell r="F528">
            <v>2</v>
          </cell>
          <cell r="G528" t="str">
            <v>CB40040000010T</v>
          </cell>
          <cell r="H528">
            <v>1</v>
          </cell>
          <cell r="I528">
            <v>0.75</v>
          </cell>
          <cell r="J528">
            <v>1</v>
          </cell>
          <cell r="K528">
            <v>1</v>
          </cell>
        </row>
        <row r="529">
          <cell r="A529" t="str">
            <v>M1</v>
          </cell>
          <cell r="B529" t="str">
            <v>A6C</v>
          </cell>
          <cell r="C529" t="str">
            <v>HOS</v>
          </cell>
          <cell r="D529" t="str">
            <v>65616</v>
          </cell>
          <cell r="E529" t="str">
            <v>90 ELL</v>
          </cell>
          <cell r="F529">
            <v>2</v>
          </cell>
          <cell r="G529" t="str">
            <v>CB400100001000</v>
          </cell>
          <cell r="H529">
            <v>1</v>
          </cell>
          <cell r="I529" t="str">
            <v>--</v>
          </cell>
          <cell r="J529">
            <v>2</v>
          </cell>
          <cell r="K529">
            <v>2</v>
          </cell>
        </row>
        <row r="530">
          <cell r="A530" t="str">
            <v>M1</v>
          </cell>
          <cell r="B530" t="str">
            <v>A5C</v>
          </cell>
          <cell r="C530" t="str">
            <v>TRIM</v>
          </cell>
          <cell r="D530" t="str">
            <v>V-2208</v>
          </cell>
          <cell r="E530" t="str">
            <v>C SWG</v>
          </cell>
          <cell r="F530">
            <v>2</v>
          </cell>
          <cell r="G530" t="str">
            <v>CB16110808010T</v>
          </cell>
          <cell r="H530">
            <v>1</v>
          </cell>
          <cell r="I530">
            <v>0.75</v>
          </cell>
          <cell r="J530">
            <v>1</v>
          </cell>
          <cell r="K530">
            <v>1</v>
          </cell>
        </row>
        <row r="531">
          <cell r="A531" t="str">
            <v>M1</v>
          </cell>
          <cell r="B531" t="str">
            <v>A6C</v>
          </cell>
          <cell r="C531" t="str">
            <v>HOR</v>
          </cell>
          <cell r="D531" t="str">
            <v>65622</v>
          </cell>
          <cell r="E531" t="str">
            <v>C SWG</v>
          </cell>
          <cell r="F531">
            <v>2</v>
          </cell>
          <cell r="G531" t="str">
            <v>CB16110808010T</v>
          </cell>
          <cell r="H531">
            <v>1</v>
          </cell>
          <cell r="I531">
            <v>0.75</v>
          </cell>
          <cell r="J531">
            <v>4</v>
          </cell>
          <cell r="K531">
            <v>4</v>
          </cell>
        </row>
        <row r="532">
          <cell r="A532" t="str">
            <v>M1</v>
          </cell>
          <cell r="B532" t="str">
            <v>A5C</v>
          </cell>
          <cell r="C532" t="str">
            <v>TRIM</v>
          </cell>
          <cell r="D532" t="str">
            <v>V-2209</v>
          </cell>
          <cell r="E532" t="str">
            <v>C SWG</v>
          </cell>
          <cell r="F532">
            <v>2</v>
          </cell>
          <cell r="G532" t="str">
            <v>CB16110808010T</v>
          </cell>
          <cell r="H532">
            <v>1</v>
          </cell>
          <cell r="I532">
            <v>0.75</v>
          </cell>
          <cell r="J532">
            <v>1</v>
          </cell>
          <cell r="K532">
            <v>1</v>
          </cell>
        </row>
        <row r="533">
          <cell r="A533" t="str">
            <v>M1</v>
          </cell>
          <cell r="B533" t="str">
            <v>A6C</v>
          </cell>
          <cell r="C533" t="str">
            <v>HOS</v>
          </cell>
          <cell r="D533" t="str">
            <v>65625</v>
          </cell>
          <cell r="E533" t="str">
            <v>CAP</v>
          </cell>
          <cell r="F533">
            <v>2</v>
          </cell>
          <cell r="G533" t="str">
            <v>CB520700000100</v>
          </cell>
          <cell r="H533">
            <v>1</v>
          </cell>
          <cell r="I533" t="str">
            <v>--</v>
          </cell>
          <cell r="J533">
            <v>1</v>
          </cell>
          <cell r="K533">
            <v>1</v>
          </cell>
        </row>
        <row r="534">
          <cell r="A534" t="str">
            <v>M1</v>
          </cell>
          <cell r="B534" t="str">
            <v>A5C</v>
          </cell>
          <cell r="C534" t="str">
            <v>TRIM</v>
          </cell>
          <cell r="D534" t="str">
            <v>V-2208</v>
          </cell>
          <cell r="E534" t="str">
            <v>CPLG</v>
          </cell>
          <cell r="F534">
            <v>2</v>
          </cell>
          <cell r="G534" t="str">
            <v>CB400500000100</v>
          </cell>
          <cell r="H534">
            <v>1</v>
          </cell>
          <cell r="I534" t="str">
            <v>--</v>
          </cell>
          <cell r="J534">
            <v>1</v>
          </cell>
          <cell r="K534">
            <v>1</v>
          </cell>
        </row>
        <row r="535">
          <cell r="A535" t="str">
            <v>M1</v>
          </cell>
          <cell r="B535" t="str">
            <v>A5C</v>
          </cell>
          <cell r="C535" t="str">
            <v>P</v>
          </cell>
          <cell r="D535" t="str">
            <v>22102</v>
          </cell>
          <cell r="E535" t="str">
            <v>C SWG</v>
          </cell>
          <cell r="F535">
            <v>2</v>
          </cell>
          <cell r="G535" t="str">
            <v>CB161108081H01</v>
          </cell>
          <cell r="H535">
            <v>1</v>
          </cell>
          <cell r="I535" t="str">
            <v>-</v>
          </cell>
          <cell r="J535">
            <v>1</v>
          </cell>
          <cell r="K535">
            <v>1</v>
          </cell>
        </row>
        <row r="536">
          <cell r="A536" t="str">
            <v>M1</v>
          </cell>
          <cell r="B536" t="str">
            <v>A5C</v>
          </cell>
          <cell r="C536" t="str">
            <v>P</v>
          </cell>
          <cell r="D536" t="str">
            <v>22157</v>
          </cell>
          <cell r="E536" t="str">
            <v>C SWG</v>
          </cell>
          <cell r="F536">
            <v>2</v>
          </cell>
          <cell r="G536" t="str">
            <v>CB161108081H01</v>
          </cell>
          <cell r="H536">
            <v>1</v>
          </cell>
          <cell r="I536" t="str">
            <v>-</v>
          </cell>
          <cell r="J536">
            <v>1</v>
          </cell>
          <cell r="K536">
            <v>1</v>
          </cell>
        </row>
        <row r="537">
          <cell r="A537" t="str">
            <v>M1</v>
          </cell>
          <cell r="B537" t="str">
            <v>A5C</v>
          </cell>
          <cell r="C537" t="str">
            <v>P</v>
          </cell>
          <cell r="D537" t="str">
            <v>22158</v>
          </cell>
          <cell r="E537" t="str">
            <v>C SWG</v>
          </cell>
          <cell r="F537">
            <v>2</v>
          </cell>
          <cell r="G537" t="str">
            <v>CB161108081H01</v>
          </cell>
          <cell r="H537">
            <v>1</v>
          </cell>
          <cell r="I537" t="str">
            <v>-</v>
          </cell>
          <cell r="J537">
            <v>1</v>
          </cell>
          <cell r="K537">
            <v>1</v>
          </cell>
        </row>
        <row r="538">
          <cell r="A538" t="str">
            <v>M1</v>
          </cell>
          <cell r="B538" t="str">
            <v>A5C</v>
          </cell>
          <cell r="C538" t="str">
            <v>P</v>
          </cell>
          <cell r="D538" t="str">
            <v>22109</v>
          </cell>
          <cell r="E538" t="str">
            <v>R TEE</v>
          </cell>
          <cell r="F538">
            <v>2</v>
          </cell>
          <cell r="G538" t="str">
            <v>CB400400001H01</v>
          </cell>
          <cell r="H538">
            <v>1</v>
          </cell>
          <cell r="I538" t="str">
            <v>-</v>
          </cell>
          <cell r="J538">
            <v>1</v>
          </cell>
          <cell r="K538">
            <v>1</v>
          </cell>
        </row>
        <row r="539">
          <cell r="A539" t="str">
            <v>M1</v>
          </cell>
          <cell r="B539" t="str">
            <v>A6C</v>
          </cell>
          <cell r="C539" t="str">
            <v>HOS</v>
          </cell>
          <cell r="D539" t="str">
            <v>65623</v>
          </cell>
          <cell r="E539" t="str">
            <v>E SWG</v>
          </cell>
          <cell r="F539">
            <v>2</v>
          </cell>
          <cell r="G539" t="str">
            <v>CB162108081H01</v>
          </cell>
          <cell r="H539">
            <v>1</v>
          </cell>
          <cell r="I539" t="str">
            <v>-</v>
          </cell>
          <cell r="J539">
            <v>1</v>
          </cell>
          <cell r="K539">
            <v>1</v>
          </cell>
        </row>
        <row r="540">
          <cell r="A540" t="str">
            <v>M1</v>
          </cell>
          <cell r="B540" t="str">
            <v>A5C</v>
          </cell>
          <cell r="C540" t="str">
            <v>TRIM</v>
          </cell>
          <cell r="D540" t="str">
            <v>V-2214</v>
          </cell>
          <cell r="E540" t="str">
            <v>C SWG</v>
          </cell>
          <cell r="F540">
            <v>2</v>
          </cell>
          <cell r="G540" t="str">
            <v>CB161408080201</v>
          </cell>
          <cell r="H540">
            <v>1</v>
          </cell>
          <cell r="I540" t="str">
            <v>-</v>
          </cell>
          <cell r="J540">
            <v>1</v>
          </cell>
          <cell r="K540">
            <v>2</v>
          </cell>
        </row>
        <row r="541">
          <cell r="A541" t="str">
            <v>M1</v>
          </cell>
          <cell r="B541" t="str">
            <v>A6C</v>
          </cell>
          <cell r="C541" t="str">
            <v>HOS</v>
          </cell>
          <cell r="D541" t="str">
            <v>65621</v>
          </cell>
          <cell r="E541" t="str">
            <v>90 ELL</v>
          </cell>
          <cell r="F541">
            <v>2</v>
          </cell>
          <cell r="G541" t="str">
            <v>CB400100001000</v>
          </cell>
          <cell r="H541">
            <v>1</v>
          </cell>
          <cell r="I541" t="str">
            <v>--</v>
          </cell>
          <cell r="J541">
            <v>2</v>
          </cell>
          <cell r="K541">
            <v>2</v>
          </cell>
        </row>
        <row r="542">
          <cell r="A542" t="str">
            <v>M1</v>
          </cell>
          <cell r="B542" t="str">
            <v>A5C</v>
          </cell>
          <cell r="C542" t="str">
            <v>P</v>
          </cell>
          <cell r="D542" t="str">
            <v>22039</v>
          </cell>
          <cell r="E542" t="str">
            <v>90 ELL</v>
          </cell>
          <cell r="F542">
            <v>2</v>
          </cell>
          <cell r="G542" t="str">
            <v>CB400100001000</v>
          </cell>
          <cell r="H542">
            <v>1</v>
          </cell>
          <cell r="I542" t="str">
            <v>--</v>
          </cell>
          <cell r="J542">
            <v>1</v>
          </cell>
          <cell r="K542">
            <v>1</v>
          </cell>
        </row>
        <row r="543">
          <cell r="A543" t="str">
            <v>M1</v>
          </cell>
          <cell r="B543" t="str">
            <v>A5C</v>
          </cell>
          <cell r="C543" t="str">
            <v>P</v>
          </cell>
          <cell r="D543" t="str">
            <v>22001</v>
          </cell>
          <cell r="E543" t="str">
            <v>90 ELL</v>
          </cell>
          <cell r="F543">
            <v>2</v>
          </cell>
          <cell r="G543" t="str">
            <v>CB400100001000</v>
          </cell>
          <cell r="H543">
            <v>1</v>
          </cell>
          <cell r="I543" t="str">
            <v>--</v>
          </cell>
          <cell r="J543">
            <v>1</v>
          </cell>
          <cell r="K543">
            <v>1</v>
          </cell>
        </row>
        <row r="544">
          <cell r="A544" t="str">
            <v>M1</v>
          </cell>
          <cell r="B544" t="str">
            <v>A5C</v>
          </cell>
          <cell r="C544" t="str">
            <v>P</v>
          </cell>
          <cell r="D544" t="str">
            <v>22003</v>
          </cell>
          <cell r="E544" t="str">
            <v>NPL</v>
          </cell>
          <cell r="F544">
            <v>2</v>
          </cell>
          <cell r="G544" t="str">
            <v>CB1321080001VR</v>
          </cell>
          <cell r="H544">
            <v>1</v>
          </cell>
          <cell r="I544" t="str">
            <v>75mm</v>
          </cell>
          <cell r="J544">
            <v>1</v>
          </cell>
          <cell r="K544">
            <v>1</v>
          </cell>
        </row>
        <row r="545">
          <cell r="A545" t="str">
            <v>M1</v>
          </cell>
          <cell r="B545" t="str">
            <v>A6C</v>
          </cell>
          <cell r="C545" t="str">
            <v>HOS</v>
          </cell>
          <cell r="D545" t="str">
            <v>65613</v>
          </cell>
          <cell r="E545" t="str">
            <v>NPL</v>
          </cell>
          <cell r="F545">
            <v>2</v>
          </cell>
          <cell r="G545" t="str">
            <v>CB1321080001VR</v>
          </cell>
          <cell r="H545">
            <v>1</v>
          </cell>
          <cell r="I545" t="str">
            <v>75mm</v>
          </cell>
          <cell r="J545">
            <v>2</v>
          </cell>
          <cell r="K545">
            <v>2</v>
          </cell>
        </row>
        <row r="546">
          <cell r="A546" t="str">
            <v>M1</v>
          </cell>
          <cell r="B546" t="str">
            <v>A6C</v>
          </cell>
          <cell r="C546" t="str">
            <v>HOS</v>
          </cell>
          <cell r="D546" t="str">
            <v>65613</v>
          </cell>
          <cell r="E546" t="str">
            <v>SOL</v>
          </cell>
          <cell r="F546">
            <v>2</v>
          </cell>
          <cell r="G546" t="str">
            <v>CB390200000801</v>
          </cell>
          <cell r="H546">
            <v>1</v>
          </cell>
          <cell r="I546" t="str">
            <v>-</v>
          </cell>
          <cell r="J546">
            <v>6</v>
          </cell>
          <cell r="K546">
            <v>7</v>
          </cell>
        </row>
        <row r="547">
          <cell r="A547" t="str">
            <v>M1</v>
          </cell>
          <cell r="B547" t="str">
            <v>A5C</v>
          </cell>
          <cell r="C547" t="str">
            <v>N</v>
          </cell>
          <cell r="D547" t="str">
            <v>22670</v>
          </cell>
          <cell r="E547" t="str">
            <v>C SWG</v>
          </cell>
          <cell r="F547">
            <v>2</v>
          </cell>
          <cell r="G547" t="str">
            <v>CB16110808010T</v>
          </cell>
          <cell r="H547">
            <v>1</v>
          </cell>
          <cell r="I547">
            <v>0.75</v>
          </cell>
          <cell r="J547">
            <v>1</v>
          </cell>
          <cell r="K547">
            <v>1</v>
          </cell>
        </row>
        <row r="548">
          <cell r="A548" t="str">
            <v>M1</v>
          </cell>
          <cell r="B548" t="str">
            <v>A6C</v>
          </cell>
          <cell r="C548" t="str">
            <v>HOS</v>
          </cell>
          <cell r="D548" t="str">
            <v>65613</v>
          </cell>
          <cell r="E548" t="str">
            <v>CAP</v>
          </cell>
          <cell r="F548">
            <v>2</v>
          </cell>
          <cell r="G548" t="str">
            <v>CB520700000100</v>
          </cell>
          <cell r="H548">
            <v>1</v>
          </cell>
          <cell r="I548" t="str">
            <v>--</v>
          </cell>
          <cell r="J548">
            <v>1</v>
          </cell>
          <cell r="K548">
            <v>1</v>
          </cell>
        </row>
        <row r="549">
          <cell r="A549" t="str">
            <v>M1</v>
          </cell>
          <cell r="B549" t="str">
            <v>A6C</v>
          </cell>
          <cell r="C549" t="str">
            <v>HOS</v>
          </cell>
          <cell r="D549" t="str">
            <v>65624</v>
          </cell>
          <cell r="E549" t="str">
            <v>CAP</v>
          </cell>
          <cell r="F549">
            <v>2</v>
          </cell>
          <cell r="G549" t="str">
            <v>CB520700000100</v>
          </cell>
          <cell r="H549">
            <v>1</v>
          </cell>
          <cell r="I549" t="str">
            <v>--</v>
          </cell>
          <cell r="J549">
            <v>1</v>
          </cell>
          <cell r="K549">
            <v>1</v>
          </cell>
        </row>
        <row r="550">
          <cell r="A550" t="str">
            <v>M1</v>
          </cell>
          <cell r="B550" t="str">
            <v>A5C</v>
          </cell>
          <cell r="C550" t="str">
            <v>P</v>
          </cell>
          <cell r="D550" t="str">
            <v>22104</v>
          </cell>
          <cell r="E550" t="str">
            <v>R TEE</v>
          </cell>
          <cell r="F550">
            <v>2</v>
          </cell>
          <cell r="G550" t="str">
            <v>CB400400001H01</v>
          </cell>
          <cell r="H550">
            <v>1</v>
          </cell>
          <cell r="I550" t="str">
            <v>-</v>
          </cell>
          <cell r="J550">
            <v>1</v>
          </cell>
          <cell r="K550">
            <v>1</v>
          </cell>
        </row>
        <row r="551">
          <cell r="A551" t="str">
            <v>M1</v>
          </cell>
          <cell r="B551" t="str">
            <v>A5C</v>
          </cell>
          <cell r="C551" t="str">
            <v>P</v>
          </cell>
          <cell r="D551" t="str">
            <v>22102</v>
          </cell>
          <cell r="E551" t="str">
            <v>90 ELL</v>
          </cell>
          <cell r="F551">
            <v>2</v>
          </cell>
          <cell r="G551" t="str">
            <v>CB400100001H00</v>
          </cell>
          <cell r="H551">
            <v>1.5</v>
          </cell>
          <cell r="I551" t="str">
            <v>--</v>
          </cell>
          <cell r="J551">
            <v>11</v>
          </cell>
          <cell r="K551">
            <v>11</v>
          </cell>
        </row>
        <row r="552">
          <cell r="A552" t="str">
            <v>M1</v>
          </cell>
          <cell r="B552" t="str">
            <v>A4C</v>
          </cell>
          <cell r="C552" t="str">
            <v>P</v>
          </cell>
          <cell r="D552" t="str">
            <v>22031</v>
          </cell>
          <cell r="E552" t="str">
            <v>TEE</v>
          </cell>
          <cell r="F552">
            <v>2</v>
          </cell>
          <cell r="G552" t="str">
            <v>CB400300001H00</v>
          </cell>
          <cell r="H552">
            <v>1.5</v>
          </cell>
          <cell r="I552" t="str">
            <v>--</v>
          </cell>
          <cell r="J552">
            <v>9</v>
          </cell>
          <cell r="K552">
            <v>9</v>
          </cell>
        </row>
        <row r="553">
          <cell r="A553" t="str">
            <v>M1</v>
          </cell>
          <cell r="B553" t="str">
            <v>A5C</v>
          </cell>
          <cell r="C553" t="str">
            <v>P</v>
          </cell>
          <cell r="D553" t="str">
            <v>22102</v>
          </cell>
          <cell r="E553" t="str">
            <v>90 ELL</v>
          </cell>
          <cell r="F553">
            <v>2</v>
          </cell>
          <cell r="G553" t="str">
            <v>CB400100001H00</v>
          </cell>
          <cell r="H553">
            <v>1.5</v>
          </cell>
          <cell r="I553" t="str">
            <v>--</v>
          </cell>
          <cell r="J553">
            <v>9</v>
          </cell>
          <cell r="K553">
            <v>9</v>
          </cell>
        </row>
        <row r="554">
          <cell r="A554" t="str">
            <v>M1</v>
          </cell>
          <cell r="B554" t="str">
            <v>A5C</v>
          </cell>
          <cell r="C554" t="str">
            <v>P</v>
          </cell>
          <cell r="D554" t="str">
            <v>22111</v>
          </cell>
          <cell r="E554" t="str">
            <v>90 ELL</v>
          </cell>
          <cell r="F554">
            <v>2</v>
          </cell>
          <cell r="G554" t="str">
            <v>CB400100001H00</v>
          </cell>
          <cell r="H554">
            <v>1.5</v>
          </cell>
          <cell r="I554" t="str">
            <v>--</v>
          </cell>
          <cell r="J554">
            <v>9</v>
          </cell>
          <cell r="K554">
            <v>9</v>
          </cell>
        </row>
        <row r="555">
          <cell r="A555" t="str">
            <v>M1</v>
          </cell>
          <cell r="B555" t="str">
            <v>A5C</v>
          </cell>
          <cell r="C555" t="str">
            <v>P</v>
          </cell>
          <cell r="D555" t="str">
            <v>22071</v>
          </cell>
          <cell r="E555" t="str">
            <v>90 ELL</v>
          </cell>
          <cell r="F555">
            <v>2</v>
          </cell>
          <cell r="G555" t="str">
            <v>CB400100001H00</v>
          </cell>
          <cell r="H555">
            <v>1.5</v>
          </cell>
          <cell r="I555" t="str">
            <v>--</v>
          </cell>
          <cell r="J555">
            <v>9</v>
          </cell>
          <cell r="K555">
            <v>9</v>
          </cell>
        </row>
        <row r="556">
          <cell r="A556" t="str">
            <v>M1</v>
          </cell>
          <cell r="B556" t="str">
            <v>A5C</v>
          </cell>
          <cell r="C556" t="str">
            <v>P</v>
          </cell>
          <cell r="D556" t="str">
            <v>22071</v>
          </cell>
          <cell r="E556" t="str">
            <v>90 ELL</v>
          </cell>
          <cell r="F556">
            <v>2</v>
          </cell>
          <cell r="G556" t="str">
            <v>CB400100001H00</v>
          </cell>
          <cell r="H556">
            <v>1.5</v>
          </cell>
          <cell r="I556" t="str">
            <v>--</v>
          </cell>
          <cell r="J556">
            <v>8</v>
          </cell>
          <cell r="K556">
            <v>8</v>
          </cell>
        </row>
        <row r="557">
          <cell r="A557" t="str">
            <v>M1</v>
          </cell>
          <cell r="B557" t="str">
            <v>A5C</v>
          </cell>
          <cell r="C557" t="str">
            <v>P</v>
          </cell>
          <cell r="D557" t="str">
            <v>22070</v>
          </cell>
          <cell r="E557" t="str">
            <v>90 ELL</v>
          </cell>
          <cell r="F557">
            <v>2</v>
          </cell>
          <cell r="G557" t="str">
            <v>CB400100001H00</v>
          </cell>
          <cell r="H557">
            <v>1.5</v>
          </cell>
          <cell r="I557" t="str">
            <v>--</v>
          </cell>
          <cell r="J557">
            <v>9</v>
          </cell>
          <cell r="K557">
            <v>9</v>
          </cell>
        </row>
        <row r="558">
          <cell r="A558" t="str">
            <v>M1</v>
          </cell>
          <cell r="B558" t="str">
            <v>A5C</v>
          </cell>
          <cell r="C558" t="str">
            <v>P</v>
          </cell>
          <cell r="D558" t="str">
            <v>22109</v>
          </cell>
          <cell r="E558" t="str">
            <v>90 ELL</v>
          </cell>
          <cell r="F558">
            <v>2</v>
          </cell>
          <cell r="G558" t="str">
            <v>CB400100001H00</v>
          </cell>
          <cell r="H558">
            <v>1.5</v>
          </cell>
          <cell r="I558" t="str">
            <v>--</v>
          </cell>
          <cell r="J558">
            <v>8</v>
          </cell>
          <cell r="K558">
            <v>8</v>
          </cell>
        </row>
        <row r="559">
          <cell r="A559" t="str">
            <v>M1</v>
          </cell>
          <cell r="B559" t="str">
            <v>A5C</v>
          </cell>
          <cell r="C559" t="str">
            <v>P</v>
          </cell>
          <cell r="D559" t="str">
            <v>22104</v>
          </cell>
          <cell r="E559" t="str">
            <v>90 ELL</v>
          </cell>
          <cell r="F559">
            <v>2</v>
          </cell>
          <cell r="G559" t="str">
            <v>CB400100001H00</v>
          </cell>
          <cell r="H559">
            <v>1.5</v>
          </cell>
          <cell r="I559" t="str">
            <v>--</v>
          </cell>
          <cell r="J559">
            <v>8</v>
          </cell>
          <cell r="K559">
            <v>8</v>
          </cell>
        </row>
        <row r="560">
          <cell r="A560" t="str">
            <v>M1</v>
          </cell>
          <cell r="B560" t="str">
            <v>A6C</v>
          </cell>
          <cell r="C560" t="str">
            <v>HOS</v>
          </cell>
          <cell r="D560" t="str">
            <v>65633</v>
          </cell>
          <cell r="E560" t="str">
            <v>90 ELL</v>
          </cell>
          <cell r="F560">
            <v>2</v>
          </cell>
          <cell r="G560" t="str">
            <v>CB400100001H00</v>
          </cell>
          <cell r="H560">
            <v>1.5</v>
          </cell>
          <cell r="I560" t="str">
            <v>--</v>
          </cell>
          <cell r="J560">
            <v>8</v>
          </cell>
          <cell r="K560">
            <v>8</v>
          </cell>
        </row>
        <row r="561">
          <cell r="A561" t="str">
            <v>M1</v>
          </cell>
          <cell r="B561" t="str">
            <v>A5C</v>
          </cell>
          <cell r="C561" t="str">
            <v>P</v>
          </cell>
          <cell r="D561" t="str">
            <v>22102</v>
          </cell>
          <cell r="E561" t="str">
            <v>TEE</v>
          </cell>
          <cell r="F561">
            <v>2</v>
          </cell>
          <cell r="G561" t="str">
            <v>CB400300001H00</v>
          </cell>
          <cell r="H561">
            <v>1.5</v>
          </cell>
          <cell r="I561" t="str">
            <v>--</v>
          </cell>
          <cell r="J561">
            <v>5</v>
          </cell>
          <cell r="K561">
            <v>5</v>
          </cell>
        </row>
        <row r="562">
          <cell r="A562" t="str">
            <v>M1</v>
          </cell>
          <cell r="B562" t="str">
            <v>A5C</v>
          </cell>
          <cell r="C562" t="str">
            <v>P</v>
          </cell>
          <cell r="D562" t="str">
            <v>22108</v>
          </cell>
          <cell r="E562" t="str">
            <v>90 ELL</v>
          </cell>
          <cell r="F562">
            <v>2</v>
          </cell>
          <cell r="G562" t="str">
            <v>CB400100001H00</v>
          </cell>
          <cell r="H562">
            <v>1.5</v>
          </cell>
          <cell r="I562" t="str">
            <v>--</v>
          </cell>
          <cell r="J562">
            <v>9</v>
          </cell>
          <cell r="K562">
            <v>9</v>
          </cell>
        </row>
        <row r="563">
          <cell r="A563" t="str">
            <v>M1</v>
          </cell>
          <cell r="B563" t="str">
            <v>A6C</v>
          </cell>
          <cell r="C563" t="str">
            <v>HOS</v>
          </cell>
          <cell r="D563" t="str">
            <v>65632</v>
          </cell>
          <cell r="E563" t="str">
            <v>90 ELL</v>
          </cell>
          <cell r="F563">
            <v>2</v>
          </cell>
          <cell r="G563" t="str">
            <v>CB400100001H00</v>
          </cell>
          <cell r="H563">
            <v>1.5</v>
          </cell>
          <cell r="I563" t="str">
            <v>--</v>
          </cell>
          <cell r="J563">
            <v>7</v>
          </cell>
          <cell r="K563">
            <v>7</v>
          </cell>
        </row>
        <row r="564">
          <cell r="A564" t="str">
            <v>M1</v>
          </cell>
          <cell r="B564" t="str">
            <v>A5C</v>
          </cell>
          <cell r="C564" t="str">
            <v>RW</v>
          </cell>
          <cell r="D564" t="str">
            <v>25611</v>
          </cell>
          <cell r="E564" t="str">
            <v>90 ELL</v>
          </cell>
          <cell r="F564">
            <v>2</v>
          </cell>
          <cell r="G564" t="str">
            <v>CB400100001H00</v>
          </cell>
          <cell r="H564">
            <v>1.5</v>
          </cell>
          <cell r="I564" t="str">
            <v>--</v>
          </cell>
          <cell r="J564">
            <v>7</v>
          </cell>
          <cell r="K564">
            <v>7</v>
          </cell>
        </row>
        <row r="565">
          <cell r="A565" t="str">
            <v>M1</v>
          </cell>
          <cell r="B565" t="str">
            <v>A5C</v>
          </cell>
          <cell r="C565" t="str">
            <v>P</v>
          </cell>
          <cell r="D565" t="str">
            <v>22113</v>
          </cell>
          <cell r="E565" t="str">
            <v>90 ELL</v>
          </cell>
          <cell r="F565">
            <v>2</v>
          </cell>
          <cell r="G565" t="str">
            <v>CB400100001H00</v>
          </cell>
          <cell r="H565">
            <v>1.5</v>
          </cell>
          <cell r="I565" t="str">
            <v>--</v>
          </cell>
          <cell r="J565">
            <v>6</v>
          </cell>
          <cell r="K565">
            <v>6</v>
          </cell>
        </row>
        <row r="566">
          <cell r="A566" t="str">
            <v>M1</v>
          </cell>
          <cell r="B566" t="str">
            <v>A5C</v>
          </cell>
          <cell r="C566" t="str">
            <v>P</v>
          </cell>
          <cell r="D566" t="str">
            <v>22111</v>
          </cell>
          <cell r="E566" t="str">
            <v>TEE</v>
          </cell>
          <cell r="F566">
            <v>2</v>
          </cell>
          <cell r="G566" t="str">
            <v>CB400300001H00</v>
          </cell>
          <cell r="H566">
            <v>1.5</v>
          </cell>
          <cell r="I566" t="str">
            <v>--</v>
          </cell>
          <cell r="J566">
            <v>5</v>
          </cell>
          <cell r="K566">
            <v>5</v>
          </cell>
        </row>
        <row r="567">
          <cell r="A567" t="str">
            <v>M1</v>
          </cell>
          <cell r="B567" t="str">
            <v>A5C</v>
          </cell>
          <cell r="C567" t="str">
            <v>P</v>
          </cell>
          <cell r="D567" t="str">
            <v>22087</v>
          </cell>
          <cell r="E567" t="str">
            <v>90 ELL</v>
          </cell>
          <cell r="F567">
            <v>2</v>
          </cell>
          <cell r="G567" t="str">
            <v>CB400100001H00</v>
          </cell>
          <cell r="H567">
            <v>1.5</v>
          </cell>
          <cell r="I567" t="str">
            <v>--</v>
          </cell>
          <cell r="J567">
            <v>6</v>
          </cell>
          <cell r="K567">
            <v>6</v>
          </cell>
        </row>
        <row r="568">
          <cell r="A568" t="str">
            <v>M1</v>
          </cell>
          <cell r="B568" t="str">
            <v>A5C</v>
          </cell>
          <cell r="C568" t="str">
            <v>P</v>
          </cell>
          <cell r="D568" t="str">
            <v>22111</v>
          </cell>
          <cell r="E568" t="str">
            <v>R TEE</v>
          </cell>
          <cell r="F568">
            <v>2</v>
          </cell>
          <cell r="G568" t="str">
            <v>CB400400001H0T</v>
          </cell>
          <cell r="H568">
            <v>1.5</v>
          </cell>
          <cell r="I568">
            <v>0.75</v>
          </cell>
          <cell r="J568">
            <v>6</v>
          </cell>
          <cell r="K568">
            <v>6</v>
          </cell>
        </row>
        <row r="569">
          <cell r="A569" t="str">
            <v>M1</v>
          </cell>
          <cell r="B569" t="str">
            <v>A5C</v>
          </cell>
          <cell r="C569" t="str">
            <v>P</v>
          </cell>
          <cell r="D569" t="str">
            <v>22078</v>
          </cell>
          <cell r="E569" t="str">
            <v>90 ELL</v>
          </cell>
          <cell r="F569">
            <v>2</v>
          </cell>
          <cell r="G569" t="str">
            <v>CB400100001H00</v>
          </cell>
          <cell r="H569">
            <v>1.5</v>
          </cell>
          <cell r="I569" t="str">
            <v>--</v>
          </cell>
          <cell r="J569">
            <v>5</v>
          </cell>
          <cell r="K569">
            <v>5</v>
          </cell>
        </row>
        <row r="570">
          <cell r="A570" t="str">
            <v>M1</v>
          </cell>
          <cell r="B570" t="str">
            <v>A5C</v>
          </cell>
          <cell r="C570" t="str">
            <v>P</v>
          </cell>
          <cell r="D570" t="str">
            <v>22079</v>
          </cell>
          <cell r="E570" t="str">
            <v>90 ELL</v>
          </cell>
          <cell r="F570">
            <v>2</v>
          </cell>
          <cell r="G570" t="str">
            <v>CB400100001H00</v>
          </cell>
          <cell r="H570">
            <v>1.5</v>
          </cell>
          <cell r="I570" t="str">
            <v>--</v>
          </cell>
          <cell r="J570">
            <v>5</v>
          </cell>
          <cell r="K570">
            <v>5</v>
          </cell>
        </row>
        <row r="571">
          <cell r="A571" t="str">
            <v>M1</v>
          </cell>
          <cell r="B571" t="str">
            <v>A6C</v>
          </cell>
          <cell r="C571" t="str">
            <v>HOS</v>
          </cell>
          <cell r="D571" t="str">
            <v>65633</v>
          </cell>
          <cell r="E571" t="str">
            <v>90 ELL</v>
          </cell>
          <cell r="F571">
            <v>2</v>
          </cell>
          <cell r="G571" t="str">
            <v>CB400100001H00</v>
          </cell>
          <cell r="H571">
            <v>1.5</v>
          </cell>
          <cell r="I571" t="str">
            <v>--</v>
          </cell>
          <cell r="J571">
            <v>5</v>
          </cell>
          <cell r="K571">
            <v>5</v>
          </cell>
        </row>
        <row r="572">
          <cell r="A572" t="str">
            <v>M1</v>
          </cell>
          <cell r="B572" t="str">
            <v>A5C</v>
          </cell>
          <cell r="C572" t="str">
            <v>P</v>
          </cell>
          <cell r="D572" t="str">
            <v>22036</v>
          </cell>
          <cell r="E572" t="str">
            <v>90 ELL</v>
          </cell>
          <cell r="F572">
            <v>2</v>
          </cell>
          <cell r="G572" t="str">
            <v>CB400100001H00</v>
          </cell>
          <cell r="H572">
            <v>1.5</v>
          </cell>
          <cell r="I572" t="str">
            <v>--</v>
          </cell>
          <cell r="J572">
            <v>4</v>
          </cell>
          <cell r="K572">
            <v>4</v>
          </cell>
        </row>
        <row r="573">
          <cell r="A573" t="str">
            <v>M1</v>
          </cell>
          <cell r="B573" t="str">
            <v>A5C</v>
          </cell>
          <cell r="C573" t="str">
            <v>P</v>
          </cell>
          <cell r="D573" t="str">
            <v>22045</v>
          </cell>
          <cell r="E573" t="str">
            <v>90 ELL</v>
          </cell>
          <cell r="F573">
            <v>2</v>
          </cell>
          <cell r="G573" t="str">
            <v>CB400100001H00</v>
          </cell>
          <cell r="H573">
            <v>1.5</v>
          </cell>
          <cell r="I573" t="str">
            <v>--</v>
          </cell>
          <cell r="J573">
            <v>4</v>
          </cell>
          <cell r="K573">
            <v>4</v>
          </cell>
        </row>
        <row r="574">
          <cell r="A574" t="str">
            <v>M1</v>
          </cell>
          <cell r="B574" t="str">
            <v>A5C</v>
          </cell>
          <cell r="C574" t="str">
            <v>P</v>
          </cell>
          <cell r="D574" t="str">
            <v>22071</v>
          </cell>
          <cell r="E574" t="str">
            <v>90 ELL</v>
          </cell>
          <cell r="F574">
            <v>2</v>
          </cell>
          <cell r="G574" t="str">
            <v>CB400100001H00</v>
          </cell>
          <cell r="H574">
            <v>1.5</v>
          </cell>
          <cell r="I574" t="str">
            <v>--</v>
          </cell>
          <cell r="J574">
            <v>4</v>
          </cell>
          <cell r="K574">
            <v>4</v>
          </cell>
        </row>
        <row r="575">
          <cell r="A575" t="str">
            <v>M1</v>
          </cell>
          <cell r="B575" t="str">
            <v>A5C</v>
          </cell>
          <cell r="C575" t="str">
            <v>P</v>
          </cell>
          <cell r="D575" t="str">
            <v>22114</v>
          </cell>
          <cell r="E575" t="str">
            <v>90 ELL</v>
          </cell>
          <cell r="F575">
            <v>2</v>
          </cell>
          <cell r="G575" t="str">
            <v>CB400100001H00</v>
          </cell>
          <cell r="H575">
            <v>1.5</v>
          </cell>
          <cell r="I575" t="str">
            <v>--</v>
          </cell>
          <cell r="J575">
            <v>4</v>
          </cell>
          <cell r="K575">
            <v>4</v>
          </cell>
        </row>
        <row r="576">
          <cell r="A576" t="str">
            <v>M1</v>
          </cell>
          <cell r="B576" t="str">
            <v>A5C</v>
          </cell>
          <cell r="C576" t="str">
            <v>P</v>
          </cell>
          <cell r="D576" t="str">
            <v>22002</v>
          </cell>
          <cell r="E576" t="str">
            <v>90 ELL</v>
          </cell>
          <cell r="F576">
            <v>2</v>
          </cell>
          <cell r="G576" t="str">
            <v>CB400100001H00</v>
          </cell>
          <cell r="H576">
            <v>1.5</v>
          </cell>
          <cell r="I576" t="str">
            <v>--</v>
          </cell>
          <cell r="J576">
            <v>4</v>
          </cell>
          <cell r="K576">
            <v>4</v>
          </cell>
        </row>
        <row r="577">
          <cell r="A577" t="str">
            <v>M1</v>
          </cell>
          <cell r="B577" t="str">
            <v>A5C</v>
          </cell>
          <cell r="C577" t="str">
            <v>P</v>
          </cell>
          <cell r="D577" t="str">
            <v>22102</v>
          </cell>
          <cell r="E577" t="str">
            <v>R TEE</v>
          </cell>
          <cell r="F577">
            <v>2</v>
          </cell>
          <cell r="G577" t="str">
            <v>CB400400001H0T</v>
          </cell>
          <cell r="H577">
            <v>1.5</v>
          </cell>
          <cell r="I577">
            <v>0.75</v>
          </cell>
          <cell r="J577">
            <v>5</v>
          </cell>
          <cell r="K577">
            <v>5</v>
          </cell>
        </row>
        <row r="578">
          <cell r="A578" t="str">
            <v>M1</v>
          </cell>
          <cell r="B578" t="str">
            <v>A5C</v>
          </cell>
          <cell r="C578" t="str">
            <v>P</v>
          </cell>
          <cell r="D578" t="str">
            <v>22157</v>
          </cell>
          <cell r="E578" t="str">
            <v>R TEE</v>
          </cell>
          <cell r="F578">
            <v>2</v>
          </cell>
          <cell r="G578" t="str">
            <v>CB400400001H01</v>
          </cell>
          <cell r="H578">
            <v>1.5</v>
          </cell>
          <cell r="I578">
            <v>1</v>
          </cell>
          <cell r="J578">
            <v>5</v>
          </cell>
          <cell r="K578">
            <v>5</v>
          </cell>
        </row>
        <row r="579">
          <cell r="A579" t="str">
            <v>M1</v>
          </cell>
          <cell r="B579" t="str">
            <v>A5C</v>
          </cell>
          <cell r="C579" t="str">
            <v>P</v>
          </cell>
          <cell r="D579" t="str">
            <v>22157</v>
          </cell>
          <cell r="E579" t="str">
            <v>90 ELL</v>
          </cell>
          <cell r="F579">
            <v>2</v>
          </cell>
          <cell r="G579" t="str">
            <v>CB400100001H00</v>
          </cell>
          <cell r="H579">
            <v>1.5</v>
          </cell>
          <cell r="I579" t="str">
            <v>--</v>
          </cell>
          <cell r="J579">
            <v>3</v>
          </cell>
          <cell r="K579">
            <v>3</v>
          </cell>
        </row>
        <row r="580">
          <cell r="A580" t="str">
            <v>M1</v>
          </cell>
          <cell r="B580" t="str">
            <v>A5C</v>
          </cell>
          <cell r="C580" t="str">
            <v>P</v>
          </cell>
          <cell r="D580" t="str">
            <v>22071</v>
          </cell>
          <cell r="E580" t="str">
            <v>TEE</v>
          </cell>
          <cell r="F580">
            <v>2</v>
          </cell>
          <cell r="G580" t="str">
            <v>CB400300001H00</v>
          </cell>
          <cell r="H580">
            <v>1.5</v>
          </cell>
          <cell r="I580" t="str">
            <v>--</v>
          </cell>
          <cell r="J580">
            <v>2</v>
          </cell>
          <cell r="K580">
            <v>2</v>
          </cell>
        </row>
        <row r="581">
          <cell r="A581" t="str">
            <v>M1</v>
          </cell>
          <cell r="B581" t="str">
            <v>A5C</v>
          </cell>
          <cell r="C581" t="str">
            <v>P</v>
          </cell>
          <cell r="D581" t="str">
            <v>22102</v>
          </cell>
          <cell r="E581" t="str">
            <v>TEE</v>
          </cell>
          <cell r="F581">
            <v>2</v>
          </cell>
          <cell r="G581" t="str">
            <v>CB400300001H00</v>
          </cell>
          <cell r="H581">
            <v>1.5</v>
          </cell>
          <cell r="I581" t="str">
            <v>--</v>
          </cell>
          <cell r="J581">
            <v>2</v>
          </cell>
          <cell r="K581">
            <v>2</v>
          </cell>
        </row>
        <row r="582">
          <cell r="A582" t="str">
            <v>M1</v>
          </cell>
          <cell r="B582" t="str">
            <v>A5C</v>
          </cell>
          <cell r="C582" t="str">
            <v>P</v>
          </cell>
          <cell r="D582" t="str">
            <v>22104</v>
          </cell>
          <cell r="E582" t="str">
            <v>TEE</v>
          </cell>
          <cell r="F582">
            <v>2</v>
          </cell>
          <cell r="G582" t="str">
            <v>CB400300001H00</v>
          </cell>
          <cell r="H582">
            <v>1.5</v>
          </cell>
          <cell r="I582" t="str">
            <v>--</v>
          </cell>
          <cell r="J582">
            <v>2</v>
          </cell>
          <cell r="K582">
            <v>2</v>
          </cell>
        </row>
        <row r="583">
          <cell r="A583" t="str">
            <v>M1</v>
          </cell>
          <cell r="B583" t="str">
            <v>A5C</v>
          </cell>
          <cell r="C583" t="str">
            <v>P</v>
          </cell>
          <cell r="D583" t="str">
            <v>22109</v>
          </cell>
          <cell r="E583" t="str">
            <v>TEE</v>
          </cell>
          <cell r="F583">
            <v>2</v>
          </cell>
          <cell r="G583" t="str">
            <v>CB400300001H00</v>
          </cell>
          <cell r="H583">
            <v>1.5</v>
          </cell>
          <cell r="I583" t="str">
            <v>--</v>
          </cell>
          <cell r="J583">
            <v>2</v>
          </cell>
          <cell r="K583">
            <v>2</v>
          </cell>
        </row>
        <row r="584">
          <cell r="A584" t="str">
            <v>M1</v>
          </cell>
          <cell r="B584" t="str">
            <v>A6C</v>
          </cell>
          <cell r="C584" t="str">
            <v>HOS</v>
          </cell>
          <cell r="D584" t="str">
            <v>65623</v>
          </cell>
          <cell r="E584" t="str">
            <v>90 ELL</v>
          </cell>
          <cell r="F584">
            <v>2</v>
          </cell>
          <cell r="G584" t="str">
            <v>CB400100001H00</v>
          </cell>
          <cell r="H584">
            <v>1.5</v>
          </cell>
          <cell r="I584" t="str">
            <v>--</v>
          </cell>
          <cell r="J584">
            <v>3</v>
          </cell>
          <cell r="K584">
            <v>3</v>
          </cell>
        </row>
        <row r="585">
          <cell r="A585" t="str">
            <v>M1</v>
          </cell>
          <cell r="B585" t="str">
            <v>A6C</v>
          </cell>
          <cell r="C585" t="str">
            <v>HOS</v>
          </cell>
          <cell r="D585" t="str">
            <v>65618</v>
          </cell>
          <cell r="E585" t="str">
            <v>90 ELL</v>
          </cell>
          <cell r="F585">
            <v>2</v>
          </cell>
          <cell r="G585" t="str">
            <v>CB400100001H00</v>
          </cell>
          <cell r="H585">
            <v>1.5</v>
          </cell>
          <cell r="I585" t="str">
            <v>--</v>
          </cell>
          <cell r="J585">
            <v>3</v>
          </cell>
          <cell r="K585">
            <v>3</v>
          </cell>
        </row>
        <row r="586">
          <cell r="A586" t="str">
            <v>M1</v>
          </cell>
          <cell r="B586" t="str">
            <v>A6C</v>
          </cell>
          <cell r="C586" t="str">
            <v>HOS</v>
          </cell>
          <cell r="D586" t="str">
            <v>65622</v>
          </cell>
          <cell r="E586" t="str">
            <v>TEE</v>
          </cell>
          <cell r="F586">
            <v>2</v>
          </cell>
          <cell r="G586" t="str">
            <v>CB400300001H00</v>
          </cell>
          <cell r="H586">
            <v>1.5</v>
          </cell>
          <cell r="I586" t="str">
            <v>--</v>
          </cell>
          <cell r="J586">
            <v>2</v>
          </cell>
          <cell r="K586">
            <v>2</v>
          </cell>
        </row>
        <row r="587">
          <cell r="A587" t="str">
            <v>M1</v>
          </cell>
          <cell r="B587" t="str">
            <v>A6C</v>
          </cell>
          <cell r="C587" t="str">
            <v>HOS</v>
          </cell>
          <cell r="D587" t="str">
            <v>65623</v>
          </cell>
          <cell r="E587" t="str">
            <v>TEE</v>
          </cell>
          <cell r="F587">
            <v>2</v>
          </cell>
          <cell r="G587" t="str">
            <v>CB400300001H00</v>
          </cell>
          <cell r="H587">
            <v>1.5</v>
          </cell>
          <cell r="I587" t="str">
            <v>--</v>
          </cell>
          <cell r="J587">
            <v>2</v>
          </cell>
          <cell r="K587">
            <v>2</v>
          </cell>
        </row>
        <row r="588">
          <cell r="A588" t="str">
            <v>M1</v>
          </cell>
          <cell r="B588" t="str">
            <v>A4C</v>
          </cell>
          <cell r="C588" t="str">
            <v>P</v>
          </cell>
          <cell r="D588" t="str">
            <v>22031</v>
          </cell>
          <cell r="E588" t="str">
            <v>90 ELL</v>
          </cell>
          <cell r="F588">
            <v>2</v>
          </cell>
          <cell r="G588" t="str">
            <v>CB400100001H00</v>
          </cell>
          <cell r="H588">
            <v>1.5</v>
          </cell>
          <cell r="I588" t="str">
            <v>--</v>
          </cell>
          <cell r="J588">
            <v>5</v>
          </cell>
          <cell r="K588">
            <v>5</v>
          </cell>
        </row>
        <row r="589">
          <cell r="A589" t="str">
            <v>M1</v>
          </cell>
          <cell r="B589" t="str">
            <v>A6C</v>
          </cell>
          <cell r="C589" t="str">
            <v>HOS</v>
          </cell>
          <cell r="D589" t="str">
            <v>65633</v>
          </cell>
          <cell r="E589" t="str">
            <v>CPLG</v>
          </cell>
          <cell r="F589">
            <v>2</v>
          </cell>
          <cell r="G589" t="str">
            <v>CB400500001H00</v>
          </cell>
          <cell r="H589">
            <v>1.5</v>
          </cell>
          <cell r="I589" t="str">
            <v>--</v>
          </cell>
          <cell r="J589">
            <v>3</v>
          </cell>
          <cell r="K589">
            <v>3</v>
          </cell>
        </row>
        <row r="590">
          <cell r="A590" t="str">
            <v>M1</v>
          </cell>
          <cell r="B590" t="str">
            <v>A6C</v>
          </cell>
          <cell r="C590" t="str">
            <v>HOS</v>
          </cell>
          <cell r="D590" t="str">
            <v>65632</v>
          </cell>
          <cell r="E590" t="str">
            <v>NPL</v>
          </cell>
          <cell r="F590">
            <v>2</v>
          </cell>
          <cell r="G590" t="str">
            <v>CB132108001HVR</v>
          </cell>
          <cell r="H590">
            <v>1.5</v>
          </cell>
          <cell r="I590" t="str">
            <v>75mm</v>
          </cell>
          <cell r="J590">
            <v>3</v>
          </cell>
          <cell r="K590">
            <v>3</v>
          </cell>
        </row>
        <row r="591">
          <cell r="A591" t="str">
            <v>M1</v>
          </cell>
          <cell r="B591" t="str">
            <v>A5C</v>
          </cell>
          <cell r="C591" t="str">
            <v>P</v>
          </cell>
          <cell r="D591" t="str">
            <v>22071</v>
          </cell>
          <cell r="E591" t="str">
            <v>R TEE</v>
          </cell>
          <cell r="F591">
            <v>2</v>
          </cell>
          <cell r="G591" t="str">
            <v>CB400400001H0T</v>
          </cell>
          <cell r="H591">
            <v>1.5</v>
          </cell>
          <cell r="I591">
            <v>0.75</v>
          </cell>
          <cell r="J591">
            <v>4</v>
          </cell>
          <cell r="K591">
            <v>4</v>
          </cell>
        </row>
        <row r="592">
          <cell r="A592" t="str">
            <v>M1</v>
          </cell>
          <cell r="B592" t="str">
            <v>A5C</v>
          </cell>
          <cell r="C592" t="str">
            <v>P</v>
          </cell>
          <cell r="D592" t="str">
            <v>22071</v>
          </cell>
          <cell r="E592" t="str">
            <v>R TEE</v>
          </cell>
          <cell r="F592">
            <v>2</v>
          </cell>
          <cell r="G592" t="str">
            <v>CB400400001H0T</v>
          </cell>
          <cell r="H592">
            <v>1.5</v>
          </cell>
          <cell r="I592">
            <v>0.75</v>
          </cell>
          <cell r="J592">
            <v>4</v>
          </cell>
          <cell r="K592">
            <v>4</v>
          </cell>
        </row>
        <row r="593">
          <cell r="A593" t="str">
            <v>M1</v>
          </cell>
          <cell r="B593" t="str">
            <v>A5C</v>
          </cell>
          <cell r="C593" t="str">
            <v>P</v>
          </cell>
          <cell r="D593" t="str">
            <v>22079</v>
          </cell>
          <cell r="E593" t="str">
            <v>CPLG</v>
          </cell>
          <cell r="F593">
            <v>2</v>
          </cell>
          <cell r="G593" t="str">
            <v>CB400500001H00</v>
          </cell>
          <cell r="H593">
            <v>1.5</v>
          </cell>
          <cell r="I593" t="str">
            <v>--</v>
          </cell>
          <cell r="J593">
            <v>2</v>
          </cell>
          <cell r="K593">
            <v>2</v>
          </cell>
        </row>
        <row r="594">
          <cell r="A594" t="str">
            <v>M1</v>
          </cell>
          <cell r="B594" t="str">
            <v>A6C</v>
          </cell>
          <cell r="C594" t="str">
            <v>HOS</v>
          </cell>
          <cell r="D594" t="str">
            <v>65622</v>
          </cell>
          <cell r="E594" t="str">
            <v>90 ELL</v>
          </cell>
          <cell r="F594">
            <v>2</v>
          </cell>
          <cell r="G594" t="str">
            <v>CB400100001H00</v>
          </cell>
          <cell r="H594">
            <v>1.5</v>
          </cell>
          <cell r="I594" t="str">
            <v>--</v>
          </cell>
          <cell r="J594">
            <v>2</v>
          </cell>
          <cell r="K594">
            <v>2</v>
          </cell>
        </row>
        <row r="595">
          <cell r="A595" t="str">
            <v>M1</v>
          </cell>
          <cell r="B595" t="str">
            <v>A6C</v>
          </cell>
          <cell r="C595" t="str">
            <v>HOR</v>
          </cell>
          <cell r="D595" t="str">
            <v>65618</v>
          </cell>
          <cell r="E595" t="str">
            <v>90 ELL</v>
          </cell>
          <cell r="F595">
            <v>2</v>
          </cell>
          <cell r="G595" t="str">
            <v>CB400100001H00</v>
          </cell>
          <cell r="H595">
            <v>1.5</v>
          </cell>
          <cell r="I595" t="str">
            <v>--</v>
          </cell>
          <cell r="J595">
            <v>2</v>
          </cell>
          <cell r="K595">
            <v>2</v>
          </cell>
        </row>
        <row r="596">
          <cell r="A596" t="str">
            <v>M1</v>
          </cell>
          <cell r="B596" t="str">
            <v>A6C</v>
          </cell>
          <cell r="C596" t="str">
            <v>HOR</v>
          </cell>
          <cell r="D596" t="str">
            <v>65612</v>
          </cell>
          <cell r="E596" t="str">
            <v>CPLG</v>
          </cell>
          <cell r="F596">
            <v>2</v>
          </cell>
          <cell r="G596" t="str">
            <v>CB400500001H00</v>
          </cell>
          <cell r="H596">
            <v>1.5</v>
          </cell>
          <cell r="I596" t="str">
            <v>--</v>
          </cell>
          <cell r="J596">
            <v>2</v>
          </cell>
          <cell r="K596">
            <v>2</v>
          </cell>
        </row>
        <row r="597">
          <cell r="A597" t="str">
            <v>M1</v>
          </cell>
          <cell r="B597" t="str">
            <v>A6C</v>
          </cell>
          <cell r="C597" t="str">
            <v>HOR</v>
          </cell>
          <cell r="D597" t="str">
            <v>65612</v>
          </cell>
          <cell r="E597" t="str">
            <v>R TEE</v>
          </cell>
          <cell r="F597">
            <v>2</v>
          </cell>
          <cell r="G597" t="str">
            <v>CB400400001H0T</v>
          </cell>
          <cell r="H597">
            <v>1.5</v>
          </cell>
          <cell r="I597">
            <v>0.75</v>
          </cell>
          <cell r="J597">
            <v>2</v>
          </cell>
          <cell r="K597">
            <v>2</v>
          </cell>
        </row>
        <row r="598">
          <cell r="A598" t="str">
            <v>M1</v>
          </cell>
          <cell r="B598" t="str">
            <v>A6C</v>
          </cell>
          <cell r="C598" t="str">
            <v>HOR</v>
          </cell>
          <cell r="D598" t="str">
            <v>65612</v>
          </cell>
          <cell r="E598" t="str">
            <v>R TEE</v>
          </cell>
          <cell r="F598">
            <v>2</v>
          </cell>
          <cell r="G598" t="str">
            <v>CB400400001H01</v>
          </cell>
          <cell r="H598">
            <v>1.5</v>
          </cell>
          <cell r="I598">
            <v>1</v>
          </cell>
          <cell r="J598">
            <v>2</v>
          </cell>
          <cell r="K598">
            <v>2</v>
          </cell>
        </row>
        <row r="599">
          <cell r="A599" t="str">
            <v>M1</v>
          </cell>
          <cell r="B599" t="str">
            <v>A5C</v>
          </cell>
          <cell r="C599" t="str">
            <v>P</v>
          </cell>
          <cell r="D599" t="str">
            <v>22064</v>
          </cell>
          <cell r="E599" t="str">
            <v>90 ELL</v>
          </cell>
          <cell r="F599">
            <v>2</v>
          </cell>
          <cell r="G599" t="str">
            <v>CB400100001H00</v>
          </cell>
          <cell r="H599">
            <v>1.5</v>
          </cell>
          <cell r="I599" t="str">
            <v>--</v>
          </cell>
          <cell r="J599">
            <v>2</v>
          </cell>
          <cell r="K599">
            <v>2</v>
          </cell>
        </row>
        <row r="600">
          <cell r="A600" t="str">
            <v>M1</v>
          </cell>
          <cell r="B600" t="str">
            <v>A5C</v>
          </cell>
          <cell r="C600" t="str">
            <v>P</v>
          </cell>
          <cell r="D600" t="str">
            <v>22085</v>
          </cell>
          <cell r="E600" t="str">
            <v>90 ELL</v>
          </cell>
          <cell r="F600">
            <v>2</v>
          </cell>
          <cell r="G600" t="str">
            <v>CB400100001H00</v>
          </cell>
          <cell r="H600">
            <v>1.5</v>
          </cell>
          <cell r="I600" t="str">
            <v>--</v>
          </cell>
          <cell r="J600">
            <v>2</v>
          </cell>
          <cell r="K600">
            <v>2</v>
          </cell>
        </row>
        <row r="601">
          <cell r="A601" t="str">
            <v>M1</v>
          </cell>
          <cell r="B601" t="str">
            <v>A5C</v>
          </cell>
          <cell r="C601" t="str">
            <v>P</v>
          </cell>
          <cell r="D601" t="str">
            <v>22102</v>
          </cell>
          <cell r="E601" t="str">
            <v>CPLG</v>
          </cell>
          <cell r="F601">
            <v>2</v>
          </cell>
          <cell r="G601" t="str">
            <v>CB400500001H00</v>
          </cell>
          <cell r="H601">
            <v>1.5</v>
          </cell>
          <cell r="I601" t="str">
            <v>--</v>
          </cell>
          <cell r="J601">
            <v>3</v>
          </cell>
          <cell r="K601">
            <v>3</v>
          </cell>
        </row>
        <row r="602">
          <cell r="A602" t="str">
            <v>M1</v>
          </cell>
          <cell r="B602" t="str">
            <v>A6C</v>
          </cell>
          <cell r="C602" t="str">
            <v>HOS</v>
          </cell>
          <cell r="D602" t="str">
            <v>65633</v>
          </cell>
          <cell r="E602" t="str">
            <v>TEE</v>
          </cell>
          <cell r="F602">
            <v>2</v>
          </cell>
          <cell r="G602" t="str">
            <v>CB400300001H00</v>
          </cell>
          <cell r="H602">
            <v>1.5</v>
          </cell>
          <cell r="I602" t="str">
            <v>--</v>
          </cell>
          <cell r="J602">
            <v>2</v>
          </cell>
          <cell r="K602">
            <v>2</v>
          </cell>
        </row>
        <row r="603">
          <cell r="A603" t="str">
            <v>M1</v>
          </cell>
          <cell r="B603" t="str">
            <v>A5C</v>
          </cell>
          <cell r="C603" t="str">
            <v>P</v>
          </cell>
          <cell r="D603" t="str">
            <v>22071</v>
          </cell>
          <cell r="E603" t="str">
            <v>TEE</v>
          </cell>
          <cell r="F603">
            <v>2</v>
          </cell>
          <cell r="G603" t="str">
            <v>CB400300001H00</v>
          </cell>
          <cell r="H603">
            <v>1.5</v>
          </cell>
          <cell r="I603" t="str">
            <v>--</v>
          </cell>
          <cell r="J603">
            <v>1</v>
          </cell>
          <cell r="K603">
            <v>1</v>
          </cell>
        </row>
        <row r="604">
          <cell r="A604" t="str">
            <v>M1</v>
          </cell>
          <cell r="B604" t="str">
            <v>A5C</v>
          </cell>
          <cell r="C604" t="str">
            <v>P</v>
          </cell>
          <cell r="D604" t="str">
            <v>22113</v>
          </cell>
          <cell r="E604" t="str">
            <v>TEE</v>
          </cell>
          <cell r="F604">
            <v>2</v>
          </cell>
          <cell r="G604" t="str">
            <v>CB400300001H00</v>
          </cell>
          <cell r="H604">
            <v>1.5</v>
          </cell>
          <cell r="I604" t="str">
            <v>--</v>
          </cell>
          <cell r="J604">
            <v>1</v>
          </cell>
          <cell r="K604">
            <v>1</v>
          </cell>
        </row>
        <row r="605">
          <cell r="A605" t="str">
            <v>M1</v>
          </cell>
          <cell r="B605" t="str">
            <v>A5C</v>
          </cell>
          <cell r="C605" t="str">
            <v>P</v>
          </cell>
          <cell r="D605" t="str">
            <v>22157</v>
          </cell>
          <cell r="E605" t="str">
            <v>TEE</v>
          </cell>
          <cell r="F605">
            <v>2</v>
          </cell>
          <cell r="G605" t="str">
            <v>CB400300001H00</v>
          </cell>
          <cell r="H605">
            <v>1.5</v>
          </cell>
          <cell r="I605" t="str">
            <v>--</v>
          </cell>
          <cell r="J605">
            <v>1</v>
          </cell>
          <cell r="K605">
            <v>1</v>
          </cell>
        </row>
        <row r="606">
          <cell r="A606" t="str">
            <v>M1</v>
          </cell>
          <cell r="B606" t="str">
            <v>A5C</v>
          </cell>
          <cell r="C606" t="str">
            <v>P</v>
          </cell>
          <cell r="D606" t="str">
            <v>22158</v>
          </cell>
          <cell r="E606" t="str">
            <v>TEE</v>
          </cell>
          <cell r="F606">
            <v>2</v>
          </cell>
          <cell r="G606" t="str">
            <v>CB400300001H00</v>
          </cell>
          <cell r="H606">
            <v>1.5</v>
          </cell>
          <cell r="I606" t="str">
            <v>--</v>
          </cell>
          <cell r="J606">
            <v>1</v>
          </cell>
          <cell r="K606">
            <v>1</v>
          </cell>
        </row>
        <row r="607">
          <cell r="A607" t="str">
            <v>M1</v>
          </cell>
          <cell r="B607" t="str">
            <v>A5C</v>
          </cell>
          <cell r="C607" t="str">
            <v>P</v>
          </cell>
          <cell r="D607" t="str">
            <v>22039</v>
          </cell>
          <cell r="E607" t="str">
            <v>TEE</v>
          </cell>
          <cell r="F607">
            <v>2</v>
          </cell>
          <cell r="G607" t="str">
            <v>CB400300001H00</v>
          </cell>
          <cell r="H607">
            <v>1.5</v>
          </cell>
          <cell r="I607" t="str">
            <v>--</v>
          </cell>
          <cell r="J607">
            <v>1</v>
          </cell>
          <cell r="K607">
            <v>1</v>
          </cell>
        </row>
        <row r="608">
          <cell r="A608" t="str">
            <v>M1</v>
          </cell>
          <cell r="B608" t="str">
            <v>A5C</v>
          </cell>
          <cell r="C608" t="str">
            <v>P</v>
          </cell>
          <cell r="D608" t="str">
            <v>22040</v>
          </cell>
          <cell r="E608" t="str">
            <v>TEE</v>
          </cell>
          <cell r="F608">
            <v>2</v>
          </cell>
          <cell r="G608" t="str">
            <v>CB400300001H00</v>
          </cell>
          <cell r="H608">
            <v>1.5</v>
          </cell>
          <cell r="I608" t="str">
            <v>--</v>
          </cell>
          <cell r="J608">
            <v>1</v>
          </cell>
          <cell r="K608">
            <v>1</v>
          </cell>
        </row>
        <row r="609">
          <cell r="A609" t="str">
            <v>M1</v>
          </cell>
          <cell r="B609" t="str">
            <v>A5C</v>
          </cell>
          <cell r="C609" t="str">
            <v>P</v>
          </cell>
          <cell r="D609" t="str">
            <v>22041</v>
          </cell>
          <cell r="E609" t="str">
            <v>TEE</v>
          </cell>
          <cell r="F609">
            <v>2</v>
          </cell>
          <cell r="G609" t="str">
            <v>CB400300001H00</v>
          </cell>
          <cell r="H609">
            <v>1.5</v>
          </cell>
          <cell r="I609" t="str">
            <v>--</v>
          </cell>
          <cell r="J609">
            <v>1</v>
          </cell>
          <cell r="K609">
            <v>1</v>
          </cell>
        </row>
        <row r="610">
          <cell r="A610" t="str">
            <v>M1</v>
          </cell>
          <cell r="B610" t="str">
            <v>A5C</v>
          </cell>
          <cell r="C610" t="str">
            <v>P</v>
          </cell>
          <cell r="D610" t="str">
            <v>22045</v>
          </cell>
          <cell r="E610" t="str">
            <v>CPLG</v>
          </cell>
          <cell r="F610">
            <v>2</v>
          </cell>
          <cell r="G610" t="str">
            <v>CB400500001H00</v>
          </cell>
          <cell r="H610">
            <v>1.5</v>
          </cell>
          <cell r="I610" t="str">
            <v>--</v>
          </cell>
          <cell r="J610">
            <v>2</v>
          </cell>
          <cell r="K610">
            <v>2</v>
          </cell>
        </row>
        <row r="611">
          <cell r="A611" t="str">
            <v>M1</v>
          </cell>
          <cell r="B611" t="str">
            <v>A5C</v>
          </cell>
          <cell r="C611" t="str">
            <v>P</v>
          </cell>
          <cell r="D611" t="str">
            <v>22109</v>
          </cell>
          <cell r="E611" t="str">
            <v>CPLG</v>
          </cell>
          <cell r="F611">
            <v>2</v>
          </cell>
          <cell r="G611" t="str">
            <v>CB400500001H00</v>
          </cell>
          <cell r="H611">
            <v>1.5</v>
          </cell>
          <cell r="I611" t="str">
            <v>--</v>
          </cell>
          <cell r="J611">
            <v>2</v>
          </cell>
          <cell r="K611">
            <v>2</v>
          </cell>
        </row>
        <row r="612">
          <cell r="A612" t="str">
            <v>M1</v>
          </cell>
          <cell r="B612" t="str">
            <v>A6C</v>
          </cell>
          <cell r="C612" t="str">
            <v>HOS</v>
          </cell>
          <cell r="D612" t="str">
            <v>65611</v>
          </cell>
          <cell r="E612" t="str">
            <v>90 ELL</v>
          </cell>
          <cell r="F612">
            <v>2</v>
          </cell>
          <cell r="G612" t="str">
            <v>CB400100001H00</v>
          </cell>
          <cell r="H612">
            <v>1.5</v>
          </cell>
          <cell r="I612" t="str">
            <v>--</v>
          </cell>
          <cell r="J612">
            <v>2</v>
          </cell>
          <cell r="K612">
            <v>2</v>
          </cell>
        </row>
        <row r="613">
          <cell r="A613" t="str">
            <v>M1</v>
          </cell>
          <cell r="B613" t="str">
            <v>A5C</v>
          </cell>
          <cell r="C613" t="str">
            <v>RW</v>
          </cell>
          <cell r="D613" t="str">
            <v>25611</v>
          </cell>
          <cell r="E613" t="str">
            <v>TEE</v>
          </cell>
          <cell r="F613">
            <v>2</v>
          </cell>
          <cell r="G613" t="str">
            <v>CB400300001H00</v>
          </cell>
          <cell r="H613">
            <v>1.5</v>
          </cell>
          <cell r="I613" t="str">
            <v>--</v>
          </cell>
          <cell r="J613">
            <v>2</v>
          </cell>
          <cell r="K613">
            <v>2</v>
          </cell>
        </row>
        <row r="614">
          <cell r="A614" t="str">
            <v>M1</v>
          </cell>
          <cell r="B614" t="str">
            <v>A4C</v>
          </cell>
          <cell r="C614" t="str">
            <v>P</v>
          </cell>
          <cell r="D614" t="str">
            <v>22031</v>
          </cell>
          <cell r="E614" t="str">
            <v>C SWG</v>
          </cell>
          <cell r="F614">
            <v>2</v>
          </cell>
          <cell r="G614" t="str">
            <v>CB161108081H0H</v>
          </cell>
          <cell r="H614">
            <v>1.5</v>
          </cell>
          <cell r="I614">
            <v>0.5</v>
          </cell>
          <cell r="J614">
            <v>6</v>
          </cell>
          <cell r="K614">
            <v>6</v>
          </cell>
        </row>
        <row r="615">
          <cell r="A615" t="str">
            <v>M1</v>
          </cell>
          <cell r="B615" t="str">
            <v>A5C</v>
          </cell>
          <cell r="C615" t="str">
            <v>P</v>
          </cell>
          <cell r="D615" t="str">
            <v>22002</v>
          </cell>
          <cell r="E615" t="str">
            <v>R TEE</v>
          </cell>
          <cell r="F615">
            <v>2</v>
          </cell>
          <cell r="G615" t="str">
            <v>CB400400001H0T</v>
          </cell>
          <cell r="H615">
            <v>1.5</v>
          </cell>
          <cell r="I615">
            <v>0.75</v>
          </cell>
          <cell r="J615">
            <v>2</v>
          </cell>
          <cell r="K615">
            <v>2</v>
          </cell>
        </row>
        <row r="616">
          <cell r="A616" t="str">
            <v>M1</v>
          </cell>
          <cell r="B616" t="str">
            <v>A5C</v>
          </cell>
          <cell r="C616" t="str">
            <v>P</v>
          </cell>
          <cell r="D616" t="str">
            <v>22071</v>
          </cell>
          <cell r="E616" t="str">
            <v>CPLG</v>
          </cell>
          <cell r="F616">
            <v>2</v>
          </cell>
          <cell r="G616" t="str">
            <v>CB400500001H00</v>
          </cell>
          <cell r="H616">
            <v>1.5</v>
          </cell>
          <cell r="I616" t="str">
            <v>--</v>
          </cell>
          <cell r="J616">
            <v>1</v>
          </cell>
          <cell r="K616">
            <v>1</v>
          </cell>
        </row>
        <row r="617">
          <cell r="A617" t="str">
            <v>M1</v>
          </cell>
          <cell r="B617" t="str">
            <v>A5C</v>
          </cell>
          <cell r="C617" t="str">
            <v>P</v>
          </cell>
          <cell r="D617" t="str">
            <v>22099</v>
          </cell>
          <cell r="E617" t="str">
            <v>90 ELL</v>
          </cell>
          <cell r="F617">
            <v>2</v>
          </cell>
          <cell r="G617" t="str">
            <v>CB400100001H00</v>
          </cell>
          <cell r="H617">
            <v>1.5</v>
          </cell>
          <cell r="I617" t="str">
            <v>--</v>
          </cell>
          <cell r="J617">
            <v>1</v>
          </cell>
          <cell r="K617">
            <v>1</v>
          </cell>
        </row>
        <row r="618">
          <cell r="A618" t="str">
            <v>M1</v>
          </cell>
          <cell r="B618" t="str">
            <v>A5C</v>
          </cell>
          <cell r="C618" t="str">
            <v>P</v>
          </cell>
          <cell r="D618" t="str">
            <v>22099</v>
          </cell>
          <cell r="E618" t="str">
            <v>NPL</v>
          </cell>
          <cell r="F618">
            <v>2</v>
          </cell>
          <cell r="G618" t="str">
            <v>CB132108001HVR</v>
          </cell>
          <cell r="H618">
            <v>1.5</v>
          </cell>
          <cell r="I618" t="str">
            <v>75mm</v>
          </cell>
          <cell r="J618">
            <v>1</v>
          </cell>
          <cell r="K618">
            <v>1</v>
          </cell>
        </row>
        <row r="619">
          <cell r="A619" t="str">
            <v>M1</v>
          </cell>
          <cell r="B619" t="str">
            <v>A5C</v>
          </cell>
          <cell r="C619" t="str">
            <v>P</v>
          </cell>
          <cell r="D619" t="str">
            <v>22039</v>
          </cell>
          <cell r="E619" t="str">
            <v>CPLG</v>
          </cell>
          <cell r="F619">
            <v>2</v>
          </cell>
          <cell r="G619" t="str">
            <v>CB400500001H00</v>
          </cell>
          <cell r="H619">
            <v>1.5</v>
          </cell>
          <cell r="I619" t="str">
            <v>--</v>
          </cell>
          <cell r="J619">
            <v>1</v>
          </cell>
          <cell r="K619">
            <v>1</v>
          </cell>
        </row>
        <row r="620">
          <cell r="A620" t="str">
            <v>M1</v>
          </cell>
          <cell r="B620" t="str">
            <v>A5C</v>
          </cell>
          <cell r="C620" t="str">
            <v>P</v>
          </cell>
          <cell r="D620" t="str">
            <v>22041</v>
          </cell>
          <cell r="E620" t="str">
            <v>CPLG</v>
          </cell>
          <cell r="F620">
            <v>2</v>
          </cell>
          <cell r="G620" t="str">
            <v>CB400500001H00</v>
          </cell>
          <cell r="H620">
            <v>1.5</v>
          </cell>
          <cell r="I620" t="str">
            <v>--</v>
          </cell>
          <cell r="J620">
            <v>1</v>
          </cell>
          <cell r="K620">
            <v>1</v>
          </cell>
        </row>
        <row r="621">
          <cell r="A621" t="str">
            <v>M1</v>
          </cell>
          <cell r="B621" t="str">
            <v>A5C</v>
          </cell>
          <cell r="C621" t="str">
            <v>P</v>
          </cell>
          <cell r="D621" t="str">
            <v>22040</v>
          </cell>
          <cell r="E621" t="str">
            <v>CPLG</v>
          </cell>
          <cell r="F621">
            <v>2</v>
          </cell>
          <cell r="G621" t="str">
            <v>CB400500001H00</v>
          </cell>
          <cell r="H621">
            <v>1.5</v>
          </cell>
          <cell r="I621" t="str">
            <v>--</v>
          </cell>
          <cell r="J621">
            <v>1</v>
          </cell>
          <cell r="K621">
            <v>1</v>
          </cell>
        </row>
        <row r="622">
          <cell r="A622" t="str">
            <v>M1</v>
          </cell>
          <cell r="B622" t="str">
            <v>A5C</v>
          </cell>
          <cell r="C622" t="str">
            <v>P</v>
          </cell>
          <cell r="D622" t="str">
            <v>22040</v>
          </cell>
          <cell r="E622" t="str">
            <v>NPL</v>
          </cell>
          <cell r="F622">
            <v>2</v>
          </cell>
          <cell r="G622" t="str">
            <v>CB132308001HVR</v>
          </cell>
          <cell r="H622">
            <v>1.5</v>
          </cell>
          <cell r="I622" t="str">
            <v>75mm</v>
          </cell>
          <cell r="J622">
            <v>1</v>
          </cell>
          <cell r="K622">
            <v>1</v>
          </cell>
        </row>
        <row r="623">
          <cell r="A623" t="str">
            <v>M1</v>
          </cell>
          <cell r="B623" t="str">
            <v>A5C</v>
          </cell>
          <cell r="C623" t="str">
            <v>P</v>
          </cell>
          <cell r="D623" t="str">
            <v>22041</v>
          </cell>
          <cell r="E623" t="str">
            <v>NPL</v>
          </cell>
          <cell r="F623">
            <v>2</v>
          </cell>
          <cell r="G623" t="str">
            <v>CB132308001HVR</v>
          </cell>
          <cell r="H623">
            <v>1.5</v>
          </cell>
          <cell r="I623" t="str">
            <v>75mm</v>
          </cell>
          <cell r="J623">
            <v>1</v>
          </cell>
          <cell r="K623">
            <v>1</v>
          </cell>
        </row>
        <row r="624">
          <cell r="A624" t="str">
            <v>M1</v>
          </cell>
          <cell r="B624" t="str">
            <v>A5C</v>
          </cell>
          <cell r="C624" t="str">
            <v>P</v>
          </cell>
          <cell r="D624" t="str">
            <v>22039</v>
          </cell>
          <cell r="E624" t="str">
            <v>NPL</v>
          </cell>
          <cell r="F624">
            <v>2</v>
          </cell>
          <cell r="G624" t="str">
            <v>CB132308001HVR</v>
          </cell>
          <cell r="H624">
            <v>1.5</v>
          </cell>
          <cell r="I624" t="str">
            <v>75mm</v>
          </cell>
          <cell r="J624">
            <v>1</v>
          </cell>
          <cell r="K624">
            <v>1</v>
          </cell>
        </row>
        <row r="625">
          <cell r="A625" t="str">
            <v>M1</v>
          </cell>
          <cell r="B625" t="str">
            <v>A5C</v>
          </cell>
          <cell r="C625" t="str">
            <v>P</v>
          </cell>
          <cell r="D625" t="str">
            <v>22039</v>
          </cell>
          <cell r="E625" t="str">
            <v>R TEE</v>
          </cell>
          <cell r="F625">
            <v>2</v>
          </cell>
          <cell r="G625" t="str">
            <v>CB400400001H0H</v>
          </cell>
          <cell r="H625">
            <v>1.5</v>
          </cell>
          <cell r="I625">
            <v>0.5</v>
          </cell>
          <cell r="J625">
            <v>1</v>
          </cell>
          <cell r="K625">
            <v>1</v>
          </cell>
        </row>
        <row r="626">
          <cell r="A626" t="str">
            <v>M1</v>
          </cell>
          <cell r="B626" t="str">
            <v>A5C</v>
          </cell>
          <cell r="C626" t="str">
            <v>P</v>
          </cell>
          <cell r="D626" t="str">
            <v>22041</v>
          </cell>
          <cell r="E626" t="str">
            <v>R TEE</v>
          </cell>
          <cell r="F626">
            <v>2</v>
          </cell>
          <cell r="G626" t="str">
            <v>CB400400001H0H</v>
          </cell>
          <cell r="H626">
            <v>1.5</v>
          </cell>
          <cell r="I626">
            <v>0.5</v>
          </cell>
          <cell r="J626">
            <v>1</v>
          </cell>
          <cell r="K626">
            <v>1</v>
          </cell>
        </row>
        <row r="627">
          <cell r="A627" t="str">
            <v>M1</v>
          </cell>
          <cell r="B627" t="str">
            <v>A5C</v>
          </cell>
          <cell r="C627" t="str">
            <v>P</v>
          </cell>
          <cell r="D627" t="str">
            <v>22040</v>
          </cell>
          <cell r="E627" t="str">
            <v>R TEE</v>
          </cell>
          <cell r="F627">
            <v>2</v>
          </cell>
          <cell r="G627" t="str">
            <v>CB400400001H0H</v>
          </cell>
          <cell r="H627">
            <v>1.5</v>
          </cell>
          <cell r="I627">
            <v>0.5</v>
          </cell>
          <cell r="J627">
            <v>1</v>
          </cell>
          <cell r="K627">
            <v>1</v>
          </cell>
        </row>
        <row r="628">
          <cell r="A628" t="str">
            <v>M1</v>
          </cell>
          <cell r="B628" t="str">
            <v>A5C</v>
          </cell>
          <cell r="C628" t="str">
            <v>P</v>
          </cell>
          <cell r="D628" t="str">
            <v>22102</v>
          </cell>
          <cell r="E628" t="str">
            <v>C SWG</v>
          </cell>
          <cell r="F628">
            <v>2</v>
          </cell>
          <cell r="G628" t="str">
            <v>CB161108081H01</v>
          </cell>
          <cell r="H628">
            <v>1.5</v>
          </cell>
          <cell r="I628">
            <v>1</v>
          </cell>
          <cell r="J628">
            <v>1</v>
          </cell>
          <cell r="K628">
            <v>1</v>
          </cell>
        </row>
        <row r="629">
          <cell r="A629" t="str">
            <v>M1</v>
          </cell>
          <cell r="B629" t="str">
            <v>A5C</v>
          </cell>
          <cell r="C629" t="str">
            <v>P</v>
          </cell>
          <cell r="D629" t="str">
            <v>22157</v>
          </cell>
          <cell r="E629" t="str">
            <v>C SWG</v>
          </cell>
          <cell r="F629">
            <v>2</v>
          </cell>
          <cell r="G629" t="str">
            <v>CB161108081H01</v>
          </cell>
          <cell r="H629">
            <v>1.5</v>
          </cell>
          <cell r="I629">
            <v>1</v>
          </cell>
          <cell r="J629">
            <v>1</v>
          </cell>
          <cell r="K629">
            <v>1</v>
          </cell>
        </row>
        <row r="630">
          <cell r="A630" t="str">
            <v>M1</v>
          </cell>
          <cell r="B630" t="str">
            <v>A5C</v>
          </cell>
          <cell r="C630" t="str">
            <v>P</v>
          </cell>
          <cell r="D630" t="str">
            <v>22157</v>
          </cell>
          <cell r="E630" t="str">
            <v>CAP</v>
          </cell>
          <cell r="F630">
            <v>2</v>
          </cell>
          <cell r="G630" t="str">
            <v>CB520700001H00</v>
          </cell>
          <cell r="H630">
            <v>1.5</v>
          </cell>
          <cell r="I630" t="str">
            <v>--</v>
          </cell>
          <cell r="J630">
            <v>1</v>
          </cell>
          <cell r="K630">
            <v>1</v>
          </cell>
        </row>
        <row r="631">
          <cell r="A631" t="str">
            <v>M1</v>
          </cell>
          <cell r="B631" t="str">
            <v>A5C</v>
          </cell>
          <cell r="C631" t="str">
            <v>P</v>
          </cell>
          <cell r="D631" t="str">
            <v>22158</v>
          </cell>
          <cell r="E631" t="str">
            <v>CAP</v>
          </cell>
          <cell r="F631">
            <v>2</v>
          </cell>
          <cell r="G631" t="str">
            <v>CB520700001H00</v>
          </cell>
          <cell r="H631">
            <v>1.5</v>
          </cell>
          <cell r="I631" t="str">
            <v>--</v>
          </cell>
          <cell r="J631">
            <v>1</v>
          </cell>
          <cell r="K631">
            <v>1</v>
          </cell>
        </row>
        <row r="632">
          <cell r="A632" t="str">
            <v>M1</v>
          </cell>
          <cell r="B632" t="str">
            <v>A5C</v>
          </cell>
          <cell r="C632" t="str">
            <v>P</v>
          </cell>
          <cell r="D632" t="str">
            <v>22036</v>
          </cell>
          <cell r="E632" t="str">
            <v>CPLG</v>
          </cell>
          <cell r="F632">
            <v>2</v>
          </cell>
          <cell r="G632" t="str">
            <v>CB400500001H00</v>
          </cell>
          <cell r="H632">
            <v>1.5</v>
          </cell>
          <cell r="I632" t="str">
            <v>--</v>
          </cell>
          <cell r="J632">
            <v>1</v>
          </cell>
          <cell r="K632">
            <v>1</v>
          </cell>
        </row>
        <row r="633">
          <cell r="A633" t="str">
            <v>M1</v>
          </cell>
          <cell r="B633" t="str">
            <v>A5C</v>
          </cell>
          <cell r="C633" t="str">
            <v>P</v>
          </cell>
          <cell r="D633" t="str">
            <v>22101</v>
          </cell>
          <cell r="E633" t="str">
            <v>CPLG</v>
          </cell>
          <cell r="F633">
            <v>2</v>
          </cell>
          <cell r="G633" t="str">
            <v>CB400500001H00</v>
          </cell>
          <cell r="H633">
            <v>1.5</v>
          </cell>
          <cell r="I633" t="str">
            <v>--</v>
          </cell>
          <cell r="J633">
            <v>1</v>
          </cell>
          <cell r="K633">
            <v>1</v>
          </cell>
        </row>
        <row r="634">
          <cell r="A634" t="str">
            <v>M1</v>
          </cell>
          <cell r="B634" t="str">
            <v>A5C</v>
          </cell>
          <cell r="C634" t="str">
            <v>P</v>
          </cell>
          <cell r="D634" t="str">
            <v>22102</v>
          </cell>
          <cell r="E634" t="str">
            <v>CPLG</v>
          </cell>
          <cell r="F634">
            <v>2</v>
          </cell>
          <cell r="G634" t="str">
            <v>CB400500001H00</v>
          </cell>
          <cell r="H634">
            <v>1.5</v>
          </cell>
          <cell r="I634" t="str">
            <v>--</v>
          </cell>
          <cell r="J634">
            <v>1</v>
          </cell>
          <cell r="K634">
            <v>1</v>
          </cell>
        </row>
        <row r="635">
          <cell r="A635" t="str">
            <v>M1</v>
          </cell>
          <cell r="B635" t="str">
            <v>A5C</v>
          </cell>
          <cell r="C635" t="str">
            <v>P</v>
          </cell>
          <cell r="D635" t="str">
            <v>22108</v>
          </cell>
          <cell r="E635" t="str">
            <v>CPLG</v>
          </cell>
          <cell r="F635">
            <v>2</v>
          </cell>
          <cell r="G635" t="str">
            <v>CB400500001H00</v>
          </cell>
          <cell r="H635">
            <v>1.5</v>
          </cell>
          <cell r="I635" t="str">
            <v>--</v>
          </cell>
          <cell r="J635">
            <v>1</v>
          </cell>
          <cell r="K635">
            <v>1</v>
          </cell>
        </row>
        <row r="636">
          <cell r="A636" t="str">
            <v>M1</v>
          </cell>
          <cell r="B636" t="str">
            <v>A5C</v>
          </cell>
          <cell r="C636" t="str">
            <v>P</v>
          </cell>
          <cell r="D636" t="str">
            <v>22099</v>
          </cell>
          <cell r="E636" t="str">
            <v>CAP</v>
          </cell>
          <cell r="F636">
            <v>2</v>
          </cell>
          <cell r="G636" t="str">
            <v>CB520700001H00</v>
          </cell>
          <cell r="H636">
            <v>1.5</v>
          </cell>
          <cell r="I636" t="str">
            <v>--</v>
          </cell>
          <cell r="J636">
            <v>1</v>
          </cell>
          <cell r="K636">
            <v>1</v>
          </cell>
        </row>
        <row r="637">
          <cell r="A637" t="str">
            <v>M1</v>
          </cell>
          <cell r="B637" t="str">
            <v>A5C</v>
          </cell>
          <cell r="C637" t="str">
            <v>P</v>
          </cell>
          <cell r="D637" t="str">
            <v>22040</v>
          </cell>
          <cell r="E637" t="str">
            <v>C SWG</v>
          </cell>
          <cell r="F637">
            <v>2</v>
          </cell>
          <cell r="G637" t="str">
            <v>CB161108081H01</v>
          </cell>
          <cell r="H637">
            <v>1.5</v>
          </cell>
          <cell r="I637">
            <v>1</v>
          </cell>
          <cell r="J637">
            <v>1</v>
          </cell>
          <cell r="K637">
            <v>1</v>
          </cell>
        </row>
        <row r="638">
          <cell r="A638" t="str">
            <v>M1</v>
          </cell>
          <cell r="B638" t="str">
            <v>A5C</v>
          </cell>
          <cell r="C638" t="str">
            <v>P</v>
          </cell>
          <cell r="D638" t="str">
            <v>22041</v>
          </cell>
          <cell r="E638" t="str">
            <v>C SWG</v>
          </cell>
          <cell r="F638">
            <v>2</v>
          </cell>
          <cell r="G638" t="str">
            <v>CB161108081H01</v>
          </cell>
          <cell r="H638">
            <v>1.5</v>
          </cell>
          <cell r="I638">
            <v>1</v>
          </cell>
          <cell r="J638">
            <v>1</v>
          </cell>
          <cell r="K638">
            <v>1</v>
          </cell>
        </row>
        <row r="639">
          <cell r="A639" t="str">
            <v>M1</v>
          </cell>
          <cell r="B639" t="str">
            <v>A5C</v>
          </cell>
          <cell r="C639" t="str">
            <v>P</v>
          </cell>
          <cell r="D639" t="str">
            <v>22039</v>
          </cell>
          <cell r="E639" t="str">
            <v>C SWG</v>
          </cell>
          <cell r="F639">
            <v>2</v>
          </cell>
          <cell r="G639" t="str">
            <v>CB161108081H01</v>
          </cell>
          <cell r="H639">
            <v>1.5</v>
          </cell>
          <cell r="I639">
            <v>1</v>
          </cell>
          <cell r="J639">
            <v>1</v>
          </cell>
          <cell r="K639">
            <v>1</v>
          </cell>
        </row>
        <row r="640">
          <cell r="A640" t="str">
            <v>M1</v>
          </cell>
          <cell r="B640" t="str">
            <v>A5C</v>
          </cell>
          <cell r="C640" t="str">
            <v>P</v>
          </cell>
          <cell r="D640" t="str">
            <v>22039</v>
          </cell>
          <cell r="E640" t="str">
            <v>CAP</v>
          </cell>
          <cell r="F640">
            <v>2</v>
          </cell>
          <cell r="G640" t="str">
            <v>CB520700001H00</v>
          </cell>
          <cell r="H640">
            <v>1.5</v>
          </cell>
          <cell r="I640" t="str">
            <v>--</v>
          </cell>
          <cell r="J640">
            <v>1</v>
          </cell>
          <cell r="K640">
            <v>1</v>
          </cell>
        </row>
        <row r="641">
          <cell r="A641" t="str">
            <v>M1</v>
          </cell>
          <cell r="B641" t="str">
            <v>A5C</v>
          </cell>
          <cell r="C641" t="str">
            <v>P</v>
          </cell>
          <cell r="D641" t="str">
            <v>22040</v>
          </cell>
          <cell r="E641" t="str">
            <v>CAP</v>
          </cell>
          <cell r="F641">
            <v>2</v>
          </cell>
          <cell r="G641" t="str">
            <v>CB520700001H00</v>
          </cell>
          <cell r="H641">
            <v>1.5</v>
          </cell>
          <cell r="I641" t="str">
            <v>--</v>
          </cell>
          <cell r="J641">
            <v>1</v>
          </cell>
          <cell r="K641">
            <v>1</v>
          </cell>
        </row>
        <row r="642">
          <cell r="A642" t="str">
            <v>M1</v>
          </cell>
          <cell r="B642" t="str">
            <v>A5C</v>
          </cell>
          <cell r="C642" t="str">
            <v>P</v>
          </cell>
          <cell r="D642" t="str">
            <v>22041</v>
          </cell>
          <cell r="E642" t="str">
            <v>CAP</v>
          </cell>
          <cell r="F642">
            <v>2</v>
          </cell>
          <cell r="G642" t="str">
            <v>CB520700001H00</v>
          </cell>
          <cell r="H642">
            <v>1.5</v>
          </cell>
          <cell r="I642" t="str">
            <v>--</v>
          </cell>
          <cell r="J642">
            <v>1</v>
          </cell>
          <cell r="K642">
            <v>1</v>
          </cell>
        </row>
        <row r="643">
          <cell r="A643" t="str">
            <v>M1</v>
          </cell>
          <cell r="B643" t="str">
            <v>A6C</v>
          </cell>
          <cell r="C643" t="str">
            <v>HOS</v>
          </cell>
          <cell r="D643" t="str">
            <v>65623</v>
          </cell>
          <cell r="E643" t="str">
            <v>E SWG</v>
          </cell>
          <cell r="F643">
            <v>2</v>
          </cell>
          <cell r="G643" t="str">
            <v>CB162108081H01</v>
          </cell>
          <cell r="H643">
            <v>1.5</v>
          </cell>
          <cell r="I643">
            <v>1</v>
          </cell>
          <cell r="J643">
            <v>1</v>
          </cell>
          <cell r="K643">
            <v>1</v>
          </cell>
        </row>
        <row r="644">
          <cell r="A644" t="str">
            <v>M1</v>
          </cell>
          <cell r="B644" t="str">
            <v>A6C</v>
          </cell>
          <cell r="C644" t="str">
            <v>HOS</v>
          </cell>
          <cell r="D644" t="str">
            <v>65633</v>
          </cell>
          <cell r="E644" t="str">
            <v>CPLG</v>
          </cell>
          <cell r="F644">
            <v>2</v>
          </cell>
          <cell r="G644" t="str">
            <v>CB400500001H00</v>
          </cell>
          <cell r="H644">
            <v>1.5</v>
          </cell>
          <cell r="I644" t="str">
            <v>--</v>
          </cell>
          <cell r="J644">
            <v>1</v>
          </cell>
          <cell r="K644">
            <v>1</v>
          </cell>
        </row>
        <row r="645">
          <cell r="A645" t="str">
            <v>M1</v>
          </cell>
          <cell r="B645" t="str">
            <v>A5C</v>
          </cell>
          <cell r="C645" t="str">
            <v>P</v>
          </cell>
          <cell r="D645" t="str">
            <v>22111</v>
          </cell>
          <cell r="E645" t="str">
            <v>CPLG</v>
          </cell>
          <cell r="F645">
            <v>2</v>
          </cell>
          <cell r="G645" t="str">
            <v>CB400500001H00</v>
          </cell>
          <cell r="H645">
            <v>1.5</v>
          </cell>
          <cell r="I645" t="str">
            <v>--</v>
          </cell>
          <cell r="J645">
            <v>1</v>
          </cell>
          <cell r="K645">
            <v>1</v>
          </cell>
        </row>
        <row r="646">
          <cell r="A646" t="str">
            <v>M1</v>
          </cell>
          <cell r="B646" t="str">
            <v>A5C</v>
          </cell>
          <cell r="C646" t="str">
            <v>P</v>
          </cell>
          <cell r="D646" t="str">
            <v>22045</v>
          </cell>
          <cell r="E646" t="str">
            <v>TEE</v>
          </cell>
          <cell r="F646">
            <v>2</v>
          </cell>
          <cell r="G646" t="str">
            <v>CB400300001H00</v>
          </cell>
          <cell r="H646">
            <v>1.5</v>
          </cell>
          <cell r="I646" t="str">
            <v>--</v>
          </cell>
          <cell r="J646">
            <v>2</v>
          </cell>
          <cell r="K646">
            <v>2</v>
          </cell>
        </row>
        <row r="647">
          <cell r="A647" t="str">
            <v>M1</v>
          </cell>
          <cell r="B647" t="str">
            <v>A5C</v>
          </cell>
          <cell r="C647" t="str">
            <v>P</v>
          </cell>
          <cell r="D647" t="str">
            <v>22117</v>
          </cell>
          <cell r="E647" t="str">
            <v>CPLG</v>
          </cell>
          <cell r="F647">
            <v>2</v>
          </cell>
          <cell r="G647" t="str">
            <v>CB400500001H00</v>
          </cell>
          <cell r="H647">
            <v>1.5</v>
          </cell>
          <cell r="I647" t="str">
            <v>--</v>
          </cell>
          <cell r="J647">
            <v>1</v>
          </cell>
          <cell r="K647">
            <v>1</v>
          </cell>
        </row>
        <row r="648">
          <cell r="A648" t="str">
            <v>M1</v>
          </cell>
          <cell r="B648" t="str">
            <v>A5C</v>
          </cell>
          <cell r="C648" t="str">
            <v>P</v>
          </cell>
          <cell r="D648" t="str">
            <v>22102</v>
          </cell>
          <cell r="E648" t="str">
            <v>R TEE</v>
          </cell>
          <cell r="F648">
            <v>2</v>
          </cell>
          <cell r="G648" t="str">
            <v>CB400400001H0T</v>
          </cell>
          <cell r="H648">
            <v>1.5</v>
          </cell>
          <cell r="I648">
            <v>0.75</v>
          </cell>
          <cell r="J648">
            <v>2</v>
          </cell>
          <cell r="K648">
            <v>2</v>
          </cell>
        </row>
        <row r="649">
          <cell r="A649" t="str">
            <v>M1</v>
          </cell>
          <cell r="B649" t="str">
            <v>A6C</v>
          </cell>
          <cell r="C649" t="str">
            <v>HOS</v>
          </cell>
          <cell r="D649" t="str">
            <v>65632</v>
          </cell>
          <cell r="E649" t="str">
            <v>NPL</v>
          </cell>
          <cell r="F649">
            <v>2</v>
          </cell>
          <cell r="G649" t="str">
            <v>CB132308001HVR</v>
          </cell>
          <cell r="H649">
            <v>1.5</v>
          </cell>
          <cell r="I649" t="str">
            <v>75mm</v>
          </cell>
          <cell r="J649">
            <v>1</v>
          </cell>
          <cell r="K649">
            <v>1</v>
          </cell>
        </row>
        <row r="650">
          <cell r="A650" t="str">
            <v>M1</v>
          </cell>
          <cell r="B650" t="str">
            <v>A6C</v>
          </cell>
          <cell r="C650" t="str">
            <v>HOS</v>
          </cell>
          <cell r="D650" t="str">
            <v>65633</v>
          </cell>
          <cell r="E650" t="str">
            <v>R TEE</v>
          </cell>
          <cell r="F650">
            <v>2</v>
          </cell>
          <cell r="G650" t="str">
            <v>CB400400001H0T</v>
          </cell>
          <cell r="H650">
            <v>1.5</v>
          </cell>
          <cell r="I650">
            <v>0.75</v>
          </cell>
          <cell r="J650">
            <v>1</v>
          </cell>
          <cell r="K650">
            <v>1</v>
          </cell>
        </row>
        <row r="651">
          <cell r="A651" t="str">
            <v>M1</v>
          </cell>
          <cell r="B651" t="str">
            <v>A6C</v>
          </cell>
          <cell r="C651" t="str">
            <v>HOS</v>
          </cell>
          <cell r="D651" t="str">
            <v>65632</v>
          </cell>
          <cell r="E651" t="str">
            <v>TEE</v>
          </cell>
          <cell r="F651">
            <v>2</v>
          </cell>
          <cell r="G651" t="str">
            <v>CB400300001H00</v>
          </cell>
          <cell r="H651">
            <v>1.5</v>
          </cell>
          <cell r="I651" t="str">
            <v>--</v>
          </cell>
          <cell r="J651">
            <v>1</v>
          </cell>
          <cell r="K651">
            <v>1</v>
          </cell>
        </row>
        <row r="652">
          <cell r="A652" t="str">
            <v>M1</v>
          </cell>
          <cell r="B652" t="str">
            <v>A5C</v>
          </cell>
          <cell r="C652" t="str">
            <v>P</v>
          </cell>
          <cell r="D652" t="str">
            <v>22002</v>
          </cell>
          <cell r="E652" t="str">
            <v>TEE</v>
          </cell>
          <cell r="F652">
            <v>2</v>
          </cell>
          <cell r="G652" t="str">
            <v>CB400300001H00</v>
          </cell>
          <cell r="H652">
            <v>1.5</v>
          </cell>
          <cell r="I652" t="str">
            <v>--</v>
          </cell>
          <cell r="J652">
            <v>1</v>
          </cell>
          <cell r="K652">
            <v>1</v>
          </cell>
        </row>
        <row r="653">
          <cell r="A653" t="str">
            <v>M1</v>
          </cell>
          <cell r="B653" t="str">
            <v>A5C</v>
          </cell>
          <cell r="C653" t="str">
            <v>P</v>
          </cell>
          <cell r="D653" t="str">
            <v>22158</v>
          </cell>
          <cell r="E653" t="str">
            <v>C SWG</v>
          </cell>
          <cell r="F653">
            <v>2</v>
          </cell>
          <cell r="G653" t="str">
            <v>CB161108081H01</v>
          </cell>
          <cell r="H653">
            <v>1.5</v>
          </cell>
          <cell r="I653">
            <v>1</v>
          </cell>
          <cell r="J653">
            <v>1</v>
          </cell>
          <cell r="K653">
            <v>1</v>
          </cell>
        </row>
        <row r="654">
          <cell r="A654" t="str">
            <v>M1</v>
          </cell>
          <cell r="B654" t="str">
            <v>A6C</v>
          </cell>
          <cell r="C654" t="str">
            <v>HOS</v>
          </cell>
          <cell r="D654" t="str">
            <v>65633</v>
          </cell>
          <cell r="E654" t="str">
            <v>C SWG</v>
          </cell>
          <cell r="F654">
            <v>2</v>
          </cell>
          <cell r="G654" t="str">
            <v>CB161108081H0T</v>
          </cell>
          <cell r="H654">
            <v>1.5</v>
          </cell>
          <cell r="I654">
            <v>0.75</v>
          </cell>
          <cell r="J654">
            <v>1</v>
          </cell>
          <cell r="K654">
            <v>1</v>
          </cell>
        </row>
        <row r="655">
          <cell r="A655" t="str">
            <v>M1</v>
          </cell>
          <cell r="B655" t="str">
            <v>A5C</v>
          </cell>
          <cell r="C655" t="str">
            <v>P</v>
          </cell>
          <cell r="D655" t="str">
            <v>22111</v>
          </cell>
          <cell r="E655" t="str">
            <v>C SWG</v>
          </cell>
          <cell r="F655">
            <v>2</v>
          </cell>
          <cell r="G655" t="str">
            <v>CB161108081H01</v>
          </cell>
          <cell r="H655">
            <v>1.5</v>
          </cell>
          <cell r="I655">
            <v>1</v>
          </cell>
          <cell r="J655">
            <v>1</v>
          </cell>
          <cell r="K655">
            <v>1</v>
          </cell>
        </row>
        <row r="656">
          <cell r="A656" t="str">
            <v>M1</v>
          </cell>
          <cell r="B656" t="str">
            <v>A5C</v>
          </cell>
          <cell r="C656" t="str">
            <v>P</v>
          </cell>
          <cell r="D656" t="str">
            <v>22085</v>
          </cell>
          <cell r="E656" t="str">
            <v>TEE</v>
          </cell>
          <cell r="F656">
            <v>2</v>
          </cell>
          <cell r="G656" t="str">
            <v>CB400300001H00</v>
          </cell>
          <cell r="H656">
            <v>1.5</v>
          </cell>
          <cell r="I656" t="str">
            <v>--</v>
          </cell>
          <cell r="J656">
            <v>1</v>
          </cell>
          <cell r="K656">
            <v>1</v>
          </cell>
        </row>
        <row r="657">
          <cell r="A657" t="str">
            <v>M1</v>
          </cell>
          <cell r="B657" t="str">
            <v>A5C</v>
          </cell>
          <cell r="C657" t="str">
            <v>P</v>
          </cell>
          <cell r="D657" t="str">
            <v>22157</v>
          </cell>
          <cell r="E657" t="str">
            <v>CPLG</v>
          </cell>
          <cell r="F657">
            <v>2</v>
          </cell>
          <cell r="G657" t="str">
            <v>CB400500001H00</v>
          </cell>
          <cell r="H657">
            <v>1.5</v>
          </cell>
          <cell r="I657" t="str">
            <v>--</v>
          </cell>
          <cell r="J657">
            <v>1</v>
          </cell>
          <cell r="K657">
            <v>1</v>
          </cell>
        </row>
        <row r="658">
          <cell r="A658" t="str">
            <v>M1</v>
          </cell>
          <cell r="B658" t="str">
            <v>A5C</v>
          </cell>
          <cell r="C658" t="str">
            <v>P</v>
          </cell>
          <cell r="D658" t="str">
            <v>22158</v>
          </cell>
          <cell r="E658" t="str">
            <v>CPLG</v>
          </cell>
          <cell r="F658">
            <v>2</v>
          </cell>
          <cell r="G658" t="str">
            <v>CB400500001H00</v>
          </cell>
          <cell r="H658">
            <v>1.5</v>
          </cell>
          <cell r="I658" t="str">
            <v>--</v>
          </cell>
          <cell r="J658">
            <v>1</v>
          </cell>
          <cell r="K658">
            <v>1</v>
          </cell>
        </row>
        <row r="659">
          <cell r="A659" t="str">
            <v>M1</v>
          </cell>
          <cell r="B659" t="str">
            <v>A5C</v>
          </cell>
          <cell r="C659" t="str">
            <v>P</v>
          </cell>
          <cell r="D659" t="str">
            <v>22157</v>
          </cell>
          <cell r="E659" t="str">
            <v>NPL</v>
          </cell>
          <cell r="F659">
            <v>2</v>
          </cell>
          <cell r="G659" t="str">
            <v>CB132308001HVR</v>
          </cell>
          <cell r="H659">
            <v>1.5</v>
          </cell>
          <cell r="I659" t="str">
            <v>75mm</v>
          </cell>
          <cell r="J659">
            <v>1</v>
          </cell>
          <cell r="K659">
            <v>1</v>
          </cell>
        </row>
        <row r="660">
          <cell r="A660" t="str">
            <v>M1</v>
          </cell>
          <cell r="B660" t="str">
            <v>A5C</v>
          </cell>
          <cell r="C660" t="str">
            <v>P</v>
          </cell>
          <cell r="D660" t="str">
            <v>22071</v>
          </cell>
          <cell r="E660" t="str">
            <v>R TEE</v>
          </cell>
          <cell r="F660">
            <v>2</v>
          </cell>
          <cell r="G660" t="str">
            <v>CB400400001H0T</v>
          </cell>
          <cell r="H660">
            <v>1.5</v>
          </cell>
          <cell r="I660">
            <v>0.75</v>
          </cell>
          <cell r="J660">
            <v>1</v>
          </cell>
          <cell r="K660">
            <v>1</v>
          </cell>
        </row>
        <row r="661">
          <cell r="A661" t="str">
            <v>M1</v>
          </cell>
          <cell r="B661" t="str">
            <v>A5C</v>
          </cell>
          <cell r="C661" t="str">
            <v>P</v>
          </cell>
          <cell r="D661" t="str">
            <v>22071</v>
          </cell>
          <cell r="E661" t="str">
            <v>R TEE</v>
          </cell>
          <cell r="F661">
            <v>2</v>
          </cell>
          <cell r="G661" t="str">
            <v>CB400400001H01</v>
          </cell>
          <cell r="H661">
            <v>1.5</v>
          </cell>
          <cell r="I661">
            <v>1</v>
          </cell>
          <cell r="J661">
            <v>1</v>
          </cell>
          <cell r="K661">
            <v>1</v>
          </cell>
        </row>
        <row r="662">
          <cell r="A662" t="str">
            <v>M1</v>
          </cell>
          <cell r="B662" t="str">
            <v>A5C</v>
          </cell>
          <cell r="C662" t="str">
            <v>P</v>
          </cell>
          <cell r="D662" t="str">
            <v>22109</v>
          </cell>
          <cell r="E662" t="str">
            <v>R TEE</v>
          </cell>
          <cell r="F662">
            <v>2</v>
          </cell>
          <cell r="G662" t="str">
            <v>CB400400001H01</v>
          </cell>
          <cell r="H662">
            <v>1.5</v>
          </cell>
          <cell r="I662">
            <v>1</v>
          </cell>
          <cell r="J662">
            <v>1</v>
          </cell>
          <cell r="K662">
            <v>1</v>
          </cell>
        </row>
        <row r="663">
          <cell r="A663" t="str">
            <v>M1</v>
          </cell>
          <cell r="B663" t="str">
            <v>A5C</v>
          </cell>
          <cell r="C663" t="str">
            <v>P</v>
          </cell>
          <cell r="D663" t="str">
            <v>22104</v>
          </cell>
          <cell r="E663" t="str">
            <v>R TEE</v>
          </cell>
          <cell r="F663">
            <v>2</v>
          </cell>
          <cell r="G663" t="str">
            <v>CB400400001H0T</v>
          </cell>
          <cell r="H663">
            <v>1.5</v>
          </cell>
          <cell r="I663">
            <v>0.75</v>
          </cell>
          <cell r="J663">
            <v>1</v>
          </cell>
          <cell r="K663">
            <v>1</v>
          </cell>
        </row>
        <row r="664">
          <cell r="A664" t="str">
            <v>M1</v>
          </cell>
          <cell r="B664" t="str">
            <v>A5C</v>
          </cell>
          <cell r="C664" t="str">
            <v>P</v>
          </cell>
          <cell r="D664" t="str">
            <v>22104</v>
          </cell>
          <cell r="E664" t="str">
            <v>R TEE</v>
          </cell>
          <cell r="F664">
            <v>2</v>
          </cell>
          <cell r="G664" t="str">
            <v>CB400400001H01</v>
          </cell>
          <cell r="H664">
            <v>1.5</v>
          </cell>
          <cell r="I664">
            <v>1</v>
          </cell>
          <cell r="J664">
            <v>1</v>
          </cell>
          <cell r="K664">
            <v>1</v>
          </cell>
        </row>
        <row r="665">
          <cell r="A665" t="str">
            <v>M1</v>
          </cell>
          <cell r="B665" t="str">
            <v>A5C</v>
          </cell>
          <cell r="C665" t="str">
            <v>P</v>
          </cell>
          <cell r="D665" t="str">
            <v>22157</v>
          </cell>
          <cell r="E665" t="str">
            <v>R TEE</v>
          </cell>
          <cell r="F665">
            <v>2</v>
          </cell>
          <cell r="G665" t="str">
            <v>CB400400001H0H</v>
          </cell>
          <cell r="H665">
            <v>1.5</v>
          </cell>
          <cell r="I665">
            <v>0.5</v>
          </cell>
          <cell r="J665">
            <v>1</v>
          </cell>
          <cell r="K665">
            <v>1</v>
          </cell>
        </row>
        <row r="666">
          <cell r="A666" t="str">
            <v>M1</v>
          </cell>
          <cell r="B666" t="str">
            <v>A5C</v>
          </cell>
          <cell r="C666" t="str">
            <v>TRIM</v>
          </cell>
          <cell r="D666" t="str">
            <v>X-2207</v>
          </cell>
          <cell r="E666" t="str">
            <v>NPL</v>
          </cell>
          <cell r="F666">
            <v>2</v>
          </cell>
          <cell r="G666" t="str">
            <v>CB132108001HVR</v>
          </cell>
          <cell r="H666">
            <v>1.5</v>
          </cell>
          <cell r="I666" t="str">
            <v>75mm</v>
          </cell>
          <cell r="J666">
            <v>2</v>
          </cell>
          <cell r="K666">
            <v>2</v>
          </cell>
        </row>
        <row r="667">
          <cell r="A667" t="str">
            <v>M1</v>
          </cell>
          <cell r="B667" t="str">
            <v>A5C</v>
          </cell>
          <cell r="C667" t="str">
            <v>P</v>
          </cell>
          <cell r="D667" t="str">
            <v>22158</v>
          </cell>
          <cell r="E667" t="str">
            <v>R TEE</v>
          </cell>
          <cell r="F667">
            <v>2</v>
          </cell>
          <cell r="G667" t="str">
            <v>CB400400001H0H</v>
          </cell>
          <cell r="H667">
            <v>1.5</v>
          </cell>
          <cell r="I667">
            <v>0.5</v>
          </cell>
          <cell r="J667">
            <v>1</v>
          </cell>
          <cell r="K667">
            <v>1</v>
          </cell>
        </row>
        <row r="668">
          <cell r="A668" t="str">
            <v>M1</v>
          </cell>
          <cell r="B668" t="str">
            <v>A5C</v>
          </cell>
          <cell r="C668" t="str">
            <v>P</v>
          </cell>
          <cell r="D668" t="str">
            <v>22078</v>
          </cell>
          <cell r="E668" t="str">
            <v>R TEE</v>
          </cell>
          <cell r="F668">
            <v>2</v>
          </cell>
          <cell r="G668" t="str">
            <v>CB400400001H0T</v>
          </cell>
          <cell r="H668">
            <v>1.5</v>
          </cell>
          <cell r="I668">
            <v>0.75</v>
          </cell>
          <cell r="J668">
            <v>1</v>
          </cell>
          <cell r="K668">
            <v>1</v>
          </cell>
        </row>
        <row r="669">
          <cell r="A669" t="str">
            <v>M1</v>
          </cell>
          <cell r="B669" t="str">
            <v>A5C</v>
          </cell>
          <cell r="C669" t="str">
            <v>P</v>
          </cell>
          <cell r="D669" t="str">
            <v>22087</v>
          </cell>
          <cell r="E669" t="str">
            <v>R TEE</v>
          </cell>
          <cell r="F669">
            <v>2</v>
          </cell>
          <cell r="G669" t="str">
            <v>CB400400001H0T</v>
          </cell>
          <cell r="H669">
            <v>1.5</v>
          </cell>
          <cell r="I669">
            <v>0.75</v>
          </cell>
          <cell r="J669">
            <v>1</v>
          </cell>
          <cell r="K669">
            <v>1</v>
          </cell>
        </row>
        <row r="670">
          <cell r="A670" t="str">
            <v>M1</v>
          </cell>
          <cell r="B670" t="str">
            <v>A5C</v>
          </cell>
          <cell r="C670" t="str">
            <v>P</v>
          </cell>
          <cell r="D670" t="str">
            <v>22087</v>
          </cell>
          <cell r="E670" t="str">
            <v>R TEE</v>
          </cell>
          <cell r="F670">
            <v>2</v>
          </cell>
          <cell r="G670" t="str">
            <v>CB400400001H01</v>
          </cell>
          <cell r="H670">
            <v>1.5</v>
          </cell>
          <cell r="I670">
            <v>1</v>
          </cell>
          <cell r="J670">
            <v>1</v>
          </cell>
          <cell r="K670">
            <v>1</v>
          </cell>
        </row>
        <row r="671">
          <cell r="A671" t="str">
            <v>M1</v>
          </cell>
          <cell r="B671" t="str">
            <v>A5C</v>
          </cell>
          <cell r="C671" t="str">
            <v>P</v>
          </cell>
          <cell r="D671" t="str">
            <v>22102</v>
          </cell>
          <cell r="E671" t="str">
            <v>R TEE</v>
          </cell>
          <cell r="F671">
            <v>2</v>
          </cell>
          <cell r="G671" t="str">
            <v>CB400400001H01</v>
          </cell>
          <cell r="H671">
            <v>1.5</v>
          </cell>
          <cell r="I671">
            <v>1</v>
          </cell>
          <cell r="J671">
            <v>1</v>
          </cell>
          <cell r="K671">
            <v>1</v>
          </cell>
        </row>
        <row r="672">
          <cell r="A672" t="str">
            <v>M1</v>
          </cell>
          <cell r="B672" t="str">
            <v>A5C</v>
          </cell>
          <cell r="C672" t="str">
            <v>P</v>
          </cell>
          <cell r="D672" t="str">
            <v>22113</v>
          </cell>
          <cell r="E672" t="str">
            <v>R TEE</v>
          </cell>
          <cell r="F672">
            <v>2</v>
          </cell>
          <cell r="G672" t="str">
            <v>CB400400001H0T</v>
          </cell>
          <cell r="H672">
            <v>1.5</v>
          </cell>
          <cell r="I672">
            <v>0.75</v>
          </cell>
          <cell r="J672">
            <v>1</v>
          </cell>
          <cell r="K672">
            <v>1</v>
          </cell>
        </row>
        <row r="673">
          <cell r="A673" t="str">
            <v>M1</v>
          </cell>
          <cell r="B673" t="str">
            <v>A5C</v>
          </cell>
          <cell r="C673" t="str">
            <v>P</v>
          </cell>
          <cell r="D673" t="str">
            <v>22114</v>
          </cell>
          <cell r="E673" t="str">
            <v>R TEE</v>
          </cell>
          <cell r="F673">
            <v>2</v>
          </cell>
          <cell r="G673" t="str">
            <v>CB400400001H0T</v>
          </cell>
          <cell r="H673">
            <v>1.5</v>
          </cell>
          <cell r="I673">
            <v>0.75</v>
          </cell>
          <cell r="J673">
            <v>1</v>
          </cell>
          <cell r="K673">
            <v>1</v>
          </cell>
        </row>
        <row r="674">
          <cell r="A674" t="str">
            <v>M1</v>
          </cell>
          <cell r="B674" t="str">
            <v>A4C</v>
          </cell>
          <cell r="C674" t="str">
            <v>P</v>
          </cell>
          <cell r="D674" t="str">
            <v>22031</v>
          </cell>
          <cell r="E674" t="str">
            <v>90 ELL</v>
          </cell>
          <cell r="F674">
            <v>2</v>
          </cell>
          <cell r="G674" t="str">
            <v>CB400100001H00</v>
          </cell>
          <cell r="H674">
            <v>1.5</v>
          </cell>
          <cell r="I674" t="str">
            <v>--</v>
          </cell>
          <cell r="J674">
            <v>1</v>
          </cell>
          <cell r="K674">
            <v>1</v>
          </cell>
        </row>
        <row r="675">
          <cell r="A675" t="str">
            <v>M1</v>
          </cell>
          <cell r="B675" t="str">
            <v>A5C</v>
          </cell>
          <cell r="C675" t="str">
            <v>TRIM</v>
          </cell>
          <cell r="D675" t="str">
            <v>V-2201</v>
          </cell>
          <cell r="E675" t="str">
            <v>NPL</v>
          </cell>
          <cell r="F675">
            <v>2</v>
          </cell>
          <cell r="G675" t="str">
            <v>CB132308001HVR</v>
          </cell>
          <cell r="H675">
            <v>1.5</v>
          </cell>
          <cell r="I675" t="str">
            <v>75mm</v>
          </cell>
          <cell r="J675">
            <v>1</v>
          </cell>
          <cell r="K675">
            <v>1</v>
          </cell>
        </row>
        <row r="676">
          <cell r="A676" t="str">
            <v>M1</v>
          </cell>
          <cell r="B676" t="str">
            <v>A5C</v>
          </cell>
          <cell r="C676" t="str">
            <v>TRIM</v>
          </cell>
          <cell r="D676" t="str">
            <v>V-2201</v>
          </cell>
          <cell r="E676" t="str">
            <v>CAP</v>
          </cell>
          <cell r="F676">
            <v>2</v>
          </cell>
          <cell r="G676" t="str">
            <v>CB520700001H00</v>
          </cell>
          <cell r="H676">
            <v>1.5</v>
          </cell>
          <cell r="I676" t="str">
            <v>--</v>
          </cell>
          <cell r="J676">
            <v>1</v>
          </cell>
          <cell r="K676">
            <v>1</v>
          </cell>
        </row>
        <row r="677">
          <cell r="A677" t="str">
            <v>M1</v>
          </cell>
          <cell r="B677" t="str">
            <v>A5C</v>
          </cell>
          <cell r="C677" t="str">
            <v>TRIM</v>
          </cell>
          <cell r="D677" t="str">
            <v>V-2201</v>
          </cell>
          <cell r="E677" t="str">
            <v>NPL</v>
          </cell>
          <cell r="F677">
            <v>2</v>
          </cell>
          <cell r="G677" t="str">
            <v>CB132108001HVR</v>
          </cell>
          <cell r="H677">
            <v>1.5</v>
          </cell>
          <cell r="I677" t="str">
            <v>75mm</v>
          </cell>
          <cell r="J677">
            <v>1</v>
          </cell>
          <cell r="K677">
            <v>1</v>
          </cell>
        </row>
        <row r="678">
          <cell r="A678" t="str">
            <v>M1</v>
          </cell>
          <cell r="B678" t="str">
            <v>A5C</v>
          </cell>
          <cell r="C678" t="str">
            <v>P</v>
          </cell>
          <cell r="D678" t="str">
            <v>22078</v>
          </cell>
          <cell r="E678" t="str">
            <v>TEE</v>
          </cell>
          <cell r="F678">
            <v>2</v>
          </cell>
          <cell r="G678" t="str">
            <v>CB400300001H00</v>
          </cell>
          <cell r="H678">
            <v>1.5</v>
          </cell>
          <cell r="I678" t="str">
            <v>--</v>
          </cell>
          <cell r="J678">
            <v>2</v>
          </cell>
          <cell r="K678">
            <v>2</v>
          </cell>
        </row>
        <row r="679">
          <cell r="A679" t="str">
            <v>M1</v>
          </cell>
          <cell r="B679" t="str">
            <v>A4C</v>
          </cell>
          <cell r="C679" t="str">
            <v>P</v>
          </cell>
          <cell r="D679" t="str">
            <v>22031</v>
          </cell>
          <cell r="E679" t="str">
            <v>R TEE</v>
          </cell>
          <cell r="F679">
            <v>2</v>
          </cell>
          <cell r="G679" t="str">
            <v>CB400400001H0T</v>
          </cell>
          <cell r="H679">
            <v>1.5</v>
          </cell>
          <cell r="I679">
            <v>0.75</v>
          </cell>
          <cell r="J679">
            <v>1</v>
          </cell>
          <cell r="K679">
            <v>1</v>
          </cell>
        </row>
        <row r="680">
          <cell r="A680" t="str">
            <v>M1</v>
          </cell>
          <cell r="B680" t="str">
            <v>A4C</v>
          </cell>
          <cell r="C680" t="str">
            <v>P</v>
          </cell>
          <cell r="D680" t="str">
            <v>22031</v>
          </cell>
          <cell r="E680" t="str">
            <v>TEE</v>
          </cell>
          <cell r="F680">
            <v>2</v>
          </cell>
          <cell r="G680" t="str">
            <v>CB400300001H00</v>
          </cell>
          <cell r="H680">
            <v>1.5</v>
          </cell>
          <cell r="I680" t="str">
            <v>--</v>
          </cell>
          <cell r="J680">
            <v>1</v>
          </cell>
          <cell r="K680">
            <v>1</v>
          </cell>
        </row>
        <row r="681">
          <cell r="A681" t="str">
            <v>M1</v>
          </cell>
          <cell r="B681" t="str">
            <v>A5C</v>
          </cell>
          <cell r="C681" t="str">
            <v>P</v>
          </cell>
          <cell r="D681" t="str">
            <v>22071</v>
          </cell>
          <cell r="E681" t="str">
            <v>TEE</v>
          </cell>
          <cell r="F681">
            <v>2</v>
          </cell>
          <cell r="G681" t="str">
            <v>CB400300001H00</v>
          </cell>
          <cell r="H681">
            <v>1.5</v>
          </cell>
          <cell r="I681" t="str">
            <v>--</v>
          </cell>
          <cell r="J681">
            <v>2</v>
          </cell>
          <cell r="K681">
            <v>2</v>
          </cell>
        </row>
        <row r="682">
          <cell r="A682" t="str">
            <v>M1</v>
          </cell>
          <cell r="B682" t="str">
            <v>B2C</v>
          </cell>
          <cell r="C682" t="str">
            <v>CWR</v>
          </cell>
          <cell r="D682" t="str">
            <v>22619</v>
          </cell>
          <cell r="E682" t="str">
            <v>90 ELL</v>
          </cell>
          <cell r="F682">
            <v>2</v>
          </cell>
          <cell r="G682" t="str">
            <v>CB300108000200</v>
          </cell>
          <cell r="H682">
            <v>2</v>
          </cell>
          <cell r="I682" t="str">
            <v>--</v>
          </cell>
          <cell r="J682">
            <v>1</v>
          </cell>
          <cell r="K682">
            <v>2</v>
          </cell>
        </row>
        <row r="683">
          <cell r="A683" t="str">
            <v>M1</v>
          </cell>
          <cell r="B683" t="str">
            <v>B2C</v>
          </cell>
          <cell r="C683" t="str">
            <v>CWR</v>
          </cell>
          <cell r="D683" t="str">
            <v>22620</v>
          </cell>
          <cell r="E683" t="str">
            <v>90 ELL</v>
          </cell>
          <cell r="F683">
            <v>2</v>
          </cell>
          <cell r="G683" t="str">
            <v>CB300108000200</v>
          </cell>
          <cell r="H683">
            <v>2</v>
          </cell>
          <cell r="I683" t="str">
            <v>--</v>
          </cell>
          <cell r="J683">
            <v>1</v>
          </cell>
          <cell r="K683">
            <v>2</v>
          </cell>
        </row>
        <row r="684">
          <cell r="A684" t="str">
            <v>M1</v>
          </cell>
          <cell r="B684" t="str">
            <v>B2C</v>
          </cell>
          <cell r="C684" t="str">
            <v>SH</v>
          </cell>
          <cell r="D684" t="str">
            <v>22611</v>
          </cell>
          <cell r="E684" t="str">
            <v>45 ELL</v>
          </cell>
          <cell r="F684">
            <v>2</v>
          </cell>
          <cell r="G684" t="str">
            <v>CB300208000200</v>
          </cell>
          <cell r="H684">
            <v>2</v>
          </cell>
          <cell r="I684" t="str">
            <v>--</v>
          </cell>
          <cell r="J684">
            <v>1</v>
          </cell>
          <cell r="K684">
            <v>2</v>
          </cell>
        </row>
        <row r="685">
          <cell r="A685" t="str">
            <v>M1</v>
          </cell>
          <cell r="B685" t="str">
            <v>B2C</v>
          </cell>
          <cell r="C685" t="str">
            <v>SH</v>
          </cell>
          <cell r="D685" t="str">
            <v>22611</v>
          </cell>
          <cell r="E685" t="str">
            <v>90 ELL</v>
          </cell>
          <cell r="F685">
            <v>2</v>
          </cell>
          <cell r="G685" t="str">
            <v>CB300108000200</v>
          </cell>
          <cell r="H685">
            <v>2</v>
          </cell>
          <cell r="I685" t="str">
            <v>--</v>
          </cell>
          <cell r="J685">
            <v>4</v>
          </cell>
          <cell r="K685">
            <v>5</v>
          </cell>
        </row>
        <row r="686">
          <cell r="A686" t="str">
            <v>M1</v>
          </cell>
          <cell r="B686" t="str">
            <v>B2C</v>
          </cell>
          <cell r="C686" t="str">
            <v>SH</v>
          </cell>
          <cell r="D686" t="str">
            <v>22611</v>
          </cell>
          <cell r="E686" t="str">
            <v>90 ELL</v>
          </cell>
          <cell r="F686">
            <v>2</v>
          </cell>
          <cell r="G686" t="str">
            <v>CB300108000200</v>
          </cell>
          <cell r="H686">
            <v>2</v>
          </cell>
          <cell r="I686" t="str">
            <v>--</v>
          </cell>
          <cell r="J686">
            <v>2</v>
          </cell>
          <cell r="K686">
            <v>3</v>
          </cell>
        </row>
        <row r="687">
          <cell r="A687" t="str">
            <v>M1</v>
          </cell>
          <cell r="B687" t="str">
            <v>B2C</v>
          </cell>
          <cell r="C687" t="str">
            <v>SH</v>
          </cell>
          <cell r="D687" t="str">
            <v>22612</v>
          </cell>
          <cell r="E687" t="str">
            <v>90 ELL</v>
          </cell>
          <cell r="F687">
            <v>2</v>
          </cell>
          <cell r="G687" t="str">
            <v>CB300108000200</v>
          </cell>
          <cell r="H687">
            <v>2</v>
          </cell>
          <cell r="I687" t="str">
            <v>--</v>
          </cell>
          <cell r="J687">
            <v>13</v>
          </cell>
          <cell r="K687">
            <v>15</v>
          </cell>
        </row>
        <row r="688">
          <cell r="A688" t="str">
            <v>M1</v>
          </cell>
          <cell r="B688" t="str">
            <v>B2C</v>
          </cell>
          <cell r="C688" t="str">
            <v>SH</v>
          </cell>
          <cell r="D688" t="str">
            <v>22613</v>
          </cell>
          <cell r="E688" t="str">
            <v>90 ELL</v>
          </cell>
          <cell r="F688">
            <v>2</v>
          </cell>
          <cell r="G688" t="str">
            <v>CB300108000200</v>
          </cell>
          <cell r="H688">
            <v>2</v>
          </cell>
          <cell r="I688" t="str">
            <v>--</v>
          </cell>
          <cell r="J688">
            <v>13</v>
          </cell>
          <cell r="K688">
            <v>15</v>
          </cell>
        </row>
        <row r="689">
          <cell r="A689" t="str">
            <v>M1</v>
          </cell>
          <cell r="B689" t="str">
            <v>B2C</v>
          </cell>
          <cell r="C689" t="str">
            <v>SH</v>
          </cell>
          <cell r="D689" t="str">
            <v>22614</v>
          </cell>
          <cell r="E689" t="str">
            <v>90 ELL</v>
          </cell>
          <cell r="F689">
            <v>2</v>
          </cell>
          <cell r="G689" t="str">
            <v>CB300108000200</v>
          </cell>
          <cell r="H689">
            <v>2</v>
          </cell>
          <cell r="I689" t="str">
            <v>--</v>
          </cell>
          <cell r="J689">
            <v>8</v>
          </cell>
          <cell r="K689">
            <v>9</v>
          </cell>
        </row>
        <row r="690">
          <cell r="A690" t="str">
            <v>M1</v>
          </cell>
          <cell r="B690" t="str">
            <v>B2C</v>
          </cell>
          <cell r="C690" t="str">
            <v>SH</v>
          </cell>
          <cell r="D690" t="str">
            <v>22614</v>
          </cell>
          <cell r="E690" t="str">
            <v>E SWG</v>
          </cell>
          <cell r="F690">
            <v>2</v>
          </cell>
          <cell r="G690" t="str">
            <v>CB1624080802IH</v>
          </cell>
          <cell r="H690">
            <v>2</v>
          </cell>
          <cell r="I690">
            <v>1.5</v>
          </cell>
          <cell r="J690">
            <v>2</v>
          </cell>
          <cell r="K690">
            <v>3</v>
          </cell>
        </row>
        <row r="691">
          <cell r="A691" t="str">
            <v>M1</v>
          </cell>
          <cell r="B691" t="str">
            <v>B2C</v>
          </cell>
          <cell r="C691" t="str">
            <v>SH</v>
          </cell>
          <cell r="D691" t="str">
            <v>22611</v>
          </cell>
          <cell r="E691" t="str">
            <v>E SWG</v>
          </cell>
          <cell r="F691">
            <v>2</v>
          </cell>
          <cell r="G691" t="str">
            <v>CB162408080201</v>
          </cell>
          <cell r="H691">
            <v>2</v>
          </cell>
          <cell r="I691">
            <v>1</v>
          </cell>
          <cell r="J691">
            <v>2</v>
          </cell>
          <cell r="K691">
            <v>3</v>
          </cell>
        </row>
        <row r="692">
          <cell r="A692" t="str">
            <v>M1</v>
          </cell>
          <cell r="B692" t="str">
            <v>B2C</v>
          </cell>
          <cell r="C692" t="str">
            <v>SH</v>
          </cell>
          <cell r="D692" t="str">
            <v>22613</v>
          </cell>
          <cell r="E692" t="str">
            <v>E SWG</v>
          </cell>
          <cell r="F692">
            <v>2</v>
          </cell>
          <cell r="G692" t="str">
            <v>CB1624080802IH</v>
          </cell>
          <cell r="H692">
            <v>2</v>
          </cell>
          <cell r="I692">
            <v>1.5</v>
          </cell>
          <cell r="J692">
            <v>2</v>
          </cell>
          <cell r="K692">
            <v>3</v>
          </cell>
        </row>
        <row r="693">
          <cell r="A693" t="str">
            <v>M1</v>
          </cell>
          <cell r="B693" t="str">
            <v>B2C</v>
          </cell>
          <cell r="C693" t="str">
            <v>SH</v>
          </cell>
          <cell r="D693" t="str">
            <v>22612</v>
          </cell>
          <cell r="E693" t="str">
            <v>SOL</v>
          </cell>
          <cell r="F693">
            <v>2</v>
          </cell>
          <cell r="G693" t="str">
            <v>CB39020000020T</v>
          </cell>
          <cell r="H693">
            <v>2</v>
          </cell>
          <cell r="I693">
            <v>0.75</v>
          </cell>
          <cell r="J693">
            <v>2</v>
          </cell>
          <cell r="K693">
            <v>3</v>
          </cell>
        </row>
        <row r="694">
          <cell r="A694" t="str">
            <v>M1</v>
          </cell>
          <cell r="B694" t="str">
            <v>B2C</v>
          </cell>
          <cell r="C694" t="str">
            <v>SH</v>
          </cell>
          <cell r="D694" t="str">
            <v>22611</v>
          </cell>
          <cell r="E694" t="str">
            <v>SOL</v>
          </cell>
          <cell r="F694">
            <v>2</v>
          </cell>
          <cell r="G694" t="str">
            <v>CB39020000020T</v>
          </cell>
          <cell r="H694">
            <v>2</v>
          </cell>
          <cell r="I694">
            <v>0.75</v>
          </cell>
          <cell r="J694">
            <v>1</v>
          </cell>
          <cell r="K694">
            <v>2</v>
          </cell>
        </row>
        <row r="695">
          <cell r="A695" t="str">
            <v>M1</v>
          </cell>
          <cell r="B695" t="str">
            <v>B2C</v>
          </cell>
          <cell r="C695" t="str">
            <v>SH</v>
          </cell>
          <cell r="D695" t="str">
            <v>22614</v>
          </cell>
          <cell r="E695" t="str">
            <v>SOL</v>
          </cell>
          <cell r="F695">
            <v>2</v>
          </cell>
          <cell r="G695" t="str">
            <v>CB39020000020T</v>
          </cell>
          <cell r="H695">
            <v>2</v>
          </cell>
          <cell r="I695">
            <v>0.75</v>
          </cell>
          <cell r="J695">
            <v>2</v>
          </cell>
          <cell r="K695">
            <v>3</v>
          </cell>
        </row>
        <row r="696">
          <cell r="A696" t="str">
            <v>M1</v>
          </cell>
          <cell r="B696" t="str">
            <v>B2C</v>
          </cell>
          <cell r="C696" t="str">
            <v>SH</v>
          </cell>
          <cell r="D696" t="str">
            <v>22614</v>
          </cell>
          <cell r="E696" t="str">
            <v>SOL</v>
          </cell>
          <cell r="F696">
            <v>2</v>
          </cell>
          <cell r="G696" t="str">
            <v>CB390200000201</v>
          </cell>
          <cell r="H696">
            <v>2</v>
          </cell>
          <cell r="I696">
            <v>1</v>
          </cell>
          <cell r="J696">
            <v>1</v>
          </cell>
          <cell r="K696">
            <v>2</v>
          </cell>
        </row>
        <row r="697">
          <cell r="A697" t="str">
            <v>M1</v>
          </cell>
          <cell r="B697" t="str">
            <v>B2C</v>
          </cell>
          <cell r="C697" t="str">
            <v>SH</v>
          </cell>
          <cell r="D697" t="str">
            <v>22613</v>
          </cell>
          <cell r="E697" t="str">
            <v>SOL</v>
          </cell>
          <cell r="F697">
            <v>2</v>
          </cell>
          <cell r="G697" t="str">
            <v>CB39020000020T</v>
          </cell>
          <cell r="H697">
            <v>2</v>
          </cell>
          <cell r="I697">
            <v>0.75</v>
          </cell>
          <cell r="J697">
            <v>2</v>
          </cell>
          <cell r="K697">
            <v>3</v>
          </cell>
        </row>
        <row r="698">
          <cell r="A698" t="str">
            <v>M1</v>
          </cell>
          <cell r="B698" t="str">
            <v>B2C</v>
          </cell>
          <cell r="C698" t="str">
            <v>SH</v>
          </cell>
          <cell r="D698" t="str">
            <v>22614</v>
          </cell>
          <cell r="E698" t="str">
            <v>TEE</v>
          </cell>
          <cell r="F698">
            <v>2</v>
          </cell>
          <cell r="G698" t="str">
            <v>CB300308000200</v>
          </cell>
          <cell r="H698">
            <v>2</v>
          </cell>
          <cell r="I698" t="str">
            <v>--</v>
          </cell>
          <cell r="J698">
            <v>2</v>
          </cell>
          <cell r="K698">
            <v>3</v>
          </cell>
        </row>
        <row r="699">
          <cell r="A699" t="str">
            <v>M1</v>
          </cell>
          <cell r="B699" t="str">
            <v>B2C</v>
          </cell>
          <cell r="C699" t="str">
            <v>SH</v>
          </cell>
          <cell r="D699" t="str">
            <v>22611</v>
          </cell>
          <cell r="E699" t="str">
            <v>TEE</v>
          </cell>
          <cell r="F699">
            <v>2</v>
          </cell>
          <cell r="G699" t="str">
            <v>CB300308000200</v>
          </cell>
          <cell r="H699">
            <v>2</v>
          </cell>
          <cell r="I699" t="str">
            <v>--</v>
          </cell>
          <cell r="J699">
            <v>2</v>
          </cell>
          <cell r="K699">
            <v>3</v>
          </cell>
        </row>
        <row r="700">
          <cell r="A700" t="str">
            <v>M1</v>
          </cell>
          <cell r="B700" t="str">
            <v>B2C</v>
          </cell>
          <cell r="C700" t="str">
            <v>SH</v>
          </cell>
          <cell r="D700" t="str">
            <v>22613</v>
          </cell>
          <cell r="E700" t="str">
            <v>TEE</v>
          </cell>
          <cell r="F700">
            <v>2</v>
          </cell>
          <cell r="G700" t="str">
            <v>CB300308000200</v>
          </cell>
          <cell r="H700">
            <v>2</v>
          </cell>
          <cell r="I700" t="str">
            <v>--</v>
          </cell>
          <cell r="J700">
            <v>6</v>
          </cell>
          <cell r="K700">
            <v>7</v>
          </cell>
        </row>
        <row r="701">
          <cell r="A701" t="str">
            <v>M1</v>
          </cell>
          <cell r="B701" t="str">
            <v>B2C</v>
          </cell>
          <cell r="C701" t="str">
            <v>SH</v>
          </cell>
          <cell r="D701" t="str">
            <v>22612</v>
          </cell>
          <cell r="E701" t="str">
            <v>TEE</v>
          </cell>
          <cell r="F701">
            <v>2</v>
          </cell>
          <cell r="G701" t="str">
            <v>CB300308000200</v>
          </cell>
          <cell r="H701">
            <v>2</v>
          </cell>
          <cell r="I701" t="str">
            <v>--</v>
          </cell>
          <cell r="J701">
            <v>8</v>
          </cell>
          <cell r="K701">
            <v>9</v>
          </cell>
        </row>
        <row r="702">
          <cell r="A702" t="str">
            <v>M1</v>
          </cell>
          <cell r="B702" t="str">
            <v>A5C</v>
          </cell>
          <cell r="C702" t="str">
            <v>P</v>
          </cell>
          <cell r="D702" t="str">
            <v>21006</v>
          </cell>
          <cell r="E702" t="str">
            <v>45 ELL</v>
          </cell>
          <cell r="F702">
            <v>2</v>
          </cell>
          <cell r="G702" t="str">
            <v>CB300208000200</v>
          </cell>
          <cell r="H702">
            <v>2</v>
          </cell>
          <cell r="I702" t="str">
            <v>--</v>
          </cell>
          <cell r="J702">
            <v>1</v>
          </cell>
          <cell r="K702">
            <v>2</v>
          </cell>
        </row>
        <row r="703">
          <cell r="A703" t="str">
            <v>M1</v>
          </cell>
          <cell r="B703" t="str">
            <v>CA304</v>
          </cell>
          <cell r="C703" t="str">
            <v>MC</v>
          </cell>
          <cell r="D703" t="str">
            <v>12014</v>
          </cell>
          <cell r="E703" t="str">
            <v>90 ELL</v>
          </cell>
          <cell r="F703">
            <v>2</v>
          </cell>
          <cell r="G703" t="str">
            <v>CB300105000200</v>
          </cell>
          <cell r="H703">
            <v>2</v>
          </cell>
          <cell r="I703" t="str">
            <v>--</v>
          </cell>
          <cell r="J703">
            <v>3</v>
          </cell>
          <cell r="K703">
            <v>4</v>
          </cell>
        </row>
        <row r="704">
          <cell r="A704" t="str">
            <v>M1</v>
          </cell>
          <cell r="B704" t="str">
            <v>A5C</v>
          </cell>
          <cell r="C704" t="str">
            <v>COMP</v>
          </cell>
          <cell r="D704" t="str">
            <v>005</v>
          </cell>
          <cell r="E704" t="str">
            <v>90 ELL</v>
          </cell>
          <cell r="F704">
            <v>2</v>
          </cell>
          <cell r="G704" t="str">
            <v>CB300108000200</v>
          </cell>
          <cell r="H704">
            <v>2</v>
          </cell>
          <cell r="I704" t="str">
            <v>--</v>
          </cell>
          <cell r="J704">
            <v>1</v>
          </cell>
          <cell r="K704">
            <v>2</v>
          </cell>
        </row>
        <row r="705">
          <cell r="A705" t="str">
            <v>M1</v>
          </cell>
          <cell r="B705" t="str">
            <v>A5C</v>
          </cell>
          <cell r="C705" t="str">
            <v>N</v>
          </cell>
          <cell r="D705" t="str">
            <v>25611</v>
          </cell>
          <cell r="E705" t="str">
            <v>90 ELL</v>
          </cell>
          <cell r="F705">
            <v>2</v>
          </cell>
          <cell r="G705" t="str">
            <v>CB300108000200</v>
          </cell>
          <cell r="H705">
            <v>2</v>
          </cell>
          <cell r="I705" t="str">
            <v>--</v>
          </cell>
          <cell r="J705">
            <v>3</v>
          </cell>
          <cell r="K705">
            <v>4</v>
          </cell>
        </row>
        <row r="706">
          <cell r="A706" t="str">
            <v>M1</v>
          </cell>
          <cell r="B706" t="str">
            <v>A5C</v>
          </cell>
          <cell r="C706" t="str">
            <v>P</v>
          </cell>
          <cell r="D706" t="str">
            <v>21006</v>
          </cell>
          <cell r="E706" t="str">
            <v>90 ELL</v>
          </cell>
          <cell r="F706">
            <v>2</v>
          </cell>
          <cell r="G706" t="str">
            <v>CB300108000200</v>
          </cell>
          <cell r="H706">
            <v>2</v>
          </cell>
          <cell r="I706" t="str">
            <v>--</v>
          </cell>
          <cell r="J706">
            <v>1</v>
          </cell>
          <cell r="K706">
            <v>2</v>
          </cell>
        </row>
        <row r="707">
          <cell r="A707" t="str">
            <v>M1</v>
          </cell>
          <cell r="B707" t="str">
            <v>A5C</v>
          </cell>
          <cell r="C707" t="str">
            <v>P</v>
          </cell>
          <cell r="D707" t="str">
            <v>22068</v>
          </cell>
          <cell r="E707" t="str">
            <v>90 ELL</v>
          </cell>
          <cell r="F707">
            <v>2</v>
          </cell>
          <cell r="G707" t="str">
            <v>CB300108000200</v>
          </cell>
          <cell r="H707">
            <v>2</v>
          </cell>
          <cell r="I707" t="str">
            <v>--</v>
          </cell>
          <cell r="J707">
            <v>2</v>
          </cell>
          <cell r="K707">
            <v>3</v>
          </cell>
        </row>
        <row r="708">
          <cell r="A708" t="str">
            <v>M1</v>
          </cell>
          <cell r="B708" t="str">
            <v>A5C</v>
          </cell>
          <cell r="C708" t="str">
            <v>P</v>
          </cell>
          <cell r="D708" t="str">
            <v>22069</v>
          </cell>
          <cell r="E708" t="str">
            <v>90 ELL</v>
          </cell>
          <cell r="F708">
            <v>2</v>
          </cell>
          <cell r="G708" t="str">
            <v>CB300108000200</v>
          </cell>
          <cell r="H708">
            <v>2</v>
          </cell>
          <cell r="I708" t="str">
            <v>--</v>
          </cell>
          <cell r="J708">
            <v>1</v>
          </cell>
          <cell r="K708">
            <v>2</v>
          </cell>
        </row>
        <row r="709">
          <cell r="A709" t="str">
            <v>M1</v>
          </cell>
          <cell r="B709" t="str">
            <v>A5C</v>
          </cell>
          <cell r="C709" t="str">
            <v>P</v>
          </cell>
          <cell r="D709" t="str">
            <v>22101</v>
          </cell>
          <cell r="E709" t="str">
            <v>90 ELL</v>
          </cell>
          <cell r="F709">
            <v>2</v>
          </cell>
          <cell r="G709" t="str">
            <v>CB300108000200</v>
          </cell>
          <cell r="H709">
            <v>2</v>
          </cell>
          <cell r="I709" t="str">
            <v>--</v>
          </cell>
          <cell r="J709">
            <v>2</v>
          </cell>
          <cell r="K709">
            <v>3</v>
          </cell>
        </row>
        <row r="710">
          <cell r="A710" t="str">
            <v>M1</v>
          </cell>
          <cell r="B710" t="str">
            <v>A5C</v>
          </cell>
          <cell r="C710" t="str">
            <v>P</v>
          </cell>
          <cell r="D710" t="str">
            <v>22110</v>
          </cell>
          <cell r="E710" t="str">
            <v>90 ELL</v>
          </cell>
          <cell r="F710">
            <v>2</v>
          </cell>
          <cell r="G710" t="str">
            <v>CB300108000200</v>
          </cell>
          <cell r="H710">
            <v>2</v>
          </cell>
          <cell r="I710" t="str">
            <v>--</v>
          </cell>
          <cell r="J710">
            <v>5</v>
          </cell>
          <cell r="K710">
            <v>6</v>
          </cell>
        </row>
        <row r="711">
          <cell r="A711" t="str">
            <v>M1</v>
          </cell>
          <cell r="B711" t="str">
            <v>A5C</v>
          </cell>
          <cell r="C711" t="str">
            <v>P</v>
          </cell>
          <cell r="D711" t="str">
            <v>22117</v>
          </cell>
          <cell r="E711" t="str">
            <v>90 ELL</v>
          </cell>
          <cell r="F711">
            <v>2</v>
          </cell>
          <cell r="G711" t="str">
            <v>CB300108000200</v>
          </cell>
          <cell r="H711">
            <v>2</v>
          </cell>
          <cell r="I711" t="str">
            <v>--</v>
          </cell>
          <cell r="J711">
            <v>3</v>
          </cell>
          <cell r="K711">
            <v>4</v>
          </cell>
        </row>
        <row r="712">
          <cell r="A712" t="str">
            <v>M1</v>
          </cell>
          <cell r="B712" t="str">
            <v>A5C</v>
          </cell>
          <cell r="C712" t="str">
            <v>P</v>
          </cell>
          <cell r="D712" t="str">
            <v>22130</v>
          </cell>
          <cell r="E712" t="str">
            <v>90 ELL</v>
          </cell>
          <cell r="F712">
            <v>2</v>
          </cell>
          <cell r="G712" t="str">
            <v>CB300108000200</v>
          </cell>
          <cell r="H712">
            <v>2</v>
          </cell>
          <cell r="I712" t="str">
            <v>--</v>
          </cell>
          <cell r="J712">
            <v>4</v>
          </cell>
          <cell r="K712">
            <v>5</v>
          </cell>
        </row>
        <row r="713">
          <cell r="A713" t="str">
            <v>M1</v>
          </cell>
          <cell r="B713" t="str">
            <v>A5C</v>
          </cell>
          <cell r="C713" t="str">
            <v>P</v>
          </cell>
          <cell r="D713" t="str">
            <v>22140</v>
          </cell>
          <cell r="E713" t="str">
            <v>90 ELL</v>
          </cell>
          <cell r="F713">
            <v>2</v>
          </cell>
          <cell r="G713" t="str">
            <v>CB300108000200</v>
          </cell>
          <cell r="H713">
            <v>2</v>
          </cell>
          <cell r="I713" t="str">
            <v>--</v>
          </cell>
          <cell r="J713">
            <v>4</v>
          </cell>
          <cell r="K713">
            <v>5</v>
          </cell>
        </row>
        <row r="714">
          <cell r="A714" t="str">
            <v>M1</v>
          </cell>
          <cell r="B714" t="str">
            <v>A5C</v>
          </cell>
          <cell r="C714" t="str">
            <v>N</v>
          </cell>
          <cell r="D714" t="str">
            <v>25617</v>
          </cell>
          <cell r="E714" t="str">
            <v>90 ELL</v>
          </cell>
          <cell r="F714">
            <v>2</v>
          </cell>
          <cell r="G714" t="str">
            <v>CB300108000200</v>
          </cell>
          <cell r="H714">
            <v>2</v>
          </cell>
          <cell r="I714" t="str">
            <v>--</v>
          </cell>
          <cell r="J714">
            <v>4</v>
          </cell>
          <cell r="K714">
            <v>5</v>
          </cell>
        </row>
        <row r="715">
          <cell r="A715" t="str">
            <v>M1</v>
          </cell>
          <cell r="B715" t="str">
            <v>A5C</v>
          </cell>
          <cell r="C715" t="str">
            <v>P</v>
          </cell>
          <cell r="D715" t="str">
            <v>22066</v>
          </cell>
          <cell r="E715" t="str">
            <v>90 ELL</v>
          </cell>
          <cell r="F715">
            <v>2</v>
          </cell>
          <cell r="G715" t="str">
            <v>CB300108000200</v>
          </cell>
          <cell r="H715">
            <v>2</v>
          </cell>
          <cell r="I715" t="str">
            <v>--</v>
          </cell>
          <cell r="J715">
            <v>3</v>
          </cell>
          <cell r="K715">
            <v>4</v>
          </cell>
        </row>
        <row r="716">
          <cell r="A716" t="str">
            <v>M1</v>
          </cell>
          <cell r="B716" t="str">
            <v>A5C</v>
          </cell>
          <cell r="C716" t="str">
            <v>P</v>
          </cell>
          <cell r="D716" t="str">
            <v>22117</v>
          </cell>
          <cell r="E716" t="str">
            <v>C SWG</v>
          </cell>
          <cell r="F716">
            <v>2</v>
          </cell>
          <cell r="G716" t="str">
            <v>CB1614080802IH</v>
          </cell>
          <cell r="H716">
            <v>2</v>
          </cell>
          <cell r="I716">
            <v>1.5</v>
          </cell>
          <cell r="J716">
            <v>1</v>
          </cell>
          <cell r="K716">
            <v>2</v>
          </cell>
        </row>
        <row r="717">
          <cell r="A717" t="str">
            <v>M1</v>
          </cell>
          <cell r="B717" t="str">
            <v>A5C</v>
          </cell>
          <cell r="C717" t="str">
            <v>P</v>
          </cell>
          <cell r="D717" t="str">
            <v>22130</v>
          </cell>
          <cell r="E717" t="str">
            <v>C SWG</v>
          </cell>
          <cell r="F717">
            <v>2</v>
          </cell>
          <cell r="G717" t="str">
            <v>CB161408080201</v>
          </cell>
          <cell r="H717">
            <v>2</v>
          </cell>
          <cell r="I717">
            <v>1</v>
          </cell>
          <cell r="J717">
            <v>2</v>
          </cell>
          <cell r="K717">
            <v>3</v>
          </cell>
        </row>
        <row r="718">
          <cell r="A718" t="str">
            <v>M1</v>
          </cell>
          <cell r="B718" t="str">
            <v>A5C</v>
          </cell>
          <cell r="C718" t="str">
            <v>P</v>
          </cell>
          <cell r="D718" t="str">
            <v>22140</v>
          </cell>
          <cell r="E718" t="str">
            <v>C SWG</v>
          </cell>
          <cell r="F718">
            <v>2</v>
          </cell>
          <cell r="G718" t="str">
            <v>CB161408080201</v>
          </cell>
          <cell r="H718">
            <v>2</v>
          </cell>
          <cell r="I718">
            <v>1</v>
          </cell>
          <cell r="J718">
            <v>2</v>
          </cell>
          <cell r="K718">
            <v>3</v>
          </cell>
        </row>
        <row r="719">
          <cell r="A719" t="str">
            <v>M1</v>
          </cell>
          <cell r="B719" t="str">
            <v>A5C</v>
          </cell>
          <cell r="C719" t="str">
            <v>P</v>
          </cell>
          <cell r="D719" t="str">
            <v>22066</v>
          </cell>
          <cell r="E719" t="str">
            <v>E SWG</v>
          </cell>
          <cell r="F719">
            <v>2</v>
          </cell>
          <cell r="G719" t="str">
            <v>CB162408080201</v>
          </cell>
          <cell r="H719">
            <v>2</v>
          </cell>
          <cell r="I719">
            <v>1</v>
          </cell>
          <cell r="J719">
            <v>2</v>
          </cell>
          <cell r="K719">
            <v>3</v>
          </cell>
        </row>
        <row r="720">
          <cell r="A720" t="str">
            <v>M1</v>
          </cell>
          <cell r="B720" t="str">
            <v>A5C</v>
          </cell>
          <cell r="C720" t="str">
            <v>P</v>
          </cell>
          <cell r="D720" t="str">
            <v>22101</v>
          </cell>
          <cell r="E720" t="str">
            <v>E SWG</v>
          </cell>
          <cell r="F720">
            <v>2</v>
          </cell>
          <cell r="G720" t="str">
            <v>CB1624080802IH</v>
          </cell>
          <cell r="H720">
            <v>2</v>
          </cell>
          <cell r="I720">
            <v>1.5</v>
          </cell>
          <cell r="J720">
            <v>1</v>
          </cell>
          <cell r="K720">
            <v>2</v>
          </cell>
        </row>
        <row r="721">
          <cell r="A721" t="str">
            <v>M1</v>
          </cell>
          <cell r="B721" t="str">
            <v>A5C</v>
          </cell>
          <cell r="C721" t="str">
            <v>P</v>
          </cell>
          <cell r="D721" t="str">
            <v>22109</v>
          </cell>
          <cell r="E721" t="str">
            <v>E SWG</v>
          </cell>
          <cell r="F721">
            <v>2</v>
          </cell>
          <cell r="G721" t="str">
            <v>CB1624080802IH</v>
          </cell>
          <cell r="H721">
            <v>2</v>
          </cell>
          <cell r="I721">
            <v>1.5</v>
          </cell>
          <cell r="J721">
            <v>2</v>
          </cell>
          <cell r="K721">
            <v>3</v>
          </cell>
        </row>
        <row r="722">
          <cell r="A722" t="str">
            <v>M1</v>
          </cell>
          <cell r="B722" t="str">
            <v>A5C</v>
          </cell>
          <cell r="C722" t="str">
            <v>N</v>
          </cell>
          <cell r="D722" t="str">
            <v>25611</v>
          </cell>
          <cell r="E722" t="str">
            <v>SOL</v>
          </cell>
          <cell r="F722">
            <v>2</v>
          </cell>
          <cell r="G722" t="str">
            <v>CB390200000201</v>
          </cell>
          <cell r="H722">
            <v>2</v>
          </cell>
          <cell r="I722">
            <v>1</v>
          </cell>
          <cell r="J722">
            <v>1</v>
          </cell>
          <cell r="K722">
            <v>2</v>
          </cell>
        </row>
        <row r="723">
          <cell r="A723" t="str">
            <v>M1</v>
          </cell>
          <cell r="B723" t="str">
            <v>A5C</v>
          </cell>
          <cell r="C723" t="str">
            <v>N</v>
          </cell>
          <cell r="D723" t="str">
            <v>25611</v>
          </cell>
          <cell r="E723" t="str">
            <v>SOL</v>
          </cell>
          <cell r="F723">
            <v>2</v>
          </cell>
          <cell r="G723" t="str">
            <v>CB39020000020T</v>
          </cell>
          <cell r="H723">
            <v>2</v>
          </cell>
          <cell r="I723">
            <v>0.75</v>
          </cell>
          <cell r="J723">
            <v>2</v>
          </cell>
          <cell r="K723">
            <v>3</v>
          </cell>
        </row>
        <row r="724">
          <cell r="A724" t="str">
            <v>M1</v>
          </cell>
          <cell r="B724" t="str">
            <v>A5C</v>
          </cell>
          <cell r="C724" t="str">
            <v>P</v>
          </cell>
          <cell r="D724" t="str">
            <v>22068</v>
          </cell>
          <cell r="E724" t="str">
            <v>SOL</v>
          </cell>
          <cell r="F724">
            <v>2</v>
          </cell>
          <cell r="G724" t="str">
            <v>CB39020000020T</v>
          </cell>
          <cell r="H724">
            <v>2</v>
          </cell>
          <cell r="I724">
            <v>0.75</v>
          </cell>
          <cell r="J724">
            <v>2</v>
          </cell>
          <cell r="K724">
            <v>3</v>
          </cell>
        </row>
        <row r="725">
          <cell r="A725" t="str">
            <v>M1</v>
          </cell>
          <cell r="B725" t="str">
            <v>A5C</v>
          </cell>
          <cell r="C725" t="str">
            <v>P</v>
          </cell>
          <cell r="D725" t="str">
            <v>22140</v>
          </cell>
          <cell r="E725" t="str">
            <v>SOL</v>
          </cell>
          <cell r="F725">
            <v>2</v>
          </cell>
          <cell r="G725" t="str">
            <v>CB39020000020T</v>
          </cell>
          <cell r="H725">
            <v>2</v>
          </cell>
          <cell r="I725">
            <v>0.75</v>
          </cell>
          <cell r="J725">
            <v>2</v>
          </cell>
          <cell r="K725">
            <v>3</v>
          </cell>
        </row>
        <row r="726">
          <cell r="A726" t="str">
            <v>M1</v>
          </cell>
          <cell r="B726" t="str">
            <v>A5C</v>
          </cell>
          <cell r="C726" t="str">
            <v>P</v>
          </cell>
          <cell r="D726" t="str">
            <v>22130</v>
          </cell>
          <cell r="E726" t="str">
            <v>SOL</v>
          </cell>
          <cell r="F726">
            <v>2</v>
          </cell>
          <cell r="G726" t="str">
            <v>CB39020000020T</v>
          </cell>
          <cell r="H726">
            <v>2</v>
          </cell>
          <cell r="I726">
            <v>0.75</v>
          </cell>
          <cell r="J726">
            <v>2</v>
          </cell>
          <cell r="K726">
            <v>3</v>
          </cell>
        </row>
        <row r="727">
          <cell r="A727" t="str">
            <v>M1</v>
          </cell>
          <cell r="B727" t="str">
            <v>A5C</v>
          </cell>
          <cell r="C727" t="str">
            <v>P</v>
          </cell>
          <cell r="D727" t="str">
            <v>22101</v>
          </cell>
          <cell r="E727" t="str">
            <v>TEE</v>
          </cell>
          <cell r="F727">
            <v>2</v>
          </cell>
          <cell r="G727" t="str">
            <v>CB300308000200</v>
          </cell>
          <cell r="H727">
            <v>2</v>
          </cell>
          <cell r="I727" t="str">
            <v>--</v>
          </cell>
          <cell r="J727">
            <v>2</v>
          </cell>
          <cell r="K727">
            <v>3</v>
          </cell>
        </row>
        <row r="728">
          <cell r="A728" t="str">
            <v>M1</v>
          </cell>
          <cell r="B728" t="str">
            <v>A5C</v>
          </cell>
          <cell r="C728" t="str">
            <v>P</v>
          </cell>
          <cell r="D728" t="str">
            <v>22130</v>
          </cell>
          <cell r="E728" t="str">
            <v>TEE</v>
          </cell>
          <cell r="F728">
            <v>2</v>
          </cell>
          <cell r="G728" t="str">
            <v>CB300308000200</v>
          </cell>
          <cell r="H728">
            <v>2</v>
          </cell>
          <cell r="I728" t="str">
            <v>--</v>
          </cell>
          <cell r="J728">
            <v>1</v>
          </cell>
          <cell r="K728">
            <v>2</v>
          </cell>
        </row>
        <row r="729">
          <cell r="A729" t="str">
            <v>M1</v>
          </cell>
          <cell r="B729" t="str">
            <v>A5C</v>
          </cell>
          <cell r="C729" t="str">
            <v>P</v>
          </cell>
          <cell r="D729" t="str">
            <v>22140</v>
          </cell>
          <cell r="E729" t="str">
            <v>TEE</v>
          </cell>
          <cell r="F729">
            <v>2</v>
          </cell>
          <cell r="G729" t="str">
            <v>CB300308000200</v>
          </cell>
          <cell r="H729">
            <v>2</v>
          </cell>
          <cell r="I729" t="str">
            <v>--</v>
          </cell>
          <cell r="J729">
            <v>1</v>
          </cell>
          <cell r="K729">
            <v>2</v>
          </cell>
        </row>
        <row r="730">
          <cell r="A730" t="str">
            <v>M1</v>
          </cell>
          <cell r="B730" t="str">
            <v>A5C</v>
          </cell>
          <cell r="C730" t="str">
            <v>P</v>
          </cell>
          <cell r="D730" t="str">
            <v>22100</v>
          </cell>
          <cell r="E730" t="str">
            <v>90 ELL</v>
          </cell>
          <cell r="F730">
            <v>2</v>
          </cell>
          <cell r="G730" t="str">
            <v>CB300108000200</v>
          </cell>
          <cell r="H730">
            <v>2</v>
          </cell>
          <cell r="I730" t="str">
            <v>--</v>
          </cell>
          <cell r="J730">
            <v>4</v>
          </cell>
          <cell r="K730">
            <v>5</v>
          </cell>
        </row>
        <row r="731">
          <cell r="A731" t="str">
            <v>M1</v>
          </cell>
          <cell r="B731" t="str">
            <v>A5C</v>
          </cell>
          <cell r="C731" t="str">
            <v>P</v>
          </cell>
          <cell r="D731" t="str">
            <v>22115</v>
          </cell>
          <cell r="E731" t="str">
            <v>90 ELL</v>
          </cell>
          <cell r="F731">
            <v>2</v>
          </cell>
          <cell r="G731" t="str">
            <v>CB300108000200</v>
          </cell>
          <cell r="H731">
            <v>2</v>
          </cell>
          <cell r="I731" t="str">
            <v>--</v>
          </cell>
          <cell r="J731">
            <v>2</v>
          </cell>
          <cell r="K731">
            <v>3</v>
          </cell>
        </row>
        <row r="732">
          <cell r="A732" t="str">
            <v>M1</v>
          </cell>
          <cell r="B732" t="str">
            <v>A5C</v>
          </cell>
          <cell r="C732" t="str">
            <v>P</v>
          </cell>
          <cell r="D732" t="str">
            <v>22100</v>
          </cell>
          <cell r="E732" t="str">
            <v>C SWG</v>
          </cell>
          <cell r="F732">
            <v>2</v>
          </cell>
          <cell r="G732" t="str">
            <v>CB1614080802IH</v>
          </cell>
          <cell r="H732">
            <v>2</v>
          </cell>
          <cell r="I732">
            <v>1.5</v>
          </cell>
          <cell r="J732">
            <v>2</v>
          </cell>
          <cell r="K732">
            <v>3</v>
          </cell>
        </row>
        <row r="733">
          <cell r="A733" t="str">
            <v>M1</v>
          </cell>
          <cell r="B733" t="str">
            <v>A5C</v>
          </cell>
          <cell r="C733" t="str">
            <v>P</v>
          </cell>
          <cell r="D733" t="str">
            <v>22100</v>
          </cell>
          <cell r="E733" t="str">
            <v>SOL</v>
          </cell>
          <cell r="F733">
            <v>2</v>
          </cell>
          <cell r="G733" t="str">
            <v>CB39020000020T</v>
          </cell>
          <cell r="H733">
            <v>2</v>
          </cell>
          <cell r="I733">
            <v>0.75</v>
          </cell>
          <cell r="J733">
            <v>2</v>
          </cell>
          <cell r="K733">
            <v>3</v>
          </cell>
        </row>
        <row r="734">
          <cell r="A734" t="str">
            <v>M1</v>
          </cell>
          <cell r="B734" t="str">
            <v>A5C</v>
          </cell>
          <cell r="C734" t="str">
            <v>P</v>
          </cell>
          <cell r="D734" t="str">
            <v>22100</v>
          </cell>
          <cell r="E734" t="str">
            <v>TEE</v>
          </cell>
          <cell r="F734">
            <v>2</v>
          </cell>
          <cell r="G734" t="str">
            <v>CB300308000200</v>
          </cell>
          <cell r="H734">
            <v>2</v>
          </cell>
          <cell r="I734" t="str">
            <v>--</v>
          </cell>
          <cell r="J734">
            <v>1</v>
          </cell>
          <cell r="K734">
            <v>2</v>
          </cell>
        </row>
        <row r="735">
          <cell r="A735" t="str">
            <v>M1</v>
          </cell>
          <cell r="B735" t="str">
            <v>A6C</v>
          </cell>
          <cell r="C735" t="str">
            <v>HOS</v>
          </cell>
          <cell r="D735" t="str">
            <v>65620</v>
          </cell>
          <cell r="E735" t="str">
            <v>90 ELL</v>
          </cell>
          <cell r="F735">
            <v>2</v>
          </cell>
          <cell r="G735" t="str">
            <v>CB300108000200</v>
          </cell>
          <cell r="H735">
            <v>2</v>
          </cell>
          <cell r="I735" t="str">
            <v>--</v>
          </cell>
          <cell r="J735">
            <v>6</v>
          </cell>
          <cell r="K735">
            <v>7</v>
          </cell>
        </row>
        <row r="736">
          <cell r="A736" t="str">
            <v>M1</v>
          </cell>
          <cell r="B736" t="str">
            <v>A6C</v>
          </cell>
          <cell r="C736" t="str">
            <v>HOS</v>
          </cell>
          <cell r="D736" t="str">
            <v>65620</v>
          </cell>
          <cell r="E736" t="str">
            <v>TEE</v>
          </cell>
          <cell r="F736">
            <v>2</v>
          </cell>
          <cell r="G736" t="str">
            <v>CB300308000200</v>
          </cell>
          <cell r="H736">
            <v>2</v>
          </cell>
          <cell r="I736" t="str">
            <v>--</v>
          </cell>
          <cell r="J736">
            <v>1</v>
          </cell>
          <cell r="K736">
            <v>2</v>
          </cell>
        </row>
        <row r="737">
          <cell r="A737" t="str">
            <v>M1</v>
          </cell>
          <cell r="B737" t="str">
            <v>A6C</v>
          </cell>
          <cell r="C737" t="str">
            <v>HOS</v>
          </cell>
          <cell r="D737" t="str">
            <v>65620</v>
          </cell>
          <cell r="E737" t="str">
            <v>TOL</v>
          </cell>
          <cell r="F737">
            <v>2</v>
          </cell>
          <cell r="G737" t="str">
            <v>CB39030000020T</v>
          </cell>
          <cell r="H737">
            <v>2</v>
          </cell>
          <cell r="I737">
            <v>0.75</v>
          </cell>
          <cell r="J737">
            <v>1</v>
          </cell>
          <cell r="K737">
            <v>2</v>
          </cell>
        </row>
        <row r="738">
          <cell r="A738" t="str">
            <v>M1</v>
          </cell>
          <cell r="B738" t="str">
            <v>A5C</v>
          </cell>
          <cell r="C738" t="str">
            <v>P</v>
          </cell>
          <cell r="D738" t="str">
            <v>22004</v>
          </cell>
          <cell r="E738" t="str">
            <v>90 ELL</v>
          </cell>
          <cell r="F738">
            <v>2</v>
          </cell>
          <cell r="G738" t="str">
            <v>CB300108000200</v>
          </cell>
          <cell r="H738">
            <v>2</v>
          </cell>
          <cell r="I738" t="str">
            <v>--</v>
          </cell>
          <cell r="J738">
            <v>5</v>
          </cell>
          <cell r="K738">
            <v>6</v>
          </cell>
        </row>
        <row r="739">
          <cell r="A739" t="str">
            <v>M1</v>
          </cell>
          <cell r="B739" t="str">
            <v>A5C</v>
          </cell>
          <cell r="C739" t="str">
            <v>P</v>
          </cell>
          <cell r="D739" t="str">
            <v>22004</v>
          </cell>
          <cell r="E739" t="str">
            <v>90 ELL</v>
          </cell>
          <cell r="F739">
            <v>2</v>
          </cell>
          <cell r="G739" t="str">
            <v>CB300108000200</v>
          </cell>
          <cell r="H739">
            <v>2</v>
          </cell>
          <cell r="I739" t="str">
            <v>--</v>
          </cell>
          <cell r="J739">
            <v>3</v>
          </cell>
          <cell r="K739">
            <v>4</v>
          </cell>
        </row>
        <row r="740">
          <cell r="A740" t="str">
            <v>M1</v>
          </cell>
          <cell r="B740" t="str">
            <v>A5C</v>
          </cell>
          <cell r="C740" t="str">
            <v>P</v>
          </cell>
          <cell r="D740" t="str">
            <v>22004</v>
          </cell>
          <cell r="E740" t="str">
            <v>90 ELL</v>
          </cell>
          <cell r="F740">
            <v>2</v>
          </cell>
          <cell r="G740" t="str">
            <v>CB300108000200</v>
          </cell>
          <cell r="H740">
            <v>2</v>
          </cell>
          <cell r="I740" t="str">
            <v>--</v>
          </cell>
          <cell r="J740">
            <v>2</v>
          </cell>
          <cell r="K740">
            <v>3</v>
          </cell>
        </row>
        <row r="741">
          <cell r="A741" t="str">
            <v>M1</v>
          </cell>
          <cell r="B741" t="str">
            <v>A5C</v>
          </cell>
          <cell r="C741" t="str">
            <v>TRIM</v>
          </cell>
          <cell r="D741" t="str">
            <v>V-2214</v>
          </cell>
          <cell r="E741" t="str">
            <v>C SWG</v>
          </cell>
          <cell r="F741">
            <v>2</v>
          </cell>
          <cell r="G741" t="str">
            <v>CB161408080201</v>
          </cell>
          <cell r="H741">
            <v>2</v>
          </cell>
          <cell r="I741">
            <v>1</v>
          </cell>
          <cell r="J741">
            <v>1</v>
          </cell>
          <cell r="K741">
            <v>2</v>
          </cell>
        </row>
        <row r="742">
          <cell r="A742" t="str">
            <v>M1</v>
          </cell>
          <cell r="B742" t="str">
            <v>A5C</v>
          </cell>
          <cell r="C742" t="str">
            <v>P</v>
          </cell>
          <cell r="D742" t="str">
            <v>22004</v>
          </cell>
          <cell r="E742" t="str">
            <v>SOL</v>
          </cell>
          <cell r="F742">
            <v>2</v>
          </cell>
          <cell r="G742" t="str">
            <v>CB39020000020T</v>
          </cell>
          <cell r="H742">
            <v>2</v>
          </cell>
          <cell r="I742">
            <v>0.75</v>
          </cell>
          <cell r="J742">
            <v>1</v>
          </cell>
          <cell r="K742">
            <v>2</v>
          </cell>
        </row>
        <row r="743">
          <cell r="A743" t="str">
            <v>M1</v>
          </cell>
          <cell r="B743" t="str">
            <v>A5C</v>
          </cell>
          <cell r="C743" t="str">
            <v>P</v>
          </cell>
          <cell r="D743" t="str">
            <v>22004</v>
          </cell>
          <cell r="E743" t="str">
            <v>SOL</v>
          </cell>
          <cell r="F743">
            <v>2</v>
          </cell>
          <cell r="G743" t="str">
            <v>CB39020000020T</v>
          </cell>
          <cell r="H743">
            <v>2</v>
          </cell>
          <cell r="I743">
            <v>0.75</v>
          </cell>
          <cell r="J743">
            <v>1</v>
          </cell>
          <cell r="K743">
            <v>2</v>
          </cell>
        </row>
        <row r="744">
          <cell r="A744" t="str">
            <v>M1</v>
          </cell>
          <cell r="B744" t="str">
            <v>A5C</v>
          </cell>
          <cell r="C744" t="str">
            <v>P</v>
          </cell>
          <cell r="D744" t="str">
            <v>22004</v>
          </cell>
          <cell r="E744" t="str">
            <v>TEE</v>
          </cell>
          <cell r="F744">
            <v>2</v>
          </cell>
          <cell r="G744" t="str">
            <v>CB300308000200</v>
          </cell>
          <cell r="H744">
            <v>2</v>
          </cell>
          <cell r="I744" t="str">
            <v>--</v>
          </cell>
          <cell r="J744">
            <v>1</v>
          </cell>
          <cell r="K744">
            <v>2</v>
          </cell>
        </row>
        <row r="745">
          <cell r="A745" t="str">
            <v>M1</v>
          </cell>
          <cell r="B745" t="str">
            <v>A5C</v>
          </cell>
          <cell r="C745" t="str">
            <v>P</v>
          </cell>
          <cell r="D745" t="str">
            <v>22004</v>
          </cell>
          <cell r="E745" t="str">
            <v>TEE</v>
          </cell>
          <cell r="F745">
            <v>2</v>
          </cell>
          <cell r="G745" t="str">
            <v>CB300308000200</v>
          </cell>
          <cell r="H745">
            <v>2</v>
          </cell>
          <cell r="I745" t="str">
            <v>--</v>
          </cell>
          <cell r="J745">
            <v>2</v>
          </cell>
          <cell r="K745">
            <v>3</v>
          </cell>
        </row>
        <row r="746">
          <cell r="A746" t="str">
            <v>M1</v>
          </cell>
          <cell r="B746" t="str">
            <v>A6C</v>
          </cell>
          <cell r="C746" t="str">
            <v>HOS</v>
          </cell>
          <cell r="D746" t="str">
            <v>65624</v>
          </cell>
          <cell r="E746" t="str">
            <v>90 ELL</v>
          </cell>
          <cell r="F746">
            <v>2</v>
          </cell>
          <cell r="G746" t="str">
            <v>CB300108000200</v>
          </cell>
          <cell r="H746">
            <v>2</v>
          </cell>
          <cell r="I746" t="str">
            <v>--</v>
          </cell>
          <cell r="J746">
            <v>7</v>
          </cell>
          <cell r="K746">
            <v>8</v>
          </cell>
        </row>
        <row r="747">
          <cell r="A747" t="str">
            <v>M1</v>
          </cell>
          <cell r="B747" t="str">
            <v>A5C</v>
          </cell>
          <cell r="C747" t="str">
            <v>P</v>
          </cell>
          <cell r="D747" t="str">
            <v>22096</v>
          </cell>
          <cell r="E747" t="str">
            <v>90 ELL</v>
          </cell>
          <cell r="F747">
            <v>2</v>
          </cell>
          <cell r="G747" t="str">
            <v>CB300108000200</v>
          </cell>
          <cell r="H747">
            <v>2</v>
          </cell>
          <cell r="I747" t="str">
            <v>--</v>
          </cell>
          <cell r="J747">
            <v>1</v>
          </cell>
          <cell r="K747">
            <v>2</v>
          </cell>
        </row>
        <row r="748">
          <cell r="A748" t="str">
            <v>M1</v>
          </cell>
          <cell r="B748" t="str">
            <v>A6C</v>
          </cell>
          <cell r="C748" t="str">
            <v>HOR</v>
          </cell>
          <cell r="D748" t="str">
            <v>65611</v>
          </cell>
          <cell r="E748" t="str">
            <v>90 ELL</v>
          </cell>
          <cell r="F748">
            <v>2</v>
          </cell>
          <cell r="G748" t="str">
            <v>CB300108000200</v>
          </cell>
          <cell r="H748">
            <v>2</v>
          </cell>
          <cell r="I748" t="str">
            <v>--</v>
          </cell>
          <cell r="J748">
            <v>7</v>
          </cell>
          <cell r="K748">
            <v>8</v>
          </cell>
        </row>
        <row r="749">
          <cell r="A749" t="str">
            <v>M1</v>
          </cell>
          <cell r="B749" t="str">
            <v>A6C</v>
          </cell>
          <cell r="C749" t="str">
            <v>HOR</v>
          </cell>
          <cell r="D749" t="str">
            <v>65611</v>
          </cell>
          <cell r="E749" t="str">
            <v>90 ELL</v>
          </cell>
          <cell r="F749">
            <v>2</v>
          </cell>
          <cell r="G749" t="str">
            <v>CB300108000200</v>
          </cell>
          <cell r="H749">
            <v>2</v>
          </cell>
          <cell r="I749" t="str">
            <v>--</v>
          </cell>
          <cell r="J749">
            <v>7</v>
          </cell>
          <cell r="K749">
            <v>8</v>
          </cell>
        </row>
        <row r="750">
          <cell r="A750" t="str">
            <v>M1</v>
          </cell>
          <cell r="B750" t="str">
            <v>A6C</v>
          </cell>
          <cell r="C750" t="str">
            <v>HOS</v>
          </cell>
          <cell r="D750" t="str">
            <v>65624</v>
          </cell>
          <cell r="E750" t="str">
            <v>90 ELL</v>
          </cell>
          <cell r="F750">
            <v>2</v>
          </cell>
          <cell r="G750" t="str">
            <v>CB300108000200</v>
          </cell>
          <cell r="H750">
            <v>2</v>
          </cell>
          <cell r="I750" t="str">
            <v>--</v>
          </cell>
          <cell r="J750">
            <v>7</v>
          </cell>
          <cell r="K750">
            <v>8</v>
          </cell>
        </row>
        <row r="751">
          <cell r="A751" t="str">
            <v>M1</v>
          </cell>
          <cell r="B751" t="str">
            <v>A5C</v>
          </cell>
          <cell r="C751" t="str">
            <v>P</v>
          </cell>
          <cell r="D751" t="str">
            <v>22097</v>
          </cell>
          <cell r="E751" t="str">
            <v>90 ELL</v>
          </cell>
          <cell r="F751">
            <v>2</v>
          </cell>
          <cell r="G751" t="str">
            <v>CB300108000200</v>
          </cell>
          <cell r="H751">
            <v>2</v>
          </cell>
          <cell r="I751" t="str">
            <v>--</v>
          </cell>
          <cell r="J751">
            <v>3</v>
          </cell>
          <cell r="K751">
            <v>4</v>
          </cell>
        </row>
        <row r="752">
          <cell r="A752" t="str">
            <v>M1</v>
          </cell>
          <cell r="B752" t="str">
            <v>A6C</v>
          </cell>
          <cell r="C752" t="str">
            <v>TRIM</v>
          </cell>
          <cell r="D752" t="str">
            <v>V-6501</v>
          </cell>
          <cell r="E752" t="str">
            <v>90 ELL</v>
          </cell>
          <cell r="F752">
            <v>2</v>
          </cell>
          <cell r="G752" t="str">
            <v>CB300108000200</v>
          </cell>
          <cell r="H752">
            <v>2</v>
          </cell>
          <cell r="I752" t="str">
            <v>--</v>
          </cell>
          <cell r="J752">
            <v>2</v>
          </cell>
          <cell r="K752">
            <v>3</v>
          </cell>
        </row>
        <row r="753">
          <cell r="A753" t="str">
            <v>M1</v>
          </cell>
          <cell r="B753" t="str">
            <v>A4C</v>
          </cell>
          <cell r="C753" t="str">
            <v>P</v>
          </cell>
          <cell r="D753" t="str">
            <v>22031</v>
          </cell>
          <cell r="E753" t="str">
            <v>C SWG</v>
          </cell>
          <cell r="F753">
            <v>2</v>
          </cell>
          <cell r="G753" t="str">
            <v>CB1614080802IH</v>
          </cell>
          <cell r="H753">
            <v>2</v>
          </cell>
          <cell r="I753">
            <v>1.5</v>
          </cell>
          <cell r="J753">
            <v>1</v>
          </cell>
          <cell r="K753">
            <v>2</v>
          </cell>
        </row>
        <row r="754">
          <cell r="A754" t="str">
            <v>M1</v>
          </cell>
          <cell r="B754" t="str">
            <v>A4C</v>
          </cell>
          <cell r="C754" t="str">
            <v>P</v>
          </cell>
          <cell r="D754" t="str">
            <v>22031</v>
          </cell>
          <cell r="E754" t="str">
            <v>C SWG</v>
          </cell>
          <cell r="F754">
            <v>2</v>
          </cell>
          <cell r="G754" t="str">
            <v>CB1614080802IH</v>
          </cell>
          <cell r="H754">
            <v>2</v>
          </cell>
          <cell r="I754">
            <v>1.5</v>
          </cell>
          <cell r="J754">
            <v>5</v>
          </cell>
          <cell r="K754">
            <v>6</v>
          </cell>
        </row>
        <row r="755">
          <cell r="A755" t="str">
            <v>M1</v>
          </cell>
          <cell r="B755" t="str">
            <v>A5C</v>
          </cell>
          <cell r="C755" t="str">
            <v>P</v>
          </cell>
          <cell r="D755" t="str">
            <v>22096</v>
          </cell>
          <cell r="E755" t="str">
            <v>SOL</v>
          </cell>
          <cell r="F755">
            <v>2</v>
          </cell>
          <cell r="G755" t="str">
            <v>CB390200000201</v>
          </cell>
          <cell r="H755">
            <v>2</v>
          </cell>
          <cell r="I755">
            <v>1</v>
          </cell>
          <cell r="J755">
            <v>1</v>
          </cell>
          <cell r="K755">
            <v>2</v>
          </cell>
        </row>
        <row r="756">
          <cell r="A756" t="str">
            <v>M1</v>
          </cell>
          <cell r="B756" t="str">
            <v>A5C</v>
          </cell>
          <cell r="C756" t="str">
            <v>P</v>
          </cell>
          <cell r="D756" t="str">
            <v>22096</v>
          </cell>
          <cell r="E756" t="str">
            <v>TEE</v>
          </cell>
          <cell r="F756">
            <v>2</v>
          </cell>
          <cell r="G756" t="str">
            <v>CB300308000200</v>
          </cell>
          <cell r="H756">
            <v>2</v>
          </cell>
          <cell r="I756" t="str">
            <v>--</v>
          </cell>
          <cell r="J756">
            <v>2</v>
          </cell>
          <cell r="K756">
            <v>3</v>
          </cell>
        </row>
        <row r="757">
          <cell r="A757" t="str">
            <v>M1</v>
          </cell>
          <cell r="B757" t="str">
            <v>B2C</v>
          </cell>
          <cell r="C757" t="str">
            <v>SH</v>
          </cell>
          <cell r="D757" t="str">
            <v>22601</v>
          </cell>
          <cell r="E757" t="str">
            <v>90 ELL</v>
          </cell>
          <cell r="F757">
            <v>2</v>
          </cell>
          <cell r="G757" t="str">
            <v>CB300104000300</v>
          </cell>
          <cell r="H757">
            <v>3</v>
          </cell>
          <cell r="I757" t="str">
            <v>--</v>
          </cell>
          <cell r="J757">
            <v>6</v>
          </cell>
          <cell r="K757">
            <v>7</v>
          </cell>
        </row>
        <row r="758">
          <cell r="A758" t="str">
            <v>M1</v>
          </cell>
          <cell r="B758" t="str">
            <v>B2C</v>
          </cell>
          <cell r="C758" t="str">
            <v>TRIM</v>
          </cell>
          <cell r="D758" t="str">
            <v>V-2218</v>
          </cell>
          <cell r="E758" t="str">
            <v>90 ELL</v>
          </cell>
          <cell r="F758">
            <v>2</v>
          </cell>
          <cell r="G758" t="str">
            <v>CB300104000300</v>
          </cell>
          <cell r="H758">
            <v>3</v>
          </cell>
          <cell r="I758" t="str">
            <v>--</v>
          </cell>
          <cell r="J758">
            <v>1</v>
          </cell>
          <cell r="K758">
            <v>2</v>
          </cell>
        </row>
        <row r="759">
          <cell r="A759" t="str">
            <v>M1</v>
          </cell>
          <cell r="B759" t="str">
            <v>B2C</v>
          </cell>
          <cell r="C759" t="str">
            <v>SH</v>
          </cell>
          <cell r="D759" t="str">
            <v>22625</v>
          </cell>
          <cell r="E759" t="str">
            <v>90 ELL</v>
          </cell>
          <cell r="F759">
            <v>2</v>
          </cell>
          <cell r="G759" t="str">
            <v>CB300104000300</v>
          </cell>
          <cell r="H759">
            <v>3</v>
          </cell>
          <cell r="I759" t="str">
            <v>--</v>
          </cell>
          <cell r="J759">
            <v>3</v>
          </cell>
          <cell r="K759">
            <v>4</v>
          </cell>
        </row>
        <row r="760">
          <cell r="A760" t="str">
            <v>M1</v>
          </cell>
          <cell r="B760" t="str">
            <v>B2C</v>
          </cell>
          <cell r="C760" t="str">
            <v>SH</v>
          </cell>
          <cell r="D760" t="str">
            <v>22601</v>
          </cell>
          <cell r="E760" t="str">
            <v>CAP</v>
          </cell>
          <cell r="F760">
            <v>2</v>
          </cell>
          <cell r="G760" t="str">
            <v>CB300704000300</v>
          </cell>
          <cell r="H760">
            <v>3</v>
          </cell>
          <cell r="I760" t="str">
            <v>--</v>
          </cell>
          <cell r="J760">
            <v>1</v>
          </cell>
          <cell r="K760">
            <v>2</v>
          </cell>
        </row>
        <row r="761">
          <cell r="A761" t="str">
            <v>M1</v>
          </cell>
          <cell r="B761" t="str">
            <v>B2C</v>
          </cell>
          <cell r="C761" t="str">
            <v>TRIM</v>
          </cell>
          <cell r="D761" t="str">
            <v>V-2218</v>
          </cell>
          <cell r="E761" t="str">
            <v>CAP</v>
          </cell>
          <cell r="F761">
            <v>2</v>
          </cell>
          <cell r="G761" t="str">
            <v>CB300704000300</v>
          </cell>
          <cell r="H761">
            <v>3</v>
          </cell>
          <cell r="I761" t="str">
            <v>--</v>
          </cell>
          <cell r="J761">
            <v>2</v>
          </cell>
          <cell r="K761">
            <v>3</v>
          </cell>
        </row>
        <row r="762">
          <cell r="A762" t="str">
            <v>M1</v>
          </cell>
          <cell r="B762" t="str">
            <v>B2C</v>
          </cell>
          <cell r="C762" t="str">
            <v>SH</v>
          </cell>
          <cell r="D762" t="str">
            <v>22612</v>
          </cell>
          <cell r="E762" t="str">
            <v>E RED</v>
          </cell>
          <cell r="F762">
            <v>2</v>
          </cell>
          <cell r="G762" t="str">
            <v>CB300604080302</v>
          </cell>
          <cell r="H762">
            <v>3</v>
          </cell>
          <cell r="I762">
            <v>2</v>
          </cell>
          <cell r="J762">
            <v>1</v>
          </cell>
          <cell r="K762">
            <v>2</v>
          </cell>
        </row>
        <row r="763">
          <cell r="A763" t="str">
            <v>M1</v>
          </cell>
          <cell r="B763" t="str">
            <v>B2C</v>
          </cell>
          <cell r="C763" t="str">
            <v>SH</v>
          </cell>
          <cell r="D763" t="str">
            <v>22625</v>
          </cell>
          <cell r="E763" t="str">
            <v>E RED</v>
          </cell>
          <cell r="F763">
            <v>2</v>
          </cell>
          <cell r="G763" t="str">
            <v>CB300604080302</v>
          </cell>
          <cell r="H763">
            <v>3</v>
          </cell>
          <cell r="I763">
            <v>2</v>
          </cell>
          <cell r="J763">
            <v>1</v>
          </cell>
          <cell r="K763">
            <v>2</v>
          </cell>
        </row>
        <row r="764">
          <cell r="A764" t="str">
            <v>M1</v>
          </cell>
          <cell r="B764" t="str">
            <v>B2C</v>
          </cell>
          <cell r="C764" t="str">
            <v>SH</v>
          </cell>
          <cell r="D764" t="str">
            <v>22601</v>
          </cell>
          <cell r="E764" t="str">
            <v>SOL</v>
          </cell>
          <cell r="F764">
            <v>2</v>
          </cell>
          <cell r="G764" t="str">
            <v>CB39020000030T</v>
          </cell>
          <cell r="H764">
            <v>3</v>
          </cell>
          <cell r="I764">
            <v>0.75</v>
          </cell>
          <cell r="J764">
            <v>2</v>
          </cell>
          <cell r="K764">
            <v>3</v>
          </cell>
        </row>
        <row r="765">
          <cell r="A765" t="str">
            <v>M1</v>
          </cell>
          <cell r="B765" t="str">
            <v>B2C</v>
          </cell>
          <cell r="C765" t="str">
            <v>TRIM</v>
          </cell>
          <cell r="D765" t="str">
            <v>V-2218</v>
          </cell>
          <cell r="E765" t="str">
            <v>SOL</v>
          </cell>
          <cell r="F765">
            <v>2</v>
          </cell>
          <cell r="G765" t="str">
            <v>CB39020000030T</v>
          </cell>
          <cell r="H765">
            <v>3</v>
          </cell>
          <cell r="I765">
            <v>0.75</v>
          </cell>
          <cell r="J765">
            <v>6</v>
          </cell>
          <cell r="K765">
            <v>7</v>
          </cell>
        </row>
        <row r="766">
          <cell r="A766" t="str">
            <v>M1</v>
          </cell>
          <cell r="B766" t="str">
            <v>B2C</v>
          </cell>
          <cell r="C766" t="str">
            <v>SH</v>
          </cell>
          <cell r="D766" t="str">
            <v>22601</v>
          </cell>
          <cell r="E766" t="str">
            <v>TEE</v>
          </cell>
          <cell r="F766">
            <v>2</v>
          </cell>
          <cell r="G766" t="str">
            <v>CB300304000300</v>
          </cell>
          <cell r="H766">
            <v>3</v>
          </cell>
          <cell r="I766" t="str">
            <v>--</v>
          </cell>
          <cell r="J766">
            <v>1</v>
          </cell>
          <cell r="K766">
            <v>2</v>
          </cell>
        </row>
        <row r="767">
          <cell r="A767" t="str">
            <v>M1</v>
          </cell>
          <cell r="B767" t="str">
            <v>B2C</v>
          </cell>
          <cell r="C767" t="str">
            <v>SH</v>
          </cell>
          <cell r="D767" t="str">
            <v>22601</v>
          </cell>
          <cell r="E767" t="str">
            <v>TOL</v>
          </cell>
          <cell r="F767">
            <v>2</v>
          </cell>
          <cell r="G767" t="str">
            <v>CB39030000030T</v>
          </cell>
          <cell r="H767">
            <v>3</v>
          </cell>
          <cell r="I767">
            <v>0.75</v>
          </cell>
          <cell r="J767">
            <v>1</v>
          </cell>
          <cell r="K767">
            <v>2</v>
          </cell>
        </row>
        <row r="768">
          <cell r="A768" t="str">
            <v>M1</v>
          </cell>
          <cell r="B768" t="str">
            <v>B2C</v>
          </cell>
          <cell r="C768" t="str">
            <v>SH</v>
          </cell>
          <cell r="D768" t="str">
            <v>22625</v>
          </cell>
          <cell r="E768" t="str">
            <v>TOL</v>
          </cell>
          <cell r="F768">
            <v>2</v>
          </cell>
          <cell r="G768" t="str">
            <v>CB39030000030T</v>
          </cell>
          <cell r="H768">
            <v>3</v>
          </cell>
          <cell r="I768">
            <v>0.75</v>
          </cell>
          <cell r="J768">
            <v>1</v>
          </cell>
          <cell r="K768">
            <v>2</v>
          </cell>
        </row>
        <row r="769">
          <cell r="A769" t="str">
            <v>M1</v>
          </cell>
          <cell r="B769" t="str">
            <v>A5C</v>
          </cell>
          <cell r="C769" t="str">
            <v>P</v>
          </cell>
          <cell r="D769" t="str">
            <v>22025</v>
          </cell>
          <cell r="E769" t="str">
            <v>45 ELL</v>
          </cell>
          <cell r="F769">
            <v>2</v>
          </cell>
          <cell r="G769" t="str">
            <v>CB300204000300</v>
          </cell>
          <cell r="H769">
            <v>3</v>
          </cell>
          <cell r="I769" t="str">
            <v>--</v>
          </cell>
          <cell r="J769">
            <v>2</v>
          </cell>
          <cell r="K769">
            <v>3</v>
          </cell>
        </row>
        <row r="770">
          <cell r="A770" t="str">
            <v>M1</v>
          </cell>
          <cell r="B770" t="str">
            <v>A5C</v>
          </cell>
          <cell r="C770" t="str">
            <v>P</v>
          </cell>
          <cell r="D770" t="str">
            <v>22134</v>
          </cell>
          <cell r="E770" t="str">
            <v>45 ELL</v>
          </cell>
          <cell r="F770">
            <v>2</v>
          </cell>
          <cell r="G770" t="str">
            <v>CB300204000300</v>
          </cell>
          <cell r="H770">
            <v>3</v>
          </cell>
          <cell r="I770" t="str">
            <v>--</v>
          </cell>
          <cell r="J770">
            <v>1</v>
          </cell>
          <cell r="K770">
            <v>2</v>
          </cell>
        </row>
        <row r="771">
          <cell r="A771" t="str">
            <v>M1</v>
          </cell>
          <cell r="B771" t="str">
            <v>A5C</v>
          </cell>
          <cell r="C771" t="str">
            <v>P</v>
          </cell>
          <cell r="D771" t="str">
            <v>22081</v>
          </cell>
          <cell r="E771" t="str">
            <v>90 ELL</v>
          </cell>
          <cell r="F771">
            <v>2</v>
          </cell>
          <cell r="G771" t="str">
            <v>CB300104000300</v>
          </cell>
          <cell r="H771">
            <v>3</v>
          </cell>
          <cell r="I771" t="str">
            <v>--</v>
          </cell>
          <cell r="J771">
            <v>9</v>
          </cell>
          <cell r="K771">
            <v>10</v>
          </cell>
        </row>
        <row r="772">
          <cell r="A772" t="str">
            <v>M1</v>
          </cell>
          <cell r="B772" t="str">
            <v>A5C</v>
          </cell>
          <cell r="C772" t="str">
            <v>P</v>
          </cell>
          <cell r="D772" t="str">
            <v>22130</v>
          </cell>
          <cell r="E772" t="str">
            <v>90 ELL</v>
          </cell>
          <cell r="F772">
            <v>2</v>
          </cell>
          <cell r="G772" t="str">
            <v>CB300104000300</v>
          </cell>
          <cell r="H772">
            <v>3</v>
          </cell>
          <cell r="I772" t="str">
            <v>--</v>
          </cell>
          <cell r="J772">
            <v>2</v>
          </cell>
          <cell r="K772">
            <v>3</v>
          </cell>
        </row>
        <row r="773">
          <cell r="A773" t="str">
            <v>M1</v>
          </cell>
          <cell r="B773" t="str">
            <v>A5C</v>
          </cell>
          <cell r="C773" t="str">
            <v>P</v>
          </cell>
          <cell r="D773" t="str">
            <v>22140</v>
          </cell>
          <cell r="E773" t="str">
            <v>90 ELL</v>
          </cell>
          <cell r="F773">
            <v>2</v>
          </cell>
          <cell r="G773" t="str">
            <v>CB300104000300</v>
          </cell>
          <cell r="H773">
            <v>3</v>
          </cell>
          <cell r="I773" t="str">
            <v>--</v>
          </cell>
          <cell r="J773">
            <v>2</v>
          </cell>
          <cell r="K773">
            <v>3</v>
          </cell>
        </row>
        <row r="774">
          <cell r="A774" t="str">
            <v>M1</v>
          </cell>
          <cell r="B774" t="str">
            <v>A5C</v>
          </cell>
          <cell r="C774" t="str">
            <v>P</v>
          </cell>
          <cell r="D774" t="str">
            <v>22133</v>
          </cell>
          <cell r="E774" t="str">
            <v>90 ELL</v>
          </cell>
          <cell r="F774">
            <v>2</v>
          </cell>
          <cell r="G774" t="str">
            <v>CB300104000300</v>
          </cell>
          <cell r="H774">
            <v>3</v>
          </cell>
          <cell r="I774" t="str">
            <v>--</v>
          </cell>
          <cell r="J774">
            <v>1</v>
          </cell>
          <cell r="K774">
            <v>2</v>
          </cell>
        </row>
        <row r="775">
          <cell r="A775" t="str">
            <v>M1</v>
          </cell>
          <cell r="B775" t="str">
            <v>A5C</v>
          </cell>
          <cell r="C775" t="str">
            <v>P</v>
          </cell>
          <cell r="D775" t="str">
            <v>22134</v>
          </cell>
          <cell r="E775" t="str">
            <v>90 ELL</v>
          </cell>
          <cell r="F775">
            <v>2</v>
          </cell>
          <cell r="G775" t="str">
            <v>CB300104000300</v>
          </cell>
          <cell r="H775">
            <v>3</v>
          </cell>
          <cell r="I775" t="str">
            <v>--</v>
          </cell>
          <cell r="J775">
            <v>1</v>
          </cell>
          <cell r="K775">
            <v>2</v>
          </cell>
        </row>
        <row r="776">
          <cell r="A776" t="str">
            <v>M1</v>
          </cell>
          <cell r="B776" t="str">
            <v>A5C</v>
          </cell>
          <cell r="C776" t="str">
            <v>TRIM</v>
          </cell>
          <cell r="D776" t="str">
            <v>V-2211</v>
          </cell>
          <cell r="E776" t="str">
            <v>90 ELL</v>
          </cell>
          <cell r="F776">
            <v>2</v>
          </cell>
          <cell r="G776" t="str">
            <v>CB300104000300</v>
          </cell>
          <cell r="H776">
            <v>3</v>
          </cell>
          <cell r="I776" t="str">
            <v>--</v>
          </cell>
          <cell r="J776">
            <v>2</v>
          </cell>
          <cell r="K776">
            <v>3</v>
          </cell>
        </row>
        <row r="777">
          <cell r="A777" t="str">
            <v>M1</v>
          </cell>
          <cell r="B777" t="str">
            <v>A5C</v>
          </cell>
          <cell r="C777" t="str">
            <v>P</v>
          </cell>
          <cell r="D777" t="str">
            <v>22153</v>
          </cell>
          <cell r="E777" t="str">
            <v>CAP</v>
          </cell>
          <cell r="F777">
            <v>2</v>
          </cell>
          <cell r="G777" t="str">
            <v>CB300704000300</v>
          </cell>
          <cell r="H777">
            <v>3</v>
          </cell>
          <cell r="I777" t="str">
            <v>--</v>
          </cell>
          <cell r="J777">
            <v>2</v>
          </cell>
          <cell r="K777">
            <v>3</v>
          </cell>
        </row>
        <row r="778">
          <cell r="A778" t="str">
            <v>M1</v>
          </cell>
          <cell r="B778" t="str">
            <v>A5C</v>
          </cell>
          <cell r="C778" t="str">
            <v>P</v>
          </cell>
          <cell r="D778" t="str">
            <v>22066</v>
          </cell>
          <cell r="E778" t="str">
            <v>E RED</v>
          </cell>
          <cell r="F778">
            <v>2</v>
          </cell>
          <cell r="G778" t="str">
            <v>CB300604080302</v>
          </cell>
          <cell r="H778">
            <v>3</v>
          </cell>
          <cell r="I778">
            <v>2</v>
          </cell>
          <cell r="J778">
            <v>1</v>
          </cell>
          <cell r="K778">
            <v>2</v>
          </cell>
        </row>
        <row r="779">
          <cell r="A779" t="str">
            <v>M1</v>
          </cell>
          <cell r="B779" t="str">
            <v>A5C</v>
          </cell>
          <cell r="C779" t="str">
            <v>P</v>
          </cell>
          <cell r="D779" t="str">
            <v>22130</v>
          </cell>
          <cell r="E779" t="str">
            <v>E RED</v>
          </cell>
          <cell r="F779">
            <v>2</v>
          </cell>
          <cell r="G779" t="str">
            <v>CB300604080302</v>
          </cell>
          <cell r="H779">
            <v>3</v>
          </cell>
          <cell r="I779">
            <v>2</v>
          </cell>
          <cell r="J779">
            <v>2</v>
          </cell>
          <cell r="K779">
            <v>3</v>
          </cell>
        </row>
        <row r="780">
          <cell r="A780" t="str">
            <v>M1</v>
          </cell>
          <cell r="B780" t="str">
            <v>A5C</v>
          </cell>
          <cell r="C780" t="str">
            <v>P</v>
          </cell>
          <cell r="D780" t="str">
            <v>22140</v>
          </cell>
          <cell r="E780" t="str">
            <v>E RED</v>
          </cell>
          <cell r="F780">
            <v>2</v>
          </cell>
          <cell r="G780" t="str">
            <v>CB300604080302</v>
          </cell>
          <cell r="H780">
            <v>3</v>
          </cell>
          <cell r="I780">
            <v>2</v>
          </cell>
          <cell r="J780">
            <v>2</v>
          </cell>
          <cell r="K780">
            <v>3</v>
          </cell>
        </row>
        <row r="781">
          <cell r="A781" t="str">
            <v>M1</v>
          </cell>
          <cell r="B781" t="str">
            <v>A5C</v>
          </cell>
          <cell r="C781" t="str">
            <v>P</v>
          </cell>
          <cell r="D781" t="str">
            <v>22081</v>
          </cell>
          <cell r="E781" t="str">
            <v>E RED</v>
          </cell>
          <cell r="F781">
            <v>2</v>
          </cell>
          <cell r="G781" t="str">
            <v>CB300604080302</v>
          </cell>
          <cell r="H781">
            <v>3</v>
          </cell>
          <cell r="I781">
            <v>2</v>
          </cell>
          <cell r="J781">
            <v>2</v>
          </cell>
          <cell r="K781">
            <v>3</v>
          </cell>
        </row>
        <row r="782">
          <cell r="A782" t="str">
            <v>M1</v>
          </cell>
          <cell r="B782" t="str">
            <v>A5C</v>
          </cell>
          <cell r="C782" t="str">
            <v>P</v>
          </cell>
          <cell r="D782" t="str">
            <v>22153</v>
          </cell>
          <cell r="E782" t="str">
            <v>SOL</v>
          </cell>
          <cell r="F782">
            <v>2</v>
          </cell>
          <cell r="G782" t="str">
            <v>CB39020000030T</v>
          </cell>
          <cell r="H782">
            <v>3</v>
          </cell>
          <cell r="I782">
            <v>0.75</v>
          </cell>
          <cell r="J782">
            <v>4</v>
          </cell>
          <cell r="K782">
            <v>5</v>
          </cell>
        </row>
        <row r="783">
          <cell r="A783" t="str">
            <v>M1</v>
          </cell>
          <cell r="B783" t="str">
            <v>A5C</v>
          </cell>
          <cell r="C783" t="str">
            <v>TRIM</v>
          </cell>
          <cell r="D783" t="str">
            <v>V-2211</v>
          </cell>
          <cell r="E783" t="str">
            <v>SOL</v>
          </cell>
          <cell r="F783">
            <v>2</v>
          </cell>
          <cell r="G783" t="str">
            <v>CB39020000030T</v>
          </cell>
          <cell r="H783">
            <v>3</v>
          </cell>
          <cell r="I783">
            <v>0.75</v>
          </cell>
          <cell r="J783">
            <v>5</v>
          </cell>
          <cell r="K783">
            <v>6</v>
          </cell>
        </row>
        <row r="784">
          <cell r="A784" t="str">
            <v>M1</v>
          </cell>
          <cell r="B784" t="str">
            <v>A5C</v>
          </cell>
          <cell r="C784" t="str">
            <v>P</v>
          </cell>
          <cell r="D784" t="str">
            <v>22081</v>
          </cell>
          <cell r="E784" t="str">
            <v>SOL</v>
          </cell>
          <cell r="F784">
            <v>2</v>
          </cell>
          <cell r="G784" t="str">
            <v>CB39020000030T</v>
          </cell>
          <cell r="H784">
            <v>3</v>
          </cell>
          <cell r="I784">
            <v>0.75</v>
          </cell>
          <cell r="J784">
            <v>3</v>
          </cell>
          <cell r="K784">
            <v>4</v>
          </cell>
        </row>
        <row r="785">
          <cell r="A785" t="str">
            <v>M1</v>
          </cell>
          <cell r="B785" t="str">
            <v>A5C</v>
          </cell>
          <cell r="C785" t="str">
            <v>P</v>
          </cell>
          <cell r="D785" t="str">
            <v>22153</v>
          </cell>
          <cell r="E785" t="str">
            <v>TEE</v>
          </cell>
          <cell r="F785">
            <v>2</v>
          </cell>
          <cell r="G785" t="str">
            <v>CB300304000300</v>
          </cell>
          <cell r="H785">
            <v>3</v>
          </cell>
          <cell r="I785" t="str">
            <v>--</v>
          </cell>
          <cell r="J785">
            <v>2</v>
          </cell>
          <cell r="K785">
            <v>3</v>
          </cell>
        </row>
        <row r="786">
          <cell r="A786" t="str">
            <v>M1</v>
          </cell>
          <cell r="B786" t="str">
            <v>A5C</v>
          </cell>
          <cell r="C786" t="str">
            <v>P</v>
          </cell>
          <cell r="D786" t="str">
            <v>22134</v>
          </cell>
          <cell r="E786" t="str">
            <v>TEE</v>
          </cell>
          <cell r="F786">
            <v>2</v>
          </cell>
          <cell r="G786" t="str">
            <v>CB300304000300</v>
          </cell>
          <cell r="H786">
            <v>3</v>
          </cell>
          <cell r="I786" t="str">
            <v>--</v>
          </cell>
          <cell r="J786">
            <v>1</v>
          </cell>
          <cell r="K786">
            <v>2</v>
          </cell>
        </row>
        <row r="787">
          <cell r="A787" t="str">
            <v>M1</v>
          </cell>
          <cell r="B787" t="str">
            <v>A5C</v>
          </cell>
          <cell r="C787" t="str">
            <v>P</v>
          </cell>
          <cell r="D787" t="str">
            <v>22100</v>
          </cell>
          <cell r="E787" t="str">
            <v>45 ELL</v>
          </cell>
          <cell r="F787">
            <v>2</v>
          </cell>
          <cell r="G787" t="str">
            <v>CB300204000300</v>
          </cell>
          <cell r="H787">
            <v>3</v>
          </cell>
          <cell r="I787" t="str">
            <v>--</v>
          </cell>
          <cell r="J787">
            <v>1</v>
          </cell>
          <cell r="K787">
            <v>2</v>
          </cell>
        </row>
        <row r="788">
          <cell r="A788" t="str">
            <v>M1</v>
          </cell>
          <cell r="B788" t="str">
            <v>A5C</v>
          </cell>
          <cell r="C788" t="str">
            <v>P</v>
          </cell>
          <cell r="D788" t="str">
            <v>22090</v>
          </cell>
          <cell r="E788" t="str">
            <v>90 ELL</v>
          </cell>
          <cell r="F788">
            <v>2</v>
          </cell>
          <cell r="G788" t="str">
            <v>CB300104000300</v>
          </cell>
          <cell r="H788">
            <v>3</v>
          </cell>
          <cell r="I788" t="str">
            <v>--</v>
          </cell>
          <cell r="J788">
            <v>1</v>
          </cell>
          <cell r="K788">
            <v>2</v>
          </cell>
        </row>
        <row r="789">
          <cell r="A789" t="str">
            <v>M1</v>
          </cell>
          <cell r="B789" t="str">
            <v>A5C</v>
          </cell>
          <cell r="C789" t="str">
            <v>P</v>
          </cell>
          <cell r="D789" t="str">
            <v>22091</v>
          </cell>
          <cell r="E789" t="str">
            <v>90 ELL</v>
          </cell>
          <cell r="F789">
            <v>2</v>
          </cell>
          <cell r="G789" t="str">
            <v>CB300104000300</v>
          </cell>
          <cell r="H789">
            <v>3</v>
          </cell>
          <cell r="I789" t="str">
            <v>--</v>
          </cell>
          <cell r="J789">
            <v>3</v>
          </cell>
          <cell r="K789">
            <v>4</v>
          </cell>
        </row>
        <row r="790">
          <cell r="A790" t="str">
            <v>M1</v>
          </cell>
          <cell r="B790" t="str">
            <v>A5C</v>
          </cell>
          <cell r="C790" t="str">
            <v>P</v>
          </cell>
          <cell r="D790" t="str">
            <v>22094</v>
          </cell>
          <cell r="E790" t="str">
            <v>90 ELL</v>
          </cell>
          <cell r="F790">
            <v>2</v>
          </cell>
          <cell r="G790" t="str">
            <v>CB300104000300</v>
          </cell>
          <cell r="H790">
            <v>3</v>
          </cell>
          <cell r="I790" t="str">
            <v>--</v>
          </cell>
          <cell r="J790">
            <v>4</v>
          </cell>
          <cell r="K790">
            <v>5</v>
          </cell>
        </row>
        <row r="791">
          <cell r="A791" t="str">
            <v>M1</v>
          </cell>
          <cell r="B791" t="str">
            <v>A5C</v>
          </cell>
          <cell r="C791" t="str">
            <v>P</v>
          </cell>
          <cell r="D791" t="str">
            <v>22100</v>
          </cell>
          <cell r="E791" t="str">
            <v>90 ELL</v>
          </cell>
          <cell r="F791">
            <v>2</v>
          </cell>
          <cell r="G791" t="str">
            <v>CB300104000300</v>
          </cell>
          <cell r="H791">
            <v>3</v>
          </cell>
          <cell r="I791" t="str">
            <v>--</v>
          </cell>
          <cell r="J791">
            <v>6</v>
          </cell>
          <cell r="K791">
            <v>7</v>
          </cell>
        </row>
        <row r="792">
          <cell r="A792" t="str">
            <v>M1</v>
          </cell>
          <cell r="B792" t="str">
            <v>A5C</v>
          </cell>
          <cell r="C792" t="str">
            <v>P</v>
          </cell>
          <cell r="D792" t="str">
            <v>22090</v>
          </cell>
          <cell r="E792" t="str">
            <v>90 ELL</v>
          </cell>
          <cell r="F792">
            <v>2</v>
          </cell>
          <cell r="G792" t="str">
            <v>CB300104000300</v>
          </cell>
          <cell r="H792">
            <v>3</v>
          </cell>
          <cell r="I792" t="str">
            <v>--</v>
          </cell>
          <cell r="J792">
            <v>5</v>
          </cell>
          <cell r="K792">
            <v>6</v>
          </cell>
        </row>
        <row r="793">
          <cell r="A793" t="str">
            <v>M1</v>
          </cell>
          <cell r="B793" t="str">
            <v>A5C</v>
          </cell>
          <cell r="C793" t="str">
            <v>P</v>
          </cell>
          <cell r="D793" t="str">
            <v>22095</v>
          </cell>
          <cell r="E793" t="str">
            <v>90 ELL</v>
          </cell>
          <cell r="F793">
            <v>2</v>
          </cell>
          <cell r="G793" t="str">
            <v>CB300104000300</v>
          </cell>
          <cell r="H793">
            <v>3</v>
          </cell>
          <cell r="I793" t="str">
            <v>--</v>
          </cell>
          <cell r="J793">
            <v>4</v>
          </cell>
          <cell r="K793">
            <v>5</v>
          </cell>
        </row>
        <row r="794">
          <cell r="A794" t="str">
            <v>M1</v>
          </cell>
          <cell r="B794" t="str">
            <v>A5C</v>
          </cell>
          <cell r="C794" t="str">
            <v>P</v>
          </cell>
          <cell r="D794" t="str">
            <v>22092</v>
          </cell>
          <cell r="E794" t="str">
            <v>90 ELL</v>
          </cell>
          <cell r="F794">
            <v>2</v>
          </cell>
          <cell r="G794" t="str">
            <v>CB300104000300</v>
          </cell>
          <cell r="H794">
            <v>3</v>
          </cell>
          <cell r="I794" t="str">
            <v>--</v>
          </cell>
          <cell r="J794">
            <v>1</v>
          </cell>
          <cell r="K794">
            <v>2</v>
          </cell>
        </row>
        <row r="795">
          <cell r="A795" t="str">
            <v>M1</v>
          </cell>
          <cell r="B795" t="str">
            <v>A5C</v>
          </cell>
          <cell r="C795" t="str">
            <v>P</v>
          </cell>
          <cell r="D795" t="str">
            <v>22093</v>
          </cell>
          <cell r="E795" t="str">
            <v>90 ELL</v>
          </cell>
          <cell r="F795">
            <v>2</v>
          </cell>
          <cell r="G795" t="str">
            <v>CB300104000300</v>
          </cell>
          <cell r="H795">
            <v>3</v>
          </cell>
          <cell r="I795" t="str">
            <v>--</v>
          </cell>
          <cell r="J795">
            <v>2</v>
          </cell>
          <cell r="K795">
            <v>3</v>
          </cell>
        </row>
        <row r="796">
          <cell r="A796" t="str">
            <v>M1</v>
          </cell>
          <cell r="B796" t="str">
            <v>A5C</v>
          </cell>
          <cell r="C796" t="str">
            <v>P</v>
          </cell>
          <cell r="D796" t="str">
            <v>22094</v>
          </cell>
          <cell r="E796" t="str">
            <v>C SWG</v>
          </cell>
          <cell r="F796">
            <v>2</v>
          </cell>
          <cell r="G796" t="str">
            <v>CB1614040803IH</v>
          </cell>
          <cell r="H796">
            <v>3</v>
          </cell>
          <cell r="I796">
            <v>1.5</v>
          </cell>
          <cell r="J796">
            <v>2</v>
          </cell>
          <cell r="K796">
            <v>3</v>
          </cell>
        </row>
        <row r="797">
          <cell r="A797" t="str">
            <v>M1</v>
          </cell>
          <cell r="B797" t="str">
            <v>A5C</v>
          </cell>
          <cell r="C797" t="str">
            <v>P</v>
          </cell>
          <cell r="D797" t="str">
            <v>22095</v>
          </cell>
          <cell r="E797" t="str">
            <v>C SWG</v>
          </cell>
          <cell r="F797">
            <v>2</v>
          </cell>
          <cell r="G797" t="str">
            <v>CB1614040803IH</v>
          </cell>
          <cell r="H797">
            <v>3</v>
          </cell>
          <cell r="I797">
            <v>1.5</v>
          </cell>
          <cell r="J797">
            <v>2</v>
          </cell>
          <cell r="K797">
            <v>3</v>
          </cell>
        </row>
        <row r="798">
          <cell r="A798" t="str">
            <v>M1</v>
          </cell>
          <cell r="B798" t="str">
            <v>A5C</v>
          </cell>
          <cell r="C798" t="str">
            <v>P</v>
          </cell>
          <cell r="D798" t="str">
            <v>22090</v>
          </cell>
          <cell r="E798" t="str">
            <v>SOL</v>
          </cell>
          <cell r="F798">
            <v>2</v>
          </cell>
          <cell r="G798" t="str">
            <v>CB390200000301</v>
          </cell>
          <cell r="H798">
            <v>3</v>
          </cell>
          <cell r="I798">
            <v>1</v>
          </cell>
          <cell r="J798">
            <v>1</v>
          </cell>
          <cell r="K798">
            <v>2</v>
          </cell>
        </row>
        <row r="799">
          <cell r="A799" t="str">
            <v>M1</v>
          </cell>
          <cell r="B799" t="str">
            <v>A5C</v>
          </cell>
          <cell r="C799" t="str">
            <v>P</v>
          </cell>
          <cell r="D799" t="str">
            <v>22091</v>
          </cell>
          <cell r="E799" t="str">
            <v>SOL</v>
          </cell>
          <cell r="F799">
            <v>2</v>
          </cell>
          <cell r="G799" t="str">
            <v>CB390200000301</v>
          </cell>
          <cell r="H799">
            <v>3</v>
          </cell>
          <cell r="I799">
            <v>1</v>
          </cell>
          <cell r="J799">
            <v>1</v>
          </cell>
          <cell r="K799">
            <v>2</v>
          </cell>
        </row>
        <row r="800">
          <cell r="A800" t="str">
            <v>M1</v>
          </cell>
          <cell r="B800" t="str">
            <v>A5C</v>
          </cell>
          <cell r="C800" t="str">
            <v>P</v>
          </cell>
          <cell r="D800" t="str">
            <v>22092</v>
          </cell>
          <cell r="E800" t="str">
            <v>SOL</v>
          </cell>
          <cell r="F800">
            <v>2</v>
          </cell>
          <cell r="G800" t="str">
            <v>CB390200000301</v>
          </cell>
          <cell r="H800">
            <v>3</v>
          </cell>
          <cell r="I800">
            <v>1</v>
          </cell>
          <cell r="J800">
            <v>1</v>
          </cell>
          <cell r="K800">
            <v>2</v>
          </cell>
        </row>
        <row r="801">
          <cell r="A801" t="str">
            <v>M1</v>
          </cell>
          <cell r="B801" t="str">
            <v>A5C</v>
          </cell>
          <cell r="C801" t="str">
            <v>P</v>
          </cell>
          <cell r="D801" t="str">
            <v>22092</v>
          </cell>
          <cell r="E801" t="str">
            <v>SOL</v>
          </cell>
          <cell r="F801">
            <v>2</v>
          </cell>
          <cell r="G801" t="str">
            <v>CB39020000030T</v>
          </cell>
          <cell r="H801">
            <v>3</v>
          </cell>
          <cell r="I801">
            <v>0.75</v>
          </cell>
          <cell r="J801">
            <v>1</v>
          </cell>
          <cell r="K801">
            <v>2</v>
          </cell>
        </row>
        <row r="802">
          <cell r="A802" t="str">
            <v>M1</v>
          </cell>
          <cell r="B802" t="str">
            <v>A5C</v>
          </cell>
          <cell r="C802" t="str">
            <v>P</v>
          </cell>
          <cell r="D802" t="str">
            <v>22095</v>
          </cell>
          <cell r="E802" t="str">
            <v>SOL</v>
          </cell>
          <cell r="F802">
            <v>2</v>
          </cell>
          <cell r="G802" t="str">
            <v>CB39020000030T</v>
          </cell>
          <cell r="H802">
            <v>3</v>
          </cell>
          <cell r="I802">
            <v>0.75</v>
          </cell>
          <cell r="J802">
            <v>5</v>
          </cell>
          <cell r="K802">
            <v>6</v>
          </cell>
        </row>
        <row r="803">
          <cell r="A803" t="str">
            <v>M1</v>
          </cell>
          <cell r="B803" t="str">
            <v>A5C</v>
          </cell>
          <cell r="C803" t="str">
            <v>P</v>
          </cell>
          <cell r="D803" t="str">
            <v>22090</v>
          </cell>
          <cell r="E803" t="str">
            <v>SOL</v>
          </cell>
          <cell r="F803">
            <v>2</v>
          </cell>
          <cell r="G803" t="str">
            <v>CB39020000030T</v>
          </cell>
          <cell r="H803">
            <v>3</v>
          </cell>
          <cell r="I803">
            <v>0.75</v>
          </cell>
          <cell r="J803">
            <v>1</v>
          </cell>
          <cell r="K803">
            <v>2</v>
          </cell>
        </row>
        <row r="804">
          <cell r="A804" t="str">
            <v>M1</v>
          </cell>
          <cell r="B804" t="str">
            <v>A5C</v>
          </cell>
          <cell r="C804" t="str">
            <v>P</v>
          </cell>
          <cell r="D804" t="str">
            <v>22093</v>
          </cell>
          <cell r="E804" t="str">
            <v>SOL</v>
          </cell>
          <cell r="F804">
            <v>2</v>
          </cell>
          <cell r="G804" t="str">
            <v>CB39020000030T</v>
          </cell>
          <cell r="H804">
            <v>3</v>
          </cell>
          <cell r="I804">
            <v>0.75</v>
          </cell>
          <cell r="J804">
            <v>1</v>
          </cell>
          <cell r="K804">
            <v>2</v>
          </cell>
        </row>
        <row r="805">
          <cell r="A805" t="str">
            <v>M1</v>
          </cell>
          <cell r="B805" t="str">
            <v>A5C</v>
          </cell>
          <cell r="C805" t="str">
            <v>P</v>
          </cell>
          <cell r="D805" t="str">
            <v>22093</v>
          </cell>
          <cell r="E805" t="str">
            <v>SOL</v>
          </cell>
          <cell r="F805">
            <v>2</v>
          </cell>
          <cell r="G805" t="str">
            <v>CB390200000301</v>
          </cell>
          <cell r="H805">
            <v>3</v>
          </cell>
          <cell r="I805">
            <v>1</v>
          </cell>
          <cell r="J805">
            <v>1</v>
          </cell>
          <cell r="K805">
            <v>2</v>
          </cell>
        </row>
        <row r="806">
          <cell r="A806" t="str">
            <v>M1</v>
          </cell>
          <cell r="B806" t="str">
            <v>A5C</v>
          </cell>
          <cell r="C806" t="str">
            <v>P</v>
          </cell>
          <cell r="D806" t="str">
            <v>22094</v>
          </cell>
          <cell r="E806" t="str">
            <v>SOL</v>
          </cell>
          <cell r="F806">
            <v>2</v>
          </cell>
          <cell r="G806" t="str">
            <v>CB39020000030T</v>
          </cell>
          <cell r="H806">
            <v>3</v>
          </cell>
          <cell r="I806">
            <v>0.75</v>
          </cell>
          <cell r="J806">
            <v>5</v>
          </cell>
          <cell r="K806">
            <v>6</v>
          </cell>
        </row>
        <row r="807">
          <cell r="A807" t="str">
            <v>M1</v>
          </cell>
          <cell r="B807" t="str">
            <v>A5C</v>
          </cell>
          <cell r="C807" t="str">
            <v>P</v>
          </cell>
          <cell r="D807" t="str">
            <v>22090</v>
          </cell>
          <cell r="E807" t="str">
            <v>TEE</v>
          </cell>
          <cell r="F807">
            <v>2</v>
          </cell>
          <cell r="G807" t="str">
            <v>CB300304000300</v>
          </cell>
          <cell r="H807">
            <v>3</v>
          </cell>
          <cell r="I807" t="str">
            <v>--</v>
          </cell>
          <cell r="J807">
            <v>1</v>
          </cell>
          <cell r="K807">
            <v>2</v>
          </cell>
        </row>
        <row r="808">
          <cell r="A808" t="str">
            <v>M1</v>
          </cell>
          <cell r="B808" t="str">
            <v>A5C</v>
          </cell>
          <cell r="C808" t="str">
            <v>P</v>
          </cell>
          <cell r="D808" t="str">
            <v>22092</v>
          </cell>
          <cell r="E808" t="str">
            <v>TEE</v>
          </cell>
          <cell r="F808">
            <v>2</v>
          </cell>
          <cell r="G808" t="str">
            <v>CB300304000300</v>
          </cell>
          <cell r="H808">
            <v>3</v>
          </cell>
          <cell r="I808" t="str">
            <v>--</v>
          </cell>
          <cell r="J808">
            <v>1</v>
          </cell>
          <cell r="K808">
            <v>2</v>
          </cell>
        </row>
        <row r="809">
          <cell r="A809" t="str">
            <v>M1</v>
          </cell>
          <cell r="B809" t="str">
            <v>A5C</v>
          </cell>
          <cell r="C809" t="str">
            <v>P</v>
          </cell>
          <cell r="D809" t="str">
            <v>22095</v>
          </cell>
          <cell r="E809" t="str">
            <v>TEE</v>
          </cell>
          <cell r="F809">
            <v>2</v>
          </cell>
          <cell r="G809" t="str">
            <v>CB300304000300</v>
          </cell>
          <cell r="H809">
            <v>3</v>
          </cell>
          <cell r="I809" t="str">
            <v>--</v>
          </cell>
          <cell r="J809">
            <v>1</v>
          </cell>
          <cell r="K809">
            <v>2</v>
          </cell>
        </row>
        <row r="810">
          <cell r="A810" t="str">
            <v>M1</v>
          </cell>
          <cell r="B810" t="str">
            <v>A5C</v>
          </cell>
          <cell r="C810" t="str">
            <v>P</v>
          </cell>
          <cell r="D810" t="str">
            <v>22100</v>
          </cell>
          <cell r="E810" t="str">
            <v>TEE</v>
          </cell>
          <cell r="F810">
            <v>2</v>
          </cell>
          <cell r="G810" t="str">
            <v>CB300304000300</v>
          </cell>
          <cell r="H810">
            <v>3</v>
          </cell>
          <cell r="I810" t="str">
            <v>--</v>
          </cell>
          <cell r="J810">
            <v>1</v>
          </cell>
          <cell r="K810">
            <v>2</v>
          </cell>
        </row>
        <row r="811">
          <cell r="A811" t="str">
            <v>M1</v>
          </cell>
          <cell r="B811" t="str">
            <v>A5C</v>
          </cell>
          <cell r="C811" t="str">
            <v>P</v>
          </cell>
          <cell r="D811" t="str">
            <v>22090</v>
          </cell>
          <cell r="E811" t="str">
            <v>TEE</v>
          </cell>
          <cell r="F811">
            <v>2</v>
          </cell>
          <cell r="G811" t="str">
            <v>CB300304000300</v>
          </cell>
          <cell r="H811">
            <v>3</v>
          </cell>
          <cell r="I811" t="str">
            <v>--</v>
          </cell>
          <cell r="J811">
            <v>1</v>
          </cell>
          <cell r="K811">
            <v>2</v>
          </cell>
        </row>
        <row r="812">
          <cell r="A812" t="str">
            <v>M1</v>
          </cell>
          <cell r="B812" t="str">
            <v>A5C</v>
          </cell>
          <cell r="C812" t="str">
            <v>P</v>
          </cell>
          <cell r="D812" t="str">
            <v>22094</v>
          </cell>
          <cell r="E812" t="str">
            <v>TEE</v>
          </cell>
          <cell r="F812">
            <v>2</v>
          </cell>
          <cell r="G812" t="str">
            <v>CB300304000300</v>
          </cell>
          <cell r="H812">
            <v>3</v>
          </cell>
          <cell r="I812" t="str">
            <v>--</v>
          </cell>
          <cell r="J812">
            <v>1</v>
          </cell>
          <cell r="K812">
            <v>2</v>
          </cell>
        </row>
        <row r="813">
          <cell r="A813" t="str">
            <v>M1</v>
          </cell>
          <cell r="B813" t="str">
            <v>A5C</v>
          </cell>
          <cell r="C813" t="str">
            <v>P</v>
          </cell>
          <cell r="D813" t="str">
            <v>22004</v>
          </cell>
          <cell r="E813" t="str">
            <v>45 ELL</v>
          </cell>
          <cell r="F813">
            <v>2</v>
          </cell>
          <cell r="G813" t="str">
            <v>CB300204000300</v>
          </cell>
          <cell r="H813">
            <v>3</v>
          </cell>
          <cell r="I813" t="str">
            <v>--</v>
          </cell>
          <cell r="J813">
            <v>2</v>
          </cell>
          <cell r="K813">
            <v>3</v>
          </cell>
        </row>
        <row r="814">
          <cell r="A814" t="str">
            <v>M1</v>
          </cell>
          <cell r="B814" t="str">
            <v>A5C</v>
          </cell>
          <cell r="C814" t="str">
            <v>P</v>
          </cell>
          <cell r="D814" t="str">
            <v>22061</v>
          </cell>
          <cell r="E814" t="str">
            <v>45 ELL</v>
          </cell>
          <cell r="F814">
            <v>2</v>
          </cell>
          <cell r="G814" t="str">
            <v>CB300204000300</v>
          </cell>
          <cell r="H814">
            <v>3</v>
          </cell>
          <cell r="I814" t="str">
            <v>--</v>
          </cell>
          <cell r="J814">
            <v>2</v>
          </cell>
          <cell r="K814">
            <v>3</v>
          </cell>
        </row>
        <row r="815">
          <cell r="A815" t="str">
            <v>M1</v>
          </cell>
          <cell r="B815" t="str">
            <v>A5C</v>
          </cell>
          <cell r="C815" t="str">
            <v>P</v>
          </cell>
          <cell r="D815" t="str">
            <v>22026</v>
          </cell>
          <cell r="E815" t="str">
            <v>45 ELL</v>
          </cell>
          <cell r="F815">
            <v>2</v>
          </cell>
          <cell r="G815" t="str">
            <v>CB300204000300</v>
          </cell>
          <cell r="H815">
            <v>3</v>
          </cell>
          <cell r="I815" t="str">
            <v>--</v>
          </cell>
          <cell r="J815">
            <v>1</v>
          </cell>
          <cell r="K815">
            <v>2</v>
          </cell>
        </row>
        <row r="816">
          <cell r="A816" t="str">
            <v>M1</v>
          </cell>
          <cell r="B816" t="str">
            <v>A5C</v>
          </cell>
          <cell r="C816" t="str">
            <v>P</v>
          </cell>
          <cell r="D816" t="str">
            <v>22003</v>
          </cell>
          <cell r="E816" t="str">
            <v>90 ELL</v>
          </cell>
          <cell r="F816">
            <v>2</v>
          </cell>
          <cell r="G816" t="str">
            <v>CB300104000300</v>
          </cell>
          <cell r="H816">
            <v>3</v>
          </cell>
          <cell r="I816" t="str">
            <v>--</v>
          </cell>
          <cell r="J816">
            <v>5</v>
          </cell>
          <cell r="K816">
            <v>6</v>
          </cell>
        </row>
        <row r="817">
          <cell r="A817" t="str">
            <v>M1</v>
          </cell>
          <cell r="B817" t="str">
            <v>A4C</v>
          </cell>
          <cell r="C817" t="str">
            <v>P</v>
          </cell>
          <cell r="D817" t="str">
            <v>22003</v>
          </cell>
          <cell r="E817" t="str">
            <v>90 ELL</v>
          </cell>
          <cell r="F817">
            <v>2</v>
          </cell>
          <cell r="G817" t="str">
            <v>CB300104000300</v>
          </cell>
          <cell r="H817">
            <v>3</v>
          </cell>
          <cell r="I817" t="str">
            <v>--</v>
          </cell>
          <cell r="J817">
            <v>6</v>
          </cell>
          <cell r="K817">
            <v>7</v>
          </cell>
        </row>
        <row r="818">
          <cell r="A818" t="str">
            <v>M1</v>
          </cell>
          <cell r="B818" t="str">
            <v>A5C</v>
          </cell>
          <cell r="C818" t="str">
            <v>P</v>
          </cell>
          <cell r="D818" t="str">
            <v>22004</v>
          </cell>
          <cell r="E818" t="str">
            <v>90 ELL</v>
          </cell>
          <cell r="F818">
            <v>2</v>
          </cell>
          <cell r="G818" t="str">
            <v>CB300104000300</v>
          </cell>
          <cell r="H818">
            <v>3</v>
          </cell>
          <cell r="I818" t="str">
            <v>--</v>
          </cell>
          <cell r="J818">
            <v>3</v>
          </cell>
          <cell r="K818">
            <v>4</v>
          </cell>
        </row>
        <row r="819">
          <cell r="A819" t="str">
            <v>M1</v>
          </cell>
          <cell r="B819" t="str">
            <v>A5C</v>
          </cell>
          <cell r="C819" t="str">
            <v>P</v>
          </cell>
          <cell r="D819" t="str">
            <v>22004</v>
          </cell>
          <cell r="E819" t="str">
            <v>90 ELL</v>
          </cell>
          <cell r="F819">
            <v>2</v>
          </cell>
          <cell r="G819" t="str">
            <v>CB300104000300</v>
          </cell>
          <cell r="H819">
            <v>3</v>
          </cell>
          <cell r="I819" t="str">
            <v>--</v>
          </cell>
          <cell r="J819">
            <v>2</v>
          </cell>
          <cell r="K819">
            <v>3</v>
          </cell>
        </row>
        <row r="820">
          <cell r="A820" t="str">
            <v>M1</v>
          </cell>
          <cell r="B820" t="str">
            <v>A5C</v>
          </cell>
          <cell r="C820" t="str">
            <v>P</v>
          </cell>
          <cell r="D820" t="str">
            <v>22005</v>
          </cell>
          <cell r="E820" t="str">
            <v>90 ELL</v>
          </cell>
          <cell r="F820">
            <v>2</v>
          </cell>
          <cell r="G820" t="str">
            <v>CB300104000300</v>
          </cell>
          <cell r="H820">
            <v>3</v>
          </cell>
          <cell r="I820" t="str">
            <v>--</v>
          </cell>
          <cell r="J820">
            <v>4</v>
          </cell>
          <cell r="K820">
            <v>5</v>
          </cell>
        </row>
        <row r="821">
          <cell r="A821" t="str">
            <v>M1</v>
          </cell>
          <cell r="B821" t="str">
            <v>A5C</v>
          </cell>
          <cell r="C821" t="str">
            <v>P</v>
          </cell>
          <cell r="D821" t="str">
            <v>22001</v>
          </cell>
          <cell r="E821" t="str">
            <v>90 ELL</v>
          </cell>
          <cell r="F821">
            <v>2</v>
          </cell>
          <cell r="G821" t="str">
            <v>CB300104000300</v>
          </cell>
          <cell r="H821">
            <v>3</v>
          </cell>
          <cell r="I821" t="str">
            <v>--</v>
          </cell>
          <cell r="J821">
            <v>14</v>
          </cell>
          <cell r="K821">
            <v>16</v>
          </cell>
        </row>
        <row r="822">
          <cell r="A822" t="str">
            <v>M1</v>
          </cell>
          <cell r="B822" t="str">
            <v>A5C</v>
          </cell>
          <cell r="C822" t="str">
            <v>P</v>
          </cell>
          <cell r="D822" t="str">
            <v>22026</v>
          </cell>
          <cell r="E822" t="str">
            <v>90 ELL</v>
          </cell>
          <cell r="F822">
            <v>2</v>
          </cell>
          <cell r="G822" t="str">
            <v>CB300104000300</v>
          </cell>
          <cell r="H822">
            <v>3</v>
          </cell>
          <cell r="I822" t="str">
            <v>--</v>
          </cell>
          <cell r="J822">
            <v>3</v>
          </cell>
          <cell r="K822">
            <v>4</v>
          </cell>
        </row>
        <row r="823">
          <cell r="A823" t="str">
            <v>M1</v>
          </cell>
          <cell r="B823" t="str">
            <v>A5C</v>
          </cell>
          <cell r="C823" t="str">
            <v>P</v>
          </cell>
          <cell r="D823" t="str">
            <v>22004</v>
          </cell>
          <cell r="E823" t="str">
            <v>C RED</v>
          </cell>
          <cell r="F823">
            <v>2</v>
          </cell>
          <cell r="G823" t="str">
            <v>CB300504080302</v>
          </cell>
          <cell r="H823">
            <v>3</v>
          </cell>
          <cell r="I823">
            <v>2</v>
          </cell>
          <cell r="J823">
            <v>1</v>
          </cell>
          <cell r="K823">
            <v>2</v>
          </cell>
        </row>
        <row r="824">
          <cell r="A824" t="str">
            <v>M1</v>
          </cell>
          <cell r="B824" t="str">
            <v>A5C</v>
          </cell>
          <cell r="C824" t="str">
            <v>P</v>
          </cell>
          <cell r="D824" t="str">
            <v>22004</v>
          </cell>
          <cell r="E824" t="str">
            <v>C RED</v>
          </cell>
          <cell r="F824">
            <v>2</v>
          </cell>
          <cell r="G824" t="str">
            <v>CB300504080302</v>
          </cell>
          <cell r="H824">
            <v>3</v>
          </cell>
          <cell r="I824">
            <v>2</v>
          </cell>
          <cell r="J824">
            <v>1</v>
          </cell>
          <cell r="K824">
            <v>2</v>
          </cell>
        </row>
        <row r="825">
          <cell r="A825" t="str">
            <v>M1</v>
          </cell>
          <cell r="B825" t="str">
            <v>A5C</v>
          </cell>
          <cell r="C825" t="str">
            <v>P</v>
          </cell>
          <cell r="D825" t="str">
            <v>22003</v>
          </cell>
          <cell r="E825" t="str">
            <v>SOL</v>
          </cell>
          <cell r="F825">
            <v>2</v>
          </cell>
          <cell r="G825" t="str">
            <v>CB39020000030T</v>
          </cell>
          <cell r="H825">
            <v>3</v>
          </cell>
          <cell r="I825">
            <v>0.75</v>
          </cell>
          <cell r="J825">
            <v>2</v>
          </cell>
          <cell r="K825">
            <v>3</v>
          </cell>
        </row>
        <row r="826">
          <cell r="A826" t="str">
            <v>M1</v>
          </cell>
          <cell r="B826" t="str">
            <v>A5C</v>
          </cell>
          <cell r="C826" t="str">
            <v>P</v>
          </cell>
          <cell r="D826" t="str">
            <v>22003</v>
          </cell>
          <cell r="E826" t="str">
            <v>SOL</v>
          </cell>
          <cell r="F826">
            <v>2</v>
          </cell>
          <cell r="G826" t="str">
            <v>CB390200000301</v>
          </cell>
          <cell r="H826">
            <v>3</v>
          </cell>
          <cell r="I826">
            <v>1</v>
          </cell>
          <cell r="J826">
            <v>1</v>
          </cell>
          <cell r="K826">
            <v>2</v>
          </cell>
        </row>
        <row r="827">
          <cell r="A827" t="str">
            <v>M1</v>
          </cell>
          <cell r="B827" t="str">
            <v>A5C</v>
          </cell>
          <cell r="C827" t="str">
            <v>P</v>
          </cell>
          <cell r="D827" t="str">
            <v>22004</v>
          </cell>
          <cell r="E827" t="str">
            <v>SOL</v>
          </cell>
          <cell r="F827">
            <v>2</v>
          </cell>
          <cell r="G827" t="str">
            <v>CB39020000030T</v>
          </cell>
          <cell r="H827">
            <v>3</v>
          </cell>
          <cell r="I827">
            <v>0.75</v>
          </cell>
          <cell r="J827">
            <v>1</v>
          </cell>
          <cell r="K827">
            <v>2</v>
          </cell>
        </row>
        <row r="828">
          <cell r="A828" t="str">
            <v>M1</v>
          </cell>
          <cell r="B828" t="str">
            <v>A5C</v>
          </cell>
          <cell r="C828" t="str">
            <v>P</v>
          </cell>
          <cell r="D828" t="str">
            <v>22004</v>
          </cell>
          <cell r="E828" t="str">
            <v>SOL</v>
          </cell>
          <cell r="F828">
            <v>2</v>
          </cell>
          <cell r="G828" t="str">
            <v>CB3902000003IH</v>
          </cell>
          <cell r="H828">
            <v>3</v>
          </cell>
          <cell r="I828">
            <v>1.5</v>
          </cell>
          <cell r="J828">
            <v>1</v>
          </cell>
          <cell r="K828">
            <v>2</v>
          </cell>
        </row>
        <row r="829">
          <cell r="A829" t="str">
            <v>M1</v>
          </cell>
          <cell r="B829" t="str">
            <v>A5C</v>
          </cell>
          <cell r="C829" t="str">
            <v>P</v>
          </cell>
          <cell r="D829" t="str">
            <v>22005</v>
          </cell>
          <cell r="E829" t="str">
            <v>SOL</v>
          </cell>
          <cell r="F829">
            <v>2</v>
          </cell>
          <cell r="G829" t="str">
            <v>CB39020000030T</v>
          </cell>
          <cell r="H829">
            <v>3</v>
          </cell>
          <cell r="I829">
            <v>0.75</v>
          </cell>
          <cell r="J829">
            <v>1</v>
          </cell>
          <cell r="K829">
            <v>2</v>
          </cell>
        </row>
        <row r="830">
          <cell r="A830" t="str">
            <v>M1</v>
          </cell>
          <cell r="B830" t="str">
            <v>A5C</v>
          </cell>
          <cell r="C830" t="str">
            <v>P</v>
          </cell>
          <cell r="D830" t="str">
            <v>22001</v>
          </cell>
          <cell r="E830" t="str">
            <v>SOL</v>
          </cell>
          <cell r="F830">
            <v>2</v>
          </cell>
          <cell r="G830" t="str">
            <v>CB39020000030T</v>
          </cell>
          <cell r="H830">
            <v>3</v>
          </cell>
          <cell r="I830">
            <v>0.75</v>
          </cell>
          <cell r="J830">
            <v>3</v>
          </cell>
          <cell r="K830">
            <v>4</v>
          </cell>
        </row>
        <row r="831">
          <cell r="A831" t="str">
            <v>M1</v>
          </cell>
          <cell r="B831" t="str">
            <v>A5C</v>
          </cell>
          <cell r="C831" t="str">
            <v>P</v>
          </cell>
          <cell r="D831" t="str">
            <v>22001</v>
          </cell>
          <cell r="E831" t="str">
            <v>SOL</v>
          </cell>
          <cell r="F831">
            <v>2</v>
          </cell>
          <cell r="G831" t="str">
            <v>CB390200000301</v>
          </cell>
          <cell r="H831">
            <v>3</v>
          </cell>
          <cell r="I831">
            <v>1</v>
          </cell>
          <cell r="J831">
            <v>1</v>
          </cell>
          <cell r="K831">
            <v>2</v>
          </cell>
        </row>
        <row r="832">
          <cell r="A832" t="str">
            <v>M1</v>
          </cell>
          <cell r="B832" t="str">
            <v>A5C</v>
          </cell>
          <cell r="C832" t="str">
            <v>P</v>
          </cell>
          <cell r="D832" t="str">
            <v>22001</v>
          </cell>
          <cell r="E832" t="str">
            <v>SOL</v>
          </cell>
          <cell r="F832">
            <v>2</v>
          </cell>
          <cell r="G832" t="str">
            <v>CB3902000003IH</v>
          </cell>
          <cell r="H832">
            <v>3</v>
          </cell>
          <cell r="I832">
            <v>1.5</v>
          </cell>
          <cell r="J832">
            <v>1</v>
          </cell>
          <cell r="K832">
            <v>2</v>
          </cell>
        </row>
        <row r="833">
          <cell r="A833" t="str">
            <v>M1</v>
          </cell>
          <cell r="B833" t="str">
            <v>A5C</v>
          </cell>
          <cell r="C833" t="str">
            <v>TRIM</v>
          </cell>
          <cell r="D833" t="str">
            <v>V-2213</v>
          </cell>
          <cell r="E833" t="str">
            <v>SOL</v>
          </cell>
          <cell r="F833">
            <v>2</v>
          </cell>
          <cell r="G833" t="str">
            <v>CB39020000030T</v>
          </cell>
          <cell r="H833">
            <v>3</v>
          </cell>
          <cell r="I833">
            <v>0.75</v>
          </cell>
          <cell r="J833">
            <v>1</v>
          </cell>
          <cell r="K833">
            <v>2</v>
          </cell>
        </row>
        <row r="834">
          <cell r="A834" t="str">
            <v>M1</v>
          </cell>
          <cell r="B834" t="str">
            <v>A5C</v>
          </cell>
          <cell r="C834" t="str">
            <v>P</v>
          </cell>
          <cell r="D834" t="str">
            <v>22003</v>
          </cell>
          <cell r="E834" t="str">
            <v>TEE</v>
          </cell>
          <cell r="F834">
            <v>2</v>
          </cell>
          <cell r="G834" t="str">
            <v>CB300304000300</v>
          </cell>
          <cell r="H834">
            <v>3</v>
          </cell>
          <cell r="I834" t="str">
            <v>--</v>
          </cell>
          <cell r="J834">
            <v>2</v>
          </cell>
          <cell r="K834">
            <v>3</v>
          </cell>
        </row>
        <row r="835">
          <cell r="A835" t="str">
            <v>M1</v>
          </cell>
          <cell r="B835" t="str">
            <v>A5C</v>
          </cell>
          <cell r="C835" t="str">
            <v>P</v>
          </cell>
          <cell r="D835" t="str">
            <v>22004</v>
          </cell>
          <cell r="E835" t="str">
            <v>TEE</v>
          </cell>
          <cell r="F835">
            <v>2</v>
          </cell>
          <cell r="G835" t="str">
            <v>CB300304000300</v>
          </cell>
          <cell r="H835">
            <v>3</v>
          </cell>
          <cell r="I835" t="str">
            <v>--</v>
          </cell>
          <cell r="J835">
            <v>2</v>
          </cell>
          <cell r="K835">
            <v>3</v>
          </cell>
        </row>
        <row r="836">
          <cell r="A836" t="str">
            <v>M1</v>
          </cell>
          <cell r="B836" t="str">
            <v>A5C</v>
          </cell>
          <cell r="C836" t="str">
            <v>P</v>
          </cell>
          <cell r="D836" t="str">
            <v>22026</v>
          </cell>
          <cell r="E836" t="str">
            <v>TEE</v>
          </cell>
          <cell r="F836">
            <v>2</v>
          </cell>
          <cell r="G836" t="str">
            <v>CB300304000300</v>
          </cell>
          <cell r="H836">
            <v>3</v>
          </cell>
          <cell r="I836" t="str">
            <v>--</v>
          </cell>
          <cell r="J836">
            <v>2</v>
          </cell>
          <cell r="K836">
            <v>3</v>
          </cell>
        </row>
        <row r="837">
          <cell r="A837" t="str">
            <v>M1</v>
          </cell>
          <cell r="B837" t="str">
            <v>A4C</v>
          </cell>
          <cell r="C837" t="str">
            <v>P</v>
          </cell>
          <cell r="D837" t="str">
            <v>22003</v>
          </cell>
          <cell r="E837" t="str">
            <v>TOL</v>
          </cell>
          <cell r="F837">
            <v>2</v>
          </cell>
          <cell r="G837" t="str">
            <v>CB39030000030T</v>
          </cell>
          <cell r="H837">
            <v>3</v>
          </cell>
          <cell r="I837">
            <v>0.75</v>
          </cell>
          <cell r="J837">
            <v>1</v>
          </cell>
          <cell r="K837">
            <v>2</v>
          </cell>
        </row>
        <row r="838">
          <cell r="A838" t="str">
            <v>M1</v>
          </cell>
          <cell r="B838" t="str">
            <v>A6C</v>
          </cell>
          <cell r="C838" t="str">
            <v>HOR</v>
          </cell>
          <cell r="D838" t="str">
            <v>65621</v>
          </cell>
          <cell r="E838" t="str">
            <v>90 ELL</v>
          </cell>
          <cell r="F838">
            <v>2</v>
          </cell>
          <cell r="G838" t="str">
            <v>CB300104000300</v>
          </cell>
          <cell r="H838">
            <v>3</v>
          </cell>
          <cell r="I838" t="str">
            <v>--</v>
          </cell>
          <cell r="J838">
            <v>3</v>
          </cell>
          <cell r="K838">
            <v>4</v>
          </cell>
        </row>
        <row r="839">
          <cell r="A839" t="str">
            <v>M1</v>
          </cell>
          <cell r="B839" t="str">
            <v>A6C</v>
          </cell>
          <cell r="C839" t="str">
            <v>HOR</v>
          </cell>
          <cell r="D839" t="str">
            <v>65813</v>
          </cell>
          <cell r="E839" t="str">
            <v>90 ELL</v>
          </cell>
          <cell r="F839">
            <v>2</v>
          </cell>
          <cell r="G839" t="str">
            <v>CB300104000300</v>
          </cell>
          <cell r="H839">
            <v>3</v>
          </cell>
          <cell r="I839" t="str">
            <v>--</v>
          </cell>
          <cell r="J839">
            <v>1</v>
          </cell>
          <cell r="K839">
            <v>2</v>
          </cell>
        </row>
        <row r="840">
          <cell r="A840" t="str">
            <v>M1</v>
          </cell>
          <cell r="B840" t="str">
            <v>A6C</v>
          </cell>
          <cell r="C840" t="str">
            <v>HOS</v>
          </cell>
          <cell r="D840" t="str">
            <v>65612</v>
          </cell>
          <cell r="E840" t="str">
            <v>90 ELL</v>
          </cell>
          <cell r="F840">
            <v>2</v>
          </cell>
          <cell r="G840" t="str">
            <v>CB300104000300</v>
          </cell>
          <cell r="H840">
            <v>3</v>
          </cell>
          <cell r="I840" t="str">
            <v>--</v>
          </cell>
          <cell r="J840">
            <v>5</v>
          </cell>
          <cell r="K840">
            <v>6</v>
          </cell>
        </row>
        <row r="841">
          <cell r="A841" t="str">
            <v>M1</v>
          </cell>
          <cell r="B841" t="str">
            <v>A6C</v>
          </cell>
          <cell r="C841" t="str">
            <v>HOS</v>
          </cell>
          <cell r="D841" t="str">
            <v>65634</v>
          </cell>
          <cell r="E841" t="str">
            <v>90 ELL</v>
          </cell>
          <cell r="F841">
            <v>2</v>
          </cell>
          <cell r="G841" t="str">
            <v>CB300104000300</v>
          </cell>
          <cell r="H841">
            <v>3</v>
          </cell>
          <cell r="I841" t="str">
            <v>--</v>
          </cell>
          <cell r="J841">
            <v>4</v>
          </cell>
          <cell r="K841">
            <v>5</v>
          </cell>
        </row>
        <row r="842">
          <cell r="A842" t="str">
            <v>M1</v>
          </cell>
          <cell r="B842" t="str">
            <v>A5C</v>
          </cell>
          <cell r="C842" t="str">
            <v>P</v>
          </cell>
          <cell r="D842" t="str">
            <v>22088</v>
          </cell>
          <cell r="E842" t="str">
            <v>90 ELL</v>
          </cell>
          <cell r="F842">
            <v>2</v>
          </cell>
          <cell r="G842" t="str">
            <v>CB300104000300</v>
          </cell>
          <cell r="H842">
            <v>3</v>
          </cell>
          <cell r="I842" t="str">
            <v>--</v>
          </cell>
          <cell r="J842">
            <v>11</v>
          </cell>
          <cell r="K842">
            <v>13</v>
          </cell>
        </row>
        <row r="843">
          <cell r="A843" t="str">
            <v>M1</v>
          </cell>
          <cell r="B843" t="str">
            <v>A5C</v>
          </cell>
          <cell r="C843" t="str">
            <v>P</v>
          </cell>
          <cell r="D843" t="str">
            <v>22089</v>
          </cell>
          <cell r="E843" t="str">
            <v>90 ELL</v>
          </cell>
          <cell r="F843">
            <v>2</v>
          </cell>
          <cell r="G843" t="str">
            <v>CB300104000300</v>
          </cell>
          <cell r="H843">
            <v>3</v>
          </cell>
          <cell r="I843" t="str">
            <v>--</v>
          </cell>
          <cell r="J843">
            <v>5</v>
          </cell>
          <cell r="K843">
            <v>6</v>
          </cell>
        </row>
        <row r="844">
          <cell r="A844" t="str">
            <v>M1</v>
          </cell>
          <cell r="B844" t="str">
            <v>A5C</v>
          </cell>
          <cell r="C844" t="str">
            <v>P</v>
          </cell>
          <cell r="D844" t="str">
            <v>22096</v>
          </cell>
          <cell r="E844" t="str">
            <v>90 ELL</v>
          </cell>
          <cell r="F844">
            <v>2</v>
          </cell>
          <cell r="G844" t="str">
            <v>CB300104000300</v>
          </cell>
          <cell r="H844">
            <v>3</v>
          </cell>
          <cell r="I844" t="str">
            <v>--</v>
          </cell>
          <cell r="J844">
            <v>2</v>
          </cell>
          <cell r="K844">
            <v>3</v>
          </cell>
        </row>
        <row r="845">
          <cell r="A845" t="str">
            <v>M1</v>
          </cell>
          <cell r="B845" t="str">
            <v>A5C</v>
          </cell>
          <cell r="C845" t="str">
            <v>TRIM</v>
          </cell>
          <cell r="D845" t="str">
            <v>V-2216A</v>
          </cell>
          <cell r="E845" t="str">
            <v>90 ELL</v>
          </cell>
          <cell r="F845">
            <v>2</v>
          </cell>
          <cell r="G845" t="str">
            <v>CB300104000300</v>
          </cell>
          <cell r="H845">
            <v>3</v>
          </cell>
          <cell r="I845" t="str">
            <v>--</v>
          </cell>
          <cell r="J845">
            <v>1</v>
          </cell>
          <cell r="K845">
            <v>2</v>
          </cell>
        </row>
        <row r="846">
          <cell r="A846" t="str">
            <v>M1</v>
          </cell>
          <cell r="B846" t="str">
            <v>A5C</v>
          </cell>
          <cell r="C846" t="str">
            <v>TRIM</v>
          </cell>
          <cell r="D846" t="str">
            <v>V-2216B</v>
          </cell>
          <cell r="E846" t="str">
            <v>90 ELL</v>
          </cell>
          <cell r="F846">
            <v>2</v>
          </cell>
          <cell r="G846" t="str">
            <v>CB300104000300</v>
          </cell>
          <cell r="H846">
            <v>3</v>
          </cell>
          <cell r="I846" t="str">
            <v>--</v>
          </cell>
          <cell r="J846">
            <v>1</v>
          </cell>
          <cell r="K846">
            <v>2</v>
          </cell>
        </row>
        <row r="847">
          <cell r="A847" t="str">
            <v>M1</v>
          </cell>
          <cell r="B847" t="str">
            <v>A4C</v>
          </cell>
          <cell r="C847" t="str">
            <v>P</v>
          </cell>
          <cell r="D847" t="str">
            <v>22031</v>
          </cell>
          <cell r="E847" t="str">
            <v>C RED</v>
          </cell>
          <cell r="F847">
            <v>2</v>
          </cell>
          <cell r="G847" t="str">
            <v>CB300504080302</v>
          </cell>
          <cell r="H847">
            <v>3</v>
          </cell>
          <cell r="I847">
            <v>2</v>
          </cell>
          <cell r="J847">
            <v>5</v>
          </cell>
          <cell r="K847">
            <v>6</v>
          </cell>
        </row>
        <row r="848">
          <cell r="A848" t="str">
            <v>M1</v>
          </cell>
          <cell r="B848" t="str">
            <v>A4C</v>
          </cell>
          <cell r="C848" t="str">
            <v>P</v>
          </cell>
          <cell r="D848" t="str">
            <v>22031</v>
          </cell>
          <cell r="E848" t="str">
            <v>C RED</v>
          </cell>
          <cell r="F848">
            <v>2</v>
          </cell>
          <cell r="G848" t="str">
            <v>CB300504080302</v>
          </cell>
          <cell r="H848">
            <v>3</v>
          </cell>
          <cell r="I848">
            <v>2</v>
          </cell>
          <cell r="J848">
            <v>1</v>
          </cell>
          <cell r="K848">
            <v>2</v>
          </cell>
        </row>
        <row r="849">
          <cell r="A849" t="str">
            <v>M1</v>
          </cell>
          <cell r="B849" t="str">
            <v>A5C</v>
          </cell>
          <cell r="C849" t="str">
            <v>TRIM</v>
          </cell>
          <cell r="D849" t="str">
            <v>C-2201</v>
          </cell>
          <cell r="E849" t="str">
            <v>CAP</v>
          </cell>
          <cell r="F849">
            <v>2</v>
          </cell>
          <cell r="G849" t="str">
            <v>CB300704000300</v>
          </cell>
          <cell r="H849">
            <v>3</v>
          </cell>
          <cell r="I849" t="str">
            <v>--</v>
          </cell>
          <cell r="J849">
            <v>2</v>
          </cell>
          <cell r="K849">
            <v>3</v>
          </cell>
        </row>
        <row r="850">
          <cell r="A850" t="str">
            <v>M1</v>
          </cell>
          <cell r="B850" t="str">
            <v>A6C</v>
          </cell>
          <cell r="C850" t="str">
            <v>TRIM</v>
          </cell>
          <cell r="D850" t="str">
            <v>V-6501</v>
          </cell>
          <cell r="E850" t="str">
            <v>CAP</v>
          </cell>
          <cell r="F850">
            <v>2</v>
          </cell>
          <cell r="G850" t="str">
            <v>CB300704000300</v>
          </cell>
          <cell r="H850">
            <v>3</v>
          </cell>
          <cell r="I850" t="str">
            <v>--</v>
          </cell>
          <cell r="J850">
            <v>2</v>
          </cell>
          <cell r="K850">
            <v>3</v>
          </cell>
        </row>
        <row r="851">
          <cell r="A851" t="str">
            <v>M1</v>
          </cell>
          <cell r="B851" t="str">
            <v>A5C</v>
          </cell>
          <cell r="C851" t="str">
            <v>P</v>
          </cell>
          <cell r="D851" t="str">
            <v>22096</v>
          </cell>
          <cell r="E851" t="str">
            <v>E RED</v>
          </cell>
          <cell r="F851">
            <v>2</v>
          </cell>
          <cell r="G851" t="str">
            <v>CB300604080302</v>
          </cell>
          <cell r="H851">
            <v>3</v>
          </cell>
          <cell r="I851">
            <v>2</v>
          </cell>
          <cell r="J851">
            <v>1</v>
          </cell>
          <cell r="K851">
            <v>2</v>
          </cell>
        </row>
        <row r="852">
          <cell r="A852" t="str">
            <v>M1</v>
          </cell>
          <cell r="B852" t="str">
            <v>A5C</v>
          </cell>
          <cell r="C852" t="str">
            <v>TRIM</v>
          </cell>
          <cell r="D852" t="str">
            <v>C-2201</v>
          </cell>
          <cell r="E852" t="str">
            <v>SOL</v>
          </cell>
          <cell r="F852">
            <v>2</v>
          </cell>
          <cell r="G852" t="str">
            <v>CB39020000030T</v>
          </cell>
          <cell r="H852">
            <v>3</v>
          </cell>
          <cell r="I852">
            <v>0.75</v>
          </cell>
          <cell r="J852">
            <v>4</v>
          </cell>
          <cell r="K852">
            <v>5</v>
          </cell>
        </row>
        <row r="853">
          <cell r="A853" t="str">
            <v>M1</v>
          </cell>
          <cell r="B853" t="str">
            <v>A6C</v>
          </cell>
          <cell r="C853" t="str">
            <v>TRIM</v>
          </cell>
          <cell r="D853" t="str">
            <v>V-6501</v>
          </cell>
          <cell r="E853" t="str">
            <v>SOL</v>
          </cell>
          <cell r="F853">
            <v>2</v>
          </cell>
          <cell r="G853" t="str">
            <v>CB39020000030T</v>
          </cell>
          <cell r="H853">
            <v>3</v>
          </cell>
          <cell r="I853">
            <v>0.75</v>
          </cell>
          <cell r="J853">
            <v>6</v>
          </cell>
          <cell r="K853">
            <v>7</v>
          </cell>
        </row>
        <row r="854">
          <cell r="A854" t="str">
            <v>M1</v>
          </cell>
          <cell r="B854" t="str">
            <v>A5C</v>
          </cell>
          <cell r="C854" t="str">
            <v>P</v>
          </cell>
          <cell r="D854" t="str">
            <v>22088</v>
          </cell>
          <cell r="E854" t="str">
            <v>SOL</v>
          </cell>
          <cell r="F854">
            <v>2</v>
          </cell>
          <cell r="G854" t="str">
            <v>CB39020000030T</v>
          </cell>
          <cell r="H854">
            <v>3</v>
          </cell>
          <cell r="I854">
            <v>0.75</v>
          </cell>
          <cell r="J854">
            <v>3</v>
          </cell>
          <cell r="K854">
            <v>4</v>
          </cell>
        </row>
        <row r="855">
          <cell r="A855" t="str">
            <v>M1</v>
          </cell>
          <cell r="B855" t="str">
            <v>A5C</v>
          </cell>
          <cell r="C855" t="str">
            <v>P</v>
          </cell>
          <cell r="D855" t="str">
            <v>22089</v>
          </cell>
          <cell r="E855" t="str">
            <v>SOL</v>
          </cell>
          <cell r="F855">
            <v>2</v>
          </cell>
          <cell r="G855" t="str">
            <v>CB39020000030T</v>
          </cell>
          <cell r="H855">
            <v>3</v>
          </cell>
          <cell r="I855">
            <v>0.75</v>
          </cell>
          <cell r="J855">
            <v>1</v>
          </cell>
          <cell r="K855">
            <v>2</v>
          </cell>
        </row>
        <row r="856">
          <cell r="A856" t="str">
            <v>M1</v>
          </cell>
          <cell r="B856" t="str">
            <v>A5C</v>
          </cell>
          <cell r="C856" t="str">
            <v>TRIM</v>
          </cell>
          <cell r="D856" t="str">
            <v>C-2201</v>
          </cell>
          <cell r="E856" t="str">
            <v>TEE</v>
          </cell>
          <cell r="F856">
            <v>2</v>
          </cell>
          <cell r="G856" t="str">
            <v>CB300304000300</v>
          </cell>
          <cell r="H856">
            <v>3</v>
          </cell>
          <cell r="I856" t="str">
            <v>--</v>
          </cell>
          <cell r="J856">
            <v>2</v>
          </cell>
          <cell r="K856">
            <v>3</v>
          </cell>
        </row>
        <row r="857">
          <cell r="A857" t="str">
            <v>M1</v>
          </cell>
          <cell r="B857" t="str">
            <v>A5C</v>
          </cell>
          <cell r="C857" t="str">
            <v>P</v>
          </cell>
          <cell r="D857" t="str">
            <v>22088</v>
          </cell>
          <cell r="E857" t="str">
            <v>TEE</v>
          </cell>
          <cell r="F857">
            <v>2</v>
          </cell>
          <cell r="G857" t="str">
            <v>CB300304000300</v>
          </cell>
          <cell r="H857">
            <v>3</v>
          </cell>
          <cell r="I857" t="str">
            <v>--</v>
          </cell>
          <cell r="J857">
            <v>2</v>
          </cell>
          <cell r="K857">
            <v>3</v>
          </cell>
        </row>
        <row r="858">
          <cell r="A858" t="str">
            <v>M1</v>
          </cell>
          <cell r="B858" t="str">
            <v>A5C</v>
          </cell>
          <cell r="C858" t="str">
            <v>P</v>
          </cell>
          <cell r="D858" t="str">
            <v>21005</v>
          </cell>
          <cell r="E858" t="str">
            <v>12D 90 BEND</v>
          </cell>
          <cell r="F858">
            <v>2</v>
          </cell>
          <cell r="G858" t="str">
            <v>CB309004000400</v>
          </cell>
          <cell r="H858">
            <v>4</v>
          </cell>
          <cell r="I858" t="str">
            <v>--</v>
          </cell>
          <cell r="J858">
            <v>5</v>
          </cell>
          <cell r="K858">
            <v>6</v>
          </cell>
        </row>
        <row r="859">
          <cell r="A859" t="str">
            <v>M1</v>
          </cell>
          <cell r="B859" t="str">
            <v>A5C</v>
          </cell>
          <cell r="C859" t="str">
            <v>P</v>
          </cell>
          <cell r="D859" t="str">
            <v>22057</v>
          </cell>
          <cell r="E859" t="str">
            <v>45 ELL</v>
          </cell>
          <cell r="F859">
            <v>2</v>
          </cell>
          <cell r="G859" t="str">
            <v>CB300204000400</v>
          </cell>
          <cell r="H859">
            <v>4</v>
          </cell>
          <cell r="I859" t="str">
            <v>--</v>
          </cell>
          <cell r="J859">
            <v>2</v>
          </cell>
          <cell r="K859">
            <v>3</v>
          </cell>
        </row>
        <row r="860">
          <cell r="A860" t="str">
            <v>M1</v>
          </cell>
          <cell r="B860" t="str">
            <v>A5C</v>
          </cell>
          <cell r="C860" t="str">
            <v>P</v>
          </cell>
          <cell r="D860" t="str">
            <v>22021</v>
          </cell>
          <cell r="E860" t="str">
            <v>45 ELL</v>
          </cell>
          <cell r="F860">
            <v>2</v>
          </cell>
          <cell r="G860" t="str">
            <v>CB300204000400</v>
          </cell>
          <cell r="H860">
            <v>4</v>
          </cell>
          <cell r="I860" t="str">
            <v>--</v>
          </cell>
          <cell r="J860">
            <v>2</v>
          </cell>
          <cell r="K860">
            <v>3</v>
          </cell>
        </row>
        <row r="861">
          <cell r="A861" t="str">
            <v>M1</v>
          </cell>
          <cell r="B861" t="str">
            <v>A5C</v>
          </cell>
          <cell r="C861" t="str">
            <v>P</v>
          </cell>
          <cell r="D861" t="str">
            <v>22069</v>
          </cell>
          <cell r="E861" t="str">
            <v>45 ELL</v>
          </cell>
          <cell r="F861">
            <v>2</v>
          </cell>
          <cell r="G861" t="str">
            <v>CB300204000400</v>
          </cell>
          <cell r="H861">
            <v>4</v>
          </cell>
          <cell r="I861" t="str">
            <v>--</v>
          </cell>
          <cell r="J861">
            <v>1</v>
          </cell>
          <cell r="K861">
            <v>2</v>
          </cell>
        </row>
        <row r="862">
          <cell r="A862" t="str">
            <v>M1</v>
          </cell>
          <cell r="B862" t="str">
            <v>A4C</v>
          </cell>
          <cell r="C862" t="str">
            <v>N</v>
          </cell>
          <cell r="D862" t="str">
            <v>22611</v>
          </cell>
          <cell r="E862" t="str">
            <v>90 ELL</v>
          </cell>
          <cell r="F862">
            <v>2</v>
          </cell>
          <cell r="G862" t="str">
            <v>CB300104000400</v>
          </cell>
          <cell r="H862">
            <v>4</v>
          </cell>
          <cell r="I862" t="str">
            <v>--</v>
          </cell>
          <cell r="J862">
            <v>2</v>
          </cell>
          <cell r="K862">
            <v>3</v>
          </cell>
        </row>
        <row r="863">
          <cell r="A863" t="str">
            <v>M1</v>
          </cell>
          <cell r="B863" t="str">
            <v>A5C</v>
          </cell>
          <cell r="C863" t="str">
            <v>COMP</v>
          </cell>
          <cell r="D863" t="str">
            <v>005</v>
          </cell>
          <cell r="E863" t="str">
            <v>90 ELL</v>
          </cell>
          <cell r="F863">
            <v>2</v>
          </cell>
          <cell r="G863" t="str">
            <v>CB300104000400</v>
          </cell>
          <cell r="H863">
            <v>4</v>
          </cell>
          <cell r="I863" t="str">
            <v>--</v>
          </cell>
          <cell r="J863">
            <v>3</v>
          </cell>
          <cell r="K863">
            <v>4</v>
          </cell>
        </row>
        <row r="864">
          <cell r="A864" t="str">
            <v>M1</v>
          </cell>
          <cell r="B864" t="str">
            <v>A5C</v>
          </cell>
          <cell r="C864" t="str">
            <v>P</v>
          </cell>
          <cell r="D864" t="str">
            <v>22069</v>
          </cell>
          <cell r="E864" t="str">
            <v>90 ELL</v>
          </cell>
          <cell r="F864">
            <v>2</v>
          </cell>
          <cell r="G864" t="str">
            <v>CB300104000400</v>
          </cell>
          <cell r="H864">
            <v>4</v>
          </cell>
          <cell r="I864" t="str">
            <v>--</v>
          </cell>
          <cell r="J864">
            <v>4</v>
          </cell>
          <cell r="K864">
            <v>5</v>
          </cell>
        </row>
        <row r="865">
          <cell r="A865" t="str">
            <v>M1</v>
          </cell>
          <cell r="B865" t="str">
            <v>A5C</v>
          </cell>
          <cell r="C865" t="str">
            <v>P</v>
          </cell>
          <cell r="D865" t="str">
            <v>22069</v>
          </cell>
          <cell r="E865" t="str">
            <v>90 ELL</v>
          </cell>
          <cell r="F865">
            <v>2</v>
          </cell>
          <cell r="G865" t="str">
            <v>CB300104000400</v>
          </cell>
          <cell r="H865">
            <v>4</v>
          </cell>
          <cell r="I865" t="str">
            <v>--</v>
          </cell>
          <cell r="J865">
            <v>8</v>
          </cell>
          <cell r="K865">
            <v>10</v>
          </cell>
        </row>
        <row r="866">
          <cell r="A866" t="str">
            <v>M1</v>
          </cell>
          <cell r="B866" t="str">
            <v>A5C</v>
          </cell>
          <cell r="C866" t="str">
            <v>P</v>
          </cell>
          <cell r="D866" t="str">
            <v>22139</v>
          </cell>
          <cell r="E866" t="str">
            <v>90 ELL</v>
          </cell>
          <cell r="F866">
            <v>2</v>
          </cell>
          <cell r="G866" t="str">
            <v>CB300104000400</v>
          </cell>
          <cell r="H866">
            <v>4</v>
          </cell>
          <cell r="I866" t="str">
            <v>--</v>
          </cell>
          <cell r="J866">
            <v>2</v>
          </cell>
          <cell r="K866">
            <v>3</v>
          </cell>
        </row>
        <row r="867">
          <cell r="A867" t="str">
            <v>M1</v>
          </cell>
          <cell r="B867" t="str">
            <v>A5C</v>
          </cell>
          <cell r="C867" t="str">
            <v>TRIM</v>
          </cell>
          <cell r="D867" t="str">
            <v>V-2211</v>
          </cell>
          <cell r="E867" t="str">
            <v>90 ELL</v>
          </cell>
          <cell r="F867">
            <v>2</v>
          </cell>
          <cell r="G867" t="str">
            <v>CB300104000400</v>
          </cell>
          <cell r="H867">
            <v>4</v>
          </cell>
          <cell r="I867" t="str">
            <v>--</v>
          </cell>
          <cell r="J867">
            <v>1</v>
          </cell>
          <cell r="K867">
            <v>2</v>
          </cell>
        </row>
        <row r="868">
          <cell r="A868" t="str">
            <v>M1</v>
          </cell>
          <cell r="B868" t="str">
            <v>A5C</v>
          </cell>
          <cell r="C868" t="str">
            <v>TRIM</v>
          </cell>
          <cell r="D868" t="str">
            <v>X-2220</v>
          </cell>
          <cell r="E868" t="str">
            <v>90 ELL</v>
          </cell>
          <cell r="F868">
            <v>2</v>
          </cell>
          <cell r="G868" t="str">
            <v>CB300104000400</v>
          </cell>
          <cell r="H868">
            <v>4</v>
          </cell>
          <cell r="I868" t="str">
            <v>--</v>
          </cell>
          <cell r="J868">
            <v>1</v>
          </cell>
          <cell r="K868">
            <v>2</v>
          </cell>
        </row>
        <row r="869">
          <cell r="A869" t="str">
            <v>M1</v>
          </cell>
          <cell r="B869" t="str">
            <v>A5C</v>
          </cell>
          <cell r="C869" t="str">
            <v>P</v>
          </cell>
          <cell r="D869" t="str">
            <v>22082</v>
          </cell>
          <cell r="E869" t="str">
            <v>90 ELL</v>
          </cell>
          <cell r="F869">
            <v>2</v>
          </cell>
          <cell r="G869" t="str">
            <v>CB300104000400</v>
          </cell>
          <cell r="H869">
            <v>4</v>
          </cell>
          <cell r="I869" t="str">
            <v>--</v>
          </cell>
          <cell r="J869">
            <v>7</v>
          </cell>
          <cell r="K869">
            <v>9</v>
          </cell>
        </row>
        <row r="870">
          <cell r="A870" t="str">
            <v>M1</v>
          </cell>
          <cell r="B870" t="str">
            <v>A5C</v>
          </cell>
          <cell r="C870" t="str">
            <v>P</v>
          </cell>
          <cell r="D870" t="str">
            <v>22069</v>
          </cell>
          <cell r="E870" t="str">
            <v>C RED</v>
          </cell>
          <cell r="F870">
            <v>2</v>
          </cell>
          <cell r="G870" t="str">
            <v>CB300504080402</v>
          </cell>
          <cell r="H870">
            <v>4</v>
          </cell>
          <cell r="I870">
            <v>2</v>
          </cell>
          <cell r="J870">
            <v>1</v>
          </cell>
          <cell r="K870">
            <v>2</v>
          </cell>
        </row>
        <row r="871">
          <cell r="A871" t="str">
            <v>M1</v>
          </cell>
          <cell r="B871" t="str">
            <v>A5C</v>
          </cell>
          <cell r="C871" t="str">
            <v>P</v>
          </cell>
          <cell r="D871" t="str">
            <v>22118</v>
          </cell>
          <cell r="E871" t="str">
            <v>C RED</v>
          </cell>
          <cell r="F871">
            <v>2</v>
          </cell>
          <cell r="G871" t="str">
            <v>CB300504040403</v>
          </cell>
          <cell r="H871">
            <v>4</v>
          </cell>
          <cell r="I871">
            <v>3</v>
          </cell>
          <cell r="J871">
            <v>1</v>
          </cell>
          <cell r="K871">
            <v>2</v>
          </cell>
        </row>
        <row r="872">
          <cell r="A872" t="str">
            <v>M1</v>
          </cell>
          <cell r="B872" t="str">
            <v>A5C</v>
          </cell>
          <cell r="C872" t="str">
            <v>TRIM</v>
          </cell>
          <cell r="D872" t="str">
            <v>V-2211</v>
          </cell>
          <cell r="E872" t="str">
            <v>C RED</v>
          </cell>
          <cell r="F872">
            <v>2</v>
          </cell>
          <cell r="G872" t="str">
            <v>CB300504040403</v>
          </cell>
          <cell r="H872">
            <v>4</v>
          </cell>
          <cell r="I872">
            <v>3</v>
          </cell>
          <cell r="J872">
            <v>1</v>
          </cell>
          <cell r="K872">
            <v>2</v>
          </cell>
        </row>
        <row r="873">
          <cell r="A873" t="str">
            <v>M1</v>
          </cell>
          <cell r="B873" t="str">
            <v>A5C</v>
          </cell>
          <cell r="C873" t="str">
            <v>P</v>
          </cell>
          <cell r="D873" t="str">
            <v>22102</v>
          </cell>
          <cell r="E873" t="str">
            <v>CAP</v>
          </cell>
          <cell r="F873">
            <v>2</v>
          </cell>
          <cell r="G873" t="str">
            <v>CB300704000400</v>
          </cell>
          <cell r="H873">
            <v>4</v>
          </cell>
          <cell r="I873" t="str">
            <v>--</v>
          </cell>
          <cell r="J873">
            <v>2</v>
          </cell>
          <cell r="K873">
            <v>3</v>
          </cell>
        </row>
        <row r="874">
          <cell r="A874" t="str">
            <v>M1</v>
          </cell>
          <cell r="B874" t="str">
            <v>A5C</v>
          </cell>
          <cell r="C874" t="str">
            <v>COMP</v>
          </cell>
          <cell r="D874" t="str">
            <v>005</v>
          </cell>
          <cell r="E874" t="str">
            <v>E RED</v>
          </cell>
          <cell r="F874">
            <v>2</v>
          </cell>
          <cell r="G874" t="str">
            <v>CB300604080402</v>
          </cell>
          <cell r="H874">
            <v>4</v>
          </cell>
          <cell r="I874">
            <v>2</v>
          </cell>
          <cell r="J874">
            <v>1</v>
          </cell>
          <cell r="K874">
            <v>2</v>
          </cell>
        </row>
        <row r="875">
          <cell r="A875" t="str">
            <v>M1</v>
          </cell>
          <cell r="B875" t="str">
            <v>A5C</v>
          </cell>
          <cell r="C875" t="str">
            <v>P</v>
          </cell>
          <cell r="D875" t="str">
            <v>22109</v>
          </cell>
          <cell r="E875" t="str">
            <v>E RED</v>
          </cell>
          <cell r="F875">
            <v>2</v>
          </cell>
          <cell r="G875" t="str">
            <v>CB300604080402</v>
          </cell>
          <cell r="H875">
            <v>4</v>
          </cell>
          <cell r="I875">
            <v>2</v>
          </cell>
          <cell r="J875">
            <v>2</v>
          </cell>
          <cell r="K875">
            <v>3</v>
          </cell>
        </row>
        <row r="876">
          <cell r="A876" t="str">
            <v>M1</v>
          </cell>
          <cell r="B876" t="str">
            <v>A5C</v>
          </cell>
          <cell r="C876" t="str">
            <v>P</v>
          </cell>
          <cell r="D876" t="str">
            <v>22021</v>
          </cell>
          <cell r="E876" t="str">
            <v>SOL</v>
          </cell>
          <cell r="F876">
            <v>2</v>
          </cell>
          <cell r="G876" t="str">
            <v>CB39020000040T</v>
          </cell>
          <cell r="H876">
            <v>4</v>
          </cell>
          <cell r="I876">
            <v>0.75</v>
          </cell>
          <cell r="J876">
            <v>1</v>
          </cell>
          <cell r="K876">
            <v>2</v>
          </cell>
        </row>
        <row r="877">
          <cell r="A877" t="str">
            <v>M1</v>
          </cell>
          <cell r="B877" t="str">
            <v>A5C</v>
          </cell>
          <cell r="C877" t="str">
            <v>P</v>
          </cell>
          <cell r="D877" t="str">
            <v>22024</v>
          </cell>
          <cell r="E877" t="str">
            <v>SOL</v>
          </cell>
          <cell r="F877">
            <v>2</v>
          </cell>
          <cell r="G877" t="str">
            <v>CB39020000040T</v>
          </cell>
          <cell r="H877">
            <v>4</v>
          </cell>
          <cell r="I877">
            <v>0.75</v>
          </cell>
          <cell r="J877">
            <v>1</v>
          </cell>
          <cell r="K877">
            <v>2</v>
          </cell>
        </row>
        <row r="878">
          <cell r="A878" t="str">
            <v>M1</v>
          </cell>
          <cell r="B878" t="str">
            <v>A5C</v>
          </cell>
          <cell r="C878" t="str">
            <v>P</v>
          </cell>
          <cell r="D878" t="str">
            <v>22069</v>
          </cell>
          <cell r="E878" t="str">
            <v>SOL</v>
          </cell>
          <cell r="F878">
            <v>2</v>
          </cell>
          <cell r="G878" t="str">
            <v>CB39020000040T</v>
          </cell>
          <cell r="H878">
            <v>4</v>
          </cell>
          <cell r="I878">
            <v>0.75</v>
          </cell>
          <cell r="J878">
            <v>4</v>
          </cell>
          <cell r="K878">
            <v>5</v>
          </cell>
        </row>
        <row r="879">
          <cell r="A879" t="str">
            <v>M1</v>
          </cell>
          <cell r="B879" t="str">
            <v>A5C</v>
          </cell>
          <cell r="C879" t="str">
            <v>P</v>
          </cell>
          <cell r="D879" t="str">
            <v>22069</v>
          </cell>
          <cell r="E879" t="str">
            <v>SOL</v>
          </cell>
          <cell r="F879">
            <v>2</v>
          </cell>
          <cell r="G879" t="str">
            <v>CB3902000004IH</v>
          </cell>
          <cell r="H879">
            <v>4</v>
          </cell>
          <cell r="I879">
            <v>1.5</v>
          </cell>
          <cell r="J879">
            <v>1</v>
          </cell>
          <cell r="K879">
            <v>2</v>
          </cell>
        </row>
        <row r="880">
          <cell r="A880" t="str">
            <v>M1</v>
          </cell>
          <cell r="B880" t="str">
            <v>A5C</v>
          </cell>
          <cell r="C880" t="str">
            <v>P</v>
          </cell>
          <cell r="D880" t="str">
            <v>22069</v>
          </cell>
          <cell r="E880" t="str">
            <v>SOL</v>
          </cell>
          <cell r="F880">
            <v>2</v>
          </cell>
          <cell r="G880" t="str">
            <v>CB390200000401</v>
          </cell>
          <cell r="H880">
            <v>4</v>
          </cell>
          <cell r="I880">
            <v>1</v>
          </cell>
          <cell r="J880">
            <v>1</v>
          </cell>
          <cell r="K880">
            <v>2</v>
          </cell>
        </row>
        <row r="881">
          <cell r="A881" t="str">
            <v>M1</v>
          </cell>
          <cell r="B881" t="str">
            <v>A5C</v>
          </cell>
          <cell r="C881" t="str">
            <v>P</v>
          </cell>
          <cell r="D881" t="str">
            <v>22069</v>
          </cell>
          <cell r="E881" t="str">
            <v>SOL</v>
          </cell>
          <cell r="F881">
            <v>2</v>
          </cell>
          <cell r="G881" t="str">
            <v>CB39020000040T</v>
          </cell>
          <cell r="H881">
            <v>4</v>
          </cell>
          <cell r="I881">
            <v>0.75</v>
          </cell>
          <cell r="J881">
            <v>1</v>
          </cell>
          <cell r="K881">
            <v>2</v>
          </cell>
        </row>
        <row r="882">
          <cell r="A882" t="str">
            <v>M1</v>
          </cell>
          <cell r="B882" t="str">
            <v>A5C</v>
          </cell>
          <cell r="C882" t="str">
            <v>P</v>
          </cell>
          <cell r="D882" t="str">
            <v>22082</v>
          </cell>
          <cell r="E882" t="str">
            <v>SOL</v>
          </cell>
          <cell r="F882">
            <v>2</v>
          </cell>
          <cell r="G882" t="str">
            <v>CB39020000040T</v>
          </cell>
          <cell r="H882">
            <v>4</v>
          </cell>
          <cell r="I882">
            <v>0.75</v>
          </cell>
          <cell r="J882">
            <v>2</v>
          </cell>
          <cell r="K882">
            <v>3</v>
          </cell>
        </row>
        <row r="883">
          <cell r="A883" t="str">
            <v>M1</v>
          </cell>
          <cell r="B883" t="str">
            <v>A5C</v>
          </cell>
          <cell r="C883" t="str">
            <v>P</v>
          </cell>
          <cell r="D883" t="str">
            <v>22139</v>
          </cell>
          <cell r="E883" t="str">
            <v>SOL</v>
          </cell>
          <cell r="F883">
            <v>2</v>
          </cell>
          <cell r="G883" t="str">
            <v>CB39020000040T</v>
          </cell>
          <cell r="H883">
            <v>4</v>
          </cell>
          <cell r="I883">
            <v>0.75</v>
          </cell>
          <cell r="J883">
            <v>2</v>
          </cell>
          <cell r="K883">
            <v>3</v>
          </cell>
        </row>
        <row r="884">
          <cell r="A884" t="str">
            <v>M1</v>
          </cell>
          <cell r="B884" t="str">
            <v>A5C</v>
          </cell>
          <cell r="C884" t="str">
            <v>TRIM</v>
          </cell>
          <cell r="D884" t="str">
            <v>V-2211</v>
          </cell>
          <cell r="E884" t="str">
            <v>SOL</v>
          </cell>
          <cell r="F884">
            <v>2</v>
          </cell>
          <cell r="G884" t="str">
            <v>CB39020000040T</v>
          </cell>
          <cell r="H884">
            <v>4</v>
          </cell>
          <cell r="I884">
            <v>0.75</v>
          </cell>
          <cell r="J884">
            <v>1</v>
          </cell>
          <cell r="K884">
            <v>2</v>
          </cell>
        </row>
        <row r="885">
          <cell r="A885" t="str">
            <v>M1</v>
          </cell>
          <cell r="B885" t="str">
            <v>A5C</v>
          </cell>
          <cell r="C885" t="str">
            <v>P</v>
          </cell>
          <cell r="D885" t="str">
            <v>22102</v>
          </cell>
          <cell r="E885" t="str">
            <v>SOL</v>
          </cell>
          <cell r="F885">
            <v>2</v>
          </cell>
          <cell r="G885" t="str">
            <v>CB3902000004IH</v>
          </cell>
          <cell r="H885">
            <v>4</v>
          </cell>
          <cell r="I885">
            <v>1.5</v>
          </cell>
          <cell r="J885">
            <v>2</v>
          </cell>
          <cell r="K885">
            <v>3</v>
          </cell>
        </row>
        <row r="886">
          <cell r="A886" t="str">
            <v>M1</v>
          </cell>
          <cell r="B886" t="str">
            <v>A5C</v>
          </cell>
          <cell r="C886" t="str">
            <v>P</v>
          </cell>
          <cell r="D886" t="str">
            <v>22069</v>
          </cell>
          <cell r="E886" t="str">
            <v>TEE</v>
          </cell>
          <cell r="F886">
            <v>2</v>
          </cell>
          <cell r="G886" t="str">
            <v>CB300304000400</v>
          </cell>
          <cell r="H886">
            <v>4</v>
          </cell>
          <cell r="I886" t="str">
            <v>--</v>
          </cell>
          <cell r="J886">
            <v>1</v>
          </cell>
          <cell r="K886">
            <v>2</v>
          </cell>
        </row>
        <row r="887">
          <cell r="A887" t="str">
            <v>M1</v>
          </cell>
          <cell r="B887" t="str">
            <v>A5C</v>
          </cell>
          <cell r="C887" t="str">
            <v>P</v>
          </cell>
          <cell r="D887" t="str">
            <v>22069</v>
          </cell>
          <cell r="E887" t="str">
            <v>TEE</v>
          </cell>
          <cell r="F887">
            <v>2</v>
          </cell>
          <cell r="G887" t="str">
            <v>CB300304000400</v>
          </cell>
          <cell r="H887">
            <v>4</v>
          </cell>
          <cell r="I887" t="str">
            <v>--</v>
          </cell>
          <cell r="J887">
            <v>3</v>
          </cell>
          <cell r="K887">
            <v>4</v>
          </cell>
        </row>
        <row r="888">
          <cell r="A888" t="str">
            <v>M1</v>
          </cell>
          <cell r="B888" t="str">
            <v>A5C</v>
          </cell>
          <cell r="C888" t="str">
            <v>P</v>
          </cell>
          <cell r="D888" t="str">
            <v>22139</v>
          </cell>
          <cell r="E888" t="str">
            <v>TEE</v>
          </cell>
          <cell r="F888">
            <v>2</v>
          </cell>
          <cell r="G888" t="str">
            <v>CB300304000400</v>
          </cell>
          <cell r="H888">
            <v>4</v>
          </cell>
          <cell r="I888" t="str">
            <v>--</v>
          </cell>
          <cell r="J888">
            <v>1</v>
          </cell>
          <cell r="K888">
            <v>2</v>
          </cell>
        </row>
        <row r="889">
          <cell r="A889" t="str">
            <v>M1</v>
          </cell>
          <cell r="B889" t="str">
            <v>A5C</v>
          </cell>
          <cell r="C889" t="str">
            <v>P</v>
          </cell>
          <cell r="D889" t="str">
            <v>22094</v>
          </cell>
          <cell r="E889" t="str">
            <v>90 ELL</v>
          </cell>
          <cell r="F889">
            <v>2</v>
          </cell>
          <cell r="G889" t="str">
            <v>CB300104000400</v>
          </cell>
          <cell r="H889">
            <v>4</v>
          </cell>
          <cell r="I889" t="str">
            <v>--</v>
          </cell>
          <cell r="J889">
            <v>8</v>
          </cell>
          <cell r="K889">
            <v>10</v>
          </cell>
        </row>
        <row r="890">
          <cell r="A890" t="str">
            <v>M1</v>
          </cell>
          <cell r="B890" t="str">
            <v>A5C</v>
          </cell>
          <cell r="C890" t="str">
            <v>P</v>
          </cell>
          <cell r="D890" t="str">
            <v>22099</v>
          </cell>
          <cell r="E890" t="str">
            <v>90 ELL</v>
          </cell>
          <cell r="F890">
            <v>2</v>
          </cell>
          <cell r="G890" t="str">
            <v>CB300104000400</v>
          </cell>
          <cell r="H890">
            <v>4</v>
          </cell>
          <cell r="I890" t="str">
            <v>--</v>
          </cell>
          <cell r="J890">
            <v>5</v>
          </cell>
          <cell r="K890">
            <v>6</v>
          </cell>
        </row>
        <row r="891">
          <cell r="A891" t="str">
            <v>M1</v>
          </cell>
          <cell r="B891" t="str">
            <v>A5C</v>
          </cell>
          <cell r="C891" t="str">
            <v>P</v>
          </cell>
          <cell r="D891" t="str">
            <v>22095</v>
          </cell>
          <cell r="E891" t="str">
            <v>90 ELL</v>
          </cell>
          <cell r="F891">
            <v>2</v>
          </cell>
          <cell r="G891" t="str">
            <v>CB300104000400</v>
          </cell>
          <cell r="H891">
            <v>4</v>
          </cell>
          <cell r="I891" t="str">
            <v>--</v>
          </cell>
          <cell r="J891">
            <v>8</v>
          </cell>
          <cell r="K891">
            <v>10</v>
          </cell>
        </row>
        <row r="892">
          <cell r="A892" t="str">
            <v>M1</v>
          </cell>
          <cell r="B892" t="str">
            <v>A5C</v>
          </cell>
          <cell r="C892" t="str">
            <v>P</v>
          </cell>
          <cell r="D892" t="str">
            <v>22094</v>
          </cell>
          <cell r="E892" t="str">
            <v>E RED</v>
          </cell>
          <cell r="F892">
            <v>2</v>
          </cell>
          <cell r="G892" t="str">
            <v>CB300604040403</v>
          </cell>
          <cell r="H892">
            <v>4</v>
          </cell>
          <cell r="I892">
            <v>3</v>
          </cell>
          <cell r="J892">
            <v>2</v>
          </cell>
          <cell r="K892">
            <v>3</v>
          </cell>
        </row>
        <row r="893">
          <cell r="A893" t="str">
            <v>M1</v>
          </cell>
          <cell r="B893" t="str">
            <v>A5C</v>
          </cell>
          <cell r="C893" t="str">
            <v>P</v>
          </cell>
          <cell r="D893" t="str">
            <v>22095</v>
          </cell>
          <cell r="E893" t="str">
            <v>E RED</v>
          </cell>
          <cell r="F893">
            <v>2</v>
          </cell>
          <cell r="G893" t="str">
            <v>CB300604040403</v>
          </cell>
          <cell r="H893">
            <v>4</v>
          </cell>
          <cell r="I893">
            <v>3</v>
          </cell>
          <cell r="J893">
            <v>2</v>
          </cell>
          <cell r="K893">
            <v>3</v>
          </cell>
        </row>
        <row r="894">
          <cell r="A894" t="str">
            <v>M1</v>
          </cell>
          <cell r="B894" t="str">
            <v>A5C</v>
          </cell>
          <cell r="C894" t="str">
            <v>P</v>
          </cell>
          <cell r="D894" t="str">
            <v>22099</v>
          </cell>
          <cell r="E894" t="str">
            <v>SOL</v>
          </cell>
          <cell r="F894">
            <v>2</v>
          </cell>
          <cell r="G894" t="str">
            <v>CB39020000040T</v>
          </cell>
          <cell r="H894">
            <v>4</v>
          </cell>
          <cell r="I894">
            <v>0.75</v>
          </cell>
          <cell r="J894">
            <v>2</v>
          </cell>
          <cell r="K894">
            <v>3</v>
          </cell>
        </row>
        <row r="895">
          <cell r="A895" t="str">
            <v>M1</v>
          </cell>
          <cell r="B895" t="str">
            <v>A5C</v>
          </cell>
          <cell r="C895" t="str">
            <v>P</v>
          </cell>
          <cell r="D895" t="str">
            <v>22099</v>
          </cell>
          <cell r="E895" t="str">
            <v>SOL</v>
          </cell>
          <cell r="F895">
            <v>2</v>
          </cell>
          <cell r="G895" t="str">
            <v>CB3902000004IH</v>
          </cell>
          <cell r="H895">
            <v>4</v>
          </cell>
          <cell r="I895">
            <v>1.5</v>
          </cell>
          <cell r="J895">
            <v>1</v>
          </cell>
          <cell r="K895">
            <v>2</v>
          </cell>
        </row>
        <row r="896">
          <cell r="A896" t="str">
            <v>M1</v>
          </cell>
          <cell r="B896" t="str">
            <v>A5C</v>
          </cell>
          <cell r="C896" t="str">
            <v>P</v>
          </cell>
          <cell r="D896" t="str">
            <v>22059</v>
          </cell>
          <cell r="E896" t="str">
            <v>45 ELL</v>
          </cell>
          <cell r="F896">
            <v>2</v>
          </cell>
          <cell r="G896" t="str">
            <v>CB300204000400</v>
          </cell>
          <cell r="H896">
            <v>4</v>
          </cell>
          <cell r="I896" t="str">
            <v>--</v>
          </cell>
          <cell r="J896">
            <v>2</v>
          </cell>
          <cell r="K896">
            <v>3</v>
          </cell>
        </row>
        <row r="897">
          <cell r="A897" t="str">
            <v>M1</v>
          </cell>
          <cell r="B897" t="str">
            <v>A5C</v>
          </cell>
          <cell r="C897" t="str">
            <v>P</v>
          </cell>
          <cell r="D897" t="str">
            <v>22003</v>
          </cell>
          <cell r="E897" t="str">
            <v>E RED</v>
          </cell>
          <cell r="F897">
            <v>2</v>
          </cell>
          <cell r="G897" t="str">
            <v>CB300604040403</v>
          </cell>
          <cell r="H897">
            <v>4</v>
          </cell>
          <cell r="I897">
            <v>3</v>
          </cell>
          <cell r="J897">
            <v>2</v>
          </cell>
          <cell r="K897">
            <v>3</v>
          </cell>
        </row>
        <row r="898">
          <cell r="A898" t="str">
            <v>M1</v>
          </cell>
          <cell r="B898" t="str">
            <v>A5C</v>
          </cell>
          <cell r="C898" t="str">
            <v>WW</v>
          </cell>
          <cell r="D898" t="str">
            <v>22601</v>
          </cell>
          <cell r="E898" t="str">
            <v>90 ELL</v>
          </cell>
          <cell r="F898">
            <v>2</v>
          </cell>
          <cell r="G898" t="str">
            <v>CB300104000400</v>
          </cell>
          <cell r="H898">
            <v>4</v>
          </cell>
          <cell r="I898" t="str">
            <v>--</v>
          </cell>
          <cell r="J898">
            <v>2</v>
          </cell>
          <cell r="K898">
            <v>3</v>
          </cell>
        </row>
        <row r="899">
          <cell r="A899" t="str">
            <v>M1</v>
          </cell>
          <cell r="B899" t="str">
            <v>A5C</v>
          </cell>
          <cell r="C899" t="str">
            <v>WW</v>
          </cell>
          <cell r="D899" t="str">
            <v>22613</v>
          </cell>
          <cell r="E899" t="str">
            <v>90 ELL</v>
          </cell>
          <cell r="F899">
            <v>2</v>
          </cell>
          <cell r="G899" t="str">
            <v>CB300104000400</v>
          </cell>
          <cell r="H899">
            <v>4</v>
          </cell>
          <cell r="I899" t="str">
            <v>--</v>
          </cell>
          <cell r="J899">
            <v>4</v>
          </cell>
          <cell r="K899">
            <v>5</v>
          </cell>
        </row>
        <row r="900">
          <cell r="A900" t="str">
            <v>M1</v>
          </cell>
          <cell r="B900" t="str">
            <v>A5C</v>
          </cell>
          <cell r="C900" t="str">
            <v>WW</v>
          </cell>
          <cell r="D900" t="str">
            <v>22601</v>
          </cell>
          <cell r="E900" t="str">
            <v>E RED</v>
          </cell>
          <cell r="F900">
            <v>2</v>
          </cell>
          <cell r="G900" t="str">
            <v>CB300604040403</v>
          </cell>
          <cell r="H900">
            <v>4</v>
          </cell>
          <cell r="I900">
            <v>3</v>
          </cell>
          <cell r="J900">
            <v>2</v>
          </cell>
          <cell r="K900">
            <v>3</v>
          </cell>
        </row>
        <row r="901">
          <cell r="A901" t="str">
            <v>M1</v>
          </cell>
          <cell r="B901" t="str">
            <v>A5C</v>
          </cell>
          <cell r="C901" t="str">
            <v>WW</v>
          </cell>
          <cell r="D901" t="str">
            <v>22601</v>
          </cell>
          <cell r="E901" t="str">
            <v>SOL</v>
          </cell>
          <cell r="F901">
            <v>2</v>
          </cell>
          <cell r="G901" t="str">
            <v>CB39020000040T</v>
          </cell>
          <cell r="H901">
            <v>4</v>
          </cell>
          <cell r="I901">
            <v>0.75</v>
          </cell>
          <cell r="J901">
            <v>4</v>
          </cell>
          <cell r="K901">
            <v>5</v>
          </cell>
        </row>
        <row r="902">
          <cell r="A902" t="str">
            <v>M1</v>
          </cell>
          <cell r="B902" t="str">
            <v>A5C</v>
          </cell>
          <cell r="C902" t="str">
            <v>WW</v>
          </cell>
          <cell r="D902" t="str">
            <v>22613</v>
          </cell>
          <cell r="E902" t="str">
            <v>TEE</v>
          </cell>
          <cell r="F902">
            <v>2</v>
          </cell>
          <cell r="G902" t="str">
            <v>CB300304000400</v>
          </cell>
          <cell r="H902">
            <v>4</v>
          </cell>
          <cell r="I902" t="str">
            <v>--</v>
          </cell>
          <cell r="J902">
            <v>1</v>
          </cell>
          <cell r="K902">
            <v>2</v>
          </cell>
        </row>
        <row r="903">
          <cell r="A903" t="str">
            <v>M1</v>
          </cell>
          <cell r="B903" t="str">
            <v>A6C</v>
          </cell>
          <cell r="C903" t="str">
            <v>HOS</v>
          </cell>
          <cell r="D903" t="str">
            <v>65628</v>
          </cell>
          <cell r="E903" t="str">
            <v>90 ELL</v>
          </cell>
          <cell r="F903">
            <v>2</v>
          </cell>
          <cell r="G903" t="str">
            <v>CB300104000400</v>
          </cell>
          <cell r="H903">
            <v>4</v>
          </cell>
          <cell r="I903" t="str">
            <v>--</v>
          </cell>
          <cell r="J903">
            <v>10</v>
          </cell>
          <cell r="K903">
            <v>12</v>
          </cell>
        </row>
        <row r="904">
          <cell r="A904" t="str">
            <v>M1</v>
          </cell>
          <cell r="B904" t="str">
            <v>A4C</v>
          </cell>
          <cell r="C904" t="str">
            <v>P</v>
          </cell>
          <cell r="D904" t="str">
            <v>22009</v>
          </cell>
          <cell r="E904" t="str">
            <v>90 ELL</v>
          </cell>
          <cell r="F904">
            <v>2</v>
          </cell>
          <cell r="G904" t="str">
            <v>CB300104000400</v>
          </cell>
          <cell r="H904">
            <v>4</v>
          </cell>
          <cell r="I904" t="str">
            <v>--</v>
          </cell>
          <cell r="J904">
            <v>6</v>
          </cell>
          <cell r="K904">
            <v>7</v>
          </cell>
        </row>
        <row r="905">
          <cell r="A905" t="str">
            <v>M1</v>
          </cell>
          <cell r="B905" t="str">
            <v>A6C</v>
          </cell>
          <cell r="C905" t="str">
            <v>HOS</v>
          </cell>
          <cell r="D905" t="str">
            <v>65614</v>
          </cell>
          <cell r="E905" t="str">
            <v>90 ELL</v>
          </cell>
          <cell r="F905">
            <v>2</v>
          </cell>
          <cell r="G905" t="str">
            <v>CB300104000400</v>
          </cell>
          <cell r="H905">
            <v>4</v>
          </cell>
          <cell r="I905" t="str">
            <v>--</v>
          </cell>
          <cell r="J905">
            <v>7</v>
          </cell>
          <cell r="K905">
            <v>9</v>
          </cell>
        </row>
        <row r="906">
          <cell r="A906" t="str">
            <v>M1</v>
          </cell>
          <cell r="B906" t="str">
            <v>A6C</v>
          </cell>
          <cell r="C906" t="str">
            <v>HOS</v>
          </cell>
          <cell r="D906" t="str">
            <v>65634</v>
          </cell>
          <cell r="E906" t="str">
            <v>90 ELL</v>
          </cell>
          <cell r="F906">
            <v>2</v>
          </cell>
          <cell r="G906" t="str">
            <v>CB300104000400</v>
          </cell>
          <cell r="H906">
            <v>4</v>
          </cell>
          <cell r="I906" t="str">
            <v>--</v>
          </cell>
          <cell r="J906">
            <v>1</v>
          </cell>
          <cell r="K906">
            <v>2</v>
          </cell>
        </row>
        <row r="907">
          <cell r="A907" t="str">
            <v>M1</v>
          </cell>
          <cell r="B907" t="str">
            <v>A5C</v>
          </cell>
          <cell r="C907" t="str">
            <v>P</v>
          </cell>
          <cell r="D907" t="str">
            <v>22098</v>
          </cell>
          <cell r="E907" t="str">
            <v>90 ELL</v>
          </cell>
          <cell r="F907">
            <v>2</v>
          </cell>
          <cell r="G907" t="str">
            <v>CB300104000400</v>
          </cell>
          <cell r="H907">
            <v>4</v>
          </cell>
          <cell r="I907" t="str">
            <v>--</v>
          </cell>
          <cell r="J907">
            <v>3</v>
          </cell>
          <cell r="K907">
            <v>4</v>
          </cell>
        </row>
        <row r="908">
          <cell r="A908" t="str">
            <v>M1</v>
          </cell>
          <cell r="B908" t="str">
            <v>A5C</v>
          </cell>
          <cell r="C908" t="str">
            <v>TRIM</v>
          </cell>
          <cell r="D908" t="str">
            <v>V-2216A</v>
          </cell>
          <cell r="E908" t="str">
            <v>C RED</v>
          </cell>
          <cell r="F908">
            <v>2</v>
          </cell>
          <cell r="G908" t="str">
            <v>CB300504040403</v>
          </cell>
          <cell r="H908">
            <v>4</v>
          </cell>
          <cell r="I908">
            <v>3</v>
          </cell>
          <cell r="J908">
            <v>1</v>
          </cell>
          <cell r="K908">
            <v>2</v>
          </cell>
        </row>
        <row r="909">
          <cell r="A909" t="str">
            <v>M1</v>
          </cell>
          <cell r="B909" t="str">
            <v>A5C</v>
          </cell>
          <cell r="C909" t="str">
            <v>TRIM</v>
          </cell>
          <cell r="D909" t="str">
            <v>V-2216B</v>
          </cell>
          <cell r="E909" t="str">
            <v>C RED</v>
          </cell>
          <cell r="F909">
            <v>2</v>
          </cell>
          <cell r="G909" t="str">
            <v>CB300504040403</v>
          </cell>
          <cell r="H909">
            <v>4</v>
          </cell>
          <cell r="I909">
            <v>3</v>
          </cell>
          <cell r="J909">
            <v>1</v>
          </cell>
          <cell r="K909">
            <v>2</v>
          </cell>
        </row>
        <row r="910">
          <cell r="A910" t="str">
            <v>M1</v>
          </cell>
          <cell r="B910" t="str">
            <v>A6C</v>
          </cell>
          <cell r="C910" t="str">
            <v>HOR</v>
          </cell>
          <cell r="D910" t="str">
            <v>65619</v>
          </cell>
          <cell r="E910" t="str">
            <v>E RED</v>
          </cell>
          <cell r="F910">
            <v>2</v>
          </cell>
          <cell r="G910" t="str">
            <v>CB300604040403</v>
          </cell>
          <cell r="H910">
            <v>4</v>
          </cell>
          <cell r="I910">
            <v>3</v>
          </cell>
          <cell r="J910">
            <v>1</v>
          </cell>
          <cell r="K910">
            <v>2</v>
          </cell>
        </row>
        <row r="911">
          <cell r="A911" t="str">
            <v>M1</v>
          </cell>
          <cell r="B911" t="str">
            <v>A6C</v>
          </cell>
          <cell r="C911" t="str">
            <v>HOS</v>
          </cell>
          <cell r="D911" t="str">
            <v>65634</v>
          </cell>
          <cell r="E911" t="str">
            <v>SOL</v>
          </cell>
          <cell r="F911">
            <v>2</v>
          </cell>
          <cell r="G911" t="str">
            <v>CB39020000040T</v>
          </cell>
          <cell r="H911">
            <v>4</v>
          </cell>
          <cell r="I911">
            <v>0.75</v>
          </cell>
          <cell r="J911">
            <v>1</v>
          </cell>
          <cell r="K911">
            <v>2</v>
          </cell>
        </row>
        <row r="912">
          <cell r="A912" t="str">
            <v>M1</v>
          </cell>
          <cell r="B912" t="str">
            <v>A4C</v>
          </cell>
          <cell r="C912" t="str">
            <v>P</v>
          </cell>
          <cell r="D912" t="str">
            <v>22009</v>
          </cell>
          <cell r="E912" t="str">
            <v>SOL</v>
          </cell>
          <cell r="F912">
            <v>2</v>
          </cell>
          <cell r="G912" t="str">
            <v>CB39020000040T</v>
          </cell>
          <cell r="H912">
            <v>4</v>
          </cell>
          <cell r="I912">
            <v>0.75</v>
          </cell>
          <cell r="J912">
            <v>2</v>
          </cell>
          <cell r="K912">
            <v>3</v>
          </cell>
        </row>
        <row r="913">
          <cell r="A913" t="str">
            <v>M1</v>
          </cell>
          <cell r="B913" t="str">
            <v>A5C</v>
          </cell>
          <cell r="C913" t="str">
            <v>P</v>
          </cell>
          <cell r="D913" t="str">
            <v>22098</v>
          </cell>
          <cell r="E913" t="str">
            <v>SOL</v>
          </cell>
          <cell r="F913">
            <v>2</v>
          </cell>
          <cell r="G913" t="str">
            <v>CB39020000040T</v>
          </cell>
          <cell r="H913">
            <v>4</v>
          </cell>
          <cell r="I913">
            <v>0.75</v>
          </cell>
          <cell r="J913">
            <v>1</v>
          </cell>
          <cell r="K913">
            <v>2</v>
          </cell>
        </row>
        <row r="914">
          <cell r="A914" t="str">
            <v>M1</v>
          </cell>
          <cell r="B914" t="str">
            <v>A6C</v>
          </cell>
          <cell r="C914" t="str">
            <v>HOR</v>
          </cell>
          <cell r="D914" t="str">
            <v>65813</v>
          </cell>
          <cell r="E914" t="str">
            <v>SOL</v>
          </cell>
          <cell r="F914">
            <v>2</v>
          </cell>
          <cell r="G914" t="str">
            <v>CB39020000040T</v>
          </cell>
          <cell r="H914">
            <v>4</v>
          </cell>
          <cell r="I914">
            <v>0.75</v>
          </cell>
          <cell r="J914">
            <v>1</v>
          </cell>
          <cell r="K914">
            <v>2</v>
          </cell>
        </row>
        <row r="915">
          <cell r="A915" t="str">
            <v>M1</v>
          </cell>
          <cell r="B915" t="str">
            <v>A6C</v>
          </cell>
          <cell r="C915" t="str">
            <v>HOS</v>
          </cell>
          <cell r="D915" t="str">
            <v>65628</v>
          </cell>
          <cell r="E915" t="str">
            <v>SOL</v>
          </cell>
          <cell r="F915">
            <v>2</v>
          </cell>
          <cell r="G915" t="str">
            <v>CB39020000040T</v>
          </cell>
          <cell r="H915">
            <v>4</v>
          </cell>
          <cell r="I915">
            <v>0.75</v>
          </cell>
          <cell r="J915">
            <v>1</v>
          </cell>
          <cell r="K915">
            <v>2</v>
          </cell>
        </row>
        <row r="916">
          <cell r="A916" t="str">
            <v>M1</v>
          </cell>
          <cell r="B916" t="str">
            <v>A6C</v>
          </cell>
          <cell r="C916" t="str">
            <v>HOS</v>
          </cell>
          <cell r="D916" t="str">
            <v>65628</v>
          </cell>
          <cell r="E916" t="str">
            <v>TEE</v>
          </cell>
          <cell r="F916">
            <v>2</v>
          </cell>
          <cell r="G916" t="str">
            <v>CB300304000400</v>
          </cell>
          <cell r="H916">
            <v>4</v>
          </cell>
          <cell r="I916" t="str">
            <v>--</v>
          </cell>
          <cell r="J916">
            <v>2</v>
          </cell>
          <cell r="K916">
            <v>3</v>
          </cell>
        </row>
        <row r="917">
          <cell r="A917" t="str">
            <v>M1</v>
          </cell>
          <cell r="B917" t="str">
            <v>A6C</v>
          </cell>
          <cell r="C917" t="str">
            <v>HOS</v>
          </cell>
          <cell r="D917" t="str">
            <v>65634</v>
          </cell>
          <cell r="E917" t="str">
            <v>TEE</v>
          </cell>
          <cell r="F917">
            <v>2</v>
          </cell>
          <cell r="G917" t="str">
            <v>CB300304000400</v>
          </cell>
          <cell r="H917">
            <v>4</v>
          </cell>
          <cell r="I917" t="str">
            <v>--</v>
          </cell>
          <cell r="J917">
            <v>1</v>
          </cell>
          <cell r="K917">
            <v>2</v>
          </cell>
        </row>
        <row r="918">
          <cell r="A918" t="str">
            <v>M1</v>
          </cell>
          <cell r="B918" t="str">
            <v>A4C</v>
          </cell>
          <cell r="C918" t="str">
            <v>P</v>
          </cell>
          <cell r="D918" t="str">
            <v>22009</v>
          </cell>
          <cell r="E918" t="str">
            <v>TEE</v>
          </cell>
          <cell r="F918">
            <v>2</v>
          </cell>
          <cell r="G918" t="str">
            <v>CB300304000400</v>
          </cell>
          <cell r="H918">
            <v>4</v>
          </cell>
          <cell r="I918" t="str">
            <v>--</v>
          </cell>
          <cell r="J918">
            <v>1</v>
          </cell>
          <cell r="K918">
            <v>2</v>
          </cell>
        </row>
        <row r="919">
          <cell r="A919" t="str">
            <v>M1</v>
          </cell>
          <cell r="B919" t="str">
            <v>A6C</v>
          </cell>
          <cell r="C919" t="str">
            <v>HOS</v>
          </cell>
          <cell r="D919" t="str">
            <v>65614</v>
          </cell>
          <cell r="E919" t="str">
            <v>TEE</v>
          </cell>
          <cell r="F919">
            <v>2</v>
          </cell>
          <cell r="G919" t="str">
            <v>CB300304000400</v>
          </cell>
          <cell r="H919">
            <v>4</v>
          </cell>
          <cell r="I919" t="str">
            <v>--</v>
          </cell>
          <cell r="J919">
            <v>1</v>
          </cell>
          <cell r="K919">
            <v>2</v>
          </cell>
        </row>
        <row r="920">
          <cell r="A920" t="str">
            <v>M1</v>
          </cell>
          <cell r="B920" t="str">
            <v>A6C</v>
          </cell>
          <cell r="C920" t="str">
            <v>HOR</v>
          </cell>
          <cell r="D920" t="str">
            <v>65813</v>
          </cell>
          <cell r="E920" t="str">
            <v>TEE</v>
          </cell>
          <cell r="F920">
            <v>2</v>
          </cell>
          <cell r="G920" t="str">
            <v>CB300304000400</v>
          </cell>
          <cell r="H920">
            <v>4</v>
          </cell>
          <cell r="I920" t="str">
            <v>--</v>
          </cell>
          <cell r="J920">
            <v>1</v>
          </cell>
          <cell r="K920">
            <v>2</v>
          </cell>
        </row>
        <row r="921">
          <cell r="A921" t="str">
            <v>M1</v>
          </cell>
          <cell r="B921" t="str">
            <v>A6C</v>
          </cell>
          <cell r="C921" t="str">
            <v>HOS</v>
          </cell>
          <cell r="D921" t="str">
            <v>65614</v>
          </cell>
          <cell r="E921" t="str">
            <v>TOL</v>
          </cell>
          <cell r="F921">
            <v>2</v>
          </cell>
          <cell r="G921" t="str">
            <v>CB39030000040T</v>
          </cell>
          <cell r="H921">
            <v>4</v>
          </cell>
          <cell r="I921">
            <v>0.75</v>
          </cell>
          <cell r="J921">
            <v>1</v>
          </cell>
          <cell r="K921">
            <v>2</v>
          </cell>
        </row>
        <row r="922">
          <cell r="A922" t="str">
            <v>M1</v>
          </cell>
          <cell r="B922" t="str">
            <v>A6C</v>
          </cell>
          <cell r="C922" t="str">
            <v>HOS</v>
          </cell>
          <cell r="D922" t="str">
            <v>65628</v>
          </cell>
          <cell r="E922" t="str">
            <v>TOL</v>
          </cell>
          <cell r="F922">
            <v>2</v>
          </cell>
          <cell r="G922" t="str">
            <v>CB39030000040T</v>
          </cell>
          <cell r="H922">
            <v>4</v>
          </cell>
          <cell r="I922">
            <v>0.75</v>
          </cell>
          <cell r="J922">
            <v>1</v>
          </cell>
          <cell r="K922">
            <v>2</v>
          </cell>
        </row>
        <row r="923">
          <cell r="A923" t="str">
            <v>M1</v>
          </cell>
          <cell r="B923" t="str">
            <v>B1C</v>
          </cell>
          <cell r="C923" t="str">
            <v>P</v>
          </cell>
          <cell r="D923" t="str">
            <v>22029</v>
          </cell>
          <cell r="E923" t="str">
            <v>90 ELL</v>
          </cell>
          <cell r="F923">
            <v>2</v>
          </cell>
          <cell r="G923" t="str">
            <v>CB300104000400</v>
          </cell>
          <cell r="H923">
            <v>4</v>
          </cell>
          <cell r="I923" t="str">
            <v>--</v>
          </cell>
          <cell r="J923">
            <v>4</v>
          </cell>
          <cell r="K923">
            <v>5</v>
          </cell>
        </row>
        <row r="924">
          <cell r="A924" t="str">
            <v>M1</v>
          </cell>
          <cell r="B924" t="str">
            <v>B1C</v>
          </cell>
          <cell r="C924" t="str">
            <v>P</v>
          </cell>
          <cell r="D924" t="str">
            <v>22029</v>
          </cell>
          <cell r="E924" t="str">
            <v>SOL</v>
          </cell>
          <cell r="F924">
            <v>2</v>
          </cell>
          <cell r="G924" t="str">
            <v>CB39020000040T</v>
          </cell>
          <cell r="H924">
            <v>4</v>
          </cell>
          <cell r="I924">
            <v>0.75</v>
          </cell>
          <cell r="J924">
            <v>5</v>
          </cell>
          <cell r="K924">
            <v>6</v>
          </cell>
        </row>
        <row r="925">
          <cell r="A925" t="str">
            <v>M1</v>
          </cell>
          <cell r="B925" t="str">
            <v>B1C</v>
          </cell>
          <cell r="C925" t="str">
            <v>P</v>
          </cell>
          <cell r="D925" t="str">
            <v>22029</v>
          </cell>
          <cell r="E925" t="str">
            <v>TEE</v>
          </cell>
          <cell r="F925">
            <v>2</v>
          </cell>
          <cell r="G925" t="str">
            <v>CB300304000400</v>
          </cell>
          <cell r="H925">
            <v>4</v>
          </cell>
          <cell r="I925" t="str">
            <v>--</v>
          </cell>
          <cell r="J925">
            <v>2</v>
          </cell>
          <cell r="K925">
            <v>3</v>
          </cell>
        </row>
        <row r="926">
          <cell r="A926" t="str">
            <v>M1</v>
          </cell>
          <cell r="B926" t="str">
            <v>A5C</v>
          </cell>
          <cell r="C926" t="str">
            <v>P</v>
          </cell>
          <cell r="D926" t="str">
            <v>22020</v>
          </cell>
          <cell r="E926" t="str">
            <v>12D 45 BEND</v>
          </cell>
          <cell r="F926">
            <v>2</v>
          </cell>
          <cell r="G926" t="str">
            <v>CB309104000600</v>
          </cell>
          <cell r="H926">
            <v>6</v>
          </cell>
          <cell r="I926" t="str">
            <v>--</v>
          </cell>
          <cell r="J926">
            <v>1</v>
          </cell>
          <cell r="K926">
            <v>2</v>
          </cell>
        </row>
        <row r="927">
          <cell r="A927" t="str">
            <v>M1</v>
          </cell>
          <cell r="B927" t="str">
            <v>A5C</v>
          </cell>
          <cell r="C927" t="str">
            <v>P</v>
          </cell>
          <cell r="D927" t="str">
            <v>22048</v>
          </cell>
          <cell r="E927" t="str">
            <v>12D 45 BEND</v>
          </cell>
          <cell r="F927">
            <v>2</v>
          </cell>
          <cell r="G927" t="str">
            <v>CB309104000600</v>
          </cell>
          <cell r="H927">
            <v>6</v>
          </cell>
          <cell r="I927" t="str">
            <v>--</v>
          </cell>
          <cell r="J927">
            <v>1</v>
          </cell>
          <cell r="K927">
            <v>2</v>
          </cell>
        </row>
        <row r="928">
          <cell r="A928" t="str">
            <v>M1</v>
          </cell>
          <cell r="B928" t="str">
            <v>A5C</v>
          </cell>
          <cell r="C928" t="str">
            <v>P</v>
          </cell>
          <cell r="D928" t="str">
            <v>22019</v>
          </cell>
          <cell r="E928" t="str">
            <v>12D 90 BEND</v>
          </cell>
          <cell r="F928">
            <v>2</v>
          </cell>
          <cell r="G928" t="str">
            <v>CB309004000600</v>
          </cell>
          <cell r="H928">
            <v>6</v>
          </cell>
          <cell r="I928" t="str">
            <v>--</v>
          </cell>
          <cell r="J928">
            <v>3</v>
          </cell>
          <cell r="K928">
            <v>4</v>
          </cell>
        </row>
        <row r="929">
          <cell r="A929" t="str">
            <v>M1</v>
          </cell>
          <cell r="B929" t="str">
            <v>A5C</v>
          </cell>
          <cell r="C929" t="str">
            <v>P</v>
          </cell>
          <cell r="D929" t="str">
            <v>22048</v>
          </cell>
          <cell r="E929" t="str">
            <v>12D 90 BEND</v>
          </cell>
          <cell r="F929">
            <v>2</v>
          </cell>
          <cell r="G929" t="str">
            <v>CB309004000600</v>
          </cell>
          <cell r="H929">
            <v>6</v>
          </cell>
          <cell r="I929" t="str">
            <v>--</v>
          </cell>
          <cell r="J929">
            <v>3</v>
          </cell>
          <cell r="K929">
            <v>4</v>
          </cell>
        </row>
        <row r="930">
          <cell r="A930" t="str">
            <v>M1</v>
          </cell>
          <cell r="B930" t="str">
            <v>A5C</v>
          </cell>
          <cell r="C930" t="str">
            <v>P</v>
          </cell>
          <cell r="D930" t="str">
            <v>22020</v>
          </cell>
          <cell r="E930" t="str">
            <v>12D 90 BEND</v>
          </cell>
          <cell r="F930">
            <v>2</v>
          </cell>
          <cell r="G930" t="str">
            <v>CB309004000600</v>
          </cell>
          <cell r="H930">
            <v>6</v>
          </cell>
          <cell r="I930" t="str">
            <v>--</v>
          </cell>
          <cell r="J930">
            <v>7</v>
          </cell>
          <cell r="K930">
            <v>9</v>
          </cell>
        </row>
        <row r="931">
          <cell r="A931" t="str">
            <v>M1</v>
          </cell>
          <cell r="B931" t="str">
            <v>A5C</v>
          </cell>
          <cell r="C931" t="str">
            <v>P</v>
          </cell>
          <cell r="D931" t="str">
            <v>22048</v>
          </cell>
          <cell r="E931" t="str">
            <v>12D 90 BEND</v>
          </cell>
          <cell r="F931">
            <v>2</v>
          </cell>
          <cell r="G931" t="str">
            <v>CB309004000600</v>
          </cell>
          <cell r="H931">
            <v>6</v>
          </cell>
          <cell r="I931" t="str">
            <v>--</v>
          </cell>
          <cell r="J931">
            <v>3</v>
          </cell>
          <cell r="K931">
            <v>4</v>
          </cell>
        </row>
        <row r="932">
          <cell r="A932" t="str">
            <v>M1</v>
          </cell>
          <cell r="B932" t="str">
            <v>A5C</v>
          </cell>
          <cell r="C932" t="str">
            <v>P</v>
          </cell>
          <cell r="D932" t="str">
            <v>22055</v>
          </cell>
          <cell r="E932" t="str">
            <v>45 ELL</v>
          </cell>
          <cell r="F932">
            <v>2</v>
          </cell>
          <cell r="G932" t="str">
            <v>CB300204000600</v>
          </cell>
          <cell r="H932">
            <v>6</v>
          </cell>
          <cell r="I932" t="str">
            <v>--</v>
          </cell>
          <cell r="J932">
            <v>2</v>
          </cell>
          <cell r="K932">
            <v>3</v>
          </cell>
        </row>
        <row r="933">
          <cell r="A933" t="str">
            <v>M1</v>
          </cell>
          <cell r="B933" t="str">
            <v>A5C</v>
          </cell>
          <cell r="C933" t="str">
            <v>P</v>
          </cell>
          <cell r="D933" t="str">
            <v>22139</v>
          </cell>
          <cell r="E933" t="str">
            <v>45 ELL</v>
          </cell>
          <cell r="F933">
            <v>2</v>
          </cell>
          <cell r="G933" t="str">
            <v>CB300204000600</v>
          </cell>
          <cell r="H933">
            <v>6</v>
          </cell>
          <cell r="I933" t="str">
            <v>--</v>
          </cell>
          <cell r="J933">
            <v>1</v>
          </cell>
          <cell r="K933">
            <v>2</v>
          </cell>
        </row>
        <row r="934">
          <cell r="A934" t="str">
            <v>M1</v>
          </cell>
          <cell r="B934" t="str">
            <v>A5C</v>
          </cell>
          <cell r="C934" t="str">
            <v>COMP</v>
          </cell>
          <cell r="D934" t="str">
            <v>003</v>
          </cell>
          <cell r="E934" t="str">
            <v>90 ELL</v>
          </cell>
          <cell r="F934">
            <v>2</v>
          </cell>
          <cell r="G934" t="str">
            <v>CB300104000600</v>
          </cell>
          <cell r="H934">
            <v>6</v>
          </cell>
          <cell r="I934" t="str">
            <v>--</v>
          </cell>
          <cell r="J934">
            <v>2</v>
          </cell>
          <cell r="K934">
            <v>3</v>
          </cell>
        </row>
        <row r="935">
          <cell r="A935" t="str">
            <v>M1</v>
          </cell>
          <cell r="B935" t="str">
            <v>A5C</v>
          </cell>
          <cell r="C935" t="str">
            <v>P</v>
          </cell>
          <cell r="D935" t="str">
            <v>22023</v>
          </cell>
          <cell r="E935" t="str">
            <v>90 ELL</v>
          </cell>
          <cell r="F935">
            <v>2</v>
          </cell>
          <cell r="G935" t="str">
            <v>CB300104000600</v>
          </cell>
          <cell r="H935">
            <v>6</v>
          </cell>
          <cell r="I935" t="str">
            <v>--</v>
          </cell>
          <cell r="J935">
            <v>6</v>
          </cell>
          <cell r="K935">
            <v>7</v>
          </cell>
        </row>
        <row r="936">
          <cell r="A936" t="str">
            <v>M1</v>
          </cell>
          <cell r="B936" t="str">
            <v>A5C</v>
          </cell>
          <cell r="C936" t="str">
            <v>P</v>
          </cell>
          <cell r="D936" t="str">
            <v>22028</v>
          </cell>
          <cell r="E936" t="str">
            <v>90 ELL</v>
          </cell>
          <cell r="F936">
            <v>2</v>
          </cell>
          <cell r="G936" t="str">
            <v>CB300104000600</v>
          </cell>
          <cell r="H936">
            <v>6</v>
          </cell>
          <cell r="I936" t="str">
            <v>--</v>
          </cell>
          <cell r="J936">
            <v>4</v>
          </cell>
          <cell r="K936">
            <v>5</v>
          </cell>
        </row>
        <row r="937">
          <cell r="A937" t="str">
            <v>M1</v>
          </cell>
          <cell r="B937" t="str">
            <v>A5C</v>
          </cell>
          <cell r="C937" t="str">
            <v>P</v>
          </cell>
          <cell r="D937" t="str">
            <v>22065</v>
          </cell>
          <cell r="E937" t="str">
            <v>90 ELL</v>
          </cell>
          <cell r="F937">
            <v>2</v>
          </cell>
          <cell r="G937" t="str">
            <v>CB300104000600</v>
          </cell>
          <cell r="H937">
            <v>6</v>
          </cell>
          <cell r="I937" t="str">
            <v>--</v>
          </cell>
          <cell r="J937">
            <v>6</v>
          </cell>
          <cell r="K937">
            <v>7</v>
          </cell>
        </row>
        <row r="938">
          <cell r="A938" t="str">
            <v>M1</v>
          </cell>
          <cell r="B938" t="str">
            <v>A5C</v>
          </cell>
          <cell r="C938" t="str">
            <v>P</v>
          </cell>
          <cell r="D938" t="str">
            <v>22139</v>
          </cell>
          <cell r="E938" t="str">
            <v>90 ELL</v>
          </cell>
          <cell r="F938">
            <v>2</v>
          </cell>
          <cell r="G938" t="str">
            <v>CB300104000600</v>
          </cell>
          <cell r="H938">
            <v>6</v>
          </cell>
          <cell r="I938" t="str">
            <v>--</v>
          </cell>
          <cell r="J938">
            <v>4</v>
          </cell>
          <cell r="K938">
            <v>5</v>
          </cell>
        </row>
        <row r="939">
          <cell r="A939" t="str">
            <v>M1</v>
          </cell>
          <cell r="B939" t="str">
            <v>A5C</v>
          </cell>
          <cell r="C939" t="str">
            <v>P</v>
          </cell>
          <cell r="D939" t="str">
            <v>22065</v>
          </cell>
          <cell r="E939" t="str">
            <v>E RED</v>
          </cell>
          <cell r="F939">
            <v>2</v>
          </cell>
          <cell r="G939" t="str">
            <v>CB300604040604</v>
          </cell>
          <cell r="H939">
            <v>6</v>
          </cell>
          <cell r="I939">
            <v>4</v>
          </cell>
          <cell r="J939">
            <v>2</v>
          </cell>
          <cell r="K939">
            <v>3</v>
          </cell>
        </row>
        <row r="940">
          <cell r="A940" t="str">
            <v>M1</v>
          </cell>
          <cell r="B940" t="str">
            <v>A5C</v>
          </cell>
          <cell r="C940" t="str">
            <v>P</v>
          </cell>
          <cell r="D940" t="str">
            <v>22066</v>
          </cell>
          <cell r="E940" t="str">
            <v>E RED</v>
          </cell>
          <cell r="F940">
            <v>2</v>
          </cell>
          <cell r="G940" t="str">
            <v>CB300604040603</v>
          </cell>
          <cell r="H940">
            <v>6</v>
          </cell>
          <cell r="I940">
            <v>3</v>
          </cell>
          <cell r="J940">
            <v>1</v>
          </cell>
          <cell r="K940">
            <v>2</v>
          </cell>
        </row>
        <row r="941">
          <cell r="A941" t="str">
            <v>M1</v>
          </cell>
          <cell r="B941" t="str">
            <v>A5C</v>
          </cell>
          <cell r="C941" t="str">
            <v>P</v>
          </cell>
          <cell r="D941" t="str">
            <v>22028</v>
          </cell>
          <cell r="E941" t="str">
            <v>SOL</v>
          </cell>
          <cell r="F941">
            <v>2</v>
          </cell>
          <cell r="G941" t="str">
            <v>CB39020000060T</v>
          </cell>
          <cell r="H941">
            <v>6</v>
          </cell>
          <cell r="I941">
            <v>0.75</v>
          </cell>
          <cell r="J941">
            <v>1</v>
          </cell>
          <cell r="K941">
            <v>2</v>
          </cell>
        </row>
        <row r="942">
          <cell r="A942" t="str">
            <v>M1</v>
          </cell>
          <cell r="B942" t="str">
            <v>A5C</v>
          </cell>
          <cell r="C942" t="str">
            <v>P</v>
          </cell>
          <cell r="D942" t="str">
            <v>22022</v>
          </cell>
          <cell r="E942" t="str">
            <v>SOL</v>
          </cell>
          <cell r="F942">
            <v>2</v>
          </cell>
          <cell r="G942" t="str">
            <v>CB39020000060H</v>
          </cell>
          <cell r="H942">
            <v>6</v>
          </cell>
          <cell r="I942">
            <v>0.5</v>
          </cell>
          <cell r="J942">
            <v>1</v>
          </cell>
          <cell r="K942">
            <v>2</v>
          </cell>
        </row>
        <row r="943">
          <cell r="A943" t="str">
            <v>M1</v>
          </cell>
          <cell r="B943" t="str">
            <v>A5C</v>
          </cell>
          <cell r="C943" t="str">
            <v>P</v>
          </cell>
          <cell r="D943" t="str">
            <v>22065</v>
          </cell>
          <cell r="E943" t="str">
            <v>SOL</v>
          </cell>
          <cell r="F943">
            <v>2</v>
          </cell>
          <cell r="G943" t="str">
            <v>CB39020000060T</v>
          </cell>
          <cell r="H943">
            <v>6</v>
          </cell>
          <cell r="I943">
            <v>0.75</v>
          </cell>
          <cell r="J943">
            <v>1</v>
          </cell>
          <cell r="K943">
            <v>2</v>
          </cell>
        </row>
        <row r="944">
          <cell r="A944" t="str">
            <v>M1</v>
          </cell>
          <cell r="B944" t="str">
            <v>A5C</v>
          </cell>
          <cell r="C944" t="str">
            <v>P</v>
          </cell>
          <cell r="D944" t="str">
            <v>22065</v>
          </cell>
          <cell r="E944" t="str">
            <v>TEE</v>
          </cell>
          <cell r="F944">
            <v>2</v>
          </cell>
          <cell r="G944" t="str">
            <v>CB300304000600</v>
          </cell>
          <cell r="H944">
            <v>6</v>
          </cell>
          <cell r="I944" t="str">
            <v>--</v>
          </cell>
          <cell r="J944">
            <v>1</v>
          </cell>
          <cell r="K944">
            <v>2</v>
          </cell>
        </row>
        <row r="945">
          <cell r="A945" t="str">
            <v>M1</v>
          </cell>
          <cell r="B945" t="str">
            <v>A5C</v>
          </cell>
          <cell r="C945" t="str">
            <v>P</v>
          </cell>
          <cell r="D945" t="str">
            <v>22139</v>
          </cell>
          <cell r="E945" t="str">
            <v>TEE</v>
          </cell>
          <cell r="F945">
            <v>2</v>
          </cell>
          <cell r="G945" t="str">
            <v>CB300304000600</v>
          </cell>
          <cell r="H945">
            <v>6</v>
          </cell>
          <cell r="I945" t="str">
            <v>--</v>
          </cell>
          <cell r="J945">
            <v>1</v>
          </cell>
          <cell r="K945">
            <v>2</v>
          </cell>
        </row>
        <row r="946">
          <cell r="A946" t="str">
            <v>M1</v>
          </cell>
          <cell r="B946" t="str">
            <v>A5C</v>
          </cell>
          <cell r="C946" t="str">
            <v>P</v>
          </cell>
          <cell r="D946" t="str">
            <v>22028</v>
          </cell>
          <cell r="E946" t="str">
            <v>TOL</v>
          </cell>
          <cell r="F946">
            <v>2</v>
          </cell>
          <cell r="G946" t="str">
            <v>CB39030000060T</v>
          </cell>
          <cell r="H946">
            <v>6</v>
          </cell>
          <cell r="I946">
            <v>0.75</v>
          </cell>
          <cell r="J946">
            <v>1</v>
          </cell>
          <cell r="K946">
            <v>2</v>
          </cell>
        </row>
        <row r="947">
          <cell r="A947" t="str">
            <v>M1</v>
          </cell>
          <cell r="B947" t="str">
            <v>A5C</v>
          </cell>
          <cell r="C947" t="str">
            <v>P</v>
          </cell>
          <cell r="D947" t="str">
            <v>22048</v>
          </cell>
          <cell r="E947" t="str">
            <v>TOL</v>
          </cell>
          <cell r="F947">
            <v>2</v>
          </cell>
          <cell r="G947" t="str">
            <v>CB39030000060T060T</v>
          </cell>
          <cell r="H947">
            <v>6</v>
          </cell>
          <cell r="I947">
            <v>0.75</v>
          </cell>
          <cell r="J947">
            <v>1</v>
          </cell>
          <cell r="K947">
            <v>2</v>
          </cell>
        </row>
        <row r="948">
          <cell r="A948" t="str">
            <v>M1</v>
          </cell>
          <cell r="B948" t="str">
            <v>A5C</v>
          </cell>
          <cell r="C948" t="str">
            <v>P</v>
          </cell>
          <cell r="D948" t="str">
            <v>22019</v>
          </cell>
          <cell r="E948" t="str">
            <v>TOL</v>
          </cell>
          <cell r="F948">
            <v>2</v>
          </cell>
          <cell r="G948" t="str">
            <v>CB39030000060T060T</v>
          </cell>
          <cell r="H948">
            <v>6</v>
          </cell>
          <cell r="I948">
            <v>0.75</v>
          </cell>
          <cell r="J948">
            <v>1</v>
          </cell>
          <cell r="K948">
            <v>2</v>
          </cell>
        </row>
        <row r="949">
          <cell r="A949" t="str">
            <v>M1</v>
          </cell>
          <cell r="B949" t="str">
            <v>A5C</v>
          </cell>
          <cell r="C949" t="str">
            <v>P</v>
          </cell>
          <cell r="D949" t="str">
            <v>22035</v>
          </cell>
          <cell r="E949" t="str">
            <v>90 ELL</v>
          </cell>
          <cell r="F949">
            <v>2</v>
          </cell>
          <cell r="G949" t="str">
            <v>CB300104000600</v>
          </cell>
          <cell r="H949">
            <v>6</v>
          </cell>
          <cell r="I949" t="str">
            <v>--</v>
          </cell>
          <cell r="J949">
            <v>2</v>
          </cell>
          <cell r="K949">
            <v>3</v>
          </cell>
        </row>
        <row r="950">
          <cell r="A950" t="str">
            <v>M1</v>
          </cell>
          <cell r="B950" t="str">
            <v>A5C</v>
          </cell>
          <cell r="C950" t="str">
            <v>P</v>
          </cell>
          <cell r="D950" t="str">
            <v>22034</v>
          </cell>
          <cell r="E950" t="str">
            <v>SOL</v>
          </cell>
          <cell r="F950">
            <v>2</v>
          </cell>
          <cell r="G950" t="str">
            <v>CB3902000006010601</v>
          </cell>
          <cell r="H950">
            <v>6</v>
          </cell>
          <cell r="I950">
            <v>1</v>
          </cell>
          <cell r="J950">
            <v>2</v>
          </cell>
          <cell r="K950">
            <v>3</v>
          </cell>
        </row>
        <row r="951">
          <cell r="A951" t="str">
            <v>M1</v>
          </cell>
          <cell r="B951" t="str">
            <v>A5C</v>
          </cell>
          <cell r="C951" t="str">
            <v>P</v>
          </cell>
          <cell r="D951" t="str">
            <v>22034</v>
          </cell>
          <cell r="E951" t="str">
            <v>TEE</v>
          </cell>
          <cell r="F951">
            <v>2</v>
          </cell>
          <cell r="G951" t="str">
            <v>CB3003040006000600</v>
          </cell>
          <cell r="H951">
            <v>6</v>
          </cell>
          <cell r="I951" t="str">
            <v>--</v>
          </cell>
          <cell r="J951">
            <v>1</v>
          </cell>
          <cell r="K951">
            <v>2</v>
          </cell>
        </row>
        <row r="952">
          <cell r="A952" t="str">
            <v>M1</v>
          </cell>
          <cell r="B952" t="str">
            <v>A5C</v>
          </cell>
          <cell r="C952" t="str">
            <v>WW</v>
          </cell>
          <cell r="D952" t="str">
            <v>22601</v>
          </cell>
          <cell r="E952" t="str">
            <v>90 ELL</v>
          </cell>
          <cell r="F952">
            <v>2</v>
          </cell>
          <cell r="G952" t="str">
            <v>CB300104000600</v>
          </cell>
          <cell r="H952">
            <v>6</v>
          </cell>
          <cell r="I952" t="str">
            <v>--</v>
          </cell>
          <cell r="J952">
            <v>2</v>
          </cell>
          <cell r="K952">
            <v>3</v>
          </cell>
        </row>
        <row r="953">
          <cell r="A953" t="str">
            <v>M1</v>
          </cell>
          <cell r="B953" t="str">
            <v>A5C</v>
          </cell>
          <cell r="C953" t="str">
            <v>WW</v>
          </cell>
          <cell r="D953" t="str">
            <v>22601</v>
          </cell>
          <cell r="E953" t="str">
            <v>90 ELL</v>
          </cell>
          <cell r="F953">
            <v>2</v>
          </cell>
          <cell r="G953" t="str">
            <v>CB300104000600</v>
          </cell>
          <cell r="H953">
            <v>6</v>
          </cell>
          <cell r="I953" t="str">
            <v>--</v>
          </cell>
          <cell r="J953">
            <v>3</v>
          </cell>
          <cell r="K953">
            <v>4</v>
          </cell>
        </row>
        <row r="954">
          <cell r="A954" t="str">
            <v>M1</v>
          </cell>
          <cell r="B954" t="str">
            <v>A5C</v>
          </cell>
          <cell r="C954" t="str">
            <v>WW</v>
          </cell>
          <cell r="D954" t="str">
            <v>22601</v>
          </cell>
          <cell r="E954" t="str">
            <v>E RED</v>
          </cell>
          <cell r="F954">
            <v>2</v>
          </cell>
          <cell r="G954" t="str">
            <v>CB300604040604</v>
          </cell>
          <cell r="H954">
            <v>6</v>
          </cell>
          <cell r="I954">
            <v>4</v>
          </cell>
          <cell r="J954">
            <v>2</v>
          </cell>
          <cell r="K954">
            <v>3</v>
          </cell>
        </row>
        <row r="955">
          <cell r="A955" t="str">
            <v>M1</v>
          </cell>
          <cell r="B955" t="str">
            <v>A5C</v>
          </cell>
          <cell r="C955" t="str">
            <v>WW</v>
          </cell>
          <cell r="D955" t="str">
            <v>22601</v>
          </cell>
          <cell r="E955" t="str">
            <v>TEE</v>
          </cell>
          <cell r="F955">
            <v>2</v>
          </cell>
          <cell r="G955" t="str">
            <v>CB300304000600</v>
          </cell>
          <cell r="H955">
            <v>6</v>
          </cell>
          <cell r="I955" t="str">
            <v>--</v>
          </cell>
          <cell r="J955">
            <v>1</v>
          </cell>
          <cell r="K955">
            <v>2</v>
          </cell>
        </row>
        <row r="956">
          <cell r="A956" t="str">
            <v>M1</v>
          </cell>
          <cell r="B956" t="str">
            <v>A6C</v>
          </cell>
          <cell r="C956" t="str">
            <v>HOS</v>
          </cell>
          <cell r="D956" t="str">
            <v>65624</v>
          </cell>
          <cell r="E956" t="str">
            <v>45 ELL</v>
          </cell>
          <cell r="F956">
            <v>2</v>
          </cell>
          <cell r="G956" t="str">
            <v>CB300204000600</v>
          </cell>
          <cell r="H956">
            <v>6</v>
          </cell>
          <cell r="I956" t="str">
            <v>--</v>
          </cell>
          <cell r="J956">
            <v>4</v>
          </cell>
          <cell r="K956">
            <v>5</v>
          </cell>
        </row>
        <row r="957">
          <cell r="A957" t="str">
            <v>M1</v>
          </cell>
          <cell r="B957" t="str">
            <v>A6C</v>
          </cell>
          <cell r="C957" t="str">
            <v>HOS</v>
          </cell>
          <cell r="D957" t="str">
            <v>65624</v>
          </cell>
          <cell r="E957" t="str">
            <v>45 ELL</v>
          </cell>
          <cell r="F957">
            <v>2</v>
          </cell>
          <cell r="G957" t="str">
            <v>CB300204000600</v>
          </cell>
          <cell r="H957">
            <v>6</v>
          </cell>
          <cell r="I957" t="str">
            <v>--</v>
          </cell>
          <cell r="J957">
            <v>4</v>
          </cell>
          <cell r="K957">
            <v>5</v>
          </cell>
        </row>
        <row r="958">
          <cell r="A958" t="str">
            <v>M1</v>
          </cell>
          <cell r="B958" t="str">
            <v>A6C</v>
          </cell>
          <cell r="C958" t="str">
            <v>HOR</v>
          </cell>
          <cell r="D958" t="str">
            <v>65611</v>
          </cell>
          <cell r="E958" t="str">
            <v>45 ELL</v>
          </cell>
          <cell r="F958">
            <v>2</v>
          </cell>
          <cell r="G958" t="str">
            <v>CB300204000600</v>
          </cell>
          <cell r="H958">
            <v>6</v>
          </cell>
          <cell r="I958" t="str">
            <v>--</v>
          </cell>
          <cell r="J958">
            <v>4</v>
          </cell>
          <cell r="K958">
            <v>5</v>
          </cell>
        </row>
        <row r="959">
          <cell r="A959" t="str">
            <v>M1</v>
          </cell>
          <cell r="B959" t="str">
            <v>A6C</v>
          </cell>
          <cell r="C959" t="str">
            <v>HOR</v>
          </cell>
          <cell r="D959" t="str">
            <v>65611</v>
          </cell>
          <cell r="E959" t="str">
            <v>45 ELL</v>
          </cell>
          <cell r="F959">
            <v>2</v>
          </cell>
          <cell r="G959" t="str">
            <v>CB300204000600</v>
          </cell>
          <cell r="H959">
            <v>6</v>
          </cell>
          <cell r="I959" t="str">
            <v>--</v>
          </cell>
          <cell r="J959">
            <v>4</v>
          </cell>
          <cell r="K959">
            <v>5</v>
          </cell>
        </row>
        <row r="960">
          <cell r="A960" t="str">
            <v>M1</v>
          </cell>
          <cell r="B960" t="str">
            <v>A6C</v>
          </cell>
          <cell r="C960" t="str">
            <v>HOS</v>
          </cell>
          <cell r="D960" t="str">
            <v>65624</v>
          </cell>
          <cell r="E960" t="str">
            <v>SOL</v>
          </cell>
          <cell r="F960">
            <v>2</v>
          </cell>
          <cell r="G960" t="str">
            <v>CB39020000060T</v>
          </cell>
          <cell r="H960">
            <v>6</v>
          </cell>
          <cell r="I960">
            <v>0.75</v>
          </cell>
          <cell r="J960">
            <v>1</v>
          </cell>
          <cell r="K960">
            <v>2</v>
          </cell>
        </row>
        <row r="961">
          <cell r="A961" t="str">
            <v>M1</v>
          </cell>
          <cell r="B961" t="str">
            <v>A6C</v>
          </cell>
          <cell r="C961" t="str">
            <v>HOS</v>
          </cell>
          <cell r="D961" t="str">
            <v>65624</v>
          </cell>
          <cell r="E961" t="str">
            <v>SOL</v>
          </cell>
          <cell r="F961">
            <v>2</v>
          </cell>
          <cell r="G961" t="str">
            <v>CB39020000060T</v>
          </cell>
          <cell r="H961">
            <v>6</v>
          </cell>
          <cell r="I961">
            <v>0.75</v>
          </cell>
          <cell r="J961">
            <v>1</v>
          </cell>
          <cell r="K961">
            <v>2</v>
          </cell>
        </row>
        <row r="962">
          <cell r="A962" t="str">
            <v>M1</v>
          </cell>
          <cell r="B962" t="str">
            <v>A6C</v>
          </cell>
          <cell r="C962" t="str">
            <v>HOR</v>
          </cell>
          <cell r="D962" t="str">
            <v>65611</v>
          </cell>
          <cell r="E962" t="str">
            <v>SOL</v>
          </cell>
          <cell r="F962">
            <v>2</v>
          </cell>
          <cell r="G962" t="str">
            <v>CB39020000060T</v>
          </cell>
          <cell r="H962">
            <v>6</v>
          </cell>
          <cell r="I962">
            <v>0.75</v>
          </cell>
          <cell r="J962">
            <v>1</v>
          </cell>
          <cell r="K962">
            <v>2</v>
          </cell>
        </row>
        <row r="963">
          <cell r="A963" t="str">
            <v>M1</v>
          </cell>
          <cell r="B963" t="str">
            <v>A6C</v>
          </cell>
          <cell r="C963" t="str">
            <v>HOR</v>
          </cell>
          <cell r="D963" t="str">
            <v>65611</v>
          </cell>
          <cell r="E963" t="str">
            <v>SOL</v>
          </cell>
          <cell r="F963">
            <v>2</v>
          </cell>
          <cell r="G963" t="str">
            <v>CB39020000060T</v>
          </cell>
          <cell r="H963">
            <v>6</v>
          </cell>
          <cell r="I963">
            <v>0.75</v>
          </cell>
          <cell r="J963">
            <v>1</v>
          </cell>
          <cell r="K963">
            <v>2</v>
          </cell>
        </row>
        <row r="964">
          <cell r="A964" t="str">
            <v>M1</v>
          </cell>
          <cell r="B964" t="str">
            <v>A6C</v>
          </cell>
          <cell r="C964" t="str">
            <v>HOS</v>
          </cell>
          <cell r="D964" t="str">
            <v>65624</v>
          </cell>
          <cell r="E964" t="str">
            <v>TEE</v>
          </cell>
          <cell r="F964">
            <v>2</v>
          </cell>
          <cell r="G964" t="str">
            <v>CB300304000600</v>
          </cell>
          <cell r="H964">
            <v>6</v>
          </cell>
          <cell r="I964" t="str">
            <v>--</v>
          </cell>
          <cell r="J964">
            <v>1</v>
          </cell>
          <cell r="K964">
            <v>2</v>
          </cell>
        </row>
        <row r="965">
          <cell r="A965" t="str">
            <v>M1</v>
          </cell>
          <cell r="B965" t="str">
            <v>A6C</v>
          </cell>
          <cell r="C965" t="str">
            <v>HOS</v>
          </cell>
          <cell r="D965" t="str">
            <v>65624</v>
          </cell>
          <cell r="E965" t="str">
            <v>TEE</v>
          </cell>
          <cell r="F965">
            <v>2</v>
          </cell>
          <cell r="G965" t="str">
            <v>CB300304000600</v>
          </cell>
          <cell r="H965">
            <v>6</v>
          </cell>
          <cell r="I965" t="str">
            <v>--</v>
          </cell>
          <cell r="J965">
            <v>1</v>
          </cell>
          <cell r="K965">
            <v>2</v>
          </cell>
        </row>
        <row r="966">
          <cell r="A966" t="str">
            <v>M1</v>
          </cell>
          <cell r="B966" t="str">
            <v>A6C</v>
          </cell>
          <cell r="C966" t="str">
            <v>HOR</v>
          </cell>
          <cell r="D966" t="str">
            <v>65611</v>
          </cell>
          <cell r="E966" t="str">
            <v>TEE</v>
          </cell>
          <cell r="F966">
            <v>2</v>
          </cell>
          <cell r="G966" t="str">
            <v>CB300304000600</v>
          </cell>
          <cell r="H966">
            <v>6</v>
          </cell>
          <cell r="I966" t="str">
            <v>--</v>
          </cell>
          <cell r="J966">
            <v>1</v>
          </cell>
          <cell r="K966">
            <v>2</v>
          </cell>
        </row>
        <row r="967">
          <cell r="A967" t="str">
            <v>M1</v>
          </cell>
          <cell r="B967" t="str">
            <v>A6C</v>
          </cell>
          <cell r="C967" t="str">
            <v>HOR</v>
          </cell>
          <cell r="D967" t="str">
            <v>65611</v>
          </cell>
          <cell r="E967" t="str">
            <v>TEE</v>
          </cell>
          <cell r="F967">
            <v>2</v>
          </cell>
          <cell r="G967" t="str">
            <v>CB300304000600</v>
          </cell>
          <cell r="H967">
            <v>6</v>
          </cell>
          <cell r="I967" t="str">
            <v>--</v>
          </cell>
          <cell r="J967">
            <v>1</v>
          </cell>
          <cell r="K967">
            <v>2</v>
          </cell>
        </row>
        <row r="968">
          <cell r="A968" t="str">
            <v>M1</v>
          </cell>
          <cell r="B968" t="str">
            <v>B1C</v>
          </cell>
          <cell r="C968" t="str">
            <v>P</v>
          </cell>
          <cell r="D968" t="str">
            <v>22029</v>
          </cell>
          <cell r="E968" t="str">
            <v>45 ELL</v>
          </cell>
          <cell r="F968">
            <v>2</v>
          </cell>
          <cell r="G968" t="str">
            <v>CB300204000600</v>
          </cell>
          <cell r="H968">
            <v>6</v>
          </cell>
          <cell r="I968" t="str">
            <v>--</v>
          </cell>
          <cell r="J968">
            <v>1</v>
          </cell>
          <cell r="K968">
            <v>2</v>
          </cell>
        </row>
        <row r="969">
          <cell r="A969" t="str">
            <v>M1</v>
          </cell>
          <cell r="B969" t="str">
            <v>B1C</v>
          </cell>
          <cell r="C969" t="str">
            <v>P</v>
          </cell>
          <cell r="D969" t="str">
            <v>22029</v>
          </cell>
          <cell r="E969" t="str">
            <v>90 ELL</v>
          </cell>
          <cell r="F969">
            <v>2</v>
          </cell>
          <cell r="G969" t="str">
            <v>CB300104000600</v>
          </cell>
          <cell r="H969">
            <v>6</v>
          </cell>
          <cell r="I969" t="str">
            <v>--</v>
          </cell>
          <cell r="J969">
            <v>4</v>
          </cell>
          <cell r="K969">
            <v>5</v>
          </cell>
        </row>
        <row r="970">
          <cell r="A970" t="str">
            <v>M1</v>
          </cell>
          <cell r="B970" t="str">
            <v>B1C</v>
          </cell>
          <cell r="C970" t="str">
            <v>P</v>
          </cell>
          <cell r="D970" t="str">
            <v>22029</v>
          </cell>
          <cell r="E970" t="str">
            <v>TEE</v>
          </cell>
          <cell r="F970">
            <v>2</v>
          </cell>
          <cell r="G970" t="str">
            <v>CB300304000600</v>
          </cell>
          <cell r="H970">
            <v>6</v>
          </cell>
          <cell r="I970" t="str">
            <v>--</v>
          </cell>
          <cell r="J970">
            <v>1</v>
          </cell>
          <cell r="K970">
            <v>2</v>
          </cell>
        </row>
        <row r="971">
          <cell r="A971" t="str">
            <v>M1</v>
          </cell>
          <cell r="B971" t="str">
            <v>A5C</v>
          </cell>
          <cell r="C971" t="str">
            <v>P</v>
          </cell>
          <cell r="D971" t="str">
            <v>22011</v>
          </cell>
          <cell r="E971" t="str">
            <v>45 ELL</v>
          </cell>
          <cell r="F971">
            <v>2</v>
          </cell>
          <cell r="G971" t="str">
            <v>CB300204000800</v>
          </cell>
          <cell r="H971">
            <v>8</v>
          </cell>
          <cell r="I971" t="str">
            <v>--</v>
          </cell>
          <cell r="J971">
            <v>1</v>
          </cell>
          <cell r="K971">
            <v>2</v>
          </cell>
        </row>
        <row r="972">
          <cell r="A972" t="str">
            <v>M1</v>
          </cell>
          <cell r="B972" t="str">
            <v>A5C</v>
          </cell>
          <cell r="C972" t="str">
            <v>COMP</v>
          </cell>
          <cell r="D972" t="str">
            <v>004</v>
          </cell>
          <cell r="E972" t="str">
            <v>90 ELL</v>
          </cell>
          <cell r="F972">
            <v>2</v>
          </cell>
          <cell r="G972" t="str">
            <v>CB300104000800</v>
          </cell>
          <cell r="H972">
            <v>8</v>
          </cell>
          <cell r="I972" t="str">
            <v>--</v>
          </cell>
          <cell r="J972">
            <v>2</v>
          </cell>
          <cell r="K972">
            <v>3</v>
          </cell>
        </row>
        <row r="973">
          <cell r="A973" t="str">
            <v>M1</v>
          </cell>
          <cell r="B973" t="str">
            <v>A5C</v>
          </cell>
          <cell r="C973" t="str">
            <v>P</v>
          </cell>
          <cell r="D973" t="str">
            <v>22011</v>
          </cell>
          <cell r="E973" t="str">
            <v>90 ELL</v>
          </cell>
          <cell r="F973">
            <v>2</v>
          </cell>
          <cell r="G973" t="str">
            <v>CB300104000800</v>
          </cell>
          <cell r="H973">
            <v>8</v>
          </cell>
          <cell r="I973" t="str">
            <v>--</v>
          </cell>
          <cell r="J973">
            <v>5</v>
          </cell>
          <cell r="K973">
            <v>6</v>
          </cell>
        </row>
        <row r="974">
          <cell r="A974" t="str">
            <v>M1</v>
          </cell>
          <cell r="B974" t="str">
            <v>A5C</v>
          </cell>
          <cell r="C974" t="str">
            <v>P</v>
          </cell>
          <cell r="D974" t="str">
            <v>22118</v>
          </cell>
          <cell r="E974" t="str">
            <v>C RED</v>
          </cell>
          <cell r="F974">
            <v>2</v>
          </cell>
          <cell r="G974" t="str">
            <v>CB300504040804</v>
          </cell>
          <cell r="H974">
            <v>8</v>
          </cell>
          <cell r="I974">
            <v>4</v>
          </cell>
          <cell r="J974">
            <v>1</v>
          </cell>
          <cell r="K974">
            <v>2</v>
          </cell>
        </row>
        <row r="975">
          <cell r="A975" t="str">
            <v>M1</v>
          </cell>
          <cell r="B975" t="str">
            <v>A5C</v>
          </cell>
          <cell r="C975" t="str">
            <v>P</v>
          </cell>
          <cell r="D975" t="str">
            <v>22011</v>
          </cell>
          <cell r="E975" t="str">
            <v>SOL</v>
          </cell>
          <cell r="F975">
            <v>2</v>
          </cell>
          <cell r="G975" t="str">
            <v>CB39020000080T</v>
          </cell>
          <cell r="H975">
            <v>8</v>
          </cell>
          <cell r="I975">
            <v>0.75</v>
          </cell>
          <cell r="J975">
            <v>1</v>
          </cell>
          <cell r="K975">
            <v>2</v>
          </cell>
        </row>
        <row r="976">
          <cell r="A976" t="str">
            <v>M1</v>
          </cell>
          <cell r="B976" t="str">
            <v>A5C</v>
          </cell>
          <cell r="C976" t="str">
            <v>COMP</v>
          </cell>
          <cell r="D976" t="str">
            <v>004</v>
          </cell>
          <cell r="E976" t="str">
            <v>TEE</v>
          </cell>
          <cell r="F976">
            <v>2</v>
          </cell>
          <cell r="G976" t="str">
            <v>CB300304000800</v>
          </cell>
          <cell r="H976">
            <v>8</v>
          </cell>
          <cell r="I976" t="str">
            <v>--</v>
          </cell>
          <cell r="J976">
            <v>1</v>
          </cell>
          <cell r="K976">
            <v>2</v>
          </cell>
        </row>
        <row r="977">
          <cell r="A977" t="str">
            <v>M1</v>
          </cell>
          <cell r="B977" t="str">
            <v>A6C</v>
          </cell>
          <cell r="C977" t="str">
            <v>HOS</v>
          </cell>
          <cell r="D977" t="str">
            <v>65617</v>
          </cell>
          <cell r="E977" t="str">
            <v>90 ELL</v>
          </cell>
          <cell r="F977">
            <v>2</v>
          </cell>
          <cell r="G977" t="str">
            <v>CB300104000800</v>
          </cell>
          <cell r="H977">
            <v>8</v>
          </cell>
          <cell r="I977" t="str">
            <v>--</v>
          </cell>
          <cell r="J977">
            <v>4</v>
          </cell>
          <cell r="K977">
            <v>5</v>
          </cell>
        </row>
        <row r="978">
          <cell r="A978" t="str">
            <v>M1</v>
          </cell>
          <cell r="B978" t="str">
            <v>A5C</v>
          </cell>
          <cell r="C978" t="str">
            <v>P</v>
          </cell>
          <cell r="D978" t="str">
            <v>22074</v>
          </cell>
          <cell r="E978" t="str">
            <v>SOL</v>
          </cell>
          <cell r="F978">
            <v>2</v>
          </cell>
          <cell r="G978" t="str">
            <v>CB39020000080T</v>
          </cell>
          <cell r="H978">
            <v>8</v>
          </cell>
          <cell r="I978">
            <v>0.75</v>
          </cell>
          <cell r="J978">
            <v>3</v>
          </cell>
          <cell r="K978">
            <v>4</v>
          </cell>
        </row>
        <row r="979">
          <cell r="A979" t="str">
            <v>M1</v>
          </cell>
          <cell r="B979" t="str">
            <v>A6C</v>
          </cell>
          <cell r="C979" t="str">
            <v>HOS</v>
          </cell>
          <cell r="D979" t="str">
            <v>65624</v>
          </cell>
          <cell r="E979" t="str">
            <v>45 ELL</v>
          </cell>
          <cell r="F979">
            <v>2</v>
          </cell>
          <cell r="G979" t="str">
            <v>CB300204000800</v>
          </cell>
          <cell r="H979">
            <v>8</v>
          </cell>
          <cell r="I979" t="str">
            <v>--</v>
          </cell>
          <cell r="J979">
            <v>1</v>
          </cell>
          <cell r="K979">
            <v>2</v>
          </cell>
        </row>
        <row r="980">
          <cell r="A980" t="str">
            <v>M1</v>
          </cell>
          <cell r="B980" t="str">
            <v>A6C</v>
          </cell>
          <cell r="C980" t="str">
            <v>HOR</v>
          </cell>
          <cell r="D980" t="str">
            <v>65611</v>
          </cell>
          <cell r="E980" t="str">
            <v>45 ELL</v>
          </cell>
          <cell r="F980">
            <v>2</v>
          </cell>
          <cell r="G980" t="str">
            <v>CB300204000800</v>
          </cell>
          <cell r="H980">
            <v>8</v>
          </cell>
          <cell r="I980" t="str">
            <v>--</v>
          </cell>
          <cell r="J980">
            <v>2</v>
          </cell>
          <cell r="K980">
            <v>3</v>
          </cell>
        </row>
        <row r="981">
          <cell r="A981" t="str">
            <v>M1</v>
          </cell>
          <cell r="B981" t="str">
            <v>A6C</v>
          </cell>
          <cell r="C981" t="str">
            <v>HOR</v>
          </cell>
          <cell r="D981" t="str">
            <v>65611</v>
          </cell>
          <cell r="E981" t="str">
            <v>45 ELL</v>
          </cell>
          <cell r="F981">
            <v>2</v>
          </cell>
          <cell r="G981" t="str">
            <v>CB300204000800</v>
          </cell>
          <cell r="H981">
            <v>8</v>
          </cell>
          <cell r="I981" t="str">
            <v>--</v>
          </cell>
          <cell r="J981">
            <v>1</v>
          </cell>
          <cell r="K981">
            <v>2</v>
          </cell>
        </row>
        <row r="982">
          <cell r="A982" t="str">
            <v>M1</v>
          </cell>
          <cell r="B982" t="str">
            <v>A6C</v>
          </cell>
          <cell r="C982" t="str">
            <v>HOR</v>
          </cell>
          <cell r="D982" t="str">
            <v>65615</v>
          </cell>
          <cell r="E982" t="str">
            <v>45 ELL</v>
          </cell>
          <cell r="F982">
            <v>2</v>
          </cell>
          <cell r="G982" t="str">
            <v>CB300204000800</v>
          </cell>
          <cell r="H982">
            <v>8</v>
          </cell>
          <cell r="I982" t="str">
            <v>--</v>
          </cell>
          <cell r="J982">
            <v>1</v>
          </cell>
          <cell r="K982">
            <v>2</v>
          </cell>
        </row>
        <row r="983">
          <cell r="A983" t="str">
            <v>M1</v>
          </cell>
          <cell r="B983" t="str">
            <v>A6C</v>
          </cell>
          <cell r="C983" t="str">
            <v>HOR</v>
          </cell>
          <cell r="D983" t="str">
            <v>65619</v>
          </cell>
          <cell r="E983" t="str">
            <v>45 ELL</v>
          </cell>
          <cell r="F983">
            <v>2</v>
          </cell>
          <cell r="G983" t="str">
            <v>CB300204000800</v>
          </cell>
          <cell r="H983">
            <v>8</v>
          </cell>
          <cell r="I983" t="str">
            <v>--</v>
          </cell>
          <cell r="J983">
            <v>1</v>
          </cell>
          <cell r="K983">
            <v>2</v>
          </cell>
        </row>
        <row r="984">
          <cell r="A984" t="str">
            <v>M1</v>
          </cell>
          <cell r="B984" t="str">
            <v>A6C</v>
          </cell>
          <cell r="C984" t="str">
            <v>HOS</v>
          </cell>
          <cell r="D984" t="str">
            <v>65619</v>
          </cell>
          <cell r="E984" t="str">
            <v>90 ELL</v>
          </cell>
          <cell r="F984">
            <v>2</v>
          </cell>
          <cell r="G984" t="str">
            <v>CB300104000800</v>
          </cell>
          <cell r="H984">
            <v>8</v>
          </cell>
          <cell r="I984" t="str">
            <v>--</v>
          </cell>
          <cell r="J984">
            <v>6</v>
          </cell>
          <cell r="K984">
            <v>7</v>
          </cell>
        </row>
        <row r="985">
          <cell r="A985" t="str">
            <v>M1</v>
          </cell>
          <cell r="B985" t="str">
            <v>A6C</v>
          </cell>
          <cell r="C985" t="str">
            <v>HOR</v>
          </cell>
          <cell r="D985" t="str">
            <v>65621</v>
          </cell>
          <cell r="E985" t="str">
            <v>90 ELL</v>
          </cell>
          <cell r="F985">
            <v>2</v>
          </cell>
          <cell r="G985" t="str">
            <v>CB300104000800</v>
          </cell>
          <cell r="H985">
            <v>8</v>
          </cell>
          <cell r="I985" t="str">
            <v>--</v>
          </cell>
          <cell r="J985">
            <v>3</v>
          </cell>
          <cell r="K985">
            <v>4</v>
          </cell>
        </row>
        <row r="986">
          <cell r="A986" t="str">
            <v>M1</v>
          </cell>
          <cell r="B986" t="str">
            <v>A6C</v>
          </cell>
          <cell r="C986" t="str">
            <v>HOS</v>
          </cell>
          <cell r="D986" t="str">
            <v>65624</v>
          </cell>
          <cell r="E986" t="str">
            <v>90 ELL</v>
          </cell>
          <cell r="F986">
            <v>2</v>
          </cell>
          <cell r="G986" t="str">
            <v>CB300104000800</v>
          </cell>
          <cell r="H986">
            <v>8</v>
          </cell>
          <cell r="I986" t="str">
            <v>--</v>
          </cell>
          <cell r="J986">
            <v>5</v>
          </cell>
          <cell r="K986">
            <v>6</v>
          </cell>
        </row>
        <row r="987">
          <cell r="A987" t="str">
            <v>M1</v>
          </cell>
          <cell r="B987" t="str">
            <v>A6C</v>
          </cell>
          <cell r="C987" t="str">
            <v>HOS</v>
          </cell>
          <cell r="D987" t="str">
            <v>65613</v>
          </cell>
          <cell r="E987" t="str">
            <v>90 ELL</v>
          </cell>
          <cell r="F987">
            <v>2</v>
          </cell>
          <cell r="G987" t="str">
            <v>CB300104000800</v>
          </cell>
          <cell r="H987">
            <v>8</v>
          </cell>
          <cell r="I987" t="str">
            <v>--</v>
          </cell>
          <cell r="J987">
            <v>11</v>
          </cell>
          <cell r="K987">
            <v>13</v>
          </cell>
        </row>
        <row r="988">
          <cell r="A988" t="str">
            <v>M1</v>
          </cell>
          <cell r="B988" t="str">
            <v>A6C</v>
          </cell>
          <cell r="C988" t="str">
            <v>HOS</v>
          </cell>
          <cell r="D988" t="str">
            <v>65627</v>
          </cell>
          <cell r="E988" t="str">
            <v>90 ELL</v>
          </cell>
          <cell r="F988">
            <v>2</v>
          </cell>
          <cell r="G988" t="str">
            <v>CB300104000800</v>
          </cell>
          <cell r="H988">
            <v>8</v>
          </cell>
          <cell r="I988" t="str">
            <v>--</v>
          </cell>
          <cell r="J988">
            <v>6</v>
          </cell>
          <cell r="K988">
            <v>7</v>
          </cell>
        </row>
        <row r="989">
          <cell r="A989" t="str">
            <v>M1</v>
          </cell>
          <cell r="B989" t="str">
            <v>A6C</v>
          </cell>
          <cell r="C989" t="str">
            <v>HOS</v>
          </cell>
          <cell r="D989" t="str">
            <v>65631</v>
          </cell>
          <cell r="E989" t="str">
            <v>90 ELL</v>
          </cell>
          <cell r="F989">
            <v>2</v>
          </cell>
          <cell r="G989" t="str">
            <v>CB300104000800</v>
          </cell>
          <cell r="H989">
            <v>8</v>
          </cell>
          <cell r="I989" t="str">
            <v>--</v>
          </cell>
          <cell r="J989">
            <v>4</v>
          </cell>
          <cell r="K989">
            <v>5</v>
          </cell>
        </row>
        <row r="990">
          <cell r="A990" t="str">
            <v>M1</v>
          </cell>
          <cell r="B990" t="str">
            <v>A6C</v>
          </cell>
          <cell r="C990" t="str">
            <v>HOS</v>
          </cell>
          <cell r="D990" t="str">
            <v>65624</v>
          </cell>
          <cell r="E990" t="str">
            <v>90 ELL</v>
          </cell>
          <cell r="F990">
            <v>2</v>
          </cell>
          <cell r="G990" t="str">
            <v>CB300104000800</v>
          </cell>
          <cell r="H990">
            <v>8</v>
          </cell>
          <cell r="I990" t="str">
            <v>--</v>
          </cell>
          <cell r="J990">
            <v>9</v>
          </cell>
          <cell r="K990">
            <v>11</v>
          </cell>
        </row>
        <row r="991">
          <cell r="A991" t="str">
            <v>M1</v>
          </cell>
          <cell r="B991" t="str">
            <v>A6C</v>
          </cell>
          <cell r="C991" t="str">
            <v>HOS</v>
          </cell>
          <cell r="D991" t="str">
            <v>65624</v>
          </cell>
          <cell r="E991" t="str">
            <v>90 ELL</v>
          </cell>
          <cell r="F991">
            <v>2</v>
          </cell>
          <cell r="G991" t="str">
            <v>CB300104000800</v>
          </cell>
          <cell r="H991">
            <v>8</v>
          </cell>
          <cell r="I991" t="str">
            <v>--</v>
          </cell>
          <cell r="J991">
            <v>1</v>
          </cell>
          <cell r="K991">
            <v>2</v>
          </cell>
        </row>
        <row r="992">
          <cell r="A992" t="str">
            <v>M1</v>
          </cell>
          <cell r="B992" t="str">
            <v>A6C</v>
          </cell>
          <cell r="C992" t="str">
            <v>HOS</v>
          </cell>
          <cell r="D992" t="str">
            <v>65624</v>
          </cell>
          <cell r="E992" t="str">
            <v>90 ELL</v>
          </cell>
          <cell r="F992">
            <v>2</v>
          </cell>
          <cell r="G992" t="str">
            <v>CB300104000800</v>
          </cell>
          <cell r="H992">
            <v>8</v>
          </cell>
          <cell r="I992" t="str">
            <v>--</v>
          </cell>
          <cell r="J992">
            <v>2</v>
          </cell>
          <cell r="K992">
            <v>3</v>
          </cell>
        </row>
        <row r="993">
          <cell r="A993" t="str">
            <v>M1</v>
          </cell>
          <cell r="B993" t="str">
            <v>A6C</v>
          </cell>
          <cell r="C993" t="str">
            <v>HOS</v>
          </cell>
          <cell r="D993" t="str">
            <v>65625</v>
          </cell>
          <cell r="E993" t="str">
            <v>90 ELL</v>
          </cell>
          <cell r="F993">
            <v>2</v>
          </cell>
          <cell r="G993" t="str">
            <v>CB300104000800</v>
          </cell>
          <cell r="H993">
            <v>8</v>
          </cell>
          <cell r="I993" t="str">
            <v>--</v>
          </cell>
          <cell r="J993">
            <v>6</v>
          </cell>
          <cell r="K993">
            <v>7</v>
          </cell>
        </row>
        <row r="994">
          <cell r="A994" t="str">
            <v>M1</v>
          </cell>
          <cell r="B994" t="str">
            <v>A6C</v>
          </cell>
          <cell r="C994" t="str">
            <v>HOR</v>
          </cell>
          <cell r="D994" t="str">
            <v>65611</v>
          </cell>
          <cell r="E994" t="str">
            <v>90 ELL</v>
          </cell>
          <cell r="F994">
            <v>2</v>
          </cell>
          <cell r="G994" t="str">
            <v>CB300104000800</v>
          </cell>
          <cell r="H994">
            <v>8</v>
          </cell>
          <cell r="I994" t="str">
            <v>--</v>
          </cell>
          <cell r="J994">
            <v>4</v>
          </cell>
          <cell r="K994">
            <v>5</v>
          </cell>
        </row>
        <row r="995">
          <cell r="A995" t="str">
            <v>M1</v>
          </cell>
          <cell r="B995" t="str">
            <v>A6C</v>
          </cell>
          <cell r="C995" t="str">
            <v>HOR</v>
          </cell>
          <cell r="D995" t="str">
            <v>65621</v>
          </cell>
          <cell r="E995" t="str">
            <v>90 ELL</v>
          </cell>
          <cell r="F995">
            <v>2</v>
          </cell>
          <cell r="G995" t="str">
            <v>CB300104000800</v>
          </cell>
          <cell r="H995">
            <v>8</v>
          </cell>
          <cell r="I995" t="str">
            <v>--</v>
          </cell>
          <cell r="J995">
            <v>7</v>
          </cell>
          <cell r="K995">
            <v>9</v>
          </cell>
        </row>
        <row r="996">
          <cell r="A996" t="str">
            <v>M1</v>
          </cell>
          <cell r="B996" t="str">
            <v>A6C</v>
          </cell>
          <cell r="C996" t="str">
            <v>HOR</v>
          </cell>
          <cell r="D996" t="str">
            <v>65611</v>
          </cell>
          <cell r="E996" t="str">
            <v>90 ELL</v>
          </cell>
          <cell r="F996">
            <v>2</v>
          </cell>
          <cell r="G996" t="str">
            <v>CB300104000800</v>
          </cell>
          <cell r="H996">
            <v>8</v>
          </cell>
          <cell r="I996" t="str">
            <v>--</v>
          </cell>
          <cell r="J996">
            <v>3</v>
          </cell>
          <cell r="K996">
            <v>4</v>
          </cell>
        </row>
        <row r="997">
          <cell r="A997" t="str">
            <v>M1</v>
          </cell>
          <cell r="B997" t="str">
            <v>A6C</v>
          </cell>
          <cell r="C997" t="str">
            <v>HOS</v>
          </cell>
          <cell r="D997" t="str">
            <v>65613</v>
          </cell>
          <cell r="E997" t="str">
            <v>90 ELL</v>
          </cell>
          <cell r="F997">
            <v>2</v>
          </cell>
          <cell r="G997" t="str">
            <v>CB300104000800</v>
          </cell>
          <cell r="H997">
            <v>8</v>
          </cell>
          <cell r="I997" t="str">
            <v>--</v>
          </cell>
          <cell r="J997">
            <v>2</v>
          </cell>
          <cell r="K997">
            <v>3</v>
          </cell>
        </row>
        <row r="998">
          <cell r="A998" t="str">
            <v>M1</v>
          </cell>
          <cell r="B998" t="str">
            <v>A6C</v>
          </cell>
          <cell r="C998" t="str">
            <v>HOR</v>
          </cell>
          <cell r="D998" t="str">
            <v>65615</v>
          </cell>
          <cell r="E998" t="str">
            <v>90 ELL</v>
          </cell>
          <cell r="F998">
            <v>2</v>
          </cell>
          <cell r="G998" t="str">
            <v>CB300104000800</v>
          </cell>
          <cell r="H998">
            <v>8</v>
          </cell>
          <cell r="I998" t="str">
            <v>--</v>
          </cell>
          <cell r="J998">
            <v>6</v>
          </cell>
          <cell r="K998">
            <v>7</v>
          </cell>
        </row>
        <row r="999">
          <cell r="A999" t="str">
            <v>M1</v>
          </cell>
          <cell r="B999" t="str">
            <v>A6C</v>
          </cell>
          <cell r="C999" t="str">
            <v>HOS</v>
          </cell>
          <cell r="D999" t="str">
            <v>65613</v>
          </cell>
          <cell r="E999" t="str">
            <v>90 ELL</v>
          </cell>
          <cell r="F999">
            <v>2</v>
          </cell>
          <cell r="G999" t="str">
            <v>CB300104000800</v>
          </cell>
          <cell r="H999">
            <v>8</v>
          </cell>
          <cell r="I999" t="str">
            <v>--</v>
          </cell>
          <cell r="J999">
            <v>7</v>
          </cell>
          <cell r="K999">
            <v>9</v>
          </cell>
        </row>
        <row r="1000">
          <cell r="A1000" t="str">
            <v>M1</v>
          </cell>
          <cell r="B1000" t="str">
            <v>A6C</v>
          </cell>
          <cell r="C1000" t="str">
            <v>HOS</v>
          </cell>
          <cell r="D1000" t="str">
            <v>65615</v>
          </cell>
          <cell r="E1000" t="str">
            <v>90 ELL</v>
          </cell>
          <cell r="F1000">
            <v>2</v>
          </cell>
          <cell r="G1000" t="str">
            <v>CB300104000800</v>
          </cell>
          <cell r="H1000">
            <v>8</v>
          </cell>
          <cell r="I1000" t="str">
            <v>--</v>
          </cell>
          <cell r="J1000">
            <v>6</v>
          </cell>
          <cell r="K1000">
            <v>7</v>
          </cell>
        </row>
        <row r="1001">
          <cell r="A1001" t="str">
            <v>M1</v>
          </cell>
          <cell r="B1001" t="str">
            <v>A6C</v>
          </cell>
          <cell r="C1001" t="str">
            <v>HOR</v>
          </cell>
          <cell r="D1001" t="str">
            <v>65619</v>
          </cell>
          <cell r="E1001" t="str">
            <v>90 ELL</v>
          </cell>
          <cell r="F1001">
            <v>2</v>
          </cell>
          <cell r="G1001" t="str">
            <v>CB300104000800</v>
          </cell>
          <cell r="H1001">
            <v>8</v>
          </cell>
          <cell r="I1001" t="str">
            <v>--</v>
          </cell>
          <cell r="J1001">
            <v>7</v>
          </cell>
          <cell r="K1001">
            <v>9</v>
          </cell>
        </row>
        <row r="1002">
          <cell r="A1002" t="str">
            <v>M1</v>
          </cell>
          <cell r="B1002" t="str">
            <v>A6C</v>
          </cell>
          <cell r="C1002" t="str">
            <v>HOR</v>
          </cell>
          <cell r="D1002" t="str">
            <v>65611</v>
          </cell>
          <cell r="E1002" t="str">
            <v>90 ELL</v>
          </cell>
          <cell r="F1002">
            <v>2</v>
          </cell>
          <cell r="G1002" t="str">
            <v>CB300104000800</v>
          </cell>
          <cell r="H1002">
            <v>8</v>
          </cell>
          <cell r="I1002" t="str">
            <v>--</v>
          </cell>
          <cell r="J1002">
            <v>3</v>
          </cell>
          <cell r="K1002">
            <v>4</v>
          </cell>
        </row>
        <row r="1003">
          <cell r="A1003" t="str">
            <v>M1</v>
          </cell>
          <cell r="B1003" t="str">
            <v>A6C</v>
          </cell>
          <cell r="C1003" t="str">
            <v>HOR</v>
          </cell>
          <cell r="D1003" t="str">
            <v>65615</v>
          </cell>
          <cell r="E1003" t="str">
            <v>90 ELL</v>
          </cell>
          <cell r="F1003">
            <v>2</v>
          </cell>
          <cell r="G1003" t="str">
            <v>CB300104000800</v>
          </cell>
          <cell r="H1003">
            <v>8</v>
          </cell>
          <cell r="I1003" t="str">
            <v>--</v>
          </cell>
          <cell r="J1003">
            <v>3</v>
          </cell>
          <cell r="K1003">
            <v>4</v>
          </cell>
        </row>
        <row r="1004">
          <cell r="A1004" t="str">
            <v>M1</v>
          </cell>
          <cell r="B1004" t="str">
            <v>A6C</v>
          </cell>
          <cell r="C1004" t="str">
            <v>HOR</v>
          </cell>
          <cell r="D1004" t="str">
            <v>65619</v>
          </cell>
          <cell r="E1004" t="str">
            <v>90 ELL</v>
          </cell>
          <cell r="F1004">
            <v>2</v>
          </cell>
          <cell r="G1004" t="str">
            <v>CB300104000800</v>
          </cell>
          <cell r="H1004">
            <v>8</v>
          </cell>
          <cell r="I1004" t="str">
            <v>--</v>
          </cell>
          <cell r="J1004">
            <v>4</v>
          </cell>
          <cell r="K1004">
            <v>5</v>
          </cell>
        </row>
        <row r="1005">
          <cell r="A1005" t="str">
            <v>M1</v>
          </cell>
          <cell r="B1005" t="str">
            <v>A6C</v>
          </cell>
          <cell r="C1005" t="str">
            <v>HOS</v>
          </cell>
          <cell r="D1005" t="str">
            <v>65613</v>
          </cell>
          <cell r="E1005" t="str">
            <v>C RED</v>
          </cell>
          <cell r="F1005">
            <v>2</v>
          </cell>
          <cell r="G1005" t="str">
            <v>CB300504040806</v>
          </cell>
          <cell r="H1005">
            <v>8</v>
          </cell>
          <cell r="I1005">
            <v>6</v>
          </cell>
          <cell r="J1005">
            <v>2</v>
          </cell>
          <cell r="K1005">
            <v>3</v>
          </cell>
        </row>
        <row r="1006">
          <cell r="A1006" t="str">
            <v>M1</v>
          </cell>
          <cell r="B1006" t="str">
            <v>A6C</v>
          </cell>
          <cell r="C1006" t="str">
            <v>HOS</v>
          </cell>
          <cell r="D1006" t="str">
            <v>65624</v>
          </cell>
          <cell r="E1006" t="str">
            <v>C RED</v>
          </cell>
          <cell r="F1006">
            <v>2</v>
          </cell>
          <cell r="G1006" t="str">
            <v>CB300504040804</v>
          </cell>
          <cell r="H1006">
            <v>8</v>
          </cell>
          <cell r="I1006">
            <v>4</v>
          </cell>
          <cell r="J1006">
            <v>1</v>
          </cell>
          <cell r="K1006">
            <v>2</v>
          </cell>
        </row>
        <row r="1007">
          <cell r="A1007" t="str">
            <v>M1</v>
          </cell>
          <cell r="B1007" t="str">
            <v>A6C</v>
          </cell>
          <cell r="C1007" t="str">
            <v>HOS</v>
          </cell>
          <cell r="D1007" t="str">
            <v>65624</v>
          </cell>
          <cell r="E1007" t="str">
            <v>C RED</v>
          </cell>
          <cell r="F1007">
            <v>2</v>
          </cell>
          <cell r="G1007" t="str">
            <v>CB300504040806</v>
          </cell>
          <cell r="H1007">
            <v>8</v>
          </cell>
          <cell r="I1007">
            <v>6</v>
          </cell>
          <cell r="J1007">
            <v>1</v>
          </cell>
          <cell r="K1007">
            <v>2</v>
          </cell>
        </row>
        <row r="1008">
          <cell r="A1008" t="str">
            <v>M1</v>
          </cell>
          <cell r="B1008" t="str">
            <v>A6C</v>
          </cell>
          <cell r="C1008" t="str">
            <v>HOS</v>
          </cell>
          <cell r="D1008" t="str">
            <v>65624</v>
          </cell>
          <cell r="E1008" t="str">
            <v>C RED</v>
          </cell>
          <cell r="F1008">
            <v>2</v>
          </cell>
          <cell r="G1008" t="str">
            <v>CB300504040806</v>
          </cell>
          <cell r="H1008">
            <v>8</v>
          </cell>
          <cell r="I1008">
            <v>6</v>
          </cell>
          <cell r="J1008">
            <v>1</v>
          </cell>
          <cell r="K1008">
            <v>2</v>
          </cell>
        </row>
        <row r="1009">
          <cell r="A1009" t="str">
            <v>M1</v>
          </cell>
          <cell r="B1009" t="str">
            <v>A6C</v>
          </cell>
          <cell r="C1009" t="str">
            <v>HOR</v>
          </cell>
          <cell r="D1009" t="str">
            <v>65611</v>
          </cell>
          <cell r="E1009" t="str">
            <v>C RED</v>
          </cell>
          <cell r="F1009">
            <v>2</v>
          </cell>
          <cell r="G1009" t="str">
            <v>CB300504040806</v>
          </cell>
          <cell r="H1009">
            <v>8</v>
          </cell>
          <cell r="I1009">
            <v>6</v>
          </cell>
          <cell r="J1009">
            <v>1</v>
          </cell>
          <cell r="K1009">
            <v>2</v>
          </cell>
        </row>
        <row r="1010">
          <cell r="A1010" t="str">
            <v>M1</v>
          </cell>
          <cell r="B1010" t="str">
            <v>A6C</v>
          </cell>
          <cell r="C1010" t="str">
            <v>HOR</v>
          </cell>
          <cell r="D1010" t="str">
            <v>65611</v>
          </cell>
          <cell r="E1010" t="str">
            <v>C RED</v>
          </cell>
          <cell r="F1010">
            <v>2</v>
          </cell>
          <cell r="G1010" t="str">
            <v>CB300504040806</v>
          </cell>
          <cell r="H1010">
            <v>8</v>
          </cell>
          <cell r="I1010">
            <v>6</v>
          </cell>
          <cell r="J1010">
            <v>1</v>
          </cell>
          <cell r="K1010">
            <v>2</v>
          </cell>
        </row>
        <row r="1011">
          <cell r="A1011" t="str">
            <v>M1</v>
          </cell>
          <cell r="B1011" t="str">
            <v>A6C</v>
          </cell>
          <cell r="C1011" t="str">
            <v>HOR</v>
          </cell>
          <cell r="D1011" t="str">
            <v>65619</v>
          </cell>
          <cell r="E1011" t="str">
            <v>E RED</v>
          </cell>
          <cell r="F1011">
            <v>2</v>
          </cell>
          <cell r="G1011" t="str">
            <v>CB300604040806</v>
          </cell>
          <cell r="H1011">
            <v>8</v>
          </cell>
          <cell r="I1011">
            <v>6</v>
          </cell>
          <cell r="J1011">
            <v>2</v>
          </cell>
          <cell r="K1011">
            <v>3</v>
          </cell>
        </row>
        <row r="1012">
          <cell r="A1012" t="str">
            <v>M1</v>
          </cell>
          <cell r="B1012" t="str">
            <v>A6C</v>
          </cell>
          <cell r="C1012" t="str">
            <v>HOR</v>
          </cell>
          <cell r="D1012" t="str">
            <v>65619</v>
          </cell>
          <cell r="E1012" t="str">
            <v>E RED</v>
          </cell>
          <cell r="F1012">
            <v>2</v>
          </cell>
          <cell r="G1012" t="str">
            <v>CB300604040804</v>
          </cell>
          <cell r="H1012">
            <v>8</v>
          </cell>
          <cell r="I1012">
            <v>4</v>
          </cell>
          <cell r="J1012">
            <v>1</v>
          </cell>
          <cell r="K1012">
            <v>2</v>
          </cell>
        </row>
        <row r="1013">
          <cell r="A1013" t="str">
            <v>M1</v>
          </cell>
          <cell r="B1013" t="str">
            <v>A6C</v>
          </cell>
          <cell r="C1013" t="str">
            <v>HOS</v>
          </cell>
          <cell r="D1013" t="str">
            <v>65613</v>
          </cell>
          <cell r="E1013" t="str">
            <v>SOL</v>
          </cell>
          <cell r="F1013">
            <v>2</v>
          </cell>
          <cell r="G1013" t="str">
            <v>CB39020000080T</v>
          </cell>
          <cell r="H1013">
            <v>8</v>
          </cell>
          <cell r="I1013">
            <v>0.75</v>
          </cell>
          <cell r="J1013">
            <v>3</v>
          </cell>
          <cell r="K1013">
            <v>4</v>
          </cell>
        </row>
        <row r="1014">
          <cell r="A1014" t="str">
            <v>M1</v>
          </cell>
          <cell r="B1014" t="str">
            <v>A6C</v>
          </cell>
          <cell r="C1014" t="str">
            <v>HOS</v>
          </cell>
          <cell r="D1014" t="str">
            <v>65613</v>
          </cell>
          <cell r="E1014" t="str">
            <v>SOL</v>
          </cell>
          <cell r="F1014">
            <v>2</v>
          </cell>
          <cell r="G1014" t="str">
            <v>CB3902000008IH</v>
          </cell>
          <cell r="H1014">
            <v>8</v>
          </cell>
          <cell r="I1014">
            <v>1.5</v>
          </cell>
          <cell r="J1014">
            <v>1</v>
          </cell>
          <cell r="K1014">
            <v>2</v>
          </cell>
        </row>
        <row r="1015">
          <cell r="A1015" t="str">
            <v>M1</v>
          </cell>
          <cell r="B1015" t="str">
            <v>A6C</v>
          </cell>
          <cell r="C1015" t="str">
            <v>HOS</v>
          </cell>
          <cell r="D1015" t="str">
            <v>65619</v>
          </cell>
          <cell r="E1015" t="str">
            <v>SOL</v>
          </cell>
          <cell r="F1015">
            <v>2</v>
          </cell>
          <cell r="G1015" t="str">
            <v>CB39020000080T</v>
          </cell>
          <cell r="H1015">
            <v>8</v>
          </cell>
          <cell r="I1015">
            <v>0.75</v>
          </cell>
          <cell r="J1015">
            <v>1</v>
          </cell>
          <cell r="K1015">
            <v>2</v>
          </cell>
        </row>
        <row r="1016">
          <cell r="A1016" t="str">
            <v>M1</v>
          </cell>
          <cell r="B1016" t="str">
            <v>A6C</v>
          </cell>
          <cell r="C1016" t="str">
            <v>HOS</v>
          </cell>
          <cell r="D1016" t="str">
            <v>65627</v>
          </cell>
          <cell r="E1016" t="str">
            <v>SOL</v>
          </cell>
          <cell r="F1016">
            <v>2</v>
          </cell>
          <cell r="G1016" t="str">
            <v>CB39020000080T</v>
          </cell>
          <cell r="H1016">
            <v>8</v>
          </cell>
          <cell r="I1016">
            <v>0.75</v>
          </cell>
          <cell r="J1016">
            <v>1</v>
          </cell>
          <cell r="K1016">
            <v>2</v>
          </cell>
        </row>
        <row r="1017">
          <cell r="A1017" t="str">
            <v>M1</v>
          </cell>
          <cell r="B1017" t="str">
            <v>A6C</v>
          </cell>
          <cell r="C1017" t="str">
            <v>HOS</v>
          </cell>
          <cell r="D1017" t="str">
            <v>65624</v>
          </cell>
          <cell r="E1017" t="str">
            <v>SOL</v>
          </cell>
          <cell r="F1017">
            <v>2</v>
          </cell>
          <cell r="G1017" t="str">
            <v>CB390200000801</v>
          </cell>
          <cell r="H1017">
            <v>8</v>
          </cell>
          <cell r="I1017">
            <v>1</v>
          </cell>
          <cell r="J1017">
            <v>1</v>
          </cell>
          <cell r="K1017">
            <v>2</v>
          </cell>
        </row>
        <row r="1018">
          <cell r="A1018" t="str">
            <v>M1</v>
          </cell>
          <cell r="B1018" t="str">
            <v>A6C</v>
          </cell>
          <cell r="C1018" t="str">
            <v>HOS</v>
          </cell>
          <cell r="D1018" t="str">
            <v>65624</v>
          </cell>
          <cell r="E1018" t="str">
            <v>SOL</v>
          </cell>
          <cell r="F1018">
            <v>2</v>
          </cell>
          <cell r="G1018" t="str">
            <v>CB39020000080T</v>
          </cell>
          <cell r="H1018">
            <v>8</v>
          </cell>
          <cell r="I1018">
            <v>0.75</v>
          </cell>
          <cell r="J1018">
            <v>4</v>
          </cell>
          <cell r="K1018">
            <v>5</v>
          </cell>
        </row>
        <row r="1019">
          <cell r="A1019" t="str">
            <v>M1</v>
          </cell>
          <cell r="B1019" t="str">
            <v>A6C</v>
          </cell>
          <cell r="C1019" t="str">
            <v>HOS</v>
          </cell>
          <cell r="D1019" t="str">
            <v>65625</v>
          </cell>
          <cell r="E1019" t="str">
            <v>SOL</v>
          </cell>
          <cell r="F1019">
            <v>2</v>
          </cell>
          <cell r="G1019" t="str">
            <v>CB390200000801</v>
          </cell>
          <cell r="H1019">
            <v>8</v>
          </cell>
          <cell r="I1019">
            <v>1</v>
          </cell>
          <cell r="J1019">
            <v>1</v>
          </cell>
          <cell r="K1019">
            <v>2</v>
          </cell>
        </row>
        <row r="1020">
          <cell r="A1020" t="str">
            <v>M1</v>
          </cell>
          <cell r="B1020" t="str">
            <v>A6C</v>
          </cell>
          <cell r="C1020" t="str">
            <v>HOR</v>
          </cell>
          <cell r="D1020" t="str">
            <v>65611</v>
          </cell>
          <cell r="E1020" t="str">
            <v>SOL</v>
          </cell>
          <cell r="F1020">
            <v>2</v>
          </cell>
          <cell r="G1020" t="str">
            <v>CB39020000080T</v>
          </cell>
          <cell r="H1020">
            <v>8</v>
          </cell>
          <cell r="I1020">
            <v>0.75</v>
          </cell>
          <cell r="J1020">
            <v>1</v>
          </cell>
          <cell r="K1020">
            <v>2</v>
          </cell>
        </row>
        <row r="1021">
          <cell r="A1021" t="str">
            <v>M1</v>
          </cell>
          <cell r="B1021" t="str">
            <v>A6C</v>
          </cell>
          <cell r="C1021" t="str">
            <v>HOS</v>
          </cell>
          <cell r="D1021" t="str">
            <v>65613</v>
          </cell>
          <cell r="E1021" t="str">
            <v>SOL</v>
          </cell>
          <cell r="F1021">
            <v>2</v>
          </cell>
          <cell r="G1021" t="str">
            <v>CB390200000801</v>
          </cell>
          <cell r="H1021">
            <v>8</v>
          </cell>
          <cell r="I1021">
            <v>1</v>
          </cell>
          <cell r="J1021">
            <v>1</v>
          </cell>
          <cell r="K1021">
            <v>2</v>
          </cell>
        </row>
        <row r="1022">
          <cell r="A1022" t="str">
            <v>M1</v>
          </cell>
          <cell r="B1022" t="str">
            <v>A6C</v>
          </cell>
          <cell r="C1022" t="str">
            <v>HOS</v>
          </cell>
          <cell r="D1022" t="str">
            <v>65613</v>
          </cell>
          <cell r="E1022" t="str">
            <v>SOL</v>
          </cell>
          <cell r="F1022">
            <v>2</v>
          </cell>
          <cell r="G1022" t="str">
            <v>CB3902000008IH</v>
          </cell>
          <cell r="H1022">
            <v>8</v>
          </cell>
          <cell r="I1022">
            <v>1.5</v>
          </cell>
          <cell r="J1022">
            <v>1</v>
          </cell>
          <cell r="K1022">
            <v>2</v>
          </cell>
        </row>
        <row r="1023">
          <cell r="A1023" t="str">
            <v>M1</v>
          </cell>
          <cell r="B1023" t="str">
            <v>A6C</v>
          </cell>
          <cell r="C1023" t="str">
            <v>HOS</v>
          </cell>
          <cell r="D1023" t="str">
            <v>65613</v>
          </cell>
          <cell r="E1023" t="str">
            <v>SOL</v>
          </cell>
          <cell r="F1023">
            <v>2</v>
          </cell>
          <cell r="G1023" t="str">
            <v>CB390200000801</v>
          </cell>
          <cell r="H1023">
            <v>8</v>
          </cell>
          <cell r="I1023">
            <v>1</v>
          </cell>
          <cell r="J1023">
            <v>1</v>
          </cell>
          <cell r="K1023">
            <v>2</v>
          </cell>
        </row>
        <row r="1024">
          <cell r="A1024" t="str">
            <v>M1</v>
          </cell>
          <cell r="B1024" t="str">
            <v>A6C</v>
          </cell>
          <cell r="C1024" t="str">
            <v>HOR</v>
          </cell>
          <cell r="D1024" t="str">
            <v>65619</v>
          </cell>
          <cell r="E1024" t="str">
            <v>SOL</v>
          </cell>
          <cell r="F1024">
            <v>2</v>
          </cell>
          <cell r="G1024" t="str">
            <v>CB39020000080T</v>
          </cell>
          <cell r="H1024">
            <v>8</v>
          </cell>
          <cell r="I1024">
            <v>0.75</v>
          </cell>
          <cell r="J1024">
            <v>1</v>
          </cell>
          <cell r="K1024">
            <v>2</v>
          </cell>
        </row>
        <row r="1025">
          <cell r="A1025" t="str">
            <v>M1</v>
          </cell>
          <cell r="B1025" t="str">
            <v>A6C</v>
          </cell>
          <cell r="C1025" t="str">
            <v>HOR</v>
          </cell>
          <cell r="D1025" t="str">
            <v>65619</v>
          </cell>
          <cell r="E1025" t="str">
            <v>SOL</v>
          </cell>
          <cell r="F1025">
            <v>2</v>
          </cell>
          <cell r="G1025" t="str">
            <v>CB39020000080T</v>
          </cell>
          <cell r="H1025">
            <v>8</v>
          </cell>
          <cell r="I1025">
            <v>0.75</v>
          </cell>
          <cell r="J1025">
            <v>2</v>
          </cell>
          <cell r="K1025">
            <v>3</v>
          </cell>
        </row>
        <row r="1026">
          <cell r="A1026" t="str">
            <v>M1</v>
          </cell>
          <cell r="B1026" t="str">
            <v>A6C</v>
          </cell>
          <cell r="C1026" t="str">
            <v>HOS</v>
          </cell>
          <cell r="D1026" t="str">
            <v>65613</v>
          </cell>
          <cell r="E1026" t="str">
            <v>SOL</v>
          </cell>
          <cell r="F1026">
            <v>2</v>
          </cell>
          <cell r="G1026" t="str">
            <v>CB390200000801</v>
          </cell>
          <cell r="H1026">
            <v>8</v>
          </cell>
          <cell r="I1026">
            <v>1</v>
          </cell>
          <cell r="J1026">
            <v>6</v>
          </cell>
          <cell r="K1026">
            <v>7</v>
          </cell>
        </row>
        <row r="1027">
          <cell r="A1027" t="str">
            <v>M1</v>
          </cell>
          <cell r="B1027" t="str">
            <v>A6C</v>
          </cell>
          <cell r="C1027" t="str">
            <v>HOR</v>
          </cell>
          <cell r="D1027" t="str">
            <v>65619</v>
          </cell>
          <cell r="E1027" t="str">
            <v>TEE</v>
          </cell>
          <cell r="F1027">
            <v>2</v>
          </cell>
          <cell r="G1027" t="str">
            <v>CB300304000800</v>
          </cell>
          <cell r="H1027">
            <v>8</v>
          </cell>
          <cell r="I1027" t="str">
            <v>--</v>
          </cell>
          <cell r="J1027">
            <v>2</v>
          </cell>
          <cell r="K1027">
            <v>3</v>
          </cell>
        </row>
        <row r="1028">
          <cell r="A1028" t="str">
            <v>M1</v>
          </cell>
          <cell r="B1028" t="str">
            <v>A6C</v>
          </cell>
          <cell r="C1028" t="str">
            <v>HOS</v>
          </cell>
          <cell r="D1028" t="str">
            <v>65613</v>
          </cell>
          <cell r="E1028" t="str">
            <v>TEE</v>
          </cell>
          <cell r="F1028">
            <v>2</v>
          </cell>
          <cell r="G1028" t="str">
            <v>CB300304000800</v>
          </cell>
          <cell r="H1028">
            <v>8</v>
          </cell>
          <cell r="I1028" t="str">
            <v>--</v>
          </cell>
          <cell r="J1028">
            <v>1</v>
          </cell>
          <cell r="K1028">
            <v>2</v>
          </cell>
        </row>
        <row r="1029">
          <cell r="A1029" t="str">
            <v>M1</v>
          </cell>
          <cell r="B1029" t="str">
            <v>A6C</v>
          </cell>
          <cell r="C1029" t="str">
            <v>HOS</v>
          </cell>
          <cell r="D1029" t="str">
            <v>65625</v>
          </cell>
          <cell r="E1029" t="str">
            <v>TEE</v>
          </cell>
          <cell r="F1029">
            <v>2</v>
          </cell>
          <cell r="G1029" t="str">
            <v>CB300304000800</v>
          </cell>
          <cell r="H1029">
            <v>8</v>
          </cell>
          <cell r="I1029" t="str">
            <v>--</v>
          </cell>
          <cell r="J1029">
            <v>1</v>
          </cell>
          <cell r="K1029">
            <v>2</v>
          </cell>
        </row>
        <row r="1030">
          <cell r="A1030" t="str">
            <v>M1</v>
          </cell>
          <cell r="B1030" t="str">
            <v>A6C</v>
          </cell>
          <cell r="C1030" t="str">
            <v>HOS</v>
          </cell>
          <cell r="D1030" t="str">
            <v>65613</v>
          </cell>
          <cell r="E1030" t="str">
            <v>TEE</v>
          </cell>
          <cell r="F1030">
            <v>2</v>
          </cell>
          <cell r="G1030" t="str">
            <v>CB300304000800</v>
          </cell>
          <cell r="H1030">
            <v>8</v>
          </cell>
          <cell r="I1030" t="str">
            <v>--</v>
          </cell>
          <cell r="J1030">
            <v>3</v>
          </cell>
          <cell r="K1030">
            <v>4</v>
          </cell>
        </row>
        <row r="1031">
          <cell r="A1031" t="str">
            <v>M1</v>
          </cell>
          <cell r="B1031" t="str">
            <v>A6C</v>
          </cell>
          <cell r="C1031" t="str">
            <v>HOS</v>
          </cell>
          <cell r="D1031" t="str">
            <v>65624</v>
          </cell>
          <cell r="E1031" t="str">
            <v>TEE</v>
          </cell>
          <cell r="F1031">
            <v>2</v>
          </cell>
          <cell r="G1031" t="str">
            <v>CB300304000800</v>
          </cell>
          <cell r="H1031">
            <v>8</v>
          </cell>
          <cell r="I1031" t="str">
            <v>--</v>
          </cell>
          <cell r="J1031">
            <v>1</v>
          </cell>
          <cell r="K1031">
            <v>2</v>
          </cell>
        </row>
        <row r="1032">
          <cell r="A1032" t="str">
            <v>M1</v>
          </cell>
          <cell r="B1032" t="str">
            <v>A6C</v>
          </cell>
          <cell r="C1032" t="str">
            <v>HOS</v>
          </cell>
          <cell r="D1032" t="str">
            <v>65627</v>
          </cell>
          <cell r="E1032" t="str">
            <v>TEE</v>
          </cell>
          <cell r="F1032">
            <v>2</v>
          </cell>
          <cell r="G1032" t="str">
            <v>CB300304000800</v>
          </cell>
          <cell r="H1032">
            <v>8</v>
          </cell>
          <cell r="I1032" t="str">
            <v>--</v>
          </cell>
          <cell r="J1032">
            <v>4</v>
          </cell>
          <cell r="K1032">
            <v>5</v>
          </cell>
        </row>
        <row r="1033">
          <cell r="A1033" t="str">
            <v>M1</v>
          </cell>
          <cell r="B1033" t="str">
            <v>A6C</v>
          </cell>
          <cell r="C1033" t="str">
            <v>HOS</v>
          </cell>
          <cell r="D1033" t="str">
            <v>65624</v>
          </cell>
          <cell r="E1033" t="str">
            <v>TEE</v>
          </cell>
          <cell r="F1033">
            <v>2</v>
          </cell>
          <cell r="G1033" t="str">
            <v>CB300304000800</v>
          </cell>
          <cell r="H1033">
            <v>8</v>
          </cell>
          <cell r="I1033" t="str">
            <v>--</v>
          </cell>
          <cell r="J1033">
            <v>1</v>
          </cell>
          <cell r="K1033">
            <v>2</v>
          </cell>
        </row>
        <row r="1034">
          <cell r="A1034" t="str">
            <v>M1</v>
          </cell>
          <cell r="B1034" t="str">
            <v>A6C</v>
          </cell>
          <cell r="C1034" t="str">
            <v>HOS</v>
          </cell>
          <cell r="D1034" t="str">
            <v>65624</v>
          </cell>
          <cell r="E1034" t="str">
            <v>TEE</v>
          </cell>
          <cell r="F1034">
            <v>2</v>
          </cell>
          <cell r="G1034" t="str">
            <v>CB300304000800</v>
          </cell>
          <cell r="H1034">
            <v>8</v>
          </cell>
          <cell r="I1034" t="str">
            <v>--</v>
          </cell>
          <cell r="J1034">
            <v>4</v>
          </cell>
          <cell r="K1034">
            <v>5</v>
          </cell>
        </row>
        <row r="1035">
          <cell r="A1035" t="str">
            <v>M1</v>
          </cell>
          <cell r="B1035" t="str">
            <v>A6C</v>
          </cell>
          <cell r="C1035" t="str">
            <v>HOR</v>
          </cell>
          <cell r="D1035" t="str">
            <v>65619</v>
          </cell>
          <cell r="E1035" t="str">
            <v>TEE</v>
          </cell>
          <cell r="F1035">
            <v>2</v>
          </cell>
          <cell r="G1035" t="str">
            <v>CB300304000800</v>
          </cell>
          <cell r="H1035">
            <v>8</v>
          </cell>
          <cell r="I1035" t="str">
            <v>--</v>
          </cell>
          <cell r="J1035">
            <v>2</v>
          </cell>
          <cell r="K1035">
            <v>3</v>
          </cell>
        </row>
        <row r="1036">
          <cell r="A1036" t="str">
            <v>M1</v>
          </cell>
          <cell r="B1036" t="str">
            <v>A6C</v>
          </cell>
          <cell r="C1036" t="str">
            <v>HOS</v>
          </cell>
          <cell r="D1036" t="str">
            <v>65613</v>
          </cell>
          <cell r="E1036" t="str">
            <v>TOL</v>
          </cell>
          <cell r="F1036">
            <v>2</v>
          </cell>
          <cell r="G1036" t="str">
            <v>CB39030000080T</v>
          </cell>
          <cell r="H1036">
            <v>8</v>
          </cell>
          <cell r="I1036">
            <v>0.75</v>
          </cell>
          <cell r="J1036">
            <v>2</v>
          </cell>
          <cell r="K1036">
            <v>3</v>
          </cell>
        </row>
        <row r="1037">
          <cell r="A1037" t="str">
            <v>M1</v>
          </cell>
          <cell r="B1037" t="str">
            <v>A6C</v>
          </cell>
          <cell r="C1037" t="str">
            <v>HOS</v>
          </cell>
          <cell r="D1037" t="str">
            <v>65625</v>
          </cell>
          <cell r="E1037" t="str">
            <v>TOL</v>
          </cell>
          <cell r="F1037">
            <v>2</v>
          </cell>
          <cell r="G1037" t="str">
            <v>CB39030000080T</v>
          </cell>
          <cell r="H1037">
            <v>8</v>
          </cell>
          <cell r="I1037">
            <v>0.75</v>
          </cell>
          <cell r="J1037">
            <v>2</v>
          </cell>
          <cell r="K1037">
            <v>3</v>
          </cell>
        </row>
        <row r="1038">
          <cell r="A1038" t="str">
            <v>M1</v>
          </cell>
          <cell r="B1038" t="str">
            <v>A6C</v>
          </cell>
          <cell r="C1038" t="str">
            <v>HOS</v>
          </cell>
          <cell r="D1038" t="str">
            <v>65615</v>
          </cell>
          <cell r="E1038" t="str">
            <v>TOL</v>
          </cell>
          <cell r="F1038">
            <v>2</v>
          </cell>
          <cell r="G1038" t="str">
            <v>CB39030000080T</v>
          </cell>
          <cell r="H1038">
            <v>8</v>
          </cell>
          <cell r="I1038">
            <v>0.75</v>
          </cell>
          <cell r="J1038">
            <v>1</v>
          </cell>
          <cell r="K1038">
            <v>2</v>
          </cell>
        </row>
        <row r="1039">
          <cell r="A1039" t="str">
            <v>M1</v>
          </cell>
          <cell r="B1039" t="str">
            <v>A6C</v>
          </cell>
          <cell r="C1039" t="str">
            <v>HOS</v>
          </cell>
          <cell r="D1039" t="str">
            <v>65619</v>
          </cell>
          <cell r="E1039" t="str">
            <v>TOL</v>
          </cell>
          <cell r="F1039">
            <v>2</v>
          </cell>
          <cell r="G1039" t="str">
            <v>CB39030000080T</v>
          </cell>
          <cell r="H1039">
            <v>8</v>
          </cell>
          <cell r="I1039">
            <v>0.75</v>
          </cell>
          <cell r="J1039">
            <v>1</v>
          </cell>
          <cell r="K1039">
            <v>2</v>
          </cell>
        </row>
        <row r="1040">
          <cell r="A1040" t="str">
            <v>M1</v>
          </cell>
          <cell r="B1040" t="str">
            <v>A5C</v>
          </cell>
          <cell r="C1040" t="str">
            <v>P</v>
          </cell>
          <cell r="D1040" t="str">
            <v>22078</v>
          </cell>
          <cell r="E1040" t="str">
            <v>SOL</v>
          </cell>
          <cell r="F1040">
            <v>2</v>
          </cell>
          <cell r="G1040" t="str">
            <v>CB3902000010IH</v>
          </cell>
          <cell r="H1040">
            <v>10</v>
          </cell>
          <cell r="I1040">
            <v>1.5</v>
          </cell>
          <cell r="J1040">
            <v>1</v>
          </cell>
          <cell r="K1040">
            <v>2</v>
          </cell>
        </row>
        <row r="1041">
          <cell r="A1041" t="str">
            <v>M1</v>
          </cell>
          <cell r="B1041" t="str">
            <v>A5C</v>
          </cell>
          <cell r="C1041" t="str">
            <v>P</v>
          </cell>
          <cell r="D1041" t="str">
            <v>22062</v>
          </cell>
          <cell r="E1041" t="str">
            <v>90 ELL</v>
          </cell>
          <cell r="F1041">
            <v>2</v>
          </cell>
          <cell r="G1041" t="str">
            <v>CB300104001000</v>
          </cell>
          <cell r="H1041">
            <v>10</v>
          </cell>
          <cell r="I1041" t="str">
            <v>--</v>
          </cell>
          <cell r="J1041">
            <v>5</v>
          </cell>
          <cell r="K1041">
            <v>6</v>
          </cell>
        </row>
        <row r="1042">
          <cell r="A1042" t="str">
            <v>M1</v>
          </cell>
          <cell r="B1042" t="str">
            <v>A5C</v>
          </cell>
          <cell r="C1042" t="str">
            <v>P</v>
          </cell>
          <cell r="D1042" t="str">
            <v>22060</v>
          </cell>
          <cell r="E1042" t="str">
            <v>90 ELL</v>
          </cell>
          <cell r="F1042">
            <v>2</v>
          </cell>
          <cell r="G1042" t="str">
            <v>CB300104001000</v>
          </cell>
          <cell r="H1042">
            <v>10</v>
          </cell>
          <cell r="I1042" t="str">
            <v>--</v>
          </cell>
          <cell r="J1042">
            <v>5</v>
          </cell>
          <cell r="K1042">
            <v>6</v>
          </cell>
        </row>
        <row r="1043">
          <cell r="A1043" t="str">
            <v>M1</v>
          </cell>
          <cell r="B1043" t="str">
            <v>A5C</v>
          </cell>
          <cell r="C1043" t="str">
            <v>P</v>
          </cell>
          <cell r="D1043" t="str">
            <v>22074</v>
          </cell>
          <cell r="E1043" t="str">
            <v>90 ELL</v>
          </cell>
          <cell r="F1043">
            <v>2</v>
          </cell>
          <cell r="G1043" t="str">
            <v>CB300104001000</v>
          </cell>
          <cell r="H1043">
            <v>10</v>
          </cell>
          <cell r="I1043" t="str">
            <v>--</v>
          </cell>
          <cell r="J1043">
            <v>3</v>
          </cell>
          <cell r="K1043">
            <v>4</v>
          </cell>
        </row>
        <row r="1044">
          <cell r="A1044" t="str">
            <v>M1</v>
          </cell>
          <cell r="B1044" t="str">
            <v>A5C</v>
          </cell>
          <cell r="C1044" t="str">
            <v>P</v>
          </cell>
          <cell r="D1044" t="str">
            <v>22077</v>
          </cell>
          <cell r="E1044" t="str">
            <v>90 ELL</v>
          </cell>
          <cell r="F1044">
            <v>2</v>
          </cell>
          <cell r="G1044" t="str">
            <v>CB300104001000</v>
          </cell>
          <cell r="H1044">
            <v>10</v>
          </cell>
          <cell r="I1044" t="str">
            <v>--</v>
          </cell>
          <cell r="J1044">
            <v>5</v>
          </cell>
          <cell r="K1044">
            <v>6</v>
          </cell>
        </row>
        <row r="1045">
          <cell r="A1045" t="str">
            <v>M1</v>
          </cell>
          <cell r="B1045" t="str">
            <v>A5C</v>
          </cell>
          <cell r="C1045" t="str">
            <v>P</v>
          </cell>
          <cell r="D1045" t="str">
            <v>22077</v>
          </cell>
          <cell r="E1045" t="str">
            <v>90 ELL</v>
          </cell>
          <cell r="F1045">
            <v>2</v>
          </cell>
          <cell r="G1045" t="str">
            <v>CB300104001000</v>
          </cell>
          <cell r="H1045">
            <v>10</v>
          </cell>
          <cell r="I1045" t="str">
            <v>--</v>
          </cell>
          <cell r="J1045">
            <v>6</v>
          </cell>
          <cell r="K1045">
            <v>7</v>
          </cell>
        </row>
        <row r="1046">
          <cell r="A1046" t="str">
            <v>M1</v>
          </cell>
          <cell r="B1046" t="str">
            <v>A5C</v>
          </cell>
          <cell r="C1046" t="str">
            <v>P</v>
          </cell>
          <cell r="D1046" t="str">
            <v>22062</v>
          </cell>
          <cell r="E1046" t="str">
            <v>90 ELL</v>
          </cell>
          <cell r="F1046">
            <v>2</v>
          </cell>
          <cell r="G1046" t="str">
            <v>CB300104001000</v>
          </cell>
          <cell r="H1046">
            <v>10</v>
          </cell>
          <cell r="I1046" t="str">
            <v>--</v>
          </cell>
          <cell r="J1046">
            <v>8</v>
          </cell>
          <cell r="K1046">
            <v>9</v>
          </cell>
        </row>
        <row r="1047">
          <cell r="A1047" t="str">
            <v>M1</v>
          </cell>
          <cell r="B1047" t="str">
            <v>A5C</v>
          </cell>
          <cell r="C1047" t="str">
            <v>P</v>
          </cell>
          <cell r="D1047" t="str">
            <v>22073</v>
          </cell>
          <cell r="E1047" t="str">
            <v>90 ELL</v>
          </cell>
          <cell r="F1047">
            <v>2</v>
          </cell>
          <cell r="G1047" t="str">
            <v>CB300104001000</v>
          </cell>
          <cell r="H1047">
            <v>10</v>
          </cell>
          <cell r="I1047" t="str">
            <v>--</v>
          </cell>
          <cell r="J1047">
            <v>7</v>
          </cell>
          <cell r="K1047">
            <v>8</v>
          </cell>
        </row>
        <row r="1048">
          <cell r="A1048" t="str">
            <v>M1</v>
          </cell>
          <cell r="B1048" t="str">
            <v>A5C</v>
          </cell>
          <cell r="C1048" t="str">
            <v>P</v>
          </cell>
          <cell r="D1048" t="str">
            <v>22062</v>
          </cell>
          <cell r="E1048" t="str">
            <v>C RED</v>
          </cell>
          <cell r="F1048">
            <v>2</v>
          </cell>
          <cell r="G1048" t="str">
            <v>CB300504041004</v>
          </cell>
          <cell r="H1048">
            <v>10</v>
          </cell>
          <cell r="I1048">
            <v>4</v>
          </cell>
          <cell r="J1048">
            <v>1</v>
          </cell>
          <cell r="K1048">
            <v>2</v>
          </cell>
        </row>
        <row r="1049">
          <cell r="A1049" t="str">
            <v>M1</v>
          </cell>
          <cell r="B1049" t="str">
            <v>A5C</v>
          </cell>
          <cell r="C1049" t="str">
            <v>P</v>
          </cell>
          <cell r="D1049" t="str">
            <v>22077</v>
          </cell>
          <cell r="E1049" t="str">
            <v>E RED</v>
          </cell>
          <cell r="F1049">
            <v>2</v>
          </cell>
          <cell r="G1049" t="str">
            <v>CB300604041008</v>
          </cell>
          <cell r="H1049">
            <v>10</v>
          </cell>
          <cell r="I1049">
            <v>8</v>
          </cell>
          <cell r="J1049">
            <v>2</v>
          </cell>
          <cell r="K1049">
            <v>3</v>
          </cell>
        </row>
        <row r="1050">
          <cell r="A1050" t="str">
            <v>M1</v>
          </cell>
          <cell r="B1050" t="str">
            <v>A5C</v>
          </cell>
          <cell r="C1050" t="str">
            <v>P</v>
          </cell>
          <cell r="D1050" t="str">
            <v>22060</v>
          </cell>
          <cell r="E1050" t="str">
            <v>SOL</v>
          </cell>
          <cell r="F1050">
            <v>2</v>
          </cell>
          <cell r="G1050" t="str">
            <v>CB39020000100T</v>
          </cell>
          <cell r="H1050">
            <v>10</v>
          </cell>
          <cell r="I1050">
            <v>0.75</v>
          </cell>
          <cell r="J1050">
            <v>1</v>
          </cell>
          <cell r="K1050">
            <v>2</v>
          </cell>
        </row>
        <row r="1051">
          <cell r="A1051" t="str">
            <v>M1</v>
          </cell>
          <cell r="B1051" t="str">
            <v>A5C</v>
          </cell>
          <cell r="C1051" t="str">
            <v>P</v>
          </cell>
          <cell r="D1051" t="str">
            <v>22062</v>
          </cell>
          <cell r="E1051" t="str">
            <v>SOL</v>
          </cell>
          <cell r="F1051">
            <v>2</v>
          </cell>
          <cell r="G1051" t="str">
            <v>CB39020000100T</v>
          </cell>
          <cell r="H1051">
            <v>10</v>
          </cell>
          <cell r="I1051">
            <v>0.75</v>
          </cell>
          <cell r="J1051">
            <v>2</v>
          </cell>
          <cell r="K1051">
            <v>3</v>
          </cell>
        </row>
        <row r="1052">
          <cell r="A1052" t="str">
            <v>M1</v>
          </cell>
          <cell r="B1052" t="str">
            <v>A5C</v>
          </cell>
          <cell r="C1052" t="str">
            <v>P</v>
          </cell>
          <cell r="D1052" t="str">
            <v>22062</v>
          </cell>
          <cell r="E1052" t="str">
            <v>SOL</v>
          </cell>
          <cell r="F1052">
            <v>2</v>
          </cell>
          <cell r="G1052" t="str">
            <v>CB390200001001</v>
          </cell>
          <cell r="H1052">
            <v>10</v>
          </cell>
          <cell r="I1052">
            <v>1</v>
          </cell>
          <cell r="J1052">
            <v>2</v>
          </cell>
          <cell r="K1052">
            <v>3</v>
          </cell>
        </row>
        <row r="1053">
          <cell r="A1053" t="str">
            <v>M1</v>
          </cell>
          <cell r="B1053" t="str">
            <v>A5C</v>
          </cell>
          <cell r="C1053" t="str">
            <v>P</v>
          </cell>
          <cell r="D1053" t="str">
            <v>22062</v>
          </cell>
          <cell r="E1053" t="str">
            <v>SOL</v>
          </cell>
          <cell r="F1053">
            <v>2</v>
          </cell>
          <cell r="G1053" t="str">
            <v>CB39020000100T</v>
          </cell>
          <cell r="H1053">
            <v>10</v>
          </cell>
          <cell r="I1053">
            <v>0.75</v>
          </cell>
          <cell r="J1053">
            <v>1</v>
          </cell>
          <cell r="K1053">
            <v>2</v>
          </cell>
        </row>
        <row r="1054">
          <cell r="A1054" t="str">
            <v>M1</v>
          </cell>
          <cell r="B1054" t="str">
            <v>A5C</v>
          </cell>
          <cell r="C1054" t="str">
            <v>P</v>
          </cell>
          <cell r="D1054" t="str">
            <v>22077</v>
          </cell>
          <cell r="E1054" t="str">
            <v>SOL</v>
          </cell>
          <cell r="F1054">
            <v>2</v>
          </cell>
          <cell r="G1054" t="str">
            <v>CB39020000100T</v>
          </cell>
          <cell r="H1054">
            <v>10</v>
          </cell>
          <cell r="I1054">
            <v>0.75</v>
          </cell>
          <cell r="J1054">
            <v>1</v>
          </cell>
          <cell r="K1054">
            <v>2</v>
          </cell>
        </row>
        <row r="1055">
          <cell r="A1055" t="str">
            <v>M1</v>
          </cell>
          <cell r="B1055" t="str">
            <v>A5C</v>
          </cell>
          <cell r="C1055" t="str">
            <v>P</v>
          </cell>
          <cell r="D1055" t="str">
            <v>22073</v>
          </cell>
          <cell r="E1055" t="str">
            <v>SOL</v>
          </cell>
          <cell r="F1055">
            <v>2</v>
          </cell>
          <cell r="G1055" t="str">
            <v>CB390200001001</v>
          </cell>
          <cell r="H1055">
            <v>10</v>
          </cell>
          <cell r="I1055">
            <v>1</v>
          </cell>
          <cell r="J1055">
            <v>2</v>
          </cell>
          <cell r="K1055">
            <v>3</v>
          </cell>
        </row>
        <row r="1056">
          <cell r="A1056" t="str">
            <v>M1</v>
          </cell>
          <cell r="B1056" t="str">
            <v>A5C</v>
          </cell>
          <cell r="C1056" t="str">
            <v>P</v>
          </cell>
          <cell r="D1056" t="str">
            <v>22077</v>
          </cell>
          <cell r="E1056" t="str">
            <v>SOL</v>
          </cell>
          <cell r="F1056">
            <v>2</v>
          </cell>
          <cell r="G1056" t="str">
            <v>CB39020000100T</v>
          </cell>
          <cell r="H1056">
            <v>10</v>
          </cell>
          <cell r="I1056">
            <v>0.75</v>
          </cell>
          <cell r="J1056">
            <v>1</v>
          </cell>
          <cell r="K1056">
            <v>2</v>
          </cell>
        </row>
        <row r="1057">
          <cell r="A1057" t="str">
            <v>M1</v>
          </cell>
          <cell r="B1057" t="str">
            <v>A5C</v>
          </cell>
          <cell r="C1057" t="str">
            <v>P</v>
          </cell>
          <cell r="D1057" t="str">
            <v>22077</v>
          </cell>
          <cell r="E1057" t="str">
            <v>SOL</v>
          </cell>
          <cell r="F1057">
            <v>2</v>
          </cell>
          <cell r="G1057" t="str">
            <v>CB3902000010IH</v>
          </cell>
          <cell r="H1057">
            <v>10</v>
          </cell>
          <cell r="I1057">
            <v>1.5</v>
          </cell>
          <cell r="J1057">
            <v>1</v>
          </cell>
          <cell r="K1057">
            <v>2</v>
          </cell>
        </row>
        <row r="1058">
          <cell r="A1058" t="str">
            <v>M1</v>
          </cell>
          <cell r="B1058" t="str">
            <v>A5C</v>
          </cell>
          <cell r="C1058" t="str">
            <v>P</v>
          </cell>
          <cell r="D1058" t="str">
            <v>22073</v>
          </cell>
          <cell r="E1058" t="str">
            <v>SOL</v>
          </cell>
          <cell r="F1058">
            <v>2</v>
          </cell>
          <cell r="G1058" t="str">
            <v>CB39020000100T</v>
          </cell>
          <cell r="H1058">
            <v>10</v>
          </cell>
          <cell r="I1058">
            <v>0.75</v>
          </cell>
          <cell r="J1058">
            <v>2</v>
          </cell>
          <cell r="K1058">
            <v>3</v>
          </cell>
        </row>
        <row r="1059">
          <cell r="A1059" t="str">
            <v>M1</v>
          </cell>
          <cell r="B1059" t="str">
            <v>A5C</v>
          </cell>
          <cell r="C1059" t="str">
            <v>P</v>
          </cell>
          <cell r="D1059" t="str">
            <v>22062</v>
          </cell>
          <cell r="E1059" t="str">
            <v>TEE</v>
          </cell>
          <cell r="F1059">
            <v>2</v>
          </cell>
          <cell r="G1059" t="str">
            <v>CB300304001000</v>
          </cell>
          <cell r="H1059">
            <v>10</v>
          </cell>
          <cell r="I1059" t="str">
            <v>--</v>
          </cell>
          <cell r="J1059">
            <v>1</v>
          </cell>
          <cell r="K1059">
            <v>2</v>
          </cell>
        </row>
        <row r="1060">
          <cell r="A1060" t="str">
            <v>M1</v>
          </cell>
          <cell r="B1060" t="str">
            <v>A5C</v>
          </cell>
          <cell r="C1060" t="str">
            <v>P</v>
          </cell>
          <cell r="D1060" t="str">
            <v>22062</v>
          </cell>
          <cell r="E1060" t="str">
            <v>TEE</v>
          </cell>
          <cell r="F1060">
            <v>2</v>
          </cell>
          <cell r="G1060" t="str">
            <v>CB300304001000</v>
          </cell>
          <cell r="H1060">
            <v>10</v>
          </cell>
          <cell r="I1060" t="str">
            <v>--</v>
          </cell>
          <cell r="J1060">
            <v>1</v>
          </cell>
          <cell r="K1060">
            <v>2</v>
          </cell>
        </row>
        <row r="1061">
          <cell r="A1061" t="str">
            <v>M1</v>
          </cell>
          <cell r="B1061" t="str">
            <v>A5C</v>
          </cell>
          <cell r="C1061" t="str">
            <v>P</v>
          </cell>
          <cell r="D1061" t="str">
            <v>22073</v>
          </cell>
          <cell r="E1061" t="str">
            <v>TEE</v>
          </cell>
          <cell r="F1061">
            <v>2</v>
          </cell>
          <cell r="G1061" t="str">
            <v>CB300304001000</v>
          </cell>
          <cell r="H1061">
            <v>10</v>
          </cell>
          <cell r="I1061" t="str">
            <v>--</v>
          </cell>
          <cell r="J1061">
            <v>1</v>
          </cell>
          <cell r="K1061">
            <v>2</v>
          </cell>
        </row>
        <row r="1062">
          <cell r="A1062" t="str">
            <v>M1</v>
          </cell>
          <cell r="B1062" t="str">
            <v>A5C</v>
          </cell>
          <cell r="C1062" t="str">
            <v>P</v>
          </cell>
          <cell r="D1062" t="str">
            <v>22073</v>
          </cell>
          <cell r="E1062" t="str">
            <v>TOL</v>
          </cell>
          <cell r="F1062">
            <v>2</v>
          </cell>
          <cell r="G1062" t="str">
            <v>CB39030000100T</v>
          </cell>
          <cell r="H1062">
            <v>10</v>
          </cell>
          <cell r="I1062">
            <v>0.75</v>
          </cell>
          <cell r="J1062">
            <v>2</v>
          </cell>
          <cell r="K1062">
            <v>3</v>
          </cell>
        </row>
        <row r="1063">
          <cell r="A1063" t="str">
            <v>M1</v>
          </cell>
          <cell r="B1063" t="str">
            <v>A5C</v>
          </cell>
          <cell r="C1063" t="str">
            <v>P</v>
          </cell>
          <cell r="D1063" t="str">
            <v>22074</v>
          </cell>
          <cell r="E1063" t="str">
            <v>TOL</v>
          </cell>
          <cell r="F1063">
            <v>2</v>
          </cell>
          <cell r="G1063" t="str">
            <v>CB39030000100T</v>
          </cell>
          <cell r="H1063">
            <v>10</v>
          </cell>
          <cell r="I1063">
            <v>0.75</v>
          </cell>
          <cell r="J1063">
            <v>1</v>
          </cell>
          <cell r="K1063">
            <v>2</v>
          </cell>
        </row>
        <row r="1064">
          <cell r="A1064" t="str">
            <v>M1</v>
          </cell>
          <cell r="B1064" t="str">
            <v>A5C</v>
          </cell>
          <cell r="C1064" t="str">
            <v>P</v>
          </cell>
          <cell r="D1064" t="str">
            <v>22062</v>
          </cell>
          <cell r="E1064" t="str">
            <v>TOL</v>
          </cell>
          <cell r="F1064">
            <v>2</v>
          </cell>
          <cell r="G1064" t="str">
            <v>CB39030000100T</v>
          </cell>
          <cell r="H1064">
            <v>10</v>
          </cell>
          <cell r="I1064">
            <v>0.75</v>
          </cell>
          <cell r="J1064">
            <v>1</v>
          </cell>
          <cell r="K1064">
            <v>2</v>
          </cell>
        </row>
        <row r="1065">
          <cell r="A1065" t="str">
            <v>M1</v>
          </cell>
          <cell r="B1065" t="str">
            <v>A5C</v>
          </cell>
          <cell r="C1065" t="str">
            <v>P</v>
          </cell>
          <cell r="D1065" t="str">
            <v>22077</v>
          </cell>
          <cell r="E1065" t="str">
            <v>TOL</v>
          </cell>
          <cell r="F1065">
            <v>2</v>
          </cell>
          <cell r="G1065" t="str">
            <v>CB39030000100T</v>
          </cell>
          <cell r="H1065">
            <v>10</v>
          </cell>
          <cell r="I1065">
            <v>0.75</v>
          </cell>
          <cell r="J1065">
            <v>1</v>
          </cell>
          <cell r="K1065">
            <v>2</v>
          </cell>
        </row>
        <row r="1066">
          <cell r="A1066" t="str">
            <v>M1</v>
          </cell>
          <cell r="B1066" t="str">
            <v>A4C</v>
          </cell>
          <cell r="C1066" t="str">
            <v>P</v>
          </cell>
          <cell r="D1066" t="str">
            <v>22008</v>
          </cell>
          <cell r="E1066" t="str">
            <v>45 ELL</v>
          </cell>
          <cell r="F1066">
            <v>2</v>
          </cell>
          <cell r="G1066" t="str">
            <v>CB300204001000</v>
          </cell>
          <cell r="H1066">
            <v>10</v>
          </cell>
          <cell r="I1066" t="str">
            <v>--</v>
          </cell>
          <cell r="J1066">
            <v>1</v>
          </cell>
          <cell r="K1066">
            <v>2</v>
          </cell>
        </row>
        <row r="1067">
          <cell r="A1067" t="str">
            <v>M1</v>
          </cell>
          <cell r="B1067" t="str">
            <v>A4C</v>
          </cell>
          <cell r="C1067" t="str">
            <v>P</v>
          </cell>
          <cell r="D1067" t="str">
            <v>22008</v>
          </cell>
          <cell r="E1067" t="str">
            <v>90 ELL</v>
          </cell>
          <cell r="F1067">
            <v>2</v>
          </cell>
          <cell r="G1067" t="str">
            <v>CB300104001000</v>
          </cell>
          <cell r="H1067">
            <v>10</v>
          </cell>
          <cell r="I1067" t="str">
            <v>--</v>
          </cell>
          <cell r="J1067">
            <v>1</v>
          </cell>
          <cell r="K1067">
            <v>2</v>
          </cell>
        </row>
        <row r="1068">
          <cell r="A1068" t="str">
            <v>M1</v>
          </cell>
          <cell r="B1068" t="str">
            <v>A4C</v>
          </cell>
          <cell r="C1068" t="str">
            <v>P</v>
          </cell>
          <cell r="D1068" t="str">
            <v>22008</v>
          </cell>
          <cell r="E1068" t="str">
            <v>90 ELL</v>
          </cell>
          <cell r="F1068">
            <v>2</v>
          </cell>
          <cell r="G1068" t="str">
            <v>CB300104001000</v>
          </cell>
          <cell r="H1068">
            <v>10</v>
          </cell>
          <cell r="I1068" t="str">
            <v>--</v>
          </cell>
          <cell r="J1068">
            <v>6</v>
          </cell>
          <cell r="K1068">
            <v>7</v>
          </cell>
        </row>
        <row r="1069">
          <cell r="A1069" t="str">
            <v>M1</v>
          </cell>
          <cell r="B1069" t="str">
            <v>A4C</v>
          </cell>
          <cell r="C1069" t="str">
            <v>P</v>
          </cell>
          <cell r="D1069" t="str">
            <v>22008</v>
          </cell>
          <cell r="E1069" t="str">
            <v>90 ELL</v>
          </cell>
          <cell r="F1069">
            <v>2</v>
          </cell>
          <cell r="G1069" t="str">
            <v>CB300104001000</v>
          </cell>
          <cell r="H1069">
            <v>10</v>
          </cell>
          <cell r="I1069" t="str">
            <v>--</v>
          </cell>
          <cell r="J1069">
            <v>8</v>
          </cell>
          <cell r="K1069">
            <v>9</v>
          </cell>
        </row>
        <row r="1070">
          <cell r="A1070" t="str">
            <v>M1</v>
          </cell>
          <cell r="B1070" t="str">
            <v>A5C</v>
          </cell>
          <cell r="C1070" t="str">
            <v>P</v>
          </cell>
          <cell r="D1070" t="str">
            <v>22075</v>
          </cell>
          <cell r="E1070" t="str">
            <v>90 ELL</v>
          </cell>
          <cell r="F1070">
            <v>2</v>
          </cell>
          <cell r="G1070" t="str">
            <v>CB300104001000</v>
          </cell>
          <cell r="H1070">
            <v>10</v>
          </cell>
          <cell r="I1070" t="str">
            <v>--</v>
          </cell>
          <cell r="J1070">
            <v>7</v>
          </cell>
          <cell r="K1070">
            <v>8</v>
          </cell>
        </row>
        <row r="1071">
          <cell r="A1071" t="str">
            <v>M1</v>
          </cell>
          <cell r="B1071" t="str">
            <v>A4C</v>
          </cell>
          <cell r="C1071" t="str">
            <v>P</v>
          </cell>
          <cell r="D1071" t="str">
            <v>22080</v>
          </cell>
          <cell r="E1071" t="str">
            <v>90 ELL</v>
          </cell>
          <cell r="F1071">
            <v>2</v>
          </cell>
          <cell r="G1071" t="str">
            <v>CB300104001000</v>
          </cell>
          <cell r="H1071">
            <v>10</v>
          </cell>
          <cell r="I1071" t="str">
            <v>--</v>
          </cell>
          <cell r="J1071">
            <v>5</v>
          </cell>
          <cell r="K1071">
            <v>6</v>
          </cell>
        </row>
        <row r="1072">
          <cell r="A1072" t="str">
            <v>M1</v>
          </cell>
          <cell r="B1072" t="str">
            <v>A4C</v>
          </cell>
          <cell r="C1072" t="str">
            <v>P</v>
          </cell>
          <cell r="D1072" t="str">
            <v>22008</v>
          </cell>
          <cell r="E1072" t="str">
            <v>SOL</v>
          </cell>
          <cell r="F1072">
            <v>2</v>
          </cell>
          <cell r="G1072" t="str">
            <v>CB39020000100T</v>
          </cell>
          <cell r="H1072">
            <v>10</v>
          </cell>
          <cell r="I1072">
            <v>0.75</v>
          </cell>
          <cell r="J1072">
            <v>1</v>
          </cell>
          <cell r="K1072">
            <v>2</v>
          </cell>
        </row>
        <row r="1073">
          <cell r="A1073" t="str">
            <v>M1</v>
          </cell>
          <cell r="B1073" t="str">
            <v>A4C</v>
          </cell>
          <cell r="C1073" t="str">
            <v>P</v>
          </cell>
          <cell r="D1073" t="str">
            <v>22008</v>
          </cell>
          <cell r="E1073" t="str">
            <v>SOL</v>
          </cell>
          <cell r="F1073">
            <v>2</v>
          </cell>
          <cell r="G1073" t="str">
            <v>CB390200001001</v>
          </cell>
          <cell r="H1073">
            <v>10</v>
          </cell>
          <cell r="I1073">
            <v>1</v>
          </cell>
          <cell r="J1073">
            <v>2</v>
          </cell>
          <cell r="K1073">
            <v>3</v>
          </cell>
        </row>
        <row r="1074">
          <cell r="A1074" t="str">
            <v>M1</v>
          </cell>
          <cell r="B1074" t="str">
            <v>A4C</v>
          </cell>
          <cell r="C1074" t="str">
            <v>P</v>
          </cell>
          <cell r="D1074" t="str">
            <v>22008</v>
          </cell>
          <cell r="E1074" t="str">
            <v>SOL</v>
          </cell>
          <cell r="F1074">
            <v>2</v>
          </cell>
          <cell r="G1074" t="str">
            <v>CB39020000100T</v>
          </cell>
          <cell r="H1074">
            <v>10</v>
          </cell>
          <cell r="I1074">
            <v>0.75</v>
          </cell>
          <cell r="J1074">
            <v>1</v>
          </cell>
          <cell r="K1074">
            <v>2</v>
          </cell>
        </row>
        <row r="1075">
          <cell r="A1075" t="str">
            <v>M1</v>
          </cell>
          <cell r="B1075" t="str">
            <v>A4C</v>
          </cell>
          <cell r="C1075" t="str">
            <v>P</v>
          </cell>
          <cell r="D1075" t="str">
            <v>22008</v>
          </cell>
          <cell r="E1075" t="str">
            <v>SOL</v>
          </cell>
          <cell r="F1075">
            <v>2</v>
          </cell>
          <cell r="G1075" t="str">
            <v>CB3902000010IH</v>
          </cell>
          <cell r="H1075">
            <v>10</v>
          </cell>
          <cell r="I1075">
            <v>1.5</v>
          </cell>
          <cell r="J1075">
            <v>2</v>
          </cell>
          <cell r="K1075">
            <v>3</v>
          </cell>
        </row>
        <row r="1076">
          <cell r="A1076" t="str">
            <v>M1</v>
          </cell>
          <cell r="B1076" t="str">
            <v>A4C</v>
          </cell>
          <cell r="C1076" t="str">
            <v>P</v>
          </cell>
          <cell r="D1076" t="str">
            <v>22008</v>
          </cell>
          <cell r="E1076" t="str">
            <v>SOL</v>
          </cell>
          <cell r="F1076">
            <v>2</v>
          </cell>
          <cell r="G1076" t="str">
            <v>CB39020000100T</v>
          </cell>
          <cell r="H1076">
            <v>10</v>
          </cell>
          <cell r="I1076">
            <v>0.75</v>
          </cell>
          <cell r="J1076">
            <v>2</v>
          </cell>
          <cell r="K1076">
            <v>3</v>
          </cell>
        </row>
        <row r="1077">
          <cell r="A1077" t="str">
            <v>M1</v>
          </cell>
          <cell r="B1077" t="str">
            <v>A4C</v>
          </cell>
          <cell r="C1077" t="str">
            <v>P</v>
          </cell>
          <cell r="D1077" t="str">
            <v>22008</v>
          </cell>
          <cell r="E1077" t="str">
            <v>SOL</v>
          </cell>
          <cell r="F1077">
            <v>2</v>
          </cell>
          <cell r="G1077" t="str">
            <v>CB390200001001</v>
          </cell>
          <cell r="H1077">
            <v>10</v>
          </cell>
          <cell r="I1077">
            <v>1</v>
          </cell>
          <cell r="J1077">
            <v>2</v>
          </cell>
          <cell r="K1077">
            <v>3</v>
          </cell>
        </row>
        <row r="1078">
          <cell r="A1078" t="str">
            <v>M1</v>
          </cell>
          <cell r="B1078" t="str">
            <v>A4C</v>
          </cell>
          <cell r="C1078" t="str">
            <v>P</v>
          </cell>
          <cell r="D1078" t="str">
            <v>22008</v>
          </cell>
          <cell r="E1078" t="str">
            <v>TEE</v>
          </cell>
          <cell r="F1078">
            <v>2</v>
          </cell>
          <cell r="G1078" t="str">
            <v>CB300304001000</v>
          </cell>
          <cell r="H1078">
            <v>10</v>
          </cell>
          <cell r="I1078" t="str">
            <v>--</v>
          </cell>
          <cell r="J1078">
            <v>1</v>
          </cell>
          <cell r="K1078">
            <v>2</v>
          </cell>
        </row>
        <row r="1079">
          <cell r="A1079" t="str">
            <v>M1</v>
          </cell>
          <cell r="B1079" t="str">
            <v>A4C</v>
          </cell>
          <cell r="C1079" t="str">
            <v>P</v>
          </cell>
          <cell r="D1079" t="str">
            <v>22008</v>
          </cell>
          <cell r="E1079" t="str">
            <v>TEE</v>
          </cell>
          <cell r="F1079">
            <v>2</v>
          </cell>
          <cell r="G1079" t="str">
            <v>CB300304001000</v>
          </cell>
          <cell r="H1079">
            <v>10</v>
          </cell>
          <cell r="I1079" t="str">
            <v>--</v>
          </cell>
          <cell r="J1079">
            <v>1</v>
          </cell>
          <cell r="K1079">
            <v>2</v>
          </cell>
        </row>
        <row r="1080">
          <cell r="A1080" t="str">
            <v>M1</v>
          </cell>
          <cell r="B1080" t="str">
            <v>A5C</v>
          </cell>
          <cell r="C1080" t="str">
            <v>P</v>
          </cell>
          <cell r="D1080" t="str">
            <v>22075</v>
          </cell>
          <cell r="E1080" t="str">
            <v>TOL</v>
          </cell>
          <cell r="F1080">
            <v>2</v>
          </cell>
          <cell r="G1080" t="str">
            <v>CB39030000100T</v>
          </cell>
          <cell r="H1080">
            <v>10</v>
          </cell>
          <cell r="I1080">
            <v>0.75</v>
          </cell>
          <cell r="J1080">
            <v>1</v>
          </cell>
          <cell r="K1080">
            <v>2</v>
          </cell>
        </row>
        <row r="1081">
          <cell r="A1081" t="str">
            <v>M1</v>
          </cell>
          <cell r="B1081" t="str">
            <v>A4C</v>
          </cell>
          <cell r="C1081" t="str">
            <v>P</v>
          </cell>
          <cell r="D1081" t="str">
            <v>22080</v>
          </cell>
          <cell r="E1081" t="str">
            <v>TOL</v>
          </cell>
          <cell r="F1081">
            <v>2</v>
          </cell>
          <cell r="G1081" t="str">
            <v>CB39030000100T</v>
          </cell>
          <cell r="H1081">
            <v>10</v>
          </cell>
          <cell r="I1081">
            <v>0.75</v>
          </cell>
          <cell r="J1081">
            <v>1</v>
          </cell>
          <cell r="K1081">
            <v>2</v>
          </cell>
        </row>
        <row r="1082">
          <cell r="A1082" t="str">
            <v>M1</v>
          </cell>
          <cell r="B1082" t="str">
            <v>A5C</v>
          </cell>
          <cell r="C1082" t="str">
            <v>COMP</v>
          </cell>
          <cell r="D1082" t="str">
            <v>001</v>
          </cell>
          <cell r="E1082" t="str">
            <v>90 ELL</v>
          </cell>
          <cell r="F1082">
            <v>2</v>
          </cell>
          <cell r="G1082" t="str">
            <v>CB300104001200</v>
          </cell>
          <cell r="H1082">
            <v>12</v>
          </cell>
          <cell r="I1082" t="str">
            <v>--</v>
          </cell>
          <cell r="J1082">
            <v>2</v>
          </cell>
          <cell r="K1082">
            <v>3</v>
          </cell>
        </row>
        <row r="1083">
          <cell r="A1083" t="str">
            <v>M1</v>
          </cell>
          <cell r="B1083" t="str">
            <v>A5C</v>
          </cell>
          <cell r="C1083" t="str">
            <v>COMP</v>
          </cell>
          <cell r="D1083" t="str">
            <v>002</v>
          </cell>
          <cell r="E1083" t="str">
            <v>90 ELL</v>
          </cell>
          <cell r="F1083">
            <v>2</v>
          </cell>
          <cell r="G1083" t="str">
            <v>CB300104001200</v>
          </cell>
          <cell r="H1083">
            <v>12</v>
          </cell>
          <cell r="I1083" t="str">
            <v>--</v>
          </cell>
          <cell r="J1083">
            <v>2</v>
          </cell>
          <cell r="K1083">
            <v>3</v>
          </cell>
        </row>
        <row r="1084">
          <cell r="A1084" t="str">
            <v>M1</v>
          </cell>
          <cell r="B1084" t="str">
            <v>B1X</v>
          </cell>
          <cell r="C1084" t="str">
            <v>P</v>
          </cell>
          <cell r="D1084" t="str">
            <v>22042</v>
          </cell>
          <cell r="E1084" t="str">
            <v>90 ELL</v>
          </cell>
          <cell r="F1084">
            <v>2</v>
          </cell>
          <cell r="G1084" t="str">
            <v>LN300100001200</v>
          </cell>
          <cell r="H1084">
            <v>12</v>
          </cell>
          <cell r="I1084" t="str">
            <v>--</v>
          </cell>
          <cell r="J1084">
            <v>2</v>
          </cell>
          <cell r="K1084">
            <v>3</v>
          </cell>
        </row>
        <row r="1085">
          <cell r="A1085" t="str">
            <v>M1</v>
          </cell>
          <cell r="B1085" t="str">
            <v>B1X</v>
          </cell>
          <cell r="C1085" t="str">
            <v>P</v>
          </cell>
          <cell r="D1085" t="str">
            <v>22042</v>
          </cell>
          <cell r="E1085" t="str">
            <v>SOL</v>
          </cell>
          <cell r="F1085">
            <v>2</v>
          </cell>
          <cell r="G1085" t="str">
            <v>CB39020000120T</v>
          </cell>
          <cell r="H1085">
            <v>12</v>
          </cell>
          <cell r="I1085">
            <v>0.75</v>
          </cell>
          <cell r="J1085">
            <v>2</v>
          </cell>
          <cell r="K1085">
            <v>3</v>
          </cell>
        </row>
        <row r="1086">
          <cell r="A1086" t="str">
            <v>M1</v>
          </cell>
          <cell r="B1086" t="str">
            <v>B1X</v>
          </cell>
          <cell r="C1086" t="str">
            <v>P</v>
          </cell>
          <cell r="D1086" t="str">
            <v>22042</v>
          </cell>
          <cell r="E1086" t="str">
            <v>TOL</v>
          </cell>
          <cell r="F1086">
            <v>2</v>
          </cell>
          <cell r="G1086" t="str">
            <v>CB39030000120T</v>
          </cell>
          <cell r="H1086">
            <v>12</v>
          </cell>
          <cell r="I1086">
            <v>0.75</v>
          </cell>
          <cell r="J1086">
            <v>1</v>
          </cell>
          <cell r="K1086">
            <v>2</v>
          </cell>
        </row>
        <row r="1087">
          <cell r="A1087" t="str">
            <v>M1</v>
          </cell>
          <cell r="B1087" t="str">
            <v>A5C</v>
          </cell>
          <cell r="C1087" t="str">
            <v>P</v>
          </cell>
          <cell r="D1087" t="str">
            <v>22054</v>
          </cell>
          <cell r="E1087" t="str">
            <v>90 ELL</v>
          </cell>
          <cell r="F1087">
            <v>2</v>
          </cell>
          <cell r="G1087" t="str">
            <v>CB300104001400</v>
          </cell>
          <cell r="H1087">
            <v>14</v>
          </cell>
          <cell r="I1087" t="str">
            <v>--</v>
          </cell>
          <cell r="J1087">
            <v>2</v>
          </cell>
          <cell r="K1087">
            <v>2</v>
          </cell>
        </row>
        <row r="1088">
          <cell r="A1088" t="str">
            <v>M1</v>
          </cell>
          <cell r="B1088" t="str">
            <v>A5C</v>
          </cell>
          <cell r="C1088" t="str">
            <v>P</v>
          </cell>
          <cell r="D1088" t="str">
            <v>22056</v>
          </cell>
          <cell r="E1088" t="str">
            <v>90 ELL</v>
          </cell>
          <cell r="F1088">
            <v>2</v>
          </cell>
          <cell r="G1088" t="str">
            <v>CB300104001400</v>
          </cell>
          <cell r="H1088">
            <v>14</v>
          </cell>
          <cell r="I1088" t="str">
            <v>--</v>
          </cell>
          <cell r="J1088">
            <v>2</v>
          </cell>
          <cell r="K1088">
            <v>2</v>
          </cell>
        </row>
        <row r="1089">
          <cell r="A1089" t="str">
            <v>M1</v>
          </cell>
          <cell r="B1089" t="str">
            <v>A5C</v>
          </cell>
          <cell r="C1089" t="str">
            <v>P</v>
          </cell>
          <cell r="D1089" t="str">
            <v>22054</v>
          </cell>
          <cell r="E1089" t="str">
            <v>TOL</v>
          </cell>
          <cell r="F1089">
            <v>2</v>
          </cell>
          <cell r="G1089" t="str">
            <v>CB39030000140T</v>
          </cell>
          <cell r="H1089">
            <v>14</v>
          </cell>
          <cell r="I1089">
            <v>0.75</v>
          </cell>
          <cell r="J1089">
            <v>1</v>
          </cell>
          <cell r="K1089">
            <v>1</v>
          </cell>
        </row>
        <row r="1090">
          <cell r="A1090" t="str">
            <v>M1</v>
          </cell>
          <cell r="B1090" t="str">
            <v>A5C</v>
          </cell>
          <cell r="C1090" t="str">
            <v>P</v>
          </cell>
          <cell r="D1090" t="str">
            <v>22058</v>
          </cell>
          <cell r="E1090" t="str">
            <v>90 ELL</v>
          </cell>
          <cell r="F1090">
            <v>2</v>
          </cell>
          <cell r="G1090" t="str">
            <v>CB300104001400</v>
          </cell>
          <cell r="H1090">
            <v>14</v>
          </cell>
          <cell r="I1090" t="str">
            <v>--</v>
          </cell>
          <cell r="J1090">
            <v>2</v>
          </cell>
          <cell r="K1090">
            <v>2</v>
          </cell>
        </row>
        <row r="1091">
          <cell r="A1091" t="str">
            <v>M1</v>
          </cell>
          <cell r="B1091" t="str">
            <v>A5C</v>
          </cell>
          <cell r="C1091" t="str">
            <v>P</v>
          </cell>
          <cell r="D1091" t="str">
            <v>22058</v>
          </cell>
          <cell r="E1091" t="str">
            <v>SOL</v>
          </cell>
          <cell r="F1091">
            <v>2</v>
          </cell>
          <cell r="G1091" t="str">
            <v>CB39020000140T</v>
          </cell>
          <cell r="H1091">
            <v>14</v>
          </cell>
          <cell r="I1091">
            <v>0.75</v>
          </cell>
          <cell r="J1091">
            <v>1</v>
          </cell>
          <cell r="K1091">
            <v>1</v>
          </cell>
        </row>
        <row r="1092">
          <cell r="A1092" t="str">
            <v>M1</v>
          </cell>
          <cell r="B1092" t="str">
            <v>B1C</v>
          </cell>
          <cell r="C1092" t="str">
            <v>P</v>
          </cell>
          <cell r="D1092" t="str">
            <v>22027</v>
          </cell>
          <cell r="E1092" t="str">
            <v>5D 90 BEND</v>
          </cell>
          <cell r="F1092">
            <v>2</v>
          </cell>
          <cell r="G1092" t="str">
            <v>CB308804001400</v>
          </cell>
          <cell r="H1092">
            <v>14</v>
          </cell>
          <cell r="I1092" t="str">
            <v>--</v>
          </cell>
          <cell r="J1092">
            <v>3</v>
          </cell>
          <cell r="K1092">
            <v>3</v>
          </cell>
        </row>
        <row r="1093">
          <cell r="A1093" t="str">
            <v>M1</v>
          </cell>
          <cell r="B1093" t="str">
            <v>B1C</v>
          </cell>
          <cell r="C1093" t="str">
            <v>P</v>
          </cell>
          <cell r="D1093" t="str">
            <v>22027</v>
          </cell>
          <cell r="E1093" t="str">
            <v>SOL</v>
          </cell>
          <cell r="F1093">
            <v>2</v>
          </cell>
          <cell r="G1093" t="str">
            <v>CB39020000140T</v>
          </cell>
          <cell r="H1093">
            <v>14</v>
          </cell>
          <cell r="I1093">
            <v>0.75</v>
          </cell>
          <cell r="J1093">
            <v>1</v>
          </cell>
          <cell r="K1093">
            <v>1</v>
          </cell>
        </row>
        <row r="1094">
          <cell r="A1094" t="str">
            <v>M1</v>
          </cell>
          <cell r="B1094" t="str">
            <v>B1C</v>
          </cell>
          <cell r="C1094" t="str">
            <v>P</v>
          </cell>
          <cell r="D1094" t="str">
            <v>22027</v>
          </cell>
          <cell r="E1094" t="str">
            <v>TOL</v>
          </cell>
          <cell r="F1094">
            <v>2</v>
          </cell>
          <cell r="G1094" t="str">
            <v>CB39030000140T</v>
          </cell>
          <cell r="H1094">
            <v>14</v>
          </cell>
          <cell r="I1094">
            <v>0.75</v>
          </cell>
          <cell r="J1094">
            <v>1</v>
          </cell>
          <cell r="K1094">
            <v>1</v>
          </cell>
        </row>
        <row r="1095">
          <cell r="A1095" t="str">
            <v>M1</v>
          </cell>
          <cell r="B1095" t="str">
            <v>A5C</v>
          </cell>
          <cell r="C1095" t="str">
            <v>P</v>
          </cell>
          <cell r="D1095" t="str">
            <v>22074</v>
          </cell>
          <cell r="E1095" t="str">
            <v>CAP</v>
          </cell>
          <cell r="F1095">
            <v>2</v>
          </cell>
          <cell r="G1095" t="str">
            <v>CB300704001600</v>
          </cell>
          <cell r="H1095">
            <v>16</v>
          </cell>
          <cell r="I1095" t="str">
            <v>--</v>
          </cell>
          <cell r="J1095">
            <v>2</v>
          </cell>
          <cell r="K1095">
            <v>2</v>
          </cell>
        </row>
        <row r="1096">
          <cell r="A1096" t="str">
            <v>M1</v>
          </cell>
          <cell r="B1096" t="str">
            <v>A5C</v>
          </cell>
          <cell r="C1096" t="str">
            <v>COMP</v>
          </cell>
          <cell r="D1096" t="str">
            <v>006</v>
          </cell>
          <cell r="E1096" t="str">
            <v>SW FLG</v>
          </cell>
          <cell r="F1096">
            <v>3</v>
          </cell>
          <cell r="G1096" t="str">
            <v>CB240108000H00</v>
          </cell>
          <cell r="H1096">
            <v>0.5</v>
          </cell>
          <cell r="I1096" t="str">
            <v>--</v>
          </cell>
          <cell r="J1096">
            <v>10</v>
          </cell>
          <cell r="K1096">
            <v>10</v>
          </cell>
        </row>
        <row r="1097">
          <cell r="A1097" t="str">
            <v>M1</v>
          </cell>
          <cell r="B1097" t="str">
            <v>A5C</v>
          </cell>
          <cell r="C1097" t="str">
            <v>P</v>
          </cell>
          <cell r="D1097" t="str">
            <v>22107</v>
          </cell>
          <cell r="E1097" t="str">
            <v>SW FLG</v>
          </cell>
          <cell r="F1097">
            <v>3</v>
          </cell>
          <cell r="G1097" t="str">
            <v>CB240108000H00</v>
          </cell>
          <cell r="H1097">
            <v>0.5</v>
          </cell>
          <cell r="I1097" t="str">
            <v>--</v>
          </cell>
          <cell r="J1097">
            <v>20</v>
          </cell>
          <cell r="K1097">
            <v>20</v>
          </cell>
        </row>
        <row r="1098">
          <cell r="A1098" t="str">
            <v>M1</v>
          </cell>
          <cell r="B1098" t="str">
            <v>A5C</v>
          </cell>
          <cell r="C1098" t="str">
            <v>P</v>
          </cell>
          <cell r="D1098" t="str">
            <v>22157</v>
          </cell>
          <cell r="E1098" t="str">
            <v>SW FLG</v>
          </cell>
          <cell r="F1098">
            <v>3</v>
          </cell>
          <cell r="G1098" t="str">
            <v>CB240108000H00</v>
          </cell>
          <cell r="H1098">
            <v>0.5</v>
          </cell>
          <cell r="I1098" t="str">
            <v>--</v>
          </cell>
          <cell r="J1098">
            <v>2</v>
          </cell>
          <cell r="K1098">
            <v>2</v>
          </cell>
        </row>
        <row r="1099">
          <cell r="A1099" t="str">
            <v>M1</v>
          </cell>
          <cell r="B1099" t="str">
            <v>A5C</v>
          </cell>
          <cell r="C1099" t="str">
            <v>P</v>
          </cell>
          <cell r="D1099" t="str">
            <v>22158</v>
          </cell>
          <cell r="E1099" t="str">
            <v>SW FLG</v>
          </cell>
          <cell r="F1099">
            <v>3</v>
          </cell>
          <cell r="G1099" t="str">
            <v>CB240108000H00</v>
          </cell>
          <cell r="H1099">
            <v>0.5</v>
          </cell>
          <cell r="I1099" t="str">
            <v>--</v>
          </cell>
          <cell r="J1099">
            <v>2</v>
          </cell>
          <cell r="K1099">
            <v>2</v>
          </cell>
        </row>
        <row r="1100">
          <cell r="A1100" t="str">
            <v>M1</v>
          </cell>
          <cell r="B1100" t="str">
            <v>A5C</v>
          </cell>
          <cell r="C1100" t="str">
            <v>SCC</v>
          </cell>
          <cell r="D1100" t="str">
            <v>HOLD1</v>
          </cell>
          <cell r="E1100" t="str">
            <v>SW FLG</v>
          </cell>
          <cell r="F1100">
            <v>3</v>
          </cell>
          <cell r="G1100" t="str">
            <v>CB240108000H00</v>
          </cell>
          <cell r="H1100">
            <v>0.5</v>
          </cell>
          <cell r="I1100" t="str">
            <v>--</v>
          </cell>
          <cell r="J1100">
            <v>6</v>
          </cell>
          <cell r="K1100">
            <v>6</v>
          </cell>
        </row>
        <row r="1101">
          <cell r="A1101" t="str">
            <v>M1</v>
          </cell>
          <cell r="B1101" t="str">
            <v>A5C</v>
          </cell>
          <cell r="C1101" t="str">
            <v>SCD</v>
          </cell>
          <cell r="D1101" t="str">
            <v>HOLD1</v>
          </cell>
          <cell r="E1101" t="str">
            <v>SW FLG</v>
          </cell>
          <cell r="F1101">
            <v>3</v>
          </cell>
          <cell r="G1101" t="str">
            <v>CB240108000H00</v>
          </cell>
          <cell r="H1101">
            <v>0.5</v>
          </cell>
          <cell r="I1101" t="str">
            <v>--</v>
          </cell>
          <cell r="J1101">
            <v>4</v>
          </cell>
          <cell r="K1101">
            <v>4</v>
          </cell>
        </row>
        <row r="1102">
          <cell r="A1102" t="str">
            <v>M1</v>
          </cell>
          <cell r="B1102" t="str">
            <v>A5C</v>
          </cell>
          <cell r="C1102" t="str">
            <v>P</v>
          </cell>
          <cell r="D1102" t="str">
            <v>22039</v>
          </cell>
          <cell r="E1102" t="str">
            <v>SW FLG</v>
          </cell>
          <cell r="F1102">
            <v>3</v>
          </cell>
          <cell r="G1102" t="str">
            <v>CB240108000H00</v>
          </cell>
          <cell r="H1102">
            <v>0.5</v>
          </cell>
          <cell r="I1102" t="str">
            <v>--</v>
          </cell>
          <cell r="J1102">
            <v>2</v>
          </cell>
          <cell r="K1102">
            <v>2</v>
          </cell>
        </row>
        <row r="1103">
          <cell r="A1103" t="str">
            <v>M1</v>
          </cell>
          <cell r="B1103" t="str">
            <v>A5C</v>
          </cell>
          <cell r="C1103" t="str">
            <v>P</v>
          </cell>
          <cell r="D1103" t="str">
            <v>22041</v>
          </cell>
          <cell r="E1103" t="str">
            <v>SW FLG</v>
          </cell>
          <cell r="F1103">
            <v>3</v>
          </cell>
          <cell r="G1103" t="str">
            <v>CB240108000H00</v>
          </cell>
          <cell r="H1103">
            <v>0.5</v>
          </cell>
          <cell r="I1103" t="str">
            <v>--</v>
          </cell>
          <cell r="J1103">
            <v>2</v>
          </cell>
          <cell r="K1103">
            <v>2</v>
          </cell>
        </row>
        <row r="1104">
          <cell r="A1104" t="str">
            <v>M1</v>
          </cell>
          <cell r="B1104" t="str">
            <v>A5C</v>
          </cell>
          <cell r="C1104" t="str">
            <v>P</v>
          </cell>
          <cell r="D1104" t="str">
            <v>22040</v>
          </cell>
          <cell r="E1104" t="str">
            <v>SW FLG</v>
          </cell>
          <cell r="F1104">
            <v>3</v>
          </cell>
          <cell r="G1104" t="str">
            <v>CB240108000H00</v>
          </cell>
          <cell r="H1104">
            <v>0.5</v>
          </cell>
          <cell r="I1104" t="str">
            <v>--</v>
          </cell>
          <cell r="J1104">
            <v>2</v>
          </cell>
          <cell r="K1104">
            <v>2</v>
          </cell>
        </row>
        <row r="1105">
          <cell r="A1105" t="str">
            <v>M1</v>
          </cell>
          <cell r="B1105" t="str">
            <v>A4C</v>
          </cell>
          <cell r="C1105" t="str">
            <v>P</v>
          </cell>
          <cell r="D1105" t="str">
            <v>22031</v>
          </cell>
          <cell r="E1105" t="str">
            <v>SW FLG</v>
          </cell>
          <cell r="F1105">
            <v>3</v>
          </cell>
          <cell r="G1105" t="str">
            <v>CB240108000H00</v>
          </cell>
          <cell r="H1105">
            <v>0.5</v>
          </cell>
          <cell r="I1105" t="str">
            <v>--</v>
          </cell>
          <cell r="J1105">
            <v>6</v>
          </cell>
          <cell r="K1105">
            <v>6</v>
          </cell>
        </row>
        <row r="1106">
          <cell r="A1106" t="str">
            <v>M1</v>
          </cell>
          <cell r="B1106" t="str">
            <v>A5C</v>
          </cell>
          <cell r="C1106" t="str">
            <v>N</v>
          </cell>
          <cell r="D1106" t="str">
            <v>25613</v>
          </cell>
          <cell r="E1106" t="str">
            <v>SW FLG</v>
          </cell>
          <cell r="F1106">
            <v>3</v>
          </cell>
          <cell r="G1106" t="str">
            <v>CB240108000T00</v>
          </cell>
          <cell r="H1106">
            <v>0.75</v>
          </cell>
          <cell r="I1106" t="str">
            <v>--</v>
          </cell>
          <cell r="J1106">
            <v>1</v>
          </cell>
          <cell r="K1106">
            <v>1</v>
          </cell>
        </row>
        <row r="1107">
          <cell r="A1107" t="str">
            <v>M1</v>
          </cell>
          <cell r="B1107" t="str">
            <v>A5C</v>
          </cell>
          <cell r="C1107" t="str">
            <v>N</v>
          </cell>
          <cell r="D1107" t="str">
            <v>25618</v>
          </cell>
          <cell r="E1107" t="str">
            <v>SW FLG</v>
          </cell>
          <cell r="F1107">
            <v>3</v>
          </cell>
          <cell r="G1107" t="str">
            <v>CB240108000T00</v>
          </cell>
          <cell r="H1107">
            <v>0.75</v>
          </cell>
          <cell r="I1107" t="str">
            <v>--</v>
          </cell>
          <cell r="J1107">
            <v>1</v>
          </cell>
          <cell r="K1107">
            <v>1</v>
          </cell>
        </row>
        <row r="1108">
          <cell r="A1108" t="str">
            <v>M1</v>
          </cell>
          <cell r="B1108" t="str">
            <v>A5C</v>
          </cell>
          <cell r="C1108" t="str">
            <v>P</v>
          </cell>
          <cell r="D1108" t="str">
            <v>22101</v>
          </cell>
          <cell r="E1108" t="str">
            <v>SW FLG</v>
          </cell>
          <cell r="F1108">
            <v>3</v>
          </cell>
          <cell r="G1108" t="str">
            <v>CB240108000T00</v>
          </cell>
          <cell r="H1108">
            <v>0.75</v>
          </cell>
          <cell r="I1108" t="str">
            <v>--</v>
          </cell>
          <cell r="J1108">
            <v>2</v>
          </cell>
          <cell r="K1108">
            <v>2</v>
          </cell>
        </row>
        <row r="1109">
          <cell r="A1109" t="str">
            <v>M1</v>
          </cell>
          <cell r="B1109" t="str">
            <v>A5C</v>
          </cell>
          <cell r="C1109" t="str">
            <v>IA</v>
          </cell>
          <cell r="D1109" t="str">
            <v>22611</v>
          </cell>
          <cell r="E1109" t="str">
            <v>SW FLG</v>
          </cell>
          <cell r="F1109">
            <v>3</v>
          </cell>
          <cell r="G1109" t="str">
            <v>CB240108000T00</v>
          </cell>
          <cell r="H1109">
            <v>0.75</v>
          </cell>
          <cell r="I1109" t="str">
            <v>--</v>
          </cell>
          <cell r="J1109">
            <v>2</v>
          </cell>
          <cell r="K1109">
            <v>2</v>
          </cell>
        </row>
        <row r="1110">
          <cell r="A1110" t="str">
            <v>M1</v>
          </cell>
          <cell r="B1110" t="str">
            <v>A5C</v>
          </cell>
          <cell r="C1110" t="str">
            <v>N</v>
          </cell>
          <cell r="D1110" t="str">
            <v>22617</v>
          </cell>
          <cell r="E1110" t="str">
            <v>SW FLG</v>
          </cell>
          <cell r="F1110">
            <v>3</v>
          </cell>
          <cell r="G1110" t="str">
            <v>CB240108000T00</v>
          </cell>
          <cell r="H1110">
            <v>0.75</v>
          </cell>
          <cell r="I1110" t="str">
            <v>--</v>
          </cell>
          <cell r="J1110">
            <v>3</v>
          </cell>
          <cell r="K1110">
            <v>3</v>
          </cell>
        </row>
        <row r="1111">
          <cell r="A1111" t="str">
            <v>M1</v>
          </cell>
          <cell r="B1111" t="str">
            <v>A5C</v>
          </cell>
          <cell r="C1111" t="str">
            <v>P</v>
          </cell>
          <cell r="D1111" t="str">
            <v>22102</v>
          </cell>
          <cell r="E1111" t="str">
            <v>SW FLG</v>
          </cell>
          <cell r="F1111">
            <v>3</v>
          </cell>
          <cell r="G1111" t="str">
            <v>CB240108000T00</v>
          </cell>
          <cell r="H1111">
            <v>0.75</v>
          </cell>
          <cell r="I1111" t="str">
            <v>--</v>
          </cell>
          <cell r="J1111">
            <v>2</v>
          </cell>
          <cell r="K1111">
            <v>2</v>
          </cell>
        </row>
        <row r="1112">
          <cell r="A1112" t="str">
            <v>M1</v>
          </cell>
          <cell r="B1112" t="str">
            <v>A5C</v>
          </cell>
          <cell r="C1112" t="str">
            <v>SCD</v>
          </cell>
          <cell r="D1112" t="str">
            <v>HOLD1</v>
          </cell>
          <cell r="E1112" t="str">
            <v>SW FLG</v>
          </cell>
          <cell r="F1112">
            <v>3</v>
          </cell>
          <cell r="G1112" t="str">
            <v>CB240108000T00</v>
          </cell>
          <cell r="H1112">
            <v>0.75</v>
          </cell>
          <cell r="I1112" t="str">
            <v>--</v>
          </cell>
          <cell r="J1112">
            <v>6</v>
          </cell>
          <cell r="K1112">
            <v>6</v>
          </cell>
        </row>
        <row r="1113">
          <cell r="A1113" t="str">
            <v>M1</v>
          </cell>
          <cell r="B1113" t="str">
            <v>A5C</v>
          </cell>
          <cell r="C1113" t="str">
            <v>TRIM</v>
          </cell>
          <cell r="D1113" t="str">
            <v>V-2214</v>
          </cell>
          <cell r="E1113" t="str">
            <v>SW FLG</v>
          </cell>
          <cell r="F1113">
            <v>3</v>
          </cell>
          <cell r="G1113" t="str">
            <v>CB240108000T00</v>
          </cell>
          <cell r="H1113">
            <v>0.75</v>
          </cell>
          <cell r="I1113" t="str">
            <v>--</v>
          </cell>
          <cell r="J1113">
            <v>4</v>
          </cell>
          <cell r="K1113">
            <v>4</v>
          </cell>
        </row>
        <row r="1114">
          <cell r="A1114" t="str">
            <v>M1</v>
          </cell>
          <cell r="B1114" t="str">
            <v>A5C</v>
          </cell>
          <cell r="C1114" t="str">
            <v>TRIM</v>
          </cell>
          <cell r="D1114" t="str">
            <v>V-2213</v>
          </cell>
          <cell r="E1114" t="str">
            <v>SW FLG</v>
          </cell>
          <cell r="F1114">
            <v>3</v>
          </cell>
          <cell r="G1114" t="str">
            <v>CB240108000T00</v>
          </cell>
          <cell r="H1114">
            <v>0.75</v>
          </cell>
          <cell r="I1114" t="str">
            <v>--</v>
          </cell>
          <cell r="J1114">
            <v>2</v>
          </cell>
          <cell r="K1114">
            <v>2</v>
          </cell>
        </row>
        <row r="1115">
          <cell r="A1115" t="str">
            <v>M1</v>
          </cell>
          <cell r="B1115" t="str">
            <v>A6C</v>
          </cell>
          <cell r="C1115" t="str">
            <v>HOS</v>
          </cell>
          <cell r="D1115" t="str">
            <v>65634</v>
          </cell>
          <cell r="E1115" t="str">
            <v>SW FLG</v>
          </cell>
          <cell r="F1115">
            <v>3</v>
          </cell>
          <cell r="G1115" t="str">
            <v>CB240108000T00</v>
          </cell>
          <cell r="H1115">
            <v>0.75</v>
          </cell>
          <cell r="I1115" t="str">
            <v>--</v>
          </cell>
          <cell r="J1115">
            <v>1</v>
          </cell>
          <cell r="K1115">
            <v>1</v>
          </cell>
        </row>
        <row r="1116">
          <cell r="A1116" t="str">
            <v>M1</v>
          </cell>
          <cell r="B1116" t="str">
            <v>A6C</v>
          </cell>
          <cell r="C1116" t="str">
            <v>TRIM</v>
          </cell>
          <cell r="D1116" t="str">
            <v>H-6501</v>
          </cell>
          <cell r="E1116" t="str">
            <v>SW FLG</v>
          </cell>
          <cell r="F1116">
            <v>3</v>
          </cell>
          <cell r="G1116" t="str">
            <v>CB240108000T00</v>
          </cell>
          <cell r="H1116">
            <v>0.75</v>
          </cell>
          <cell r="I1116" t="str">
            <v>--</v>
          </cell>
          <cell r="J1116">
            <v>1</v>
          </cell>
          <cell r="K1116">
            <v>1</v>
          </cell>
        </row>
        <row r="1117">
          <cell r="A1117" t="str">
            <v>M1</v>
          </cell>
          <cell r="B1117" t="str">
            <v>A6C</v>
          </cell>
          <cell r="C1117" t="str">
            <v>TRIM</v>
          </cell>
          <cell r="D1117" t="str">
            <v>V-6502</v>
          </cell>
          <cell r="E1117" t="str">
            <v>SW FLG</v>
          </cell>
          <cell r="F1117">
            <v>3</v>
          </cell>
          <cell r="G1117" t="str">
            <v>CB240108000T00</v>
          </cell>
          <cell r="H1117">
            <v>0.75</v>
          </cell>
          <cell r="I1117" t="str">
            <v>--</v>
          </cell>
          <cell r="J1117">
            <v>2</v>
          </cell>
          <cell r="K1117">
            <v>2</v>
          </cell>
        </row>
        <row r="1118">
          <cell r="A1118" t="str">
            <v>M1</v>
          </cell>
          <cell r="B1118" t="str">
            <v>A6C</v>
          </cell>
          <cell r="C1118" t="str">
            <v>HOR</v>
          </cell>
          <cell r="D1118" t="str">
            <v>65620</v>
          </cell>
          <cell r="E1118" t="str">
            <v>SW FLG</v>
          </cell>
          <cell r="F1118">
            <v>3</v>
          </cell>
          <cell r="G1118" t="str">
            <v>CB240108000T00</v>
          </cell>
          <cell r="H1118">
            <v>0.75</v>
          </cell>
          <cell r="I1118" t="str">
            <v>--</v>
          </cell>
          <cell r="J1118">
            <v>1</v>
          </cell>
          <cell r="K1118">
            <v>1</v>
          </cell>
        </row>
        <row r="1119">
          <cell r="A1119" t="str">
            <v>M1</v>
          </cell>
          <cell r="B1119" t="str">
            <v>A6C</v>
          </cell>
          <cell r="C1119" t="str">
            <v>HOR</v>
          </cell>
          <cell r="D1119" t="str">
            <v>65622</v>
          </cell>
          <cell r="E1119" t="str">
            <v>SW FLG</v>
          </cell>
          <cell r="F1119">
            <v>3</v>
          </cell>
          <cell r="G1119" t="str">
            <v>CB240108000T00</v>
          </cell>
          <cell r="H1119">
            <v>0.75</v>
          </cell>
          <cell r="I1119" t="str">
            <v>--</v>
          </cell>
          <cell r="J1119">
            <v>4</v>
          </cell>
          <cell r="K1119">
            <v>4</v>
          </cell>
        </row>
        <row r="1120">
          <cell r="A1120" t="str">
            <v>M1</v>
          </cell>
          <cell r="B1120" t="str">
            <v>B1X</v>
          </cell>
          <cell r="C1120" t="str">
            <v>P</v>
          </cell>
          <cell r="D1120" t="str">
            <v>22042</v>
          </cell>
          <cell r="E1120" t="str">
            <v>WN FLG</v>
          </cell>
          <cell r="F1120">
            <v>3</v>
          </cell>
          <cell r="G1120" t="str">
            <v>CB200208000T00</v>
          </cell>
          <cell r="H1120">
            <v>0.75</v>
          </cell>
          <cell r="I1120" t="str">
            <v>--</v>
          </cell>
          <cell r="J1120">
            <v>2</v>
          </cell>
          <cell r="K1120">
            <v>2</v>
          </cell>
        </row>
        <row r="1121">
          <cell r="A1121" t="str">
            <v>M1</v>
          </cell>
          <cell r="B1121" t="str">
            <v>B2C</v>
          </cell>
          <cell r="C1121" t="str">
            <v>SH</v>
          </cell>
          <cell r="D1121" t="str">
            <v>22614</v>
          </cell>
          <cell r="E1121" t="str">
            <v>SW FLG</v>
          </cell>
          <cell r="F1121">
            <v>3</v>
          </cell>
          <cell r="G1121" t="str">
            <v>CB240208000100</v>
          </cell>
          <cell r="H1121">
            <v>1</v>
          </cell>
          <cell r="I1121" t="str">
            <v>--</v>
          </cell>
          <cell r="J1121">
            <v>1</v>
          </cell>
          <cell r="K1121">
            <v>1</v>
          </cell>
        </row>
        <row r="1122">
          <cell r="A1122" t="str">
            <v>M1</v>
          </cell>
          <cell r="B1122" t="str">
            <v>B2C</v>
          </cell>
          <cell r="C1122" t="str">
            <v>SH</v>
          </cell>
          <cell r="D1122" t="str">
            <v>22611</v>
          </cell>
          <cell r="E1122" t="str">
            <v>SW FLG</v>
          </cell>
          <cell r="F1122">
            <v>3</v>
          </cell>
          <cell r="G1122" t="str">
            <v>CB240208000100</v>
          </cell>
          <cell r="H1122">
            <v>1</v>
          </cell>
          <cell r="I1122" t="str">
            <v>--</v>
          </cell>
          <cell r="J1122">
            <v>2</v>
          </cell>
          <cell r="K1122">
            <v>2</v>
          </cell>
        </row>
        <row r="1123">
          <cell r="A1123" t="str">
            <v>M1</v>
          </cell>
          <cell r="B1123" t="str">
            <v>B2C</v>
          </cell>
          <cell r="C1123" t="str">
            <v>TRIM</v>
          </cell>
          <cell r="D1123" t="str">
            <v>E-2204</v>
          </cell>
          <cell r="E1123" t="str">
            <v>SW FLG</v>
          </cell>
          <cell r="F1123">
            <v>3</v>
          </cell>
          <cell r="G1123" t="str">
            <v>CB240208000100</v>
          </cell>
          <cell r="H1123">
            <v>1</v>
          </cell>
          <cell r="I1123" t="str">
            <v>--</v>
          </cell>
          <cell r="J1123">
            <v>1</v>
          </cell>
          <cell r="K1123">
            <v>1</v>
          </cell>
        </row>
        <row r="1124">
          <cell r="A1124" t="str">
            <v>M1</v>
          </cell>
          <cell r="B1124" t="str">
            <v>A5C</v>
          </cell>
          <cell r="C1124" t="str">
            <v>P</v>
          </cell>
          <cell r="D1124" t="str">
            <v>22109</v>
          </cell>
          <cell r="E1124" t="str">
            <v>LWN FLG</v>
          </cell>
          <cell r="F1124">
            <v>3</v>
          </cell>
          <cell r="G1124" t="str">
            <v>CB2901000001WL</v>
          </cell>
          <cell r="H1124">
            <v>1</v>
          </cell>
          <cell r="I1124" t="str">
            <v>150mm</v>
          </cell>
          <cell r="J1124">
            <v>1</v>
          </cell>
          <cell r="K1124">
            <v>1</v>
          </cell>
        </row>
        <row r="1125">
          <cell r="A1125" t="str">
            <v>M1</v>
          </cell>
          <cell r="B1125" t="str">
            <v>A5C</v>
          </cell>
          <cell r="C1125" t="str">
            <v>P</v>
          </cell>
          <cell r="D1125" t="str">
            <v>22102</v>
          </cell>
          <cell r="E1125" t="str">
            <v>LWN FLG</v>
          </cell>
          <cell r="F1125">
            <v>3</v>
          </cell>
          <cell r="G1125" t="str">
            <v>CB2901000001WL</v>
          </cell>
          <cell r="H1125">
            <v>1</v>
          </cell>
          <cell r="I1125" t="str">
            <v>150mm</v>
          </cell>
          <cell r="J1125">
            <v>1</v>
          </cell>
          <cell r="K1125">
            <v>1</v>
          </cell>
        </row>
        <row r="1126">
          <cell r="A1126" t="str">
            <v>M1</v>
          </cell>
          <cell r="B1126" t="str">
            <v>A5C</v>
          </cell>
          <cell r="C1126" t="str">
            <v>P</v>
          </cell>
          <cell r="D1126" t="str">
            <v>22054</v>
          </cell>
          <cell r="E1126" t="str">
            <v>LWN FLG</v>
          </cell>
          <cell r="F1126">
            <v>3</v>
          </cell>
          <cell r="G1126" t="str">
            <v>CB2901000001WL</v>
          </cell>
          <cell r="H1126">
            <v>1</v>
          </cell>
          <cell r="I1126" t="str">
            <v>150mm</v>
          </cell>
          <cell r="J1126">
            <v>1</v>
          </cell>
          <cell r="K1126">
            <v>1</v>
          </cell>
        </row>
        <row r="1127">
          <cell r="A1127" t="str">
            <v>M1</v>
          </cell>
          <cell r="B1127" t="str">
            <v>A5C</v>
          </cell>
          <cell r="C1127" t="str">
            <v>P</v>
          </cell>
          <cell r="D1127" t="str">
            <v>22056</v>
          </cell>
          <cell r="E1127" t="str">
            <v>LWN FLG</v>
          </cell>
          <cell r="F1127">
            <v>3</v>
          </cell>
          <cell r="G1127" t="str">
            <v>CB2901000001WL</v>
          </cell>
          <cell r="H1127">
            <v>1</v>
          </cell>
          <cell r="I1127" t="str">
            <v>150mm</v>
          </cell>
          <cell r="J1127">
            <v>1</v>
          </cell>
          <cell r="K1127">
            <v>1</v>
          </cell>
        </row>
        <row r="1128">
          <cell r="A1128" t="str">
            <v>M1</v>
          </cell>
          <cell r="B1128" t="str">
            <v>A5C</v>
          </cell>
          <cell r="C1128" t="str">
            <v>N</v>
          </cell>
          <cell r="D1128" t="str">
            <v>22630</v>
          </cell>
          <cell r="E1128" t="str">
            <v>SW FLG</v>
          </cell>
          <cell r="F1128">
            <v>3</v>
          </cell>
          <cell r="G1128" t="str">
            <v>CB240108000100</v>
          </cell>
          <cell r="H1128">
            <v>1</v>
          </cell>
          <cell r="I1128" t="str">
            <v>--</v>
          </cell>
          <cell r="J1128">
            <v>1</v>
          </cell>
          <cell r="K1128">
            <v>1</v>
          </cell>
        </row>
        <row r="1129">
          <cell r="A1129" t="str">
            <v>M1</v>
          </cell>
          <cell r="B1129" t="str">
            <v>A5C</v>
          </cell>
          <cell r="C1129" t="str">
            <v>N</v>
          </cell>
          <cell r="D1129" t="str">
            <v>22670</v>
          </cell>
          <cell r="E1129" t="str">
            <v>SW FLG</v>
          </cell>
          <cell r="F1129">
            <v>3</v>
          </cell>
          <cell r="G1129" t="str">
            <v>CB240108000100</v>
          </cell>
          <cell r="H1129">
            <v>1</v>
          </cell>
          <cell r="I1129" t="str">
            <v>--</v>
          </cell>
          <cell r="J1129">
            <v>4</v>
          </cell>
          <cell r="K1129">
            <v>4</v>
          </cell>
        </row>
        <row r="1130">
          <cell r="A1130" t="str">
            <v>M1</v>
          </cell>
          <cell r="B1130" t="str">
            <v>A5C</v>
          </cell>
          <cell r="C1130" t="str">
            <v>N</v>
          </cell>
          <cell r="D1130" t="str">
            <v>22682</v>
          </cell>
          <cell r="E1130" t="str">
            <v>SW FLG</v>
          </cell>
          <cell r="F1130">
            <v>3</v>
          </cell>
          <cell r="G1130" t="str">
            <v>CB240208000100</v>
          </cell>
          <cell r="H1130">
            <v>1</v>
          </cell>
          <cell r="I1130" t="str">
            <v>--</v>
          </cell>
          <cell r="J1130">
            <v>2</v>
          </cell>
          <cell r="K1130">
            <v>2</v>
          </cell>
        </row>
        <row r="1131">
          <cell r="A1131" t="str">
            <v>M1</v>
          </cell>
          <cell r="B1131" t="str">
            <v>A5C</v>
          </cell>
          <cell r="C1131" t="str">
            <v>N</v>
          </cell>
          <cell r="D1131" t="str">
            <v>22681</v>
          </cell>
          <cell r="E1131" t="str">
            <v>SW FLG</v>
          </cell>
          <cell r="F1131">
            <v>3</v>
          </cell>
          <cell r="G1131" t="str">
            <v>CB240208000100</v>
          </cell>
          <cell r="H1131">
            <v>1</v>
          </cell>
          <cell r="I1131" t="str">
            <v>--</v>
          </cell>
          <cell r="J1131">
            <v>2</v>
          </cell>
          <cell r="K1131">
            <v>2</v>
          </cell>
        </row>
        <row r="1132">
          <cell r="A1132" t="str">
            <v>M1</v>
          </cell>
          <cell r="B1132" t="str">
            <v>A5C</v>
          </cell>
          <cell r="C1132" t="str">
            <v>N</v>
          </cell>
          <cell r="D1132" t="str">
            <v>25611</v>
          </cell>
          <cell r="E1132" t="str">
            <v>SW FLG</v>
          </cell>
          <cell r="F1132">
            <v>3</v>
          </cell>
          <cell r="G1132" t="str">
            <v>CB240108000100</v>
          </cell>
          <cell r="H1132">
            <v>1</v>
          </cell>
          <cell r="I1132" t="str">
            <v>--</v>
          </cell>
          <cell r="J1132">
            <v>1</v>
          </cell>
          <cell r="K1132">
            <v>1</v>
          </cell>
        </row>
        <row r="1133">
          <cell r="A1133" t="str">
            <v>M1</v>
          </cell>
          <cell r="B1133" t="str">
            <v>A5C</v>
          </cell>
          <cell r="C1133" t="str">
            <v>N</v>
          </cell>
          <cell r="D1133" t="str">
            <v>25614</v>
          </cell>
          <cell r="E1133" t="str">
            <v>SW FLG</v>
          </cell>
          <cell r="F1133">
            <v>3</v>
          </cell>
          <cell r="G1133" t="str">
            <v>CB240108000100</v>
          </cell>
          <cell r="H1133">
            <v>1</v>
          </cell>
          <cell r="I1133" t="str">
            <v>--</v>
          </cell>
          <cell r="J1133">
            <v>1</v>
          </cell>
          <cell r="K1133">
            <v>1</v>
          </cell>
        </row>
        <row r="1134">
          <cell r="A1134" t="str">
            <v>M1</v>
          </cell>
          <cell r="B1134" t="str">
            <v>A5C</v>
          </cell>
          <cell r="C1134" t="str">
            <v>P</v>
          </cell>
          <cell r="D1134" t="str">
            <v>21004</v>
          </cell>
          <cell r="E1134" t="str">
            <v>SW FLG</v>
          </cell>
          <cell r="F1134">
            <v>3</v>
          </cell>
          <cell r="G1134" t="str">
            <v>CB240108000100</v>
          </cell>
          <cell r="H1134">
            <v>1</v>
          </cell>
          <cell r="I1134" t="str">
            <v>--</v>
          </cell>
          <cell r="J1134">
            <v>1</v>
          </cell>
          <cell r="K1134">
            <v>1</v>
          </cell>
        </row>
        <row r="1135">
          <cell r="A1135" t="str">
            <v>M1</v>
          </cell>
          <cell r="B1135" t="str">
            <v>A5C</v>
          </cell>
          <cell r="C1135" t="str">
            <v>P</v>
          </cell>
          <cell r="D1135" t="str">
            <v>22011</v>
          </cell>
          <cell r="E1135" t="str">
            <v>SW FLG</v>
          </cell>
          <cell r="F1135">
            <v>3</v>
          </cell>
          <cell r="G1135" t="str">
            <v>CB240108000100</v>
          </cell>
          <cell r="H1135">
            <v>1</v>
          </cell>
          <cell r="I1135" t="str">
            <v>--</v>
          </cell>
          <cell r="J1135">
            <v>1</v>
          </cell>
          <cell r="K1135">
            <v>1</v>
          </cell>
        </row>
        <row r="1136">
          <cell r="A1136" t="str">
            <v>M1</v>
          </cell>
          <cell r="B1136" t="str">
            <v>A5C</v>
          </cell>
          <cell r="C1136" t="str">
            <v>P</v>
          </cell>
          <cell r="D1136" t="str">
            <v>22066</v>
          </cell>
          <cell r="E1136" t="str">
            <v>SW FLG</v>
          </cell>
          <cell r="F1136">
            <v>3</v>
          </cell>
          <cell r="G1136" t="str">
            <v>CB240108000100</v>
          </cell>
          <cell r="H1136">
            <v>1</v>
          </cell>
          <cell r="I1136" t="str">
            <v>--</v>
          </cell>
          <cell r="J1136">
            <v>2</v>
          </cell>
          <cell r="K1136">
            <v>2</v>
          </cell>
        </row>
        <row r="1137">
          <cell r="A1137" t="str">
            <v>M1</v>
          </cell>
          <cell r="B1137" t="str">
            <v>A5C</v>
          </cell>
          <cell r="C1137" t="str">
            <v>P</v>
          </cell>
          <cell r="D1137" t="str">
            <v>22103</v>
          </cell>
          <cell r="E1137" t="str">
            <v>SW FLG</v>
          </cell>
          <cell r="F1137">
            <v>3</v>
          </cell>
          <cell r="G1137" t="str">
            <v>CB240208000100</v>
          </cell>
          <cell r="H1137">
            <v>1</v>
          </cell>
          <cell r="I1137" t="str">
            <v>--</v>
          </cell>
          <cell r="J1137">
            <v>2</v>
          </cell>
          <cell r="K1137">
            <v>2</v>
          </cell>
        </row>
        <row r="1138">
          <cell r="A1138" t="str">
            <v>M1</v>
          </cell>
          <cell r="B1138" t="str">
            <v>A5C</v>
          </cell>
          <cell r="C1138" t="str">
            <v>P</v>
          </cell>
          <cell r="D1138" t="str">
            <v>22106</v>
          </cell>
          <cell r="E1138" t="str">
            <v>SW FLG</v>
          </cell>
          <cell r="F1138">
            <v>3</v>
          </cell>
          <cell r="G1138" t="str">
            <v>CB240108000100</v>
          </cell>
          <cell r="H1138">
            <v>1</v>
          </cell>
          <cell r="I1138" t="str">
            <v>--</v>
          </cell>
          <cell r="J1138">
            <v>1</v>
          </cell>
          <cell r="K1138">
            <v>1</v>
          </cell>
        </row>
        <row r="1139">
          <cell r="A1139" t="str">
            <v>M1</v>
          </cell>
          <cell r="B1139" t="str">
            <v>A5C</v>
          </cell>
          <cell r="C1139" t="str">
            <v>P</v>
          </cell>
          <cell r="D1139" t="str">
            <v>22140</v>
          </cell>
          <cell r="E1139" t="str">
            <v>SW FLG</v>
          </cell>
          <cell r="F1139">
            <v>3</v>
          </cell>
          <cell r="G1139" t="str">
            <v>CB240108000100</v>
          </cell>
          <cell r="H1139">
            <v>1</v>
          </cell>
          <cell r="I1139" t="str">
            <v>--</v>
          </cell>
          <cell r="J1139">
            <v>2</v>
          </cell>
          <cell r="K1139">
            <v>2</v>
          </cell>
        </row>
        <row r="1140">
          <cell r="A1140" t="str">
            <v>M1</v>
          </cell>
          <cell r="B1140" t="str">
            <v>A5C</v>
          </cell>
          <cell r="C1140" t="str">
            <v>P</v>
          </cell>
          <cell r="D1140" t="str">
            <v>99002</v>
          </cell>
          <cell r="E1140" t="str">
            <v>SW FLG</v>
          </cell>
          <cell r="F1140">
            <v>3</v>
          </cell>
          <cell r="G1140" t="str">
            <v>CB240108000100</v>
          </cell>
          <cell r="H1140">
            <v>1</v>
          </cell>
          <cell r="I1140" t="str">
            <v>--</v>
          </cell>
          <cell r="J1140">
            <v>3</v>
          </cell>
          <cell r="K1140">
            <v>3</v>
          </cell>
        </row>
        <row r="1141">
          <cell r="A1141" t="str">
            <v>M1</v>
          </cell>
          <cell r="B1141" t="str">
            <v>A5C</v>
          </cell>
          <cell r="C1141" t="str">
            <v>N</v>
          </cell>
          <cell r="D1141" t="str">
            <v>22670</v>
          </cell>
          <cell r="E1141" t="str">
            <v>SW FLG</v>
          </cell>
          <cell r="F1141">
            <v>3</v>
          </cell>
          <cell r="G1141" t="str">
            <v>CB240108000100</v>
          </cell>
          <cell r="H1141">
            <v>1</v>
          </cell>
          <cell r="I1141" t="str">
            <v>--</v>
          </cell>
          <cell r="J1141">
            <v>2</v>
          </cell>
          <cell r="K1141">
            <v>2</v>
          </cell>
        </row>
        <row r="1142">
          <cell r="A1142" t="str">
            <v>M1</v>
          </cell>
          <cell r="B1142" t="str">
            <v>A5C</v>
          </cell>
          <cell r="C1142" t="str">
            <v>N</v>
          </cell>
          <cell r="D1142" t="str">
            <v>25614</v>
          </cell>
          <cell r="E1142" t="str">
            <v>SW FLG</v>
          </cell>
          <cell r="F1142">
            <v>3</v>
          </cell>
          <cell r="G1142" t="str">
            <v>CB240208000100</v>
          </cell>
          <cell r="H1142">
            <v>1</v>
          </cell>
          <cell r="I1142" t="str">
            <v>--</v>
          </cell>
          <cell r="J1142">
            <v>2</v>
          </cell>
          <cell r="K1142">
            <v>2</v>
          </cell>
        </row>
        <row r="1143">
          <cell r="A1143" t="str">
            <v>M1</v>
          </cell>
          <cell r="B1143" t="str">
            <v>A5C</v>
          </cell>
          <cell r="C1143" t="str">
            <v>P</v>
          </cell>
          <cell r="D1143" t="str">
            <v>22102</v>
          </cell>
          <cell r="E1143" t="str">
            <v>SW FLG</v>
          </cell>
          <cell r="F1143">
            <v>3</v>
          </cell>
          <cell r="G1143" t="str">
            <v>CB240108000100</v>
          </cell>
          <cell r="H1143">
            <v>1</v>
          </cell>
          <cell r="I1143" t="str">
            <v>--</v>
          </cell>
          <cell r="J1143">
            <v>1</v>
          </cell>
          <cell r="K1143">
            <v>1</v>
          </cell>
        </row>
        <row r="1144">
          <cell r="A1144" t="str">
            <v>M1</v>
          </cell>
          <cell r="B1144" t="str">
            <v>A5C</v>
          </cell>
          <cell r="C1144" t="str">
            <v>P</v>
          </cell>
          <cell r="D1144" t="str">
            <v>22130</v>
          </cell>
          <cell r="E1144" t="str">
            <v>SW FLG</v>
          </cell>
          <cell r="F1144">
            <v>3</v>
          </cell>
          <cell r="G1144" t="str">
            <v>CB240108000100</v>
          </cell>
          <cell r="H1144">
            <v>1</v>
          </cell>
          <cell r="I1144" t="str">
            <v>--</v>
          </cell>
          <cell r="J1144">
            <v>2</v>
          </cell>
          <cell r="K1144">
            <v>2</v>
          </cell>
        </row>
        <row r="1145">
          <cell r="A1145" t="str">
            <v>M1</v>
          </cell>
          <cell r="B1145" t="str">
            <v>A5C</v>
          </cell>
          <cell r="C1145" t="str">
            <v>TRIM</v>
          </cell>
          <cell r="D1145" t="str">
            <v>V-2202</v>
          </cell>
          <cell r="E1145" t="str">
            <v>SW FLG</v>
          </cell>
          <cell r="F1145">
            <v>3</v>
          </cell>
          <cell r="G1145" t="str">
            <v>CB240108000100</v>
          </cell>
          <cell r="H1145">
            <v>1</v>
          </cell>
          <cell r="I1145" t="str">
            <v>--</v>
          </cell>
          <cell r="J1145">
            <v>3</v>
          </cell>
          <cell r="K1145">
            <v>3</v>
          </cell>
        </row>
        <row r="1146">
          <cell r="A1146" t="str">
            <v>M1</v>
          </cell>
          <cell r="B1146" t="str">
            <v>A5C</v>
          </cell>
          <cell r="C1146" t="str">
            <v>TRIM</v>
          </cell>
          <cell r="D1146" t="str">
            <v>V-2206</v>
          </cell>
          <cell r="E1146" t="str">
            <v>SW FLG</v>
          </cell>
          <cell r="F1146">
            <v>3</v>
          </cell>
          <cell r="G1146" t="str">
            <v>CB240108000100</v>
          </cell>
          <cell r="H1146">
            <v>1</v>
          </cell>
          <cell r="I1146" t="str">
            <v>--</v>
          </cell>
          <cell r="J1146">
            <v>1</v>
          </cell>
          <cell r="K1146">
            <v>1</v>
          </cell>
        </row>
        <row r="1147">
          <cell r="A1147" t="str">
            <v>M1</v>
          </cell>
          <cell r="B1147" t="str">
            <v>A5C</v>
          </cell>
          <cell r="C1147" t="str">
            <v>P</v>
          </cell>
          <cell r="D1147" t="str">
            <v>22099</v>
          </cell>
          <cell r="E1147" t="str">
            <v>LWN FLG</v>
          </cell>
          <cell r="F1147">
            <v>3</v>
          </cell>
          <cell r="G1147" t="str">
            <v>CB2901000001WL</v>
          </cell>
          <cell r="H1147">
            <v>1</v>
          </cell>
          <cell r="I1147" t="str">
            <v>150mm</v>
          </cell>
          <cell r="J1147">
            <v>1</v>
          </cell>
          <cell r="K1147">
            <v>1</v>
          </cell>
        </row>
        <row r="1148">
          <cell r="A1148" t="str">
            <v>M1</v>
          </cell>
          <cell r="B1148" t="str">
            <v>A6C</v>
          </cell>
          <cell r="C1148" t="str">
            <v>HOS</v>
          </cell>
          <cell r="D1148" t="str">
            <v>65621</v>
          </cell>
          <cell r="E1148" t="str">
            <v>SW FLG</v>
          </cell>
          <cell r="F1148">
            <v>3</v>
          </cell>
          <cell r="G1148" t="str">
            <v>CB240108000100</v>
          </cell>
          <cell r="H1148">
            <v>1</v>
          </cell>
          <cell r="I1148" t="str">
            <v>--</v>
          </cell>
          <cell r="J1148">
            <v>3</v>
          </cell>
          <cell r="K1148">
            <v>3</v>
          </cell>
        </row>
        <row r="1149">
          <cell r="A1149" t="str">
            <v>M1</v>
          </cell>
          <cell r="B1149" t="str">
            <v>A6C</v>
          </cell>
          <cell r="C1149" t="str">
            <v>HOR</v>
          </cell>
          <cell r="D1149" t="str">
            <v>65612</v>
          </cell>
          <cell r="E1149" t="str">
            <v>SW FLG</v>
          </cell>
          <cell r="F1149">
            <v>3</v>
          </cell>
          <cell r="G1149" t="str">
            <v>CB240108000100</v>
          </cell>
          <cell r="H1149">
            <v>1</v>
          </cell>
          <cell r="I1149" t="str">
            <v>--</v>
          </cell>
          <cell r="J1149">
            <v>2</v>
          </cell>
          <cell r="K1149">
            <v>2</v>
          </cell>
        </row>
        <row r="1150">
          <cell r="A1150" t="str">
            <v>M1</v>
          </cell>
          <cell r="B1150" t="str">
            <v>A5C</v>
          </cell>
          <cell r="C1150" t="str">
            <v>P</v>
          </cell>
          <cell r="D1150" t="str">
            <v>22003</v>
          </cell>
          <cell r="E1150" t="str">
            <v>LWN FLG</v>
          </cell>
          <cell r="F1150">
            <v>3</v>
          </cell>
          <cell r="G1150" t="str">
            <v>CB2901000001WL</v>
          </cell>
          <cell r="H1150">
            <v>1</v>
          </cell>
          <cell r="I1150" t="str">
            <v>150mm</v>
          </cell>
          <cell r="J1150">
            <v>1</v>
          </cell>
          <cell r="K1150">
            <v>1</v>
          </cell>
        </row>
        <row r="1151">
          <cell r="A1151" t="str">
            <v>M1</v>
          </cell>
          <cell r="B1151" t="str">
            <v>A5C</v>
          </cell>
          <cell r="C1151" t="str">
            <v>P</v>
          </cell>
          <cell r="D1151" t="str">
            <v>22058</v>
          </cell>
          <cell r="E1151" t="str">
            <v>LWN FLG</v>
          </cell>
          <cell r="F1151">
            <v>3</v>
          </cell>
          <cell r="G1151" t="str">
            <v>CB2901000001WL</v>
          </cell>
          <cell r="H1151">
            <v>1</v>
          </cell>
          <cell r="I1151" t="str">
            <v>150mm</v>
          </cell>
          <cell r="J1151">
            <v>1</v>
          </cell>
          <cell r="K1151">
            <v>1</v>
          </cell>
        </row>
        <row r="1152">
          <cell r="A1152" t="str">
            <v>M1</v>
          </cell>
          <cell r="B1152" t="str">
            <v>A5C</v>
          </cell>
          <cell r="C1152" t="str">
            <v>P</v>
          </cell>
          <cell r="D1152" t="str">
            <v>22060</v>
          </cell>
          <cell r="E1152" t="str">
            <v>LWN FLG</v>
          </cell>
          <cell r="F1152">
            <v>3</v>
          </cell>
          <cell r="G1152" t="str">
            <v>CB2901000001WL</v>
          </cell>
          <cell r="H1152">
            <v>1</v>
          </cell>
          <cell r="I1152" t="str">
            <v>150mm</v>
          </cell>
          <cell r="J1152">
            <v>1</v>
          </cell>
          <cell r="K1152">
            <v>1</v>
          </cell>
        </row>
        <row r="1153">
          <cell r="A1153" t="str">
            <v>M1</v>
          </cell>
          <cell r="B1153" t="str">
            <v>A6C</v>
          </cell>
          <cell r="C1153" t="str">
            <v>HOS</v>
          </cell>
          <cell r="D1153" t="str">
            <v>65624</v>
          </cell>
          <cell r="E1153" t="str">
            <v>LWN FLG</v>
          </cell>
          <cell r="F1153">
            <v>3</v>
          </cell>
          <cell r="G1153" t="str">
            <v>CB2901000001WL</v>
          </cell>
          <cell r="H1153">
            <v>1</v>
          </cell>
          <cell r="I1153" t="str">
            <v>150mm</v>
          </cell>
          <cell r="J1153">
            <v>1</v>
          </cell>
          <cell r="K1153">
            <v>1</v>
          </cell>
        </row>
        <row r="1154">
          <cell r="A1154" t="str">
            <v>M1</v>
          </cell>
          <cell r="B1154" t="str">
            <v>A6C</v>
          </cell>
          <cell r="C1154" t="str">
            <v>HOS</v>
          </cell>
          <cell r="D1154" t="str">
            <v>65613</v>
          </cell>
          <cell r="E1154" t="str">
            <v>LWN FLG</v>
          </cell>
          <cell r="F1154">
            <v>3</v>
          </cell>
          <cell r="G1154" t="str">
            <v>CB2901000001WL</v>
          </cell>
          <cell r="H1154">
            <v>1</v>
          </cell>
          <cell r="I1154" t="str">
            <v>150mm</v>
          </cell>
          <cell r="J1154">
            <v>1</v>
          </cell>
          <cell r="K1154">
            <v>1</v>
          </cell>
        </row>
        <row r="1155">
          <cell r="A1155" t="str">
            <v>M1</v>
          </cell>
          <cell r="B1155" t="str">
            <v>A6C</v>
          </cell>
          <cell r="C1155" t="str">
            <v>HOS</v>
          </cell>
          <cell r="D1155" t="str">
            <v>65631</v>
          </cell>
          <cell r="E1155" t="str">
            <v>LWN FLG</v>
          </cell>
          <cell r="F1155">
            <v>3</v>
          </cell>
          <cell r="G1155" t="str">
            <v>CB2901000001WL</v>
          </cell>
          <cell r="H1155">
            <v>1</v>
          </cell>
          <cell r="I1155" t="str">
            <v>150mm</v>
          </cell>
          <cell r="J1155">
            <v>1</v>
          </cell>
          <cell r="K1155">
            <v>1</v>
          </cell>
        </row>
        <row r="1156">
          <cell r="A1156" t="str">
            <v>M1</v>
          </cell>
          <cell r="B1156" t="str">
            <v>A5C</v>
          </cell>
          <cell r="C1156" t="str">
            <v>P</v>
          </cell>
          <cell r="D1156" t="str">
            <v>22096</v>
          </cell>
          <cell r="E1156" t="str">
            <v>LWN FLG</v>
          </cell>
          <cell r="F1156">
            <v>3</v>
          </cell>
          <cell r="G1156" t="str">
            <v>CB2901000001WL</v>
          </cell>
          <cell r="H1156">
            <v>1</v>
          </cell>
          <cell r="I1156" t="str">
            <v>150mm</v>
          </cell>
          <cell r="J1156">
            <v>1</v>
          </cell>
          <cell r="K1156">
            <v>1</v>
          </cell>
        </row>
        <row r="1157">
          <cell r="A1157" t="str">
            <v>M1</v>
          </cell>
          <cell r="B1157" t="str">
            <v>A6C</v>
          </cell>
          <cell r="C1157" t="str">
            <v>HOR</v>
          </cell>
          <cell r="D1157" t="str">
            <v>65813</v>
          </cell>
          <cell r="E1157" t="str">
            <v>LWN FLG</v>
          </cell>
          <cell r="F1157">
            <v>3</v>
          </cell>
          <cell r="G1157" t="str">
            <v>CB2901000001WL</v>
          </cell>
          <cell r="H1157">
            <v>1</v>
          </cell>
          <cell r="I1157" t="str">
            <v>150mm</v>
          </cell>
          <cell r="J1157">
            <v>1</v>
          </cell>
          <cell r="K1157">
            <v>1</v>
          </cell>
        </row>
        <row r="1158">
          <cell r="A1158" t="str">
            <v>M1</v>
          </cell>
          <cell r="B1158" t="str">
            <v>A6C</v>
          </cell>
          <cell r="C1158" t="str">
            <v>HOR</v>
          </cell>
          <cell r="D1158" t="str">
            <v>65611</v>
          </cell>
          <cell r="E1158" t="str">
            <v>LWN FLG</v>
          </cell>
          <cell r="F1158">
            <v>3</v>
          </cell>
          <cell r="G1158" t="str">
            <v>CB2901000001WL</v>
          </cell>
          <cell r="H1158">
            <v>1</v>
          </cell>
          <cell r="I1158" t="str">
            <v>150mm</v>
          </cell>
          <cell r="J1158">
            <v>1</v>
          </cell>
          <cell r="K1158">
            <v>1</v>
          </cell>
        </row>
        <row r="1159">
          <cell r="A1159" t="str">
            <v>M1</v>
          </cell>
          <cell r="B1159" t="str">
            <v>A6C</v>
          </cell>
          <cell r="C1159" t="str">
            <v>HOR</v>
          </cell>
          <cell r="D1159" t="str">
            <v>65619</v>
          </cell>
          <cell r="E1159" t="str">
            <v>LWN FLG</v>
          </cell>
          <cell r="F1159">
            <v>3</v>
          </cell>
          <cell r="G1159" t="str">
            <v>CB2901000001WL</v>
          </cell>
          <cell r="H1159">
            <v>1</v>
          </cell>
          <cell r="I1159" t="str">
            <v>150mm</v>
          </cell>
          <cell r="J1159">
            <v>1</v>
          </cell>
          <cell r="K1159">
            <v>1</v>
          </cell>
        </row>
        <row r="1160">
          <cell r="A1160" t="str">
            <v>M1</v>
          </cell>
          <cell r="B1160" t="str">
            <v>A6C</v>
          </cell>
          <cell r="C1160" t="str">
            <v>HOS</v>
          </cell>
          <cell r="D1160" t="str">
            <v>65624</v>
          </cell>
          <cell r="E1160" t="str">
            <v>LWN FLG</v>
          </cell>
          <cell r="F1160">
            <v>3</v>
          </cell>
          <cell r="G1160" t="str">
            <v>CB2901000001WL</v>
          </cell>
          <cell r="H1160">
            <v>1</v>
          </cell>
          <cell r="I1160" t="str">
            <v>150mm</v>
          </cell>
          <cell r="J1160">
            <v>1</v>
          </cell>
          <cell r="K1160">
            <v>1</v>
          </cell>
        </row>
        <row r="1161">
          <cell r="A1161" t="str">
            <v>M1</v>
          </cell>
          <cell r="B1161" t="str">
            <v>A4C</v>
          </cell>
          <cell r="C1161" t="str">
            <v>P</v>
          </cell>
          <cell r="D1161" t="str">
            <v>22008</v>
          </cell>
          <cell r="E1161" t="str">
            <v>LWN FLG</v>
          </cell>
          <cell r="F1161">
            <v>3</v>
          </cell>
          <cell r="G1161" t="str">
            <v>CB2901000001WL</v>
          </cell>
          <cell r="H1161">
            <v>1</v>
          </cell>
          <cell r="I1161" t="str">
            <v>150mm</v>
          </cell>
          <cell r="J1161">
            <v>1</v>
          </cell>
          <cell r="K1161">
            <v>1</v>
          </cell>
        </row>
        <row r="1162">
          <cell r="A1162" t="str">
            <v>M1</v>
          </cell>
          <cell r="B1162" t="str">
            <v>A4C</v>
          </cell>
          <cell r="C1162" t="str">
            <v>P</v>
          </cell>
          <cell r="D1162" t="str">
            <v>22008</v>
          </cell>
          <cell r="E1162" t="str">
            <v>LWN FLG</v>
          </cell>
          <cell r="F1162">
            <v>3</v>
          </cell>
          <cell r="G1162" t="str">
            <v>CB2901000001WL</v>
          </cell>
          <cell r="H1162">
            <v>1</v>
          </cell>
          <cell r="I1162" t="str">
            <v>150mm</v>
          </cell>
          <cell r="J1162">
            <v>1</v>
          </cell>
          <cell r="K1162">
            <v>1</v>
          </cell>
        </row>
        <row r="1163">
          <cell r="A1163" t="str">
            <v>M1</v>
          </cell>
          <cell r="B1163" t="str">
            <v>A4C</v>
          </cell>
          <cell r="C1163" t="str">
            <v>P</v>
          </cell>
          <cell r="D1163" t="str">
            <v>22080</v>
          </cell>
          <cell r="E1163" t="str">
            <v>LWN FLG</v>
          </cell>
          <cell r="F1163">
            <v>3</v>
          </cell>
          <cell r="G1163" t="str">
            <v>CB2901000001WL</v>
          </cell>
          <cell r="H1163">
            <v>1</v>
          </cell>
          <cell r="I1163" t="str">
            <v>150mm</v>
          </cell>
          <cell r="J1163">
            <v>2</v>
          </cell>
          <cell r="K1163">
            <v>2</v>
          </cell>
        </row>
        <row r="1164">
          <cell r="A1164" t="str">
            <v>M1</v>
          </cell>
          <cell r="B1164" t="str">
            <v>A6C</v>
          </cell>
          <cell r="C1164" t="str">
            <v>HOS</v>
          </cell>
          <cell r="D1164" t="str">
            <v>65613</v>
          </cell>
          <cell r="E1164" t="str">
            <v>SW FLG</v>
          </cell>
          <cell r="F1164">
            <v>3</v>
          </cell>
          <cell r="G1164" t="str">
            <v>CB240108000100</v>
          </cell>
          <cell r="H1164">
            <v>1</v>
          </cell>
          <cell r="I1164" t="str">
            <v>--</v>
          </cell>
          <cell r="J1164">
            <v>4</v>
          </cell>
          <cell r="K1164">
            <v>4</v>
          </cell>
        </row>
        <row r="1165">
          <cell r="A1165" t="str">
            <v>M1</v>
          </cell>
          <cell r="B1165" t="str">
            <v>A5C</v>
          </cell>
          <cell r="C1165" t="str">
            <v>TRIM</v>
          </cell>
          <cell r="D1165" t="str">
            <v>C-2201</v>
          </cell>
          <cell r="E1165" t="str">
            <v>SW FLG</v>
          </cell>
          <cell r="F1165">
            <v>3</v>
          </cell>
          <cell r="G1165" t="str">
            <v>CB240108000100</v>
          </cell>
          <cell r="H1165">
            <v>1</v>
          </cell>
          <cell r="I1165" t="str">
            <v>--</v>
          </cell>
          <cell r="J1165">
            <v>2</v>
          </cell>
          <cell r="K1165">
            <v>2</v>
          </cell>
        </row>
        <row r="1166">
          <cell r="A1166" t="str">
            <v>M1</v>
          </cell>
          <cell r="B1166" t="str">
            <v>A5C</v>
          </cell>
          <cell r="C1166" t="str">
            <v>TRIM</v>
          </cell>
          <cell r="D1166" t="str">
            <v>V-2209</v>
          </cell>
          <cell r="E1166" t="str">
            <v>SW FLG</v>
          </cell>
          <cell r="F1166">
            <v>3</v>
          </cell>
          <cell r="G1166" t="str">
            <v>CB240108000100</v>
          </cell>
          <cell r="H1166">
            <v>1</v>
          </cell>
          <cell r="I1166" t="str">
            <v>--</v>
          </cell>
          <cell r="J1166">
            <v>1</v>
          </cell>
          <cell r="K1166">
            <v>1</v>
          </cell>
        </row>
        <row r="1167">
          <cell r="A1167" t="str">
            <v>M1</v>
          </cell>
          <cell r="B1167" t="str">
            <v>A6C</v>
          </cell>
          <cell r="C1167" t="str">
            <v>HOR</v>
          </cell>
          <cell r="D1167" t="str">
            <v>65622</v>
          </cell>
          <cell r="E1167" t="str">
            <v>SW FLG</v>
          </cell>
          <cell r="F1167">
            <v>3</v>
          </cell>
          <cell r="G1167" t="str">
            <v>CB240108000100</v>
          </cell>
          <cell r="H1167">
            <v>1</v>
          </cell>
          <cell r="I1167" t="str">
            <v>--</v>
          </cell>
          <cell r="J1167">
            <v>1</v>
          </cell>
          <cell r="K1167">
            <v>1</v>
          </cell>
        </row>
        <row r="1168">
          <cell r="A1168" t="str">
            <v>M1</v>
          </cell>
          <cell r="B1168" t="str">
            <v>A5C</v>
          </cell>
          <cell r="C1168" t="str">
            <v>TRIM</v>
          </cell>
          <cell r="D1168" t="str">
            <v>V-2208</v>
          </cell>
          <cell r="E1168" t="str">
            <v>SW FLG</v>
          </cell>
          <cell r="F1168">
            <v>3</v>
          </cell>
          <cell r="G1168" t="str">
            <v>CB240108000100</v>
          </cell>
          <cell r="H1168">
            <v>1</v>
          </cell>
          <cell r="I1168" t="str">
            <v>--</v>
          </cell>
          <cell r="J1168">
            <v>1</v>
          </cell>
          <cell r="K1168">
            <v>1</v>
          </cell>
        </row>
        <row r="1169">
          <cell r="A1169" t="str">
            <v>M1</v>
          </cell>
          <cell r="B1169" t="str">
            <v>B2C</v>
          </cell>
          <cell r="C1169" t="str">
            <v>SH</v>
          </cell>
          <cell r="D1169" t="str">
            <v>22614</v>
          </cell>
          <cell r="E1169" t="str">
            <v>SW FLG</v>
          </cell>
          <cell r="F1169">
            <v>3</v>
          </cell>
          <cell r="G1169" t="str">
            <v>CB240208001H00</v>
          </cell>
          <cell r="H1169">
            <v>1.5</v>
          </cell>
          <cell r="I1169" t="str">
            <v>--</v>
          </cell>
          <cell r="J1169">
            <v>2</v>
          </cell>
          <cell r="K1169">
            <v>2</v>
          </cell>
        </row>
        <row r="1170">
          <cell r="A1170" t="str">
            <v>M1</v>
          </cell>
          <cell r="B1170" t="str">
            <v>B2C</v>
          </cell>
          <cell r="C1170" t="str">
            <v>SH</v>
          </cell>
          <cell r="D1170" t="str">
            <v>22613</v>
          </cell>
          <cell r="E1170" t="str">
            <v>SW FLG</v>
          </cell>
          <cell r="F1170">
            <v>3</v>
          </cell>
          <cell r="G1170" t="str">
            <v>CB240208001H00</v>
          </cell>
          <cell r="H1170">
            <v>1.5</v>
          </cell>
          <cell r="I1170" t="str">
            <v>--</v>
          </cell>
          <cell r="J1170">
            <v>2</v>
          </cell>
          <cell r="K1170">
            <v>2</v>
          </cell>
        </row>
        <row r="1171">
          <cell r="A1171" t="str">
            <v>M1</v>
          </cell>
          <cell r="B1171" t="str">
            <v>A5C</v>
          </cell>
          <cell r="C1171" t="str">
            <v>P</v>
          </cell>
          <cell r="D1171" t="str">
            <v>22036</v>
          </cell>
          <cell r="E1171" t="str">
            <v>SW FLG</v>
          </cell>
          <cell r="F1171">
            <v>3</v>
          </cell>
          <cell r="G1171" t="str">
            <v>CB240108001H00</v>
          </cell>
          <cell r="H1171">
            <v>1.5</v>
          </cell>
          <cell r="I1171" t="str">
            <v>--</v>
          </cell>
          <cell r="J1171">
            <v>1</v>
          </cell>
          <cell r="K1171">
            <v>1</v>
          </cell>
        </row>
        <row r="1172">
          <cell r="A1172" t="str">
            <v>M1</v>
          </cell>
          <cell r="B1172" t="str">
            <v>A5C</v>
          </cell>
          <cell r="C1172" t="str">
            <v>P</v>
          </cell>
          <cell r="D1172" t="str">
            <v>22045</v>
          </cell>
          <cell r="E1172" t="str">
            <v>SW FLG</v>
          </cell>
          <cell r="F1172">
            <v>3</v>
          </cell>
          <cell r="G1172" t="str">
            <v>CB240108001H00</v>
          </cell>
          <cell r="H1172">
            <v>1.5</v>
          </cell>
          <cell r="I1172" t="str">
            <v>--</v>
          </cell>
          <cell r="J1172">
            <v>5</v>
          </cell>
          <cell r="K1172">
            <v>5</v>
          </cell>
        </row>
        <row r="1173">
          <cell r="A1173" t="str">
            <v>M1</v>
          </cell>
          <cell r="B1173" t="str">
            <v>A5C</v>
          </cell>
          <cell r="C1173" t="str">
            <v>P</v>
          </cell>
          <cell r="D1173" t="str">
            <v>22078</v>
          </cell>
          <cell r="E1173" t="str">
            <v>SW FLG</v>
          </cell>
          <cell r="F1173">
            <v>3</v>
          </cell>
          <cell r="G1173" t="str">
            <v>CB240108001H00</v>
          </cell>
          <cell r="H1173">
            <v>1.5</v>
          </cell>
          <cell r="I1173" t="str">
            <v>--</v>
          </cell>
          <cell r="J1173">
            <v>1</v>
          </cell>
          <cell r="K1173">
            <v>1</v>
          </cell>
        </row>
        <row r="1174">
          <cell r="A1174" t="str">
            <v>M1</v>
          </cell>
          <cell r="B1174" t="str">
            <v>A5C</v>
          </cell>
          <cell r="C1174" t="str">
            <v>P</v>
          </cell>
          <cell r="D1174" t="str">
            <v>22078</v>
          </cell>
          <cell r="E1174" t="str">
            <v>SW FLG</v>
          </cell>
          <cell r="F1174">
            <v>3</v>
          </cell>
          <cell r="G1174" t="str">
            <v>CB240208001H00</v>
          </cell>
          <cell r="H1174">
            <v>1.5</v>
          </cell>
          <cell r="I1174" t="str">
            <v>--</v>
          </cell>
          <cell r="J1174">
            <v>2</v>
          </cell>
          <cell r="K1174">
            <v>2</v>
          </cell>
        </row>
        <row r="1175">
          <cell r="A1175" t="str">
            <v>M1</v>
          </cell>
          <cell r="B1175" t="str">
            <v>A5C</v>
          </cell>
          <cell r="C1175" t="str">
            <v>P</v>
          </cell>
          <cell r="D1175" t="str">
            <v>22071</v>
          </cell>
          <cell r="E1175" t="str">
            <v>SW FLG</v>
          </cell>
          <cell r="F1175">
            <v>3</v>
          </cell>
          <cell r="G1175" t="str">
            <v>CB240208001H00</v>
          </cell>
          <cell r="H1175">
            <v>1.5</v>
          </cell>
          <cell r="I1175" t="str">
            <v>--</v>
          </cell>
          <cell r="J1175">
            <v>2</v>
          </cell>
          <cell r="K1175">
            <v>2</v>
          </cell>
        </row>
        <row r="1176">
          <cell r="A1176" t="str">
            <v>M1</v>
          </cell>
          <cell r="B1176" t="str">
            <v>A5C</v>
          </cell>
          <cell r="C1176" t="str">
            <v>P</v>
          </cell>
          <cell r="D1176" t="str">
            <v>22071</v>
          </cell>
          <cell r="E1176" t="str">
            <v>SW FLG</v>
          </cell>
          <cell r="F1176">
            <v>3</v>
          </cell>
          <cell r="G1176" t="str">
            <v>CB240108001H00</v>
          </cell>
          <cell r="H1176">
            <v>1.5</v>
          </cell>
          <cell r="I1176" t="str">
            <v>--</v>
          </cell>
          <cell r="J1176">
            <v>4</v>
          </cell>
          <cell r="K1176">
            <v>4</v>
          </cell>
        </row>
        <row r="1177">
          <cell r="A1177" t="str">
            <v>M1</v>
          </cell>
          <cell r="B1177" t="str">
            <v>A5C</v>
          </cell>
          <cell r="C1177" t="str">
            <v>P</v>
          </cell>
          <cell r="D1177" t="str">
            <v>22079</v>
          </cell>
          <cell r="E1177" t="str">
            <v>SW FLG</v>
          </cell>
          <cell r="F1177">
            <v>3</v>
          </cell>
          <cell r="G1177" t="str">
            <v>CB240108001H00</v>
          </cell>
          <cell r="H1177">
            <v>1.5</v>
          </cell>
          <cell r="I1177" t="str">
            <v>--</v>
          </cell>
          <cell r="J1177">
            <v>1</v>
          </cell>
          <cell r="K1177">
            <v>1</v>
          </cell>
        </row>
        <row r="1178">
          <cell r="A1178" t="str">
            <v>M1</v>
          </cell>
          <cell r="B1178" t="str">
            <v>A5C</v>
          </cell>
          <cell r="C1178" t="str">
            <v>P</v>
          </cell>
          <cell r="D1178" t="str">
            <v>22101</v>
          </cell>
          <cell r="E1178" t="str">
            <v>SW FLG</v>
          </cell>
          <cell r="F1178">
            <v>3</v>
          </cell>
          <cell r="G1178" t="str">
            <v>CB240108001H00</v>
          </cell>
          <cell r="H1178">
            <v>1.5</v>
          </cell>
          <cell r="I1178" t="str">
            <v>--</v>
          </cell>
          <cell r="J1178">
            <v>1</v>
          </cell>
          <cell r="K1178">
            <v>1</v>
          </cell>
        </row>
        <row r="1179">
          <cell r="A1179" t="str">
            <v>M1</v>
          </cell>
          <cell r="B1179" t="str">
            <v>A5C</v>
          </cell>
          <cell r="C1179" t="str">
            <v>P</v>
          </cell>
          <cell r="D1179" t="str">
            <v>22102</v>
          </cell>
          <cell r="E1179" t="str">
            <v>SW FLG</v>
          </cell>
          <cell r="F1179">
            <v>3</v>
          </cell>
          <cell r="G1179" t="str">
            <v>CB240108001H00</v>
          </cell>
          <cell r="H1179">
            <v>1.5</v>
          </cell>
          <cell r="I1179" t="str">
            <v>--</v>
          </cell>
          <cell r="J1179">
            <v>2</v>
          </cell>
          <cell r="K1179">
            <v>2</v>
          </cell>
        </row>
        <row r="1180">
          <cell r="A1180" t="str">
            <v>M1</v>
          </cell>
          <cell r="B1180" t="str">
            <v>A5C</v>
          </cell>
          <cell r="C1180" t="str">
            <v>P</v>
          </cell>
          <cell r="D1180" t="str">
            <v>22109</v>
          </cell>
          <cell r="E1180" t="str">
            <v>SW FLG</v>
          </cell>
          <cell r="F1180">
            <v>3</v>
          </cell>
          <cell r="G1180" t="str">
            <v>CB240108001H00</v>
          </cell>
          <cell r="H1180">
            <v>1.5</v>
          </cell>
          <cell r="I1180" t="str">
            <v>--</v>
          </cell>
          <cell r="J1180">
            <v>6</v>
          </cell>
          <cell r="K1180">
            <v>6</v>
          </cell>
        </row>
        <row r="1181">
          <cell r="A1181" t="str">
            <v>M1</v>
          </cell>
          <cell r="B1181" t="str">
            <v>A5C</v>
          </cell>
          <cell r="C1181" t="str">
            <v>P</v>
          </cell>
          <cell r="D1181" t="str">
            <v>22102</v>
          </cell>
          <cell r="E1181" t="str">
            <v>SW FLG</v>
          </cell>
          <cell r="F1181">
            <v>3</v>
          </cell>
          <cell r="G1181" t="str">
            <v>CB240208001H00</v>
          </cell>
          <cell r="H1181">
            <v>1.5</v>
          </cell>
          <cell r="I1181" t="str">
            <v>--</v>
          </cell>
          <cell r="J1181">
            <v>2</v>
          </cell>
          <cell r="K1181">
            <v>2</v>
          </cell>
        </row>
        <row r="1182">
          <cell r="A1182" t="str">
            <v>M1</v>
          </cell>
          <cell r="B1182" t="str">
            <v>A5C</v>
          </cell>
          <cell r="C1182" t="str">
            <v>P</v>
          </cell>
          <cell r="D1182" t="str">
            <v>22102</v>
          </cell>
          <cell r="E1182" t="str">
            <v>SW FLG</v>
          </cell>
          <cell r="F1182">
            <v>3</v>
          </cell>
          <cell r="G1182" t="str">
            <v>CB240108001H00</v>
          </cell>
          <cell r="H1182">
            <v>1.5</v>
          </cell>
          <cell r="I1182" t="str">
            <v>--</v>
          </cell>
          <cell r="J1182">
            <v>8</v>
          </cell>
          <cell r="K1182">
            <v>8</v>
          </cell>
        </row>
        <row r="1183">
          <cell r="A1183" t="str">
            <v>M1</v>
          </cell>
          <cell r="B1183" t="str">
            <v>A5C</v>
          </cell>
          <cell r="C1183" t="str">
            <v>P</v>
          </cell>
          <cell r="D1183" t="str">
            <v>22104</v>
          </cell>
          <cell r="E1183" t="str">
            <v>SW FLG</v>
          </cell>
          <cell r="F1183">
            <v>3</v>
          </cell>
          <cell r="G1183" t="str">
            <v>CB240208001H00</v>
          </cell>
          <cell r="H1183">
            <v>1.5</v>
          </cell>
          <cell r="I1183" t="str">
            <v>--</v>
          </cell>
          <cell r="J1183">
            <v>2</v>
          </cell>
          <cell r="K1183">
            <v>2</v>
          </cell>
        </row>
        <row r="1184">
          <cell r="A1184" t="str">
            <v>M1</v>
          </cell>
          <cell r="B1184" t="str">
            <v>A5C</v>
          </cell>
          <cell r="C1184" t="str">
            <v>P</v>
          </cell>
          <cell r="D1184" t="str">
            <v>22104</v>
          </cell>
          <cell r="E1184" t="str">
            <v>SW FLG</v>
          </cell>
          <cell r="F1184">
            <v>3</v>
          </cell>
          <cell r="G1184" t="str">
            <v>CB240108001H00</v>
          </cell>
          <cell r="H1184">
            <v>1.5</v>
          </cell>
          <cell r="I1184" t="str">
            <v>--</v>
          </cell>
          <cell r="J1184">
            <v>1</v>
          </cell>
          <cell r="K1184">
            <v>1</v>
          </cell>
        </row>
        <row r="1185">
          <cell r="A1185" t="str">
            <v>M1</v>
          </cell>
          <cell r="B1185" t="str">
            <v>A5C</v>
          </cell>
          <cell r="C1185" t="str">
            <v>P</v>
          </cell>
          <cell r="D1185" t="str">
            <v>22113</v>
          </cell>
          <cell r="E1185" t="str">
            <v>SW FLG</v>
          </cell>
          <cell r="F1185">
            <v>3</v>
          </cell>
          <cell r="G1185" t="str">
            <v>CB240108001H00</v>
          </cell>
          <cell r="H1185">
            <v>1.5</v>
          </cell>
          <cell r="I1185" t="str">
            <v>--</v>
          </cell>
          <cell r="J1185">
            <v>3</v>
          </cell>
          <cell r="K1185">
            <v>3</v>
          </cell>
        </row>
        <row r="1186">
          <cell r="A1186" t="str">
            <v>M1</v>
          </cell>
          <cell r="B1186" t="str">
            <v>A5C</v>
          </cell>
          <cell r="C1186" t="str">
            <v>P</v>
          </cell>
          <cell r="D1186" t="str">
            <v>22157</v>
          </cell>
          <cell r="E1186" t="str">
            <v>SW FLG</v>
          </cell>
          <cell r="F1186">
            <v>3</v>
          </cell>
          <cell r="G1186" t="str">
            <v>CB240108001H00</v>
          </cell>
          <cell r="H1186">
            <v>1.5</v>
          </cell>
          <cell r="I1186" t="str">
            <v>--</v>
          </cell>
          <cell r="J1186">
            <v>5</v>
          </cell>
          <cell r="K1186">
            <v>5</v>
          </cell>
        </row>
        <row r="1187">
          <cell r="A1187" t="str">
            <v>M1</v>
          </cell>
          <cell r="B1187" t="str">
            <v>A5C</v>
          </cell>
          <cell r="C1187" t="str">
            <v>P</v>
          </cell>
          <cell r="D1187" t="str">
            <v>22158</v>
          </cell>
          <cell r="E1187" t="str">
            <v>SW FLG</v>
          </cell>
          <cell r="F1187">
            <v>3</v>
          </cell>
          <cell r="G1187" t="str">
            <v>CB240108001H00</v>
          </cell>
          <cell r="H1187">
            <v>1.5</v>
          </cell>
          <cell r="I1187" t="str">
            <v>--</v>
          </cell>
          <cell r="J1187">
            <v>5</v>
          </cell>
          <cell r="K1187">
            <v>5</v>
          </cell>
        </row>
        <row r="1188">
          <cell r="A1188" t="str">
            <v>M1</v>
          </cell>
          <cell r="B1188" t="str">
            <v>A5C</v>
          </cell>
          <cell r="C1188" t="str">
            <v>P</v>
          </cell>
          <cell r="D1188" t="str">
            <v>22087</v>
          </cell>
          <cell r="E1188" t="str">
            <v>SW FLG</v>
          </cell>
          <cell r="F1188">
            <v>3</v>
          </cell>
          <cell r="G1188" t="str">
            <v>CB240108001H00</v>
          </cell>
          <cell r="H1188">
            <v>1.5</v>
          </cell>
          <cell r="I1188" t="str">
            <v>--</v>
          </cell>
          <cell r="J1188">
            <v>1</v>
          </cell>
          <cell r="K1188">
            <v>1</v>
          </cell>
        </row>
        <row r="1189">
          <cell r="A1189" t="str">
            <v>M1</v>
          </cell>
          <cell r="B1189" t="str">
            <v>A5C</v>
          </cell>
          <cell r="C1189" t="str">
            <v>P</v>
          </cell>
          <cell r="D1189" t="str">
            <v>22087</v>
          </cell>
          <cell r="E1189" t="str">
            <v>SW FLG</v>
          </cell>
          <cell r="F1189">
            <v>3</v>
          </cell>
          <cell r="G1189" t="str">
            <v>CB240208001H00</v>
          </cell>
          <cell r="H1189">
            <v>1.5</v>
          </cell>
          <cell r="I1189" t="str">
            <v>--</v>
          </cell>
          <cell r="J1189">
            <v>2</v>
          </cell>
          <cell r="K1189">
            <v>2</v>
          </cell>
        </row>
        <row r="1190">
          <cell r="A1190" t="str">
            <v>M1</v>
          </cell>
          <cell r="B1190" t="str">
            <v>A5C</v>
          </cell>
          <cell r="C1190" t="str">
            <v>P</v>
          </cell>
          <cell r="D1190" t="str">
            <v>22102</v>
          </cell>
          <cell r="E1190" t="str">
            <v>SW FLG</v>
          </cell>
          <cell r="F1190">
            <v>3</v>
          </cell>
          <cell r="G1190" t="str">
            <v>CB240108001H00</v>
          </cell>
          <cell r="H1190">
            <v>1.5</v>
          </cell>
          <cell r="I1190" t="str">
            <v>--</v>
          </cell>
          <cell r="J1190">
            <v>2</v>
          </cell>
          <cell r="K1190">
            <v>2</v>
          </cell>
        </row>
        <row r="1191">
          <cell r="A1191" t="str">
            <v>M1</v>
          </cell>
          <cell r="B1191" t="str">
            <v>A5C</v>
          </cell>
          <cell r="C1191" t="str">
            <v>P</v>
          </cell>
          <cell r="D1191" t="str">
            <v>22114</v>
          </cell>
          <cell r="E1191" t="str">
            <v>SW FLG</v>
          </cell>
          <cell r="F1191">
            <v>3</v>
          </cell>
          <cell r="G1191" t="str">
            <v>CB240108001H00</v>
          </cell>
          <cell r="H1191">
            <v>1.5</v>
          </cell>
          <cell r="I1191" t="str">
            <v>--</v>
          </cell>
          <cell r="J1191">
            <v>1</v>
          </cell>
          <cell r="K1191">
            <v>1</v>
          </cell>
        </row>
        <row r="1192">
          <cell r="A1192" t="str">
            <v>M1</v>
          </cell>
          <cell r="B1192" t="str">
            <v>A5C</v>
          </cell>
          <cell r="C1192" t="str">
            <v>P</v>
          </cell>
          <cell r="D1192" t="str">
            <v>22094</v>
          </cell>
          <cell r="E1192" t="str">
            <v>SW FLG</v>
          </cell>
          <cell r="F1192">
            <v>3</v>
          </cell>
          <cell r="G1192" t="str">
            <v>CB240208001H00</v>
          </cell>
          <cell r="H1192">
            <v>1.5</v>
          </cell>
          <cell r="I1192" t="str">
            <v>--</v>
          </cell>
          <cell r="J1192">
            <v>2</v>
          </cell>
          <cell r="K1192">
            <v>2</v>
          </cell>
        </row>
        <row r="1193">
          <cell r="A1193" t="str">
            <v>M1</v>
          </cell>
          <cell r="B1193" t="str">
            <v>A5C</v>
          </cell>
          <cell r="C1193" t="str">
            <v>P</v>
          </cell>
          <cell r="D1193" t="str">
            <v>22095</v>
          </cell>
          <cell r="E1193" t="str">
            <v>SW FLG</v>
          </cell>
          <cell r="F1193">
            <v>3</v>
          </cell>
          <cell r="G1193" t="str">
            <v>CB240208001H00</v>
          </cell>
          <cell r="H1193">
            <v>1.5</v>
          </cell>
          <cell r="I1193" t="str">
            <v>--</v>
          </cell>
          <cell r="J1193">
            <v>2</v>
          </cell>
          <cell r="K1193">
            <v>2</v>
          </cell>
        </row>
        <row r="1194">
          <cell r="A1194" t="str">
            <v>M1</v>
          </cell>
          <cell r="B1194" t="str">
            <v>A5C</v>
          </cell>
          <cell r="C1194" t="str">
            <v>P</v>
          </cell>
          <cell r="D1194" t="str">
            <v>22099</v>
          </cell>
          <cell r="E1194" t="str">
            <v>SW FLG</v>
          </cell>
          <cell r="F1194">
            <v>3</v>
          </cell>
          <cell r="G1194" t="str">
            <v>CB240108001H00</v>
          </cell>
          <cell r="H1194">
            <v>1.5</v>
          </cell>
          <cell r="I1194" t="str">
            <v>--</v>
          </cell>
          <cell r="J1194">
            <v>1</v>
          </cell>
          <cell r="K1194">
            <v>1</v>
          </cell>
        </row>
        <row r="1195">
          <cell r="A1195" t="str">
            <v>M1</v>
          </cell>
          <cell r="B1195" t="str">
            <v>A5C</v>
          </cell>
          <cell r="C1195" t="str">
            <v>P</v>
          </cell>
          <cell r="D1195" t="str">
            <v>22100</v>
          </cell>
          <cell r="E1195" t="str">
            <v>SW FLG</v>
          </cell>
          <cell r="F1195">
            <v>3</v>
          </cell>
          <cell r="G1195" t="str">
            <v>CB240208001H00</v>
          </cell>
          <cell r="H1195">
            <v>1.5</v>
          </cell>
          <cell r="I1195" t="str">
            <v>--</v>
          </cell>
          <cell r="J1195">
            <v>2</v>
          </cell>
          <cell r="K1195">
            <v>2</v>
          </cell>
        </row>
        <row r="1196">
          <cell r="A1196" t="str">
            <v>M1</v>
          </cell>
          <cell r="B1196" t="str">
            <v>A6C</v>
          </cell>
          <cell r="C1196" t="str">
            <v>HOS</v>
          </cell>
          <cell r="D1196" t="str">
            <v>65622</v>
          </cell>
          <cell r="E1196" t="str">
            <v>SW FLG</v>
          </cell>
          <cell r="F1196">
            <v>3</v>
          </cell>
          <cell r="G1196" t="str">
            <v>CB240108001H00</v>
          </cell>
          <cell r="H1196">
            <v>1.5</v>
          </cell>
          <cell r="I1196" t="str">
            <v>--</v>
          </cell>
          <cell r="J1196">
            <v>2</v>
          </cell>
          <cell r="K1196">
            <v>2</v>
          </cell>
        </row>
        <row r="1197">
          <cell r="A1197" t="str">
            <v>M1</v>
          </cell>
          <cell r="B1197" t="str">
            <v>A6C</v>
          </cell>
          <cell r="C1197" t="str">
            <v>HOS</v>
          </cell>
          <cell r="D1197" t="str">
            <v>65623</v>
          </cell>
          <cell r="E1197" t="str">
            <v>SW FLG</v>
          </cell>
          <cell r="F1197">
            <v>3</v>
          </cell>
          <cell r="G1197" t="str">
            <v>CB240108001H00</v>
          </cell>
          <cell r="H1197">
            <v>1.5</v>
          </cell>
          <cell r="I1197" t="str">
            <v>--</v>
          </cell>
          <cell r="J1197">
            <v>2</v>
          </cell>
          <cell r="K1197">
            <v>2</v>
          </cell>
        </row>
        <row r="1198">
          <cell r="A1198" t="str">
            <v>M1</v>
          </cell>
          <cell r="B1198" t="str">
            <v>A5C</v>
          </cell>
          <cell r="C1198" t="str">
            <v>P</v>
          </cell>
          <cell r="D1198" t="str">
            <v>22039</v>
          </cell>
          <cell r="E1198" t="str">
            <v>SW FLG</v>
          </cell>
          <cell r="F1198">
            <v>3</v>
          </cell>
          <cell r="G1198" t="str">
            <v>CB240108001H00</v>
          </cell>
          <cell r="H1198">
            <v>1.5</v>
          </cell>
          <cell r="I1198" t="str">
            <v>--</v>
          </cell>
          <cell r="J1198">
            <v>5</v>
          </cell>
          <cell r="K1198">
            <v>5</v>
          </cell>
        </row>
        <row r="1199">
          <cell r="A1199" t="str">
            <v>M1</v>
          </cell>
          <cell r="B1199" t="str">
            <v>A5C</v>
          </cell>
          <cell r="C1199" t="str">
            <v>P</v>
          </cell>
          <cell r="D1199" t="str">
            <v>22041</v>
          </cell>
          <cell r="E1199" t="str">
            <v>SW FLG</v>
          </cell>
          <cell r="F1199">
            <v>3</v>
          </cell>
          <cell r="G1199" t="str">
            <v>CB240108001H00</v>
          </cell>
          <cell r="H1199">
            <v>1.5</v>
          </cell>
          <cell r="I1199" t="str">
            <v>--</v>
          </cell>
          <cell r="J1199">
            <v>5</v>
          </cell>
          <cell r="K1199">
            <v>5</v>
          </cell>
        </row>
        <row r="1200">
          <cell r="A1200" t="str">
            <v>M1</v>
          </cell>
          <cell r="B1200" t="str">
            <v>A6C</v>
          </cell>
          <cell r="C1200" t="str">
            <v>HOR</v>
          </cell>
          <cell r="D1200" t="str">
            <v>65618</v>
          </cell>
          <cell r="E1200" t="str">
            <v>SW FLG</v>
          </cell>
          <cell r="F1200">
            <v>3</v>
          </cell>
          <cell r="G1200" t="str">
            <v>CB240108001H00</v>
          </cell>
          <cell r="H1200">
            <v>1.5</v>
          </cell>
          <cell r="I1200" t="str">
            <v>--</v>
          </cell>
          <cell r="J1200">
            <v>3</v>
          </cell>
          <cell r="K1200">
            <v>3</v>
          </cell>
        </row>
        <row r="1201">
          <cell r="A1201" t="str">
            <v>M1</v>
          </cell>
          <cell r="B1201" t="str">
            <v>A6C</v>
          </cell>
          <cell r="C1201" t="str">
            <v>HOR</v>
          </cell>
          <cell r="D1201" t="str">
            <v>65612</v>
          </cell>
          <cell r="E1201" t="str">
            <v>SW FLG</v>
          </cell>
          <cell r="F1201">
            <v>3</v>
          </cell>
          <cell r="G1201" t="str">
            <v>CB240108001H00</v>
          </cell>
          <cell r="H1201">
            <v>1.5</v>
          </cell>
          <cell r="I1201" t="str">
            <v>--</v>
          </cell>
          <cell r="J1201">
            <v>1</v>
          </cell>
          <cell r="K1201">
            <v>1</v>
          </cell>
        </row>
        <row r="1202">
          <cell r="A1202" t="str">
            <v>M1</v>
          </cell>
          <cell r="B1202" t="str">
            <v>A5C</v>
          </cell>
          <cell r="C1202" t="str">
            <v>P</v>
          </cell>
          <cell r="D1202" t="str">
            <v>22040</v>
          </cell>
          <cell r="E1202" t="str">
            <v>SW FLG</v>
          </cell>
          <cell r="F1202">
            <v>3</v>
          </cell>
          <cell r="G1202" t="str">
            <v>CB240108001H00</v>
          </cell>
          <cell r="H1202">
            <v>1.5</v>
          </cell>
          <cell r="I1202" t="str">
            <v>--</v>
          </cell>
          <cell r="J1202">
            <v>5</v>
          </cell>
          <cell r="K1202">
            <v>5</v>
          </cell>
        </row>
        <row r="1203">
          <cell r="A1203" t="str">
            <v>M1</v>
          </cell>
          <cell r="B1203" t="str">
            <v>A6C</v>
          </cell>
          <cell r="C1203" t="str">
            <v>HOS</v>
          </cell>
          <cell r="D1203" t="str">
            <v>65632</v>
          </cell>
          <cell r="E1203" t="str">
            <v>SW FLG</v>
          </cell>
          <cell r="F1203">
            <v>3</v>
          </cell>
          <cell r="G1203" t="str">
            <v>CB240108001H00</v>
          </cell>
          <cell r="H1203">
            <v>1.5</v>
          </cell>
          <cell r="I1203" t="str">
            <v>--</v>
          </cell>
          <cell r="J1203">
            <v>4</v>
          </cell>
          <cell r="K1203">
            <v>4</v>
          </cell>
        </row>
        <row r="1204">
          <cell r="A1204" t="str">
            <v>M1</v>
          </cell>
          <cell r="B1204" t="str">
            <v>A6C</v>
          </cell>
          <cell r="C1204" t="str">
            <v>HOS</v>
          </cell>
          <cell r="D1204" t="str">
            <v>65633</v>
          </cell>
          <cell r="E1204" t="str">
            <v>SW FLG</v>
          </cell>
          <cell r="F1204">
            <v>3</v>
          </cell>
          <cell r="G1204" t="str">
            <v>CB240108001H00</v>
          </cell>
          <cell r="H1204">
            <v>1.5</v>
          </cell>
          <cell r="I1204" t="str">
            <v>--</v>
          </cell>
          <cell r="J1204">
            <v>1</v>
          </cell>
          <cell r="K1204">
            <v>1</v>
          </cell>
        </row>
        <row r="1205">
          <cell r="A1205" t="str">
            <v>M1</v>
          </cell>
          <cell r="B1205" t="str">
            <v>A6C</v>
          </cell>
          <cell r="C1205" t="str">
            <v>HOS</v>
          </cell>
          <cell r="D1205" t="str">
            <v>65633</v>
          </cell>
          <cell r="E1205" t="str">
            <v>SW FLG</v>
          </cell>
          <cell r="F1205">
            <v>3</v>
          </cell>
          <cell r="G1205" t="str">
            <v>CB240108001H00</v>
          </cell>
          <cell r="H1205">
            <v>1.5</v>
          </cell>
          <cell r="I1205" t="str">
            <v>--</v>
          </cell>
          <cell r="J1205">
            <v>1</v>
          </cell>
          <cell r="K1205">
            <v>1</v>
          </cell>
        </row>
        <row r="1206">
          <cell r="A1206" t="str">
            <v>M1</v>
          </cell>
          <cell r="B1206" t="str">
            <v>A5C</v>
          </cell>
          <cell r="C1206" t="str">
            <v>P</v>
          </cell>
          <cell r="D1206" t="str">
            <v>22002</v>
          </cell>
          <cell r="E1206" t="str">
            <v>SW FLG</v>
          </cell>
          <cell r="F1206">
            <v>3</v>
          </cell>
          <cell r="G1206" t="str">
            <v>CB240108001H00</v>
          </cell>
          <cell r="H1206">
            <v>1.5</v>
          </cell>
          <cell r="I1206" t="str">
            <v>--</v>
          </cell>
          <cell r="J1206">
            <v>4</v>
          </cell>
          <cell r="K1206">
            <v>4</v>
          </cell>
        </row>
        <row r="1207">
          <cell r="A1207" t="str">
            <v>M1</v>
          </cell>
          <cell r="B1207" t="str">
            <v>A5C</v>
          </cell>
          <cell r="C1207" t="str">
            <v>P</v>
          </cell>
          <cell r="D1207" t="str">
            <v>22002</v>
          </cell>
          <cell r="E1207" t="str">
            <v>SW FLG</v>
          </cell>
          <cell r="F1207">
            <v>3</v>
          </cell>
          <cell r="G1207" t="str">
            <v>CB240208001H00</v>
          </cell>
          <cell r="H1207">
            <v>1.5</v>
          </cell>
          <cell r="I1207" t="str">
            <v>--</v>
          </cell>
          <cell r="J1207">
            <v>2</v>
          </cell>
          <cell r="K1207">
            <v>2</v>
          </cell>
        </row>
        <row r="1208">
          <cell r="A1208" t="str">
            <v>M1</v>
          </cell>
          <cell r="B1208" t="str">
            <v>A5C</v>
          </cell>
          <cell r="C1208" t="str">
            <v>P</v>
          </cell>
          <cell r="D1208" t="str">
            <v>22064</v>
          </cell>
          <cell r="E1208" t="str">
            <v>SW FLG</v>
          </cell>
          <cell r="F1208">
            <v>3</v>
          </cell>
          <cell r="G1208" t="str">
            <v>CB240108001H00</v>
          </cell>
          <cell r="H1208">
            <v>1.5</v>
          </cell>
          <cell r="I1208" t="str">
            <v>--</v>
          </cell>
          <cell r="J1208">
            <v>2</v>
          </cell>
          <cell r="K1208">
            <v>2</v>
          </cell>
        </row>
        <row r="1209">
          <cell r="A1209" t="str">
            <v>M1</v>
          </cell>
          <cell r="B1209" t="str">
            <v>A5C</v>
          </cell>
          <cell r="C1209" t="str">
            <v>P</v>
          </cell>
          <cell r="D1209" t="str">
            <v>22111</v>
          </cell>
          <cell r="E1209" t="str">
            <v>SW FLG</v>
          </cell>
          <cell r="F1209">
            <v>3</v>
          </cell>
          <cell r="G1209" t="str">
            <v>CB240208001H00</v>
          </cell>
          <cell r="H1209">
            <v>1.5</v>
          </cell>
          <cell r="I1209" t="str">
            <v>--</v>
          </cell>
          <cell r="J1209">
            <v>6</v>
          </cell>
          <cell r="K1209">
            <v>6</v>
          </cell>
        </row>
        <row r="1210">
          <cell r="A1210" t="str">
            <v>M1</v>
          </cell>
          <cell r="B1210" t="str">
            <v>A5C</v>
          </cell>
          <cell r="C1210" t="str">
            <v>P</v>
          </cell>
          <cell r="D1210" t="str">
            <v>22111</v>
          </cell>
          <cell r="E1210" t="str">
            <v>SW FLG</v>
          </cell>
          <cell r="F1210">
            <v>3</v>
          </cell>
          <cell r="G1210" t="str">
            <v>CB240108001H00</v>
          </cell>
          <cell r="H1210">
            <v>1.5</v>
          </cell>
          <cell r="I1210" t="str">
            <v>--</v>
          </cell>
          <cell r="J1210">
            <v>3</v>
          </cell>
          <cell r="K1210">
            <v>3</v>
          </cell>
        </row>
        <row r="1211">
          <cell r="A1211" t="str">
            <v>M1</v>
          </cell>
          <cell r="B1211" t="str">
            <v>A6C</v>
          </cell>
          <cell r="C1211" t="str">
            <v>HOS</v>
          </cell>
          <cell r="D1211" t="str">
            <v>65611</v>
          </cell>
          <cell r="E1211" t="str">
            <v>SW FLG</v>
          </cell>
          <cell r="F1211">
            <v>3</v>
          </cell>
          <cell r="G1211" t="str">
            <v>CB240108001H00</v>
          </cell>
          <cell r="H1211">
            <v>1.5</v>
          </cell>
          <cell r="I1211" t="str">
            <v>--</v>
          </cell>
          <cell r="J1211">
            <v>1</v>
          </cell>
          <cell r="K1211">
            <v>1</v>
          </cell>
        </row>
        <row r="1212">
          <cell r="A1212" t="str">
            <v>M1</v>
          </cell>
          <cell r="B1212" t="str">
            <v>A5C</v>
          </cell>
          <cell r="C1212" t="str">
            <v>RW</v>
          </cell>
          <cell r="D1212" t="str">
            <v>25611</v>
          </cell>
          <cell r="E1212" t="str">
            <v>SW FLG</v>
          </cell>
          <cell r="F1212">
            <v>3</v>
          </cell>
          <cell r="G1212" t="str">
            <v>CB240108001H00</v>
          </cell>
          <cell r="H1212">
            <v>1.5</v>
          </cell>
          <cell r="I1212" t="str">
            <v>--</v>
          </cell>
          <cell r="J1212">
            <v>3</v>
          </cell>
          <cell r="K1212">
            <v>3</v>
          </cell>
        </row>
        <row r="1213">
          <cell r="A1213" t="str">
            <v>M1</v>
          </cell>
          <cell r="B1213" t="str">
            <v>A4C</v>
          </cell>
          <cell r="C1213" t="str">
            <v>P</v>
          </cell>
          <cell r="D1213" t="str">
            <v>22031</v>
          </cell>
          <cell r="E1213" t="str">
            <v>SW FLG</v>
          </cell>
          <cell r="F1213">
            <v>3</v>
          </cell>
          <cell r="G1213" t="str">
            <v>CB240108001H00</v>
          </cell>
          <cell r="H1213">
            <v>1.5</v>
          </cell>
          <cell r="I1213" t="str">
            <v>--</v>
          </cell>
          <cell r="J1213">
            <v>6</v>
          </cell>
          <cell r="K1213">
            <v>6</v>
          </cell>
        </row>
        <row r="1214">
          <cell r="A1214" t="str">
            <v>M1</v>
          </cell>
          <cell r="B1214" t="str">
            <v>A5C</v>
          </cell>
          <cell r="C1214" t="str">
            <v>TRIM</v>
          </cell>
          <cell r="D1214" t="str">
            <v>X-2207</v>
          </cell>
          <cell r="E1214" t="str">
            <v>SW FLG</v>
          </cell>
          <cell r="F1214">
            <v>3</v>
          </cell>
          <cell r="G1214" t="str">
            <v>CB240108001H00</v>
          </cell>
          <cell r="H1214">
            <v>1.5</v>
          </cell>
          <cell r="I1214" t="str">
            <v>--</v>
          </cell>
          <cell r="J1214">
            <v>2</v>
          </cell>
          <cell r="K1214">
            <v>2</v>
          </cell>
        </row>
        <row r="1215">
          <cell r="A1215" t="str">
            <v>M1</v>
          </cell>
          <cell r="B1215" t="str">
            <v>A5C</v>
          </cell>
          <cell r="C1215" t="str">
            <v>TRIM</v>
          </cell>
          <cell r="D1215" t="str">
            <v>V-2201</v>
          </cell>
          <cell r="E1215" t="str">
            <v>SW FLG</v>
          </cell>
          <cell r="F1215">
            <v>3</v>
          </cell>
          <cell r="G1215" t="str">
            <v>CB240108001H00</v>
          </cell>
          <cell r="H1215">
            <v>1.5</v>
          </cell>
          <cell r="I1215" t="str">
            <v>--</v>
          </cell>
          <cell r="J1215">
            <v>1</v>
          </cell>
          <cell r="K1215">
            <v>1</v>
          </cell>
        </row>
        <row r="1216">
          <cell r="A1216" t="str">
            <v>M1</v>
          </cell>
          <cell r="B1216" t="str">
            <v>B2C</v>
          </cell>
          <cell r="C1216" t="str">
            <v>CWR</v>
          </cell>
          <cell r="D1216" t="str">
            <v>22620</v>
          </cell>
          <cell r="E1216" t="str">
            <v>WN FLG</v>
          </cell>
          <cell r="F1216">
            <v>3</v>
          </cell>
          <cell r="G1216" t="str">
            <v>CB200208000200</v>
          </cell>
          <cell r="H1216">
            <v>2</v>
          </cell>
          <cell r="I1216" t="str">
            <v>--</v>
          </cell>
          <cell r="J1216">
            <v>2</v>
          </cell>
          <cell r="K1216">
            <v>3</v>
          </cell>
        </row>
        <row r="1217">
          <cell r="A1217" t="str">
            <v>M1</v>
          </cell>
          <cell r="B1217" t="str">
            <v>B2C</v>
          </cell>
          <cell r="C1217" t="str">
            <v>CWR</v>
          </cell>
          <cell r="D1217" t="str">
            <v>22619</v>
          </cell>
          <cell r="E1217" t="str">
            <v>WN FLG</v>
          </cell>
          <cell r="F1217">
            <v>3</v>
          </cell>
          <cell r="G1217" t="str">
            <v>CB200208000200</v>
          </cell>
          <cell r="H1217">
            <v>2</v>
          </cell>
          <cell r="I1217" t="str">
            <v>--</v>
          </cell>
          <cell r="J1217">
            <v>2</v>
          </cell>
          <cell r="K1217">
            <v>3</v>
          </cell>
        </row>
        <row r="1218">
          <cell r="A1218" t="str">
            <v>M1</v>
          </cell>
          <cell r="B1218" t="str">
            <v>B2C</v>
          </cell>
          <cell r="C1218" t="str">
            <v>SH</v>
          </cell>
          <cell r="D1218" t="str">
            <v>22612</v>
          </cell>
          <cell r="E1218" t="str">
            <v>WN FLG</v>
          </cell>
          <cell r="F1218">
            <v>3</v>
          </cell>
          <cell r="G1218" t="str">
            <v>CB200208000200</v>
          </cell>
          <cell r="H1218">
            <v>2</v>
          </cell>
          <cell r="I1218" t="str">
            <v>--</v>
          </cell>
          <cell r="J1218">
            <v>15</v>
          </cell>
          <cell r="K1218">
            <v>17</v>
          </cell>
        </row>
        <row r="1219">
          <cell r="A1219" t="str">
            <v>M1</v>
          </cell>
          <cell r="B1219" t="str">
            <v>B2C</v>
          </cell>
          <cell r="C1219" t="str">
            <v>SH</v>
          </cell>
          <cell r="D1219" t="str">
            <v>22613</v>
          </cell>
          <cell r="E1219" t="str">
            <v>WN FLG</v>
          </cell>
          <cell r="F1219">
            <v>3</v>
          </cell>
          <cell r="G1219" t="str">
            <v>CB200208000200</v>
          </cell>
          <cell r="H1219">
            <v>2</v>
          </cell>
          <cell r="I1219" t="str">
            <v>--</v>
          </cell>
          <cell r="J1219">
            <v>15</v>
          </cell>
          <cell r="K1219">
            <v>17</v>
          </cell>
        </row>
        <row r="1220">
          <cell r="A1220" t="str">
            <v>M1</v>
          </cell>
          <cell r="B1220" t="str">
            <v>B2C</v>
          </cell>
          <cell r="C1220" t="str">
            <v>SH</v>
          </cell>
          <cell r="D1220" t="str">
            <v>22614</v>
          </cell>
          <cell r="E1220" t="str">
            <v>WN FLG</v>
          </cell>
          <cell r="F1220">
            <v>3</v>
          </cell>
          <cell r="G1220" t="str">
            <v>CB200208000200</v>
          </cell>
          <cell r="H1220">
            <v>2</v>
          </cell>
          <cell r="I1220" t="str">
            <v>--</v>
          </cell>
          <cell r="J1220">
            <v>9</v>
          </cell>
          <cell r="K1220">
            <v>10</v>
          </cell>
        </row>
        <row r="1221">
          <cell r="A1221" t="str">
            <v>M1</v>
          </cell>
          <cell r="B1221" t="str">
            <v>B2C</v>
          </cell>
          <cell r="C1221" t="str">
            <v>SH</v>
          </cell>
          <cell r="D1221" t="str">
            <v>22611</v>
          </cell>
          <cell r="E1221" t="str">
            <v>WN FLG</v>
          </cell>
          <cell r="F1221">
            <v>3</v>
          </cell>
          <cell r="G1221" t="str">
            <v>CB200208000200</v>
          </cell>
          <cell r="H1221">
            <v>2</v>
          </cell>
          <cell r="I1221" t="str">
            <v>--</v>
          </cell>
          <cell r="J1221">
            <v>7</v>
          </cell>
          <cell r="K1221">
            <v>8</v>
          </cell>
        </row>
        <row r="1222">
          <cell r="A1222" t="str">
            <v>M1</v>
          </cell>
          <cell r="B1222" t="str">
            <v>B2C</v>
          </cell>
          <cell r="C1222" t="str">
            <v>SH</v>
          </cell>
          <cell r="D1222" t="str">
            <v>22611</v>
          </cell>
          <cell r="E1222" t="str">
            <v>WN FLG</v>
          </cell>
          <cell r="F1222">
            <v>3</v>
          </cell>
          <cell r="G1222" t="str">
            <v>CB200208000200</v>
          </cell>
          <cell r="H1222">
            <v>2</v>
          </cell>
          <cell r="I1222" t="str">
            <v>--</v>
          </cell>
          <cell r="J1222">
            <v>2</v>
          </cell>
          <cell r="K1222">
            <v>3</v>
          </cell>
        </row>
        <row r="1223">
          <cell r="A1223" t="str">
            <v>M1</v>
          </cell>
          <cell r="B1223" t="str">
            <v>B2C</v>
          </cell>
          <cell r="C1223" t="str">
            <v>SH</v>
          </cell>
          <cell r="D1223" t="str">
            <v>22612</v>
          </cell>
          <cell r="E1223" t="str">
            <v>WN FLG</v>
          </cell>
          <cell r="F1223">
            <v>3</v>
          </cell>
          <cell r="G1223" t="str">
            <v>CB200208000200</v>
          </cell>
          <cell r="H1223">
            <v>2</v>
          </cell>
          <cell r="I1223" t="str">
            <v>--</v>
          </cell>
          <cell r="J1223">
            <v>2</v>
          </cell>
          <cell r="K1223">
            <v>3</v>
          </cell>
        </row>
        <row r="1224">
          <cell r="A1224" t="str">
            <v>M1</v>
          </cell>
          <cell r="B1224" t="str">
            <v>B2C</v>
          </cell>
          <cell r="C1224" t="str">
            <v>TRIM</v>
          </cell>
          <cell r="D1224" t="str">
            <v>V-2218</v>
          </cell>
          <cell r="E1224" t="str">
            <v>WN FLG</v>
          </cell>
          <cell r="F1224">
            <v>3</v>
          </cell>
          <cell r="G1224" t="str">
            <v>CB200208000200</v>
          </cell>
          <cell r="H1224">
            <v>2</v>
          </cell>
          <cell r="I1224" t="str">
            <v>--</v>
          </cell>
          <cell r="J1224">
            <v>2</v>
          </cell>
          <cell r="K1224">
            <v>3</v>
          </cell>
        </row>
        <row r="1225">
          <cell r="A1225" t="str">
            <v>M1</v>
          </cell>
          <cell r="B1225" t="str">
            <v>A5C</v>
          </cell>
          <cell r="C1225" t="str">
            <v>COMP</v>
          </cell>
          <cell r="D1225" t="str">
            <v>005</v>
          </cell>
          <cell r="E1225" t="str">
            <v>WN FLG</v>
          </cell>
          <cell r="F1225">
            <v>3</v>
          </cell>
          <cell r="G1225" t="str">
            <v>CB200108000200</v>
          </cell>
          <cell r="H1225">
            <v>2</v>
          </cell>
          <cell r="I1225" t="str">
            <v>--</v>
          </cell>
          <cell r="J1225">
            <v>2</v>
          </cell>
          <cell r="K1225">
            <v>3</v>
          </cell>
        </row>
        <row r="1226">
          <cell r="A1226" t="str">
            <v>M1</v>
          </cell>
          <cell r="B1226" t="str">
            <v>A5C</v>
          </cell>
          <cell r="C1226" t="str">
            <v>N</v>
          </cell>
          <cell r="D1226" t="str">
            <v>25611</v>
          </cell>
          <cell r="E1226" t="str">
            <v>WN FLG</v>
          </cell>
          <cell r="F1226">
            <v>3</v>
          </cell>
          <cell r="G1226" t="str">
            <v>CB200108000200</v>
          </cell>
          <cell r="H1226">
            <v>2</v>
          </cell>
          <cell r="I1226" t="str">
            <v>--</v>
          </cell>
          <cell r="J1226">
            <v>3</v>
          </cell>
          <cell r="K1226">
            <v>4</v>
          </cell>
        </row>
        <row r="1227">
          <cell r="A1227" t="str">
            <v>M1</v>
          </cell>
          <cell r="B1227" t="str">
            <v>A5C</v>
          </cell>
          <cell r="C1227" t="str">
            <v>N</v>
          </cell>
          <cell r="D1227" t="str">
            <v>25611</v>
          </cell>
          <cell r="E1227" t="str">
            <v>WN FLG</v>
          </cell>
          <cell r="F1227">
            <v>3</v>
          </cell>
          <cell r="G1227" t="str">
            <v>CB200208000200</v>
          </cell>
          <cell r="H1227">
            <v>2</v>
          </cell>
          <cell r="I1227" t="str">
            <v>--</v>
          </cell>
          <cell r="J1227">
            <v>1</v>
          </cell>
          <cell r="K1227">
            <v>2</v>
          </cell>
        </row>
        <row r="1228">
          <cell r="A1228" t="str">
            <v>M1</v>
          </cell>
          <cell r="B1228" t="str">
            <v>A5C</v>
          </cell>
          <cell r="C1228" t="str">
            <v>N</v>
          </cell>
          <cell r="D1228" t="str">
            <v>25617</v>
          </cell>
          <cell r="E1228" t="str">
            <v>WN FLG</v>
          </cell>
          <cell r="F1228">
            <v>3</v>
          </cell>
          <cell r="G1228" t="str">
            <v>CB200108000200</v>
          </cell>
          <cell r="H1228">
            <v>2</v>
          </cell>
          <cell r="I1228" t="str">
            <v>--</v>
          </cell>
          <cell r="J1228">
            <v>2</v>
          </cell>
          <cell r="K1228">
            <v>3</v>
          </cell>
        </row>
        <row r="1229">
          <cell r="A1229" t="str">
            <v>M1</v>
          </cell>
          <cell r="B1229" t="str">
            <v>A5C</v>
          </cell>
          <cell r="C1229" t="str">
            <v>N</v>
          </cell>
          <cell r="D1229" t="str">
            <v>25617</v>
          </cell>
          <cell r="E1229" t="str">
            <v>WN FLG</v>
          </cell>
          <cell r="F1229">
            <v>3</v>
          </cell>
          <cell r="G1229" t="str">
            <v>CB200208000200</v>
          </cell>
          <cell r="H1229">
            <v>2</v>
          </cell>
          <cell r="I1229" t="str">
            <v>--</v>
          </cell>
          <cell r="J1229">
            <v>2</v>
          </cell>
          <cell r="K1229">
            <v>3</v>
          </cell>
        </row>
        <row r="1230">
          <cell r="A1230" t="str">
            <v>M1</v>
          </cell>
          <cell r="B1230" t="str">
            <v>A5C</v>
          </cell>
          <cell r="C1230" t="str">
            <v>P</v>
          </cell>
          <cell r="D1230" t="str">
            <v>21006</v>
          </cell>
          <cell r="E1230" t="str">
            <v>WN FLG</v>
          </cell>
          <cell r="F1230">
            <v>3</v>
          </cell>
          <cell r="G1230" t="str">
            <v>CB200108000200</v>
          </cell>
          <cell r="H1230">
            <v>2</v>
          </cell>
          <cell r="I1230" t="str">
            <v>--</v>
          </cell>
          <cell r="J1230">
            <v>2</v>
          </cell>
          <cell r="K1230">
            <v>3</v>
          </cell>
        </row>
        <row r="1231">
          <cell r="A1231" t="str">
            <v>M1</v>
          </cell>
          <cell r="B1231" t="str">
            <v>A5C</v>
          </cell>
          <cell r="C1231" t="str">
            <v>P</v>
          </cell>
          <cell r="D1231" t="str">
            <v>22066</v>
          </cell>
          <cell r="E1231" t="str">
            <v>WN FLG</v>
          </cell>
          <cell r="F1231">
            <v>3</v>
          </cell>
          <cell r="G1231" t="str">
            <v>CB200108000200</v>
          </cell>
          <cell r="H1231">
            <v>2</v>
          </cell>
          <cell r="I1231" t="str">
            <v>--</v>
          </cell>
          <cell r="J1231">
            <v>8</v>
          </cell>
          <cell r="K1231">
            <v>9</v>
          </cell>
        </row>
        <row r="1232">
          <cell r="A1232" t="str">
            <v>M1</v>
          </cell>
          <cell r="B1232" t="str">
            <v>A5C</v>
          </cell>
          <cell r="C1232" t="str">
            <v>P</v>
          </cell>
          <cell r="D1232" t="str">
            <v>22069</v>
          </cell>
          <cell r="E1232" t="str">
            <v>WN FLG</v>
          </cell>
          <cell r="F1232">
            <v>3</v>
          </cell>
          <cell r="G1232" t="str">
            <v>CB200108000200</v>
          </cell>
          <cell r="H1232">
            <v>2</v>
          </cell>
          <cell r="I1232" t="str">
            <v>--</v>
          </cell>
          <cell r="J1232">
            <v>1</v>
          </cell>
          <cell r="K1232">
            <v>2</v>
          </cell>
        </row>
        <row r="1233">
          <cell r="A1233" t="str">
            <v>M1</v>
          </cell>
          <cell r="B1233" t="str">
            <v>A5C</v>
          </cell>
          <cell r="C1233" t="str">
            <v>P</v>
          </cell>
          <cell r="D1233" t="str">
            <v>22068</v>
          </cell>
          <cell r="E1233" t="str">
            <v>WN FLG</v>
          </cell>
          <cell r="F1233">
            <v>3</v>
          </cell>
          <cell r="G1233" t="str">
            <v>CB200108000200</v>
          </cell>
          <cell r="H1233">
            <v>2</v>
          </cell>
          <cell r="I1233" t="str">
            <v>--</v>
          </cell>
          <cell r="J1233">
            <v>3</v>
          </cell>
          <cell r="K1233">
            <v>4</v>
          </cell>
        </row>
        <row r="1234">
          <cell r="A1234" t="str">
            <v>M1</v>
          </cell>
          <cell r="B1234" t="str">
            <v>A5C</v>
          </cell>
          <cell r="C1234" t="str">
            <v>P</v>
          </cell>
          <cell r="D1234" t="str">
            <v>22081</v>
          </cell>
          <cell r="E1234" t="str">
            <v>WN FLG</v>
          </cell>
          <cell r="F1234">
            <v>3</v>
          </cell>
          <cell r="G1234" t="str">
            <v>CB200208000200</v>
          </cell>
          <cell r="H1234">
            <v>2</v>
          </cell>
          <cell r="I1234" t="str">
            <v>--</v>
          </cell>
          <cell r="J1234">
            <v>2</v>
          </cell>
          <cell r="K1234">
            <v>3</v>
          </cell>
        </row>
        <row r="1235">
          <cell r="A1235" t="str">
            <v>M1</v>
          </cell>
          <cell r="B1235" t="str">
            <v>A5C</v>
          </cell>
          <cell r="C1235" t="str">
            <v>P</v>
          </cell>
          <cell r="D1235" t="str">
            <v>22101</v>
          </cell>
          <cell r="E1235" t="str">
            <v>WN FLG</v>
          </cell>
          <cell r="F1235">
            <v>3</v>
          </cell>
          <cell r="G1235" t="str">
            <v>CB200108000200</v>
          </cell>
          <cell r="H1235">
            <v>2</v>
          </cell>
          <cell r="I1235" t="str">
            <v>--</v>
          </cell>
          <cell r="J1235">
            <v>3</v>
          </cell>
          <cell r="K1235">
            <v>4</v>
          </cell>
        </row>
        <row r="1236">
          <cell r="A1236" t="str">
            <v>M1</v>
          </cell>
          <cell r="B1236" t="str">
            <v>A5C</v>
          </cell>
          <cell r="C1236" t="str">
            <v>P</v>
          </cell>
          <cell r="D1236" t="str">
            <v>22110</v>
          </cell>
          <cell r="E1236" t="str">
            <v>WN FLG</v>
          </cell>
          <cell r="F1236">
            <v>3</v>
          </cell>
          <cell r="G1236" t="str">
            <v>CB200108000200</v>
          </cell>
          <cell r="H1236">
            <v>2</v>
          </cell>
          <cell r="I1236" t="str">
            <v>--</v>
          </cell>
          <cell r="J1236">
            <v>2</v>
          </cell>
          <cell r="K1236">
            <v>3</v>
          </cell>
        </row>
        <row r="1237">
          <cell r="A1237" t="str">
            <v>M1</v>
          </cell>
          <cell r="B1237" t="str">
            <v>A5C</v>
          </cell>
          <cell r="C1237" t="str">
            <v>P</v>
          </cell>
          <cell r="D1237" t="str">
            <v>22117</v>
          </cell>
          <cell r="E1237" t="str">
            <v>WN FLG</v>
          </cell>
          <cell r="F1237">
            <v>3</v>
          </cell>
          <cell r="G1237" t="str">
            <v>CB200108000200</v>
          </cell>
          <cell r="H1237">
            <v>2</v>
          </cell>
          <cell r="I1237" t="str">
            <v>--</v>
          </cell>
          <cell r="J1237">
            <v>2</v>
          </cell>
          <cell r="K1237">
            <v>3</v>
          </cell>
        </row>
        <row r="1238">
          <cell r="A1238" t="str">
            <v>M1</v>
          </cell>
          <cell r="B1238" t="str">
            <v>A5C</v>
          </cell>
          <cell r="C1238" t="str">
            <v>P</v>
          </cell>
          <cell r="D1238" t="str">
            <v>22153</v>
          </cell>
          <cell r="E1238" t="str">
            <v>WN FLG</v>
          </cell>
          <cell r="F1238">
            <v>3</v>
          </cell>
          <cell r="G1238" t="str">
            <v>CB200108000200</v>
          </cell>
          <cell r="H1238">
            <v>2</v>
          </cell>
          <cell r="I1238" t="str">
            <v>--</v>
          </cell>
          <cell r="J1238">
            <v>2</v>
          </cell>
          <cell r="K1238">
            <v>3</v>
          </cell>
        </row>
        <row r="1239">
          <cell r="A1239" t="str">
            <v>M1</v>
          </cell>
          <cell r="B1239" t="str">
            <v>A5C</v>
          </cell>
          <cell r="C1239" t="str">
            <v>P</v>
          </cell>
          <cell r="D1239" t="str">
            <v>22130</v>
          </cell>
          <cell r="E1239" t="str">
            <v>WN FLG</v>
          </cell>
          <cell r="F1239">
            <v>3</v>
          </cell>
          <cell r="G1239" t="str">
            <v>CB200108000200</v>
          </cell>
          <cell r="H1239">
            <v>2</v>
          </cell>
          <cell r="I1239" t="str">
            <v>--</v>
          </cell>
          <cell r="J1239">
            <v>11</v>
          </cell>
          <cell r="K1239">
            <v>13</v>
          </cell>
        </row>
        <row r="1240">
          <cell r="A1240" t="str">
            <v>M1</v>
          </cell>
          <cell r="B1240" t="str">
            <v>A5C</v>
          </cell>
          <cell r="C1240" t="str">
            <v>P</v>
          </cell>
          <cell r="D1240" t="str">
            <v>22140</v>
          </cell>
          <cell r="E1240" t="str">
            <v>WN FLG</v>
          </cell>
          <cell r="F1240">
            <v>3</v>
          </cell>
          <cell r="G1240" t="str">
            <v>CB200108000200</v>
          </cell>
          <cell r="H1240">
            <v>2</v>
          </cell>
          <cell r="I1240" t="str">
            <v>--</v>
          </cell>
          <cell r="J1240">
            <v>11</v>
          </cell>
          <cell r="K1240">
            <v>13</v>
          </cell>
        </row>
        <row r="1241">
          <cell r="A1241" t="str">
            <v>M1</v>
          </cell>
          <cell r="B1241" t="str">
            <v>A5C</v>
          </cell>
          <cell r="C1241" t="str">
            <v>P</v>
          </cell>
          <cell r="D1241" t="str">
            <v>22091</v>
          </cell>
          <cell r="E1241" t="str">
            <v>WN FLG</v>
          </cell>
          <cell r="F1241">
            <v>3</v>
          </cell>
          <cell r="G1241" t="str">
            <v>CB200108000200</v>
          </cell>
          <cell r="H1241">
            <v>2</v>
          </cell>
          <cell r="I1241" t="str">
            <v>--</v>
          </cell>
          <cell r="J1241">
            <v>1</v>
          </cell>
          <cell r="K1241">
            <v>2</v>
          </cell>
        </row>
        <row r="1242">
          <cell r="A1242" t="str">
            <v>M1</v>
          </cell>
          <cell r="B1242" t="str">
            <v>A5C</v>
          </cell>
          <cell r="C1242" t="str">
            <v>P</v>
          </cell>
          <cell r="D1242" t="str">
            <v>22090</v>
          </cell>
          <cell r="E1242" t="str">
            <v>WN FLG</v>
          </cell>
          <cell r="F1242">
            <v>3</v>
          </cell>
          <cell r="G1242" t="str">
            <v>CB200108000200</v>
          </cell>
          <cell r="H1242">
            <v>2</v>
          </cell>
          <cell r="I1242" t="str">
            <v>--</v>
          </cell>
          <cell r="J1242">
            <v>1</v>
          </cell>
          <cell r="K1242">
            <v>2</v>
          </cell>
        </row>
        <row r="1243">
          <cell r="A1243" t="str">
            <v>M1</v>
          </cell>
          <cell r="B1243" t="str">
            <v>A5C</v>
          </cell>
          <cell r="C1243" t="str">
            <v>P</v>
          </cell>
          <cell r="D1243" t="str">
            <v>22100</v>
          </cell>
          <cell r="E1243" t="str">
            <v>WN FLG</v>
          </cell>
          <cell r="F1243">
            <v>3</v>
          </cell>
          <cell r="G1243" t="str">
            <v>CB200108000200</v>
          </cell>
          <cell r="H1243">
            <v>2</v>
          </cell>
          <cell r="I1243" t="str">
            <v>--</v>
          </cell>
          <cell r="J1243">
            <v>11</v>
          </cell>
          <cell r="K1243">
            <v>13</v>
          </cell>
        </row>
        <row r="1244">
          <cell r="A1244" t="str">
            <v>M1</v>
          </cell>
          <cell r="B1244" t="str">
            <v>A5C</v>
          </cell>
          <cell r="C1244" t="str">
            <v>P</v>
          </cell>
          <cell r="D1244" t="str">
            <v>22115</v>
          </cell>
          <cell r="E1244" t="str">
            <v>WN FLG</v>
          </cell>
          <cell r="F1244">
            <v>3</v>
          </cell>
          <cell r="G1244" t="str">
            <v>CB200108000200</v>
          </cell>
          <cell r="H1244">
            <v>2</v>
          </cell>
          <cell r="I1244" t="str">
            <v>--</v>
          </cell>
          <cell r="J1244">
            <v>2</v>
          </cell>
          <cell r="K1244">
            <v>3</v>
          </cell>
        </row>
        <row r="1245">
          <cell r="A1245" t="str">
            <v>M1</v>
          </cell>
          <cell r="B1245" t="str">
            <v>A6C</v>
          </cell>
          <cell r="C1245" t="str">
            <v>HOS</v>
          </cell>
          <cell r="D1245" t="str">
            <v>65620</v>
          </cell>
          <cell r="E1245" t="str">
            <v>WN FLG</v>
          </cell>
          <cell r="F1245">
            <v>3</v>
          </cell>
          <cell r="G1245" t="str">
            <v>CB200108000200</v>
          </cell>
          <cell r="H1245">
            <v>2</v>
          </cell>
          <cell r="I1245" t="str">
            <v>--</v>
          </cell>
          <cell r="J1245">
            <v>3</v>
          </cell>
          <cell r="K1245">
            <v>4</v>
          </cell>
        </row>
        <row r="1246">
          <cell r="A1246" t="str">
            <v>M1</v>
          </cell>
          <cell r="B1246" t="str">
            <v>A5C</v>
          </cell>
          <cell r="C1246" t="str">
            <v>P</v>
          </cell>
          <cell r="D1246" t="str">
            <v>22004</v>
          </cell>
          <cell r="E1246" t="str">
            <v>WN FLG</v>
          </cell>
          <cell r="F1246">
            <v>3</v>
          </cell>
          <cell r="G1246" t="str">
            <v>CB200108000200</v>
          </cell>
          <cell r="H1246">
            <v>2</v>
          </cell>
          <cell r="I1246" t="str">
            <v>--</v>
          </cell>
          <cell r="J1246">
            <v>4</v>
          </cell>
          <cell r="K1246">
            <v>5</v>
          </cell>
        </row>
        <row r="1247">
          <cell r="A1247" t="str">
            <v>M1</v>
          </cell>
          <cell r="B1247" t="str">
            <v>A5C</v>
          </cell>
          <cell r="C1247" t="str">
            <v>P</v>
          </cell>
          <cell r="D1247" t="str">
            <v>22004</v>
          </cell>
          <cell r="E1247" t="str">
            <v>WN FLG</v>
          </cell>
          <cell r="F1247">
            <v>3</v>
          </cell>
          <cell r="G1247" t="str">
            <v>CB200108000200</v>
          </cell>
          <cell r="H1247">
            <v>2</v>
          </cell>
          <cell r="I1247" t="str">
            <v>--</v>
          </cell>
          <cell r="J1247">
            <v>6</v>
          </cell>
          <cell r="K1247">
            <v>7</v>
          </cell>
        </row>
        <row r="1248">
          <cell r="A1248" t="str">
            <v>M1</v>
          </cell>
          <cell r="B1248" t="str">
            <v>A5C</v>
          </cell>
          <cell r="C1248" t="str">
            <v>P</v>
          </cell>
          <cell r="D1248" t="str">
            <v>22004</v>
          </cell>
          <cell r="E1248" t="str">
            <v>WN FLG</v>
          </cell>
          <cell r="F1248">
            <v>3</v>
          </cell>
          <cell r="G1248" t="str">
            <v>CB200208000200</v>
          </cell>
          <cell r="H1248">
            <v>2</v>
          </cell>
          <cell r="I1248" t="str">
            <v>--</v>
          </cell>
          <cell r="J1248">
            <v>4</v>
          </cell>
          <cell r="K1248">
            <v>5</v>
          </cell>
        </row>
        <row r="1249">
          <cell r="A1249" t="str">
            <v>M1</v>
          </cell>
          <cell r="B1249" t="str">
            <v>A5C</v>
          </cell>
          <cell r="C1249" t="str">
            <v>P</v>
          </cell>
          <cell r="D1249" t="str">
            <v>22004</v>
          </cell>
          <cell r="E1249" t="str">
            <v>WN FLG</v>
          </cell>
          <cell r="F1249">
            <v>3</v>
          </cell>
          <cell r="G1249" t="str">
            <v>CB200208000200</v>
          </cell>
          <cell r="H1249">
            <v>2</v>
          </cell>
          <cell r="I1249" t="str">
            <v>--</v>
          </cell>
          <cell r="J1249">
            <v>2</v>
          </cell>
          <cell r="K1249">
            <v>3</v>
          </cell>
        </row>
        <row r="1250">
          <cell r="A1250" t="str">
            <v>M1</v>
          </cell>
          <cell r="B1250" t="str">
            <v>A5C</v>
          </cell>
          <cell r="C1250" t="str">
            <v>TRIM</v>
          </cell>
          <cell r="D1250" t="str">
            <v>V-2214</v>
          </cell>
          <cell r="E1250" t="str">
            <v>WN FLG</v>
          </cell>
          <cell r="F1250">
            <v>3</v>
          </cell>
          <cell r="G1250" t="str">
            <v>CB200108000200</v>
          </cell>
          <cell r="H1250">
            <v>2</v>
          </cell>
          <cell r="I1250" t="str">
            <v>--</v>
          </cell>
          <cell r="J1250">
            <v>1</v>
          </cell>
          <cell r="K1250">
            <v>2</v>
          </cell>
        </row>
        <row r="1251">
          <cell r="A1251" t="str">
            <v>M1</v>
          </cell>
          <cell r="B1251" t="str">
            <v>A6C</v>
          </cell>
          <cell r="C1251" t="str">
            <v>HOS</v>
          </cell>
          <cell r="D1251" t="str">
            <v>65624</v>
          </cell>
          <cell r="E1251" t="str">
            <v>WN FLG</v>
          </cell>
          <cell r="F1251">
            <v>3</v>
          </cell>
          <cell r="G1251" t="str">
            <v>CB200108000200</v>
          </cell>
          <cell r="H1251">
            <v>2</v>
          </cell>
          <cell r="I1251" t="str">
            <v>--</v>
          </cell>
          <cell r="J1251">
            <v>21</v>
          </cell>
          <cell r="K1251">
            <v>24</v>
          </cell>
        </row>
        <row r="1252">
          <cell r="A1252" t="str">
            <v>M1</v>
          </cell>
          <cell r="B1252" t="str">
            <v>A6C</v>
          </cell>
          <cell r="C1252" t="str">
            <v>HOS</v>
          </cell>
          <cell r="D1252" t="str">
            <v>65624</v>
          </cell>
          <cell r="E1252" t="str">
            <v>WN FLG</v>
          </cell>
          <cell r="F1252">
            <v>3</v>
          </cell>
          <cell r="G1252" t="str">
            <v>CB200108000200</v>
          </cell>
          <cell r="H1252">
            <v>2</v>
          </cell>
          <cell r="I1252" t="str">
            <v>--</v>
          </cell>
          <cell r="J1252">
            <v>21</v>
          </cell>
          <cell r="K1252">
            <v>24</v>
          </cell>
        </row>
        <row r="1253">
          <cell r="A1253" t="str">
            <v>M1</v>
          </cell>
          <cell r="B1253" t="str">
            <v>A5C</v>
          </cell>
          <cell r="C1253" t="str">
            <v>P</v>
          </cell>
          <cell r="D1253" t="str">
            <v>22097</v>
          </cell>
          <cell r="E1253" t="str">
            <v>WN FLG</v>
          </cell>
          <cell r="F1253">
            <v>3</v>
          </cell>
          <cell r="G1253" t="str">
            <v>CB200108000200</v>
          </cell>
          <cell r="H1253">
            <v>2</v>
          </cell>
          <cell r="I1253" t="str">
            <v>--</v>
          </cell>
          <cell r="J1253">
            <v>1</v>
          </cell>
          <cell r="K1253">
            <v>2</v>
          </cell>
        </row>
        <row r="1254">
          <cell r="A1254" t="str">
            <v>M1</v>
          </cell>
          <cell r="B1254" t="str">
            <v>A5C</v>
          </cell>
          <cell r="C1254" t="str">
            <v>TRIM</v>
          </cell>
          <cell r="D1254" t="str">
            <v>C-2201</v>
          </cell>
          <cell r="E1254" t="str">
            <v>WN FLG</v>
          </cell>
          <cell r="F1254">
            <v>3</v>
          </cell>
          <cell r="G1254" t="str">
            <v>CB200108000200</v>
          </cell>
          <cell r="H1254">
            <v>2</v>
          </cell>
          <cell r="I1254" t="str">
            <v>--</v>
          </cell>
          <cell r="J1254">
            <v>2</v>
          </cell>
          <cell r="K1254">
            <v>3</v>
          </cell>
        </row>
        <row r="1255">
          <cell r="A1255" t="str">
            <v>M1</v>
          </cell>
          <cell r="B1255" t="str">
            <v>A6C</v>
          </cell>
          <cell r="C1255" t="str">
            <v>TRIM</v>
          </cell>
          <cell r="D1255" t="str">
            <v>V-6501</v>
          </cell>
          <cell r="E1255" t="str">
            <v>WN FLG</v>
          </cell>
          <cell r="F1255">
            <v>3</v>
          </cell>
          <cell r="G1255" t="str">
            <v>CB200108000200</v>
          </cell>
          <cell r="H1255">
            <v>2</v>
          </cell>
          <cell r="I1255" t="str">
            <v>--</v>
          </cell>
          <cell r="J1255">
            <v>6</v>
          </cell>
          <cell r="K1255">
            <v>7</v>
          </cell>
        </row>
        <row r="1256">
          <cell r="A1256" t="str">
            <v>M1</v>
          </cell>
          <cell r="B1256" t="str">
            <v>A6C</v>
          </cell>
          <cell r="C1256" t="str">
            <v>HOR</v>
          </cell>
          <cell r="D1256" t="str">
            <v>65611</v>
          </cell>
          <cell r="E1256" t="str">
            <v>WN FLG</v>
          </cell>
          <cell r="F1256">
            <v>3</v>
          </cell>
          <cell r="G1256" t="str">
            <v>CB200108000200</v>
          </cell>
          <cell r="H1256">
            <v>2</v>
          </cell>
          <cell r="I1256" t="str">
            <v>--</v>
          </cell>
          <cell r="J1256">
            <v>7</v>
          </cell>
          <cell r="K1256">
            <v>8</v>
          </cell>
        </row>
        <row r="1257">
          <cell r="A1257" t="str">
            <v>M1</v>
          </cell>
          <cell r="B1257" t="str">
            <v>A6C</v>
          </cell>
          <cell r="C1257" t="str">
            <v>HOR</v>
          </cell>
          <cell r="D1257" t="str">
            <v>65611</v>
          </cell>
          <cell r="E1257" t="str">
            <v>WN FLG</v>
          </cell>
          <cell r="F1257">
            <v>3</v>
          </cell>
          <cell r="G1257" t="str">
            <v>CB200108000200</v>
          </cell>
          <cell r="H1257">
            <v>2</v>
          </cell>
          <cell r="I1257" t="str">
            <v>--</v>
          </cell>
          <cell r="J1257">
            <v>7</v>
          </cell>
          <cell r="K1257">
            <v>8</v>
          </cell>
        </row>
        <row r="1258">
          <cell r="A1258" t="str">
            <v>M1</v>
          </cell>
          <cell r="B1258" t="str">
            <v>A5C</v>
          </cell>
          <cell r="C1258" t="str">
            <v>P</v>
          </cell>
          <cell r="D1258" t="str">
            <v>22096</v>
          </cell>
          <cell r="E1258" t="str">
            <v>WN FLG</v>
          </cell>
          <cell r="F1258">
            <v>3</v>
          </cell>
          <cell r="G1258" t="str">
            <v>CB200108000200</v>
          </cell>
          <cell r="H1258">
            <v>2</v>
          </cell>
          <cell r="I1258" t="str">
            <v>--</v>
          </cell>
          <cell r="J1258">
            <v>6</v>
          </cell>
          <cell r="K1258">
            <v>7</v>
          </cell>
        </row>
        <row r="1259">
          <cell r="A1259" t="str">
            <v>M1</v>
          </cell>
          <cell r="B1259" t="str">
            <v>B2C</v>
          </cell>
          <cell r="C1259" t="str">
            <v>SH</v>
          </cell>
          <cell r="D1259" t="str">
            <v>22601</v>
          </cell>
          <cell r="E1259" t="str">
            <v>WN FLG</v>
          </cell>
          <cell r="F1259">
            <v>3</v>
          </cell>
          <cell r="G1259" t="str">
            <v>CB200204000300</v>
          </cell>
          <cell r="H1259">
            <v>3</v>
          </cell>
          <cell r="I1259" t="str">
            <v>--</v>
          </cell>
          <cell r="J1259">
            <v>3</v>
          </cell>
          <cell r="K1259">
            <v>4</v>
          </cell>
        </row>
        <row r="1260">
          <cell r="A1260" t="str">
            <v>M1</v>
          </cell>
          <cell r="B1260" t="str">
            <v>B2C</v>
          </cell>
          <cell r="C1260" t="str">
            <v>SH</v>
          </cell>
          <cell r="D1260" t="str">
            <v>22625</v>
          </cell>
          <cell r="E1260" t="str">
            <v>WN FLG</v>
          </cell>
          <cell r="F1260">
            <v>3</v>
          </cell>
          <cell r="G1260" t="str">
            <v>CB200204000300</v>
          </cell>
          <cell r="H1260">
            <v>3</v>
          </cell>
          <cell r="I1260" t="str">
            <v>--</v>
          </cell>
          <cell r="J1260">
            <v>2</v>
          </cell>
          <cell r="K1260">
            <v>3</v>
          </cell>
        </row>
        <row r="1261">
          <cell r="A1261" t="str">
            <v>M1</v>
          </cell>
          <cell r="B1261" t="str">
            <v>B2C</v>
          </cell>
          <cell r="C1261" t="str">
            <v>TRIM</v>
          </cell>
          <cell r="D1261" t="str">
            <v>V-2218</v>
          </cell>
          <cell r="E1261" t="str">
            <v>WN FLG</v>
          </cell>
          <cell r="F1261">
            <v>3</v>
          </cell>
          <cell r="G1261" t="str">
            <v>CB200204000300</v>
          </cell>
          <cell r="H1261">
            <v>3</v>
          </cell>
          <cell r="I1261" t="str">
            <v>--</v>
          </cell>
          <cell r="J1261">
            <v>3</v>
          </cell>
          <cell r="K1261">
            <v>4</v>
          </cell>
        </row>
        <row r="1262">
          <cell r="A1262" t="str">
            <v>M1</v>
          </cell>
          <cell r="B1262" t="str">
            <v>A5C</v>
          </cell>
          <cell r="C1262" t="str">
            <v>P</v>
          </cell>
          <cell r="D1262" t="str">
            <v>22025</v>
          </cell>
          <cell r="E1262" t="str">
            <v>WN FLG</v>
          </cell>
          <cell r="F1262">
            <v>3</v>
          </cell>
          <cell r="G1262" t="str">
            <v>CB200104000300</v>
          </cell>
          <cell r="H1262">
            <v>3</v>
          </cell>
          <cell r="I1262" t="str">
            <v>--</v>
          </cell>
          <cell r="J1262">
            <v>2</v>
          </cell>
          <cell r="K1262">
            <v>3</v>
          </cell>
        </row>
        <row r="1263">
          <cell r="A1263" t="str">
            <v>M1</v>
          </cell>
          <cell r="B1263" t="str">
            <v>A5C</v>
          </cell>
          <cell r="C1263" t="str">
            <v>P</v>
          </cell>
          <cell r="D1263" t="str">
            <v>22025</v>
          </cell>
          <cell r="E1263" t="str">
            <v>WN FLG</v>
          </cell>
          <cell r="F1263">
            <v>3</v>
          </cell>
          <cell r="G1263" t="str">
            <v>CB200204000300</v>
          </cell>
          <cell r="H1263">
            <v>3</v>
          </cell>
          <cell r="I1263" t="str">
            <v>--</v>
          </cell>
          <cell r="J1263">
            <v>2</v>
          </cell>
          <cell r="K1263">
            <v>3</v>
          </cell>
        </row>
        <row r="1264">
          <cell r="A1264" t="str">
            <v>M1</v>
          </cell>
          <cell r="B1264" t="str">
            <v>A5C</v>
          </cell>
          <cell r="C1264" t="str">
            <v>P</v>
          </cell>
          <cell r="D1264" t="str">
            <v>22081</v>
          </cell>
          <cell r="E1264" t="str">
            <v>WN FLG</v>
          </cell>
          <cell r="F1264">
            <v>3</v>
          </cell>
          <cell r="G1264" t="str">
            <v>CB200104000300</v>
          </cell>
          <cell r="H1264">
            <v>3</v>
          </cell>
          <cell r="I1264" t="str">
            <v>--</v>
          </cell>
          <cell r="J1264">
            <v>8</v>
          </cell>
          <cell r="K1264">
            <v>9</v>
          </cell>
        </row>
        <row r="1265">
          <cell r="A1265" t="str">
            <v>M1</v>
          </cell>
          <cell r="B1265" t="str">
            <v>A5C</v>
          </cell>
          <cell r="C1265" t="str">
            <v>P</v>
          </cell>
          <cell r="D1265" t="str">
            <v>22133</v>
          </cell>
          <cell r="E1265" t="str">
            <v>WN FLG</v>
          </cell>
          <cell r="F1265">
            <v>3</v>
          </cell>
          <cell r="G1265" t="str">
            <v>CB200104000300</v>
          </cell>
          <cell r="H1265">
            <v>3</v>
          </cell>
          <cell r="I1265" t="str">
            <v>--</v>
          </cell>
          <cell r="J1265">
            <v>1</v>
          </cell>
          <cell r="K1265">
            <v>2</v>
          </cell>
        </row>
        <row r="1266">
          <cell r="A1266" t="str">
            <v>M1</v>
          </cell>
          <cell r="B1266" t="str">
            <v>A5C</v>
          </cell>
          <cell r="C1266" t="str">
            <v>P</v>
          </cell>
          <cell r="D1266" t="str">
            <v>22118</v>
          </cell>
          <cell r="E1266" t="str">
            <v>WN FLG</v>
          </cell>
          <cell r="F1266">
            <v>3</v>
          </cell>
          <cell r="G1266" t="str">
            <v>CB200104000300</v>
          </cell>
          <cell r="H1266">
            <v>3</v>
          </cell>
          <cell r="I1266" t="str">
            <v>--</v>
          </cell>
          <cell r="J1266">
            <v>1</v>
          </cell>
          <cell r="K1266">
            <v>2</v>
          </cell>
        </row>
        <row r="1267">
          <cell r="A1267" t="str">
            <v>M1</v>
          </cell>
          <cell r="B1267" t="str">
            <v>A5C</v>
          </cell>
          <cell r="C1267" t="str">
            <v>P</v>
          </cell>
          <cell r="D1267" t="str">
            <v>22118</v>
          </cell>
          <cell r="E1267" t="str">
            <v>WN FLG</v>
          </cell>
          <cell r="F1267">
            <v>3</v>
          </cell>
          <cell r="G1267" t="str">
            <v>CB200204000300</v>
          </cell>
          <cell r="H1267">
            <v>3</v>
          </cell>
          <cell r="I1267" t="str">
            <v>--</v>
          </cell>
          <cell r="J1267">
            <v>2</v>
          </cell>
          <cell r="K1267">
            <v>3</v>
          </cell>
        </row>
        <row r="1268">
          <cell r="A1268" t="str">
            <v>M1</v>
          </cell>
          <cell r="B1268" t="str">
            <v>A5C</v>
          </cell>
          <cell r="C1268" t="str">
            <v>P</v>
          </cell>
          <cell r="D1268" t="str">
            <v>22134</v>
          </cell>
          <cell r="E1268" t="str">
            <v>WN FLG</v>
          </cell>
          <cell r="F1268">
            <v>3</v>
          </cell>
          <cell r="G1268" t="str">
            <v>CB200104000300</v>
          </cell>
          <cell r="H1268">
            <v>3</v>
          </cell>
          <cell r="I1268" t="str">
            <v>--</v>
          </cell>
          <cell r="J1268">
            <v>1</v>
          </cell>
          <cell r="K1268">
            <v>2</v>
          </cell>
        </row>
        <row r="1269">
          <cell r="A1269" t="str">
            <v>M1</v>
          </cell>
          <cell r="B1269" t="str">
            <v>A5C</v>
          </cell>
          <cell r="C1269" t="str">
            <v>P</v>
          </cell>
          <cell r="D1269" t="str">
            <v>25002</v>
          </cell>
          <cell r="E1269" t="str">
            <v>WN FLG</v>
          </cell>
          <cell r="F1269">
            <v>3</v>
          </cell>
          <cell r="G1269" t="str">
            <v>CB200204000300</v>
          </cell>
          <cell r="H1269">
            <v>3</v>
          </cell>
          <cell r="I1269" t="str">
            <v>--</v>
          </cell>
          <cell r="J1269">
            <v>2</v>
          </cell>
          <cell r="K1269">
            <v>3</v>
          </cell>
        </row>
        <row r="1270">
          <cell r="A1270" t="str">
            <v>M1</v>
          </cell>
          <cell r="B1270" t="str">
            <v>A5C</v>
          </cell>
          <cell r="C1270" t="str">
            <v>TRIM</v>
          </cell>
          <cell r="D1270" t="str">
            <v>V-2211</v>
          </cell>
          <cell r="E1270" t="str">
            <v>WN FLG</v>
          </cell>
          <cell r="F1270">
            <v>3</v>
          </cell>
          <cell r="G1270" t="str">
            <v>CB200104000300</v>
          </cell>
          <cell r="H1270">
            <v>3</v>
          </cell>
          <cell r="I1270" t="str">
            <v>--</v>
          </cell>
          <cell r="J1270">
            <v>3</v>
          </cell>
          <cell r="K1270">
            <v>4</v>
          </cell>
        </row>
        <row r="1271">
          <cell r="A1271" t="str">
            <v>M1</v>
          </cell>
          <cell r="B1271" t="str">
            <v>A5C</v>
          </cell>
          <cell r="C1271" t="str">
            <v>P</v>
          </cell>
          <cell r="D1271" t="str">
            <v>22153</v>
          </cell>
          <cell r="E1271" t="str">
            <v>WN FLG</v>
          </cell>
          <cell r="F1271">
            <v>3</v>
          </cell>
          <cell r="G1271" t="str">
            <v>CB200104000300</v>
          </cell>
          <cell r="H1271">
            <v>3</v>
          </cell>
          <cell r="I1271" t="str">
            <v>--</v>
          </cell>
          <cell r="J1271">
            <v>2</v>
          </cell>
          <cell r="K1271">
            <v>3</v>
          </cell>
        </row>
        <row r="1272">
          <cell r="A1272" t="str">
            <v>M1</v>
          </cell>
          <cell r="B1272" t="str">
            <v>A5C</v>
          </cell>
          <cell r="C1272" t="str">
            <v>P</v>
          </cell>
          <cell r="D1272" t="str">
            <v>22090</v>
          </cell>
          <cell r="E1272" t="str">
            <v>WN FLG</v>
          </cell>
          <cell r="F1272">
            <v>3</v>
          </cell>
          <cell r="G1272" t="str">
            <v>CB200104000300</v>
          </cell>
          <cell r="H1272">
            <v>3</v>
          </cell>
          <cell r="I1272" t="str">
            <v>--</v>
          </cell>
          <cell r="J1272">
            <v>5</v>
          </cell>
          <cell r="K1272">
            <v>6</v>
          </cell>
        </row>
        <row r="1273">
          <cell r="A1273" t="str">
            <v>M1</v>
          </cell>
          <cell r="B1273" t="str">
            <v>A5C</v>
          </cell>
          <cell r="C1273" t="str">
            <v>P</v>
          </cell>
          <cell r="D1273" t="str">
            <v>22090</v>
          </cell>
          <cell r="E1273" t="str">
            <v>WN FLG</v>
          </cell>
          <cell r="F1273">
            <v>3</v>
          </cell>
          <cell r="G1273" t="str">
            <v>CB200104000300</v>
          </cell>
          <cell r="H1273">
            <v>3</v>
          </cell>
          <cell r="I1273" t="str">
            <v>--</v>
          </cell>
          <cell r="J1273">
            <v>6</v>
          </cell>
          <cell r="K1273">
            <v>7</v>
          </cell>
        </row>
        <row r="1274">
          <cell r="A1274" t="str">
            <v>M1</v>
          </cell>
          <cell r="B1274" t="str">
            <v>A5C</v>
          </cell>
          <cell r="C1274" t="str">
            <v>P</v>
          </cell>
          <cell r="D1274" t="str">
            <v>22091</v>
          </cell>
          <cell r="E1274" t="str">
            <v>WN FLG</v>
          </cell>
          <cell r="F1274">
            <v>3</v>
          </cell>
          <cell r="G1274" t="str">
            <v>CB200104000300</v>
          </cell>
          <cell r="H1274">
            <v>3</v>
          </cell>
          <cell r="I1274" t="str">
            <v>--</v>
          </cell>
          <cell r="J1274">
            <v>1</v>
          </cell>
          <cell r="K1274">
            <v>2</v>
          </cell>
        </row>
        <row r="1275">
          <cell r="A1275" t="str">
            <v>M1</v>
          </cell>
          <cell r="B1275" t="str">
            <v>A5C</v>
          </cell>
          <cell r="C1275" t="str">
            <v>P</v>
          </cell>
          <cell r="D1275" t="str">
            <v>22092</v>
          </cell>
          <cell r="E1275" t="str">
            <v>WN FLG</v>
          </cell>
          <cell r="F1275">
            <v>3</v>
          </cell>
          <cell r="G1275" t="str">
            <v>CB200104000300</v>
          </cell>
          <cell r="H1275">
            <v>3</v>
          </cell>
          <cell r="I1275" t="str">
            <v>--</v>
          </cell>
          <cell r="J1275">
            <v>3</v>
          </cell>
          <cell r="K1275">
            <v>4</v>
          </cell>
        </row>
        <row r="1276">
          <cell r="A1276" t="str">
            <v>M1</v>
          </cell>
          <cell r="B1276" t="str">
            <v>A5C</v>
          </cell>
          <cell r="C1276" t="str">
            <v>P</v>
          </cell>
          <cell r="D1276" t="str">
            <v>22094</v>
          </cell>
          <cell r="E1276" t="str">
            <v>WN FLG</v>
          </cell>
          <cell r="F1276">
            <v>3</v>
          </cell>
          <cell r="G1276" t="str">
            <v>CB200104000300</v>
          </cell>
          <cell r="H1276">
            <v>3</v>
          </cell>
          <cell r="I1276" t="str">
            <v>--</v>
          </cell>
          <cell r="J1276">
            <v>11</v>
          </cell>
          <cell r="K1276">
            <v>13</v>
          </cell>
        </row>
        <row r="1277">
          <cell r="A1277" t="str">
            <v>M1</v>
          </cell>
          <cell r="B1277" t="str">
            <v>A5C</v>
          </cell>
          <cell r="C1277" t="str">
            <v>P</v>
          </cell>
          <cell r="D1277" t="str">
            <v>22095</v>
          </cell>
          <cell r="E1277" t="str">
            <v>WN FLG</v>
          </cell>
          <cell r="F1277">
            <v>3</v>
          </cell>
          <cell r="G1277" t="str">
            <v>CB200104000300</v>
          </cell>
          <cell r="H1277">
            <v>3</v>
          </cell>
          <cell r="I1277" t="str">
            <v>--</v>
          </cell>
          <cell r="J1277">
            <v>11</v>
          </cell>
          <cell r="K1277">
            <v>13</v>
          </cell>
        </row>
        <row r="1278">
          <cell r="A1278" t="str">
            <v>M1</v>
          </cell>
          <cell r="B1278" t="str">
            <v>A5C</v>
          </cell>
          <cell r="C1278" t="str">
            <v>P</v>
          </cell>
          <cell r="D1278" t="str">
            <v>22100</v>
          </cell>
          <cell r="E1278" t="str">
            <v>WN FLG</v>
          </cell>
          <cell r="F1278">
            <v>3</v>
          </cell>
          <cell r="G1278" t="str">
            <v>CB200104000300</v>
          </cell>
          <cell r="H1278">
            <v>3</v>
          </cell>
          <cell r="I1278" t="str">
            <v>--</v>
          </cell>
          <cell r="J1278">
            <v>2</v>
          </cell>
          <cell r="K1278">
            <v>3</v>
          </cell>
        </row>
        <row r="1279">
          <cell r="A1279" t="str">
            <v>M1</v>
          </cell>
          <cell r="B1279" t="str">
            <v>A5C</v>
          </cell>
          <cell r="C1279" t="str">
            <v>P</v>
          </cell>
          <cell r="D1279" t="str">
            <v>22090</v>
          </cell>
          <cell r="E1279" t="str">
            <v>WN FLG</v>
          </cell>
          <cell r="F1279">
            <v>3</v>
          </cell>
          <cell r="G1279" t="str">
            <v>CB200204000300</v>
          </cell>
          <cell r="H1279">
            <v>3</v>
          </cell>
          <cell r="I1279" t="str">
            <v>--</v>
          </cell>
          <cell r="J1279">
            <v>2</v>
          </cell>
          <cell r="K1279">
            <v>3</v>
          </cell>
        </row>
        <row r="1280">
          <cell r="A1280" t="str">
            <v>M1</v>
          </cell>
          <cell r="B1280" t="str">
            <v>A5C</v>
          </cell>
          <cell r="C1280" t="str">
            <v>P</v>
          </cell>
          <cell r="D1280" t="str">
            <v>22093</v>
          </cell>
          <cell r="E1280" t="str">
            <v>WN FLG</v>
          </cell>
          <cell r="F1280">
            <v>3</v>
          </cell>
          <cell r="G1280" t="str">
            <v>CB200104000300</v>
          </cell>
          <cell r="H1280">
            <v>3</v>
          </cell>
          <cell r="I1280" t="str">
            <v>--</v>
          </cell>
          <cell r="J1280">
            <v>3</v>
          </cell>
          <cell r="K1280">
            <v>4</v>
          </cell>
        </row>
        <row r="1281">
          <cell r="A1281" t="str">
            <v>M1</v>
          </cell>
          <cell r="B1281" t="str">
            <v>A5C</v>
          </cell>
          <cell r="C1281" t="str">
            <v>WW</v>
          </cell>
          <cell r="D1281" t="str">
            <v>22601</v>
          </cell>
          <cell r="E1281" t="str">
            <v>WN FLG</v>
          </cell>
          <cell r="F1281">
            <v>3</v>
          </cell>
          <cell r="G1281" t="str">
            <v>CB200104000300</v>
          </cell>
          <cell r="H1281">
            <v>3</v>
          </cell>
          <cell r="I1281" t="str">
            <v>--</v>
          </cell>
          <cell r="J1281">
            <v>2</v>
          </cell>
          <cell r="K1281">
            <v>3</v>
          </cell>
        </row>
        <row r="1282">
          <cell r="A1282" t="str">
            <v>M1</v>
          </cell>
          <cell r="B1282" t="str">
            <v>A5C</v>
          </cell>
          <cell r="C1282" t="str">
            <v>P</v>
          </cell>
          <cell r="D1282" t="str">
            <v>22003</v>
          </cell>
          <cell r="E1282" t="str">
            <v>WN FLG</v>
          </cell>
          <cell r="F1282">
            <v>3</v>
          </cell>
          <cell r="G1282" t="str">
            <v>CB200204000300</v>
          </cell>
          <cell r="H1282">
            <v>3</v>
          </cell>
          <cell r="I1282" t="str">
            <v>--</v>
          </cell>
          <cell r="J1282">
            <v>2</v>
          </cell>
          <cell r="K1282">
            <v>3</v>
          </cell>
        </row>
        <row r="1283">
          <cell r="A1283" t="str">
            <v>M1</v>
          </cell>
          <cell r="B1283" t="str">
            <v>A5C</v>
          </cell>
          <cell r="C1283" t="str">
            <v>P</v>
          </cell>
          <cell r="D1283" t="str">
            <v>22003</v>
          </cell>
          <cell r="E1283" t="str">
            <v>WN FLG</v>
          </cell>
          <cell r="F1283">
            <v>3</v>
          </cell>
          <cell r="G1283" t="str">
            <v>CB200104000300</v>
          </cell>
          <cell r="H1283">
            <v>3</v>
          </cell>
          <cell r="I1283" t="str">
            <v>--</v>
          </cell>
          <cell r="J1283">
            <v>11</v>
          </cell>
          <cell r="K1283">
            <v>13</v>
          </cell>
        </row>
        <row r="1284">
          <cell r="A1284" t="str">
            <v>M1</v>
          </cell>
          <cell r="B1284" t="str">
            <v>A5C</v>
          </cell>
          <cell r="C1284" t="str">
            <v>P</v>
          </cell>
          <cell r="D1284" t="str">
            <v>22004</v>
          </cell>
          <cell r="E1284" t="str">
            <v>WN FLG</v>
          </cell>
          <cell r="F1284">
            <v>3</v>
          </cell>
          <cell r="G1284" t="str">
            <v>CB200204000300</v>
          </cell>
          <cell r="H1284">
            <v>3</v>
          </cell>
          <cell r="I1284" t="str">
            <v>--</v>
          </cell>
          <cell r="J1284">
            <v>2</v>
          </cell>
          <cell r="K1284">
            <v>3</v>
          </cell>
        </row>
        <row r="1285">
          <cell r="A1285" t="str">
            <v>M1</v>
          </cell>
          <cell r="B1285" t="str">
            <v>A5C</v>
          </cell>
          <cell r="C1285" t="str">
            <v>P</v>
          </cell>
          <cell r="D1285" t="str">
            <v>22005</v>
          </cell>
          <cell r="E1285" t="str">
            <v>WN FLG</v>
          </cell>
          <cell r="F1285">
            <v>3</v>
          </cell>
          <cell r="G1285" t="str">
            <v>CB200204000300</v>
          </cell>
          <cell r="H1285">
            <v>3</v>
          </cell>
          <cell r="I1285" t="str">
            <v>--</v>
          </cell>
          <cell r="J1285">
            <v>2</v>
          </cell>
          <cell r="K1285">
            <v>3</v>
          </cell>
        </row>
        <row r="1286">
          <cell r="A1286" t="str">
            <v>M1</v>
          </cell>
          <cell r="B1286" t="str">
            <v>A5C</v>
          </cell>
          <cell r="C1286" t="str">
            <v>P</v>
          </cell>
          <cell r="D1286" t="str">
            <v>22005</v>
          </cell>
          <cell r="E1286" t="str">
            <v>WN FLG</v>
          </cell>
          <cell r="F1286">
            <v>3</v>
          </cell>
          <cell r="G1286" t="str">
            <v>CB200104000300</v>
          </cell>
          <cell r="H1286">
            <v>3</v>
          </cell>
          <cell r="I1286" t="str">
            <v>--</v>
          </cell>
          <cell r="J1286">
            <v>2</v>
          </cell>
          <cell r="K1286">
            <v>3</v>
          </cell>
        </row>
        <row r="1287">
          <cell r="A1287" t="str">
            <v>M1</v>
          </cell>
          <cell r="B1287" t="str">
            <v>A5C</v>
          </cell>
          <cell r="C1287" t="str">
            <v>P</v>
          </cell>
          <cell r="D1287" t="str">
            <v>22026</v>
          </cell>
          <cell r="E1287" t="str">
            <v>WN FLG</v>
          </cell>
          <cell r="F1287">
            <v>3</v>
          </cell>
          <cell r="G1287" t="str">
            <v>CB200204000300</v>
          </cell>
          <cell r="H1287">
            <v>3</v>
          </cell>
          <cell r="I1287" t="str">
            <v>--</v>
          </cell>
          <cell r="J1287">
            <v>2</v>
          </cell>
          <cell r="K1287">
            <v>3</v>
          </cell>
        </row>
        <row r="1288">
          <cell r="A1288" t="str">
            <v>M1</v>
          </cell>
          <cell r="B1288" t="str">
            <v>A5C</v>
          </cell>
          <cell r="C1288" t="str">
            <v>P</v>
          </cell>
          <cell r="D1288" t="str">
            <v>22026</v>
          </cell>
          <cell r="E1288" t="str">
            <v>WN FLG</v>
          </cell>
          <cell r="F1288">
            <v>3</v>
          </cell>
          <cell r="G1288" t="str">
            <v>CB200104000300</v>
          </cell>
          <cell r="H1288">
            <v>3</v>
          </cell>
          <cell r="I1288" t="str">
            <v>--</v>
          </cell>
          <cell r="J1288">
            <v>8</v>
          </cell>
          <cell r="K1288">
            <v>9</v>
          </cell>
        </row>
        <row r="1289">
          <cell r="A1289" t="str">
            <v>M1</v>
          </cell>
          <cell r="B1289" t="str">
            <v>A5C</v>
          </cell>
          <cell r="C1289" t="str">
            <v>P</v>
          </cell>
          <cell r="D1289" t="str">
            <v>22073</v>
          </cell>
          <cell r="E1289" t="str">
            <v>WN FLG</v>
          </cell>
          <cell r="F1289">
            <v>3</v>
          </cell>
          <cell r="G1289" t="str">
            <v>CB200104000300</v>
          </cell>
          <cell r="H1289">
            <v>3</v>
          </cell>
          <cell r="I1289" t="str">
            <v>--</v>
          </cell>
          <cell r="J1289">
            <v>1</v>
          </cell>
          <cell r="K1289">
            <v>2</v>
          </cell>
        </row>
        <row r="1290">
          <cell r="A1290" t="str">
            <v>M1</v>
          </cell>
          <cell r="B1290" t="str">
            <v>A5C</v>
          </cell>
          <cell r="C1290" t="str">
            <v>P</v>
          </cell>
          <cell r="D1290" t="str">
            <v>22061</v>
          </cell>
          <cell r="E1290" t="str">
            <v>WN FLG</v>
          </cell>
          <cell r="F1290">
            <v>3</v>
          </cell>
          <cell r="G1290" t="str">
            <v>CB200104000300</v>
          </cell>
          <cell r="H1290">
            <v>3</v>
          </cell>
          <cell r="I1290" t="str">
            <v>--</v>
          </cell>
          <cell r="J1290">
            <v>2</v>
          </cell>
          <cell r="K1290">
            <v>3</v>
          </cell>
        </row>
        <row r="1291">
          <cell r="A1291" t="str">
            <v>M1</v>
          </cell>
          <cell r="B1291" t="str">
            <v>A5C</v>
          </cell>
          <cell r="C1291" t="str">
            <v>P</v>
          </cell>
          <cell r="D1291" t="str">
            <v>22062</v>
          </cell>
          <cell r="E1291" t="str">
            <v>WN FLG</v>
          </cell>
          <cell r="F1291">
            <v>3</v>
          </cell>
          <cell r="G1291" t="str">
            <v>CB200104000300</v>
          </cell>
          <cell r="H1291">
            <v>3</v>
          </cell>
          <cell r="I1291" t="str">
            <v>--</v>
          </cell>
          <cell r="J1291">
            <v>1</v>
          </cell>
          <cell r="K1291">
            <v>2</v>
          </cell>
        </row>
        <row r="1292">
          <cell r="A1292" t="str">
            <v>M1</v>
          </cell>
          <cell r="B1292" t="str">
            <v>A5C</v>
          </cell>
          <cell r="C1292" t="str">
            <v>TRIM</v>
          </cell>
          <cell r="D1292" t="str">
            <v>V-2213</v>
          </cell>
          <cell r="E1292" t="str">
            <v>WN FLG</v>
          </cell>
          <cell r="F1292">
            <v>3</v>
          </cell>
          <cell r="G1292" t="str">
            <v>CB200104000300</v>
          </cell>
          <cell r="H1292">
            <v>3</v>
          </cell>
          <cell r="I1292" t="str">
            <v>--</v>
          </cell>
          <cell r="J1292">
            <v>1</v>
          </cell>
          <cell r="K1292">
            <v>2</v>
          </cell>
        </row>
        <row r="1293">
          <cell r="A1293" t="str">
            <v>M1</v>
          </cell>
          <cell r="B1293" t="str">
            <v>A5C</v>
          </cell>
          <cell r="C1293" t="str">
            <v>P</v>
          </cell>
          <cell r="D1293" t="str">
            <v>22001</v>
          </cell>
          <cell r="E1293" t="str">
            <v>WN FLG</v>
          </cell>
          <cell r="F1293">
            <v>3</v>
          </cell>
          <cell r="G1293" t="str">
            <v>CB200104000300</v>
          </cell>
          <cell r="H1293">
            <v>3</v>
          </cell>
          <cell r="I1293" t="str">
            <v>--</v>
          </cell>
          <cell r="J1293">
            <v>2</v>
          </cell>
          <cell r="K1293">
            <v>3</v>
          </cell>
        </row>
        <row r="1294">
          <cell r="A1294" t="str">
            <v>M1</v>
          </cell>
          <cell r="B1294" t="str">
            <v>A6C</v>
          </cell>
          <cell r="C1294" t="str">
            <v>HOS</v>
          </cell>
          <cell r="D1294" t="str">
            <v>65634</v>
          </cell>
          <cell r="E1294" t="str">
            <v>WN FLG</v>
          </cell>
          <cell r="F1294">
            <v>3</v>
          </cell>
          <cell r="G1294" t="str">
            <v>CB200104000300</v>
          </cell>
          <cell r="H1294">
            <v>3</v>
          </cell>
          <cell r="I1294" t="str">
            <v>--</v>
          </cell>
          <cell r="J1294">
            <v>4</v>
          </cell>
          <cell r="K1294">
            <v>5</v>
          </cell>
        </row>
        <row r="1295">
          <cell r="A1295" t="str">
            <v>M1</v>
          </cell>
          <cell r="B1295" t="str">
            <v>A4C</v>
          </cell>
          <cell r="C1295" t="str">
            <v>P</v>
          </cell>
          <cell r="D1295" t="str">
            <v>22031</v>
          </cell>
          <cell r="E1295" t="str">
            <v>WN FLG</v>
          </cell>
          <cell r="F1295">
            <v>3</v>
          </cell>
          <cell r="G1295" t="str">
            <v>CB200104000300</v>
          </cell>
          <cell r="H1295">
            <v>3</v>
          </cell>
          <cell r="I1295" t="str">
            <v>--</v>
          </cell>
          <cell r="J1295">
            <v>5</v>
          </cell>
          <cell r="K1295">
            <v>6</v>
          </cell>
        </row>
        <row r="1296">
          <cell r="A1296" t="str">
            <v>M1</v>
          </cell>
          <cell r="B1296" t="str">
            <v>A4C</v>
          </cell>
          <cell r="C1296" t="str">
            <v>P</v>
          </cell>
          <cell r="D1296" t="str">
            <v>22031</v>
          </cell>
          <cell r="E1296" t="str">
            <v>WN FLG</v>
          </cell>
          <cell r="F1296">
            <v>3</v>
          </cell>
          <cell r="G1296" t="str">
            <v>CB200104000300</v>
          </cell>
          <cell r="H1296">
            <v>3</v>
          </cell>
          <cell r="I1296" t="str">
            <v>--</v>
          </cell>
          <cell r="J1296">
            <v>1</v>
          </cell>
          <cell r="K1296">
            <v>2</v>
          </cell>
        </row>
        <row r="1297">
          <cell r="A1297" t="str">
            <v>M1</v>
          </cell>
          <cell r="B1297" t="str">
            <v>A5C</v>
          </cell>
          <cell r="C1297" t="str">
            <v>P</v>
          </cell>
          <cell r="D1297" t="str">
            <v>22088</v>
          </cell>
          <cell r="E1297" t="str">
            <v>WN FLG</v>
          </cell>
          <cell r="F1297">
            <v>3</v>
          </cell>
          <cell r="G1297" t="str">
            <v>CB200104000300</v>
          </cell>
          <cell r="H1297">
            <v>3</v>
          </cell>
          <cell r="I1297" t="str">
            <v>--</v>
          </cell>
          <cell r="J1297">
            <v>4</v>
          </cell>
          <cell r="K1297">
            <v>5</v>
          </cell>
        </row>
        <row r="1298">
          <cell r="A1298" t="str">
            <v>M1</v>
          </cell>
          <cell r="B1298" t="str">
            <v>A5C</v>
          </cell>
          <cell r="C1298" t="str">
            <v>P</v>
          </cell>
          <cell r="D1298" t="str">
            <v>22088</v>
          </cell>
          <cell r="E1298" t="str">
            <v>WN FLG</v>
          </cell>
          <cell r="F1298">
            <v>3</v>
          </cell>
          <cell r="G1298" t="str">
            <v>CB200204000300</v>
          </cell>
          <cell r="H1298">
            <v>3</v>
          </cell>
          <cell r="I1298" t="str">
            <v>--</v>
          </cell>
          <cell r="J1298">
            <v>2</v>
          </cell>
          <cell r="K1298">
            <v>3</v>
          </cell>
        </row>
        <row r="1299">
          <cell r="A1299" t="str">
            <v>M1</v>
          </cell>
          <cell r="B1299" t="str">
            <v>A5C</v>
          </cell>
          <cell r="C1299" t="str">
            <v>P</v>
          </cell>
          <cell r="D1299" t="str">
            <v>22089</v>
          </cell>
          <cell r="E1299" t="str">
            <v>WN FLG</v>
          </cell>
          <cell r="F1299">
            <v>3</v>
          </cell>
          <cell r="G1299" t="str">
            <v>CB200104000300</v>
          </cell>
          <cell r="H1299">
            <v>3</v>
          </cell>
          <cell r="I1299" t="str">
            <v>--</v>
          </cell>
          <cell r="J1299">
            <v>1</v>
          </cell>
          <cell r="K1299">
            <v>2</v>
          </cell>
        </row>
        <row r="1300">
          <cell r="A1300" t="str">
            <v>M1</v>
          </cell>
          <cell r="B1300" t="str">
            <v>A5C</v>
          </cell>
          <cell r="C1300" t="str">
            <v>TRIM</v>
          </cell>
          <cell r="D1300" t="str">
            <v>C-2201</v>
          </cell>
          <cell r="E1300" t="str">
            <v>WN FLG</v>
          </cell>
          <cell r="F1300">
            <v>3</v>
          </cell>
          <cell r="G1300" t="str">
            <v>CB200104000300</v>
          </cell>
          <cell r="H1300">
            <v>3</v>
          </cell>
          <cell r="I1300" t="str">
            <v>--</v>
          </cell>
          <cell r="J1300">
            <v>2</v>
          </cell>
          <cell r="K1300">
            <v>3</v>
          </cell>
        </row>
        <row r="1301">
          <cell r="A1301" t="str">
            <v>M1</v>
          </cell>
          <cell r="B1301" t="str">
            <v>A5C</v>
          </cell>
          <cell r="C1301" t="str">
            <v>TRIM</v>
          </cell>
          <cell r="D1301" t="str">
            <v>V-2216A</v>
          </cell>
          <cell r="E1301" t="str">
            <v>WN FLG</v>
          </cell>
          <cell r="F1301">
            <v>3</v>
          </cell>
          <cell r="G1301" t="str">
            <v>CB200104000300</v>
          </cell>
          <cell r="H1301">
            <v>3</v>
          </cell>
          <cell r="I1301" t="str">
            <v>--</v>
          </cell>
          <cell r="J1301">
            <v>3</v>
          </cell>
          <cell r="K1301">
            <v>4</v>
          </cell>
        </row>
        <row r="1302">
          <cell r="A1302" t="str">
            <v>M1</v>
          </cell>
          <cell r="B1302" t="str">
            <v>A5C</v>
          </cell>
          <cell r="C1302" t="str">
            <v>TRIM</v>
          </cell>
          <cell r="D1302" t="str">
            <v>V-2216B</v>
          </cell>
          <cell r="E1302" t="str">
            <v>WN FLG</v>
          </cell>
          <cell r="F1302">
            <v>3</v>
          </cell>
          <cell r="G1302" t="str">
            <v>CB200104000300</v>
          </cell>
          <cell r="H1302">
            <v>3</v>
          </cell>
          <cell r="I1302" t="str">
            <v>--</v>
          </cell>
          <cell r="J1302">
            <v>3</v>
          </cell>
          <cell r="K1302">
            <v>4</v>
          </cell>
        </row>
        <row r="1303">
          <cell r="A1303" t="str">
            <v>M1</v>
          </cell>
          <cell r="B1303" t="str">
            <v>A6C</v>
          </cell>
          <cell r="C1303" t="str">
            <v>HOR</v>
          </cell>
          <cell r="D1303" t="str">
            <v>65621</v>
          </cell>
          <cell r="E1303" t="str">
            <v>WN FLG</v>
          </cell>
          <cell r="F1303">
            <v>3</v>
          </cell>
          <cell r="G1303" t="str">
            <v>CB200104000300</v>
          </cell>
          <cell r="H1303">
            <v>3</v>
          </cell>
          <cell r="I1303" t="str">
            <v>--</v>
          </cell>
          <cell r="J1303">
            <v>2</v>
          </cell>
          <cell r="K1303">
            <v>3</v>
          </cell>
        </row>
        <row r="1304">
          <cell r="A1304" t="str">
            <v>M1</v>
          </cell>
          <cell r="B1304" t="str">
            <v>A6C</v>
          </cell>
          <cell r="C1304" t="str">
            <v>HOR</v>
          </cell>
          <cell r="D1304" t="str">
            <v>65813</v>
          </cell>
          <cell r="E1304" t="str">
            <v>WN FLG</v>
          </cell>
          <cell r="F1304">
            <v>3</v>
          </cell>
          <cell r="G1304" t="str">
            <v>CB200104000300</v>
          </cell>
          <cell r="H1304">
            <v>3</v>
          </cell>
          <cell r="I1304" t="str">
            <v>--</v>
          </cell>
          <cell r="J1304">
            <v>1</v>
          </cell>
          <cell r="K1304">
            <v>2</v>
          </cell>
        </row>
        <row r="1305">
          <cell r="A1305" t="str">
            <v>M1</v>
          </cell>
          <cell r="B1305" t="str">
            <v>A6C</v>
          </cell>
          <cell r="C1305" t="str">
            <v>HOS</v>
          </cell>
          <cell r="D1305" t="str">
            <v>65612</v>
          </cell>
          <cell r="E1305" t="str">
            <v>WN FLG</v>
          </cell>
          <cell r="F1305">
            <v>3</v>
          </cell>
          <cell r="G1305" t="str">
            <v>CB200104000300</v>
          </cell>
          <cell r="H1305">
            <v>3</v>
          </cell>
          <cell r="I1305" t="str">
            <v>--</v>
          </cell>
          <cell r="J1305">
            <v>1</v>
          </cell>
          <cell r="K1305">
            <v>2</v>
          </cell>
        </row>
        <row r="1306">
          <cell r="A1306" t="str">
            <v>M1</v>
          </cell>
          <cell r="B1306" t="str">
            <v>A5C</v>
          </cell>
          <cell r="C1306" t="str">
            <v>P</v>
          </cell>
          <cell r="D1306" t="str">
            <v>22089</v>
          </cell>
          <cell r="E1306" t="str">
            <v>WN FLG</v>
          </cell>
          <cell r="F1306">
            <v>3</v>
          </cell>
          <cell r="G1306" t="str">
            <v>CB200204000300</v>
          </cell>
          <cell r="H1306">
            <v>3</v>
          </cell>
          <cell r="I1306" t="str">
            <v>--</v>
          </cell>
          <cell r="J1306">
            <v>2</v>
          </cell>
          <cell r="K1306">
            <v>3</v>
          </cell>
        </row>
        <row r="1307">
          <cell r="A1307" t="str">
            <v>M1</v>
          </cell>
          <cell r="B1307" t="str">
            <v>A5C</v>
          </cell>
          <cell r="C1307" t="str">
            <v>P</v>
          </cell>
          <cell r="D1307" t="str">
            <v>22096</v>
          </cell>
          <cell r="E1307" t="str">
            <v>WN FLG</v>
          </cell>
          <cell r="F1307">
            <v>3</v>
          </cell>
          <cell r="G1307" t="str">
            <v>CB200104000300</v>
          </cell>
          <cell r="H1307">
            <v>3</v>
          </cell>
          <cell r="I1307" t="str">
            <v>--</v>
          </cell>
          <cell r="J1307">
            <v>1</v>
          </cell>
          <cell r="K1307">
            <v>2</v>
          </cell>
        </row>
        <row r="1308">
          <cell r="A1308" t="str">
            <v>M1</v>
          </cell>
          <cell r="B1308" t="str">
            <v>A5C</v>
          </cell>
          <cell r="C1308" t="str">
            <v>TRIM</v>
          </cell>
          <cell r="D1308" t="str">
            <v>X-2207</v>
          </cell>
          <cell r="E1308" t="str">
            <v>WN FLG</v>
          </cell>
          <cell r="F1308">
            <v>3</v>
          </cell>
          <cell r="G1308" t="str">
            <v>CB200104000300</v>
          </cell>
          <cell r="H1308">
            <v>3</v>
          </cell>
          <cell r="I1308" t="str">
            <v>--</v>
          </cell>
          <cell r="J1308">
            <v>2</v>
          </cell>
          <cell r="K1308">
            <v>3</v>
          </cell>
        </row>
        <row r="1309">
          <cell r="A1309" t="str">
            <v>M1</v>
          </cell>
          <cell r="B1309" t="str">
            <v>A4C</v>
          </cell>
          <cell r="C1309" t="str">
            <v>N</v>
          </cell>
          <cell r="D1309" t="str">
            <v>22611</v>
          </cell>
          <cell r="E1309" t="str">
            <v>WN FLG</v>
          </cell>
          <cell r="F1309">
            <v>3</v>
          </cell>
          <cell r="G1309" t="str">
            <v>CB200104000400</v>
          </cell>
          <cell r="H1309">
            <v>4</v>
          </cell>
          <cell r="I1309" t="str">
            <v>--</v>
          </cell>
          <cell r="J1309">
            <v>2</v>
          </cell>
          <cell r="K1309">
            <v>3</v>
          </cell>
        </row>
        <row r="1310">
          <cell r="A1310" t="str">
            <v>M1</v>
          </cell>
          <cell r="B1310" t="str">
            <v>A5C</v>
          </cell>
          <cell r="C1310" t="str">
            <v>COMP</v>
          </cell>
          <cell r="D1310" t="str">
            <v>005</v>
          </cell>
          <cell r="E1310" t="str">
            <v>WN FLG</v>
          </cell>
          <cell r="F1310">
            <v>3</v>
          </cell>
          <cell r="G1310" t="str">
            <v>CB200104000400</v>
          </cell>
          <cell r="H1310">
            <v>4</v>
          </cell>
          <cell r="I1310" t="str">
            <v>--</v>
          </cell>
          <cell r="J1310">
            <v>1</v>
          </cell>
          <cell r="K1310">
            <v>2</v>
          </cell>
        </row>
        <row r="1311">
          <cell r="A1311" t="str">
            <v>M1</v>
          </cell>
          <cell r="B1311" t="str">
            <v>A5C</v>
          </cell>
          <cell r="C1311" t="str">
            <v>P</v>
          </cell>
          <cell r="D1311" t="str">
            <v>22024</v>
          </cell>
          <cell r="E1311" t="str">
            <v>WN FLG</v>
          </cell>
          <cell r="F1311">
            <v>3</v>
          </cell>
          <cell r="G1311" t="str">
            <v>CB200104000400</v>
          </cell>
          <cell r="H1311">
            <v>4</v>
          </cell>
          <cell r="I1311" t="str">
            <v>--</v>
          </cell>
          <cell r="J1311">
            <v>2</v>
          </cell>
          <cell r="K1311">
            <v>3</v>
          </cell>
        </row>
        <row r="1312">
          <cell r="A1312" t="str">
            <v>M1</v>
          </cell>
          <cell r="B1312" t="str">
            <v>A5C</v>
          </cell>
          <cell r="C1312" t="str">
            <v>P</v>
          </cell>
          <cell r="D1312" t="str">
            <v>22057</v>
          </cell>
          <cell r="E1312" t="str">
            <v>WN FLG</v>
          </cell>
          <cell r="F1312">
            <v>3</v>
          </cell>
          <cell r="G1312" t="str">
            <v>CB200104000400</v>
          </cell>
          <cell r="H1312">
            <v>4</v>
          </cell>
          <cell r="I1312" t="str">
            <v>--</v>
          </cell>
          <cell r="J1312">
            <v>2</v>
          </cell>
          <cell r="K1312">
            <v>3</v>
          </cell>
        </row>
        <row r="1313">
          <cell r="A1313" t="str">
            <v>M1</v>
          </cell>
          <cell r="B1313" t="str">
            <v>A5C</v>
          </cell>
          <cell r="C1313" t="str">
            <v>P</v>
          </cell>
          <cell r="D1313" t="str">
            <v>22069</v>
          </cell>
          <cell r="E1313" t="str">
            <v>WN FLG</v>
          </cell>
          <cell r="F1313">
            <v>3</v>
          </cell>
          <cell r="G1313" t="str">
            <v>CB200104000400</v>
          </cell>
          <cell r="H1313">
            <v>4</v>
          </cell>
          <cell r="I1313" t="str">
            <v>--</v>
          </cell>
          <cell r="J1313">
            <v>10</v>
          </cell>
          <cell r="K1313">
            <v>12</v>
          </cell>
        </row>
        <row r="1314">
          <cell r="A1314" t="str">
            <v>M1</v>
          </cell>
          <cell r="B1314" t="str">
            <v>A5C</v>
          </cell>
          <cell r="C1314" t="str">
            <v>P</v>
          </cell>
          <cell r="D1314" t="str">
            <v>22069</v>
          </cell>
          <cell r="E1314" t="str">
            <v>WN FLG</v>
          </cell>
          <cell r="F1314">
            <v>3</v>
          </cell>
          <cell r="G1314" t="str">
            <v>CB200104000400</v>
          </cell>
          <cell r="H1314">
            <v>4</v>
          </cell>
          <cell r="I1314" t="str">
            <v>--</v>
          </cell>
          <cell r="J1314">
            <v>7</v>
          </cell>
          <cell r="K1314">
            <v>9</v>
          </cell>
        </row>
        <row r="1315">
          <cell r="A1315" t="str">
            <v>M1</v>
          </cell>
          <cell r="B1315" t="str">
            <v>A5C</v>
          </cell>
          <cell r="C1315" t="str">
            <v>P</v>
          </cell>
          <cell r="D1315" t="str">
            <v>22082</v>
          </cell>
          <cell r="E1315" t="str">
            <v>WN FLG</v>
          </cell>
          <cell r="F1315">
            <v>3</v>
          </cell>
          <cell r="G1315" t="str">
            <v>CB200104000400</v>
          </cell>
          <cell r="H1315">
            <v>4</v>
          </cell>
          <cell r="I1315" t="str">
            <v>--</v>
          </cell>
          <cell r="J1315">
            <v>2</v>
          </cell>
          <cell r="K1315">
            <v>3</v>
          </cell>
        </row>
        <row r="1316">
          <cell r="A1316" t="str">
            <v>M1</v>
          </cell>
          <cell r="B1316" t="str">
            <v>A5C</v>
          </cell>
          <cell r="C1316" t="str">
            <v>P</v>
          </cell>
          <cell r="D1316" t="str">
            <v>22139</v>
          </cell>
          <cell r="E1316" t="str">
            <v>WN FLG</v>
          </cell>
          <cell r="F1316">
            <v>3</v>
          </cell>
          <cell r="G1316" t="str">
            <v>CB200104000400</v>
          </cell>
          <cell r="H1316">
            <v>4</v>
          </cell>
          <cell r="I1316" t="str">
            <v>--</v>
          </cell>
          <cell r="J1316">
            <v>10</v>
          </cell>
          <cell r="K1316">
            <v>12</v>
          </cell>
        </row>
        <row r="1317">
          <cell r="A1317" t="str">
            <v>M1</v>
          </cell>
          <cell r="B1317" t="str">
            <v>A5C</v>
          </cell>
          <cell r="C1317" t="str">
            <v>VENT</v>
          </cell>
          <cell r="D1317" t="str">
            <v>X2220</v>
          </cell>
          <cell r="E1317" t="str">
            <v>WN FLG</v>
          </cell>
          <cell r="F1317">
            <v>3</v>
          </cell>
          <cell r="G1317" t="str">
            <v>CB200104000400</v>
          </cell>
          <cell r="H1317">
            <v>4</v>
          </cell>
          <cell r="I1317" t="str">
            <v>--</v>
          </cell>
          <cell r="J1317">
            <v>1</v>
          </cell>
          <cell r="K1317">
            <v>2</v>
          </cell>
        </row>
        <row r="1318">
          <cell r="A1318" t="str">
            <v>M1</v>
          </cell>
          <cell r="B1318" t="str">
            <v>A5C</v>
          </cell>
          <cell r="C1318" t="str">
            <v>TRIM</v>
          </cell>
          <cell r="D1318" t="str">
            <v>V-2211</v>
          </cell>
          <cell r="E1318" t="str">
            <v>WN FLG</v>
          </cell>
          <cell r="F1318">
            <v>3</v>
          </cell>
          <cell r="G1318" t="str">
            <v>CB200104000400</v>
          </cell>
          <cell r="H1318">
            <v>4</v>
          </cell>
          <cell r="I1318" t="str">
            <v>--</v>
          </cell>
          <cell r="J1318">
            <v>3</v>
          </cell>
          <cell r="K1318">
            <v>4</v>
          </cell>
        </row>
        <row r="1319">
          <cell r="A1319" t="str">
            <v>M1</v>
          </cell>
          <cell r="B1319" t="str">
            <v>A5C</v>
          </cell>
          <cell r="C1319" t="str">
            <v>P</v>
          </cell>
          <cell r="D1319" t="str">
            <v>22021</v>
          </cell>
          <cell r="E1319" t="str">
            <v>WN FLG</v>
          </cell>
          <cell r="F1319">
            <v>3</v>
          </cell>
          <cell r="G1319" t="str">
            <v>CB200104000400</v>
          </cell>
          <cell r="H1319">
            <v>4</v>
          </cell>
          <cell r="I1319" t="str">
            <v>--</v>
          </cell>
          <cell r="J1319">
            <v>2</v>
          </cell>
          <cell r="K1319">
            <v>3</v>
          </cell>
        </row>
        <row r="1320">
          <cell r="A1320" t="str">
            <v>M1</v>
          </cell>
          <cell r="B1320" t="str">
            <v>A5C</v>
          </cell>
          <cell r="C1320" t="str">
            <v>P</v>
          </cell>
          <cell r="D1320" t="str">
            <v>22065</v>
          </cell>
          <cell r="E1320" t="str">
            <v>WN FLG</v>
          </cell>
          <cell r="F1320">
            <v>3</v>
          </cell>
          <cell r="G1320" t="str">
            <v>CB200104000400</v>
          </cell>
          <cell r="H1320">
            <v>4</v>
          </cell>
          <cell r="I1320" t="str">
            <v>--</v>
          </cell>
          <cell r="J1320">
            <v>2</v>
          </cell>
          <cell r="K1320">
            <v>3</v>
          </cell>
        </row>
        <row r="1321">
          <cell r="A1321" t="str">
            <v>M1</v>
          </cell>
          <cell r="B1321" t="str">
            <v>A5C</v>
          </cell>
          <cell r="C1321" t="str">
            <v>P</v>
          </cell>
          <cell r="D1321" t="str">
            <v>22069</v>
          </cell>
          <cell r="E1321" t="str">
            <v>WN FLG</v>
          </cell>
          <cell r="F1321">
            <v>3</v>
          </cell>
          <cell r="G1321" t="str">
            <v>CB200204000400</v>
          </cell>
          <cell r="H1321">
            <v>4</v>
          </cell>
          <cell r="I1321" t="str">
            <v>--</v>
          </cell>
          <cell r="J1321">
            <v>2</v>
          </cell>
          <cell r="K1321">
            <v>3</v>
          </cell>
        </row>
        <row r="1322">
          <cell r="A1322" t="str">
            <v>M1</v>
          </cell>
          <cell r="B1322" t="str">
            <v>A5C</v>
          </cell>
          <cell r="C1322" t="str">
            <v>P</v>
          </cell>
          <cell r="D1322" t="str">
            <v>21005</v>
          </cell>
          <cell r="E1322" t="str">
            <v>WN FLG</v>
          </cell>
          <cell r="F1322">
            <v>3</v>
          </cell>
          <cell r="G1322" t="str">
            <v>CB2001040004000400</v>
          </cell>
          <cell r="H1322">
            <v>4</v>
          </cell>
          <cell r="I1322" t="str">
            <v>--</v>
          </cell>
          <cell r="J1322">
            <v>26</v>
          </cell>
          <cell r="K1322">
            <v>30</v>
          </cell>
        </row>
        <row r="1323">
          <cell r="A1323" t="str">
            <v>M1</v>
          </cell>
          <cell r="B1323" t="str">
            <v>A5C</v>
          </cell>
          <cell r="C1323" t="str">
            <v>P</v>
          </cell>
          <cell r="D1323" t="str">
            <v>21005</v>
          </cell>
          <cell r="E1323" t="str">
            <v>WN FLG</v>
          </cell>
          <cell r="F1323">
            <v>3</v>
          </cell>
          <cell r="G1323" t="str">
            <v>CB2002040004000400</v>
          </cell>
          <cell r="H1323">
            <v>4</v>
          </cell>
          <cell r="I1323" t="str">
            <v>--</v>
          </cell>
          <cell r="J1323">
            <v>2</v>
          </cell>
          <cell r="K1323">
            <v>3</v>
          </cell>
        </row>
        <row r="1324">
          <cell r="A1324" t="str">
            <v>M1</v>
          </cell>
          <cell r="B1324" t="str">
            <v>A5C</v>
          </cell>
          <cell r="C1324" t="str">
            <v>P</v>
          </cell>
          <cell r="D1324" t="str">
            <v>22099</v>
          </cell>
          <cell r="E1324" t="str">
            <v>WN FLG</v>
          </cell>
          <cell r="F1324">
            <v>3</v>
          </cell>
          <cell r="G1324" t="str">
            <v>CB200104000400</v>
          </cell>
          <cell r="H1324">
            <v>4</v>
          </cell>
          <cell r="I1324" t="str">
            <v>--</v>
          </cell>
          <cell r="J1324">
            <v>2</v>
          </cell>
          <cell r="K1324">
            <v>3</v>
          </cell>
        </row>
        <row r="1325">
          <cell r="A1325" t="str">
            <v>M1</v>
          </cell>
          <cell r="B1325" t="str">
            <v>A5C</v>
          </cell>
          <cell r="C1325" t="str">
            <v>P</v>
          </cell>
          <cell r="D1325" t="str">
            <v>22094</v>
          </cell>
          <cell r="E1325" t="str">
            <v>WN FLG</v>
          </cell>
          <cell r="F1325">
            <v>3</v>
          </cell>
          <cell r="G1325" t="str">
            <v>CB200104000400</v>
          </cell>
          <cell r="H1325">
            <v>4</v>
          </cell>
          <cell r="I1325" t="str">
            <v>--</v>
          </cell>
          <cell r="J1325">
            <v>4</v>
          </cell>
          <cell r="K1325">
            <v>5</v>
          </cell>
        </row>
        <row r="1326">
          <cell r="A1326" t="str">
            <v>M1</v>
          </cell>
          <cell r="B1326" t="str">
            <v>A5C</v>
          </cell>
          <cell r="C1326" t="str">
            <v>P</v>
          </cell>
          <cell r="D1326" t="str">
            <v>22095</v>
          </cell>
          <cell r="E1326" t="str">
            <v>WN FLG</v>
          </cell>
          <cell r="F1326">
            <v>3</v>
          </cell>
          <cell r="G1326" t="str">
            <v>CB200104000400</v>
          </cell>
          <cell r="H1326">
            <v>4</v>
          </cell>
          <cell r="I1326" t="str">
            <v>--</v>
          </cell>
          <cell r="J1326">
            <v>4</v>
          </cell>
          <cell r="K1326">
            <v>5</v>
          </cell>
        </row>
        <row r="1327">
          <cell r="A1327" t="str">
            <v>M1</v>
          </cell>
          <cell r="B1327" t="str">
            <v>A5C</v>
          </cell>
          <cell r="C1327" t="str">
            <v>P</v>
          </cell>
          <cell r="D1327" t="str">
            <v>22059</v>
          </cell>
          <cell r="E1327" t="str">
            <v>WN FLG</v>
          </cell>
          <cell r="F1327">
            <v>3</v>
          </cell>
          <cell r="G1327" t="str">
            <v>CB200104000400</v>
          </cell>
          <cell r="H1327">
            <v>4</v>
          </cell>
          <cell r="I1327" t="str">
            <v>--</v>
          </cell>
          <cell r="J1327">
            <v>2</v>
          </cell>
          <cell r="K1327">
            <v>3</v>
          </cell>
        </row>
        <row r="1328">
          <cell r="A1328" t="str">
            <v>M1</v>
          </cell>
          <cell r="B1328" t="str">
            <v>A5C</v>
          </cell>
          <cell r="C1328" t="str">
            <v>WW</v>
          </cell>
          <cell r="D1328" t="str">
            <v>22613</v>
          </cell>
          <cell r="E1328" t="str">
            <v>WN FLG</v>
          </cell>
          <cell r="F1328">
            <v>3</v>
          </cell>
          <cell r="G1328" t="str">
            <v>CB200104000400</v>
          </cell>
          <cell r="H1328">
            <v>4</v>
          </cell>
          <cell r="I1328" t="str">
            <v>--</v>
          </cell>
          <cell r="J1328">
            <v>4</v>
          </cell>
          <cell r="K1328">
            <v>5</v>
          </cell>
        </row>
        <row r="1329">
          <cell r="A1329" t="str">
            <v>M1</v>
          </cell>
          <cell r="B1329" t="str">
            <v>A5C</v>
          </cell>
          <cell r="C1329" t="str">
            <v>WW</v>
          </cell>
          <cell r="D1329" t="str">
            <v>22601</v>
          </cell>
          <cell r="E1329" t="str">
            <v>WN FLG</v>
          </cell>
          <cell r="F1329">
            <v>3</v>
          </cell>
          <cell r="G1329" t="str">
            <v>CB200104000400</v>
          </cell>
          <cell r="H1329">
            <v>4</v>
          </cell>
          <cell r="I1329" t="str">
            <v>--</v>
          </cell>
          <cell r="J1329">
            <v>8</v>
          </cell>
          <cell r="K1329">
            <v>10</v>
          </cell>
        </row>
        <row r="1330">
          <cell r="A1330" t="str">
            <v>M1</v>
          </cell>
          <cell r="B1330" t="str">
            <v>A6C</v>
          </cell>
          <cell r="C1330" t="str">
            <v>HOS</v>
          </cell>
          <cell r="D1330" t="str">
            <v>65628</v>
          </cell>
          <cell r="E1330" t="str">
            <v>WN FLG</v>
          </cell>
          <cell r="F1330">
            <v>3</v>
          </cell>
          <cell r="G1330" t="str">
            <v>CB200204000400</v>
          </cell>
          <cell r="H1330">
            <v>4</v>
          </cell>
          <cell r="I1330" t="str">
            <v>--</v>
          </cell>
          <cell r="J1330">
            <v>2</v>
          </cell>
          <cell r="K1330">
            <v>3</v>
          </cell>
        </row>
        <row r="1331">
          <cell r="A1331" t="str">
            <v>M1</v>
          </cell>
          <cell r="B1331" t="str">
            <v>A6C</v>
          </cell>
          <cell r="C1331" t="str">
            <v>HOS</v>
          </cell>
          <cell r="D1331" t="str">
            <v>65628</v>
          </cell>
          <cell r="E1331" t="str">
            <v>WN FLG</v>
          </cell>
          <cell r="F1331">
            <v>3</v>
          </cell>
          <cell r="G1331" t="str">
            <v>CB200104000400</v>
          </cell>
          <cell r="H1331">
            <v>4</v>
          </cell>
          <cell r="I1331" t="str">
            <v>--</v>
          </cell>
          <cell r="J1331">
            <v>7</v>
          </cell>
          <cell r="K1331">
            <v>9</v>
          </cell>
        </row>
        <row r="1332">
          <cell r="A1332" t="str">
            <v>M1</v>
          </cell>
          <cell r="B1332" t="str">
            <v>A6C</v>
          </cell>
          <cell r="C1332" t="str">
            <v>HOS</v>
          </cell>
          <cell r="D1332" t="str">
            <v>65634</v>
          </cell>
          <cell r="E1332" t="str">
            <v>WN FLG</v>
          </cell>
          <cell r="F1332">
            <v>3</v>
          </cell>
          <cell r="G1332" t="str">
            <v>CB200104000400</v>
          </cell>
          <cell r="H1332">
            <v>4</v>
          </cell>
          <cell r="I1332" t="str">
            <v>--</v>
          </cell>
          <cell r="J1332">
            <v>3</v>
          </cell>
          <cell r="K1332">
            <v>4</v>
          </cell>
        </row>
        <row r="1333">
          <cell r="A1333" t="str">
            <v>M1</v>
          </cell>
          <cell r="B1333" t="str">
            <v>A4C</v>
          </cell>
          <cell r="C1333" t="str">
            <v>P</v>
          </cell>
          <cell r="D1333" t="str">
            <v>22009</v>
          </cell>
          <cell r="E1333" t="str">
            <v>WN FLG</v>
          </cell>
          <cell r="F1333">
            <v>3</v>
          </cell>
          <cell r="G1333" t="str">
            <v>CB200204000400</v>
          </cell>
          <cell r="H1333">
            <v>4</v>
          </cell>
          <cell r="I1333" t="str">
            <v>--</v>
          </cell>
          <cell r="J1333">
            <v>2</v>
          </cell>
          <cell r="K1333">
            <v>3</v>
          </cell>
        </row>
        <row r="1334">
          <cell r="A1334" t="str">
            <v>M1</v>
          </cell>
          <cell r="B1334" t="str">
            <v>A5C</v>
          </cell>
          <cell r="C1334" t="str">
            <v>P</v>
          </cell>
          <cell r="D1334" t="str">
            <v>22098</v>
          </cell>
          <cell r="E1334" t="str">
            <v>WN FLG</v>
          </cell>
          <cell r="F1334">
            <v>3</v>
          </cell>
          <cell r="G1334" t="str">
            <v>CB200104000400</v>
          </cell>
          <cell r="H1334">
            <v>4</v>
          </cell>
          <cell r="I1334" t="str">
            <v>--</v>
          </cell>
          <cell r="J1334">
            <v>2</v>
          </cell>
          <cell r="K1334">
            <v>3</v>
          </cell>
        </row>
        <row r="1335">
          <cell r="A1335" t="str">
            <v>M1</v>
          </cell>
          <cell r="B1335" t="str">
            <v>A5C</v>
          </cell>
          <cell r="C1335" t="str">
            <v>TRIM</v>
          </cell>
          <cell r="D1335" t="str">
            <v>V-2216B</v>
          </cell>
          <cell r="E1335" t="str">
            <v>WN FLG</v>
          </cell>
          <cell r="F1335">
            <v>3</v>
          </cell>
          <cell r="G1335" t="str">
            <v>CB200104000400</v>
          </cell>
          <cell r="H1335">
            <v>4</v>
          </cell>
          <cell r="I1335" t="str">
            <v>--</v>
          </cell>
          <cell r="J1335">
            <v>1</v>
          </cell>
          <cell r="K1335">
            <v>2</v>
          </cell>
        </row>
        <row r="1336">
          <cell r="A1336" t="str">
            <v>M1</v>
          </cell>
          <cell r="B1336" t="str">
            <v>A5C</v>
          </cell>
          <cell r="C1336" t="str">
            <v>TRIM</v>
          </cell>
          <cell r="D1336" t="str">
            <v>V-2216A</v>
          </cell>
          <cell r="E1336" t="str">
            <v>WN FLG</v>
          </cell>
          <cell r="F1336">
            <v>3</v>
          </cell>
          <cell r="G1336" t="str">
            <v>CB200104000400</v>
          </cell>
          <cell r="H1336">
            <v>4</v>
          </cell>
          <cell r="I1336" t="str">
            <v>--</v>
          </cell>
          <cell r="J1336">
            <v>1</v>
          </cell>
          <cell r="K1336">
            <v>2</v>
          </cell>
        </row>
        <row r="1337">
          <cell r="A1337" t="str">
            <v>M1</v>
          </cell>
          <cell r="B1337" t="str">
            <v>A6C</v>
          </cell>
          <cell r="C1337" t="str">
            <v>HOR</v>
          </cell>
          <cell r="D1337" t="str">
            <v>65813</v>
          </cell>
          <cell r="E1337" t="str">
            <v>WN FLG</v>
          </cell>
          <cell r="F1337">
            <v>3</v>
          </cell>
          <cell r="G1337" t="str">
            <v>CB200104000400</v>
          </cell>
          <cell r="H1337">
            <v>4</v>
          </cell>
          <cell r="I1337" t="str">
            <v>--</v>
          </cell>
          <cell r="J1337">
            <v>2</v>
          </cell>
          <cell r="K1337">
            <v>3</v>
          </cell>
        </row>
        <row r="1338">
          <cell r="A1338" t="str">
            <v>M1</v>
          </cell>
          <cell r="B1338" t="str">
            <v>A6C</v>
          </cell>
          <cell r="C1338" t="str">
            <v>HOS</v>
          </cell>
          <cell r="D1338" t="str">
            <v>65614</v>
          </cell>
          <cell r="E1338" t="str">
            <v>WN FLG</v>
          </cell>
          <cell r="F1338">
            <v>3</v>
          </cell>
          <cell r="G1338" t="str">
            <v>CB200104000400</v>
          </cell>
          <cell r="H1338">
            <v>4</v>
          </cell>
          <cell r="I1338" t="str">
            <v>--</v>
          </cell>
          <cell r="J1338">
            <v>5</v>
          </cell>
          <cell r="K1338">
            <v>6</v>
          </cell>
        </row>
        <row r="1339">
          <cell r="A1339" t="str">
            <v>M1</v>
          </cell>
          <cell r="B1339" t="str">
            <v>A4C</v>
          </cell>
          <cell r="C1339" t="str">
            <v>P</v>
          </cell>
          <cell r="D1339" t="str">
            <v>22009</v>
          </cell>
          <cell r="E1339" t="str">
            <v>WN FLG</v>
          </cell>
          <cell r="F1339">
            <v>3</v>
          </cell>
          <cell r="G1339" t="str">
            <v>CB200104000400</v>
          </cell>
          <cell r="H1339">
            <v>4</v>
          </cell>
          <cell r="I1339" t="str">
            <v>--</v>
          </cell>
          <cell r="J1339">
            <v>8</v>
          </cell>
          <cell r="K1339">
            <v>10</v>
          </cell>
        </row>
        <row r="1340">
          <cell r="A1340" t="str">
            <v>M1</v>
          </cell>
          <cell r="B1340" t="str">
            <v>B1C</v>
          </cell>
          <cell r="C1340" t="str">
            <v>P</v>
          </cell>
          <cell r="D1340" t="str">
            <v>22029</v>
          </cell>
          <cell r="E1340" t="str">
            <v>WN FLG</v>
          </cell>
          <cell r="F1340">
            <v>3</v>
          </cell>
          <cell r="G1340" t="str">
            <v>CB200204000400</v>
          </cell>
          <cell r="H1340">
            <v>4</v>
          </cell>
          <cell r="I1340" t="str">
            <v>--</v>
          </cell>
          <cell r="J1340">
            <v>10</v>
          </cell>
          <cell r="K1340">
            <v>12</v>
          </cell>
        </row>
        <row r="1341">
          <cell r="A1341" t="str">
            <v>M1</v>
          </cell>
          <cell r="B1341" t="str">
            <v>A5C</v>
          </cell>
          <cell r="C1341" t="str">
            <v>P</v>
          </cell>
          <cell r="D1341" t="str">
            <v>25002</v>
          </cell>
          <cell r="E1341" t="str">
            <v>RWN FLG</v>
          </cell>
          <cell r="F1341">
            <v>3</v>
          </cell>
          <cell r="G1341" t="str">
            <v>CB190104040603</v>
          </cell>
          <cell r="H1341">
            <v>6</v>
          </cell>
          <cell r="I1341">
            <v>3</v>
          </cell>
          <cell r="J1341">
            <v>1</v>
          </cell>
          <cell r="K1341">
            <v>2</v>
          </cell>
        </row>
        <row r="1342">
          <cell r="A1342" t="str">
            <v>M1</v>
          </cell>
          <cell r="B1342" t="str">
            <v>A5C</v>
          </cell>
          <cell r="C1342" t="str">
            <v>COMP</v>
          </cell>
          <cell r="D1342" t="str">
            <v>003</v>
          </cell>
          <cell r="E1342" t="str">
            <v>WN FLG</v>
          </cell>
          <cell r="F1342">
            <v>3</v>
          </cell>
          <cell r="G1342" t="str">
            <v>CB200104000600</v>
          </cell>
          <cell r="H1342">
            <v>6</v>
          </cell>
          <cell r="I1342" t="str">
            <v>--</v>
          </cell>
          <cell r="J1342">
            <v>2</v>
          </cell>
          <cell r="K1342">
            <v>3</v>
          </cell>
        </row>
        <row r="1343">
          <cell r="A1343" t="str">
            <v>M1</v>
          </cell>
          <cell r="B1343" t="str">
            <v>A5C</v>
          </cell>
          <cell r="C1343" t="str">
            <v>P</v>
          </cell>
          <cell r="D1343" t="str">
            <v>22028</v>
          </cell>
          <cell r="E1343" t="str">
            <v>WN FLG</v>
          </cell>
          <cell r="F1343">
            <v>3</v>
          </cell>
          <cell r="G1343" t="str">
            <v>CB200204000600</v>
          </cell>
          <cell r="H1343">
            <v>6</v>
          </cell>
          <cell r="I1343" t="str">
            <v>--</v>
          </cell>
          <cell r="J1343">
            <v>2</v>
          </cell>
          <cell r="K1343">
            <v>3</v>
          </cell>
        </row>
        <row r="1344">
          <cell r="A1344" t="str">
            <v>M1</v>
          </cell>
          <cell r="B1344" t="str">
            <v>A5C</v>
          </cell>
          <cell r="C1344" t="str">
            <v>P</v>
          </cell>
          <cell r="D1344" t="str">
            <v>22022</v>
          </cell>
          <cell r="E1344" t="str">
            <v>WN FLG</v>
          </cell>
          <cell r="F1344">
            <v>3</v>
          </cell>
          <cell r="G1344" t="str">
            <v>CB200204000600</v>
          </cell>
          <cell r="H1344">
            <v>6</v>
          </cell>
          <cell r="I1344" t="str">
            <v>--</v>
          </cell>
          <cell r="J1344">
            <v>2</v>
          </cell>
          <cell r="K1344">
            <v>3</v>
          </cell>
        </row>
        <row r="1345">
          <cell r="A1345" t="str">
            <v>M1</v>
          </cell>
          <cell r="B1345" t="str">
            <v>A5C</v>
          </cell>
          <cell r="C1345" t="str">
            <v>P</v>
          </cell>
          <cell r="D1345" t="str">
            <v>22023</v>
          </cell>
          <cell r="E1345" t="str">
            <v>WN FLG</v>
          </cell>
          <cell r="F1345">
            <v>3</v>
          </cell>
          <cell r="G1345" t="str">
            <v>CB200104000600</v>
          </cell>
          <cell r="H1345">
            <v>6</v>
          </cell>
          <cell r="I1345" t="str">
            <v>--</v>
          </cell>
          <cell r="J1345">
            <v>4</v>
          </cell>
          <cell r="K1345">
            <v>5</v>
          </cell>
        </row>
        <row r="1346">
          <cell r="A1346" t="str">
            <v>M1</v>
          </cell>
          <cell r="B1346" t="str">
            <v>A5C</v>
          </cell>
          <cell r="C1346" t="str">
            <v>P</v>
          </cell>
          <cell r="D1346" t="str">
            <v>22028</v>
          </cell>
          <cell r="E1346" t="str">
            <v>WN FLG</v>
          </cell>
          <cell r="F1346">
            <v>3</v>
          </cell>
          <cell r="G1346" t="str">
            <v>CB200104000600</v>
          </cell>
          <cell r="H1346">
            <v>6</v>
          </cell>
          <cell r="I1346" t="str">
            <v>--</v>
          </cell>
          <cell r="J1346">
            <v>2</v>
          </cell>
          <cell r="K1346">
            <v>3</v>
          </cell>
        </row>
        <row r="1347">
          <cell r="A1347" t="str">
            <v>M1</v>
          </cell>
          <cell r="B1347" t="str">
            <v>A5C</v>
          </cell>
          <cell r="C1347" t="str">
            <v>P</v>
          </cell>
          <cell r="D1347" t="str">
            <v>22055</v>
          </cell>
          <cell r="E1347" t="str">
            <v>WN FLG</v>
          </cell>
          <cell r="F1347">
            <v>3</v>
          </cell>
          <cell r="G1347" t="str">
            <v>CB200104000600</v>
          </cell>
          <cell r="H1347">
            <v>6</v>
          </cell>
          <cell r="I1347" t="str">
            <v>--</v>
          </cell>
          <cell r="J1347">
            <v>2</v>
          </cell>
          <cell r="K1347">
            <v>3</v>
          </cell>
        </row>
        <row r="1348">
          <cell r="A1348" t="str">
            <v>M1</v>
          </cell>
          <cell r="B1348" t="str">
            <v>A5C</v>
          </cell>
          <cell r="C1348" t="str">
            <v>P</v>
          </cell>
          <cell r="D1348" t="str">
            <v>22065</v>
          </cell>
          <cell r="E1348" t="str">
            <v>WN FLG</v>
          </cell>
          <cell r="F1348">
            <v>3</v>
          </cell>
          <cell r="G1348" t="str">
            <v>CB200104000600</v>
          </cell>
          <cell r="H1348">
            <v>6</v>
          </cell>
          <cell r="I1348" t="str">
            <v>--</v>
          </cell>
          <cell r="J1348">
            <v>9</v>
          </cell>
          <cell r="K1348">
            <v>11</v>
          </cell>
        </row>
        <row r="1349">
          <cell r="A1349" t="str">
            <v>M1</v>
          </cell>
          <cell r="B1349" t="str">
            <v>A5C</v>
          </cell>
          <cell r="C1349" t="str">
            <v>P</v>
          </cell>
          <cell r="D1349" t="str">
            <v>22139</v>
          </cell>
          <cell r="E1349" t="str">
            <v>WN FLG</v>
          </cell>
          <cell r="F1349">
            <v>3</v>
          </cell>
          <cell r="G1349" t="str">
            <v>CB200104000600</v>
          </cell>
          <cell r="H1349">
            <v>6</v>
          </cell>
          <cell r="I1349" t="str">
            <v>--</v>
          </cell>
          <cell r="J1349">
            <v>2</v>
          </cell>
          <cell r="K1349">
            <v>3</v>
          </cell>
        </row>
        <row r="1350">
          <cell r="A1350" t="str">
            <v>M1</v>
          </cell>
          <cell r="B1350" t="str">
            <v>A5C</v>
          </cell>
          <cell r="C1350" t="str">
            <v>P</v>
          </cell>
          <cell r="D1350" t="str">
            <v>22022</v>
          </cell>
          <cell r="E1350" t="str">
            <v>WN FLG</v>
          </cell>
          <cell r="F1350">
            <v>3</v>
          </cell>
          <cell r="G1350" t="str">
            <v>CB200104000600</v>
          </cell>
          <cell r="H1350">
            <v>6</v>
          </cell>
          <cell r="I1350" t="str">
            <v>--</v>
          </cell>
          <cell r="J1350">
            <v>4</v>
          </cell>
          <cell r="K1350">
            <v>5</v>
          </cell>
        </row>
        <row r="1351">
          <cell r="A1351" t="str">
            <v>M1</v>
          </cell>
          <cell r="B1351" t="str">
            <v>A5C</v>
          </cell>
          <cell r="C1351" t="str">
            <v>P</v>
          </cell>
          <cell r="D1351" t="str">
            <v>22019</v>
          </cell>
          <cell r="E1351" t="str">
            <v>WN FLG</v>
          </cell>
          <cell r="F1351">
            <v>3</v>
          </cell>
          <cell r="G1351" t="str">
            <v>CB2001040006000600</v>
          </cell>
          <cell r="H1351">
            <v>6</v>
          </cell>
          <cell r="I1351" t="str">
            <v>--</v>
          </cell>
          <cell r="J1351">
            <v>7</v>
          </cell>
          <cell r="K1351">
            <v>9</v>
          </cell>
        </row>
        <row r="1352">
          <cell r="A1352" t="str">
            <v>M1</v>
          </cell>
          <cell r="B1352" t="str">
            <v>A5C</v>
          </cell>
          <cell r="C1352" t="str">
            <v>P</v>
          </cell>
          <cell r="D1352" t="str">
            <v>22020</v>
          </cell>
          <cell r="E1352" t="str">
            <v>WN FLG</v>
          </cell>
          <cell r="F1352">
            <v>3</v>
          </cell>
          <cell r="G1352" t="str">
            <v>CB2001040006000600</v>
          </cell>
          <cell r="H1352">
            <v>6</v>
          </cell>
          <cell r="I1352" t="str">
            <v>--</v>
          </cell>
          <cell r="J1352">
            <v>24</v>
          </cell>
          <cell r="K1352">
            <v>28</v>
          </cell>
        </row>
        <row r="1353">
          <cell r="A1353" t="str">
            <v>M1</v>
          </cell>
          <cell r="B1353" t="str">
            <v>A5C</v>
          </cell>
          <cell r="C1353" t="str">
            <v>P</v>
          </cell>
          <cell r="D1353" t="str">
            <v>22048</v>
          </cell>
          <cell r="E1353" t="str">
            <v>WN FLG</v>
          </cell>
          <cell r="F1353">
            <v>3</v>
          </cell>
          <cell r="G1353" t="str">
            <v>CB2002040006000600</v>
          </cell>
          <cell r="H1353">
            <v>6</v>
          </cell>
          <cell r="I1353" t="str">
            <v>--</v>
          </cell>
          <cell r="J1353">
            <v>4</v>
          </cell>
          <cell r="K1353">
            <v>5</v>
          </cell>
        </row>
        <row r="1354">
          <cell r="A1354" t="str">
            <v>M1</v>
          </cell>
          <cell r="B1354" t="str">
            <v>A5C</v>
          </cell>
          <cell r="C1354" t="str">
            <v>P</v>
          </cell>
          <cell r="D1354" t="str">
            <v>22048</v>
          </cell>
          <cell r="E1354" t="str">
            <v>WN FLG</v>
          </cell>
          <cell r="F1354">
            <v>3</v>
          </cell>
          <cell r="G1354" t="str">
            <v>CB2001040006000600</v>
          </cell>
          <cell r="H1354">
            <v>6</v>
          </cell>
          <cell r="I1354" t="str">
            <v>--</v>
          </cell>
          <cell r="J1354">
            <v>16</v>
          </cell>
          <cell r="K1354">
            <v>19</v>
          </cell>
        </row>
        <row r="1355">
          <cell r="A1355" t="str">
            <v>M1</v>
          </cell>
          <cell r="B1355" t="str">
            <v>A5C</v>
          </cell>
          <cell r="C1355" t="str">
            <v>P</v>
          </cell>
          <cell r="D1355" t="str">
            <v>22048</v>
          </cell>
          <cell r="E1355" t="str">
            <v>WN FLG</v>
          </cell>
          <cell r="F1355">
            <v>3</v>
          </cell>
          <cell r="G1355" t="str">
            <v>CB2001040006000600</v>
          </cell>
          <cell r="H1355">
            <v>6</v>
          </cell>
          <cell r="I1355" t="str">
            <v>--</v>
          </cell>
          <cell r="J1355">
            <v>13</v>
          </cell>
          <cell r="K1355">
            <v>15</v>
          </cell>
        </row>
        <row r="1356">
          <cell r="A1356" t="str">
            <v>M1</v>
          </cell>
          <cell r="B1356" t="str">
            <v>A5C</v>
          </cell>
          <cell r="C1356" t="str">
            <v>P</v>
          </cell>
          <cell r="D1356" t="str">
            <v>22019</v>
          </cell>
          <cell r="E1356" t="str">
            <v>WN FLG</v>
          </cell>
          <cell r="F1356">
            <v>3</v>
          </cell>
          <cell r="G1356" t="str">
            <v>CB2002040006000600</v>
          </cell>
          <cell r="H1356">
            <v>6</v>
          </cell>
          <cell r="I1356" t="str">
            <v>--</v>
          </cell>
          <cell r="J1356">
            <v>4</v>
          </cell>
          <cell r="K1356">
            <v>5</v>
          </cell>
        </row>
        <row r="1357">
          <cell r="A1357" t="str">
            <v>M1</v>
          </cell>
          <cell r="B1357" t="str">
            <v>A5C</v>
          </cell>
          <cell r="C1357" t="str">
            <v>P</v>
          </cell>
          <cell r="D1357" t="str">
            <v>22020</v>
          </cell>
          <cell r="E1357" t="str">
            <v>WN FLG</v>
          </cell>
          <cell r="F1357">
            <v>3</v>
          </cell>
          <cell r="G1357" t="str">
            <v>CB2002040006000600</v>
          </cell>
          <cell r="H1357">
            <v>6</v>
          </cell>
          <cell r="I1357" t="str">
            <v>--</v>
          </cell>
          <cell r="J1357">
            <v>2</v>
          </cell>
          <cell r="K1357">
            <v>3</v>
          </cell>
        </row>
        <row r="1358">
          <cell r="A1358" t="str">
            <v>M1</v>
          </cell>
          <cell r="B1358" t="str">
            <v>A5C</v>
          </cell>
          <cell r="C1358" t="str">
            <v>P</v>
          </cell>
          <cell r="D1358" t="str">
            <v>22035</v>
          </cell>
          <cell r="E1358" t="str">
            <v>WN FLG</v>
          </cell>
          <cell r="F1358">
            <v>3</v>
          </cell>
          <cell r="G1358" t="str">
            <v>CB200104000600</v>
          </cell>
          <cell r="H1358">
            <v>6</v>
          </cell>
          <cell r="I1358" t="str">
            <v>--</v>
          </cell>
          <cell r="J1358">
            <v>7</v>
          </cell>
          <cell r="K1358">
            <v>9</v>
          </cell>
        </row>
        <row r="1359">
          <cell r="A1359" t="str">
            <v>M1</v>
          </cell>
          <cell r="B1359" t="str">
            <v>A5C</v>
          </cell>
          <cell r="C1359" t="str">
            <v>P</v>
          </cell>
          <cell r="D1359" t="str">
            <v>22034</v>
          </cell>
          <cell r="E1359" t="str">
            <v>WN FLG</v>
          </cell>
          <cell r="F1359">
            <v>3</v>
          </cell>
          <cell r="G1359" t="str">
            <v>CB2001040006000600</v>
          </cell>
          <cell r="H1359">
            <v>6</v>
          </cell>
          <cell r="I1359" t="str">
            <v>--</v>
          </cell>
          <cell r="J1359">
            <v>6</v>
          </cell>
          <cell r="K1359">
            <v>7</v>
          </cell>
        </row>
        <row r="1360">
          <cell r="A1360" t="str">
            <v>M1</v>
          </cell>
          <cell r="B1360" t="str">
            <v>A6C</v>
          </cell>
          <cell r="C1360" t="str">
            <v>HOS</v>
          </cell>
          <cell r="D1360" t="str">
            <v>65624</v>
          </cell>
          <cell r="E1360" t="str">
            <v>WN FLG</v>
          </cell>
          <cell r="F1360">
            <v>3</v>
          </cell>
          <cell r="G1360" t="str">
            <v>CB200104000600</v>
          </cell>
          <cell r="H1360">
            <v>6</v>
          </cell>
          <cell r="I1360" t="str">
            <v>--</v>
          </cell>
          <cell r="J1360">
            <v>2</v>
          </cell>
          <cell r="K1360">
            <v>3</v>
          </cell>
        </row>
        <row r="1361">
          <cell r="A1361" t="str">
            <v>M1</v>
          </cell>
          <cell r="B1361" t="str">
            <v>A6C</v>
          </cell>
          <cell r="C1361" t="str">
            <v>HOS</v>
          </cell>
          <cell r="D1361" t="str">
            <v>65613</v>
          </cell>
          <cell r="E1361" t="str">
            <v>WN FLG</v>
          </cell>
          <cell r="F1361">
            <v>3</v>
          </cell>
          <cell r="G1361" t="str">
            <v>CB200104000600</v>
          </cell>
          <cell r="H1361">
            <v>6</v>
          </cell>
          <cell r="I1361" t="str">
            <v>--</v>
          </cell>
          <cell r="J1361">
            <v>2</v>
          </cell>
          <cell r="K1361">
            <v>3</v>
          </cell>
        </row>
        <row r="1362">
          <cell r="A1362" t="str">
            <v>M1</v>
          </cell>
          <cell r="B1362" t="str">
            <v>A6C</v>
          </cell>
          <cell r="C1362" t="str">
            <v>HOS</v>
          </cell>
          <cell r="D1362" t="str">
            <v>65624</v>
          </cell>
          <cell r="E1362" t="str">
            <v>WN FLG</v>
          </cell>
          <cell r="F1362">
            <v>3</v>
          </cell>
          <cell r="G1362" t="str">
            <v>CB200104000600</v>
          </cell>
          <cell r="H1362">
            <v>6</v>
          </cell>
          <cell r="I1362" t="str">
            <v>--</v>
          </cell>
          <cell r="J1362">
            <v>2</v>
          </cell>
          <cell r="K1362">
            <v>3</v>
          </cell>
        </row>
        <row r="1363">
          <cell r="A1363" t="str">
            <v>M1</v>
          </cell>
          <cell r="B1363" t="str">
            <v>A6C</v>
          </cell>
          <cell r="C1363" t="str">
            <v>HOR</v>
          </cell>
          <cell r="D1363" t="str">
            <v>65611</v>
          </cell>
          <cell r="E1363" t="str">
            <v>WN FLG</v>
          </cell>
          <cell r="F1363">
            <v>3</v>
          </cell>
          <cell r="G1363" t="str">
            <v>CB200104000600</v>
          </cell>
          <cell r="H1363">
            <v>6</v>
          </cell>
          <cell r="I1363" t="str">
            <v>--</v>
          </cell>
          <cell r="J1363">
            <v>2</v>
          </cell>
          <cell r="K1363">
            <v>3</v>
          </cell>
        </row>
        <row r="1364">
          <cell r="A1364" t="str">
            <v>M1</v>
          </cell>
          <cell r="B1364" t="str">
            <v>A6C</v>
          </cell>
          <cell r="C1364" t="str">
            <v>HOR</v>
          </cell>
          <cell r="D1364" t="str">
            <v>65611</v>
          </cell>
          <cell r="E1364" t="str">
            <v>WN FLG</v>
          </cell>
          <cell r="F1364">
            <v>3</v>
          </cell>
          <cell r="G1364" t="str">
            <v>CB200104000600</v>
          </cell>
          <cell r="H1364">
            <v>6</v>
          </cell>
          <cell r="I1364" t="str">
            <v>--</v>
          </cell>
          <cell r="J1364">
            <v>2</v>
          </cell>
          <cell r="K1364">
            <v>3</v>
          </cell>
        </row>
        <row r="1365">
          <cell r="A1365" t="str">
            <v>M1</v>
          </cell>
          <cell r="B1365" t="str">
            <v>A6C</v>
          </cell>
          <cell r="C1365" t="str">
            <v>HOR</v>
          </cell>
          <cell r="D1365" t="str">
            <v>65619</v>
          </cell>
          <cell r="E1365" t="str">
            <v>WN FLG</v>
          </cell>
          <cell r="F1365">
            <v>3</v>
          </cell>
          <cell r="G1365" t="str">
            <v>CB200104000600</v>
          </cell>
          <cell r="H1365">
            <v>6</v>
          </cell>
          <cell r="I1365" t="str">
            <v>--</v>
          </cell>
          <cell r="J1365">
            <v>2</v>
          </cell>
          <cell r="K1365">
            <v>3</v>
          </cell>
        </row>
        <row r="1366">
          <cell r="A1366" t="str">
            <v>M1</v>
          </cell>
          <cell r="B1366" t="str">
            <v>A6C</v>
          </cell>
          <cell r="C1366" t="str">
            <v>HOR</v>
          </cell>
          <cell r="D1366" t="str">
            <v>65635</v>
          </cell>
          <cell r="E1366" t="str">
            <v>WN FLG</v>
          </cell>
          <cell r="F1366">
            <v>3</v>
          </cell>
          <cell r="G1366" t="str">
            <v>CB200104000600</v>
          </cell>
          <cell r="H1366">
            <v>6</v>
          </cell>
          <cell r="I1366" t="str">
            <v>--</v>
          </cell>
          <cell r="J1366">
            <v>2</v>
          </cell>
          <cell r="K1366">
            <v>3</v>
          </cell>
        </row>
        <row r="1367">
          <cell r="A1367" t="str">
            <v>M1</v>
          </cell>
          <cell r="B1367" t="str">
            <v>B1C</v>
          </cell>
          <cell r="C1367" t="str">
            <v>P</v>
          </cell>
          <cell r="D1367" t="str">
            <v>22029</v>
          </cell>
          <cell r="E1367" t="str">
            <v>WN FLG</v>
          </cell>
          <cell r="F1367">
            <v>3</v>
          </cell>
          <cell r="G1367" t="str">
            <v>CB200204000600</v>
          </cell>
          <cell r="H1367">
            <v>6</v>
          </cell>
          <cell r="I1367" t="str">
            <v>--</v>
          </cell>
          <cell r="J1367">
            <v>2</v>
          </cell>
          <cell r="K1367">
            <v>3</v>
          </cell>
        </row>
        <row r="1368">
          <cell r="A1368" t="str">
            <v>M1</v>
          </cell>
          <cell r="B1368" t="str">
            <v>A5C</v>
          </cell>
          <cell r="C1368" t="str">
            <v>P</v>
          </cell>
          <cell r="D1368" t="str">
            <v>25002</v>
          </cell>
          <cell r="E1368" t="str">
            <v>RWN FLG</v>
          </cell>
          <cell r="F1368">
            <v>3</v>
          </cell>
          <cell r="G1368" t="str">
            <v>CB190104040803</v>
          </cell>
          <cell r="H1368">
            <v>8</v>
          </cell>
          <cell r="I1368">
            <v>3</v>
          </cell>
          <cell r="J1368">
            <v>1</v>
          </cell>
          <cell r="K1368">
            <v>2</v>
          </cell>
        </row>
        <row r="1369">
          <cell r="A1369" t="str">
            <v>M1</v>
          </cell>
          <cell r="B1369" t="str">
            <v>A5C</v>
          </cell>
          <cell r="C1369" t="str">
            <v>COMP</v>
          </cell>
          <cell r="D1369" t="str">
            <v>004</v>
          </cell>
          <cell r="E1369" t="str">
            <v>WN FLG</v>
          </cell>
          <cell r="F1369">
            <v>3</v>
          </cell>
          <cell r="G1369" t="str">
            <v>CB200104000800</v>
          </cell>
          <cell r="H1369">
            <v>8</v>
          </cell>
          <cell r="I1369" t="str">
            <v>--</v>
          </cell>
          <cell r="J1369">
            <v>4</v>
          </cell>
          <cell r="K1369">
            <v>5</v>
          </cell>
        </row>
        <row r="1370">
          <cell r="A1370" t="str">
            <v>M1</v>
          </cell>
          <cell r="B1370" t="str">
            <v>A5C</v>
          </cell>
          <cell r="C1370" t="str">
            <v>P</v>
          </cell>
          <cell r="D1370" t="str">
            <v>22011</v>
          </cell>
          <cell r="E1370" t="str">
            <v>WN FLG</v>
          </cell>
          <cell r="F1370">
            <v>3</v>
          </cell>
          <cell r="G1370" t="str">
            <v>CB200204000800</v>
          </cell>
          <cell r="H1370">
            <v>8</v>
          </cell>
          <cell r="I1370" t="str">
            <v>--</v>
          </cell>
          <cell r="J1370">
            <v>2</v>
          </cell>
          <cell r="K1370">
            <v>3</v>
          </cell>
        </row>
        <row r="1371">
          <cell r="A1371" t="str">
            <v>M1</v>
          </cell>
          <cell r="B1371" t="str">
            <v>A5C</v>
          </cell>
          <cell r="C1371" t="str">
            <v>P</v>
          </cell>
          <cell r="D1371" t="str">
            <v>22011</v>
          </cell>
          <cell r="E1371" t="str">
            <v>WN FLG</v>
          </cell>
          <cell r="F1371">
            <v>3</v>
          </cell>
          <cell r="G1371" t="str">
            <v>CB200104000800</v>
          </cell>
          <cell r="H1371">
            <v>8</v>
          </cell>
          <cell r="I1371" t="str">
            <v>--</v>
          </cell>
          <cell r="J1371">
            <v>2</v>
          </cell>
          <cell r="K1371">
            <v>3</v>
          </cell>
        </row>
        <row r="1372">
          <cell r="A1372" t="str">
            <v>M1</v>
          </cell>
          <cell r="B1372" t="str">
            <v>A5C</v>
          </cell>
          <cell r="C1372" t="str">
            <v>P</v>
          </cell>
          <cell r="D1372" t="str">
            <v>22118</v>
          </cell>
          <cell r="E1372" t="str">
            <v>WN FLG</v>
          </cell>
          <cell r="F1372">
            <v>3</v>
          </cell>
          <cell r="G1372" t="str">
            <v>CB200104000800</v>
          </cell>
          <cell r="H1372">
            <v>8</v>
          </cell>
          <cell r="I1372" t="str">
            <v>--</v>
          </cell>
          <cell r="J1372">
            <v>1</v>
          </cell>
          <cell r="K1372">
            <v>2</v>
          </cell>
        </row>
        <row r="1373">
          <cell r="A1373" t="str">
            <v>M1</v>
          </cell>
          <cell r="B1373" t="str">
            <v>A5C</v>
          </cell>
          <cell r="C1373" t="str">
            <v>P</v>
          </cell>
          <cell r="D1373" t="str">
            <v>25002</v>
          </cell>
          <cell r="E1373" t="str">
            <v>WN FLG</v>
          </cell>
          <cell r="F1373">
            <v>3</v>
          </cell>
          <cell r="G1373" t="str">
            <v>CB200104000800</v>
          </cell>
          <cell r="H1373">
            <v>8</v>
          </cell>
          <cell r="I1373" t="str">
            <v>--</v>
          </cell>
          <cell r="J1373">
            <v>1</v>
          </cell>
          <cell r="K1373">
            <v>2</v>
          </cell>
        </row>
        <row r="1374">
          <cell r="A1374" t="str">
            <v>M1</v>
          </cell>
          <cell r="B1374" t="str">
            <v>A5C</v>
          </cell>
          <cell r="C1374" t="str">
            <v>P</v>
          </cell>
          <cell r="D1374" t="str">
            <v>22018</v>
          </cell>
          <cell r="E1374" t="str">
            <v>WN FLG</v>
          </cell>
          <cell r="F1374">
            <v>3</v>
          </cell>
          <cell r="G1374" t="str">
            <v>CB2001040008000800</v>
          </cell>
          <cell r="H1374">
            <v>8</v>
          </cell>
          <cell r="I1374" t="str">
            <v>--</v>
          </cell>
          <cell r="J1374">
            <v>1</v>
          </cell>
          <cell r="K1374">
            <v>2</v>
          </cell>
        </row>
        <row r="1375">
          <cell r="A1375" t="str">
            <v>M1</v>
          </cell>
          <cell r="B1375" t="str">
            <v>A6C</v>
          </cell>
          <cell r="C1375" t="str">
            <v>HOS</v>
          </cell>
          <cell r="D1375" t="str">
            <v>65617</v>
          </cell>
          <cell r="E1375" t="str">
            <v>WN FLG</v>
          </cell>
          <cell r="F1375">
            <v>3</v>
          </cell>
          <cell r="G1375" t="str">
            <v>CB200204000800</v>
          </cell>
          <cell r="H1375">
            <v>8</v>
          </cell>
          <cell r="I1375" t="str">
            <v>--</v>
          </cell>
          <cell r="J1375">
            <v>2</v>
          </cell>
          <cell r="K1375">
            <v>3</v>
          </cell>
        </row>
        <row r="1376">
          <cell r="A1376" t="str">
            <v>M1</v>
          </cell>
          <cell r="B1376" t="str">
            <v>A5C</v>
          </cell>
          <cell r="C1376" t="str">
            <v>P</v>
          </cell>
          <cell r="D1376" t="str">
            <v>22044</v>
          </cell>
          <cell r="E1376" t="str">
            <v>WN FLG</v>
          </cell>
          <cell r="F1376">
            <v>3</v>
          </cell>
          <cell r="G1376" t="str">
            <v>CB200104000800</v>
          </cell>
          <cell r="H1376">
            <v>8</v>
          </cell>
          <cell r="I1376" t="str">
            <v>--</v>
          </cell>
          <cell r="J1376">
            <v>2</v>
          </cell>
          <cell r="K1376">
            <v>3</v>
          </cell>
        </row>
        <row r="1377">
          <cell r="A1377" t="str">
            <v>M1</v>
          </cell>
          <cell r="B1377" t="str">
            <v>A5C</v>
          </cell>
          <cell r="C1377" t="str">
            <v>P</v>
          </cell>
          <cell r="D1377" t="str">
            <v>22074</v>
          </cell>
          <cell r="E1377" t="str">
            <v>WN FLG</v>
          </cell>
          <cell r="F1377">
            <v>3</v>
          </cell>
          <cell r="G1377" t="str">
            <v>CB200104000800</v>
          </cell>
          <cell r="H1377">
            <v>8</v>
          </cell>
          <cell r="I1377" t="str">
            <v>--</v>
          </cell>
          <cell r="J1377">
            <v>9</v>
          </cell>
          <cell r="K1377">
            <v>11</v>
          </cell>
        </row>
        <row r="1378">
          <cell r="A1378" t="str">
            <v>M1</v>
          </cell>
          <cell r="B1378" t="str">
            <v>A5C</v>
          </cell>
          <cell r="C1378" t="str">
            <v>P</v>
          </cell>
          <cell r="D1378" t="str">
            <v>22074</v>
          </cell>
          <cell r="E1378" t="str">
            <v>WN FLG</v>
          </cell>
          <cell r="F1378">
            <v>3</v>
          </cell>
          <cell r="G1378" t="str">
            <v>CB200204000800</v>
          </cell>
          <cell r="H1378">
            <v>8</v>
          </cell>
          <cell r="I1378" t="str">
            <v>--</v>
          </cell>
          <cell r="J1378">
            <v>6</v>
          </cell>
          <cell r="K1378">
            <v>7</v>
          </cell>
        </row>
        <row r="1379">
          <cell r="A1379" t="str">
            <v>M1</v>
          </cell>
          <cell r="B1379" t="str">
            <v>A5C</v>
          </cell>
          <cell r="C1379" t="str">
            <v>P</v>
          </cell>
          <cell r="D1379" t="str">
            <v>22077</v>
          </cell>
          <cell r="E1379" t="str">
            <v>WN FLG</v>
          </cell>
          <cell r="F1379">
            <v>3</v>
          </cell>
          <cell r="G1379" t="str">
            <v>CB200204000800</v>
          </cell>
          <cell r="H1379">
            <v>8</v>
          </cell>
          <cell r="I1379" t="str">
            <v>--</v>
          </cell>
          <cell r="J1379">
            <v>2</v>
          </cell>
          <cell r="K1379">
            <v>3</v>
          </cell>
        </row>
        <row r="1380">
          <cell r="A1380" t="str">
            <v>M1</v>
          </cell>
          <cell r="B1380" t="str">
            <v>A5C</v>
          </cell>
          <cell r="C1380" t="str">
            <v>P</v>
          </cell>
          <cell r="D1380" t="str">
            <v>22077</v>
          </cell>
          <cell r="E1380" t="str">
            <v>WN FLG</v>
          </cell>
          <cell r="F1380">
            <v>3</v>
          </cell>
          <cell r="G1380" t="str">
            <v>CB200104000800</v>
          </cell>
          <cell r="H1380">
            <v>8</v>
          </cell>
          <cell r="I1380" t="str">
            <v>--</v>
          </cell>
          <cell r="J1380">
            <v>2</v>
          </cell>
          <cell r="K1380">
            <v>3</v>
          </cell>
        </row>
        <row r="1381">
          <cell r="A1381" t="str">
            <v>M1</v>
          </cell>
          <cell r="B1381" t="str">
            <v>A6C</v>
          </cell>
          <cell r="C1381" t="str">
            <v>HOS</v>
          </cell>
          <cell r="D1381" t="str">
            <v>65619</v>
          </cell>
          <cell r="E1381" t="str">
            <v>WN FLG</v>
          </cell>
          <cell r="F1381">
            <v>3</v>
          </cell>
          <cell r="G1381" t="str">
            <v>CB200104000800</v>
          </cell>
          <cell r="H1381">
            <v>8</v>
          </cell>
          <cell r="I1381" t="str">
            <v>--</v>
          </cell>
          <cell r="J1381">
            <v>1</v>
          </cell>
          <cell r="K1381">
            <v>2</v>
          </cell>
        </row>
        <row r="1382">
          <cell r="A1382" t="str">
            <v>M1</v>
          </cell>
          <cell r="B1382" t="str">
            <v>A6C</v>
          </cell>
          <cell r="C1382" t="str">
            <v>HOR</v>
          </cell>
          <cell r="D1382" t="str">
            <v>65621</v>
          </cell>
          <cell r="E1382" t="str">
            <v>WN FLG</v>
          </cell>
          <cell r="F1382">
            <v>3</v>
          </cell>
          <cell r="G1382" t="str">
            <v>CB200104000800</v>
          </cell>
          <cell r="H1382">
            <v>8</v>
          </cell>
          <cell r="I1382" t="str">
            <v>--</v>
          </cell>
          <cell r="J1382">
            <v>3</v>
          </cell>
          <cell r="K1382">
            <v>4</v>
          </cell>
        </row>
        <row r="1383">
          <cell r="A1383" t="str">
            <v>M1</v>
          </cell>
          <cell r="B1383" t="str">
            <v>A6C</v>
          </cell>
          <cell r="C1383" t="str">
            <v>HOS</v>
          </cell>
          <cell r="D1383" t="str">
            <v>65613</v>
          </cell>
          <cell r="E1383" t="str">
            <v>WN FLG</v>
          </cell>
          <cell r="F1383">
            <v>3</v>
          </cell>
          <cell r="G1383" t="str">
            <v>CB200104000800</v>
          </cell>
          <cell r="H1383">
            <v>8</v>
          </cell>
          <cell r="I1383" t="str">
            <v>--</v>
          </cell>
          <cell r="J1383">
            <v>8</v>
          </cell>
          <cell r="K1383">
            <v>10</v>
          </cell>
        </row>
        <row r="1384">
          <cell r="A1384" t="str">
            <v>M1</v>
          </cell>
          <cell r="B1384" t="str">
            <v>A6C</v>
          </cell>
          <cell r="C1384" t="str">
            <v>HOS</v>
          </cell>
          <cell r="D1384" t="str">
            <v>65613</v>
          </cell>
          <cell r="E1384" t="str">
            <v>WN FLG</v>
          </cell>
          <cell r="F1384">
            <v>3</v>
          </cell>
          <cell r="G1384" t="str">
            <v>CB200204000800</v>
          </cell>
          <cell r="H1384">
            <v>8</v>
          </cell>
          <cell r="I1384" t="str">
            <v>--</v>
          </cell>
          <cell r="J1384">
            <v>2</v>
          </cell>
          <cell r="K1384">
            <v>3</v>
          </cell>
        </row>
        <row r="1385">
          <cell r="A1385" t="str">
            <v>M1</v>
          </cell>
          <cell r="B1385" t="str">
            <v>A6C</v>
          </cell>
          <cell r="C1385" t="str">
            <v>HOS</v>
          </cell>
          <cell r="D1385" t="str">
            <v>65613</v>
          </cell>
          <cell r="E1385" t="str">
            <v>WN FLG</v>
          </cell>
          <cell r="F1385">
            <v>3</v>
          </cell>
          <cell r="G1385" t="str">
            <v>CB200104000800</v>
          </cell>
          <cell r="H1385">
            <v>8</v>
          </cell>
          <cell r="I1385" t="str">
            <v>--</v>
          </cell>
          <cell r="J1385">
            <v>1</v>
          </cell>
          <cell r="K1385">
            <v>2</v>
          </cell>
        </row>
        <row r="1386">
          <cell r="A1386" t="str">
            <v>M1</v>
          </cell>
          <cell r="B1386" t="str">
            <v>A6C</v>
          </cell>
          <cell r="C1386" t="str">
            <v>HOS</v>
          </cell>
          <cell r="D1386" t="str">
            <v>65615</v>
          </cell>
          <cell r="E1386" t="str">
            <v>WN FLG</v>
          </cell>
          <cell r="F1386">
            <v>3</v>
          </cell>
          <cell r="G1386" t="str">
            <v>CB200104000800</v>
          </cell>
          <cell r="H1386">
            <v>8</v>
          </cell>
          <cell r="I1386" t="str">
            <v>--</v>
          </cell>
          <cell r="J1386">
            <v>1</v>
          </cell>
          <cell r="K1386">
            <v>2</v>
          </cell>
        </row>
        <row r="1387">
          <cell r="A1387" t="str">
            <v>M1</v>
          </cell>
          <cell r="B1387" t="str">
            <v>A6C</v>
          </cell>
          <cell r="C1387" t="str">
            <v>HOS</v>
          </cell>
          <cell r="D1387" t="str">
            <v>65627</v>
          </cell>
          <cell r="E1387" t="str">
            <v>WN FLG</v>
          </cell>
          <cell r="F1387">
            <v>3</v>
          </cell>
          <cell r="G1387" t="str">
            <v>CB200104000800</v>
          </cell>
          <cell r="H1387">
            <v>8</v>
          </cell>
          <cell r="I1387" t="str">
            <v>--</v>
          </cell>
          <cell r="J1387">
            <v>6</v>
          </cell>
          <cell r="K1387">
            <v>7</v>
          </cell>
        </row>
        <row r="1388">
          <cell r="A1388" t="str">
            <v>M1</v>
          </cell>
          <cell r="B1388" t="str">
            <v>A6C</v>
          </cell>
          <cell r="C1388" t="str">
            <v>HOS</v>
          </cell>
          <cell r="D1388" t="str">
            <v>65627</v>
          </cell>
          <cell r="E1388" t="str">
            <v>WN FLG</v>
          </cell>
          <cell r="F1388">
            <v>3</v>
          </cell>
          <cell r="G1388" t="str">
            <v>CB200204000800</v>
          </cell>
          <cell r="H1388">
            <v>8</v>
          </cell>
          <cell r="I1388" t="str">
            <v>--</v>
          </cell>
          <cell r="J1388">
            <v>2</v>
          </cell>
          <cell r="K1388">
            <v>3</v>
          </cell>
        </row>
        <row r="1389">
          <cell r="A1389" t="str">
            <v>M1</v>
          </cell>
          <cell r="B1389" t="str">
            <v>A6C</v>
          </cell>
          <cell r="C1389" t="str">
            <v>HOS</v>
          </cell>
          <cell r="D1389" t="str">
            <v>65624</v>
          </cell>
          <cell r="E1389" t="str">
            <v>WN FLG</v>
          </cell>
          <cell r="F1389">
            <v>3</v>
          </cell>
          <cell r="G1389" t="str">
            <v>CB200204000800</v>
          </cell>
          <cell r="H1389">
            <v>8</v>
          </cell>
          <cell r="I1389" t="str">
            <v>--</v>
          </cell>
          <cell r="J1389">
            <v>2</v>
          </cell>
          <cell r="K1389">
            <v>3</v>
          </cell>
        </row>
        <row r="1390">
          <cell r="A1390" t="str">
            <v>M1</v>
          </cell>
          <cell r="B1390" t="str">
            <v>A6C</v>
          </cell>
          <cell r="C1390" t="str">
            <v>HOS</v>
          </cell>
          <cell r="D1390" t="str">
            <v>65624</v>
          </cell>
          <cell r="E1390" t="str">
            <v>WN FLG</v>
          </cell>
          <cell r="F1390">
            <v>3</v>
          </cell>
          <cell r="G1390" t="str">
            <v>CB200104000800</v>
          </cell>
          <cell r="H1390">
            <v>8</v>
          </cell>
          <cell r="I1390" t="str">
            <v>--</v>
          </cell>
          <cell r="J1390">
            <v>1</v>
          </cell>
          <cell r="K1390">
            <v>2</v>
          </cell>
        </row>
        <row r="1391">
          <cell r="A1391" t="str">
            <v>M1</v>
          </cell>
          <cell r="B1391" t="str">
            <v>A6C</v>
          </cell>
          <cell r="C1391" t="str">
            <v>HOS</v>
          </cell>
          <cell r="D1391" t="str">
            <v>65631</v>
          </cell>
          <cell r="E1391" t="str">
            <v>WN FLG</v>
          </cell>
          <cell r="F1391">
            <v>3</v>
          </cell>
          <cell r="G1391" t="str">
            <v>CB200104000800</v>
          </cell>
          <cell r="H1391">
            <v>8</v>
          </cell>
          <cell r="I1391" t="str">
            <v>--</v>
          </cell>
          <cell r="J1391">
            <v>1</v>
          </cell>
          <cell r="K1391">
            <v>2</v>
          </cell>
        </row>
        <row r="1392">
          <cell r="A1392" t="str">
            <v>M1</v>
          </cell>
          <cell r="B1392" t="str">
            <v>A6C</v>
          </cell>
          <cell r="C1392" t="str">
            <v>HOS</v>
          </cell>
          <cell r="D1392" t="str">
            <v>65624</v>
          </cell>
          <cell r="E1392" t="str">
            <v>WN FLG</v>
          </cell>
          <cell r="F1392">
            <v>3</v>
          </cell>
          <cell r="G1392" t="str">
            <v>CB200104000800</v>
          </cell>
          <cell r="H1392">
            <v>8</v>
          </cell>
          <cell r="I1392" t="str">
            <v>--</v>
          </cell>
          <cell r="J1392">
            <v>6</v>
          </cell>
          <cell r="K1392">
            <v>7</v>
          </cell>
        </row>
        <row r="1393">
          <cell r="A1393" t="str">
            <v>M1</v>
          </cell>
          <cell r="B1393" t="str">
            <v>A6C</v>
          </cell>
          <cell r="C1393" t="str">
            <v>HOR</v>
          </cell>
          <cell r="D1393" t="str">
            <v>65611</v>
          </cell>
          <cell r="E1393" t="str">
            <v>WN FLG</v>
          </cell>
          <cell r="F1393">
            <v>3</v>
          </cell>
          <cell r="G1393" t="str">
            <v>CB200104000800</v>
          </cell>
          <cell r="H1393">
            <v>8</v>
          </cell>
          <cell r="I1393" t="str">
            <v>--</v>
          </cell>
          <cell r="J1393">
            <v>2</v>
          </cell>
          <cell r="K1393">
            <v>3</v>
          </cell>
        </row>
        <row r="1394">
          <cell r="A1394" t="str">
            <v>M1</v>
          </cell>
          <cell r="B1394" t="str">
            <v>A6C</v>
          </cell>
          <cell r="C1394" t="str">
            <v>HOS</v>
          </cell>
          <cell r="D1394" t="str">
            <v>65613</v>
          </cell>
          <cell r="E1394" t="str">
            <v>WN FLG</v>
          </cell>
          <cell r="F1394">
            <v>3</v>
          </cell>
          <cell r="G1394" t="str">
            <v>CB200204000800</v>
          </cell>
          <cell r="H1394">
            <v>8</v>
          </cell>
          <cell r="I1394" t="str">
            <v>--</v>
          </cell>
          <cell r="J1394">
            <v>2</v>
          </cell>
          <cell r="K1394">
            <v>3</v>
          </cell>
        </row>
        <row r="1395">
          <cell r="A1395" t="str">
            <v>M1</v>
          </cell>
          <cell r="B1395" t="str">
            <v>A6C</v>
          </cell>
          <cell r="C1395" t="str">
            <v>HOR</v>
          </cell>
          <cell r="D1395" t="str">
            <v>65615</v>
          </cell>
          <cell r="E1395" t="str">
            <v>WN FLG</v>
          </cell>
          <cell r="F1395">
            <v>3</v>
          </cell>
          <cell r="G1395" t="str">
            <v>CB200104000800</v>
          </cell>
          <cell r="H1395">
            <v>8</v>
          </cell>
          <cell r="I1395" t="str">
            <v>--</v>
          </cell>
          <cell r="J1395">
            <v>3</v>
          </cell>
          <cell r="K1395">
            <v>4</v>
          </cell>
        </row>
        <row r="1396">
          <cell r="A1396" t="str">
            <v>M1</v>
          </cell>
          <cell r="B1396" t="str">
            <v>A6C</v>
          </cell>
          <cell r="C1396" t="str">
            <v>HOR</v>
          </cell>
          <cell r="D1396" t="str">
            <v>65619</v>
          </cell>
          <cell r="E1396" t="str">
            <v>WN FLG</v>
          </cell>
          <cell r="F1396">
            <v>3</v>
          </cell>
          <cell r="G1396" t="str">
            <v>CB200104000800</v>
          </cell>
          <cell r="H1396">
            <v>8</v>
          </cell>
          <cell r="I1396" t="str">
            <v>--</v>
          </cell>
          <cell r="J1396">
            <v>7</v>
          </cell>
          <cell r="K1396">
            <v>9</v>
          </cell>
        </row>
        <row r="1397">
          <cell r="A1397" t="str">
            <v>M1</v>
          </cell>
          <cell r="B1397" t="str">
            <v>A6C</v>
          </cell>
          <cell r="C1397" t="str">
            <v>HOR</v>
          </cell>
          <cell r="D1397" t="str">
            <v>65611</v>
          </cell>
          <cell r="E1397" t="str">
            <v>WN FLG</v>
          </cell>
          <cell r="F1397">
            <v>3</v>
          </cell>
          <cell r="G1397" t="str">
            <v>CB200104000800</v>
          </cell>
          <cell r="H1397">
            <v>8</v>
          </cell>
          <cell r="I1397" t="str">
            <v>--</v>
          </cell>
          <cell r="J1397">
            <v>1</v>
          </cell>
          <cell r="K1397">
            <v>2</v>
          </cell>
        </row>
        <row r="1398">
          <cell r="A1398" t="str">
            <v>M1</v>
          </cell>
          <cell r="B1398" t="str">
            <v>A6C</v>
          </cell>
          <cell r="C1398" t="str">
            <v>HOR</v>
          </cell>
          <cell r="D1398" t="str">
            <v>65619</v>
          </cell>
          <cell r="E1398" t="str">
            <v>WN FLG</v>
          </cell>
          <cell r="F1398">
            <v>3</v>
          </cell>
          <cell r="G1398" t="str">
            <v>CB200104000800</v>
          </cell>
          <cell r="H1398">
            <v>8</v>
          </cell>
          <cell r="I1398" t="str">
            <v>--</v>
          </cell>
          <cell r="J1398">
            <v>8</v>
          </cell>
          <cell r="K1398">
            <v>10</v>
          </cell>
        </row>
        <row r="1399">
          <cell r="A1399" t="str">
            <v>M1</v>
          </cell>
          <cell r="B1399" t="str">
            <v>A6C</v>
          </cell>
          <cell r="C1399" t="str">
            <v>HOS</v>
          </cell>
          <cell r="D1399" t="str">
            <v>65619</v>
          </cell>
          <cell r="E1399" t="str">
            <v>WN FLG</v>
          </cell>
          <cell r="F1399">
            <v>3</v>
          </cell>
          <cell r="G1399" t="str">
            <v>CB200204000800</v>
          </cell>
          <cell r="H1399">
            <v>8</v>
          </cell>
          <cell r="I1399" t="str">
            <v>--</v>
          </cell>
          <cell r="J1399">
            <v>2</v>
          </cell>
          <cell r="K1399">
            <v>3</v>
          </cell>
        </row>
        <row r="1400">
          <cell r="A1400" t="str">
            <v>M1</v>
          </cell>
          <cell r="B1400" t="str">
            <v>A6C</v>
          </cell>
          <cell r="C1400" t="str">
            <v>HOS</v>
          </cell>
          <cell r="D1400" t="str">
            <v>65624</v>
          </cell>
          <cell r="E1400" t="str">
            <v>WN FLG</v>
          </cell>
          <cell r="F1400">
            <v>3</v>
          </cell>
          <cell r="G1400" t="str">
            <v>CB200204000800</v>
          </cell>
          <cell r="H1400">
            <v>8</v>
          </cell>
          <cell r="I1400" t="str">
            <v>--</v>
          </cell>
          <cell r="J1400">
            <v>2</v>
          </cell>
          <cell r="K1400">
            <v>3</v>
          </cell>
        </row>
        <row r="1401">
          <cell r="A1401" t="str">
            <v>M1</v>
          </cell>
          <cell r="B1401" t="str">
            <v>A6C</v>
          </cell>
          <cell r="C1401" t="str">
            <v>HOS</v>
          </cell>
          <cell r="D1401" t="str">
            <v>65625</v>
          </cell>
          <cell r="E1401" t="str">
            <v>WN FLG</v>
          </cell>
          <cell r="F1401">
            <v>3</v>
          </cell>
          <cell r="G1401" t="str">
            <v>CB200104000800</v>
          </cell>
          <cell r="H1401">
            <v>8</v>
          </cell>
          <cell r="I1401" t="str">
            <v>--</v>
          </cell>
          <cell r="J1401">
            <v>1</v>
          </cell>
          <cell r="K1401">
            <v>2</v>
          </cell>
        </row>
        <row r="1402">
          <cell r="A1402" t="str">
            <v>M1</v>
          </cell>
          <cell r="B1402" t="str">
            <v>A6C</v>
          </cell>
          <cell r="C1402" t="str">
            <v>HOS</v>
          </cell>
          <cell r="D1402" t="str">
            <v>65625</v>
          </cell>
          <cell r="E1402" t="str">
            <v>WN FLG</v>
          </cell>
          <cell r="F1402">
            <v>3</v>
          </cell>
          <cell r="G1402" t="str">
            <v>CB200204000800</v>
          </cell>
          <cell r="H1402">
            <v>8</v>
          </cell>
          <cell r="I1402" t="str">
            <v>--</v>
          </cell>
          <cell r="J1402">
            <v>2</v>
          </cell>
          <cell r="K1402">
            <v>3</v>
          </cell>
        </row>
        <row r="1403">
          <cell r="A1403" t="str">
            <v>M1</v>
          </cell>
          <cell r="B1403" t="str">
            <v>A5C</v>
          </cell>
          <cell r="C1403" t="str">
            <v>P</v>
          </cell>
          <cell r="D1403" t="str">
            <v>22015</v>
          </cell>
          <cell r="E1403" t="str">
            <v>WN FLG</v>
          </cell>
          <cell r="F1403">
            <v>3</v>
          </cell>
          <cell r="G1403" t="str">
            <v>CB200104001000</v>
          </cell>
          <cell r="H1403">
            <v>10</v>
          </cell>
          <cell r="I1403" t="str">
            <v>--</v>
          </cell>
          <cell r="J1403">
            <v>1</v>
          </cell>
          <cell r="K1403">
            <v>2</v>
          </cell>
        </row>
        <row r="1404">
          <cell r="A1404" t="str">
            <v>M1</v>
          </cell>
          <cell r="B1404" t="str">
            <v>A5C</v>
          </cell>
          <cell r="C1404" t="str">
            <v>P</v>
          </cell>
          <cell r="D1404" t="str">
            <v>22062</v>
          </cell>
          <cell r="E1404" t="str">
            <v>WN FLG</v>
          </cell>
          <cell r="F1404">
            <v>3</v>
          </cell>
          <cell r="G1404" t="str">
            <v>CB200104001000</v>
          </cell>
          <cell r="H1404">
            <v>10</v>
          </cell>
          <cell r="I1404" t="str">
            <v>--</v>
          </cell>
          <cell r="J1404">
            <v>3</v>
          </cell>
          <cell r="K1404">
            <v>4</v>
          </cell>
        </row>
        <row r="1405">
          <cell r="A1405" t="str">
            <v>M1</v>
          </cell>
          <cell r="B1405" t="str">
            <v>A5C</v>
          </cell>
          <cell r="C1405" t="str">
            <v>P</v>
          </cell>
          <cell r="D1405" t="str">
            <v>22073</v>
          </cell>
          <cell r="E1405" t="str">
            <v>WN FLG</v>
          </cell>
          <cell r="F1405">
            <v>3</v>
          </cell>
          <cell r="G1405" t="str">
            <v>CB200104001000</v>
          </cell>
          <cell r="H1405">
            <v>10</v>
          </cell>
          <cell r="I1405" t="str">
            <v>--</v>
          </cell>
          <cell r="J1405">
            <v>7</v>
          </cell>
          <cell r="K1405">
            <v>8</v>
          </cell>
        </row>
        <row r="1406">
          <cell r="A1406" t="str">
            <v>M1</v>
          </cell>
          <cell r="B1406" t="str">
            <v>A5C</v>
          </cell>
          <cell r="C1406" t="str">
            <v>P</v>
          </cell>
          <cell r="D1406" t="str">
            <v>22074</v>
          </cell>
          <cell r="E1406" t="str">
            <v>WN FLG</v>
          </cell>
          <cell r="F1406">
            <v>3</v>
          </cell>
          <cell r="G1406" t="str">
            <v>CB200104001000</v>
          </cell>
          <cell r="H1406">
            <v>10</v>
          </cell>
          <cell r="I1406" t="str">
            <v>--</v>
          </cell>
          <cell r="J1406">
            <v>1</v>
          </cell>
          <cell r="K1406">
            <v>2</v>
          </cell>
        </row>
        <row r="1407">
          <cell r="A1407" t="str">
            <v>M1</v>
          </cell>
          <cell r="B1407" t="str">
            <v>A5C</v>
          </cell>
          <cell r="C1407" t="str">
            <v>P</v>
          </cell>
          <cell r="D1407" t="str">
            <v>22060</v>
          </cell>
          <cell r="E1407" t="str">
            <v>WN FLG</v>
          </cell>
          <cell r="F1407">
            <v>3</v>
          </cell>
          <cell r="G1407" t="str">
            <v>CB200104001000</v>
          </cell>
          <cell r="H1407">
            <v>10</v>
          </cell>
          <cell r="I1407" t="str">
            <v>--</v>
          </cell>
          <cell r="J1407">
            <v>2</v>
          </cell>
          <cell r="K1407">
            <v>3</v>
          </cell>
        </row>
        <row r="1408">
          <cell r="A1408" t="str">
            <v>M1</v>
          </cell>
          <cell r="B1408" t="str">
            <v>A5C</v>
          </cell>
          <cell r="C1408" t="str">
            <v>P</v>
          </cell>
          <cell r="D1408" t="str">
            <v>22062</v>
          </cell>
          <cell r="E1408" t="str">
            <v>WN FLG</v>
          </cell>
          <cell r="F1408">
            <v>3</v>
          </cell>
          <cell r="G1408" t="str">
            <v>CB200104001000</v>
          </cell>
          <cell r="H1408">
            <v>10</v>
          </cell>
          <cell r="I1408" t="str">
            <v>--</v>
          </cell>
          <cell r="J1408">
            <v>6</v>
          </cell>
          <cell r="K1408">
            <v>7</v>
          </cell>
        </row>
        <row r="1409">
          <cell r="A1409" t="str">
            <v>M1</v>
          </cell>
          <cell r="B1409" t="str">
            <v>A5C</v>
          </cell>
          <cell r="C1409" t="str">
            <v>P</v>
          </cell>
          <cell r="D1409" t="str">
            <v>22077</v>
          </cell>
          <cell r="E1409" t="str">
            <v>WN FLG</v>
          </cell>
          <cell r="F1409">
            <v>3</v>
          </cell>
          <cell r="G1409" t="str">
            <v>CB200104001000</v>
          </cell>
          <cell r="H1409">
            <v>10</v>
          </cell>
          <cell r="I1409" t="str">
            <v>--</v>
          </cell>
          <cell r="J1409">
            <v>1</v>
          </cell>
          <cell r="K1409">
            <v>2</v>
          </cell>
        </row>
        <row r="1410">
          <cell r="A1410" t="str">
            <v>M1</v>
          </cell>
          <cell r="B1410" t="str">
            <v>A5C</v>
          </cell>
          <cell r="C1410" t="str">
            <v>P</v>
          </cell>
          <cell r="D1410" t="str">
            <v>22077</v>
          </cell>
          <cell r="E1410" t="str">
            <v>WN FLG</v>
          </cell>
          <cell r="F1410">
            <v>3</v>
          </cell>
          <cell r="G1410" t="str">
            <v>CB200104001000</v>
          </cell>
          <cell r="H1410">
            <v>10</v>
          </cell>
          <cell r="I1410" t="str">
            <v>--</v>
          </cell>
          <cell r="J1410">
            <v>5</v>
          </cell>
          <cell r="K1410">
            <v>6</v>
          </cell>
        </row>
        <row r="1411">
          <cell r="A1411" t="str">
            <v>M1</v>
          </cell>
          <cell r="B1411" t="str">
            <v>A4C</v>
          </cell>
          <cell r="C1411" t="str">
            <v>P</v>
          </cell>
          <cell r="D1411" t="str">
            <v>22008</v>
          </cell>
          <cell r="E1411" t="str">
            <v>WN FLG</v>
          </cell>
          <cell r="F1411">
            <v>3</v>
          </cell>
          <cell r="G1411" t="str">
            <v>CB200104001000</v>
          </cell>
          <cell r="H1411">
            <v>10</v>
          </cell>
          <cell r="I1411" t="str">
            <v>--</v>
          </cell>
          <cell r="J1411">
            <v>7</v>
          </cell>
          <cell r="K1411">
            <v>8</v>
          </cell>
        </row>
        <row r="1412">
          <cell r="A1412" t="str">
            <v>M1</v>
          </cell>
          <cell r="B1412" t="str">
            <v>A4C</v>
          </cell>
          <cell r="C1412" t="str">
            <v>P</v>
          </cell>
          <cell r="D1412" t="str">
            <v>22008</v>
          </cell>
          <cell r="E1412" t="str">
            <v>WN FLG</v>
          </cell>
          <cell r="F1412">
            <v>3</v>
          </cell>
          <cell r="G1412" t="str">
            <v>CB200104001000</v>
          </cell>
          <cell r="H1412">
            <v>10</v>
          </cell>
          <cell r="I1412" t="str">
            <v>--</v>
          </cell>
          <cell r="J1412">
            <v>6</v>
          </cell>
          <cell r="K1412">
            <v>7</v>
          </cell>
        </row>
        <row r="1413">
          <cell r="A1413" t="str">
            <v>M1</v>
          </cell>
          <cell r="B1413" t="str">
            <v>A5C</v>
          </cell>
          <cell r="C1413" t="str">
            <v>P</v>
          </cell>
          <cell r="D1413" t="str">
            <v>22075</v>
          </cell>
          <cell r="E1413" t="str">
            <v>WN FLG</v>
          </cell>
          <cell r="F1413">
            <v>3</v>
          </cell>
          <cell r="G1413" t="str">
            <v>CB200104001000</v>
          </cell>
          <cell r="H1413">
            <v>10</v>
          </cell>
          <cell r="I1413" t="str">
            <v>--</v>
          </cell>
          <cell r="J1413">
            <v>2</v>
          </cell>
          <cell r="K1413">
            <v>3</v>
          </cell>
        </row>
        <row r="1414">
          <cell r="A1414" t="str">
            <v>M1</v>
          </cell>
          <cell r="B1414" t="str">
            <v>A4C</v>
          </cell>
          <cell r="C1414" t="str">
            <v>P</v>
          </cell>
          <cell r="D1414" t="str">
            <v>22008</v>
          </cell>
          <cell r="E1414" t="str">
            <v>WN FLG</v>
          </cell>
          <cell r="F1414">
            <v>3</v>
          </cell>
          <cell r="G1414" t="str">
            <v>CB200104001000</v>
          </cell>
          <cell r="H1414">
            <v>10</v>
          </cell>
          <cell r="I1414" t="str">
            <v>--</v>
          </cell>
          <cell r="J1414">
            <v>1</v>
          </cell>
          <cell r="K1414">
            <v>2</v>
          </cell>
        </row>
        <row r="1415">
          <cell r="A1415" t="str">
            <v>M1</v>
          </cell>
          <cell r="B1415" t="str">
            <v>A4C</v>
          </cell>
          <cell r="C1415" t="str">
            <v>P</v>
          </cell>
          <cell r="D1415" t="str">
            <v>22080</v>
          </cell>
          <cell r="E1415" t="str">
            <v>WN FLG</v>
          </cell>
          <cell r="F1415">
            <v>3</v>
          </cell>
          <cell r="G1415" t="str">
            <v>CB200104001000</v>
          </cell>
          <cell r="H1415">
            <v>10</v>
          </cell>
          <cell r="I1415" t="str">
            <v>--</v>
          </cell>
          <cell r="J1415">
            <v>4</v>
          </cell>
          <cell r="K1415">
            <v>5</v>
          </cell>
        </row>
        <row r="1416">
          <cell r="A1416" t="str">
            <v>M1</v>
          </cell>
          <cell r="B1416" t="str">
            <v>A5C</v>
          </cell>
          <cell r="C1416" t="str">
            <v>COMP</v>
          </cell>
          <cell r="D1416" t="str">
            <v>001</v>
          </cell>
          <cell r="E1416" t="str">
            <v>WN FLG</v>
          </cell>
          <cell r="F1416">
            <v>3</v>
          </cell>
          <cell r="G1416" t="str">
            <v>CB200104001200</v>
          </cell>
          <cell r="H1416">
            <v>12</v>
          </cell>
          <cell r="I1416" t="str">
            <v>--</v>
          </cell>
          <cell r="J1416">
            <v>2</v>
          </cell>
          <cell r="K1416">
            <v>3</v>
          </cell>
        </row>
        <row r="1417">
          <cell r="A1417" t="str">
            <v>M1</v>
          </cell>
          <cell r="B1417" t="str">
            <v>A5C</v>
          </cell>
          <cell r="C1417" t="str">
            <v>COMP</v>
          </cell>
          <cell r="D1417" t="str">
            <v>002</v>
          </cell>
          <cell r="E1417" t="str">
            <v>WN FLG</v>
          </cell>
          <cell r="F1417">
            <v>3</v>
          </cell>
          <cell r="G1417" t="str">
            <v>CB200104001200</v>
          </cell>
          <cell r="H1417">
            <v>12</v>
          </cell>
          <cell r="I1417" t="str">
            <v>--</v>
          </cell>
          <cell r="J1417">
            <v>2</v>
          </cell>
          <cell r="K1417">
            <v>3</v>
          </cell>
        </row>
        <row r="1418">
          <cell r="A1418" t="str">
            <v>M1</v>
          </cell>
          <cell r="B1418" t="str">
            <v>B1X</v>
          </cell>
          <cell r="C1418" t="str">
            <v>P</v>
          </cell>
          <cell r="D1418" t="str">
            <v>22042</v>
          </cell>
          <cell r="E1418" t="str">
            <v>WN FLG</v>
          </cell>
          <cell r="F1418">
            <v>3</v>
          </cell>
          <cell r="G1418" t="str">
            <v>CB200204001200</v>
          </cell>
          <cell r="H1418">
            <v>12</v>
          </cell>
          <cell r="I1418" t="str">
            <v>--</v>
          </cell>
          <cell r="J1418">
            <v>4</v>
          </cell>
          <cell r="K1418">
            <v>5</v>
          </cell>
        </row>
        <row r="1419">
          <cell r="A1419" t="str">
            <v>M1</v>
          </cell>
          <cell r="B1419" t="str">
            <v>A5C</v>
          </cell>
          <cell r="C1419" t="str">
            <v>P</v>
          </cell>
          <cell r="D1419" t="str">
            <v>22054</v>
          </cell>
          <cell r="E1419" t="str">
            <v>WN FLG</v>
          </cell>
          <cell r="F1419">
            <v>3</v>
          </cell>
          <cell r="G1419" t="str">
            <v>CB200104001400</v>
          </cell>
          <cell r="H1419">
            <v>14</v>
          </cell>
          <cell r="I1419" t="str">
            <v>--</v>
          </cell>
          <cell r="J1419">
            <v>2</v>
          </cell>
          <cell r="K1419">
            <v>2</v>
          </cell>
        </row>
        <row r="1420">
          <cell r="A1420" t="str">
            <v>M1</v>
          </cell>
          <cell r="B1420" t="str">
            <v>A5C</v>
          </cell>
          <cell r="C1420" t="str">
            <v>P</v>
          </cell>
          <cell r="D1420" t="str">
            <v>22056</v>
          </cell>
          <cell r="E1420" t="str">
            <v>WN FLG</v>
          </cell>
          <cell r="F1420">
            <v>3</v>
          </cell>
          <cell r="G1420" t="str">
            <v>CB200104001400</v>
          </cell>
          <cell r="H1420">
            <v>14</v>
          </cell>
          <cell r="I1420" t="str">
            <v>--</v>
          </cell>
          <cell r="J1420">
            <v>2</v>
          </cell>
          <cell r="K1420">
            <v>2</v>
          </cell>
        </row>
        <row r="1421">
          <cell r="A1421" t="str">
            <v>M1</v>
          </cell>
          <cell r="B1421" t="str">
            <v>A5C</v>
          </cell>
          <cell r="C1421" t="str">
            <v>P</v>
          </cell>
          <cell r="D1421" t="str">
            <v>22058</v>
          </cell>
          <cell r="E1421" t="str">
            <v>WN FLG</v>
          </cell>
          <cell r="F1421">
            <v>3</v>
          </cell>
          <cell r="G1421" t="str">
            <v>CB200104001400</v>
          </cell>
          <cell r="H1421">
            <v>14</v>
          </cell>
          <cell r="I1421" t="str">
            <v>--</v>
          </cell>
          <cell r="J1421">
            <v>2</v>
          </cell>
          <cell r="K1421">
            <v>2</v>
          </cell>
        </row>
        <row r="1422">
          <cell r="A1422" t="str">
            <v>M1</v>
          </cell>
          <cell r="B1422" t="str">
            <v>B1C</v>
          </cell>
          <cell r="C1422" t="str">
            <v>P</v>
          </cell>
          <cell r="D1422" t="str">
            <v>22027</v>
          </cell>
          <cell r="E1422" t="str">
            <v>WN FLG</v>
          </cell>
          <cell r="F1422">
            <v>3</v>
          </cell>
          <cell r="G1422" t="str">
            <v>CB200204001400</v>
          </cell>
          <cell r="H1422">
            <v>14</v>
          </cell>
          <cell r="I1422" t="str">
            <v>--</v>
          </cell>
          <cell r="J1422">
            <v>2</v>
          </cell>
          <cell r="K1422">
            <v>2</v>
          </cell>
        </row>
        <row r="1423">
          <cell r="A1423" t="str">
            <v>M1</v>
          </cell>
          <cell r="B1423" t="str">
            <v>A5C</v>
          </cell>
          <cell r="C1423" t="str">
            <v>P</v>
          </cell>
          <cell r="D1423" t="str">
            <v>22034</v>
          </cell>
          <cell r="E1423" t="str">
            <v>SW FLG</v>
          </cell>
          <cell r="F1423">
            <v>3</v>
          </cell>
          <cell r="G1423" t="str">
            <v>CB2401080001000100</v>
          </cell>
          <cell r="H1423">
            <v>1</v>
          </cell>
          <cell r="I1423" t="str">
            <v>--</v>
          </cell>
          <cell r="J1423">
            <v>3</v>
          </cell>
          <cell r="K1423">
            <v>3</v>
          </cell>
        </row>
        <row r="1424">
          <cell r="A1424" t="str">
            <v>M1</v>
          </cell>
          <cell r="B1424" t="str">
            <v>A5C</v>
          </cell>
          <cell r="C1424" t="str">
            <v>P</v>
          </cell>
          <cell r="D1424" t="str">
            <v>21002</v>
          </cell>
          <cell r="E1424" t="str">
            <v>WN FLG</v>
          </cell>
          <cell r="F1424">
            <v>3</v>
          </cell>
          <cell r="G1424" t="str">
            <v>CB2001040010001000</v>
          </cell>
          <cell r="H1424">
            <v>10</v>
          </cell>
          <cell r="I1424" t="str">
            <v>--</v>
          </cell>
          <cell r="J1424">
            <v>2</v>
          </cell>
          <cell r="K1424">
            <v>3</v>
          </cell>
        </row>
        <row r="1425">
          <cell r="A1425" t="str">
            <v>M1</v>
          </cell>
          <cell r="B1425" t="str">
            <v>A5C</v>
          </cell>
          <cell r="C1425" t="str">
            <v>P</v>
          </cell>
          <cell r="D1425" t="str">
            <v>22046</v>
          </cell>
          <cell r="E1425" t="str">
            <v>WN FLG</v>
          </cell>
          <cell r="F1425">
            <v>3</v>
          </cell>
          <cell r="G1425" t="str">
            <v>CB2002040010001000</v>
          </cell>
          <cell r="H1425">
            <v>10</v>
          </cell>
          <cell r="I1425" t="str">
            <v>--</v>
          </cell>
          <cell r="J1425">
            <v>2</v>
          </cell>
          <cell r="K1425">
            <v>3</v>
          </cell>
        </row>
        <row r="1426">
          <cell r="A1426" t="str">
            <v>M1</v>
          </cell>
          <cell r="B1426" t="str">
            <v>A5C</v>
          </cell>
          <cell r="C1426" t="str">
            <v>P</v>
          </cell>
          <cell r="D1426" t="str">
            <v>22046</v>
          </cell>
          <cell r="E1426" t="str">
            <v>WN FLG</v>
          </cell>
          <cell r="F1426">
            <v>3</v>
          </cell>
          <cell r="G1426" t="str">
            <v>CB2001040010001000</v>
          </cell>
          <cell r="H1426">
            <v>10</v>
          </cell>
          <cell r="I1426" t="str">
            <v>--</v>
          </cell>
          <cell r="J1426">
            <v>2</v>
          </cell>
          <cell r="K1426">
            <v>3</v>
          </cell>
        </row>
        <row r="1427">
          <cell r="A1427" t="str">
            <v>M1</v>
          </cell>
          <cell r="B1427" t="str">
            <v>B2C</v>
          </cell>
          <cell r="C1427" t="str">
            <v>SH</v>
          </cell>
          <cell r="D1427" t="str">
            <v>22611</v>
          </cell>
          <cell r="E1427" t="str">
            <v>GATE VA</v>
          </cell>
          <cell r="F1427">
            <v>6</v>
          </cell>
          <cell r="G1427" t="str">
            <v>VG8010400000H00</v>
          </cell>
          <cell r="H1427">
            <v>0.5</v>
          </cell>
          <cell r="I1427" t="str">
            <v>--</v>
          </cell>
          <cell r="J1427">
            <v>2</v>
          </cell>
          <cell r="K1427">
            <v>2</v>
          </cell>
        </row>
        <row r="1428">
          <cell r="A1428" t="str">
            <v>M1</v>
          </cell>
          <cell r="B1428" t="str">
            <v>B2C</v>
          </cell>
          <cell r="C1428" t="str">
            <v>SH</v>
          </cell>
          <cell r="D1428" t="str">
            <v>22614</v>
          </cell>
          <cell r="E1428" t="str">
            <v>GATE VA</v>
          </cell>
          <cell r="F1428">
            <v>6</v>
          </cell>
          <cell r="G1428" t="str">
            <v>VG8010100000H00</v>
          </cell>
          <cell r="H1428">
            <v>0.5</v>
          </cell>
          <cell r="I1428" t="str">
            <v>--</v>
          </cell>
          <cell r="J1428">
            <v>2</v>
          </cell>
          <cell r="K1428">
            <v>2</v>
          </cell>
        </row>
        <row r="1429">
          <cell r="A1429" t="str">
            <v>M1</v>
          </cell>
          <cell r="B1429" t="str">
            <v>B2C</v>
          </cell>
          <cell r="C1429" t="str">
            <v>SH</v>
          </cell>
          <cell r="D1429" t="str">
            <v>22601</v>
          </cell>
          <cell r="E1429" t="str">
            <v>GATE VA</v>
          </cell>
          <cell r="F1429">
            <v>6</v>
          </cell>
          <cell r="G1429" t="str">
            <v>VG8010400000H00</v>
          </cell>
          <cell r="H1429">
            <v>0.5</v>
          </cell>
          <cell r="I1429" t="str">
            <v>--</v>
          </cell>
          <cell r="J1429">
            <v>2</v>
          </cell>
          <cell r="K1429">
            <v>2</v>
          </cell>
        </row>
        <row r="1430">
          <cell r="A1430" t="str">
            <v>M1</v>
          </cell>
          <cell r="B1430" t="str">
            <v>A5C</v>
          </cell>
          <cell r="C1430" t="str">
            <v>P</v>
          </cell>
          <cell r="D1430" t="str">
            <v>22065</v>
          </cell>
          <cell r="E1430" t="str">
            <v>BALL VA</v>
          </cell>
          <cell r="F1430">
            <v>6</v>
          </cell>
          <cell r="G1430" t="str">
            <v>VB8010600000H00</v>
          </cell>
          <cell r="H1430">
            <v>0.5</v>
          </cell>
          <cell r="I1430" t="str">
            <v>--</v>
          </cell>
          <cell r="J1430">
            <v>2</v>
          </cell>
          <cell r="K1430">
            <v>2</v>
          </cell>
        </row>
        <row r="1431">
          <cell r="A1431" t="str">
            <v>M1</v>
          </cell>
          <cell r="B1431" t="str">
            <v>A5C</v>
          </cell>
          <cell r="C1431" t="str">
            <v>P</v>
          </cell>
          <cell r="D1431" t="str">
            <v>22070</v>
          </cell>
          <cell r="E1431" t="str">
            <v>BALL VA</v>
          </cell>
          <cell r="F1431">
            <v>6</v>
          </cell>
          <cell r="G1431" t="str">
            <v>VB8010600000H00</v>
          </cell>
          <cell r="H1431">
            <v>0.5</v>
          </cell>
          <cell r="I1431" t="str">
            <v>--</v>
          </cell>
          <cell r="J1431">
            <v>2</v>
          </cell>
          <cell r="K1431">
            <v>2</v>
          </cell>
        </row>
        <row r="1432">
          <cell r="A1432" t="str">
            <v>M1</v>
          </cell>
          <cell r="B1432" t="str">
            <v>A5C</v>
          </cell>
          <cell r="C1432" t="str">
            <v>P</v>
          </cell>
          <cell r="D1432" t="str">
            <v>22078</v>
          </cell>
          <cell r="E1432" t="str">
            <v>BALL VA</v>
          </cell>
          <cell r="F1432">
            <v>6</v>
          </cell>
          <cell r="G1432" t="str">
            <v>VB8010600000H00</v>
          </cell>
          <cell r="H1432">
            <v>0.5</v>
          </cell>
          <cell r="I1432" t="str">
            <v>--</v>
          </cell>
          <cell r="J1432">
            <v>2</v>
          </cell>
          <cell r="K1432">
            <v>2</v>
          </cell>
        </row>
        <row r="1433">
          <cell r="A1433" t="str">
            <v>M1</v>
          </cell>
          <cell r="B1433" t="str">
            <v>A5C</v>
          </cell>
          <cell r="C1433" t="str">
            <v>P</v>
          </cell>
          <cell r="D1433" t="str">
            <v>22104</v>
          </cell>
          <cell r="E1433" t="str">
            <v>BALL VA</v>
          </cell>
          <cell r="F1433">
            <v>6</v>
          </cell>
          <cell r="G1433" t="str">
            <v>VB8010600000H00</v>
          </cell>
          <cell r="H1433">
            <v>0.5</v>
          </cell>
          <cell r="I1433" t="str">
            <v>--</v>
          </cell>
          <cell r="J1433">
            <v>2</v>
          </cell>
          <cell r="K1433">
            <v>2</v>
          </cell>
        </row>
        <row r="1434">
          <cell r="A1434" t="str">
            <v>M1</v>
          </cell>
          <cell r="B1434" t="str">
            <v>A5C</v>
          </cell>
          <cell r="C1434" t="str">
            <v>P</v>
          </cell>
          <cell r="D1434" t="str">
            <v>22107</v>
          </cell>
          <cell r="E1434" t="str">
            <v>BALL VA</v>
          </cell>
          <cell r="F1434">
            <v>6</v>
          </cell>
          <cell r="G1434" t="str">
            <v>VB8010600000H00</v>
          </cell>
          <cell r="H1434">
            <v>0.5</v>
          </cell>
          <cell r="I1434" t="str">
            <v>--</v>
          </cell>
          <cell r="J1434">
            <v>20</v>
          </cell>
          <cell r="K1434">
            <v>20</v>
          </cell>
        </row>
        <row r="1435">
          <cell r="A1435" t="str">
            <v>M1</v>
          </cell>
          <cell r="B1435" t="str">
            <v>A5C</v>
          </cell>
          <cell r="C1435" t="str">
            <v>P</v>
          </cell>
          <cell r="D1435" t="str">
            <v>22157</v>
          </cell>
          <cell r="E1435" t="str">
            <v>BALL VA</v>
          </cell>
          <cell r="F1435">
            <v>6</v>
          </cell>
          <cell r="G1435" t="str">
            <v>VB8010600000H00</v>
          </cell>
          <cell r="H1435">
            <v>0.5</v>
          </cell>
          <cell r="I1435" t="str">
            <v>--</v>
          </cell>
          <cell r="J1435">
            <v>1</v>
          </cell>
          <cell r="K1435">
            <v>1</v>
          </cell>
        </row>
        <row r="1436">
          <cell r="A1436" t="str">
            <v>M1</v>
          </cell>
          <cell r="B1436" t="str">
            <v>A5C</v>
          </cell>
          <cell r="C1436" t="str">
            <v>P</v>
          </cell>
          <cell r="D1436" t="str">
            <v>22158</v>
          </cell>
          <cell r="E1436" t="str">
            <v>BALL VA</v>
          </cell>
          <cell r="F1436">
            <v>6</v>
          </cell>
          <cell r="G1436" t="str">
            <v>VB8010600000H00</v>
          </cell>
          <cell r="H1436">
            <v>0.5</v>
          </cell>
          <cell r="I1436" t="str">
            <v>--</v>
          </cell>
          <cell r="J1436">
            <v>1</v>
          </cell>
          <cell r="K1436">
            <v>1</v>
          </cell>
        </row>
        <row r="1437">
          <cell r="A1437" t="str">
            <v>M1</v>
          </cell>
          <cell r="B1437" t="str">
            <v>A5C</v>
          </cell>
          <cell r="C1437" t="str">
            <v>N</v>
          </cell>
          <cell r="D1437" t="str">
            <v>22670</v>
          </cell>
          <cell r="E1437" t="str">
            <v>BALL VA</v>
          </cell>
          <cell r="F1437">
            <v>6</v>
          </cell>
          <cell r="G1437" t="str">
            <v>VB8010600000H00</v>
          </cell>
          <cell r="H1437">
            <v>0.5</v>
          </cell>
          <cell r="I1437" t="str">
            <v>--</v>
          </cell>
          <cell r="J1437">
            <v>4</v>
          </cell>
          <cell r="K1437">
            <v>4</v>
          </cell>
        </row>
        <row r="1438">
          <cell r="A1438" t="str">
            <v>M1</v>
          </cell>
          <cell r="B1438" t="str">
            <v>A5C</v>
          </cell>
          <cell r="C1438" t="str">
            <v>N</v>
          </cell>
          <cell r="D1438" t="str">
            <v>22670</v>
          </cell>
          <cell r="E1438" t="str">
            <v>CHECK VA</v>
          </cell>
          <cell r="F1438">
            <v>6</v>
          </cell>
          <cell r="G1438" t="str">
            <v>VCB8010400000H00</v>
          </cell>
          <cell r="H1438">
            <v>0.5</v>
          </cell>
          <cell r="I1438" t="str">
            <v>--</v>
          </cell>
          <cell r="J1438">
            <v>4</v>
          </cell>
          <cell r="K1438">
            <v>4</v>
          </cell>
        </row>
        <row r="1439">
          <cell r="A1439" t="str">
            <v>M1</v>
          </cell>
          <cell r="B1439" t="str">
            <v>A5C</v>
          </cell>
          <cell r="C1439" t="str">
            <v>P</v>
          </cell>
          <cell r="D1439" t="str">
            <v>22157</v>
          </cell>
          <cell r="E1439" t="str">
            <v>CHECK VA</v>
          </cell>
          <cell r="F1439">
            <v>6</v>
          </cell>
          <cell r="G1439" t="str">
            <v>VCB8010400000H00</v>
          </cell>
          <cell r="H1439">
            <v>0.5</v>
          </cell>
          <cell r="I1439" t="str">
            <v>--</v>
          </cell>
          <cell r="J1439">
            <v>1</v>
          </cell>
          <cell r="K1439">
            <v>1</v>
          </cell>
        </row>
        <row r="1440">
          <cell r="A1440" t="str">
            <v>M1</v>
          </cell>
          <cell r="B1440" t="str">
            <v>A5C</v>
          </cell>
          <cell r="C1440" t="str">
            <v>COMP</v>
          </cell>
          <cell r="D1440" t="str">
            <v>006</v>
          </cell>
          <cell r="E1440" t="str">
            <v>GATE VA</v>
          </cell>
          <cell r="F1440">
            <v>6</v>
          </cell>
          <cell r="G1440" t="str">
            <v>VG8010400000H00</v>
          </cell>
          <cell r="H1440">
            <v>0.5</v>
          </cell>
          <cell r="I1440" t="str">
            <v>--</v>
          </cell>
          <cell r="J1440">
            <v>2</v>
          </cell>
          <cell r="K1440">
            <v>2</v>
          </cell>
        </row>
        <row r="1441">
          <cell r="A1441" t="str">
            <v>M1</v>
          </cell>
          <cell r="B1441" t="str">
            <v>A5C</v>
          </cell>
          <cell r="C1441" t="str">
            <v>SCD</v>
          </cell>
          <cell r="D1441" t="str">
            <v>HOLD1</v>
          </cell>
          <cell r="E1441" t="str">
            <v>GATE VA</v>
          </cell>
          <cell r="F1441">
            <v>6</v>
          </cell>
          <cell r="G1441" t="str">
            <v>VG8010100000H00</v>
          </cell>
          <cell r="H1441">
            <v>0.5</v>
          </cell>
          <cell r="I1441" t="str">
            <v>--</v>
          </cell>
          <cell r="J1441">
            <v>2</v>
          </cell>
          <cell r="K1441">
            <v>2</v>
          </cell>
        </row>
        <row r="1442">
          <cell r="A1442" t="str">
            <v>M1</v>
          </cell>
          <cell r="B1442" t="str">
            <v>A5C</v>
          </cell>
          <cell r="C1442" t="str">
            <v>SCC</v>
          </cell>
          <cell r="D1442" t="str">
            <v>HOLD1</v>
          </cell>
          <cell r="E1442" t="str">
            <v>GATE VA</v>
          </cell>
          <cell r="F1442">
            <v>6</v>
          </cell>
          <cell r="G1442" t="str">
            <v>VG8010100000H00</v>
          </cell>
          <cell r="H1442">
            <v>0.5</v>
          </cell>
          <cell r="I1442" t="str">
            <v>--</v>
          </cell>
          <cell r="J1442">
            <v>3</v>
          </cell>
          <cell r="K1442">
            <v>3</v>
          </cell>
        </row>
        <row r="1443">
          <cell r="A1443" t="str">
            <v>M1</v>
          </cell>
          <cell r="B1443" t="str">
            <v>A5C</v>
          </cell>
          <cell r="C1443" t="str">
            <v>COMP</v>
          </cell>
          <cell r="D1443" t="str">
            <v>006</v>
          </cell>
          <cell r="E1443" t="str">
            <v>GLOBE VA</v>
          </cell>
          <cell r="F1443">
            <v>6</v>
          </cell>
          <cell r="G1443" t="str">
            <v>VL8010100000H00</v>
          </cell>
          <cell r="H1443">
            <v>0.5</v>
          </cell>
          <cell r="I1443" t="str">
            <v>--</v>
          </cell>
          <cell r="J1443">
            <v>4</v>
          </cell>
          <cell r="K1443">
            <v>4</v>
          </cell>
        </row>
        <row r="1444">
          <cell r="A1444" t="str">
            <v>M1</v>
          </cell>
          <cell r="B1444" t="str">
            <v>A5C</v>
          </cell>
          <cell r="C1444" t="str">
            <v>SCC</v>
          </cell>
          <cell r="D1444" t="str">
            <v>HOLD1</v>
          </cell>
          <cell r="E1444" t="str">
            <v>GLOBE VA</v>
          </cell>
          <cell r="F1444">
            <v>6</v>
          </cell>
          <cell r="G1444" t="str">
            <v>VL8010100000H00</v>
          </cell>
          <cell r="H1444">
            <v>0.5</v>
          </cell>
          <cell r="I1444" t="str">
            <v>--</v>
          </cell>
          <cell r="J1444">
            <v>3</v>
          </cell>
          <cell r="K1444">
            <v>3</v>
          </cell>
        </row>
        <row r="1445">
          <cell r="A1445" t="str">
            <v>M1</v>
          </cell>
          <cell r="B1445" t="str">
            <v>A5C</v>
          </cell>
          <cell r="C1445" t="str">
            <v>SCD</v>
          </cell>
          <cell r="D1445" t="str">
            <v>HOLD1</v>
          </cell>
          <cell r="E1445" t="str">
            <v>GLOBE VA</v>
          </cell>
          <cell r="F1445">
            <v>6</v>
          </cell>
          <cell r="G1445" t="str">
            <v>VL8010100000H00</v>
          </cell>
          <cell r="H1445">
            <v>0.5</v>
          </cell>
          <cell r="I1445" t="str">
            <v>--</v>
          </cell>
          <cell r="J1445">
            <v>2</v>
          </cell>
          <cell r="K1445">
            <v>2</v>
          </cell>
        </row>
        <row r="1446">
          <cell r="A1446" t="str">
            <v>M1</v>
          </cell>
          <cell r="B1446" t="str">
            <v>A5C</v>
          </cell>
          <cell r="C1446" t="str">
            <v>P</v>
          </cell>
          <cell r="D1446" t="str">
            <v>22039</v>
          </cell>
          <cell r="E1446" t="str">
            <v>BALL VA</v>
          </cell>
          <cell r="F1446">
            <v>6</v>
          </cell>
          <cell r="G1446" t="str">
            <v>VB8010600000H00</v>
          </cell>
          <cell r="H1446">
            <v>0.5</v>
          </cell>
          <cell r="I1446" t="str">
            <v>--</v>
          </cell>
          <cell r="J1446">
            <v>1</v>
          </cell>
          <cell r="K1446">
            <v>1</v>
          </cell>
        </row>
        <row r="1447">
          <cell r="A1447" t="str">
            <v>M1</v>
          </cell>
          <cell r="B1447" t="str">
            <v>A5C</v>
          </cell>
          <cell r="C1447" t="str">
            <v>P</v>
          </cell>
          <cell r="D1447" t="str">
            <v>22040</v>
          </cell>
          <cell r="E1447" t="str">
            <v>BALL VA</v>
          </cell>
          <cell r="F1447">
            <v>6</v>
          </cell>
          <cell r="G1447" t="str">
            <v>VB8010600000H00</v>
          </cell>
          <cell r="H1447">
            <v>0.5</v>
          </cell>
          <cell r="I1447" t="str">
            <v>--</v>
          </cell>
          <cell r="J1447">
            <v>1</v>
          </cell>
          <cell r="K1447">
            <v>1</v>
          </cell>
        </row>
        <row r="1448">
          <cell r="A1448" t="str">
            <v>M1</v>
          </cell>
          <cell r="B1448" t="str">
            <v>A5C</v>
          </cell>
          <cell r="C1448" t="str">
            <v>P</v>
          </cell>
          <cell r="D1448" t="str">
            <v>22041</v>
          </cell>
          <cell r="E1448" t="str">
            <v>BALL VA</v>
          </cell>
          <cell r="F1448">
            <v>6</v>
          </cell>
          <cell r="G1448" t="str">
            <v>VB8010600000H00</v>
          </cell>
          <cell r="H1448">
            <v>0.5</v>
          </cell>
          <cell r="I1448" t="str">
            <v>--</v>
          </cell>
          <cell r="J1448">
            <v>1</v>
          </cell>
          <cell r="K1448">
            <v>1</v>
          </cell>
        </row>
        <row r="1449">
          <cell r="A1449" t="str">
            <v>M1</v>
          </cell>
          <cell r="B1449" t="str">
            <v>A5C</v>
          </cell>
          <cell r="C1449" t="str">
            <v>P</v>
          </cell>
          <cell r="D1449" t="str">
            <v>22039</v>
          </cell>
          <cell r="E1449" t="str">
            <v>CHECK VA</v>
          </cell>
          <cell r="F1449">
            <v>6</v>
          </cell>
          <cell r="G1449" t="str">
            <v>VCB8010400000H00</v>
          </cell>
          <cell r="H1449">
            <v>0.5</v>
          </cell>
          <cell r="I1449" t="str">
            <v>--</v>
          </cell>
          <cell r="J1449">
            <v>1</v>
          </cell>
          <cell r="K1449">
            <v>1</v>
          </cell>
        </row>
        <row r="1450">
          <cell r="A1450" t="str">
            <v>M1</v>
          </cell>
          <cell r="B1450" t="str">
            <v>A5C</v>
          </cell>
          <cell r="C1450" t="str">
            <v>P</v>
          </cell>
          <cell r="D1450" t="str">
            <v>22040</v>
          </cell>
          <cell r="E1450" t="str">
            <v>CHECK VA</v>
          </cell>
          <cell r="F1450">
            <v>6</v>
          </cell>
          <cell r="G1450" t="str">
            <v>VCB8010400000H00</v>
          </cell>
          <cell r="H1450">
            <v>0.5</v>
          </cell>
          <cell r="I1450" t="str">
            <v>--</v>
          </cell>
          <cell r="J1450">
            <v>1</v>
          </cell>
          <cell r="K1450">
            <v>1</v>
          </cell>
        </row>
        <row r="1451">
          <cell r="A1451" t="str">
            <v>M1</v>
          </cell>
          <cell r="B1451" t="str">
            <v>A5C</v>
          </cell>
          <cell r="C1451" t="str">
            <v>P</v>
          </cell>
          <cell r="D1451" t="str">
            <v>22041</v>
          </cell>
          <cell r="E1451" t="str">
            <v>CHECK VA</v>
          </cell>
          <cell r="F1451">
            <v>6</v>
          </cell>
          <cell r="G1451" t="str">
            <v>VCB8010400000H00</v>
          </cell>
          <cell r="H1451">
            <v>0.5</v>
          </cell>
          <cell r="I1451" t="str">
            <v>--</v>
          </cell>
          <cell r="J1451">
            <v>1</v>
          </cell>
          <cell r="K1451">
            <v>1</v>
          </cell>
        </row>
        <row r="1452">
          <cell r="A1452" t="str">
            <v>M1</v>
          </cell>
          <cell r="B1452" t="str">
            <v>A5C</v>
          </cell>
          <cell r="C1452" t="str">
            <v>P</v>
          </cell>
          <cell r="D1452" t="str">
            <v>22003</v>
          </cell>
          <cell r="E1452" t="str">
            <v>BALL VA</v>
          </cell>
          <cell r="F1452">
            <v>6</v>
          </cell>
          <cell r="G1452" t="str">
            <v>VB8010600000H00</v>
          </cell>
          <cell r="H1452">
            <v>0.5</v>
          </cell>
          <cell r="I1452" t="str">
            <v>--</v>
          </cell>
          <cell r="J1452">
            <v>2</v>
          </cell>
          <cell r="K1452">
            <v>2</v>
          </cell>
        </row>
        <row r="1453">
          <cell r="A1453" t="str">
            <v>M1</v>
          </cell>
          <cell r="B1453" t="str">
            <v>A5C</v>
          </cell>
          <cell r="C1453" t="str">
            <v>P</v>
          </cell>
          <cell r="D1453" t="str">
            <v>22111</v>
          </cell>
          <cell r="E1453" t="str">
            <v>BALL VA</v>
          </cell>
          <cell r="F1453">
            <v>6</v>
          </cell>
          <cell r="G1453" t="str">
            <v>VB8010600000H00</v>
          </cell>
          <cell r="H1453">
            <v>0.5</v>
          </cell>
          <cell r="I1453" t="str">
            <v>--</v>
          </cell>
          <cell r="J1453">
            <v>2</v>
          </cell>
          <cell r="K1453">
            <v>2</v>
          </cell>
        </row>
        <row r="1454">
          <cell r="A1454" t="str">
            <v>M1</v>
          </cell>
          <cell r="B1454" t="str">
            <v>A5C</v>
          </cell>
          <cell r="C1454" t="str">
            <v>P</v>
          </cell>
          <cell r="D1454" t="str">
            <v>22004</v>
          </cell>
          <cell r="E1454" t="str">
            <v>GATE VA</v>
          </cell>
          <cell r="F1454">
            <v>6</v>
          </cell>
          <cell r="G1454" t="str">
            <v>VG8010400000H00</v>
          </cell>
          <cell r="H1454">
            <v>0.5</v>
          </cell>
          <cell r="I1454" t="str">
            <v>--</v>
          </cell>
          <cell r="J1454">
            <v>2</v>
          </cell>
          <cell r="K1454">
            <v>2</v>
          </cell>
        </row>
        <row r="1455">
          <cell r="A1455" t="str">
            <v>M1</v>
          </cell>
          <cell r="B1455" t="str">
            <v>A4C</v>
          </cell>
          <cell r="C1455" t="str">
            <v>P</v>
          </cell>
          <cell r="D1455" t="str">
            <v>22031</v>
          </cell>
          <cell r="E1455" t="str">
            <v>BALL VA</v>
          </cell>
          <cell r="F1455">
            <v>6</v>
          </cell>
          <cell r="G1455" t="str">
            <v>VB8010300000H00</v>
          </cell>
          <cell r="H1455">
            <v>0.5</v>
          </cell>
          <cell r="I1455" t="str">
            <v>--</v>
          </cell>
          <cell r="J1455">
            <v>3</v>
          </cell>
          <cell r="K1455">
            <v>3</v>
          </cell>
        </row>
        <row r="1456">
          <cell r="A1456" t="str">
            <v>M1</v>
          </cell>
          <cell r="B1456" t="str">
            <v>A4C</v>
          </cell>
          <cell r="C1456" t="str">
            <v>P</v>
          </cell>
          <cell r="D1456" t="str">
            <v>22008</v>
          </cell>
          <cell r="E1456" t="str">
            <v>BALL VA</v>
          </cell>
          <cell r="F1456">
            <v>6</v>
          </cell>
          <cell r="G1456" t="str">
            <v>VB8010300000H00</v>
          </cell>
          <cell r="H1456">
            <v>0.5</v>
          </cell>
          <cell r="I1456" t="str">
            <v>--</v>
          </cell>
          <cell r="J1456">
            <v>2</v>
          </cell>
          <cell r="K1456">
            <v>2</v>
          </cell>
        </row>
        <row r="1457">
          <cell r="A1457" t="str">
            <v>M1</v>
          </cell>
          <cell r="B1457" t="str">
            <v>A6C</v>
          </cell>
          <cell r="C1457" t="str">
            <v>HOS</v>
          </cell>
          <cell r="D1457" t="str">
            <v>65624</v>
          </cell>
          <cell r="E1457" t="str">
            <v>BELLOWS VA</v>
          </cell>
          <cell r="F1457">
            <v>6</v>
          </cell>
          <cell r="G1457" t="str">
            <v>VBE8010700000H00</v>
          </cell>
          <cell r="H1457">
            <v>0.5</v>
          </cell>
          <cell r="I1457" t="str">
            <v>--</v>
          </cell>
          <cell r="J1457">
            <v>2</v>
          </cell>
          <cell r="K1457">
            <v>2</v>
          </cell>
        </row>
        <row r="1458">
          <cell r="A1458" t="str">
            <v>M1</v>
          </cell>
          <cell r="B1458" t="str">
            <v>A6C</v>
          </cell>
          <cell r="C1458" t="str">
            <v>HOS</v>
          </cell>
          <cell r="D1458" t="str">
            <v>65628</v>
          </cell>
          <cell r="E1458" t="str">
            <v>BELLOWS VA</v>
          </cell>
          <cell r="F1458">
            <v>6</v>
          </cell>
          <cell r="G1458" t="str">
            <v>VBE8010700000H00</v>
          </cell>
          <cell r="H1458">
            <v>0.5</v>
          </cell>
          <cell r="I1458" t="str">
            <v>--</v>
          </cell>
          <cell r="J1458">
            <v>2</v>
          </cell>
          <cell r="K1458">
            <v>2</v>
          </cell>
        </row>
        <row r="1459">
          <cell r="A1459" t="str">
            <v>M1</v>
          </cell>
          <cell r="B1459" t="str">
            <v>A6C</v>
          </cell>
          <cell r="C1459" t="str">
            <v>HOS</v>
          </cell>
          <cell r="D1459" t="str">
            <v>65615</v>
          </cell>
          <cell r="E1459" t="str">
            <v>BELLOWS VA</v>
          </cell>
          <cell r="F1459">
            <v>6</v>
          </cell>
          <cell r="G1459" t="str">
            <v>VBE8010600000H00</v>
          </cell>
          <cell r="H1459">
            <v>0.5</v>
          </cell>
          <cell r="I1459" t="str">
            <v>--</v>
          </cell>
          <cell r="J1459">
            <v>2</v>
          </cell>
          <cell r="K1459">
            <v>2</v>
          </cell>
        </row>
        <row r="1460">
          <cell r="A1460" t="str">
            <v>M1</v>
          </cell>
          <cell r="B1460" t="str">
            <v>B2C</v>
          </cell>
          <cell r="C1460" t="str">
            <v>SH</v>
          </cell>
          <cell r="D1460" t="str">
            <v>22612</v>
          </cell>
          <cell r="E1460" t="str">
            <v>GATE VA</v>
          </cell>
          <cell r="F1460">
            <v>6</v>
          </cell>
          <cell r="G1460" t="str">
            <v>VG8010100000T00</v>
          </cell>
          <cell r="H1460">
            <v>0.75</v>
          </cell>
          <cell r="I1460" t="str">
            <v>--</v>
          </cell>
          <cell r="J1460">
            <v>1</v>
          </cell>
          <cell r="K1460">
            <v>1</v>
          </cell>
        </row>
        <row r="1461">
          <cell r="A1461" t="str">
            <v>M1</v>
          </cell>
          <cell r="B1461" t="str">
            <v>B2C</v>
          </cell>
          <cell r="C1461" t="str">
            <v>SH</v>
          </cell>
          <cell r="D1461" t="str">
            <v>22613</v>
          </cell>
          <cell r="E1461" t="str">
            <v>GATE VA</v>
          </cell>
          <cell r="F1461">
            <v>6</v>
          </cell>
          <cell r="G1461" t="str">
            <v>VG8010100000T00</v>
          </cell>
          <cell r="H1461">
            <v>0.75</v>
          </cell>
          <cell r="I1461" t="str">
            <v>--</v>
          </cell>
          <cell r="J1461">
            <v>1</v>
          </cell>
          <cell r="K1461">
            <v>1</v>
          </cell>
        </row>
        <row r="1462">
          <cell r="A1462" t="str">
            <v>M1</v>
          </cell>
          <cell r="B1462" t="str">
            <v>B2C</v>
          </cell>
          <cell r="C1462" t="str">
            <v>SH</v>
          </cell>
          <cell r="D1462" t="str">
            <v>22614</v>
          </cell>
          <cell r="E1462" t="str">
            <v>GATE VA</v>
          </cell>
          <cell r="F1462">
            <v>6</v>
          </cell>
          <cell r="G1462" t="str">
            <v>VG8010100000T00</v>
          </cell>
          <cell r="H1462">
            <v>0.75</v>
          </cell>
          <cell r="I1462" t="str">
            <v>--</v>
          </cell>
          <cell r="J1462">
            <v>1</v>
          </cell>
          <cell r="K1462">
            <v>1</v>
          </cell>
        </row>
        <row r="1463">
          <cell r="A1463" t="str">
            <v>M1</v>
          </cell>
          <cell r="B1463" t="str">
            <v>B2C</v>
          </cell>
          <cell r="C1463" t="str">
            <v>SH</v>
          </cell>
          <cell r="D1463" t="str">
            <v>22601</v>
          </cell>
          <cell r="E1463" t="str">
            <v>GATE VA</v>
          </cell>
          <cell r="F1463">
            <v>6</v>
          </cell>
          <cell r="G1463" t="str">
            <v>VG8010100000T00</v>
          </cell>
          <cell r="H1463">
            <v>0.75</v>
          </cell>
          <cell r="I1463" t="str">
            <v>--</v>
          </cell>
          <cell r="J1463">
            <v>2</v>
          </cell>
          <cell r="K1463">
            <v>2</v>
          </cell>
        </row>
        <row r="1464">
          <cell r="A1464" t="str">
            <v>M1</v>
          </cell>
          <cell r="B1464" t="str">
            <v>B2C</v>
          </cell>
          <cell r="C1464" t="str">
            <v>TRIM</v>
          </cell>
          <cell r="D1464" t="str">
            <v>V-2218</v>
          </cell>
          <cell r="E1464" t="str">
            <v>GATE VA</v>
          </cell>
          <cell r="F1464">
            <v>6</v>
          </cell>
          <cell r="G1464" t="str">
            <v>VG8010400000T00</v>
          </cell>
          <cell r="H1464">
            <v>0.75</v>
          </cell>
          <cell r="I1464" t="str">
            <v>--</v>
          </cell>
          <cell r="J1464">
            <v>4</v>
          </cell>
          <cell r="K1464">
            <v>4</v>
          </cell>
        </row>
        <row r="1465">
          <cell r="A1465" t="str">
            <v>M1</v>
          </cell>
          <cell r="B1465" t="str">
            <v>B2C</v>
          </cell>
          <cell r="C1465" t="str">
            <v>TRIM</v>
          </cell>
          <cell r="D1465" t="str">
            <v>V-2218</v>
          </cell>
          <cell r="E1465" t="str">
            <v>GATE VA</v>
          </cell>
          <cell r="F1465">
            <v>6</v>
          </cell>
          <cell r="G1465" t="str">
            <v>VG8010100000T00</v>
          </cell>
          <cell r="H1465">
            <v>0.75</v>
          </cell>
          <cell r="I1465" t="str">
            <v>--</v>
          </cell>
          <cell r="J1465">
            <v>2</v>
          </cell>
          <cell r="K1465">
            <v>2</v>
          </cell>
        </row>
        <row r="1466">
          <cell r="A1466" t="str">
            <v>M1</v>
          </cell>
          <cell r="B1466" t="str">
            <v>B2C</v>
          </cell>
          <cell r="C1466" t="str">
            <v>SH</v>
          </cell>
          <cell r="D1466" t="str">
            <v>22612</v>
          </cell>
          <cell r="E1466" t="str">
            <v>GLOBE VA</v>
          </cell>
          <cell r="F1466">
            <v>6</v>
          </cell>
          <cell r="G1466" t="str">
            <v>VL8010400000T00</v>
          </cell>
          <cell r="H1466">
            <v>0.75</v>
          </cell>
          <cell r="I1466" t="str">
            <v>--</v>
          </cell>
          <cell r="J1466">
            <v>1</v>
          </cell>
          <cell r="K1466">
            <v>1</v>
          </cell>
        </row>
        <row r="1467">
          <cell r="A1467" t="str">
            <v>M1</v>
          </cell>
          <cell r="B1467" t="str">
            <v>B2C</v>
          </cell>
          <cell r="C1467" t="str">
            <v>SH</v>
          </cell>
          <cell r="D1467" t="str">
            <v>22613</v>
          </cell>
          <cell r="E1467" t="str">
            <v>GLOBE VA</v>
          </cell>
          <cell r="F1467">
            <v>6</v>
          </cell>
          <cell r="G1467" t="str">
            <v>VL8010400000T00</v>
          </cell>
          <cell r="H1467">
            <v>0.75</v>
          </cell>
          <cell r="I1467" t="str">
            <v>--</v>
          </cell>
          <cell r="J1467">
            <v>1</v>
          </cell>
          <cell r="K1467">
            <v>1</v>
          </cell>
        </row>
        <row r="1468">
          <cell r="A1468" t="str">
            <v>M1</v>
          </cell>
          <cell r="B1468" t="str">
            <v>A5C</v>
          </cell>
          <cell r="C1468" t="str">
            <v>N</v>
          </cell>
          <cell r="D1468" t="str">
            <v>22670</v>
          </cell>
          <cell r="E1468" t="str">
            <v>BALL VA</v>
          </cell>
          <cell r="F1468">
            <v>6</v>
          </cell>
          <cell r="G1468" t="str">
            <v>VB8010600000T00</v>
          </cell>
          <cell r="H1468">
            <v>0.75</v>
          </cell>
          <cell r="I1468" t="str">
            <v>--</v>
          </cell>
          <cell r="J1468">
            <v>1</v>
          </cell>
          <cell r="K1468">
            <v>1</v>
          </cell>
        </row>
        <row r="1469">
          <cell r="A1469" t="str">
            <v>M1</v>
          </cell>
          <cell r="B1469" t="str">
            <v>A5C</v>
          </cell>
          <cell r="C1469" t="str">
            <v>N</v>
          </cell>
          <cell r="D1469" t="str">
            <v>25611</v>
          </cell>
          <cell r="E1469" t="str">
            <v>BALL VA</v>
          </cell>
          <cell r="F1469">
            <v>6</v>
          </cell>
          <cell r="G1469" t="str">
            <v>VB8010600000T00</v>
          </cell>
          <cell r="H1469">
            <v>0.75</v>
          </cell>
          <cell r="I1469" t="str">
            <v>--</v>
          </cell>
          <cell r="J1469">
            <v>1</v>
          </cell>
          <cell r="K1469">
            <v>1</v>
          </cell>
        </row>
        <row r="1470">
          <cell r="A1470" t="str">
            <v>M1</v>
          </cell>
          <cell r="B1470" t="str">
            <v>A5C</v>
          </cell>
          <cell r="C1470" t="str">
            <v>N</v>
          </cell>
          <cell r="D1470" t="str">
            <v>25611</v>
          </cell>
          <cell r="E1470" t="str">
            <v>BALL VA</v>
          </cell>
          <cell r="F1470">
            <v>6</v>
          </cell>
          <cell r="G1470" t="str">
            <v>VB8010600000T00</v>
          </cell>
          <cell r="H1470">
            <v>0.75</v>
          </cell>
          <cell r="I1470" t="str">
            <v>--</v>
          </cell>
          <cell r="J1470">
            <v>1</v>
          </cell>
          <cell r="K1470">
            <v>1</v>
          </cell>
        </row>
        <row r="1471">
          <cell r="A1471" t="str">
            <v>M1</v>
          </cell>
          <cell r="B1471" t="str">
            <v>A5C</v>
          </cell>
          <cell r="C1471" t="str">
            <v>P</v>
          </cell>
          <cell r="D1471" t="str">
            <v>22069</v>
          </cell>
          <cell r="E1471" t="str">
            <v>BALL VA</v>
          </cell>
          <cell r="F1471">
            <v>6</v>
          </cell>
          <cell r="G1471" t="str">
            <v>VB8010600000T00</v>
          </cell>
          <cell r="H1471">
            <v>0.75</v>
          </cell>
          <cell r="I1471" t="str">
            <v>--</v>
          </cell>
          <cell r="J1471">
            <v>1</v>
          </cell>
          <cell r="K1471">
            <v>1</v>
          </cell>
        </row>
        <row r="1472">
          <cell r="A1472" t="str">
            <v>M1</v>
          </cell>
          <cell r="B1472" t="str">
            <v>A5C</v>
          </cell>
          <cell r="C1472" t="str">
            <v>P</v>
          </cell>
          <cell r="D1472" t="str">
            <v>22071</v>
          </cell>
          <cell r="E1472" t="str">
            <v>BALL VA</v>
          </cell>
          <cell r="F1472">
            <v>6</v>
          </cell>
          <cell r="G1472" t="str">
            <v>VB8010600000T00</v>
          </cell>
          <cell r="H1472">
            <v>0.75</v>
          </cell>
          <cell r="I1472" t="str">
            <v>--</v>
          </cell>
          <cell r="J1472">
            <v>1</v>
          </cell>
          <cell r="K1472">
            <v>1</v>
          </cell>
        </row>
        <row r="1473">
          <cell r="A1473" t="str">
            <v>M1</v>
          </cell>
          <cell r="B1473" t="str">
            <v>A5C</v>
          </cell>
          <cell r="C1473" t="str">
            <v>P</v>
          </cell>
          <cell r="D1473" t="str">
            <v>22065</v>
          </cell>
          <cell r="E1473" t="str">
            <v>BALL VA</v>
          </cell>
          <cell r="F1473">
            <v>6</v>
          </cell>
          <cell r="G1473" t="str">
            <v>VB8010600000T00</v>
          </cell>
          <cell r="H1473">
            <v>0.75</v>
          </cell>
          <cell r="I1473" t="str">
            <v>--</v>
          </cell>
          <cell r="J1473">
            <v>5</v>
          </cell>
          <cell r="K1473">
            <v>5</v>
          </cell>
        </row>
        <row r="1474">
          <cell r="A1474" t="str">
            <v>M1</v>
          </cell>
          <cell r="B1474" t="str">
            <v>A5C</v>
          </cell>
          <cell r="C1474" t="str">
            <v>P</v>
          </cell>
          <cell r="D1474" t="str">
            <v>22065</v>
          </cell>
          <cell r="E1474" t="str">
            <v>BALL VA</v>
          </cell>
          <cell r="F1474">
            <v>6</v>
          </cell>
          <cell r="G1474" t="str">
            <v>VB8010600000T00</v>
          </cell>
          <cell r="H1474">
            <v>0.75</v>
          </cell>
          <cell r="I1474" t="str">
            <v>--</v>
          </cell>
          <cell r="J1474">
            <v>2</v>
          </cell>
          <cell r="K1474">
            <v>2</v>
          </cell>
        </row>
        <row r="1475">
          <cell r="A1475" t="str">
            <v>M1</v>
          </cell>
          <cell r="B1475" t="str">
            <v>A5C</v>
          </cell>
          <cell r="C1475" t="str">
            <v>P</v>
          </cell>
          <cell r="D1475" t="str">
            <v>22078</v>
          </cell>
          <cell r="E1475" t="str">
            <v>BALL VA</v>
          </cell>
          <cell r="F1475">
            <v>6</v>
          </cell>
          <cell r="G1475" t="str">
            <v>VB8010600000T00</v>
          </cell>
          <cell r="H1475">
            <v>0.75</v>
          </cell>
          <cell r="I1475" t="str">
            <v>--</v>
          </cell>
          <cell r="J1475">
            <v>1</v>
          </cell>
          <cell r="K1475">
            <v>1</v>
          </cell>
        </row>
        <row r="1476">
          <cell r="A1476" t="str">
            <v>M1</v>
          </cell>
          <cell r="B1476" t="str">
            <v>A5C</v>
          </cell>
          <cell r="C1476" t="str">
            <v>P</v>
          </cell>
          <cell r="D1476" t="str">
            <v>22087</v>
          </cell>
          <cell r="E1476" t="str">
            <v>BALL VA</v>
          </cell>
          <cell r="F1476">
            <v>6</v>
          </cell>
          <cell r="G1476" t="str">
            <v>VB8010600000T00</v>
          </cell>
          <cell r="H1476">
            <v>0.75</v>
          </cell>
          <cell r="I1476" t="str">
            <v>--</v>
          </cell>
          <cell r="J1476">
            <v>1</v>
          </cell>
          <cell r="K1476">
            <v>1</v>
          </cell>
        </row>
        <row r="1477">
          <cell r="A1477" t="str">
            <v>M1</v>
          </cell>
          <cell r="B1477" t="str">
            <v>A5C</v>
          </cell>
          <cell r="C1477" t="str">
            <v>P</v>
          </cell>
          <cell r="D1477" t="str">
            <v>22071</v>
          </cell>
          <cell r="E1477" t="str">
            <v>BALL VA</v>
          </cell>
          <cell r="F1477">
            <v>6</v>
          </cell>
          <cell r="G1477" t="str">
            <v>VB8010600000T00</v>
          </cell>
          <cell r="H1477">
            <v>0.75</v>
          </cell>
          <cell r="I1477" t="str">
            <v>--</v>
          </cell>
          <cell r="J1477">
            <v>2</v>
          </cell>
          <cell r="K1477">
            <v>2</v>
          </cell>
        </row>
        <row r="1478">
          <cell r="A1478" t="str">
            <v>M1</v>
          </cell>
          <cell r="B1478" t="str">
            <v>A5C</v>
          </cell>
          <cell r="C1478" t="str">
            <v>P</v>
          </cell>
          <cell r="D1478" t="str">
            <v>22101</v>
          </cell>
          <cell r="E1478" t="str">
            <v>BALL VA</v>
          </cell>
          <cell r="F1478">
            <v>6</v>
          </cell>
          <cell r="G1478" t="str">
            <v>VB8010600000T00</v>
          </cell>
          <cell r="H1478">
            <v>0.75</v>
          </cell>
          <cell r="I1478" t="str">
            <v>--</v>
          </cell>
          <cell r="J1478">
            <v>2</v>
          </cell>
          <cell r="K1478">
            <v>2</v>
          </cell>
        </row>
        <row r="1479">
          <cell r="A1479" t="str">
            <v>M1</v>
          </cell>
          <cell r="B1479" t="str">
            <v>A5C</v>
          </cell>
          <cell r="C1479" t="str">
            <v>P</v>
          </cell>
          <cell r="D1479" t="str">
            <v>22102</v>
          </cell>
          <cell r="E1479" t="str">
            <v>BALL VA</v>
          </cell>
          <cell r="F1479">
            <v>6</v>
          </cell>
          <cell r="G1479" t="str">
            <v>VB8010600000T00</v>
          </cell>
          <cell r="H1479">
            <v>0.75</v>
          </cell>
          <cell r="I1479" t="str">
            <v>--</v>
          </cell>
          <cell r="J1479">
            <v>2</v>
          </cell>
          <cell r="K1479">
            <v>2</v>
          </cell>
        </row>
        <row r="1480">
          <cell r="A1480" t="str">
            <v>M1</v>
          </cell>
          <cell r="B1480" t="str">
            <v>A5C</v>
          </cell>
          <cell r="C1480" t="str">
            <v>P</v>
          </cell>
          <cell r="D1480" t="str">
            <v>22102</v>
          </cell>
          <cell r="E1480" t="str">
            <v>BALL VA</v>
          </cell>
          <cell r="F1480">
            <v>6</v>
          </cell>
          <cell r="G1480" t="str">
            <v>VB8010600000T00</v>
          </cell>
          <cell r="H1480">
            <v>0.75</v>
          </cell>
          <cell r="I1480" t="str">
            <v>--</v>
          </cell>
          <cell r="J1480">
            <v>3</v>
          </cell>
          <cell r="K1480">
            <v>3</v>
          </cell>
        </row>
        <row r="1481">
          <cell r="A1481" t="str">
            <v>M1</v>
          </cell>
          <cell r="B1481" t="str">
            <v>A5C</v>
          </cell>
          <cell r="C1481" t="str">
            <v>P</v>
          </cell>
          <cell r="D1481" t="str">
            <v>22102</v>
          </cell>
          <cell r="E1481" t="str">
            <v>BALL VA</v>
          </cell>
          <cell r="F1481">
            <v>6</v>
          </cell>
          <cell r="G1481" t="str">
            <v>VB8010600000T00</v>
          </cell>
          <cell r="H1481">
            <v>0.75</v>
          </cell>
          <cell r="I1481" t="str">
            <v>--</v>
          </cell>
          <cell r="J1481">
            <v>2</v>
          </cell>
          <cell r="K1481">
            <v>2</v>
          </cell>
        </row>
        <row r="1482">
          <cell r="A1482" t="str">
            <v>M1</v>
          </cell>
          <cell r="B1482" t="str">
            <v>A5C</v>
          </cell>
          <cell r="C1482" t="str">
            <v>P</v>
          </cell>
          <cell r="D1482" t="str">
            <v>22102</v>
          </cell>
          <cell r="E1482" t="str">
            <v>BALL VA</v>
          </cell>
          <cell r="F1482">
            <v>6</v>
          </cell>
          <cell r="G1482" t="str">
            <v>VB8010600000T00</v>
          </cell>
          <cell r="H1482">
            <v>0.75</v>
          </cell>
          <cell r="I1482" t="str">
            <v>--</v>
          </cell>
          <cell r="J1482">
            <v>2</v>
          </cell>
          <cell r="K1482">
            <v>2</v>
          </cell>
        </row>
        <row r="1483">
          <cell r="A1483" t="str">
            <v>M1</v>
          </cell>
          <cell r="B1483" t="str">
            <v>A5C</v>
          </cell>
          <cell r="C1483" t="str">
            <v>P</v>
          </cell>
          <cell r="D1483" t="str">
            <v>22104</v>
          </cell>
          <cell r="E1483" t="str">
            <v>BALL VA</v>
          </cell>
          <cell r="F1483">
            <v>6</v>
          </cell>
          <cell r="G1483" t="str">
            <v>VB8010600000T00</v>
          </cell>
          <cell r="H1483">
            <v>0.75</v>
          </cell>
          <cell r="I1483" t="str">
            <v>--</v>
          </cell>
          <cell r="J1483">
            <v>1</v>
          </cell>
          <cell r="K1483">
            <v>1</v>
          </cell>
        </row>
        <row r="1484">
          <cell r="A1484" t="str">
            <v>M1</v>
          </cell>
          <cell r="B1484" t="str">
            <v>A5C</v>
          </cell>
          <cell r="C1484" t="str">
            <v>P</v>
          </cell>
          <cell r="D1484" t="str">
            <v>22114</v>
          </cell>
          <cell r="E1484" t="str">
            <v>BALL VA</v>
          </cell>
          <cell r="F1484">
            <v>6</v>
          </cell>
          <cell r="G1484" t="str">
            <v>VB8010600000T00</v>
          </cell>
          <cell r="H1484">
            <v>0.75</v>
          </cell>
          <cell r="I1484" t="str">
            <v>--</v>
          </cell>
          <cell r="J1484">
            <v>1</v>
          </cell>
          <cell r="K1484">
            <v>1</v>
          </cell>
        </row>
        <row r="1485">
          <cell r="A1485" t="str">
            <v>M1</v>
          </cell>
          <cell r="B1485" t="str">
            <v>A5C</v>
          </cell>
          <cell r="C1485" t="str">
            <v>P</v>
          </cell>
          <cell r="D1485" t="str">
            <v>22106</v>
          </cell>
          <cell r="E1485" t="str">
            <v>BALL VA</v>
          </cell>
          <cell r="F1485">
            <v>6</v>
          </cell>
          <cell r="G1485" t="str">
            <v>VB8010600000T00</v>
          </cell>
          <cell r="H1485">
            <v>0.75</v>
          </cell>
          <cell r="I1485" t="str">
            <v>--</v>
          </cell>
          <cell r="J1485">
            <v>2</v>
          </cell>
          <cell r="K1485">
            <v>2</v>
          </cell>
        </row>
        <row r="1486">
          <cell r="A1486" t="str">
            <v>M1</v>
          </cell>
          <cell r="B1486" t="str">
            <v>A5C</v>
          </cell>
          <cell r="C1486" t="str">
            <v>P</v>
          </cell>
          <cell r="D1486" t="str">
            <v>22113</v>
          </cell>
          <cell r="E1486" t="str">
            <v>BALL VA</v>
          </cell>
          <cell r="F1486">
            <v>6</v>
          </cell>
          <cell r="G1486" t="str">
            <v>VB8010600000T00</v>
          </cell>
          <cell r="H1486">
            <v>0.75</v>
          </cell>
          <cell r="I1486" t="str">
            <v>--</v>
          </cell>
          <cell r="J1486">
            <v>1</v>
          </cell>
          <cell r="K1486">
            <v>1</v>
          </cell>
        </row>
        <row r="1487">
          <cell r="A1487" t="str">
            <v>M1</v>
          </cell>
          <cell r="B1487" t="str">
            <v>A5C</v>
          </cell>
          <cell r="C1487" t="str">
            <v>P</v>
          </cell>
          <cell r="D1487" t="str">
            <v>22130</v>
          </cell>
          <cell r="E1487" t="str">
            <v>BALL VA</v>
          </cell>
          <cell r="F1487">
            <v>6</v>
          </cell>
          <cell r="G1487" t="str">
            <v>VB8010600000T00</v>
          </cell>
          <cell r="H1487">
            <v>0.75</v>
          </cell>
          <cell r="I1487" t="str">
            <v>--</v>
          </cell>
          <cell r="J1487">
            <v>2</v>
          </cell>
          <cell r="K1487">
            <v>2</v>
          </cell>
        </row>
        <row r="1488">
          <cell r="A1488" t="str">
            <v>M1</v>
          </cell>
          <cell r="B1488" t="str">
            <v>A5C</v>
          </cell>
          <cell r="C1488" t="str">
            <v>P</v>
          </cell>
          <cell r="D1488" t="str">
            <v>22140</v>
          </cell>
          <cell r="E1488" t="str">
            <v>BALL VA</v>
          </cell>
          <cell r="F1488">
            <v>6</v>
          </cell>
          <cell r="G1488" t="str">
            <v>VB8010600000T00</v>
          </cell>
          <cell r="H1488">
            <v>0.75</v>
          </cell>
          <cell r="I1488" t="str">
            <v>--</v>
          </cell>
          <cell r="J1488">
            <v>2</v>
          </cell>
          <cell r="K1488">
            <v>2</v>
          </cell>
        </row>
        <row r="1489">
          <cell r="A1489" t="str">
            <v>M1</v>
          </cell>
          <cell r="B1489" t="str">
            <v>A5C</v>
          </cell>
          <cell r="C1489" t="str">
            <v>TRIM</v>
          </cell>
          <cell r="D1489" t="str">
            <v>V-2206</v>
          </cell>
          <cell r="E1489" t="str">
            <v>BALL VA</v>
          </cell>
          <cell r="F1489">
            <v>6</v>
          </cell>
          <cell r="G1489" t="str">
            <v>VB8010600000T00</v>
          </cell>
          <cell r="H1489">
            <v>0.75</v>
          </cell>
          <cell r="I1489" t="str">
            <v>--</v>
          </cell>
          <cell r="J1489">
            <v>2</v>
          </cell>
          <cell r="K1489">
            <v>2</v>
          </cell>
        </row>
        <row r="1490">
          <cell r="A1490" t="str">
            <v>M1</v>
          </cell>
          <cell r="B1490" t="str">
            <v>A5C</v>
          </cell>
          <cell r="C1490" t="str">
            <v>TRIM</v>
          </cell>
          <cell r="D1490" t="str">
            <v>V-2211</v>
          </cell>
          <cell r="E1490" t="str">
            <v>BALL VA</v>
          </cell>
          <cell r="F1490">
            <v>6</v>
          </cell>
          <cell r="G1490" t="str">
            <v>VB8010600000T00</v>
          </cell>
          <cell r="H1490">
            <v>0.75</v>
          </cell>
          <cell r="I1490" t="str">
            <v>--</v>
          </cell>
          <cell r="J1490">
            <v>2</v>
          </cell>
          <cell r="K1490">
            <v>2</v>
          </cell>
        </row>
        <row r="1491">
          <cell r="A1491" t="str">
            <v>M1</v>
          </cell>
          <cell r="B1491" t="str">
            <v>A5C</v>
          </cell>
          <cell r="C1491" t="str">
            <v>TRIM</v>
          </cell>
          <cell r="D1491" t="str">
            <v>V-2211</v>
          </cell>
          <cell r="E1491" t="str">
            <v>BALL VA</v>
          </cell>
          <cell r="F1491">
            <v>6</v>
          </cell>
          <cell r="G1491" t="str">
            <v>VB8010600000T00</v>
          </cell>
          <cell r="H1491">
            <v>0.75</v>
          </cell>
          <cell r="I1491" t="str">
            <v>--</v>
          </cell>
          <cell r="J1491">
            <v>4</v>
          </cell>
          <cell r="K1491">
            <v>4</v>
          </cell>
        </row>
        <row r="1492">
          <cell r="A1492" t="str">
            <v>M1</v>
          </cell>
          <cell r="B1492" t="str">
            <v>A5C</v>
          </cell>
          <cell r="C1492" t="str">
            <v>N</v>
          </cell>
          <cell r="D1492" t="str">
            <v>25613</v>
          </cell>
          <cell r="E1492" t="str">
            <v>BALL VA</v>
          </cell>
          <cell r="F1492">
            <v>6</v>
          </cell>
          <cell r="G1492" t="str">
            <v>VB8010600000T00</v>
          </cell>
          <cell r="H1492">
            <v>0.75</v>
          </cell>
          <cell r="I1492" t="str">
            <v>--</v>
          </cell>
          <cell r="J1492">
            <v>1</v>
          </cell>
          <cell r="K1492">
            <v>1</v>
          </cell>
        </row>
        <row r="1493">
          <cell r="A1493" t="str">
            <v>M1</v>
          </cell>
          <cell r="B1493" t="str">
            <v>A5C</v>
          </cell>
          <cell r="C1493" t="str">
            <v>N</v>
          </cell>
          <cell r="D1493" t="str">
            <v>25618</v>
          </cell>
          <cell r="E1493" t="str">
            <v>BALL VA</v>
          </cell>
          <cell r="F1493">
            <v>6</v>
          </cell>
          <cell r="G1493" t="str">
            <v>VB8010600000T00</v>
          </cell>
          <cell r="H1493">
            <v>0.75</v>
          </cell>
          <cell r="I1493" t="str">
            <v>--</v>
          </cell>
          <cell r="J1493">
            <v>1</v>
          </cell>
          <cell r="K1493">
            <v>1</v>
          </cell>
        </row>
        <row r="1494">
          <cell r="A1494" t="str">
            <v>M1</v>
          </cell>
          <cell r="B1494" t="str">
            <v>A5C</v>
          </cell>
          <cell r="C1494" t="str">
            <v>P</v>
          </cell>
          <cell r="D1494" t="str">
            <v>22028</v>
          </cell>
          <cell r="E1494" t="str">
            <v>BALL VA</v>
          </cell>
          <cell r="F1494">
            <v>6</v>
          </cell>
          <cell r="G1494" t="str">
            <v>VB8010600000T00</v>
          </cell>
          <cell r="H1494">
            <v>0.75</v>
          </cell>
          <cell r="I1494" t="str">
            <v>--</v>
          </cell>
          <cell r="J1494">
            <v>1</v>
          </cell>
          <cell r="K1494">
            <v>1</v>
          </cell>
        </row>
        <row r="1495">
          <cell r="A1495" t="str">
            <v>M1</v>
          </cell>
          <cell r="B1495" t="str">
            <v>A5C</v>
          </cell>
          <cell r="C1495" t="str">
            <v>P</v>
          </cell>
          <cell r="D1495" t="str">
            <v>22066</v>
          </cell>
          <cell r="E1495" t="str">
            <v>BALL VA</v>
          </cell>
          <cell r="F1495">
            <v>6</v>
          </cell>
          <cell r="G1495" t="str">
            <v>VB8010600000T00</v>
          </cell>
          <cell r="H1495">
            <v>0.75</v>
          </cell>
          <cell r="I1495" t="str">
            <v>--</v>
          </cell>
          <cell r="J1495">
            <v>4</v>
          </cell>
          <cell r="K1495">
            <v>4</v>
          </cell>
        </row>
        <row r="1496">
          <cell r="A1496" t="str">
            <v>M1</v>
          </cell>
          <cell r="B1496" t="str">
            <v>A5C</v>
          </cell>
          <cell r="C1496" t="str">
            <v>P</v>
          </cell>
          <cell r="D1496" t="str">
            <v>22068</v>
          </cell>
          <cell r="E1496" t="str">
            <v>BALL VA</v>
          </cell>
          <cell r="F1496">
            <v>6</v>
          </cell>
          <cell r="G1496" t="str">
            <v>VB8010600000T00</v>
          </cell>
          <cell r="H1496">
            <v>0.75</v>
          </cell>
          <cell r="I1496" t="str">
            <v>--</v>
          </cell>
          <cell r="J1496">
            <v>2</v>
          </cell>
          <cell r="K1496">
            <v>2</v>
          </cell>
        </row>
        <row r="1497">
          <cell r="A1497" t="str">
            <v>M1</v>
          </cell>
          <cell r="B1497" t="str">
            <v>A5C</v>
          </cell>
          <cell r="C1497" t="str">
            <v>P</v>
          </cell>
          <cell r="D1497" t="str">
            <v>22069</v>
          </cell>
          <cell r="E1497" t="str">
            <v>BALL VA</v>
          </cell>
          <cell r="F1497">
            <v>6</v>
          </cell>
          <cell r="G1497" t="str">
            <v>VB8010600000T00</v>
          </cell>
          <cell r="H1497">
            <v>0.75</v>
          </cell>
          <cell r="I1497" t="str">
            <v>--</v>
          </cell>
          <cell r="J1497">
            <v>2</v>
          </cell>
          <cell r="K1497">
            <v>2</v>
          </cell>
        </row>
        <row r="1498">
          <cell r="A1498" t="str">
            <v>M1</v>
          </cell>
          <cell r="B1498" t="str">
            <v>A5C</v>
          </cell>
          <cell r="C1498" t="str">
            <v>P</v>
          </cell>
          <cell r="D1498" t="str">
            <v>22069</v>
          </cell>
          <cell r="E1498" t="str">
            <v>BALL VA</v>
          </cell>
          <cell r="F1498">
            <v>6</v>
          </cell>
          <cell r="G1498" t="str">
            <v>VB8010600000T00</v>
          </cell>
          <cell r="H1498">
            <v>0.75</v>
          </cell>
          <cell r="I1498" t="str">
            <v>--</v>
          </cell>
          <cell r="J1498">
            <v>2</v>
          </cell>
          <cell r="K1498">
            <v>2</v>
          </cell>
        </row>
        <row r="1499">
          <cell r="A1499" t="str">
            <v>M1</v>
          </cell>
          <cell r="B1499" t="str">
            <v>A5C</v>
          </cell>
          <cell r="C1499" t="str">
            <v>P</v>
          </cell>
          <cell r="D1499" t="str">
            <v>22071</v>
          </cell>
          <cell r="E1499" t="str">
            <v>BALL VA</v>
          </cell>
          <cell r="F1499">
            <v>6</v>
          </cell>
          <cell r="G1499" t="str">
            <v>VB8010600000T00</v>
          </cell>
          <cell r="H1499">
            <v>0.75</v>
          </cell>
          <cell r="I1499" t="str">
            <v>--</v>
          </cell>
          <cell r="J1499">
            <v>2</v>
          </cell>
          <cell r="K1499">
            <v>2</v>
          </cell>
        </row>
        <row r="1500">
          <cell r="A1500" t="str">
            <v>M1</v>
          </cell>
          <cell r="B1500" t="str">
            <v>A5C</v>
          </cell>
          <cell r="C1500" t="str">
            <v>P</v>
          </cell>
          <cell r="D1500" t="str">
            <v>22071</v>
          </cell>
          <cell r="E1500" t="str">
            <v>BALL VA</v>
          </cell>
          <cell r="F1500">
            <v>6</v>
          </cell>
          <cell r="G1500" t="str">
            <v>VB8010600000T00</v>
          </cell>
          <cell r="H1500">
            <v>0.75</v>
          </cell>
          <cell r="I1500" t="str">
            <v>--</v>
          </cell>
          <cell r="J1500">
            <v>4</v>
          </cell>
          <cell r="K1500">
            <v>4</v>
          </cell>
        </row>
        <row r="1501">
          <cell r="A1501" t="str">
            <v>M1</v>
          </cell>
          <cell r="B1501" t="str">
            <v>A5C</v>
          </cell>
          <cell r="C1501" t="str">
            <v>P</v>
          </cell>
          <cell r="D1501" t="str">
            <v>22082</v>
          </cell>
          <cell r="E1501" t="str">
            <v>BALL VA</v>
          </cell>
          <cell r="F1501">
            <v>6</v>
          </cell>
          <cell r="G1501" t="str">
            <v>VB8010600000T00</v>
          </cell>
          <cell r="H1501">
            <v>0.75</v>
          </cell>
          <cell r="I1501" t="str">
            <v>--</v>
          </cell>
          <cell r="J1501">
            <v>2</v>
          </cell>
          <cell r="K1501">
            <v>2</v>
          </cell>
        </row>
        <row r="1502">
          <cell r="A1502" t="str">
            <v>M1</v>
          </cell>
          <cell r="B1502" t="str">
            <v>A5C</v>
          </cell>
          <cell r="C1502" t="str">
            <v>P</v>
          </cell>
          <cell r="D1502" t="str">
            <v>22103</v>
          </cell>
          <cell r="E1502" t="str">
            <v>BALL VA</v>
          </cell>
          <cell r="F1502">
            <v>6</v>
          </cell>
          <cell r="G1502" t="str">
            <v>VB8010600000T00</v>
          </cell>
          <cell r="H1502">
            <v>0.75</v>
          </cell>
          <cell r="I1502" t="str">
            <v>--</v>
          </cell>
          <cell r="J1502">
            <v>1</v>
          </cell>
          <cell r="K1502">
            <v>1</v>
          </cell>
        </row>
        <row r="1503">
          <cell r="A1503" t="str">
            <v>M1</v>
          </cell>
          <cell r="B1503" t="str">
            <v>A5C</v>
          </cell>
          <cell r="C1503" t="str">
            <v>P</v>
          </cell>
          <cell r="D1503" t="str">
            <v>22139</v>
          </cell>
          <cell r="E1503" t="str">
            <v>BALL VA</v>
          </cell>
          <cell r="F1503">
            <v>6</v>
          </cell>
          <cell r="G1503" t="str">
            <v>VB8010600000T00</v>
          </cell>
          <cell r="H1503">
            <v>0.75</v>
          </cell>
          <cell r="I1503" t="str">
            <v>--</v>
          </cell>
          <cell r="J1503">
            <v>2</v>
          </cell>
          <cell r="K1503">
            <v>2</v>
          </cell>
        </row>
        <row r="1504">
          <cell r="A1504" t="str">
            <v>M1</v>
          </cell>
          <cell r="B1504" t="str">
            <v>A5C</v>
          </cell>
          <cell r="C1504" t="str">
            <v>P</v>
          </cell>
          <cell r="D1504" t="str">
            <v>22081</v>
          </cell>
          <cell r="E1504" t="str">
            <v>BALL VA</v>
          </cell>
          <cell r="F1504">
            <v>6</v>
          </cell>
          <cell r="G1504" t="str">
            <v>VB8010600000T00</v>
          </cell>
          <cell r="H1504">
            <v>0.75</v>
          </cell>
          <cell r="I1504" t="str">
            <v>--</v>
          </cell>
          <cell r="J1504">
            <v>3</v>
          </cell>
          <cell r="K1504">
            <v>3</v>
          </cell>
        </row>
        <row r="1505">
          <cell r="A1505" t="str">
            <v>M1</v>
          </cell>
          <cell r="B1505" t="str">
            <v>A5C</v>
          </cell>
          <cell r="C1505" t="str">
            <v>P</v>
          </cell>
          <cell r="D1505" t="str">
            <v>22153</v>
          </cell>
          <cell r="E1505" t="str">
            <v>BELLOWS VA</v>
          </cell>
          <cell r="F1505">
            <v>6</v>
          </cell>
          <cell r="G1505" t="str">
            <v>VBE8010200000T00</v>
          </cell>
          <cell r="H1505">
            <v>0.75</v>
          </cell>
          <cell r="I1505" t="str">
            <v>--</v>
          </cell>
          <cell r="J1505">
            <v>4</v>
          </cell>
          <cell r="K1505">
            <v>4</v>
          </cell>
        </row>
        <row r="1506">
          <cell r="A1506" t="str">
            <v>M1</v>
          </cell>
          <cell r="B1506" t="str">
            <v>A5C</v>
          </cell>
          <cell r="C1506" t="str">
            <v>N</v>
          </cell>
          <cell r="D1506" t="str">
            <v>22617</v>
          </cell>
          <cell r="E1506" t="str">
            <v>CHECK VA</v>
          </cell>
          <cell r="F1506">
            <v>6</v>
          </cell>
          <cell r="G1506" t="str">
            <v>VCB8010400000T00</v>
          </cell>
          <cell r="H1506">
            <v>0.75</v>
          </cell>
          <cell r="I1506" t="str">
            <v>--</v>
          </cell>
          <cell r="J1506">
            <v>1</v>
          </cell>
          <cell r="K1506">
            <v>1</v>
          </cell>
        </row>
        <row r="1507">
          <cell r="A1507" t="str">
            <v>M1</v>
          </cell>
          <cell r="B1507" t="str">
            <v>A5C</v>
          </cell>
          <cell r="C1507" t="str">
            <v>SCC</v>
          </cell>
          <cell r="D1507" t="str">
            <v>HOLD1</v>
          </cell>
          <cell r="E1507" t="str">
            <v>GATE VA</v>
          </cell>
          <cell r="F1507">
            <v>6</v>
          </cell>
          <cell r="G1507" t="str">
            <v>VG8010100000T00</v>
          </cell>
          <cell r="H1507">
            <v>0.75</v>
          </cell>
          <cell r="I1507" t="str">
            <v>--</v>
          </cell>
          <cell r="J1507">
            <v>6</v>
          </cell>
          <cell r="K1507">
            <v>6</v>
          </cell>
        </row>
        <row r="1508">
          <cell r="A1508" t="str">
            <v>M1</v>
          </cell>
          <cell r="B1508" t="str">
            <v>A5C</v>
          </cell>
          <cell r="C1508" t="str">
            <v>SCD</v>
          </cell>
          <cell r="D1508" t="str">
            <v>HOLD1</v>
          </cell>
          <cell r="E1508" t="str">
            <v>GATE VA</v>
          </cell>
          <cell r="F1508">
            <v>6</v>
          </cell>
          <cell r="G1508" t="str">
            <v>VG8010100000T00</v>
          </cell>
          <cell r="H1508">
            <v>0.75</v>
          </cell>
          <cell r="I1508" t="str">
            <v>--</v>
          </cell>
          <cell r="J1508">
            <v>6</v>
          </cell>
          <cell r="K1508">
            <v>6</v>
          </cell>
        </row>
        <row r="1509">
          <cell r="A1509" t="str">
            <v>M1</v>
          </cell>
          <cell r="B1509" t="str">
            <v>A5C</v>
          </cell>
          <cell r="C1509" t="str">
            <v>N</v>
          </cell>
          <cell r="D1509" t="str">
            <v>22617</v>
          </cell>
          <cell r="E1509" t="str">
            <v>GLOBE VA</v>
          </cell>
          <cell r="F1509">
            <v>6</v>
          </cell>
          <cell r="G1509" t="str">
            <v>VL8010100000T00</v>
          </cell>
          <cell r="H1509">
            <v>0.75</v>
          </cell>
          <cell r="I1509" t="str">
            <v>--</v>
          </cell>
          <cell r="J1509">
            <v>2</v>
          </cell>
          <cell r="K1509">
            <v>2</v>
          </cell>
        </row>
        <row r="1510">
          <cell r="A1510" t="str">
            <v>M1</v>
          </cell>
          <cell r="B1510" t="str">
            <v>A5C</v>
          </cell>
          <cell r="C1510" t="str">
            <v>P</v>
          </cell>
          <cell r="D1510" t="str">
            <v>22090</v>
          </cell>
          <cell r="E1510" t="str">
            <v>BALL VA</v>
          </cell>
          <cell r="F1510">
            <v>6</v>
          </cell>
          <cell r="G1510" t="str">
            <v>VB8010600000T00</v>
          </cell>
          <cell r="H1510">
            <v>0.75</v>
          </cell>
          <cell r="I1510" t="str">
            <v>--</v>
          </cell>
          <cell r="J1510">
            <v>1</v>
          </cell>
          <cell r="K1510">
            <v>1</v>
          </cell>
        </row>
        <row r="1511">
          <cell r="A1511" t="str">
            <v>M1</v>
          </cell>
          <cell r="B1511" t="str">
            <v>A5C</v>
          </cell>
          <cell r="C1511" t="str">
            <v>P</v>
          </cell>
          <cell r="D1511" t="str">
            <v>22100</v>
          </cell>
          <cell r="E1511" t="str">
            <v>BALL VA</v>
          </cell>
          <cell r="F1511">
            <v>6</v>
          </cell>
          <cell r="G1511" t="str">
            <v>VB8010600000T00</v>
          </cell>
          <cell r="H1511">
            <v>0.75</v>
          </cell>
          <cell r="I1511" t="str">
            <v>--</v>
          </cell>
          <cell r="J1511">
            <v>2</v>
          </cell>
          <cell r="K1511">
            <v>2</v>
          </cell>
        </row>
        <row r="1512">
          <cell r="A1512" t="str">
            <v>M1</v>
          </cell>
          <cell r="B1512" t="str">
            <v>A5C</v>
          </cell>
          <cell r="C1512" t="str">
            <v>P</v>
          </cell>
          <cell r="D1512" t="str">
            <v>22092</v>
          </cell>
          <cell r="E1512" t="str">
            <v>BALL VA</v>
          </cell>
          <cell r="F1512">
            <v>6</v>
          </cell>
          <cell r="G1512" t="str">
            <v>VB8010600000T00</v>
          </cell>
          <cell r="H1512">
            <v>0.75</v>
          </cell>
          <cell r="I1512" t="str">
            <v>--</v>
          </cell>
          <cell r="J1512">
            <v>1</v>
          </cell>
          <cell r="K1512">
            <v>1</v>
          </cell>
        </row>
        <row r="1513">
          <cell r="A1513" t="str">
            <v>M1</v>
          </cell>
          <cell r="B1513" t="str">
            <v>A5C</v>
          </cell>
          <cell r="C1513" t="str">
            <v>P</v>
          </cell>
          <cell r="D1513" t="str">
            <v>22093</v>
          </cell>
          <cell r="E1513" t="str">
            <v>BALL VA</v>
          </cell>
          <cell r="F1513">
            <v>6</v>
          </cell>
          <cell r="G1513" t="str">
            <v>VB8010600000T00</v>
          </cell>
          <cell r="H1513">
            <v>0.75</v>
          </cell>
          <cell r="I1513" t="str">
            <v>--</v>
          </cell>
          <cell r="J1513">
            <v>1</v>
          </cell>
          <cell r="K1513">
            <v>1</v>
          </cell>
        </row>
        <row r="1514">
          <cell r="A1514" t="str">
            <v>M1</v>
          </cell>
          <cell r="B1514" t="str">
            <v>A5C</v>
          </cell>
          <cell r="C1514" t="str">
            <v>P</v>
          </cell>
          <cell r="D1514" t="str">
            <v>22099</v>
          </cell>
          <cell r="E1514" t="str">
            <v>BALL VA</v>
          </cell>
          <cell r="F1514">
            <v>6</v>
          </cell>
          <cell r="G1514" t="str">
            <v>VB8010600000T00</v>
          </cell>
          <cell r="H1514">
            <v>0.75</v>
          </cell>
          <cell r="I1514" t="str">
            <v>--</v>
          </cell>
          <cell r="J1514">
            <v>2</v>
          </cell>
          <cell r="K1514">
            <v>2</v>
          </cell>
        </row>
        <row r="1515">
          <cell r="A1515" t="str">
            <v>M1</v>
          </cell>
          <cell r="B1515" t="str">
            <v>A6C</v>
          </cell>
          <cell r="C1515" t="str">
            <v>HOR</v>
          </cell>
          <cell r="D1515" t="str">
            <v>65612</v>
          </cell>
          <cell r="E1515" t="str">
            <v>BELLOWS VA</v>
          </cell>
          <cell r="F1515">
            <v>6</v>
          </cell>
          <cell r="G1515" t="str">
            <v>VBE8010800000T00</v>
          </cell>
          <cell r="H1515">
            <v>0.75</v>
          </cell>
          <cell r="I1515" t="str">
            <v>--</v>
          </cell>
          <cell r="J1515">
            <v>2</v>
          </cell>
          <cell r="K1515">
            <v>2</v>
          </cell>
        </row>
        <row r="1516">
          <cell r="A1516" t="str">
            <v>M1</v>
          </cell>
          <cell r="B1516" t="str">
            <v>A6C</v>
          </cell>
          <cell r="C1516" t="str">
            <v>HOR</v>
          </cell>
          <cell r="D1516" t="str">
            <v>65612</v>
          </cell>
          <cell r="E1516" t="str">
            <v>BELLOWS VA</v>
          </cell>
          <cell r="F1516">
            <v>6</v>
          </cell>
          <cell r="G1516" t="str">
            <v>VBE8010800000T00</v>
          </cell>
          <cell r="H1516">
            <v>0.75</v>
          </cell>
          <cell r="I1516" t="str">
            <v>--</v>
          </cell>
          <cell r="J1516">
            <v>4</v>
          </cell>
          <cell r="K1516">
            <v>4</v>
          </cell>
        </row>
        <row r="1517">
          <cell r="A1517" t="str">
            <v>M1</v>
          </cell>
          <cell r="B1517" t="str">
            <v>A5C</v>
          </cell>
          <cell r="C1517" t="str">
            <v>WW</v>
          </cell>
          <cell r="D1517" t="str">
            <v>22601</v>
          </cell>
          <cell r="E1517" t="str">
            <v>BALL VA</v>
          </cell>
          <cell r="F1517">
            <v>6</v>
          </cell>
          <cell r="G1517" t="str">
            <v>VB8010600000T00</v>
          </cell>
          <cell r="H1517">
            <v>0.75</v>
          </cell>
          <cell r="I1517" t="str">
            <v>--</v>
          </cell>
          <cell r="J1517">
            <v>2</v>
          </cell>
          <cell r="K1517">
            <v>2</v>
          </cell>
        </row>
        <row r="1518">
          <cell r="A1518" t="str">
            <v>M1</v>
          </cell>
          <cell r="B1518" t="str">
            <v>A5C</v>
          </cell>
          <cell r="C1518" t="str">
            <v>WW</v>
          </cell>
          <cell r="D1518" t="str">
            <v>22601</v>
          </cell>
          <cell r="E1518" t="str">
            <v>BALL VA</v>
          </cell>
          <cell r="F1518">
            <v>6</v>
          </cell>
          <cell r="G1518" t="str">
            <v>VB8010600000T00</v>
          </cell>
          <cell r="H1518">
            <v>0.75</v>
          </cell>
          <cell r="I1518" t="str">
            <v>--</v>
          </cell>
          <cell r="J1518">
            <v>2</v>
          </cell>
          <cell r="K1518">
            <v>2</v>
          </cell>
        </row>
        <row r="1519">
          <cell r="A1519" t="str">
            <v>M1</v>
          </cell>
          <cell r="B1519" t="str">
            <v>A5C</v>
          </cell>
          <cell r="C1519" t="str">
            <v>P</v>
          </cell>
          <cell r="D1519" t="str">
            <v>22062</v>
          </cell>
          <cell r="E1519" t="str">
            <v>BALL VA</v>
          </cell>
          <cell r="F1519">
            <v>6</v>
          </cell>
          <cell r="G1519" t="str">
            <v>VB8010600000T00</v>
          </cell>
          <cell r="H1519">
            <v>0.75</v>
          </cell>
          <cell r="I1519" t="str">
            <v>--</v>
          </cell>
          <cell r="J1519">
            <v>2</v>
          </cell>
          <cell r="K1519">
            <v>2</v>
          </cell>
        </row>
        <row r="1520">
          <cell r="A1520" t="str">
            <v>M1</v>
          </cell>
          <cell r="B1520" t="str">
            <v>A5C</v>
          </cell>
          <cell r="C1520" t="str">
            <v>P</v>
          </cell>
          <cell r="D1520" t="str">
            <v>22073</v>
          </cell>
          <cell r="E1520" t="str">
            <v>BALL VA</v>
          </cell>
          <cell r="F1520">
            <v>6</v>
          </cell>
          <cell r="G1520" t="str">
            <v>VB8010600000T00</v>
          </cell>
          <cell r="H1520">
            <v>0.75</v>
          </cell>
          <cell r="I1520" t="str">
            <v>--</v>
          </cell>
          <cell r="J1520">
            <v>2</v>
          </cell>
          <cell r="K1520">
            <v>2</v>
          </cell>
        </row>
        <row r="1521">
          <cell r="A1521" t="str">
            <v>M1</v>
          </cell>
          <cell r="B1521" t="str">
            <v>A5C</v>
          </cell>
          <cell r="C1521" t="str">
            <v>P</v>
          </cell>
          <cell r="D1521" t="str">
            <v>22074</v>
          </cell>
          <cell r="E1521" t="str">
            <v>BALL VA</v>
          </cell>
          <cell r="F1521">
            <v>6</v>
          </cell>
          <cell r="G1521" t="str">
            <v>VB8010600000T00</v>
          </cell>
          <cell r="H1521">
            <v>0.75</v>
          </cell>
          <cell r="I1521" t="str">
            <v>--</v>
          </cell>
          <cell r="J1521">
            <v>3</v>
          </cell>
          <cell r="K1521">
            <v>3</v>
          </cell>
        </row>
        <row r="1522">
          <cell r="A1522" t="str">
            <v>M1</v>
          </cell>
          <cell r="B1522" t="str">
            <v>A5C</v>
          </cell>
          <cell r="C1522" t="str">
            <v>P</v>
          </cell>
          <cell r="D1522" t="str">
            <v>22062</v>
          </cell>
          <cell r="E1522" t="str">
            <v>BALL VA</v>
          </cell>
          <cell r="F1522">
            <v>6</v>
          </cell>
          <cell r="G1522" t="str">
            <v>VB8010600000T00</v>
          </cell>
          <cell r="H1522">
            <v>0.75</v>
          </cell>
          <cell r="I1522" t="str">
            <v>--</v>
          </cell>
          <cell r="J1522">
            <v>1</v>
          </cell>
          <cell r="K1522">
            <v>1</v>
          </cell>
        </row>
        <row r="1523">
          <cell r="A1523" t="str">
            <v>M1</v>
          </cell>
          <cell r="B1523" t="str">
            <v>A5C</v>
          </cell>
          <cell r="C1523" t="str">
            <v>P</v>
          </cell>
          <cell r="D1523" t="str">
            <v>22077</v>
          </cell>
          <cell r="E1523" t="str">
            <v>BALL VA</v>
          </cell>
          <cell r="F1523">
            <v>6</v>
          </cell>
          <cell r="G1523" t="str">
            <v>VB8010600000T00</v>
          </cell>
          <cell r="H1523">
            <v>0.75</v>
          </cell>
          <cell r="I1523" t="str">
            <v>--</v>
          </cell>
          <cell r="J1523">
            <v>1</v>
          </cell>
          <cell r="K1523">
            <v>1</v>
          </cell>
        </row>
        <row r="1524">
          <cell r="A1524" t="str">
            <v>M1</v>
          </cell>
          <cell r="B1524" t="str">
            <v>A5C</v>
          </cell>
          <cell r="C1524" t="str">
            <v>P</v>
          </cell>
          <cell r="D1524" t="str">
            <v>22077</v>
          </cell>
          <cell r="E1524" t="str">
            <v>BALL VA</v>
          </cell>
          <cell r="F1524">
            <v>6</v>
          </cell>
          <cell r="G1524" t="str">
            <v>VB8010600000T00</v>
          </cell>
          <cell r="H1524">
            <v>0.75</v>
          </cell>
          <cell r="I1524" t="str">
            <v>--</v>
          </cell>
          <cell r="J1524">
            <v>1</v>
          </cell>
          <cell r="K1524">
            <v>1</v>
          </cell>
        </row>
        <row r="1525">
          <cell r="A1525" t="str">
            <v>M1</v>
          </cell>
          <cell r="B1525" t="str">
            <v>A5C</v>
          </cell>
          <cell r="C1525" t="str">
            <v>P</v>
          </cell>
          <cell r="D1525" t="str">
            <v>22077</v>
          </cell>
          <cell r="E1525" t="str">
            <v>BALL VA</v>
          </cell>
          <cell r="F1525">
            <v>6</v>
          </cell>
          <cell r="G1525" t="str">
            <v>VB8010600000T00</v>
          </cell>
          <cell r="H1525">
            <v>0.75</v>
          </cell>
          <cell r="I1525" t="str">
            <v>--</v>
          </cell>
          <cell r="J1525">
            <v>2</v>
          </cell>
          <cell r="K1525">
            <v>2</v>
          </cell>
        </row>
        <row r="1526">
          <cell r="A1526" t="str">
            <v>M1</v>
          </cell>
          <cell r="B1526" t="str">
            <v>A5C</v>
          </cell>
          <cell r="C1526" t="str">
            <v>P</v>
          </cell>
          <cell r="D1526" t="str">
            <v>22111</v>
          </cell>
          <cell r="E1526" t="str">
            <v>BALL VA</v>
          </cell>
          <cell r="F1526">
            <v>6</v>
          </cell>
          <cell r="G1526" t="str">
            <v>VB8010600000T00</v>
          </cell>
          <cell r="H1526">
            <v>0.75</v>
          </cell>
          <cell r="I1526" t="str">
            <v>--</v>
          </cell>
          <cell r="J1526">
            <v>3</v>
          </cell>
          <cell r="K1526">
            <v>3</v>
          </cell>
        </row>
        <row r="1527">
          <cell r="A1527" t="str">
            <v>M1</v>
          </cell>
          <cell r="B1527" t="str">
            <v>A5C</v>
          </cell>
          <cell r="C1527" t="str">
            <v>P</v>
          </cell>
          <cell r="D1527" t="str">
            <v>22111</v>
          </cell>
          <cell r="E1527" t="str">
            <v>BALL VA</v>
          </cell>
          <cell r="F1527">
            <v>6</v>
          </cell>
          <cell r="G1527" t="str">
            <v>VB8010600000T00</v>
          </cell>
          <cell r="H1527">
            <v>0.75</v>
          </cell>
          <cell r="I1527" t="str">
            <v>--</v>
          </cell>
          <cell r="J1527">
            <v>3</v>
          </cell>
          <cell r="K1527">
            <v>3</v>
          </cell>
        </row>
        <row r="1528">
          <cell r="A1528" t="str">
            <v>M1</v>
          </cell>
          <cell r="B1528" t="str">
            <v>A5C</v>
          </cell>
          <cell r="C1528" t="str">
            <v>TRIM</v>
          </cell>
          <cell r="D1528" t="str">
            <v>V-2214</v>
          </cell>
          <cell r="E1528" t="str">
            <v>BALL VA</v>
          </cell>
          <cell r="F1528">
            <v>6</v>
          </cell>
          <cell r="G1528" t="str">
            <v>VB8010600000T00</v>
          </cell>
          <cell r="H1528">
            <v>0.75</v>
          </cell>
          <cell r="I1528" t="str">
            <v>--</v>
          </cell>
          <cell r="J1528">
            <v>4</v>
          </cell>
          <cell r="K1528">
            <v>4</v>
          </cell>
        </row>
        <row r="1529">
          <cell r="A1529" t="str">
            <v>M1</v>
          </cell>
          <cell r="B1529" t="str">
            <v>A5C</v>
          </cell>
          <cell r="C1529" t="str">
            <v>TRIM</v>
          </cell>
          <cell r="D1529" t="str">
            <v>V-2214</v>
          </cell>
          <cell r="E1529" t="str">
            <v>BALL VA</v>
          </cell>
          <cell r="F1529">
            <v>6</v>
          </cell>
          <cell r="G1529" t="str">
            <v>VB8010600000T00</v>
          </cell>
          <cell r="H1529">
            <v>0.75</v>
          </cell>
          <cell r="I1529" t="str">
            <v>--</v>
          </cell>
          <cell r="J1529">
            <v>1</v>
          </cell>
          <cell r="K1529">
            <v>1</v>
          </cell>
        </row>
        <row r="1530">
          <cell r="A1530" t="str">
            <v>M1</v>
          </cell>
          <cell r="B1530" t="str">
            <v>A5C</v>
          </cell>
          <cell r="C1530" t="str">
            <v>P</v>
          </cell>
          <cell r="D1530" t="str">
            <v>22060</v>
          </cell>
          <cell r="E1530" t="str">
            <v>BALL VA</v>
          </cell>
          <cell r="F1530">
            <v>6</v>
          </cell>
          <cell r="G1530" t="str">
            <v>VB8010600000T00</v>
          </cell>
          <cell r="H1530">
            <v>0.75</v>
          </cell>
          <cell r="I1530" t="str">
            <v>--</v>
          </cell>
          <cell r="J1530">
            <v>1</v>
          </cell>
          <cell r="K1530">
            <v>1</v>
          </cell>
        </row>
        <row r="1531">
          <cell r="A1531" t="str">
            <v>M1</v>
          </cell>
          <cell r="B1531" t="str">
            <v>A5C</v>
          </cell>
          <cell r="C1531" t="str">
            <v>TRIM</v>
          </cell>
          <cell r="D1531" t="str">
            <v>V-2213</v>
          </cell>
          <cell r="E1531" t="str">
            <v>BALL VA</v>
          </cell>
          <cell r="F1531">
            <v>6</v>
          </cell>
          <cell r="G1531" t="str">
            <v>VB8010600000T00</v>
          </cell>
          <cell r="H1531">
            <v>0.75</v>
          </cell>
          <cell r="I1531" t="str">
            <v>--</v>
          </cell>
          <cell r="J1531">
            <v>1</v>
          </cell>
          <cell r="K1531">
            <v>1</v>
          </cell>
        </row>
        <row r="1532">
          <cell r="A1532" t="str">
            <v>M1</v>
          </cell>
          <cell r="B1532" t="str">
            <v>A5C</v>
          </cell>
          <cell r="C1532" t="str">
            <v>TRIM</v>
          </cell>
          <cell r="D1532" t="str">
            <v>V-2213</v>
          </cell>
          <cell r="E1532" t="str">
            <v>BALL VA</v>
          </cell>
          <cell r="F1532">
            <v>6</v>
          </cell>
          <cell r="G1532" t="str">
            <v>VB8010600000T00</v>
          </cell>
          <cell r="H1532">
            <v>0.75</v>
          </cell>
          <cell r="I1532" t="str">
            <v>--</v>
          </cell>
          <cell r="J1532">
            <v>2</v>
          </cell>
          <cell r="K1532">
            <v>2</v>
          </cell>
        </row>
        <row r="1533">
          <cell r="A1533" t="str">
            <v>M1</v>
          </cell>
          <cell r="B1533" t="str">
            <v>A6C</v>
          </cell>
          <cell r="C1533" t="str">
            <v>HOS</v>
          </cell>
          <cell r="D1533" t="str">
            <v>65632</v>
          </cell>
          <cell r="E1533" t="str">
            <v>BELLOWS VA</v>
          </cell>
          <cell r="F1533">
            <v>6</v>
          </cell>
          <cell r="G1533" t="str">
            <v>VBE8010700000T00</v>
          </cell>
          <cell r="H1533">
            <v>0.75</v>
          </cell>
          <cell r="I1533" t="str">
            <v>--</v>
          </cell>
          <cell r="J1533">
            <v>2</v>
          </cell>
          <cell r="K1533">
            <v>2</v>
          </cell>
        </row>
        <row r="1534">
          <cell r="A1534" t="str">
            <v>M1</v>
          </cell>
          <cell r="B1534" t="str">
            <v>A6C</v>
          </cell>
          <cell r="C1534" t="str">
            <v>HOS</v>
          </cell>
          <cell r="D1534" t="str">
            <v>65633</v>
          </cell>
          <cell r="E1534" t="str">
            <v>BELLOWS VA</v>
          </cell>
          <cell r="F1534">
            <v>6</v>
          </cell>
          <cell r="G1534" t="str">
            <v>VBE8010700000T00</v>
          </cell>
          <cell r="H1534">
            <v>0.75</v>
          </cell>
          <cell r="I1534" t="str">
            <v>--</v>
          </cell>
          <cell r="J1534">
            <v>2</v>
          </cell>
          <cell r="K1534">
            <v>2</v>
          </cell>
        </row>
        <row r="1535">
          <cell r="A1535" t="str">
            <v>M1</v>
          </cell>
          <cell r="B1535" t="str">
            <v>A5C</v>
          </cell>
          <cell r="C1535" t="str">
            <v>P</v>
          </cell>
          <cell r="D1535" t="str">
            <v>22001</v>
          </cell>
          <cell r="E1535" t="str">
            <v>BELLOWS VA</v>
          </cell>
          <cell r="F1535">
            <v>6</v>
          </cell>
          <cell r="G1535" t="str">
            <v>VBE8010200000T00</v>
          </cell>
          <cell r="H1535">
            <v>0.75</v>
          </cell>
          <cell r="I1535" t="str">
            <v>--</v>
          </cell>
          <cell r="J1535">
            <v>3</v>
          </cell>
          <cell r="K1535">
            <v>3</v>
          </cell>
        </row>
        <row r="1536">
          <cell r="A1536" t="str">
            <v>M1</v>
          </cell>
          <cell r="B1536" t="str">
            <v>A5C</v>
          </cell>
          <cell r="C1536" t="str">
            <v>P</v>
          </cell>
          <cell r="D1536" t="str">
            <v>22003</v>
          </cell>
          <cell r="E1536" t="str">
            <v>BELLOWS VA</v>
          </cell>
          <cell r="F1536">
            <v>6</v>
          </cell>
          <cell r="G1536" t="str">
            <v>VBE8010100000T00</v>
          </cell>
          <cell r="H1536">
            <v>0.75</v>
          </cell>
          <cell r="I1536" t="str">
            <v>--</v>
          </cell>
          <cell r="J1536">
            <v>1</v>
          </cell>
          <cell r="K1536">
            <v>1</v>
          </cell>
        </row>
        <row r="1537">
          <cell r="A1537" t="str">
            <v>M1</v>
          </cell>
          <cell r="B1537" t="str">
            <v>A5C</v>
          </cell>
          <cell r="C1537" t="str">
            <v>P</v>
          </cell>
          <cell r="D1537" t="str">
            <v>22003</v>
          </cell>
          <cell r="E1537" t="str">
            <v>BELLOWS VA</v>
          </cell>
          <cell r="F1537">
            <v>6</v>
          </cell>
          <cell r="G1537" t="str">
            <v>VBE8010200000T00</v>
          </cell>
          <cell r="H1537">
            <v>0.75</v>
          </cell>
          <cell r="I1537" t="str">
            <v>--</v>
          </cell>
          <cell r="J1537">
            <v>1</v>
          </cell>
          <cell r="K1537">
            <v>1</v>
          </cell>
        </row>
        <row r="1538">
          <cell r="A1538" t="str">
            <v>M1</v>
          </cell>
          <cell r="B1538" t="str">
            <v>A5C</v>
          </cell>
          <cell r="C1538" t="str">
            <v>P</v>
          </cell>
          <cell r="D1538" t="str">
            <v>22004</v>
          </cell>
          <cell r="E1538" t="str">
            <v>BELLOWS VA</v>
          </cell>
          <cell r="F1538">
            <v>6</v>
          </cell>
          <cell r="G1538" t="str">
            <v>VBE8010100000T00</v>
          </cell>
          <cell r="H1538">
            <v>0.75</v>
          </cell>
          <cell r="I1538" t="str">
            <v>--</v>
          </cell>
          <cell r="J1538">
            <v>2</v>
          </cell>
          <cell r="K1538">
            <v>2</v>
          </cell>
        </row>
        <row r="1539">
          <cell r="A1539" t="str">
            <v>M1</v>
          </cell>
          <cell r="B1539" t="str">
            <v>A5C</v>
          </cell>
          <cell r="C1539" t="str">
            <v>P</v>
          </cell>
          <cell r="D1539" t="str">
            <v>22004</v>
          </cell>
          <cell r="E1539" t="str">
            <v>BELLOWS VA</v>
          </cell>
          <cell r="F1539">
            <v>6</v>
          </cell>
          <cell r="G1539" t="str">
            <v>VBE8010100000T00</v>
          </cell>
          <cell r="H1539">
            <v>0.75</v>
          </cell>
          <cell r="I1539" t="str">
            <v>--</v>
          </cell>
          <cell r="J1539">
            <v>1</v>
          </cell>
          <cell r="K1539">
            <v>1</v>
          </cell>
        </row>
        <row r="1540">
          <cell r="A1540" t="str">
            <v>M1</v>
          </cell>
          <cell r="B1540" t="str">
            <v>A5C</v>
          </cell>
          <cell r="C1540" t="str">
            <v>P</v>
          </cell>
          <cell r="D1540" t="str">
            <v>22002</v>
          </cell>
          <cell r="E1540" t="str">
            <v>BELLOWS VA</v>
          </cell>
          <cell r="F1540">
            <v>6</v>
          </cell>
          <cell r="G1540" t="str">
            <v>VBE8010200000T00</v>
          </cell>
          <cell r="H1540">
            <v>0.75</v>
          </cell>
          <cell r="I1540" t="str">
            <v>--</v>
          </cell>
          <cell r="J1540">
            <v>2</v>
          </cell>
          <cell r="K1540">
            <v>2</v>
          </cell>
        </row>
        <row r="1541">
          <cell r="A1541" t="str">
            <v>M1</v>
          </cell>
          <cell r="B1541" t="str">
            <v>A5C</v>
          </cell>
          <cell r="C1541" t="str">
            <v>P</v>
          </cell>
          <cell r="D1541" t="str">
            <v>22005</v>
          </cell>
          <cell r="E1541" t="str">
            <v>BELLOWS VA</v>
          </cell>
          <cell r="F1541">
            <v>6</v>
          </cell>
          <cell r="G1541" t="str">
            <v>VBE8010100000T00</v>
          </cell>
          <cell r="H1541">
            <v>0.75</v>
          </cell>
          <cell r="I1541" t="str">
            <v>--</v>
          </cell>
          <cell r="J1541">
            <v>2</v>
          </cell>
          <cell r="K1541">
            <v>2</v>
          </cell>
        </row>
        <row r="1542">
          <cell r="A1542" t="str">
            <v>M1</v>
          </cell>
          <cell r="B1542" t="str">
            <v>A4C</v>
          </cell>
          <cell r="C1542" t="str">
            <v>P</v>
          </cell>
          <cell r="D1542" t="str">
            <v>22008</v>
          </cell>
          <cell r="E1542" t="str">
            <v>BALL VA</v>
          </cell>
          <cell r="F1542">
            <v>6</v>
          </cell>
          <cell r="G1542" t="str">
            <v>VB8010300000T00</v>
          </cell>
          <cell r="H1542">
            <v>0.75</v>
          </cell>
          <cell r="I1542" t="str">
            <v>--</v>
          </cell>
          <cell r="J1542">
            <v>1</v>
          </cell>
          <cell r="K1542">
            <v>1</v>
          </cell>
        </row>
        <row r="1543">
          <cell r="A1543" t="str">
            <v>M1</v>
          </cell>
          <cell r="B1543" t="str">
            <v>A4C</v>
          </cell>
          <cell r="C1543" t="str">
            <v>P</v>
          </cell>
          <cell r="D1543" t="str">
            <v>22008</v>
          </cell>
          <cell r="E1543" t="str">
            <v>BALL VA</v>
          </cell>
          <cell r="F1543">
            <v>6</v>
          </cell>
          <cell r="G1543" t="str">
            <v>VB8010300000T00</v>
          </cell>
          <cell r="H1543">
            <v>0.75</v>
          </cell>
          <cell r="I1543" t="str">
            <v>--</v>
          </cell>
          <cell r="J1543">
            <v>1</v>
          </cell>
          <cell r="K1543">
            <v>1</v>
          </cell>
        </row>
        <row r="1544">
          <cell r="A1544" t="str">
            <v>M1</v>
          </cell>
          <cell r="B1544" t="str">
            <v>A4C</v>
          </cell>
          <cell r="C1544" t="str">
            <v>P</v>
          </cell>
          <cell r="D1544" t="str">
            <v>22031</v>
          </cell>
          <cell r="E1544" t="str">
            <v>BALL VA</v>
          </cell>
          <cell r="F1544">
            <v>6</v>
          </cell>
          <cell r="G1544" t="str">
            <v>VB8010300000T00</v>
          </cell>
          <cell r="H1544">
            <v>0.75</v>
          </cell>
          <cell r="I1544" t="str">
            <v>--</v>
          </cell>
          <cell r="J1544">
            <v>1</v>
          </cell>
          <cell r="K1544">
            <v>1</v>
          </cell>
        </row>
        <row r="1545">
          <cell r="A1545" t="str">
            <v>M1</v>
          </cell>
          <cell r="B1545" t="str">
            <v>A5C</v>
          </cell>
          <cell r="C1545" t="str">
            <v>P</v>
          </cell>
          <cell r="D1545" t="str">
            <v>22088</v>
          </cell>
          <cell r="E1545" t="str">
            <v>BALL VA</v>
          </cell>
          <cell r="F1545">
            <v>6</v>
          </cell>
          <cell r="G1545" t="str">
            <v>VB8010600000T00</v>
          </cell>
          <cell r="H1545">
            <v>0.75</v>
          </cell>
          <cell r="I1545" t="str">
            <v>--</v>
          </cell>
          <cell r="J1545">
            <v>1</v>
          </cell>
          <cell r="K1545">
            <v>1</v>
          </cell>
        </row>
        <row r="1546">
          <cell r="A1546" t="str">
            <v>M1</v>
          </cell>
          <cell r="B1546" t="str">
            <v>A5C</v>
          </cell>
          <cell r="C1546" t="str">
            <v>P</v>
          </cell>
          <cell r="D1546" t="str">
            <v>22088</v>
          </cell>
          <cell r="E1546" t="str">
            <v>BALL VA</v>
          </cell>
          <cell r="F1546">
            <v>6</v>
          </cell>
          <cell r="G1546" t="str">
            <v>VB8010600000T00</v>
          </cell>
          <cell r="H1546">
            <v>0.75</v>
          </cell>
          <cell r="I1546" t="str">
            <v>--</v>
          </cell>
          <cell r="J1546">
            <v>2</v>
          </cell>
          <cell r="K1546">
            <v>2</v>
          </cell>
        </row>
        <row r="1547">
          <cell r="A1547" t="str">
            <v>M1</v>
          </cell>
          <cell r="B1547" t="str">
            <v>A5C</v>
          </cell>
          <cell r="C1547" t="str">
            <v>TRIM</v>
          </cell>
          <cell r="D1547" t="str">
            <v>C-2201</v>
          </cell>
          <cell r="E1547" t="str">
            <v>BALL VA</v>
          </cell>
          <cell r="F1547">
            <v>6</v>
          </cell>
          <cell r="G1547" t="str">
            <v>VB8010600000T00</v>
          </cell>
          <cell r="H1547">
            <v>0.75</v>
          </cell>
          <cell r="I1547" t="str">
            <v>--</v>
          </cell>
          <cell r="J1547">
            <v>2</v>
          </cell>
          <cell r="K1547">
            <v>2</v>
          </cell>
        </row>
        <row r="1548">
          <cell r="A1548" t="str">
            <v>M1</v>
          </cell>
          <cell r="B1548" t="str">
            <v>A5C</v>
          </cell>
          <cell r="C1548" t="str">
            <v>TRIM</v>
          </cell>
          <cell r="D1548" t="str">
            <v>C-2201</v>
          </cell>
          <cell r="E1548" t="str">
            <v>BALL VA</v>
          </cell>
          <cell r="F1548">
            <v>6</v>
          </cell>
          <cell r="G1548" t="str">
            <v>VB8010600000T00</v>
          </cell>
          <cell r="H1548">
            <v>0.75</v>
          </cell>
          <cell r="I1548" t="str">
            <v>--</v>
          </cell>
          <cell r="J1548">
            <v>2</v>
          </cell>
          <cell r="K1548">
            <v>2</v>
          </cell>
        </row>
        <row r="1549">
          <cell r="A1549" t="str">
            <v>M1</v>
          </cell>
          <cell r="B1549" t="str">
            <v>A5C</v>
          </cell>
          <cell r="C1549" t="str">
            <v>TRIM</v>
          </cell>
          <cell r="D1549" t="str">
            <v>V-2208</v>
          </cell>
          <cell r="E1549" t="str">
            <v>BALL VA</v>
          </cell>
          <cell r="F1549">
            <v>6</v>
          </cell>
          <cell r="G1549" t="str">
            <v>VB8010600000T00</v>
          </cell>
          <cell r="H1549">
            <v>0.75</v>
          </cell>
          <cell r="I1549" t="str">
            <v>--</v>
          </cell>
          <cell r="J1549">
            <v>1</v>
          </cell>
          <cell r="K1549">
            <v>1</v>
          </cell>
        </row>
        <row r="1550">
          <cell r="A1550" t="str">
            <v>M1</v>
          </cell>
          <cell r="B1550" t="str">
            <v>A4C</v>
          </cell>
          <cell r="C1550" t="str">
            <v>P</v>
          </cell>
          <cell r="D1550" t="str">
            <v>22008</v>
          </cell>
          <cell r="E1550" t="str">
            <v>BALL VA</v>
          </cell>
          <cell r="F1550">
            <v>6</v>
          </cell>
          <cell r="G1550" t="str">
            <v>VB8010300000T00</v>
          </cell>
          <cell r="H1550">
            <v>0.75</v>
          </cell>
          <cell r="I1550" t="str">
            <v>--</v>
          </cell>
          <cell r="J1550">
            <v>3</v>
          </cell>
          <cell r="K1550">
            <v>3</v>
          </cell>
        </row>
        <row r="1551">
          <cell r="A1551" t="str">
            <v>M1</v>
          </cell>
          <cell r="B1551" t="str">
            <v>A4C</v>
          </cell>
          <cell r="C1551" t="str">
            <v>P</v>
          </cell>
          <cell r="D1551" t="str">
            <v>22009</v>
          </cell>
          <cell r="E1551" t="str">
            <v>BALL VA</v>
          </cell>
          <cell r="F1551">
            <v>6</v>
          </cell>
          <cell r="G1551" t="str">
            <v>VB8010300000T00</v>
          </cell>
          <cell r="H1551">
            <v>0.75</v>
          </cell>
          <cell r="I1551" t="str">
            <v>--</v>
          </cell>
          <cell r="J1551">
            <v>2</v>
          </cell>
          <cell r="K1551">
            <v>2</v>
          </cell>
        </row>
        <row r="1552">
          <cell r="A1552" t="str">
            <v>M1</v>
          </cell>
          <cell r="B1552" t="str">
            <v>A5C</v>
          </cell>
          <cell r="C1552" t="str">
            <v>P</v>
          </cell>
          <cell r="D1552" t="str">
            <v>22089</v>
          </cell>
          <cell r="E1552" t="str">
            <v>BALL VA</v>
          </cell>
          <cell r="F1552">
            <v>6</v>
          </cell>
          <cell r="G1552" t="str">
            <v>VB8010600000T00</v>
          </cell>
          <cell r="H1552">
            <v>0.75</v>
          </cell>
          <cell r="I1552" t="str">
            <v>--</v>
          </cell>
          <cell r="J1552">
            <v>1</v>
          </cell>
          <cell r="K1552">
            <v>1</v>
          </cell>
        </row>
        <row r="1553">
          <cell r="A1553" t="str">
            <v>M1</v>
          </cell>
          <cell r="B1553" t="str">
            <v>A5C</v>
          </cell>
          <cell r="C1553" t="str">
            <v>P</v>
          </cell>
          <cell r="D1553" t="str">
            <v>22098</v>
          </cell>
          <cell r="E1553" t="str">
            <v>BALL VA</v>
          </cell>
          <cell r="F1553">
            <v>6</v>
          </cell>
          <cell r="G1553" t="str">
            <v>VB8010600000T00</v>
          </cell>
          <cell r="H1553">
            <v>0.75</v>
          </cell>
          <cell r="I1553" t="str">
            <v>--</v>
          </cell>
          <cell r="J1553">
            <v>1</v>
          </cell>
          <cell r="K1553">
            <v>1</v>
          </cell>
        </row>
        <row r="1554">
          <cell r="A1554" t="str">
            <v>M1</v>
          </cell>
          <cell r="B1554" t="str">
            <v>A5C</v>
          </cell>
          <cell r="C1554" t="str">
            <v>TRIM</v>
          </cell>
          <cell r="D1554" t="str">
            <v>V-2209</v>
          </cell>
          <cell r="E1554" t="str">
            <v>BALL VA</v>
          </cell>
          <cell r="F1554">
            <v>6</v>
          </cell>
          <cell r="G1554" t="str">
            <v>VB8010600000T00</v>
          </cell>
          <cell r="H1554">
            <v>0.75</v>
          </cell>
          <cell r="I1554" t="str">
            <v>--</v>
          </cell>
          <cell r="J1554">
            <v>1</v>
          </cell>
          <cell r="K1554">
            <v>1</v>
          </cell>
        </row>
        <row r="1555">
          <cell r="A1555" t="str">
            <v>M1</v>
          </cell>
          <cell r="B1555" t="str">
            <v>A6C</v>
          </cell>
          <cell r="C1555" t="str">
            <v>HOR</v>
          </cell>
          <cell r="D1555" t="str">
            <v>65620</v>
          </cell>
          <cell r="E1555" t="str">
            <v>BELLOWS VA</v>
          </cell>
          <cell r="F1555">
            <v>6</v>
          </cell>
          <cell r="G1555" t="str">
            <v>VBE8010600000T00</v>
          </cell>
          <cell r="H1555">
            <v>0.75</v>
          </cell>
          <cell r="I1555" t="str">
            <v>--</v>
          </cell>
          <cell r="J1555">
            <v>1</v>
          </cell>
          <cell r="K1555">
            <v>1</v>
          </cell>
        </row>
        <row r="1556">
          <cell r="A1556" t="str">
            <v>M1</v>
          </cell>
          <cell r="B1556" t="str">
            <v>A6C</v>
          </cell>
          <cell r="C1556" t="str">
            <v>HOS</v>
          </cell>
          <cell r="D1556" t="str">
            <v>65613</v>
          </cell>
          <cell r="E1556" t="str">
            <v>BELLOWS VA</v>
          </cell>
          <cell r="F1556">
            <v>6</v>
          </cell>
          <cell r="G1556" t="str">
            <v>VBE8010600000T00</v>
          </cell>
          <cell r="H1556">
            <v>0.75</v>
          </cell>
          <cell r="I1556" t="str">
            <v>--</v>
          </cell>
          <cell r="J1556">
            <v>4</v>
          </cell>
          <cell r="K1556">
            <v>4</v>
          </cell>
        </row>
        <row r="1557">
          <cell r="A1557" t="str">
            <v>M1</v>
          </cell>
          <cell r="B1557" t="str">
            <v>A6C</v>
          </cell>
          <cell r="C1557" t="str">
            <v>HOS</v>
          </cell>
          <cell r="D1557" t="str">
            <v>65629</v>
          </cell>
          <cell r="E1557" t="str">
            <v>BELLOWS VA</v>
          </cell>
          <cell r="F1557">
            <v>6</v>
          </cell>
          <cell r="G1557" t="str">
            <v>VBE8010800000T00</v>
          </cell>
          <cell r="H1557">
            <v>0.75</v>
          </cell>
          <cell r="I1557" t="str">
            <v>--</v>
          </cell>
          <cell r="J1557">
            <v>1</v>
          </cell>
          <cell r="K1557">
            <v>1</v>
          </cell>
        </row>
        <row r="1558">
          <cell r="A1558" t="str">
            <v>M1</v>
          </cell>
          <cell r="B1558" t="str">
            <v>A6C</v>
          </cell>
          <cell r="C1558" t="str">
            <v>HOS</v>
          </cell>
          <cell r="D1558" t="str">
            <v>65624</v>
          </cell>
          <cell r="E1558" t="str">
            <v>BELLOWS VA</v>
          </cell>
          <cell r="F1558">
            <v>6</v>
          </cell>
          <cell r="G1558" t="str">
            <v>VBE8010800000T00</v>
          </cell>
          <cell r="H1558">
            <v>0.75</v>
          </cell>
          <cell r="I1558" t="str">
            <v>--</v>
          </cell>
          <cell r="J1558">
            <v>1</v>
          </cell>
          <cell r="K1558">
            <v>1</v>
          </cell>
        </row>
        <row r="1559">
          <cell r="A1559" t="str">
            <v>M1</v>
          </cell>
          <cell r="B1559" t="str">
            <v>A6C</v>
          </cell>
          <cell r="C1559" t="str">
            <v>HOS</v>
          </cell>
          <cell r="D1559" t="str">
            <v>65624</v>
          </cell>
          <cell r="E1559" t="str">
            <v>BELLOWS VA</v>
          </cell>
          <cell r="F1559">
            <v>6</v>
          </cell>
          <cell r="G1559" t="str">
            <v>VBE8010600000T00</v>
          </cell>
          <cell r="H1559">
            <v>0.75</v>
          </cell>
          <cell r="I1559" t="str">
            <v>--</v>
          </cell>
          <cell r="J1559">
            <v>2</v>
          </cell>
          <cell r="K1559">
            <v>2</v>
          </cell>
        </row>
        <row r="1560">
          <cell r="A1560" t="str">
            <v>M1</v>
          </cell>
          <cell r="B1560" t="str">
            <v>A6C</v>
          </cell>
          <cell r="C1560" t="str">
            <v>HOS</v>
          </cell>
          <cell r="D1560" t="str">
            <v>65628</v>
          </cell>
          <cell r="E1560" t="str">
            <v>BELLOWS VA</v>
          </cell>
          <cell r="F1560">
            <v>6</v>
          </cell>
          <cell r="G1560" t="str">
            <v>VBE8010600000T00</v>
          </cell>
          <cell r="H1560">
            <v>0.75</v>
          </cell>
          <cell r="I1560" t="str">
            <v>--</v>
          </cell>
          <cell r="J1560">
            <v>1</v>
          </cell>
          <cell r="K1560">
            <v>1</v>
          </cell>
        </row>
        <row r="1561">
          <cell r="A1561" t="str">
            <v>M1</v>
          </cell>
          <cell r="B1561" t="str">
            <v>A6C</v>
          </cell>
          <cell r="C1561" t="str">
            <v>HOS</v>
          </cell>
          <cell r="D1561" t="str">
            <v>65634</v>
          </cell>
          <cell r="E1561" t="str">
            <v>BELLOWS VA</v>
          </cell>
          <cell r="F1561">
            <v>6</v>
          </cell>
          <cell r="G1561" t="str">
            <v>VBE8010800000T00</v>
          </cell>
          <cell r="H1561">
            <v>0.75</v>
          </cell>
          <cell r="I1561" t="str">
            <v>--</v>
          </cell>
          <cell r="J1561">
            <v>1</v>
          </cell>
          <cell r="K1561">
            <v>1</v>
          </cell>
        </row>
        <row r="1562">
          <cell r="A1562" t="str">
            <v>M1</v>
          </cell>
          <cell r="B1562" t="str">
            <v>A6C</v>
          </cell>
          <cell r="C1562" t="str">
            <v>TRIM</v>
          </cell>
          <cell r="D1562" t="str">
            <v>V-6501</v>
          </cell>
          <cell r="E1562" t="str">
            <v>BELLOWS VA</v>
          </cell>
          <cell r="F1562">
            <v>6</v>
          </cell>
          <cell r="G1562" t="str">
            <v>VBE8010700000T00</v>
          </cell>
          <cell r="H1562">
            <v>0.75</v>
          </cell>
          <cell r="I1562" t="str">
            <v>--</v>
          </cell>
          <cell r="J1562">
            <v>2</v>
          </cell>
          <cell r="K1562">
            <v>2</v>
          </cell>
        </row>
        <row r="1563">
          <cell r="A1563" t="str">
            <v>M1</v>
          </cell>
          <cell r="B1563" t="str">
            <v>A6C</v>
          </cell>
          <cell r="C1563" t="str">
            <v>HOR</v>
          </cell>
          <cell r="D1563" t="str">
            <v>65611</v>
          </cell>
          <cell r="E1563" t="str">
            <v>BELLOWS VA</v>
          </cell>
          <cell r="F1563">
            <v>6</v>
          </cell>
          <cell r="G1563" t="str">
            <v>VBE8010700000T00</v>
          </cell>
          <cell r="H1563">
            <v>0.75</v>
          </cell>
          <cell r="I1563" t="str">
            <v>--</v>
          </cell>
          <cell r="J1563">
            <v>1</v>
          </cell>
          <cell r="K1563">
            <v>1</v>
          </cell>
        </row>
        <row r="1564">
          <cell r="A1564" t="str">
            <v>M1</v>
          </cell>
          <cell r="B1564" t="str">
            <v>A6C</v>
          </cell>
          <cell r="C1564" t="str">
            <v>HOR</v>
          </cell>
          <cell r="D1564" t="str">
            <v>65619</v>
          </cell>
          <cell r="E1564" t="str">
            <v>BELLOWS VA</v>
          </cell>
          <cell r="F1564">
            <v>6</v>
          </cell>
          <cell r="G1564" t="str">
            <v>VBE8010700000T00</v>
          </cell>
          <cell r="H1564">
            <v>0.75</v>
          </cell>
          <cell r="I1564" t="str">
            <v>--</v>
          </cell>
          <cell r="J1564">
            <v>6</v>
          </cell>
          <cell r="K1564">
            <v>6</v>
          </cell>
        </row>
        <row r="1565">
          <cell r="A1565" t="str">
            <v>M1</v>
          </cell>
          <cell r="B1565" t="str">
            <v>A6C</v>
          </cell>
          <cell r="C1565" t="str">
            <v>HOR</v>
          </cell>
          <cell r="D1565" t="str">
            <v>65619</v>
          </cell>
          <cell r="E1565" t="str">
            <v>BELLOWS VA</v>
          </cell>
          <cell r="F1565">
            <v>6</v>
          </cell>
          <cell r="G1565" t="str">
            <v>VBE8010700000T00</v>
          </cell>
          <cell r="H1565">
            <v>0.75</v>
          </cell>
          <cell r="I1565" t="str">
            <v>--</v>
          </cell>
          <cell r="J1565">
            <v>1</v>
          </cell>
          <cell r="K1565">
            <v>1</v>
          </cell>
        </row>
        <row r="1566">
          <cell r="A1566" t="str">
            <v>M1</v>
          </cell>
          <cell r="B1566" t="str">
            <v>A6C</v>
          </cell>
          <cell r="C1566" t="str">
            <v>HOS</v>
          </cell>
          <cell r="D1566" t="str">
            <v>65634</v>
          </cell>
          <cell r="E1566" t="str">
            <v>BELLOWS VA</v>
          </cell>
          <cell r="F1566">
            <v>6</v>
          </cell>
          <cell r="G1566" t="str">
            <v>VBE8010700000T00</v>
          </cell>
          <cell r="H1566">
            <v>0.75</v>
          </cell>
          <cell r="I1566" t="str">
            <v>--</v>
          </cell>
          <cell r="J1566">
            <v>1</v>
          </cell>
          <cell r="K1566">
            <v>1</v>
          </cell>
        </row>
        <row r="1567">
          <cell r="A1567" t="str">
            <v>M1</v>
          </cell>
          <cell r="B1567" t="str">
            <v>A6C</v>
          </cell>
          <cell r="C1567" t="str">
            <v>TRIM</v>
          </cell>
          <cell r="D1567" t="str">
            <v>H-6501</v>
          </cell>
          <cell r="E1567" t="str">
            <v>BELLOWS VA</v>
          </cell>
          <cell r="F1567">
            <v>6</v>
          </cell>
          <cell r="G1567" t="str">
            <v>VBE8010700000T00</v>
          </cell>
          <cell r="H1567">
            <v>0.75</v>
          </cell>
          <cell r="I1567" t="str">
            <v>--</v>
          </cell>
          <cell r="J1567">
            <v>1</v>
          </cell>
          <cell r="K1567">
            <v>1</v>
          </cell>
        </row>
        <row r="1568">
          <cell r="A1568" t="str">
            <v>M1</v>
          </cell>
          <cell r="B1568" t="str">
            <v>A6C</v>
          </cell>
          <cell r="C1568" t="str">
            <v>TRIM</v>
          </cell>
          <cell r="D1568" t="str">
            <v>H-6501</v>
          </cell>
          <cell r="E1568" t="str">
            <v>BELLOWS VA</v>
          </cell>
          <cell r="F1568">
            <v>6</v>
          </cell>
          <cell r="G1568" t="str">
            <v>VBE8010600000T00</v>
          </cell>
          <cell r="H1568">
            <v>0.75</v>
          </cell>
          <cell r="I1568" t="str">
            <v>--</v>
          </cell>
          <cell r="J1568">
            <v>2</v>
          </cell>
          <cell r="K1568">
            <v>2</v>
          </cell>
        </row>
        <row r="1569">
          <cell r="A1569" t="str">
            <v>M1</v>
          </cell>
          <cell r="B1569" t="str">
            <v>A6C</v>
          </cell>
          <cell r="C1569" t="str">
            <v>TRIM</v>
          </cell>
          <cell r="D1569" t="str">
            <v>V-6501</v>
          </cell>
          <cell r="E1569" t="str">
            <v>BELLOWS VA</v>
          </cell>
          <cell r="F1569">
            <v>6</v>
          </cell>
          <cell r="G1569" t="str">
            <v>VBE8010600000T00</v>
          </cell>
          <cell r="H1569">
            <v>0.75</v>
          </cell>
          <cell r="I1569" t="str">
            <v>--</v>
          </cell>
          <cell r="J1569">
            <v>4</v>
          </cell>
          <cell r="K1569">
            <v>4</v>
          </cell>
        </row>
        <row r="1570">
          <cell r="A1570" t="str">
            <v>M1</v>
          </cell>
          <cell r="B1570" t="str">
            <v>B1C</v>
          </cell>
          <cell r="C1570" t="str">
            <v>P</v>
          </cell>
          <cell r="D1570" t="str">
            <v>22029</v>
          </cell>
          <cell r="E1570" t="str">
            <v>BALL VA</v>
          </cell>
          <cell r="F1570">
            <v>6</v>
          </cell>
          <cell r="G1570" t="str">
            <v>VB8010400000T00</v>
          </cell>
          <cell r="H1570">
            <v>0.75</v>
          </cell>
          <cell r="I1570" t="str">
            <v>--</v>
          </cell>
          <cell r="J1570">
            <v>5</v>
          </cell>
          <cell r="K1570">
            <v>5</v>
          </cell>
        </row>
        <row r="1571">
          <cell r="A1571" t="str">
            <v>M1</v>
          </cell>
          <cell r="B1571" t="str">
            <v>B1C</v>
          </cell>
          <cell r="C1571" t="str">
            <v>P</v>
          </cell>
          <cell r="D1571" t="str">
            <v>22027</v>
          </cell>
          <cell r="E1571" t="str">
            <v>BALL VA</v>
          </cell>
          <cell r="F1571">
            <v>6</v>
          </cell>
          <cell r="G1571" t="str">
            <v>VB8010400000T00</v>
          </cell>
          <cell r="H1571">
            <v>0.75</v>
          </cell>
          <cell r="I1571" t="str">
            <v>--</v>
          </cell>
          <cell r="J1571">
            <v>1</v>
          </cell>
          <cell r="K1571">
            <v>1</v>
          </cell>
        </row>
        <row r="1572">
          <cell r="A1572" t="str">
            <v>M1</v>
          </cell>
          <cell r="B1572" t="str">
            <v>B1X</v>
          </cell>
          <cell r="C1572" t="str">
            <v>P</v>
          </cell>
          <cell r="D1572" t="str">
            <v>22042</v>
          </cell>
          <cell r="E1572" t="str">
            <v>BALL VA</v>
          </cell>
          <cell r="F1572">
            <v>6</v>
          </cell>
          <cell r="G1572" t="str">
            <v>VB3010100000T00</v>
          </cell>
          <cell r="H1572">
            <v>0.75</v>
          </cell>
          <cell r="I1572" t="str">
            <v>--</v>
          </cell>
          <cell r="J1572">
            <v>3</v>
          </cell>
          <cell r="K1572">
            <v>3</v>
          </cell>
        </row>
        <row r="1573">
          <cell r="A1573" t="str">
            <v>M1</v>
          </cell>
          <cell r="B1573" t="str">
            <v>B2C</v>
          </cell>
          <cell r="C1573" t="str">
            <v>TRIM</v>
          </cell>
          <cell r="D1573" t="str">
            <v>E-2204</v>
          </cell>
          <cell r="E1573" t="str">
            <v>GATE VA</v>
          </cell>
          <cell r="F1573">
            <v>6</v>
          </cell>
          <cell r="G1573" t="str">
            <v>VG8010100000100</v>
          </cell>
          <cell r="H1573">
            <v>1</v>
          </cell>
          <cell r="I1573" t="str">
            <v>--</v>
          </cell>
          <cell r="J1573">
            <v>1</v>
          </cell>
          <cell r="K1573">
            <v>1</v>
          </cell>
        </row>
        <row r="1574">
          <cell r="A1574" t="str">
            <v>M1</v>
          </cell>
          <cell r="B1574" t="str">
            <v>A5C</v>
          </cell>
          <cell r="C1574" t="str">
            <v>N</v>
          </cell>
          <cell r="D1574" t="str">
            <v>22670</v>
          </cell>
          <cell r="E1574" t="str">
            <v>BALL VA</v>
          </cell>
          <cell r="F1574">
            <v>6</v>
          </cell>
          <cell r="G1574" t="str">
            <v>VB8010600000100</v>
          </cell>
          <cell r="H1574">
            <v>1</v>
          </cell>
          <cell r="I1574" t="str">
            <v>--</v>
          </cell>
          <cell r="J1574">
            <v>1</v>
          </cell>
          <cell r="K1574">
            <v>1</v>
          </cell>
        </row>
        <row r="1575">
          <cell r="A1575" t="str">
            <v>M1</v>
          </cell>
          <cell r="B1575" t="str">
            <v>A5C</v>
          </cell>
          <cell r="C1575" t="str">
            <v>N</v>
          </cell>
          <cell r="D1575" t="str">
            <v>22679</v>
          </cell>
          <cell r="E1575" t="str">
            <v>BALL VA</v>
          </cell>
          <cell r="F1575">
            <v>6</v>
          </cell>
          <cell r="G1575" t="str">
            <v>VB8010600000100</v>
          </cell>
          <cell r="H1575">
            <v>1</v>
          </cell>
          <cell r="I1575" t="str">
            <v>--</v>
          </cell>
          <cell r="J1575">
            <v>2</v>
          </cell>
          <cell r="K1575">
            <v>2</v>
          </cell>
        </row>
        <row r="1576">
          <cell r="A1576" t="str">
            <v>M1</v>
          </cell>
          <cell r="B1576" t="str">
            <v>A4C</v>
          </cell>
          <cell r="C1576" t="str">
            <v>N</v>
          </cell>
          <cell r="D1576" t="str">
            <v>22661</v>
          </cell>
          <cell r="E1576" t="str">
            <v>BALL VA</v>
          </cell>
          <cell r="F1576">
            <v>6</v>
          </cell>
          <cell r="G1576" t="str">
            <v>VB8010300000100</v>
          </cell>
          <cell r="H1576">
            <v>1</v>
          </cell>
          <cell r="I1576" t="str">
            <v>--</v>
          </cell>
          <cell r="J1576">
            <v>2</v>
          </cell>
          <cell r="K1576">
            <v>2</v>
          </cell>
        </row>
        <row r="1577">
          <cell r="A1577" t="str">
            <v>M1</v>
          </cell>
          <cell r="B1577" t="str">
            <v>A5C</v>
          </cell>
          <cell r="C1577" t="str">
            <v>N</v>
          </cell>
          <cell r="D1577" t="str">
            <v>22683</v>
          </cell>
          <cell r="E1577" t="str">
            <v>BALL VA</v>
          </cell>
          <cell r="F1577">
            <v>6</v>
          </cell>
          <cell r="G1577" t="str">
            <v>VB8010600000100</v>
          </cell>
          <cell r="H1577">
            <v>1</v>
          </cell>
          <cell r="I1577" t="str">
            <v>--</v>
          </cell>
          <cell r="J1577">
            <v>1</v>
          </cell>
          <cell r="K1577">
            <v>1</v>
          </cell>
        </row>
        <row r="1578">
          <cell r="A1578" t="str">
            <v>M1</v>
          </cell>
          <cell r="B1578" t="str">
            <v>A5C</v>
          </cell>
          <cell r="C1578" t="str">
            <v>N</v>
          </cell>
          <cell r="D1578" t="str">
            <v>22731</v>
          </cell>
          <cell r="E1578" t="str">
            <v>BALL VA</v>
          </cell>
          <cell r="F1578">
            <v>6</v>
          </cell>
          <cell r="G1578" t="str">
            <v>VB8010600000100</v>
          </cell>
          <cell r="H1578">
            <v>1</v>
          </cell>
          <cell r="I1578" t="str">
            <v>--</v>
          </cell>
          <cell r="J1578">
            <v>1</v>
          </cell>
          <cell r="K1578">
            <v>1</v>
          </cell>
        </row>
        <row r="1579">
          <cell r="A1579" t="str">
            <v>M1</v>
          </cell>
          <cell r="B1579" t="str">
            <v>A5C</v>
          </cell>
          <cell r="C1579" t="str">
            <v>N</v>
          </cell>
          <cell r="D1579" t="str">
            <v>25614</v>
          </cell>
          <cell r="E1579" t="str">
            <v>BALL VA</v>
          </cell>
          <cell r="F1579">
            <v>6</v>
          </cell>
          <cell r="G1579" t="str">
            <v>VB8010600000100</v>
          </cell>
          <cell r="H1579">
            <v>1</v>
          </cell>
          <cell r="I1579" t="str">
            <v>--</v>
          </cell>
          <cell r="J1579">
            <v>1</v>
          </cell>
          <cell r="K1579">
            <v>1</v>
          </cell>
        </row>
        <row r="1580">
          <cell r="A1580" t="str">
            <v>M1</v>
          </cell>
          <cell r="B1580" t="str">
            <v>A5C</v>
          </cell>
          <cell r="C1580" t="str">
            <v>P</v>
          </cell>
          <cell r="D1580" t="str">
            <v>22063</v>
          </cell>
          <cell r="E1580" t="str">
            <v>BALL VA</v>
          </cell>
          <cell r="F1580">
            <v>6</v>
          </cell>
          <cell r="G1580" t="str">
            <v>VB8010600000100</v>
          </cell>
          <cell r="H1580">
            <v>1</v>
          </cell>
          <cell r="I1580" t="str">
            <v>--</v>
          </cell>
          <cell r="J1580">
            <v>2</v>
          </cell>
          <cell r="K1580">
            <v>2</v>
          </cell>
        </row>
        <row r="1581">
          <cell r="A1581" t="str">
            <v>M1</v>
          </cell>
          <cell r="B1581" t="str">
            <v>A5C</v>
          </cell>
          <cell r="C1581" t="str">
            <v>P</v>
          </cell>
          <cell r="D1581" t="str">
            <v>22109</v>
          </cell>
          <cell r="E1581" t="str">
            <v>BALL VA</v>
          </cell>
          <cell r="F1581">
            <v>6</v>
          </cell>
          <cell r="G1581" t="str">
            <v>VB8010600000100</v>
          </cell>
          <cell r="H1581">
            <v>1</v>
          </cell>
          <cell r="I1581" t="str">
            <v>--</v>
          </cell>
          <cell r="J1581">
            <v>1</v>
          </cell>
          <cell r="K1581">
            <v>1</v>
          </cell>
        </row>
        <row r="1582">
          <cell r="A1582" t="str">
            <v>M1</v>
          </cell>
          <cell r="B1582" t="str">
            <v>A5C</v>
          </cell>
          <cell r="C1582" t="str">
            <v>P</v>
          </cell>
          <cell r="D1582" t="str">
            <v>22105</v>
          </cell>
          <cell r="E1582" t="str">
            <v>BALL VA</v>
          </cell>
          <cell r="F1582">
            <v>6</v>
          </cell>
          <cell r="G1582" t="str">
            <v>VB8010600000100</v>
          </cell>
          <cell r="H1582">
            <v>1</v>
          </cell>
          <cell r="I1582" t="str">
            <v>--</v>
          </cell>
          <cell r="J1582">
            <v>1</v>
          </cell>
          <cell r="K1582">
            <v>1</v>
          </cell>
        </row>
        <row r="1583">
          <cell r="A1583" t="str">
            <v>M1</v>
          </cell>
          <cell r="B1583" t="str">
            <v>A5C</v>
          </cell>
          <cell r="C1583" t="str">
            <v>P</v>
          </cell>
          <cell r="D1583" t="str">
            <v>22157</v>
          </cell>
          <cell r="E1583" t="str">
            <v>BALL VA</v>
          </cell>
          <cell r="F1583">
            <v>6</v>
          </cell>
          <cell r="G1583" t="str">
            <v>VB8010600000100</v>
          </cell>
          <cell r="H1583">
            <v>1</v>
          </cell>
          <cell r="I1583" t="str">
            <v>--</v>
          </cell>
          <cell r="J1583">
            <v>1</v>
          </cell>
          <cell r="K1583">
            <v>1</v>
          </cell>
        </row>
        <row r="1584">
          <cell r="A1584" t="str">
            <v>M1</v>
          </cell>
          <cell r="B1584" t="str">
            <v>A5C</v>
          </cell>
          <cell r="C1584" t="str">
            <v>P</v>
          </cell>
          <cell r="D1584" t="str">
            <v>22158</v>
          </cell>
          <cell r="E1584" t="str">
            <v>BALL VA</v>
          </cell>
          <cell r="F1584">
            <v>6</v>
          </cell>
          <cell r="G1584" t="str">
            <v>VB8010600000100</v>
          </cell>
          <cell r="H1584">
            <v>1</v>
          </cell>
          <cell r="I1584" t="str">
            <v>--</v>
          </cell>
          <cell r="J1584">
            <v>1</v>
          </cell>
          <cell r="K1584">
            <v>1</v>
          </cell>
        </row>
        <row r="1585">
          <cell r="A1585" t="str">
            <v>M1</v>
          </cell>
          <cell r="B1585" t="str">
            <v>A5C</v>
          </cell>
          <cell r="C1585" t="str">
            <v>P</v>
          </cell>
          <cell r="D1585" t="str">
            <v>22103</v>
          </cell>
          <cell r="E1585" t="str">
            <v>BALL VA</v>
          </cell>
          <cell r="F1585">
            <v>6</v>
          </cell>
          <cell r="G1585" t="str">
            <v>VB8010600000100</v>
          </cell>
          <cell r="H1585">
            <v>1</v>
          </cell>
          <cell r="I1585" t="str">
            <v>--</v>
          </cell>
          <cell r="J1585">
            <v>2</v>
          </cell>
          <cell r="K1585">
            <v>2</v>
          </cell>
        </row>
        <row r="1586">
          <cell r="A1586" t="str">
            <v>M1</v>
          </cell>
          <cell r="B1586" t="str">
            <v>A5C</v>
          </cell>
          <cell r="C1586" t="str">
            <v>P</v>
          </cell>
          <cell r="D1586" t="str">
            <v>22106</v>
          </cell>
          <cell r="E1586" t="str">
            <v>BALL VA</v>
          </cell>
          <cell r="F1586">
            <v>6</v>
          </cell>
          <cell r="G1586" t="str">
            <v>VB8010600000100</v>
          </cell>
          <cell r="H1586">
            <v>1</v>
          </cell>
          <cell r="I1586" t="str">
            <v>--</v>
          </cell>
          <cell r="J1586">
            <v>1</v>
          </cell>
          <cell r="K1586">
            <v>1</v>
          </cell>
        </row>
        <row r="1587">
          <cell r="A1587" t="str">
            <v>M1</v>
          </cell>
          <cell r="B1587" t="str">
            <v>A5C</v>
          </cell>
          <cell r="C1587" t="str">
            <v>P</v>
          </cell>
          <cell r="D1587" t="str">
            <v>99002</v>
          </cell>
          <cell r="E1587" t="str">
            <v>BELLOWS VA</v>
          </cell>
          <cell r="F1587">
            <v>6</v>
          </cell>
          <cell r="G1587" t="str">
            <v>VBE8010100000100</v>
          </cell>
          <cell r="H1587">
            <v>1</v>
          </cell>
          <cell r="I1587" t="str">
            <v>--</v>
          </cell>
          <cell r="J1587">
            <v>1</v>
          </cell>
          <cell r="K1587">
            <v>1</v>
          </cell>
        </row>
        <row r="1588">
          <cell r="A1588" t="str">
            <v>M1</v>
          </cell>
          <cell r="B1588" t="str">
            <v>A5C</v>
          </cell>
          <cell r="C1588" t="str">
            <v>N</v>
          </cell>
          <cell r="D1588" t="str">
            <v>22630</v>
          </cell>
          <cell r="E1588" t="str">
            <v>CHECK VA</v>
          </cell>
          <cell r="F1588">
            <v>6</v>
          </cell>
          <cell r="G1588" t="str">
            <v>VCB8010400000100</v>
          </cell>
          <cell r="H1588">
            <v>1</v>
          </cell>
          <cell r="I1588" t="str">
            <v>--</v>
          </cell>
          <cell r="J1588">
            <v>1</v>
          </cell>
          <cell r="K1588">
            <v>1</v>
          </cell>
        </row>
        <row r="1589">
          <cell r="A1589" t="str">
            <v>M1</v>
          </cell>
          <cell r="B1589" t="str">
            <v>A4C</v>
          </cell>
          <cell r="C1589" t="str">
            <v>N</v>
          </cell>
          <cell r="D1589" t="str">
            <v>22661</v>
          </cell>
          <cell r="E1589" t="str">
            <v>CHECK VA</v>
          </cell>
          <cell r="F1589">
            <v>6</v>
          </cell>
          <cell r="G1589" t="str">
            <v>VCB8010200000100</v>
          </cell>
          <cell r="H1589">
            <v>1</v>
          </cell>
          <cell r="I1589" t="str">
            <v>--</v>
          </cell>
          <cell r="J1589">
            <v>1</v>
          </cell>
          <cell r="K1589">
            <v>1</v>
          </cell>
        </row>
        <row r="1590">
          <cell r="A1590" t="str">
            <v>M1</v>
          </cell>
          <cell r="B1590" t="str">
            <v>A5C</v>
          </cell>
          <cell r="C1590" t="str">
            <v>N</v>
          </cell>
          <cell r="D1590" t="str">
            <v>22681</v>
          </cell>
          <cell r="E1590" t="str">
            <v>CHECK VA</v>
          </cell>
          <cell r="F1590">
            <v>6</v>
          </cell>
          <cell r="G1590" t="str">
            <v>VCB8010400000100</v>
          </cell>
          <cell r="H1590">
            <v>1</v>
          </cell>
          <cell r="I1590" t="str">
            <v>--</v>
          </cell>
          <cell r="J1590">
            <v>1</v>
          </cell>
          <cell r="K1590">
            <v>1</v>
          </cell>
        </row>
        <row r="1591">
          <cell r="A1591" t="str">
            <v>M1</v>
          </cell>
          <cell r="B1591" t="str">
            <v>A5C</v>
          </cell>
          <cell r="C1591" t="str">
            <v>N</v>
          </cell>
          <cell r="D1591" t="str">
            <v>22686</v>
          </cell>
          <cell r="E1591" t="str">
            <v>CHECK VA</v>
          </cell>
          <cell r="F1591">
            <v>6</v>
          </cell>
          <cell r="G1591" t="str">
            <v>VCB8010400000100</v>
          </cell>
          <cell r="H1591">
            <v>1</v>
          </cell>
          <cell r="I1591" t="str">
            <v>--</v>
          </cell>
          <cell r="J1591">
            <v>1</v>
          </cell>
          <cell r="K1591">
            <v>1</v>
          </cell>
        </row>
        <row r="1592">
          <cell r="A1592" t="str">
            <v>M1</v>
          </cell>
          <cell r="B1592" t="str">
            <v>A5C</v>
          </cell>
          <cell r="C1592" t="str">
            <v>N</v>
          </cell>
          <cell r="D1592" t="str">
            <v>22683</v>
          </cell>
          <cell r="E1592" t="str">
            <v>CHECK VA</v>
          </cell>
          <cell r="F1592">
            <v>6</v>
          </cell>
          <cell r="G1592" t="str">
            <v>VCB8010400000100</v>
          </cell>
          <cell r="H1592">
            <v>1</v>
          </cell>
          <cell r="I1592" t="str">
            <v>--</v>
          </cell>
          <cell r="J1592">
            <v>1</v>
          </cell>
          <cell r="K1592">
            <v>1</v>
          </cell>
        </row>
        <row r="1593">
          <cell r="A1593" t="str">
            <v>M1</v>
          </cell>
          <cell r="B1593" t="str">
            <v>A5C</v>
          </cell>
          <cell r="C1593" t="str">
            <v>N</v>
          </cell>
          <cell r="D1593" t="str">
            <v>22685</v>
          </cell>
          <cell r="E1593" t="str">
            <v>CHECK VA</v>
          </cell>
          <cell r="F1593">
            <v>6</v>
          </cell>
          <cell r="G1593" t="str">
            <v>VCB8010400000100</v>
          </cell>
          <cell r="H1593">
            <v>1</v>
          </cell>
          <cell r="I1593" t="str">
            <v>--</v>
          </cell>
          <cell r="J1593">
            <v>1</v>
          </cell>
          <cell r="K1593">
            <v>1</v>
          </cell>
        </row>
        <row r="1594">
          <cell r="A1594" t="str">
            <v>M1</v>
          </cell>
          <cell r="B1594" t="str">
            <v>A5C</v>
          </cell>
          <cell r="C1594" t="str">
            <v>N</v>
          </cell>
          <cell r="D1594" t="str">
            <v>22731</v>
          </cell>
          <cell r="E1594" t="str">
            <v>CHECK VA</v>
          </cell>
          <cell r="F1594">
            <v>6</v>
          </cell>
          <cell r="G1594" t="str">
            <v>VCB8010400000100</v>
          </cell>
          <cell r="H1594">
            <v>1</v>
          </cell>
          <cell r="I1594" t="str">
            <v>--</v>
          </cell>
          <cell r="J1594">
            <v>1</v>
          </cell>
          <cell r="K1594">
            <v>1</v>
          </cell>
        </row>
        <row r="1595">
          <cell r="A1595" t="str">
            <v>M1</v>
          </cell>
          <cell r="B1595" t="str">
            <v>A5C</v>
          </cell>
          <cell r="C1595" t="str">
            <v>P</v>
          </cell>
          <cell r="D1595" t="str">
            <v>22103</v>
          </cell>
          <cell r="E1595" t="str">
            <v>CHECK VA</v>
          </cell>
          <cell r="F1595">
            <v>6</v>
          </cell>
          <cell r="G1595" t="str">
            <v>VCB8010400000100</v>
          </cell>
          <cell r="H1595">
            <v>1</v>
          </cell>
          <cell r="I1595" t="str">
            <v>--</v>
          </cell>
          <cell r="J1595">
            <v>1</v>
          </cell>
          <cell r="K1595">
            <v>1</v>
          </cell>
        </row>
        <row r="1596">
          <cell r="A1596" t="str">
            <v>M1</v>
          </cell>
          <cell r="B1596" t="str">
            <v>A5C</v>
          </cell>
          <cell r="C1596" t="str">
            <v>N</v>
          </cell>
          <cell r="D1596" t="str">
            <v>22679</v>
          </cell>
          <cell r="E1596" t="str">
            <v>CHECK VA</v>
          </cell>
          <cell r="F1596">
            <v>6</v>
          </cell>
          <cell r="G1596" t="str">
            <v>VCB8010400000100</v>
          </cell>
          <cell r="H1596">
            <v>1</v>
          </cell>
          <cell r="I1596" t="str">
            <v>--</v>
          </cell>
          <cell r="J1596">
            <v>2</v>
          </cell>
          <cell r="K1596">
            <v>2</v>
          </cell>
        </row>
        <row r="1597">
          <cell r="A1597" t="str">
            <v>M1</v>
          </cell>
          <cell r="B1597" t="str">
            <v>A5C</v>
          </cell>
          <cell r="C1597" t="str">
            <v>N</v>
          </cell>
          <cell r="D1597" t="str">
            <v>22682</v>
          </cell>
          <cell r="E1597" t="str">
            <v>CHECK VA</v>
          </cell>
          <cell r="F1597">
            <v>6</v>
          </cell>
          <cell r="G1597" t="str">
            <v>VCB8010400000100</v>
          </cell>
          <cell r="H1597">
            <v>1</v>
          </cell>
          <cell r="I1597" t="str">
            <v>--</v>
          </cell>
          <cell r="J1597">
            <v>1</v>
          </cell>
          <cell r="K1597">
            <v>1</v>
          </cell>
        </row>
        <row r="1598">
          <cell r="A1598" t="str">
            <v>M1</v>
          </cell>
          <cell r="B1598" t="str">
            <v>A5C</v>
          </cell>
          <cell r="C1598" t="str">
            <v>N</v>
          </cell>
          <cell r="D1598" t="str">
            <v>22684</v>
          </cell>
          <cell r="E1598" t="str">
            <v>CHECK VA</v>
          </cell>
          <cell r="F1598">
            <v>6</v>
          </cell>
          <cell r="G1598" t="str">
            <v>VCB8010400000100</v>
          </cell>
          <cell r="H1598">
            <v>1</v>
          </cell>
          <cell r="I1598" t="str">
            <v>--</v>
          </cell>
          <cell r="J1598">
            <v>1</v>
          </cell>
          <cell r="K1598">
            <v>1</v>
          </cell>
        </row>
        <row r="1599">
          <cell r="A1599" t="str">
            <v>M1</v>
          </cell>
          <cell r="B1599" t="str">
            <v>A5C</v>
          </cell>
          <cell r="C1599" t="str">
            <v>P</v>
          </cell>
          <cell r="D1599" t="str">
            <v>99002</v>
          </cell>
          <cell r="E1599" t="str">
            <v>CHECK VA</v>
          </cell>
          <cell r="F1599">
            <v>6</v>
          </cell>
          <cell r="G1599" t="str">
            <v>VCB8010400000100</v>
          </cell>
          <cell r="H1599">
            <v>1</v>
          </cell>
          <cell r="I1599" t="str">
            <v>--</v>
          </cell>
          <cell r="J1599">
            <v>1</v>
          </cell>
          <cell r="K1599">
            <v>1</v>
          </cell>
        </row>
        <row r="1600">
          <cell r="A1600" t="str">
            <v>M1</v>
          </cell>
          <cell r="B1600" t="str">
            <v>A5C</v>
          </cell>
          <cell r="C1600" t="str">
            <v>P</v>
          </cell>
          <cell r="D1600" t="str">
            <v>21004</v>
          </cell>
          <cell r="E1600" t="str">
            <v>GATE VA</v>
          </cell>
          <cell r="F1600">
            <v>6</v>
          </cell>
          <cell r="G1600" t="str">
            <v>VG8010100000100</v>
          </cell>
          <cell r="H1600">
            <v>1</v>
          </cell>
          <cell r="I1600" t="str">
            <v>--</v>
          </cell>
          <cell r="J1600">
            <v>1</v>
          </cell>
          <cell r="K1600">
            <v>1</v>
          </cell>
        </row>
        <row r="1601">
          <cell r="A1601" t="str">
            <v>M1</v>
          </cell>
          <cell r="B1601" t="str">
            <v>A5C</v>
          </cell>
          <cell r="C1601" t="str">
            <v>N</v>
          </cell>
          <cell r="D1601" t="str">
            <v>22630</v>
          </cell>
          <cell r="E1601" t="str">
            <v>GLOBE VA</v>
          </cell>
          <cell r="F1601">
            <v>6</v>
          </cell>
          <cell r="G1601" t="str">
            <v>VL8010100000100</v>
          </cell>
          <cell r="H1601">
            <v>1</v>
          </cell>
          <cell r="I1601" t="str">
            <v>--</v>
          </cell>
          <cell r="J1601">
            <v>1</v>
          </cell>
          <cell r="K1601">
            <v>1</v>
          </cell>
        </row>
        <row r="1602">
          <cell r="A1602" t="str">
            <v>M1</v>
          </cell>
          <cell r="B1602" t="str">
            <v>A5C</v>
          </cell>
          <cell r="C1602" t="str">
            <v>N</v>
          </cell>
          <cell r="D1602" t="str">
            <v>22685</v>
          </cell>
          <cell r="E1602" t="str">
            <v>GLOBE VA</v>
          </cell>
          <cell r="F1602">
            <v>6</v>
          </cell>
          <cell r="G1602" t="str">
            <v>VL8010100000100</v>
          </cell>
          <cell r="H1602">
            <v>1</v>
          </cell>
          <cell r="I1602" t="str">
            <v>--</v>
          </cell>
          <cell r="J1602">
            <v>1</v>
          </cell>
          <cell r="K1602">
            <v>1</v>
          </cell>
        </row>
        <row r="1603">
          <cell r="A1603" t="str">
            <v>M1</v>
          </cell>
          <cell r="B1603" t="str">
            <v>A5C</v>
          </cell>
          <cell r="C1603" t="str">
            <v>N</v>
          </cell>
          <cell r="D1603" t="str">
            <v>22686</v>
          </cell>
          <cell r="E1603" t="str">
            <v>GLOBE VA</v>
          </cell>
          <cell r="F1603">
            <v>6</v>
          </cell>
          <cell r="G1603" t="str">
            <v>VL8010100000100</v>
          </cell>
          <cell r="H1603">
            <v>1</v>
          </cell>
          <cell r="I1603" t="str">
            <v>--</v>
          </cell>
          <cell r="J1603">
            <v>1</v>
          </cell>
          <cell r="K1603">
            <v>1</v>
          </cell>
        </row>
        <row r="1604">
          <cell r="A1604" t="str">
            <v>M1</v>
          </cell>
          <cell r="B1604" t="str">
            <v>A5C</v>
          </cell>
          <cell r="C1604" t="str">
            <v>N</v>
          </cell>
          <cell r="D1604" t="str">
            <v>22684</v>
          </cell>
          <cell r="E1604" t="str">
            <v>GLOBE VA</v>
          </cell>
          <cell r="F1604">
            <v>6</v>
          </cell>
          <cell r="G1604" t="str">
            <v>VL8010100000100</v>
          </cell>
          <cell r="H1604">
            <v>1</v>
          </cell>
          <cell r="I1604" t="str">
            <v>--</v>
          </cell>
          <cell r="J1604">
            <v>1</v>
          </cell>
          <cell r="K1604">
            <v>1</v>
          </cell>
        </row>
        <row r="1605">
          <cell r="A1605" t="str">
            <v>M1</v>
          </cell>
          <cell r="B1605" t="str">
            <v>A5C</v>
          </cell>
          <cell r="C1605" t="str">
            <v>P</v>
          </cell>
          <cell r="D1605" t="str">
            <v>22039</v>
          </cell>
          <cell r="E1605" t="str">
            <v>BALL VA</v>
          </cell>
          <cell r="F1605">
            <v>6</v>
          </cell>
          <cell r="G1605" t="str">
            <v>VB8010600000100</v>
          </cell>
          <cell r="H1605">
            <v>1</v>
          </cell>
          <cell r="I1605" t="str">
            <v>--</v>
          </cell>
          <cell r="J1605">
            <v>1</v>
          </cell>
          <cell r="K1605">
            <v>1</v>
          </cell>
        </row>
        <row r="1606">
          <cell r="A1606" t="str">
            <v>M1</v>
          </cell>
          <cell r="B1606" t="str">
            <v>A5C</v>
          </cell>
          <cell r="C1606" t="str">
            <v>P</v>
          </cell>
          <cell r="D1606" t="str">
            <v>22040</v>
          </cell>
          <cell r="E1606" t="str">
            <v>BALL VA</v>
          </cell>
          <cell r="F1606">
            <v>6</v>
          </cell>
          <cell r="G1606" t="str">
            <v>VB8010600000100</v>
          </cell>
          <cell r="H1606">
            <v>1</v>
          </cell>
          <cell r="I1606" t="str">
            <v>--</v>
          </cell>
          <cell r="J1606">
            <v>1</v>
          </cell>
          <cell r="K1606">
            <v>1</v>
          </cell>
        </row>
        <row r="1607">
          <cell r="A1607" t="str">
            <v>M1</v>
          </cell>
          <cell r="B1607" t="str">
            <v>A5C</v>
          </cell>
          <cell r="C1607" t="str">
            <v>P</v>
          </cell>
          <cell r="D1607" t="str">
            <v>22041</v>
          </cell>
          <cell r="E1607" t="str">
            <v>BALL VA</v>
          </cell>
          <cell r="F1607">
            <v>6</v>
          </cell>
          <cell r="G1607" t="str">
            <v>VB8010600000100</v>
          </cell>
          <cell r="H1607">
            <v>1</v>
          </cell>
          <cell r="I1607" t="str">
            <v>--</v>
          </cell>
          <cell r="J1607">
            <v>1</v>
          </cell>
          <cell r="K1607">
            <v>1</v>
          </cell>
        </row>
        <row r="1608">
          <cell r="A1608" t="str">
            <v>M1</v>
          </cell>
          <cell r="B1608" t="str">
            <v>A6C</v>
          </cell>
          <cell r="C1608" t="str">
            <v>HOS</v>
          </cell>
          <cell r="D1608" t="str">
            <v>65616</v>
          </cell>
          <cell r="E1608" t="str">
            <v>BELLOWS VA</v>
          </cell>
          <cell r="F1608">
            <v>6</v>
          </cell>
          <cell r="G1608" t="str">
            <v>VBE8010600000100</v>
          </cell>
          <cell r="H1608">
            <v>1</v>
          </cell>
          <cell r="I1608" t="str">
            <v>--</v>
          </cell>
          <cell r="J1608">
            <v>1</v>
          </cell>
          <cell r="K1608">
            <v>1</v>
          </cell>
        </row>
        <row r="1609">
          <cell r="A1609" t="str">
            <v>M1</v>
          </cell>
          <cell r="B1609" t="str">
            <v>A6C</v>
          </cell>
          <cell r="C1609" t="str">
            <v>HOS</v>
          </cell>
          <cell r="D1609" t="str">
            <v>65621</v>
          </cell>
          <cell r="E1609" t="str">
            <v>BELLOWS VA</v>
          </cell>
          <cell r="F1609">
            <v>6</v>
          </cell>
          <cell r="G1609" t="str">
            <v>VBE8010700000100</v>
          </cell>
          <cell r="H1609">
            <v>1</v>
          </cell>
          <cell r="I1609" t="str">
            <v>--</v>
          </cell>
          <cell r="J1609">
            <v>2</v>
          </cell>
          <cell r="K1609">
            <v>2</v>
          </cell>
        </row>
        <row r="1610">
          <cell r="A1610" t="str">
            <v>M1</v>
          </cell>
          <cell r="B1610" t="str">
            <v>A5C</v>
          </cell>
          <cell r="C1610" t="str">
            <v>P</v>
          </cell>
          <cell r="D1610" t="str">
            <v>22001</v>
          </cell>
          <cell r="E1610" t="str">
            <v>BELLOWS VA</v>
          </cell>
          <cell r="F1610">
            <v>6</v>
          </cell>
          <cell r="G1610" t="str">
            <v>VBE8010200000100</v>
          </cell>
          <cell r="H1610">
            <v>1</v>
          </cell>
          <cell r="I1610" t="str">
            <v>--</v>
          </cell>
          <cell r="J1610">
            <v>1</v>
          </cell>
          <cell r="K1610">
            <v>1</v>
          </cell>
        </row>
        <row r="1611">
          <cell r="A1611" t="str">
            <v>M1</v>
          </cell>
          <cell r="B1611" t="str">
            <v>A5C</v>
          </cell>
          <cell r="C1611" t="str">
            <v>P</v>
          </cell>
          <cell r="D1611" t="str">
            <v>22003</v>
          </cell>
          <cell r="E1611" t="str">
            <v>BELLOWS VA</v>
          </cell>
          <cell r="F1611">
            <v>6</v>
          </cell>
          <cell r="G1611" t="str">
            <v>VBE8010100000100</v>
          </cell>
          <cell r="H1611">
            <v>1</v>
          </cell>
          <cell r="I1611" t="str">
            <v>--</v>
          </cell>
          <cell r="J1611">
            <v>1</v>
          </cell>
          <cell r="K1611">
            <v>1</v>
          </cell>
        </row>
        <row r="1612">
          <cell r="A1612" t="str">
            <v>M1</v>
          </cell>
          <cell r="B1612" t="str">
            <v>A4C</v>
          </cell>
          <cell r="C1612" t="str">
            <v>P</v>
          </cell>
          <cell r="D1612" t="str">
            <v>22008</v>
          </cell>
          <cell r="E1612" t="str">
            <v>BALL VA</v>
          </cell>
          <cell r="F1612">
            <v>6</v>
          </cell>
          <cell r="G1612" t="str">
            <v>VB8010300000100</v>
          </cell>
          <cell r="H1612">
            <v>1</v>
          </cell>
          <cell r="I1612" t="str">
            <v>--</v>
          </cell>
          <cell r="J1612">
            <v>2</v>
          </cell>
          <cell r="K1612">
            <v>2</v>
          </cell>
        </row>
        <row r="1613">
          <cell r="A1613" t="str">
            <v>M1</v>
          </cell>
          <cell r="B1613" t="str">
            <v>A5C</v>
          </cell>
          <cell r="C1613" t="str">
            <v>TRIM</v>
          </cell>
          <cell r="D1613" t="str">
            <v>C-2201</v>
          </cell>
          <cell r="E1613" t="str">
            <v>BALL VA</v>
          </cell>
          <cell r="F1613">
            <v>6</v>
          </cell>
          <cell r="G1613" t="str">
            <v>VB8010600000100</v>
          </cell>
          <cell r="H1613">
            <v>1</v>
          </cell>
          <cell r="I1613" t="str">
            <v>--</v>
          </cell>
          <cell r="J1613">
            <v>2</v>
          </cell>
          <cell r="K1613">
            <v>2</v>
          </cell>
        </row>
        <row r="1614">
          <cell r="A1614" t="str">
            <v>M1</v>
          </cell>
          <cell r="B1614" t="str">
            <v>A6C</v>
          </cell>
          <cell r="C1614" t="str">
            <v>HOR</v>
          </cell>
          <cell r="D1614" t="str">
            <v>65622</v>
          </cell>
          <cell r="E1614" t="str">
            <v>BELLOWS VA</v>
          </cell>
          <cell r="F1614">
            <v>6</v>
          </cell>
          <cell r="G1614" t="str">
            <v>VBE8010700000100</v>
          </cell>
          <cell r="H1614">
            <v>1</v>
          </cell>
          <cell r="I1614" t="str">
            <v>--</v>
          </cell>
          <cell r="J1614">
            <v>2</v>
          </cell>
          <cell r="K1614">
            <v>2</v>
          </cell>
        </row>
        <row r="1615">
          <cell r="A1615" t="str">
            <v>M1</v>
          </cell>
          <cell r="B1615" t="str">
            <v>A6C</v>
          </cell>
          <cell r="C1615" t="str">
            <v>HOS</v>
          </cell>
          <cell r="D1615" t="str">
            <v>65613</v>
          </cell>
          <cell r="E1615" t="str">
            <v>BELLOWS VA</v>
          </cell>
          <cell r="F1615">
            <v>6</v>
          </cell>
          <cell r="G1615" t="str">
            <v>VBE8010800000100</v>
          </cell>
          <cell r="H1615">
            <v>1</v>
          </cell>
          <cell r="I1615" t="str">
            <v>--</v>
          </cell>
          <cell r="J1615">
            <v>2</v>
          </cell>
          <cell r="K1615">
            <v>2</v>
          </cell>
        </row>
        <row r="1616">
          <cell r="A1616" t="str">
            <v>M1</v>
          </cell>
          <cell r="B1616" t="str">
            <v>A6C</v>
          </cell>
          <cell r="C1616" t="str">
            <v>HOS</v>
          </cell>
          <cell r="D1616" t="str">
            <v>65613</v>
          </cell>
          <cell r="E1616" t="str">
            <v>BELLOWS VA</v>
          </cell>
          <cell r="F1616">
            <v>6</v>
          </cell>
          <cell r="G1616" t="str">
            <v>VBE8010700000100</v>
          </cell>
          <cell r="H1616">
            <v>1</v>
          </cell>
          <cell r="I1616" t="str">
            <v>--</v>
          </cell>
          <cell r="J1616">
            <v>1</v>
          </cell>
          <cell r="K1616">
            <v>1</v>
          </cell>
        </row>
        <row r="1617">
          <cell r="A1617" t="str">
            <v>M1</v>
          </cell>
          <cell r="B1617" t="str">
            <v>A6C</v>
          </cell>
          <cell r="C1617" t="str">
            <v>HOS</v>
          </cell>
          <cell r="D1617" t="str">
            <v>65624</v>
          </cell>
          <cell r="E1617" t="str">
            <v>BELLOWS VA</v>
          </cell>
          <cell r="F1617">
            <v>6</v>
          </cell>
          <cell r="G1617" t="str">
            <v>VBE8010700000100</v>
          </cell>
          <cell r="H1617">
            <v>1</v>
          </cell>
          <cell r="I1617" t="str">
            <v>--</v>
          </cell>
          <cell r="J1617">
            <v>1</v>
          </cell>
          <cell r="K1617">
            <v>1</v>
          </cell>
        </row>
        <row r="1618">
          <cell r="A1618" t="str">
            <v>M1</v>
          </cell>
          <cell r="B1618" t="str">
            <v>A6C</v>
          </cell>
          <cell r="C1618" t="str">
            <v>HOS</v>
          </cell>
          <cell r="D1618" t="str">
            <v>65625</v>
          </cell>
          <cell r="E1618" t="str">
            <v>BELLOWS VA</v>
          </cell>
          <cell r="F1618">
            <v>6</v>
          </cell>
          <cell r="G1618" t="str">
            <v>VBE8010700000100</v>
          </cell>
          <cell r="H1618">
            <v>1</v>
          </cell>
          <cell r="I1618" t="str">
            <v>--</v>
          </cell>
          <cell r="J1618">
            <v>1</v>
          </cell>
          <cell r="K1618">
            <v>1</v>
          </cell>
        </row>
        <row r="1619">
          <cell r="A1619" t="str">
            <v>M1</v>
          </cell>
          <cell r="B1619" t="str">
            <v>A4C</v>
          </cell>
          <cell r="C1619" t="str">
            <v>N</v>
          </cell>
          <cell r="D1619" t="str">
            <v>22662</v>
          </cell>
          <cell r="E1619" t="str">
            <v>BALL VA</v>
          </cell>
          <cell r="F1619">
            <v>6</v>
          </cell>
          <cell r="G1619" t="str">
            <v>VB8010300001H00</v>
          </cell>
          <cell r="H1619">
            <v>1.5</v>
          </cell>
          <cell r="I1619" t="str">
            <v>--</v>
          </cell>
          <cell r="J1619">
            <v>1</v>
          </cell>
          <cell r="K1619">
            <v>1</v>
          </cell>
        </row>
        <row r="1620">
          <cell r="A1620" t="str">
            <v>M1</v>
          </cell>
          <cell r="B1620" t="str">
            <v>A5C</v>
          </cell>
          <cell r="C1620" t="str">
            <v>P</v>
          </cell>
          <cell r="D1620" t="str">
            <v>22036</v>
          </cell>
          <cell r="E1620" t="str">
            <v>BALL VA</v>
          </cell>
          <cell r="F1620">
            <v>6</v>
          </cell>
          <cell r="G1620" t="str">
            <v>VB8010600001H00</v>
          </cell>
          <cell r="H1620">
            <v>1.5</v>
          </cell>
          <cell r="I1620" t="str">
            <v>--</v>
          </cell>
          <cell r="J1620">
            <v>2</v>
          </cell>
          <cell r="K1620">
            <v>2</v>
          </cell>
        </row>
        <row r="1621">
          <cell r="A1621" t="str">
            <v>M1</v>
          </cell>
          <cell r="B1621" t="str">
            <v>A5C</v>
          </cell>
          <cell r="C1621" t="str">
            <v>P</v>
          </cell>
          <cell r="D1621" t="str">
            <v>22045</v>
          </cell>
          <cell r="E1621" t="str">
            <v>BALL VA</v>
          </cell>
          <cell r="F1621">
            <v>6</v>
          </cell>
          <cell r="G1621" t="str">
            <v>VB8010600001H00</v>
          </cell>
          <cell r="H1621">
            <v>1.5</v>
          </cell>
          <cell r="I1621" t="str">
            <v>--</v>
          </cell>
          <cell r="J1621">
            <v>4</v>
          </cell>
          <cell r="K1621">
            <v>4</v>
          </cell>
        </row>
        <row r="1622">
          <cell r="A1622" t="str">
            <v>M1</v>
          </cell>
          <cell r="B1622" t="str">
            <v>A5C</v>
          </cell>
          <cell r="C1622" t="str">
            <v>P</v>
          </cell>
          <cell r="D1622" t="str">
            <v>22070</v>
          </cell>
          <cell r="E1622" t="str">
            <v>BALL VA</v>
          </cell>
          <cell r="F1622">
            <v>6</v>
          </cell>
          <cell r="G1622" t="str">
            <v>VB8010600001H00</v>
          </cell>
          <cell r="H1622">
            <v>1.5</v>
          </cell>
          <cell r="I1622" t="str">
            <v>--</v>
          </cell>
          <cell r="J1622">
            <v>1</v>
          </cell>
          <cell r="K1622">
            <v>1</v>
          </cell>
        </row>
        <row r="1623">
          <cell r="A1623" t="str">
            <v>M1</v>
          </cell>
          <cell r="B1623" t="str">
            <v>A5C</v>
          </cell>
          <cell r="C1623" t="str">
            <v>P</v>
          </cell>
          <cell r="D1623" t="str">
            <v>22071</v>
          </cell>
          <cell r="E1623" t="str">
            <v>BALL VA</v>
          </cell>
          <cell r="F1623">
            <v>6</v>
          </cell>
          <cell r="G1623" t="str">
            <v>VB8010600001H00</v>
          </cell>
          <cell r="H1623">
            <v>1.5</v>
          </cell>
          <cell r="I1623" t="str">
            <v>--</v>
          </cell>
          <cell r="J1623">
            <v>1</v>
          </cell>
          <cell r="K1623">
            <v>1</v>
          </cell>
        </row>
        <row r="1624">
          <cell r="A1624" t="str">
            <v>M1</v>
          </cell>
          <cell r="B1624" t="str">
            <v>A5C</v>
          </cell>
          <cell r="C1624" t="str">
            <v>P</v>
          </cell>
          <cell r="D1624" t="str">
            <v>22078</v>
          </cell>
          <cell r="E1624" t="str">
            <v>BALL VA</v>
          </cell>
          <cell r="F1624">
            <v>6</v>
          </cell>
          <cell r="G1624" t="str">
            <v>VB8010600001H00</v>
          </cell>
          <cell r="H1624">
            <v>1.5</v>
          </cell>
          <cell r="I1624" t="str">
            <v>--</v>
          </cell>
          <cell r="J1624">
            <v>3</v>
          </cell>
          <cell r="K1624">
            <v>3</v>
          </cell>
        </row>
        <row r="1625">
          <cell r="A1625" t="str">
            <v>M1</v>
          </cell>
          <cell r="B1625" t="str">
            <v>A5C</v>
          </cell>
          <cell r="C1625" t="str">
            <v>P</v>
          </cell>
          <cell r="D1625" t="str">
            <v>22087</v>
          </cell>
          <cell r="E1625" t="str">
            <v>BALL VA</v>
          </cell>
          <cell r="F1625">
            <v>6</v>
          </cell>
          <cell r="G1625" t="str">
            <v>VB8010600001H00</v>
          </cell>
          <cell r="H1625">
            <v>1.5</v>
          </cell>
          <cell r="I1625" t="str">
            <v>--</v>
          </cell>
          <cell r="J1625">
            <v>1</v>
          </cell>
          <cell r="K1625">
            <v>1</v>
          </cell>
        </row>
        <row r="1626">
          <cell r="A1626" t="str">
            <v>M1</v>
          </cell>
          <cell r="B1626" t="str">
            <v>A5C</v>
          </cell>
          <cell r="C1626" t="str">
            <v>P</v>
          </cell>
          <cell r="D1626" t="str">
            <v>22071</v>
          </cell>
          <cell r="E1626" t="str">
            <v>BALL VA</v>
          </cell>
          <cell r="F1626">
            <v>6</v>
          </cell>
          <cell r="G1626" t="str">
            <v>VB8010600001H00</v>
          </cell>
          <cell r="H1626">
            <v>1.5</v>
          </cell>
          <cell r="I1626" t="str">
            <v>--</v>
          </cell>
          <cell r="J1626">
            <v>2</v>
          </cell>
          <cell r="K1626">
            <v>2</v>
          </cell>
        </row>
        <row r="1627">
          <cell r="A1627" t="str">
            <v>M1</v>
          </cell>
          <cell r="B1627" t="str">
            <v>A5C</v>
          </cell>
          <cell r="C1627" t="str">
            <v>P</v>
          </cell>
          <cell r="D1627" t="str">
            <v>22079</v>
          </cell>
          <cell r="E1627" t="str">
            <v>BALL VA</v>
          </cell>
          <cell r="F1627">
            <v>6</v>
          </cell>
          <cell r="G1627" t="str">
            <v>VB8010600001H00</v>
          </cell>
          <cell r="H1627">
            <v>1.5</v>
          </cell>
          <cell r="I1627" t="str">
            <v>--</v>
          </cell>
          <cell r="J1627">
            <v>1</v>
          </cell>
          <cell r="K1627">
            <v>1</v>
          </cell>
        </row>
        <row r="1628">
          <cell r="A1628" t="str">
            <v>M1</v>
          </cell>
          <cell r="B1628" t="str">
            <v>A5C</v>
          </cell>
          <cell r="C1628" t="str">
            <v>P</v>
          </cell>
          <cell r="D1628" t="str">
            <v>22102</v>
          </cell>
          <cell r="E1628" t="str">
            <v>BALL VA</v>
          </cell>
          <cell r="F1628">
            <v>6</v>
          </cell>
          <cell r="G1628" t="str">
            <v>VB8010600001H00</v>
          </cell>
          <cell r="H1628">
            <v>1.5</v>
          </cell>
          <cell r="I1628" t="str">
            <v>--</v>
          </cell>
          <cell r="J1628">
            <v>4</v>
          </cell>
          <cell r="K1628">
            <v>4</v>
          </cell>
        </row>
        <row r="1629">
          <cell r="A1629" t="str">
            <v>M1</v>
          </cell>
          <cell r="B1629" t="str">
            <v>A5C</v>
          </cell>
          <cell r="C1629" t="str">
            <v>P</v>
          </cell>
          <cell r="D1629" t="str">
            <v>22102</v>
          </cell>
          <cell r="E1629" t="str">
            <v>BALL VA</v>
          </cell>
          <cell r="F1629">
            <v>6</v>
          </cell>
          <cell r="G1629" t="str">
            <v>VB8010600001H00</v>
          </cell>
          <cell r="H1629">
            <v>1.5</v>
          </cell>
          <cell r="I1629" t="str">
            <v>--</v>
          </cell>
          <cell r="J1629">
            <v>5</v>
          </cell>
          <cell r="K1629">
            <v>5</v>
          </cell>
        </row>
        <row r="1630">
          <cell r="A1630" t="str">
            <v>M1</v>
          </cell>
          <cell r="B1630" t="str">
            <v>A5C</v>
          </cell>
          <cell r="C1630" t="str">
            <v>P</v>
          </cell>
          <cell r="D1630" t="str">
            <v>22108</v>
          </cell>
          <cell r="E1630" t="str">
            <v>BALL VA</v>
          </cell>
          <cell r="F1630">
            <v>6</v>
          </cell>
          <cell r="G1630" t="str">
            <v>VB8010600001H00</v>
          </cell>
          <cell r="H1630">
            <v>1.5</v>
          </cell>
          <cell r="I1630" t="str">
            <v>--</v>
          </cell>
          <cell r="J1630">
            <v>1</v>
          </cell>
          <cell r="K1630">
            <v>1</v>
          </cell>
        </row>
        <row r="1631">
          <cell r="A1631" t="str">
            <v>M1</v>
          </cell>
          <cell r="B1631" t="str">
            <v>A5C</v>
          </cell>
          <cell r="C1631" t="str">
            <v>P</v>
          </cell>
          <cell r="D1631" t="str">
            <v>22109</v>
          </cell>
          <cell r="E1631" t="str">
            <v>BALL VA</v>
          </cell>
          <cell r="F1631">
            <v>6</v>
          </cell>
          <cell r="G1631" t="str">
            <v>VB8010600001H00</v>
          </cell>
          <cell r="H1631">
            <v>1.5</v>
          </cell>
          <cell r="I1631" t="str">
            <v>--</v>
          </cell>
          <cell r="J1631">
            <v>3</v>
          </cell>
          <cell r="K1631">
            <v>3</v>
          </cell>
        </row>
        <row r="1632">
          <cell r="A1632" t="str">
            <v>M1</v>
          </cell>
          <cell r="B1632" t="str">
            <v>A5C</v>
          </cell>
          <cell r="C1632" t="str">
            <v>P</v>
          </cell>
          <cell r="D1632" t="str">
            <v>22114</v>
          </cell>
          <cell r="E1632" t="str">
            <v>BALL VA</v>
          </cell>
          <cell r="F1632">
            <v>6</v>
          </cell>
          <cell r="G1632" t="str">
            <v>VB8010600001H00</v>
          </cell>
          <cell r="H1632">
            <v>1.5</v>
          </cell>
          <cell r="I1632" t="str">
            <v>--</v>
          </cell>
          <cell r="J1632">
            <v>1</v>
          </cell>
          <cell r="K1632">
            <v>1</v>
          </cell>
        </row>
        <row r="1633">
          <cell r="A1633" t="str">
            <v>M1</v>
          </cell>
          <cell r="B1633" t="str">
            <v>A5C</v>
          </cell>
          <cell r="C1633" t="str">
            <v>P</v>
          </cell>
          <cell r="D1633" t="str">
            <v>22157</v>
          </cell>
          <cell r="E1633" t="str">
            <v>BALL VA</v>
          </cell>
          <cell r="F1633">
            <v>6</v>
          </cell>
          <cell r="G1633" t="str">
            <v>VB8010600001H00</v>
          </cell>
          <cell r="H1633">
            <v>1.5</v>
          </cell>
          <cell r="I1633" t="str">
            <v>--</v>
          </cell>
          <cell r="J1633">
            <v>3</v>
          </cell>
          <cell r="K1633">
            <v>3</v>
          </cell>
        </row>
        <row r="1634">
          <cell r="A1634" t="str">
            <v>M1</v>
          </cell>
          <cell r="B1634" t="str">
            <v>A5C</v>
          </cell>
          <cell r="C1634" t="str">
            <v>P</v>
          </cell>
          <cell r="D1634" t="str">
            <v>22158</v>
          </cell>
          <cell r="E1634" t="str">
            <v>BALL VA</v>
          </cell>
          <cell r="F1634">
            <v>6</v>
          </cell>
          <cell r="G1634" t="str">
            <v>VB8010600001H00</v>
          </cell>
          <cell r="H1634">
            <v>1.5</v>
          </cell>
          <cell r="I1634" t="str">
            <v>--</v>
          </cell>
          <cell r="J1634">
            <v>1</v>
          </cell>
          <cell r="K1634">
            <v>1</v>
          </cell>
        </row>
        <row r="1635">
          <cell r="A1635" t="str">
            <v>M1</v>
          </cell>
          <cell r="B1635" t="str">
            <v>A5C</v>
          </cell>
          <cell r="C1635" t="str">
            <v>P</v>
          </cell>
          <cell r="D1635" t="str">
            <v>22071</v>
          </cell>
          <cell r="E1635" t="str">
            <v>BALL VA</v>
          </cell>
          <cell r="F1635">
            <v>6</v>
          </cell>
          <cell r="G1635" t="str">
            <v>VB8010600001H00</v>
          </cell>
          <cell r="H1635">
            <v>1.5</v>
          </cell>
          <cell r="I1635" t="str">
            <v>--</v>
          </cell>
          <cell r="J1635">
            <v>3</v>
          </cell>
          <cell r="K1635">
            <v>3</v>
          </cell>
        </row>
        <row r="1636">
          <cell r="A1636" t="str">
            <v>M1</v>
          </cell>
          <cell r="B1636" t="str">
            <v>A5C</v>
          </cell>
          <cell r="C1636" t="str">
            <v>P</v>
          </cell>
          <cell r="D1636" t="str">
            <v>22104</v>
          </cell>
          <cell r="E1636" t="str">
            <v>BALL VA</v>
          </cell>
          <cell r="F1636">
            <v>6</v>
          </cell>
          <cell r="G1636" t="str">
            <v>VB8010600001H00</v>
          </cell>
          <cell r="H1636">
            <v>1.5</v>
          </cell>
          <cell r="I1636" t="str">
            <v>--</v>
          </cell>
          <cell r="J1636">
            <v>2</v>
          </cell>
          <cell r="K1636">
            <v>2</v>
          </cell>
        </row>
        <row r="1637">
          <cell r="A1637" t="str">
            <v>M1</v>
          </cell>
          <cell r="B1637" t="str">
            <v>A4C</v>
          </cell>
          <cell r="C1637" t="str">
            <v>N</v>
          </cell>
          <cell r="D1637" t="str">
            <v>22662</v>
          </cell>
          <cell r="E1637" t="str">
            <v>CHECK VA</v>
          </cell>
          <cell r="F1637">
            <v>6</v>
          </cell>
          <cell r="G1637" t="str">
            <v>VCB8010200001H00</v>
          </cell>
          <cell r="H1637">
            <v>1.5</v>
          </cell>
          <cell r="I1637" t="str">
            <v>--</v>
          </cell>
          <cell r="J1637">
            <v>1</v>
          </cell>
          <cell r="K1637">
            <v>1</v>
          </cell>
        </row>
        <row r="1638">
          <cell r="A1638" t="str">
            <v>M1</v>
          </cell>
          <cell r="B1638" t="str">
            <v>A5C</v>
          </cell>
          <cell r="C1638" t="str">
            <v>P</v>
          </cell>
          <cell r="D1638" t="str">
            <v>22071</v>
          </cell>
          <cell r="E1638" t="str">
            <v>CHECK VA</v>
          </cell>
          <cell r="F1638">
            <v>6</v>
          </cell>
          <cell r="G1638" t="str">
            <v>VCB8010400001H00</v>
          </cell>
          <cell r="H1638">
            <v>1.5</v>
          </cell>
          <cell r="I1638" t="str">
            <v>--</v>
          </cell>
          <cell r="J1638">
            <v>2</v>
          </cell>
          <cell r="K1638">
            <v>2</v>
          </cell>
        </row>
        <row r="1639">
          <cell r="A1639" t="str">
            <v>M1</v>
          </cell>
          <cell r="B1639" t="str">
            <v>A5C</v>
          </cell>
          <cell r="C1639" t="str">
            <v>P</v>
          </cell>
          <cell r="D1639" t="str">
            <v>22158</v>
          </cell>
          <cell r="E1639" t="str">
            <v>GLOBE VA</v>
          </cell>
          <cell r="F1639">
            <v>6</v>
          </cell>
          <cell r="G1639" t="str">
            <v>VL8010100001H00</v>
          </cell>
          <cell r="H1639">
            <v>1.5</v>
          </cell>
          <cell r="I1639" t="str">
            <v>--</v>
          </cell>
          <cell r="J1639">
            <v>1</v>
          </cell>
          <cell r="K1639">
            <v>1</v>
          </cell>
        </row>
        <row r="1640">
          <cell r="A1640" t="str">
            <v>M1</v>
          </cell>
          <cell r="B1640" t="str">
            <v>A5C</v>
          </cell>
          <cell r="C1640" t="str">
            <v>P</v>
          </cell>
          <cell r="D1640" t="str">
            <v>22099</v>
          </cell>
          <cell r="E1640" t="str">
            <v>BALL VA</v>
          </cell>
          <cell r="F1640">
            <v>6</v>
          </cell>
          <cell r="G1640" t="str">
            <v>VB8010600001H00</v>
          </cell>
          <cell r="H1640">
            <v>1.5</v>
          </cell>
          <cell r="I1640" t="str">
            <v>--</v>
          </cell>
          <cell r="J1640">
            <v>1</v>
          </cell>
          <cell r="K1640">
            <v>1</v>
          </cell>
        </row>
        <row r="1641">
          <cell r="A1641" t="str">
            <v>M1</v>
          </cell>
          <cell r="B1641" t="str">
            <v>A5C</v>
          </cell>
          <cell r="C1641" t="str">
            <v>P</v>
          </cell>
          <cell r="D1641" t="str">
            <v>22039</v>
          </cell>
          <cell r="E1641" t="str">
            <v>BALL VA</v>
          </cell>
          <cell r="F1641">
            <v>6</v>
          </cell>
          <cell r="G1641" t="str">
            <v>VB8010600001H00</v>
          </cell>
          <cell r="H1641">
            <v>1.5</v>
          </cell>
          <cell r="I1641" t="str">
            <v>--</v>
          </cell>
          <cell r="J1641">
            <v>1</v>
          </cell>
          <cell r="K1641">
            <v>1</v>
          </cell>
        </row>
        <row r="1642">
          <cell r="A1642" t="str">
            <v>M1</v>
          </cell>
          <cell r="B1642" t="str">
            <v>A5C</v>
          </cell>
          <cell r="C1642" t="str">
            <v>P</v>
          </cell>
          <cell r="D1642" t="str">
            <v>22040</v>
          </cell>
          <cell r="E1642" t="str">
            <v>BALL VA</v>
          </cell>
          <cell r="F1642">
            <v>6</v>
          </cell>
          <cell r="G1642" t="str">
            <v>VB8010600001H00</v>
          </cell>
          <cell r="H1642">
            <v>1.5</v>
          </cell>
          <cell r="I1642" t="str">
            <v>--</v>
          </cell>
          <cell r="J1642">
            <v>1</v>
          </cell>
          <cell r="K1642">
            <v>1</v>
          </cell>
        </row>
        <row r="1643">
          <cell r="A1643" t="str">
            <v>M1</v>
          </cell>
          <cell r="B1643" t="str">
            <v>A5C</v>
          </cell>
          <cell r="C1643" t="str">
            <v>P</v>
          </cell>
          <cell r="D1643" t="str">
            <v>22041</v>
          </cell>
          <cell r="E1643" t="str">
            <v>BALL VA</v>
          </cell>
          <cell r="F1643">
            <v>6</v>
          </cell>
          <cell r="G1643" t="str">
            <v>VB8010600001H00</v>
          </cell>
          <cell r="H1643">
            <v>1.5</v>
          </cell>
          <cell r="I1643" t="str">
            <v>--</v>
          </cell>
          <cell r="J1643">
            <v>1</v>
          </cell>
          <cell r="K1643">
            <v>1</v>
          </cell>
        </row>
        <row r="1644">
          <cell r="A1644" t="str">
            <v>M1</v>
          </cell>
          <cell r="B1644" t="str">
            <v>A6C</v>
          </cell>
          <cell r="C1644" t="str">
            <v>HOS</v>
          </cell>
          <cell r="D1644" t="str">
            <v>65618</v>
          </cell>
          <cell r="E1644" t="str">
            <v>BELLOWS VA</v>
          </cell>
          <cell r="F1644">
            <v>6</v>
          </cell>
          <cell r="G1644" t="str">
            <v>VBE8010700001H00</v>
          </cell>
          <cell r="H1644">
            <v>1.5</v>
          </cell>
          <cell r="I1644" t="str">
            <v>--</v>
          </cell>
          <cell r="J1644">
            <v>1</v>
          </cell>
          <cell r="K1644">
            <v>1</v>
          </cell>
        </row>
        <row r="1645">
          <cell r="A1645" t="str">
            <v>M1</v>
          </cell>
          <cell r="B1645" t="str">
            <v>A6C</v>
          </cell>
          <cell r="C1645" t="str">
            <v>HOS</v>
          </cell>
          <cell r="D1645" t="str">
            <v>65623</v>
          </cell>
          <cell r="E1645" t="str">
            <v>BELLOWS VA</v>
          </cell>
          <cell r="F1645">
            <v>6</v>
          </cell>
          <cell r="G1645" t="str">
            <v>VBE8010600001H00</v>
          </cell>
          <cell r="H1645">
            <v>1.5</v>
          </cell>
          <cell r="I1645" t="str">
            <v>--</v>
          </cell>
          <cell r="J1645">
            <v>1</v>
          </cell>
          <cell r="K1645">
            <v>1</v>
          </cell>
        </row>
        <row r="1646">
          <cell r="A1646" t="str">
            <v>M1</v>
          </cell>
          <cell r="B1646" t="str">
            <v>A5C</v>
          </cell>
          <cell r="C1646" t="str">
            <v>P</v>
          </cell>
          <cell r="D1646" t="str">
            <v>22040</v>
          </cell>
          <cell r="E1646" t="str">
            <v>GLOBE VA</v>
          </cell>
          <cell r="F1646">
            <v>6</v>
          </cell>
          <cell r="G1646" t="str">
            <v>VL8010100001H00</v>
          </cell>
          <cell r="H1646">
            <v>1.5</v>
          </cell>
          <cell r="I1646" t="str">
            <v>--</v>
          </cell>
          <cell r="J1646">
            <v>1</v>
          </cell>
          <cell r="K1646">
            <v>1</v>
          </cell>
        </row>
        <row r="1647">
          <cell r="A1647" t="str">
            <v>M1</v>
          </cell>
          <cell r="B1647" t="str">
            <v>A5C</v>
          </cell>
          <cell r="C1647" t="str">
            <v>P</v>
          </cell>
          <cell r="D1647" t="str">
            <v>22041</v>
          </cell>
          <cell r="E1647" t="str">
            <v>GLOBE VA</v>
          </cell>
          <cell r="F1647">
            <v>6</v>
          </cell>
          <cell r="G1647" t="str">
            <v>VL8010100001H00</v>
          </cell>
          <cell r="H1647">
            <v>1.5</v>
          </cell>
          <cell r="I1647" t="str">
            <v>--</v>
          </cell>
          <cell r="J1647">
            <v>1</v>
          </cell>
          <cell r="K1647">
            <v>1</v>
          </cell>
        </row>
        <row r="1648">
          <cell r="A1648" t="str">
            <v>M1</v>
          </cell>
          <cell r="B1648" t="str">
            <v>A5C</v>
          </cell>
          <cell r="C1648" t="str">
            <v>P</v>
          </cell>
          <cell r="D1648" t="str">
            <v>22039</v>
          </cell>
          <cell r="E1648" t="str">
            <v>GLOBE VA</v>
          </cell>
          <cell r="F1648">
            <v>6</v>
          </cell>
          <cell r="G1648" t="str">
            <v>VL8010100001H00</v>
          </cell>
          <cell r="H1648">
            <v>1.5</v>
          </cell>
          <cell r="I1648" t="str">
            <v>--</v>
          </cell>
          <cell r="J1648">
            <v>1</v>
          </cell>
          <cell r="K1648">
            <v>1</v>
          </cell>
        </row>
        <row r="1649">
          <cell r="A1649" t="str">
            <v>M1</v>
          </cell>
          <cell r="B1649" t="str">
            <v>A5C</v>
          </cell>
          <cell r="C1649" t="str">
            <v>P</v>
          </cell>
          <cell r="D1649" t="str">
            <v>22064</v>
          </cell>
          <cell r="E1649" t="str">
            <v>BALL VA</v>
          </cell>
          <cell r="F1649">
            <v>6</v>
          </cell>
          <cell r="G1649" t="str">
            <v>VB8010600001H00</v>
          </cell>
          <cell r="H1649">
            <v>1.5</v>
          </cell>
          <cell r="I1649" t="str">
            <v>--</v>
          </cell>
          <cell r="J1649">
            <v>1</v>
          </cell>
          <cell r="K1649">
            <v>1</v>
          </cell>
        </row>
        <row r="1650">
          <cell r="A1650" t="str">
            <v>M1</v>
          </cell>
          <cell r="B1650" t="str">
            <v>A5C</v>
          </cell>
          <cell r="C1650" t="str">
            <v>P</v>
          </cell>
          <cell r="D1650" t="str">
            <v>22085</v>
          </cell>
          <cell r="E1650" t="str">
            <v>BALL VA</v>
          </cell>
          <cell r="F1650">
            <v>6</v>
          </cell>
          <cell r="G1650" t="str">
            <v>VB8010600001H00</v>
          </cell>
          <cell r="H1650">
            <v>1.5</v>
          </cell>
          <cell r="I1650" t="str">
            <v>--</v>
          </cell>
          <cell r="J1650">
            <v>1</v>
          </cell>
          <cell r="K1650">
            <v>1</v>
          </cell>
        </row>
        <row r="1651">
          <cell r="A1651" t="str">
            <v>M1</v>
          </cell>
          <cell r="B1651" t="str">
            <v>A5C</v>
          </cell>
          <cell r="C1651" t="str">
            <v>P</v>
          </cell>
          <cell r="D1651" t="str">
            <v>22111</v>
          </cell>
          <cell r="E1651" t="str">
            <v>BALL VA</v>
          </cell>
          <cell r="F1651">
            <v>6</v>
          </cell>
          <cell r="G1651" t="str">
            <v>VB8010600001H00</v>
          </cell>
          <cell r="H1651">
            <v>1.5</v>
          </cell>
          <cell r="I1651" t="str">
            <v>--</v>
          </cell>
          <cell r="J1651">
            <v>5</v>
          </cell>
          <cell r="K1651">
            <v>5</v>
          </cell>
        </row>
        <row r="1652">
          <cell r="A1652" t="str">
            <v>M1</v>
          </cell>
          <cell r="B1652" t="str">
            <v>A6C</v>
          </cell>
          <cell r="C1652" t="str">
            <v>HOS</v>
          </cell>
          <cell r="D1652" t="str">
            <v>65632</v>
          </cell>
          <cell r="E1652" t="str">
            <v>BELLOWS VA</v>
          </cell>
          <cell r="F1652">
            <v>6</v>
          </cell>
          <cell r="G1652" t="str">
            <v>VBE8010700001H00</v>
          </cell>
          <cell r="H1652">
            <v>1.5</v>
          </cell>
          <cell r="I1652" t="str">
            <v>--</v>
          </cell>
          <cell r="J1652">
            <v>4</v>
          </cell>
          <cell r="K1652">
            <v>4</v>
          </cell>
        </row>
        <row r="1653">
          <cell r="A1653" t="str">
            <v>M1</v>
          </cell>
          <cell r="B1653" t="str">
            <v>A6C</v>
          </cell>
          <cell r="C1653" t="str">
            <v>HOS</v>
          </cell>
          <cell r="D1653" t="str">
            <v>65633</v>
          </cell>
          <cell r="E1653" t="str">
            <v>BELLOWS VA</v>
          </cell>
          <cell r="F1653">
            <v>6</v>
          </cell>
          <cell r="G1653" t="str">
            <v>VBE8010600001H00</v>
          </cell>
          <cell r="H1653">
            <v>1.5</v>
          </cell>
          <cell r="I1653" t="str">
            <v>--</v>
          </cell>
          <cell r="J1653">
            <v>1</v>
          </cell>
          <cell r="K1653">
            <v>1</v>
          </cell>
        </row>
        <row r="1654">
          <cell r="A1654" t="str">
            <v>M1</v>
          </cell>
          <cell r="B1654" t="str">
            <v>A6C</v>
          </cell>
          <cell r="C1654" t="str">
            <v>HOS</v>
          </cell>
          <cell r="D1654" t="str">
            <v>65611</v>
          </cell>
          <cell r="E1654" t="str">
            <v>BELLOWS VA</v>
          </cell>
          <cell r="F1654">
            <v>6</v>
          </cell>
          <cell r="G1654" t="str">
            <v>VBE8010700001H00</v>
          </cell>
          <cell r="H1654">
            <v>1.5</v>
          </cell>
          <cell r="I1654" t="str">
            <v>--</v>
          </cell>
          <cell r="J1654">
            <v>1</v>
          </cell>
          <cell r="K1654">
            <v>1</v>
          </cell>
        </row>
        <row r="1655">
          <cell r="A1655" t="str">
            <v>M1</v>
          </cell>
          <cell r="B1655" t="str">
            <v>A5C</v>
          </cell>
          <cell r="C1655" t="str">
            <v>P</v>
          </cell>
          <cell r="D1655" t="str">
            <v>22002</v>
          </cell>
          <cell r="E1655" t="str">
            <v>BELLOWS VA</v>
          </cell>
          <cell r="F1655">
            <v>6</v>
          </cell>
          <cell r="G1655" t="str">
            <v>VBE8010100001H00</v>
          </cell>
          <cell r="H1655">
            <v>1.5</v>
          </cell>
          <cell r="I1655" t="str">
            <v>--</v>
          </cell>
          <cell r="J1655">
            <v>2</v>
          </cell>
          <cell r="K1655">
            <v>2</v>
          </cell>
        </row>
        <row r="1656">
          <cell r="A1656" t="str">
            <v>M1</v>
          </cell>
          <cell r="B1656" t="str">
            <v>A6C</v>
          </cell>
          <cell r="C1656" t="str">
            <v>HOS</v>
          </cell>
          <cell r="D1656" t="str">
            <v>65633</v>
          </cell>
          <cell r="E1656" t="str">
            <v>CHECK VA</v>
          </cell>
          <cell r="F1656">
            <v>6</v>
          </cell>
          <cell r="G1656" t="str">
            <v>VCB8010300001H00</v>
          </cell>
          <cell r="H1656">
            <v>1.5</v>
          </cell>
          <cell r="I1656" t="str">
            <v>--</v>
          </cell>
          <cell r="J1656">
            <v>1</v>
          </cell>
          <cell r="K1656">
            <v>1</v>
          </cell>
        </row>
        <row r="1657">
          <cell r="A1657" t="str">
            <v>M1</v>
          </cell>
          <cell r="B1657" t="str">
            <v>A5C</v>
          </cell>
          <cell r="C1657" t="str">
            <v>P</v>
          </cell>
          <cell r="D1657" t="str">
            <v>22004</v>
          </cell>
          <cell r="E1657" t="str">
            <v>CHECK VA</v>
          </cell>
          <cell r="F1657">
            <v>6</v>
          </cell>
          <cell r="G1657" t="str">
            <v>VCB8010400001H00</v>
          </cell>
          <cell r="H1657">
            <v>1.5</v>
          </cell>
          <cell r="I1657" t="str">
            <v>--</v>
          </cell>
          <cell r="J1657">
            <v>1</v>
          </cell>
          <cell r="K1657">
            <v>1</v>
          </cell>
        </row>
        <row r="1658">
          <cell r="A1658" t="str">
            <v>M1</v>
          </cell>
          <cell r="B1658" t="str">
            <v>A5C</v>
          </cell>
          <cell r="C1658" t="str">
            <v>P</v>
          </cell>
          <cell r="D1658" t="str">
            <v>22085</v>
          </cell>
          <cell r="E1658" t="str">
            <v>CHECK VA</v>
          </cell>
          <cell r="F1658">
            <v>6</v>
          </cell>
          <cell r="G1658" t="str">
            <v>VCB8010400001H00</v>
          </cell>
          <cell r="H1658">
            <v>1.5</v>
          </cell>
          <cell r="I1658" t="str">
            <v>--</v>
          </cell>
          <cell r="J1658">
            <v>1</v>
          </cell>
          <cell r="K1658">
            <v>1</v>
          </cell>
        </row>
        <row r="1659">
          <cell r="A1659" t="str">
            <v>M1</v>
          </cell>
          <cell r="B1659" t="str">
            <v>A5C</v>
          </cell>
          <cell r="C1659" t="str">
            <v>RW</v>
          </cell>
          <cell r="D1659" t="str">
            <v>25611</v>
          </cell>
          <cell r="E1659" t="str">
            <v>GLOBE VA</v>
          </cell>
          <cell r="F1659">
            <v>6</v>
          </cell>
          <cell r="G1659" t="str">
            <v>VL8010100001H00</v>
          </cell>
          <cell r="H1659">
            <v>1.5</v>
          </cell>
          <cell r="I1659" t="str">
            <v>--</v>
          </cell>
          <cell r="J1659">
            <v>1</v>
          </cell>
          <cell r="K1659">
            <v>1</v>
          </cell>
        </row>
        <row r="1660">
          <cell r="A1660" t="str">
            <v>M1</v>
          </cell>
          <cell r="B1660" t="str">
            <v>A4C</v>
          </cell>
          <cell r="C1660" t="str">
            <v>P</v>
          </cell>
          <cell r="D1660" t="str">
            <v>22031</v>
          </cell>
          <cell r="E1660" t="str">
            <v>BALL VA</v>
          </cell>
          <cell r="F1660">
            <v>6</v>
          </cell>
          <cell r="G1660" t="str">
            <v>VB8010300001H00</v>
          </cell>
          <cell r="H1660">
            <v>1.5</v>
          </cell>
          <cell r="I1660" t="str">
            <v>--</v>
          </cell>
          <cell r="J1660">
            <v>7</v>
          </cell>
          <cell r="K1660">
            <v>7</v>
          </cell>
        </row>
        <row r="1661">
          <cell r="A1661" t="str">
            <v>M1</v>
          </cell>
          <cell r="B1661" t="str">
            <v>A4C</v>
          </cell>
          <cell r="C1661" t="str">
            <v>P</v>
          </cell>
          <cell r="D1661" t="str">
            <v>22031</v>
          </cell>
          <cell r="E1661" t="str">
            <v>BALL VA</v>
          </cell>
          <cell r="F1661">
            <v>6</v>
          </cell>
          <cell r="G1661" t="str">
            <v>VB8010300001H00</v>
          </cell>
          <cell r="H1661">
            <v>1.5</v>
          </cell>
          <cell r="I1661" t="str">
            <v>--</v>
          </cell>
          <cell r="J1661">
            <v>1</v>
          </cell>
          <cell r="K1661">
            <v>1</v>
          </cell>
        </row>
        <row r="1662">
          <cell r="A1662" t="str">
            <v>M1</v>
          </cell>
          <cell r="B1662" t="str">
            <v>A5C</v>
          </cell>
          <cell r="C1662" t="str">
            <v>TRIM</v>
          </cell>
          <cell r="D1662" t="str">
            <v>X-2207</v>
          </cell>
          <cell r="E1662" t="str">
            <v>BALL VA</v>
          </cell>
          <cell r="F1662">
            <v>6</v>
          </cell>
          <cell r="G1662" t="str">
            <v>VB8010600001H00</v>
          </cell>
          <cell r="H1662">
            <v>1.5</v>
          </cell>
          <cell r="I1662" t="str">
            <v>--</v>
          </cell>
          <cell r="J1662">
            <v>1</v>
          </cell>
          <cell r="K1662">
            <v>1</v>
          </cell>
        </row>
        <row r="1663">
          <cell r="A1663" t="str">
            <v>M1</v>
          </cell>
          <cell r="B1663" t="str">
            <v>A5C</v>
          </cell>
          <cell r="C1663" t="str">
            <v>TRIM</v>
          </cell>
          <cell r="D1663" t="str">
            <v>V-2201</v>
          </cell>
          <cell r="E1663" t="str">
            <v>BELLOWS VA</v>
          </cell>
          <cell r="F1663">
            <v>6</v>
          </cell>
          <cell r="G1663" t="str">
            <v>VBE8010100001H00</v>
          </cell>
          <cell r="H1663">
            <v>1.5</v>
          </cell>
          <cell r="I1663" t="str">
            <v>--</v>
          </cell>
          <cell r="J1663">
            <v>1</v>
          </cell>
          <cell r="K1663">
            <v>1</v>
          </cell>
        </row>
        <row r="1664">
          <cell r="A1664" t="str">
            <v>M1</v>
          </cell>
          <cell r="B1664" t="str">
            <v>A4C</v>
          </cell>
          <cell r="C1664" t="str">
            <v>P</v>
          </cell>
          <cell r="D1664" t="str">
            <v>22031</v>
          </cell>
          <cell r="E1664" t="str">
            <v>CHECK VA</v>
          </cell>
          <cell r="F1664">
            <v>6</v>
          </cell>
          <cell r="G1664" t="str">
            <v>VCB8010200001H00</v>
          </cell>
          <cell r="H1664">
            <v>1.5</v>
          </cell>
          <cell r="I1664" t="str">
            <v>--</v>
          </cell>
          <cell r="J1664">
            <v>1</v>
          </cell>
          <cell r="K1664">
            <v>1</v>
          </cell>
        </row>
        <row r="1665">
          <cell r="A1665" t="str">
            <v>M2</v>
          </cell>
          <cell r="B1665" t="str">
            <v>A5C</v>
          </cell>
          <cell r="C1665" t="str">
            <v>P</v>
          </cell>
          <cell r="D1665" t="str">
            <v>23094</v>
          </cell>
          <cell r="E1665" t="str">
            <v>PIPE</v>
          </cell>
          <cell r="F1665">
            <v>1</v>
          </cell>
          <cell r="G1665" t="str">
            <v>CB100508000H00</v>
          </cell>
          <cell r="H1665">
            <v>0.5</v>
          </cell>
          <cell r="I1665" t="str">
            <v>--</v>
          </cell>
          <cell r="J1665">
            <v>2</v>
          </cell>
          <cell r="K1665">
            <v>2</v>
          </cell>
        </row>
        <row r="1666">
          <cell r="A1666" t="str">
            <v>M2</v>
          </cell>
          <cell r="B1666" t="str">
            <v>A5C</v>
          </cell>
          <cell r="C1666" t="str">
            <v>P</v>
          </cell>
          <cell r="D1666" t="str">
            <v>23113</v>
          </cell>
          <cell r="E1666" t="str">
            <v>PIPE</v>
          </cell>
          <cell r="F1666">
            <v>1</v>
          </cell>
          <cell r="G1666" t="str">
            <v>CB100508000H00</v>
          </cell>
          <cell r="H1666">
            <v>0.5</v>
          </cell>
          <cell r="I1666" t="str">
            <v>--</v>
          </cell>
          <cell r="J1666">
            <v>2</v>
          </cell>
          <cell r="K1666">
            <v>2</v>
          </cell>
        </row>
        <row r="1667">
          <cell r="A1667" t="str">
            <v>M2</v>
          </cell>
          <cell r="B1667" t="str">
            <v>A5C</v>
          </cell>
          <cell r="C1667" t="str">
            <v>P</v>
          </cell>
          <cell r="D1667" t="str">
            <v>23214</v>
          </cell>
          <cell r="E1667" t="str">
            <v>PIPE</v>
          </cell>
          <cell r="F1667">
            <v>1</v>
          </cell>
          <cell r="G1667" t="str">
            <v>CB100508000T00</v>
          </cell>
          <cell r="H1667">
            <v>0.75</v>
          </cell>
          <cell r="I1667" t="str">
            <v>--</v>
          </cell>
          <cell r="J1667">
            <v>0.1</v>
          </cell>
          <cell r="K1667">
            <v>0.1</v>
          </cell>
        </row>
        <row r="1668">
          <cell r="A1668" t="str">
            <v>M2</v>
          </cell>
          <cell r="B1668" t="str">
            <v>A5C</v>
          </cell>
          <cell r="C1668" t="str">
            <v>P</v>
          </cell>
          <cell r="D1668" t="str">
            <v>23212</v>
          </cell>
          <cell r="E1668" t="str">
            <v>PIPE</v>
          </cell>
          <cell r="F1668">
            <v>1</v>
          </cell>
          <cell r="G1668" t="str">
            <v>CB100508000T00</v>
          </cell>
          <cell r="H1668">
            <v>0.75</v>
          </cell>
          <cell r="I1668" t="str">
            <v>--</v>
          </cell>
          <cell r="J1668">
            <v>0.1</v>
          </cell>
          <cell r="K1668">
            <v>0.1</v>
          </cell>
        </row>
        <row r="1669">
          <cell r="A1669" t="str">
            <v>M2</v>
          </cell>
          <cell r="B1669" t="str">
            <v>A5C</v>
          </cell>
          <cell r="C1669" t="str">
            <v>P</v>
          </cell>
          <cell r="D1669" t="str">
            <v>23226</v>
          </cell>
          <cell r="E1669" t="str">
            <v>PIPE</v>
          </cell>
          <cell r="F1669">
            <v>1</v>
          </cell>
          <cell r="G1669" t="str">
            <v>CB100508000T00</v>
          </cell>
          <cell r="H1669">
            <v>0.75</v>
          </cell>
          <cell r="I1669" t="str">
            <v>--</v>
          </cell>
          <cell r="J1669">
            <v>0.1</v>
          </cell>
          <cell r="K1669">
            <v>0.1</v>
          </cell>
        </row>
        <row r="1670">
          <cell r="A1670" t="str">
            <v>M2</v>
          </cell>
          <cell r="B1670" t="str">
            <v>A5C</v>
          </cell>
          <cell r="C1670" t="str">
            <v>P</v>
          </cell>
          <cell r="D1670" t="str">
            <v>23248</v>
          </cell>
          <cell r="E1670" t="str">
            <v>PIPE</v>
          </cell>
          <cell r="F1670">
            <v>1</v>
          </cell>
          <cell r="G1670" t="str">
            <v>CB100508000T00</v>
          </cell>
          <cell r="H1670">
            <v>0.75</v>
          </cell>
          <cell r="I1670" t="str">
            <v>--</v>
          </cell>
          <cell r="J1670">
            <v>0.1</v>
          </cell>
          <cell r="K1670">
            <v>0.1</v>
          </cell>
        </row>
        <row r="1671">
          <cell r="A1671" t="str">
            <v>M2</v>
          </cell>
          <cell r="B1671" t="str">
            <v>A5C</v>
          </cell>
          <cell r="C1671" t="str">
            <v>P</v>
          </cell>
          <cell r="D1671" t="str">
            <v>24006</v>
          </cell>
          <cell r="E1671" t="str">
            <v>PIPE</v>
          </cell>
          <cell r="F1671">
            <v>1</v>
          </cell>
          <cell r="G1671" t="str">
            <v>CB100508000T00</v>
          </cell>
          <cell r="H1671">
            <v>0.75</v>
          </cell>
          <cell r="I1671" t="str">
            <v>--</v>
          </cell>
          <cell r="J1671">
            <v>0.1</v>
          </cell>
          <cell r="K1671">
            <v>0.1</v>
          </cell>
        </row>
        <row r="1672">
          <cell r="A1672" t="str">
            <v>M2</v>
          </cell>
          <cell r="B1672" t="str">
            <v>A5C</v>
          </cell>
          <cell r="C1672" t="str">
            <v>P</v>
          </cell>
          <cell r="D1672" t="str">
            <v>23264</v>
          </cell>
          <cell r="E1672" t="str">
            <v>PIPE</v>
          </cell>
          <cell r="F1672">
            <v>1</v>
          </cell>
          <cell r="G1672" t="str">
            <v>CB100508000T00</v>
          </cell>
          <cell r="H1672">
            <v>0.75</v>
          </cell>
          <cell r="I1672" t="str">
            <v>--</v>
          </cell>
          <cell r="J1672">
            <v>0.1</v>
          </cell>
          <cell r="K1672">
            <v>0.1</v>
          </cell>
        </row>
        <row r="1673">
          <cell r="A1673" t="str">
            <v>M2</v>
          </cell>
          <cell r="B1673" t="str">
            <v>B2C</v>
          </cell>
          <cell r="C1673" t="str">
            <v>SH</v>
          </cell>
          <cell r="D1673" t="str">
            <v>23601</v>
          </cell>
          <cell r="E1673" t="str">
            <v>PIPE</v>
          </cell>
          <cell r="F1673">
            <v>1</v>
          </cell>
          <cell r="G1673" t="str">
            <v>CB100508000T00</v>
          </cell>
          <cell r="H1673">
            <v>0.75</v>
          </cell>
          <cell r="I1673" t="str">
            <v>--</v>
          </cell>
          <cell r="J1673">
            <v>0.2</v>
          </cell>
          <cell r="K1673">
            <v>0.2</v>
          </cell>
        </row>
        <row r="1674">
          <cell r="A1674" t="str">
            <v>M2</v>
          </cell>
          <cell r="B1674" t="str">
            <v>A5C</v>
          </cell>
          <cell r="C1674" t="str">
            <v>P</v>
          </cell>
          <cell r="D1674" t="str">
            <v>23022</v>
          </cell>
          <cell r="E1674" t="str">
            <v>PIPE</v>
          </cell>
          <cell r="F1674">
            <v>1</v>
          </cell>
          <cell r="G1674" t="str">
            <v>CB100508000T00</v>
          </cell>
          <cell r="H1674">
            <v>0.75</v>
          </cell>
          <cell r="I1674" t="str">
            <v>--</v>
          </cell>
          <cell r="J1674">
            <v>0.2</v>
          </cell>
          <cell r="K1674">
            <v>0.2</v>
          </cell>
        </row>
        <row r="1675">
          <cell r="A1675" t="str">
            <v>M2</v>
          </cell>
          <cell r="B1675" t="str">
            <v>A5C</v>
          </cell>
          <cell r="C1675" t="str">
            <v>P</v>
          </cell>
          <cell r="D1675" t="str">
            <v>23121</v>
          </cell>
          <cell r="E1675" t="str">
            <v>PIPE</v>
          </cell>
          <cell r="F1675">
            <v>1</v>
          </cell>
          <cell r="G1675" t="str">
            <v>CB100508000T00</v>
          </cell>
          <cell r="H1675">
            <v>0.75</v>
          </cell>
          <cell r="I1675" t="str">
            <v>--</v>
          </cell>
          <cell r="J1675">
            <v>0.2</v>
          </cell>
          <cell r="K1675">
            <v>0.2</v>
          </cell>
        </row>
        <row r="1676">
          <cell r="A1676" t="str">
            <v>M2</v>
          </cell>
          <cell r="B1676" t="str">
            <v>A5C</v>
          </cell>
          <cell r="C1676" t="str">
            <v>P</v>
          </cell>
          <cell r="D1676" t="str">
            <v>23082</v>
          </cell>
          <cell r="E1676" t="str">
            <v>PIPE</v>
          </cell>
          <cell r="F1676">
            <v>1</v>
          </cell>
          <cell r="G1676" t="str">
            <v>CB100508000T00</v>
          </cell>
          <cell r="H1676">
            <v>0.75</v>
          </cell>
          <cell r="I1676" t="str">
            <v>--</v>
          </cell>
          <cell r="J1676">
            <v>0.2</v>
          </cell>
          <cell r="K1676">
            <v>0.2</v>
          </cell>
        </row>
        <row r="1677">
          <cell r="A1677" t="str">
            <v>M2</v>
          </cell>
          <cell r="B1677" t="str">
            <v>A5C</v>
          </cell>
          <cell r="C1677" t="str">
            <v>P</v>
          </cell>
          <cell r="D1677" t="str">
            <v>23089</v>
          </cell>
          <cell r="E1677" t="str">
            <v>PIPE</v>
          </cell>
          <cell r="F1677">
            <v>1</v>
          </cell>
          <cell r="G1677" t="str">
            <v>CB100508000T00</v>
          </cell>
          <cell r="H1677">
            <v>0.75</v>
          </cell>
          <cell r="I1677" t="str">
            <v>--</v>
          </cell>
          <cell r="J1677">
            <v>0.2</v>
          </cell>
          <cell r="K1677">
            <v>0.2</v>
          </cell>
        </row>
        <row r="1678">
          <cell r="A1678" t="str">
            <v>M2</v>
          </cell>
          <cell r="B1678" t="str">
            <v>A5C</v>
          </cell>
          <cell r="C1678" t="str">
            <v>P</v>
          </cell>
          <cell r="D1678" t="str">
            <v>23128</v>
          </cell>
          <cell r="E1678" t="str">
            <v>PIPE</v>
          </cell>
          <cell r="F1678">
            <v>1</v>
          </cell>
          <cell r="G1678" t="str">
            <v>CB100508000T00</v>
          </cell>
          <cell r="H1678">
            <v>0.75</v>
          </cell>
          <cell r="I1678" t="str">
            <v>--</v>
          </cell>
          <cell r="J1678">
            <v>0.2</v>
          </cell>
          <cell r="K1678">
            <v>0.2</v>
          </cell>
        </row>
        <row r="1679">
          <cell r="A1679" t="str">
            <v>M2</v>
          </cell>
          <cell r="B1679" t="str">
            <v>A5C</v>
          </cell>
          <cell r="C1679" t="str">
            <v>P</v>
          </cell>
          <cell r="D1679" t="str">
            <v>23057</v>
          </cell>
          <cell r="E1679" t="str">
            <v>PIPE</v>
          </cell>
          <cell r="F1679">
            <v>1</v>
          </cell>
          <cell r="G1679" t="str">
            <v>CB100508000T00</v>
          </cell>
          <cell r="H1679">
            <v>0.75</v>
          </cell>
          <cell r="I1679" t="str">
            <v>--</v>
          </cell>
          <cell r="J1679">
            <v>0.3</v>
          </cell>
          <cell r="K1679">
            <v>0.3</v>
          </cell>
        </row>
        <row r="1680">
          <cell r="A1680" t="str">
            <v>M2</v>
          </cell>
          <cell r="B1680" t="str">
            <v>A5C</v>
          </cell>
          <cell r="C1680" t="str">
            <v>P</v>
          </cell>
          <cell r="D1680" t="str">
            <v>23018</v>
          </cell>
          <cell r="E1680" t="str">
            <v>PIPE</v>
          </cell>
          <cell r="F1680">
            <v>1</v>
          </cell>
          <cell r="G1680" t="str">
            <v>CB100508000T00</v>
          </cell>
          <cell r="H1680">
            <v>0.75</v>
          </cell>
          <cell r="I1680" t="str">
            <v>--</v>
          </cell>
          <cell r="J1680">
            <v>0.3</v>
          </cell>
          <cell r="K1680">
            <v>0.3</v>
          </cell>
        </row>
        <row r="1681">
          <cell r="A1681" t="str">
            <v>M2</v>
          </cell>
          <cell r="B1681" t="str">
            <v>A5C</v>
          </cell>
          <cell r="C1681" t="str">
            <v>P</v>
          </cell>
          <cell r="D1681" t="str">
            <v>23005</v>
          </cell>
          <cell r="E1681" t="str">
            <v>PIPE</v>
          </cell>
          <cell r="F1681">
            <v>1</v>
          </cell>
          <cell r="G1681" t="str">
            <v>CB100508000T00</v>
          </cell>
          <cell r="H1681">
            <v>0.75</v>
          </cell>
          <cell r="I1681" t="str">
            <v>--</v>
          </cell>
          <cell r="J1681">
            <v>0.4</v>
          </cell>
          <cell r="K1681">
            <v>0.4</v>
          </cell>
        </row>
        <row r="1682">
          <cell r="A1682" t="str">
            <v>M2</v>
          </cell>
          <cell r="B1682" t="str">
            <v>A5C</v>
          </cell>
          <cell r="C1682" t="str">
            <v>P</v>
          </cell>
          <cell r="D1682" t="str">
            <v>23052</v>
          </cell>
          <cell r="E1682" t="str">
            <v>PIPE</v>
          </cell>
          <cell r="F1682">
            <v>1</v>
          </cell>
          <cell r="G1682" t="str">
            <v>CB100508000T00</v>
          </cell>
          <cell r="H1682">
            <v>0.75</v>
          </cell>
          <cell r="I1682" t="str">
            <v>--</v>
          </cell>
          <cell r="J1682">
            <v>0.4</v>
          </cell>
          <cell r="K1682">
            <v>0.4</v>
          </cell>
        </row>
        <row r="1683">
          <cell r="A1683" t="str">
            <v>M2</v>
          </cell>
          <cell r="B1683" t="str">
            <v>A5C</v>
          </cell>
          <cell r="C1683" t="str">
            <v>P</v>
          </cell>
          <cell r="D1683" t="str">
            <v>23110</v>
          </cell>
          <cell r="E1683" t="str">
            <v>PIPE</v>
          </cell>
          <cell r="F1683">
            <v>1</v>
          </cell>
          <cell r="G1683" t="str">
            <v>CB100508000T00</v>
          </cell>
          <cell r="H1683">
            <v>0.75</v>
          </cell>
          <cell r="I1683" t="str">
            <v>--</v>
          </cell>
          <cell r="J1683">
            <v>0.4</v>
          </cell>
          <cell r="K1683">
            <v>0.4</v>
          </cell>
        </row>
        <row r="1684">
          <cell r="A1684" t="str">
            <v>M2</v>
          </cell>
          <cell r="B1684" t="str">
            <v>A5C</v>
          </cell>
          <cell r="C1684" t="str">
            <v>P</v>
          </cell>
          <cell r="D1684" t="str">
            <v>23114</v>
          </cell>
          <cell r="E1684" t="str">
            <v>PIPE</v>
          </cell>
          <cell r="F1684">
            <v>1</v>
          </cell>
          <cell r="G1684" t="str">
            <v>CB100508000T00</v>
          </cell>
          <cell r="H1684">
            <v>0.75</v>
          </cell>
          <cell r="I1684" t="str">
            <v>--</v>
          </cell>
          <cell r="J1684">
            <v>0.4</v>
          </cell>
          <cell r="K1684">
            <v>0.4</v>
          </cell>
        </row>
        <row r="1685">
          <cell r="A1685" t="str">
            <v>M2</v>
          </cell>
          <cell r="B1685" t="str">
            <v>A5C</v>
          </cell>
          <cell r="C1685" t="str">
            <v>P</v>
          </cell>
          <cell r="D1685" t="str">
            <v>23152</v>
          </cell>
          <cell r="E1685" t="str">
            <v>PIPE</v>
          </cell>
          <cell r="F1685">
            <v>1</v>
          </cell>
          <cell r="G1685" t="str">
            <v>CB100508000T00</v>
          </cell>
          <cell r="H1685">
            <v>0.75</v>
          </cell>
          <cell r="I1685" t="str">
            <v>--</v>
          </cell>
          <cell r="J1685">
            <v>0.4</v>
          </cell>
          <cell r="K1685">
            <v>0.4</v>
          </cell>
        </row>
        <row r="1686">
          <cell r="A1686" t="str">
            <v>M2</v>
          </cell>
          <cell r="B1686" t="str">
            <v>A5C</v>
          </cell>
          <cell r="C1686" t="str">
            <v>P</v>
          </cell>
          <cell r="D1686" t="str">
            <v>23160</v>
          </cell>
          <cell r="E1686" t="str">
            <v>PIPE</v>
          </cell>
          <cell r="F1686">
            <v>1</v>
          </cell>
          <cell r="G1686" t="str">
            <v>CB100508000T00</v>
          </cell>
          <cell r="H1686">
            <v>0.75</v>
          </cell>
          <cell r="I1686" t="str">
            <v>--</v>
          </cell>
          <cell r="J1686">
            <v>0.4</v>
          </cell>
          <cell r="K1686">
            <v>0.4</v>
          </cell>
        </row>
        <row r="1687">
          <cell r="A1687" t="str">
            <v>M2</v>
          </cell>
          <cell r="B1687" t="str">
            <v>A5C</v>
          </cell>
          <cell r="C1687" t="str">
            <v>P</v>
          </cell>
          <cell r="D1687" t="str">
            <v>23164</v>
          </cell>
          <cell r="E1687" t="str">
            <v>PIPE</v>
          </cell>
          <cell r="F1687">
            <v>1</v>
          </cell>
          <cell r="G1687" t="str">
            <v>CB100508000T00</v>
          </cell>
          <cell r="H1687">
            <v>0.75</v>
          </cell>
          <cell r="I1687" t="str">
            <v>--</v>
          </cell>
          <cell r="J1687">
            <v>0.4</v>
          </cell>
          <cell r="K1687">
            <v>0.4</v>
          </cell>
        </row>
        <row r="1688">
          <cell r="A1688" t="str">
            <v>M2</v>
          </cell>
          <cell r="B1688" t="str">
            <v>A5C</v>
          </cell>
          <cell r="C1688" t="str">
            <v>P</v>
          </cell>
          <cell r="D1688" t="str">
            <v>23185</v>
          </cell>
          <cell r="E1688" t="str">
            <v>PIPE</v>
          </cell>
          <cell r="F1688">
            <v>1</v>
          </cell>
          <cell r="G1688" t="str">
            <v>CB100508000T00</v>
          </cell>
          <cell r="H1688">
            <v>0.75</v>
          </cell>
          <cell r="I1688" t="str">
            <v>--</v>
          </cell>
          <cell r="J1688">
            <v>0.4</v>
          </cell>
          <cell r="K1688">
            <v>0.4</v>
          </cell>
        </row>
        <row r="1689">
          <cell r="A1689" t="str">
            <v>M2</v>
          </cell>
          <cell r="B1689" t="str">
            <v>A5C</v>
          </cell>
          <cell r="C1689" t="str">
            <v>P</v>
          </cell>
          <cell r="D1689" t="str">
            <v>23240</v>
          </cell>
          <cell r="E1689" t="str">
            <v>PIPE</v>
          </cell>
          <cell r="F1689">
            <v>1</v>
          </cell>
          <cell r="G1689" t="str">
            <v>CB100508000T00</v>
          </cell>
          <cell r="H1689">
            <v>0.75</v>
          </cell>
          <cell r="I1689" t="str">
            <v>--</v>
          </cell>
          <cell r="J1689">
            <v>0.4</v>
          </cell>
          <cell r="K1689">
            <v>0.4</v>
          </cell>
        </row>
        <row r="1690">
          <cell r="A1690" t="str">
            <v>M2</v>
          </cell>
          <cell r="B1690" t="str">
            <v>A5C</v>
          </cell>
          <cell r="C1690" t="str">
            <v>P</v>
          </cell>
          <cell r="D1690" t="str">
            <v>24014</v>
          </cell>
          <cell r="E1690" t="str">
            <v>PIPE</v>
          </cell>
          <cell r="F1690">
            <v>1</v>
          </cell>
          <cell r="G1690" t="str">
            <v>CB100508000T00</v>
          </cell>
          <cell r="H1690">
            <v>0.75</v>
          </cell>
          <cell r="I1690" t="str">
            <v>--</v>
          </cell>
          <cell r="J1690">
            <v>0.4</v>
          </cell>
          <cell r="K1690">
            <v>0.4</v>
          </cell>
        </row>
        <row r="1691">
          <cell r="A1691" t="str">
            <v>M2</v>
          </cell>
          <cell r="B1691" t="str">
            <v>A5C</v>
          </cell>
          <cell r="C1691" t="str">
            <v>P</v>
          </cell>
          <cell r="D1691" t="str">
            <v>24021</v>
          </cell>
          <cell r="E1691" t="str">
            <v>PIPE</v>
          </cell>
          <cell r="F1691">
            <v>1</v>
          </cell>
          <cell r="G1691" t="str">
            <v>CB100508000T00</v>
          </cell>
          <cell r="H1691">
            <v>0.75</v>
          </cell>
          <cell r="I1691" t="str">
            <v>--</v>
          </cell>
          <cell r="J1691">
            <v>0.4</v>
          </cell>
          <cell r="K1691">
            <v>0.4</v>
          </cell>
        </row>
        <row r="1692">
          <cell r="A1692" t="str">
            <v>M2</v>
          </cell>
          <cell r="B1692" t="str">
            <v>A5C</v>
          </cell>
          <cell r="C1692" t="str">
            <v>P</v>
          </cell>
          <cell r="D1692" t="str">
            <v>23011</v>
          </cell>
          <cell r="E1692" t="str">
            <v>PIPE</v>
          </cell>
          <cell r="F1692">
            <v>1</v>
          </cell>
          <cell r="G1692" t="str">
            <v>CB100508000T00</v>
          </cell>
          <cell r="H1692">
            <v>0.75</v>
          </cell>
          <cell r="I1692" t="str">
            <v>--</v>
          </cell>
          <cell r="J1692">
            <v>0.4</v>
          </cell>
          <cell r="K1692">
            <v>0.4</v>
          </cell>
        </row>
        <row r="1693">
          <cell r="A1693" t="str">
            <v>M2</v>
          </cell>
          <cell r="B1693" t="str">
            <v>A5C</v>
          </cell>
          <cell r="C1693" t="str">
            <v>P</v>
          </cell>
          <cell r="D1693" t="str">
            <v>23037</v>
          </cell>
          <cell r="E1693" t="str">
            <v>PIPE</v>
          </cell>
          <cell r="F1693">
            <v>1</v>
          </cell>
          <cell r="G1693" t="str">
            <v>CB100508000T00</v>
          </cell>
          <cell r="H1693">
            <v>0.75</v>
          </cell>
          <cell r="I1693" t="str">
            <v>--</v>
          </cell>
          <cell r="J1693">
            <v>0.4</v>
          </cell>
          <cell r="K1693">
            <v>0.4</v>
          </cell>
        </row>
        <row r="1694">
          <cell r="A1694" t="str">
            <v>M2</v>
          </cell>
          <cell r="B1694" t="str">
            <v>A5C</v>
          </cell>
          <cell r="C1694" t="str">
            <v>P</v>
          </cell>
          <cell r="D1694" t="str">
            <v>23095</v>
          </cell>
          <cell r="E1694" t="str">
            <v>PIPE</v>
          </cell>
          <cell r="F1694">
            <v>1</v>
          </cell>
          <cell r="G1694" t="str">
            <v>CB100508000T00</v>
          </cell>
          <cell r="H1694">
            <v>0.75</v>
          </cell>
          <cell r="I1694" t="str">
            <v>--</v>
          </cell>
          <cell r="J1694">
            <v>0.4</v>
          </cell>
          <cell r="K1694">
            <v>0.4</v>
          </cell>
        </row>
        <row r="1695">
          <cell r="A1695" t="str">
            <v>M2</v>
          </cell>
          <cell r="B1695" t="str">
            <v>A5C</v>
          </cell>
          <cell r="C1695" t="str">
            <v>P</v>
          </cell>
          <cell r="D1695" t="str">
            <v>23102</v>
          </cell>
          <cell r="E1695" t="str">
            <v>PIPE</v>
          </cell>
          <cell r="F1695">
            <v>1</v>
          </cell>
          <cell r="G1695" t="str">
            <v>CB100508000T00</v>
          </cell>
          <cell r="H1695">
            <v>0.75</v>
          </cell>
          <cell r="I1695" t="str">
            <v>--</v>
          </cell>
          <cell r="J1695">
            <v>0.4</v>
          </cell>
          <cell r="K1695">
            <v>0.4</v>
          </cell>
        </row>
        <row r="1696">
          <cell r="A1696" t="str">
            <v>M2</v>
          </cell>
          <cell r="B1696" t="str">
            <v>A5C</v>
          </cell>
          <cell r="C1696" t="str">
            <v>P</v>
          </cell>
          <cell r="D1696" t="str">
            <v>23106</v>
          </cell>
          <cell r="E1696" t="str">
            <v>PIPE</v>
          </cell>
          <cell r="F1696">
            <v>1</v>
          </cell>
          <cell r="G1696" t="str">
            <v>CB100508000T00</v>
          </cell>
          <cell r="H1696">
            <v>0.75</v>
          </cell>
          <cell r="I1696" t="str">
            <v>--</v>
          </cell>
          <cell r="J1696">
            <v>0.4</v>
          </cell>
          <cell r="K1696">
            <v>0.4</v>
          </cell>
        </row>
        <row r="1697">
          <cell r="A1697" t="str">
            <v>M2</v>
          </cell>
          <cell r="B1697" t="str">
            <v>A5C</v>
          </cell>
          <cell r="C1697" t="str">
            <v>P</v>
          </cell>
          <cell r="D1697" t="str">
            <v>23236</v>
          </cell>
          <cell r="E1697" t="str">
            <v>PIPE</v>
          </cell>
          <cell r="F1697">
            <v>1</v>
          </cell>
          <cell r="G1697" t="str">
            <v>CB100508000T00</v>
          </cell>
          <cell r="H1697">
            <v>0.75</v>
          </cell>
          <cell r="I1697" t="str">
            <v>--</v>
          </cell>
          <cell r="J1697">
            <v>0.4</v>
          </cell>
          <cell r="K1697">
            <v>0.4</v>
          </cell>
        </row>
        <row r="1698">
          <cell r="A1698" t="str">
            <v>M2</v>
          </cell>
          <cell r="B1698" t="str">
            <v>A5C</v>
          </cell>
          <cell r="C1698" t="str">
            <v>P</v>
          </cell>
          <cell r="D1698" t="str">
            <v>23018</v>
          </cell>
          <cell r="E1698" t="str">
            <v>PIPE</v>
          </cell>
          <cell r="F1698">
            <v>1</v>
          </cell>
          <cell r="G1698" t="str">
            <v>CB100508000T00</v>
          </cell>
          <cell r="H1698">
            <v>0.75</v>
          </cell>
          <cell r="I1698" t="str">
            <v>--</v>
          </cell>
          <cell r="J1698">
            <v>0.4</v>
          </cell>
          <cell r="K1698">
            <v>0.4</v>
          </cell>
        </row>
        <row r="1699">
          <cell r="A1699" t="str">
            <v>M2</v>
          </cell>
          <cell r="B1699" t="str">
            <v>A5C</v>
          </cell>
          <cell r="C1699" t="str">
            <v>P</v>
          </cell>
          <cell r="D1699" t="str">
            <v>23032</v>
          </cell>
          <cell r="E1699" t="str">
            <v>PIPE</v>
          </cell>
          <cell r="F1699">
            <v>1</v>
          </cell>
          <cell r="G1699" t="str">
            <v>CB100508000T00</v>
          </cell>
          <cell r="H1699">
            <v>0.75</v>
          </cell>
          <cell r="I1699" t="str">
            <v>--</v>
          </cell>
          <cell r="J1699">
            <v>0.4</v>
          </cell>
          <cell r="K1699">
            <v>0.4</v>
          </cell>
        </row>
        <row r="1700">
          <cell r="A1700" t="str">
            <v>M2</v>
          </cell>
          <cell r="B1700" t="str">
            <v>A5C</v>
          </cell>
          <cell r="C1700" t="str">
            <v>P</v>
          </cell>
          <cell r="D1700" t="str">
            <v>24027</v>
          </cell>
          <cell r="E1700" t="str">
            <v>PIPE</v>
          </cell>
          <cell r="F1700">
            <v>1</v>
          </cell>
          <cell r="G1700" t="str">
            <v>CB100508000T00</v>
          </cell>
          <cell r="H1700">
            <v>0.75</v>
          </cell>
          <cell r="I1700" t="str">
            <v>--</v>
          </cell>
          <cell r="J1700">
            <v>0.4</v>
          </cell>
          <cell r="K1700">
            <v>0.4</v>
          </cell>
        </row>
        <row r="1701">
          <cell r="A1701" t="str">
            <v>M2</v>
          </cell>
          <cell r="B1701" t="str">
            <v>A5C</v>
          </cell>
          <cell r="C1701" t="str">
            <v>N</v>
          </cell>
          <cell r="D1701" t="str">
            <v>23628</v>
          </cell>
          <cell r="E1701" t="str">
            <v>PIPE</v>
          </cell>
          <cell r="F1701">
            <v>1</v>
          </cell>
          <cell r="G1701" t="str">
            <v>CB100508000T00</v>
          </cell>
          <cell r="H1701">
            <v>0.75</v>
          </cell>
          <cell r="I1701" t="str">
            <v>--</v>
          </cell>
          <cell r="J1701">
            <v>0.5</v>
          </cell>
          <cell r="K1701">
            <v>0.5</v>
          </cell>
        </row>
        <row r="1702">
          <cell r="A1702" t="str">
            <v>M2</v>
          </cell>
          <cell r="B1702" t="str">
            <v>A5C</v>
          </cell>
          <cell r="C1702" t="str">
            <v>N</v>
          </cell>
          <cell r="D1702" t="str">
            <v>23629</v>
          </cell>
          <cell r="E1702" t="str">
            <v>PIPE</v>
          </cell>
          <cell r="F1702">
            <v>1</v>
          </cell>
          <cell r="G1702" t="str">
            <v>CB100508000T00</v>
          </cell>
          <cell r="H1702">
            <v>0.75</v>
          </cell>
          <cell r="I1702" t="str">
            <v>--</v>
          </cell>
          <cell r="J1702">
            <v>0.5</v>
          </cell>
          <cell r="K1702">
            <v>0.5</v>
          </cell>
        </row>
        <row r="1703">
          <cell r="A1703" t="str">
            <v>M2</v>
          </cell>
          <cell r="B1703" t="str">
            <v>A5C</v>
          </cell>
          <cell r="C1703" t="str">
            <v>N</v>
          </cell>
          <cell r="D1703" t="str">
            <v>23630</v>
          </cell>
          <cell r="E1703" t="str">
            <v>PIPE</v>
          </cell>
          <cell r="F1703">
            <v>1</v>
          </cell>
          <cell r="G1703" t="str">
            <v>CB100508000T00</v>
          </cell>
          <cell r="H1703">
            <v>0.75</v>
          </cell>
          <cell r="I1703" t="str">
            <v>--</v>
          </cell>
          <cell r="J1703">
            <v>0.5</v>
          </cell>
          <cell r="K1703">
            <v>0.5</v>
          </cell>
        </row>
        <row r="1704">
          <cell r="A1704" t="str">
            <v>M2</v>
          </cell>
          <cell r="B1704" t="str">
            <v>A5C</v>
          </cell>
          <cell r="C1704" t="str">
            <v>N</v>
          </cell>
          <cell r="D1704" t="str">
            <v>23641</v>
          </cell>
          <cell r="E1704" t="str">
            <v>PIPE</v>
          </cell>
          <cell r="F1704">
            <v>1</v>
          </cell>
          <cell r="G1704" t="str">
            <v>CB100508000T00</v>
          </cell>
          <cell r="H1704">
            <v>0.75</v>
          </cell>
          <cell r="I1704" t="str">
            <v>--</v>
          </cell>
          <cell r="J1704">
            <v>0.5</v>
          </cell>
          <cell r="K1704">
            <v>0.5</v>
          </cell>
        </row>
        <row r="1705">
          <cell r="A1705" t="str">
            <v>M2</v>
          </cell>
          <cell r="B1705" t="str">
            <v>A5C</v>
          </cell>
          <cell r="C1705" t="str">
            <v>P</v>
          </cell>
          <cell r="D1705" t="str">
            <v>23058</v>
          </cell>
          <cell r="E1705" t="str">
            <v>PIPE</v>
          </cell>
          <cell r="F1705">
            <v>1</v>
          </cell>
          <cell r="G1705" t="str">
            <v>CB100508000T00</v>
          </cell>
          <cell r="H1705">
            <v>0.75</v>
          </cell>
          <cell r="I1705" t="str">
            <v>--</v>
          </cell>
          <cell r="J1705">
            <v>0.5</v>
          </cell>
          <cell r="K1705">
            <v>0.5</v>
          </cell>
        </row>
        <row r="1706">
          <cell r="A1706" t="str">
            <v>M2</v>
          </cell>
          <cell r="B1706" t="str">
            <v>A5C</v>
          </cell>
          <cell r="C1706" t="str">
            <v>P</v>
          </cell>
          <cell r="D1706" t="str">
            <v>23073</v>
          </cell>
          <cell r="E1706" t="str">
            <v>PIPE</v>
          </cell>
          <cell r="F1706">
            <v>1</v>
          </cell>
          <cell r="G1706" t="str">
            <v>CB100508000T00</v>
          </cell>
          <cell r="H1706">
            <v>0.75</v>
          </cell>
          <cell r="I1706" t="str">
            <v>--</v>
          </cell>
          <cell r="J1706">
            <v>0.5</v>
          </cell>
          <cell r="K1706">
            <v>0.5</v>
          </cell>
        </row>
        <row r="1707">
          <cell r="A1707" t="str">
            <v>M2</v>
          </cell>
          <cell r="B1707" t="str">
            <v>A5C</v>
          </cell>
          <cell r="C1707" t="str">
            <v>P</v>
          </cell>
          <cell r="D1707" t="str">
            <v>23181</v>
          </cell>
          <cell r="E1707" t="str">
            <v>PIPE</v>
          </cell>
          <cell r="F1707">
            <v>1</v>
          </cell>
          <cell r="G1707" t="str">
            <v>CB100508000T00</v>
          </cell>
          <cell r="H1707">
            <v>0.75</v>
          </cell>
          <cell r="I1707" t="str">
            <v>--</v>
          </cell>
          <cell r="J1707">
            <v>0.5</v>
          </cell>
          <cell r="K1707">
            <v>0.5</v>
          </cell>
        </row>
        <row r="1708">
          <cell r="A1708" t="str">
            <v>M2</v>
          </cell>
          <cell r="B1708" t="str">
            <v>A5C</v>
          </cell>
          <cell r="C1708" t="str">
            <v>N</v>
          </cell>
          <cell r="D1708" t="str">
            <v>23645</v>
          </cell>
          <cell r="E1708" t="str">
            <v>PIPE</v>
          </cell>
          <cell r="F1708">
            <v>1</v>
          </cell>
          <cell r="G1708" t="str">
            <v>CB100508000T00</v>
          </cell>
          <cell r="H1708">
            <v>0.75</v>
          </cell>
          <cell r="I1708" t="str">
            <v>--</v>
          </cell>
          <cell r="J1708">
            <v>0.5</v>
          </cell>
          <cell r="K1708">
            <v>0.5</v>
          </cell>
        </row>
        <row r="1709">
          <cell r="A1709" t="str">
            <v>M2</v>
          </cell>
          <cell r="B1709" t="str">
            <v>A5C</v>
          </cell>
          <cell r="C1709" t="str">
            <v>P</v>
          </cell>
          <cell r="D1709" t="str">
            <v>23149</v>
          </cell>
          <cell r="E1709" t="str">
            <v>PIPE</v>
          </cell>
          <cell r="F1709">
            <v>1</v>
          </cell>
          <cell r="G1709" t="str">
            <v>CB100508000T00</v>
          </cell>
          <cell r="H1709">
            <v>0.75</v>
          </cell>
          <cell r="I1709" t="str">
            <v>--</v>
          </cell>
          <cell r="J1709">
            <v>0.5</v>
          </cell>
          <cell r="K1709">
            <v>0.5</v>
          </cell>
        </row>
        <row r="1710">
          <cell r="A1710" t="str">
            <v>M2</v>
          </cell>
          <cell r="B1710" t="str">
            <v>A5C</v>
          </cell>
          <cell r="C1710" t="str">
            <v>P</v>
          </cell>
          <cell r="D1710" t="str">
            <v>24003</v>
          </cell>
          <cell r="E1710" t="str">
            <v>PIPE</v>
          </cell>
          <cell r="F1710">
            <v>1</v>
          </cell>
          <cell r="G1710" t="str">
            <v>CB100508000T00</v>
          </cell>
          <cell r="H1710">
            <v>0.75</v>
          </cell>
          <cell r="I1710" t="str">
            <v>--</v>
          </cell>
          <cell r="J1710">
            <v>0.5</v>
          </cell>
          <cell r="K1710">
            <v>0.5</v>
          </cell>
        </row>
        <row r="1711">
          <cell r="A1711" t="str">
            <v>M2</v>
          </cell>
          <cell r="B1711" t="str">
            <v>A5C</v>
          </cell>
          <cell r="C1711" t="str">
            <v>P</v>
          </cell>
          <cell r="D1711" t="str">
            <v>23142</v>
          </cell>
          <cell r="E1711" t="str">
            <v>PIPE</v>
          </cell>
          <cell r="F1711">
            <v>1</v>
          </cell>
          <cell r="G1711" t="str">
            <v>CB100508000T00</v>
          </cell>
          <cell r="H1711">
            <v>0.75</v>
          </cell>
          <cell r="I1711" t="str">
            <v>--</v>
          </cell>
          <cell r="J1711">
            <v>0.8</v>
          </cell>
          <cell r="K1711">
            <v>0.8</v>
          </cell>
        </row>
        <row r="1712">
          <cell r="A1712" t="str">
            <v>M2</v>
          </cell>
          <cell r="B1712" t="str">
            <v>A5C</v>
          </cell>
          <cell r="C1712" t="str">
            <v>P</v>
          </cell>
          <cell r="D1712" t="str">
            <v>23246</v>
          </cell>
          <cell r="E1712" t="str">
            <v>PIPE</v>
          </cell>
          <cell r="F1712">
            <v>1</v>
          </cell>
          <cell r="G1712" t="str">
            <v>CB100508000T00</v>
          </cell>
          <cell r="H1712">
            <v>0.75</v>
          </cell>
          <cell r="I1712" t="str">
            <v>--</v>
          </cell>
          <cell r="J1712">
            <v>0.8</v>
          </cell>
          <cell r="K1712">
            <v>0.8</v>
          </cell>
        </row>
        <row r="1713">
          <cell r="A1713" t="str">
            <v>M2</v>
          </cell>
          <cell r="B1713" t="str">
            <v>A5C</v>
          </cell>
          <cell r="C1713" t="str">
            <v>P</v>
          </cell>
          <cell r="D1713" t="str">
            <v>23134</v>
          </cell>
          <cell r="E1713" t="str">
            <v>PIPE</v>
          </cell>
          <cell r="F1713">
            <v>1</v>
          </cell>
          <cell r="G1713" t="str">
            <v>CB100508000T00</v>
          </cell>
          <cell r="H1713">
            <v>0.75</v>
          </cell>
          <cell r="I1713" t="str">
            <v>--</v>
          </cell>
          <cell r="J1713">
            <v>0.8</v>
          </cell>
          <cell r="K1713">
            <v>0.8</v>
          </cell>
        </row>
        <row r="1714">
          <cell r="A1714" t="str">
            <v>M2</v>
          </cell>
          <cell r="B1714" t="str">
            <v>A5C</v>
          </cell>
          <cell r="C1714" t="str">
            <v>P</v>
          </cell>
          <cell r="D1714" t="str">
            <v>23146</v>
          </cell>
          <cell r="E1714" t="str">
            <v>PIPE</v>
          </cell>
          <cell r="F1714">
            <v>1</v>
          </cell>
          <cell r="G1714" t="str">
            <v>CB100508000T00</v>
          </cell>
          <cell r="H1714">
            <v>0.75</v>
          </cell>
          <cell r="I1714" t="str">
            <v>--</v>
          </cell>
          <cell r="J1714">
            <v>0.8</v>
          </cell>
          <cell r="K1714">
            <v>0.8</v>
          </cell>
        </row>
        <row r="1715">
          <cell r="A1715" t="str">
            <v>M2</v>
          </cell>
          <cell r="B1715" t="str">
            <v>A5C</v>
          </cell>
          <cell r="C1715" t="str">
            <v>P</v>
          </cell>
          <cell r="D1715" t="str">
            <v>23224</v>
          </cell>
          <cell r="E1715" t="str">
            <v>PIPE</v>
          </cell>
          <cell r="F1715">
            <v>1</v>
          </cell>
          <cell r="G1715" t="str">
            <v>CB100508000T00</v>
          </cell>
          <cell r="H1715">
            <v>0.75</v>
          </cell>
          <cell r="I1715" t="str">
            <v>--</v>
          </cell>
          <cell r="J1715">
            <v>0.8</v>
          </cell>
          <cell r="K1715">
            <v>0.8</v>
          </cell>
        </row>
        <row r="1716">
          <cell r="A1716" t="str">
            <v>M2</v>
          </cell>
          <cell r="B1716" t="str">
            <v>A5C</v>
          </cell>
          <cell r="C1716" t="str">
            <v>P</v>
          </cell>
          <cell r="D1716" t="str">
            <v>23084</v>
          </cell>
          <cell r="E1716" t="str">
            <v>PIPE</v>
          </cell>
          <cell r="F1716">
            <v>1</v>
          </cell>
          <cell r="G1716" t="str">
            <v>CB100508000T00</v>
          </cell>
          <cell r="H1716">
            <v>0.75</v>
          </cell>
          <cell r="I1716" t="str">
            <v>--</v>
          </cell>
          <cell r="J1716">
            <v>1</v>
          </cell>
          <cell r="K1716">
            <v>1</v>
          </cell>
        </row>
        <row r="1717">
          <cell r="A1717" t="str">
            <v>M2</v>
          </cell>
          <cell r="B1717" t="str">
            <v>A5C</v>
          </cell>
          <cell r="C1717" t="str">
            <v>P</v>
          </cell>
          <cell r="D1717" t="str">
            <v>23127</v>
          </cell>
          <cell r="E1717" t="str">
            <v>PIPE</v>
          </cell>
          <cell r="F1717">
            <v>1</v>
          </cell>
          <cell r="G1717" t="str">
            <v>CB100508000T00</v>
          </cell>
          <cell r="H1717">
            <v>0.75</v>
          </cell>
          <cell r="I1717" t="str">
            <v>--</v>
          </cell>
          <cell r="J1717">
            <v>1</v>
          </cell>
          <cell r="K1717">
            <v>1</v>
          </cell>
        </row>
        <row r="1718">
          <cell r="A1718" t="str">
            <v>M2</v>
          </cell>
          <cell r="B1718" t="str">
            <v>A5C</v>
          </cell>
          <cell r="C1718" t="str">
            <v>P</v>
          </cell>
          <cell r="D1718" t="str">
            <v>23208</v>
          </cell>
          <cell r="E1718" t="str">
            <v>PIPE</v>
          </cell>
          <cell r="F1718">
            <v>1</v>
          </cell>
          <cell r="G1718" t="str">
            <v>CB100508000T00</v>
          </cell>
          <cell r="H1718">
            <v>0.75</v>
          </cell>
          <cell r="I1718" t="str">
            <v>--</v>
          </cell>
          <cell r="J1718">
            <v>1</v>
          </cell>
          <cell r="K1718">
            <v>1</v>
          </cell>
        </row>
        <row r="1719">
          <cell r="A1719" t="str">
            <v>M2</v>
          </cell>
          <cell r="B1719" t="str">
            <v>A5C</v>
          </cell>
          <cell r="C1719" t="str">
            <v>P</v>
          </cell>
          <cell r="D1719" t="str">
            <v>23205</v>
          </cell>
          <cell r="E1719" t="str">
            <v>PIPE</v>
          </cell>
          <cell r="F1719">
            <v>1</v>
          </cell>
          <cell r="G1719" t="str">
            <v>CB100508000T00</v>
          </cell>
          <cell r="H1719">
            <v>0.75</v>
          </cell>
          <cell r="I1719" t="str">
            <v>--</v>
          </cell>
          <cell r="J1719">
            <v>1</v>
          </cell>
          <cell r="K1719">
            <v>1</v>
          </cell>
        </row>
        <row r="1720">
          <cell r="A1720" t="str">
            <v>M2</v>
          </cell>
          <cell r="B1720" t="str">
            <v>A5C</v>
          </cell>
          <cell r="C1720" t="str">
            <v>P</v>
          </cell>
          <cell r="D1720" t="str">
            <v>23206</v>
          </cell>
          <cell r="E1720" t="str">
            <v>PIPE</v>
          </cell>
          <cell r="F1720">
            <v>1</v>
          </cell>
          <cell r="G1720" t="str">
            <v>CB100508000T00</v>
          </cell>
          <cell r="H1720">
            <v>0.75</v>
          </cell>
          <cell r="I1720" t="str">
            <v>--</v>
          </cell>
          <cell r="J1720">
            <v>1</v>
          </cell>
          <cell r="K1720">
            <v>1</v>
          </cell>
        </row>
        <row r="1721">
          <cell r="A1721" t="str">
            <v>M2</v>
          </cell>
          <cell r="B1721" t="str">
            <v>A5C</v>
          </cell>
          <cell r="C1721" t="str">
            <v>P</v>
          </cell>
          <cell r="D1721" t="str">
            <v>23239</v>
          </cell>
          <cell r="E1721" t="str">
            <v>PIPE</v>
          </cell>
          <cell r="F1721">
            <v>1</v>
          </cell>
          <cell r="G1721" t="str">
            <v>CB100508000T00</v>
          </cell>
          <cell r="H1721">
            <v>0.75</v>
          </cell>
          <cell r="I1721" t="str">
            <v>--</v>
          </cell>
          <cell r="J1721">
            <v>1</v>
          </cell>
          <cell r="K1721">
            <v>1</v>
          </cell>
        </row>
        <row r="1722">
          <cell r="A1722" t="str">
            <v>M2</v>
          </cell>
          <cell r="B1722" t="str">
            <v>A5C</v>
          </cell>
          <cell r="C1722" t="str">
            <v>P</v>
          </cell>
          <cell r="D1722" t="str">
            <v>23235</v>
          </cell>
          <cell r="E1722" t="str">
            <v>PIPE</v>
          </cell>
          <cell r="F1722">
            <v>1</v>
          </cell>
          <cell r="G1722" t="str">
            <v>CB100508000T00</v>
          </cell>
          <cell r="H1722">
            <v>0.75</v>
          </cell>
          <cell r="I1722" t="str">
            <v>--</v>
          </cell>
          <cell r="J1722">
            <v>1</v>
          </cell>
          <cell r="K1722">
            <v>1</v>
          </cell>
        </row>
        <row r="1723">
          <cell r="A1723" t="str">
            <v>M2</v>
          </cell>
          <cell r="B1723" t="str">
            <v>A5C</v>
          </cell>
          <cell r="C1723" t="str">
            <v>TRIM</v>
          </cell>
          <cell r="D1723" t="str">
            <v>V-2315</v>
          </cell>
          <cell r="E1723" t="str">
            <v>PIPE</v>
          </cell>
          <cell r="F1723">
            <v>1</v>
          </cell>
          <cell r="G1723" t="str">
            <v>CB100508000T00</v>
          </cell>
          <cell r="H1723">
            <v>0.75</v>
          </cell>
          <cell r="I1723" t="str">
            <v>--</v>
          </cell>
          <cell r="J1723">
            <v>1</v>
          </cell>
          <cell r="K1723">
            <v>1</v>
          </cell>
        </row>
        <row r="1724">
          <cell r="A1724" t="str">
            <v>M2</v>
          </cell>
          <cell r="B1724" t="str">
            <v>A5C</v>
          </cell>
          <cell r="C1724" t="str">
            <v>TRIM</v>
          </cell>
          <cell r="D1724" t="str">
            <v>V-2320</v>
          </cell>
          <cell r="E1724" t="str">
            <v>PIPE</v>
          </cell>
          <cell r="F1724">
            <v>1</v>
          </cell>
          <cell r="G1724" t="str">
            <v>CB100508000T00</v>
          </cell>
          <cell r="H1724">
            <v>0.75</v>
          </cell>
          <cell r="I1724" t="str">
            <v>--</v>
          </cell>
          <cell r="J1724">
            <v>1</v>
          </cell>
          <cell r="K1724">
            <v>1</v>
          </cell>
        </row>
        <row r="1725">
          <cell r="A1725" t="str">
            <v>M2</v>
          </cell>
          <cell r="B1725" t="str">
            <v>A5C</v>
          </cell>
          <cell r="C1725" t="str">
            <v>TRIM</v>
          </cell>
          <cell r="D1725" t="str">
            <v>V-2321</v>
          </cell>
          <cell r="E1725" t="str">
            <v>PIPE</v>
          </cell>
          <cell r="F1725">
            <v>1</v>
          </cell>
          <cell r="G1725" t="str">
            <v>CB100508000T00</v>
          </cell>
          <cell r="H1725">
            <v>0.75</v>
          </cell>
          <cell r="I1725" t="str">
            <v>--</v>
          </cell>
          <cell r="J1725">
            <v>1</v>
          </cell>
          <cell r="K1725">
            <v>1</v>
          </cell>
        </row>
        <row r="1726">
          <cell r="A1726" t="str">
            <v>M2</v>
          </cell>
          <cell r="B1726" t="str">
            <v>A5C</v>
          </cell>
          <cell r="C1726" t="str">
            <v>TRIM</v>
          </cell>
          <cell r="D1726" t="str">
            <v>V-2317</v>
          </cell>
          <cell r="E1726" t="str">
            <v>PIPE</v>
          </cell>
          <cell r="F1726">
            <v>1</v>
          </cell>
          <cell r="G1726" t="str">
            <v>CB100508000T00</v>
          </cell>
          <cell r="H1726">
            <v>0.75</v>
          </cell>
          <cell r="I1726" t="str">
            <v>--</v>
          </cell>
          <cell r="J1726">
            <v>1</v>
          </cell>
          <cell r="K1726">
            <v>1</v>
          </cell>
        </row>
        <row r="1727">
          <cell r="A1727" t="str">
            <v>M2</v>
          </cell>
          <cell r="B1727" t="str">
            <v>A5C</v>
          </cell>
          <cell r="C1727" t="str">
            <v>TRIM</v>
          </cell>
          <cell r="D1727" t="str">
            <v>V-2323</v>
          </cell>
          <cell r="E1727" t="str">
            <v>PIPE</v>
          </cell>
          <cell r="F1727">
            <v>1</v>
          </cell>
          <cell r="G1727" t="str">
            <v>CB100508000T00</v>
          </cell>
          <cell r="H1727">
            <v>0.75</v>
          </cell>
          <cell r="I1727" t="str">
            <v>--</v>
          </cell>
          <cell r="J1727">
            <v>1</v>
          </cell>
          <cell r="K1727">
            <v>1</v>
          </cell>
        </row>
        <row r="1728">
          <cell r="A1728" t="str">
            <v>M2</v>
          </cell>
          <cell r="B1728" t="str">
            <v>A5C</v>
          </cell>
          <cell r="C1728" t="str">
            <v>TRIM</v>
          </cell>
          <cell r="D1728" t="str">
            <v>V-2319</v>
          </cell>
          <cell r="E1728" t="str">
            <v>PIPE</v>
          </cell>
          <cell r="F1728">
            <v>1</v>
          </cell>
          <cell r="G1728" t="str">
            <v>CB100508000T00</v>
          </cell>
          <cell r="H1728">
            <v>0.75</v>
          </cell>
          <cell r="I1728" t="str">
            <v>--</v>
          </cell>
          <cell r="J1728">
            <v>1</v>
          </cell>
          <cell r="K1728">
            <v>1</v>
          </cell>
        </row>
        <row r="1729">
          <cell r="A1729" t="str">
            <v>M2</v>
          </cell>
          <cell r="B1729" t="str">
            <v>A5C</v>
          </cell>
          <cell r="C1729" t="str">
            <v>TRIM</v>
          </cell>
          <cell r="D1729" t="str">
            <v>V-2329</v>
          </cell>
          <cell r="E1729" t="str">
            <v>PIPE</v>
          </cell>
          <cell r="F1729">
            <v>1</v>
          </cell>
          <cell r="G1729" t="str">
            <v>CB100508000T00</v>
          </cell>
          <cell r="H1729">
            <v>0.75</v>
          </cell>
          <cell r="I1729" t="str">
            <v>--</v>
          </cell>
          <cell r="J1729">
            <v>1</v>
          </cell>
          <cell r="K1729">
            <v>1</v>
          </cell>
        </row>
        <row r="1730">
          <cell r="A1730" t="str">
            <v>M2</v>
          </cell>
          <cell r="B1730" t="str">
            <v>A5C</v>
          </cell>
          <cell r="C1730" t="str">
            <v>TRIM</v>
          </cell>
          <cell r="D1730" t="str">
            <v>V-2351</v>
          </cell>
          <cell r="E1730" t="str">
            <v>PIPE</v>
          </cell>
          <cell r="F1730">
            <v>1</v>
          </cell>
          <cell r="G1730" t="str">
            <v>CB100508000T00</v>
          </cell>
          <cell r="H1730">
            <v>0.75</v>
          </cell>
          <cell r="I1730" t="str">
            <v>--</v>
          </cell>
          <cell r="J1730">
            <v>1</v>
          </cell>
          <cell r="K1730">
            <v>1</v>
          </cell>
        </row>
        <row r="1731">
          <cell r="A1731" t="str">
            <v>M2</v>
          </cell>
          <cell r="B1731" t="str">
            <v>A5C</v>
          </cell>
          <cell r="C1731" t="str">
            <v>P</v>
          </cell>
          <cell r="D1731" t="str">
            <v>23068</v>
          </cell>
          <cell r="E1731" t="str">
            <v>PIPE</v>
          </cell>
          <cell r="F1731">
            <v>1</v>
          </cell>
          <cell r="G1731" t="str">
            <v>CB100508000T00</v>
          </cell>
          <cell r="H1731">
            <v>0.75</v>
          </cell>
          <cell r="I1731" t="str">
            <v>--</v>
          </cell>
          <cell r="J1731">
            <v>1</v>
          </cell>
          <cell r="K1731">
            <v>1</v>
          </cell>
        </row>
        <row r="1732">
          <cell r="A1732" t="str">
            <v>M2</v>
          </cell>
          <cell r="B1732" t="str">
            <v>A5C</v>
          </cell>
          <cell r="C1732" t="str">
            <v>P</v>
          </cell>
          <cell r="D1732" t="str">
            <v>23123</v>
          </cell>
          <cell r="E1732" t="str">
            <v>PIPE</v>
          </cell>
          <cell r="F1732">
            <v>1</v>
          </cell>
          <cell r="G1732" t="str">
            <v>CB100508000T00</v>
          </cell>
          <cell r="H1732">
            <v>0.75</v>
          </cell>
          <cell r="I1732" t="str">
            <v>--</v>
          </cell>
          <cell r="J1732">
            <v>1</v>
          </cell>
          <cell r="K1732">
            <v>1</v>
          </cell>
        </row>
        <row r="1733">
          <cell r="A1733" t="str">
            <v>M2</v>
          </cell>
          <cell r="B1733" t="str">
            <v>A5C</v>
          </cell>
          <cell r="C1733" t="str">
            <v>P</v>
          </cell>
          <cell r="D1733" t="str">
            <v>23204</v>
          </cell>
          <cell r="E1733" t="str">
            <v>PIPE</v>
          </cell>
          <cell r="F1733">
            <v>1</v>
          </cell>
          <cell r="G1733" t="str">
            <v>CB100508000T00</v>
          </cell>
          <cell r="H1733">
            <v>0.75</v>
          </cell>
          <cell r="I1733" t="str">
            <v>--</v>
          </cell>
          <cell r="J1733">
            <v>1</v>
          </cell>
          <cell r="K1733">
            <v>1</v>
          </cell>
        </row>
        <row r="1734">
          <cell r="A1734" t="str">
            <v>M2</v>
          </cell>
          <cell r="B1734" t="str">
            <v>A5C</v>
          </cell>
          <cell r="C1734" t="str">
            <v>P</v>
          </cell>
          <cell r="D1734" t="str">
            <v>23207</v>
          </cell>
          <cell r="E1734" t="str">
            <v>PIPE</v>
          </cell>
          <cell r="F1734">
            <v>1</v>
          </cell>
          <cell r="G1734" t="str">
            <v>CB100508000T00</v>
          </cell>
          <cell r="H1734">
            <v>0.75</v>
          </cell>
          <cell r="I1734" t="str">
            <v>--</v>
          </cell>
          <cell r="J1734">
            <v>1</v>
          </cell>
          <cell r="K1734">
            <v>1</v>
          </cell>
        </row>
        <row r="1735">
          <cell r="A1735" t="str">
            <v>M2</v>
          </cell>
          <cell r="B1735" t="str">
            <v>A5C</v>
          </cell>
          <cell r="C1735" t="str">
            <v>TRIM</v>
          </cell>
          <cell r="D1735" t="str">
            <v>V-2301</v>
          </cell>
          <cell r="E1735" t="str">
            <v>PIPE</v>
          </cell>
          <cell r="F1735">
            <v>1</v>
          </cell>
          <cell r="G1735" t="str">
            <v>CB100508000T00</v>
          </cell>
          <cell r="H1735">
            <v>0.75</v>
          </cell>
          <cell r="I1735" t="str">
            <v>--</v>
          </cell>
          <cell r="J1735">
            <v>1</v>
          </cell>
          <cell r="K1735">
            <v>1</v>
          </cell>
        </row>
        <row r="1736">
          <cell r="A1736" t="str">
            <v>M2</v>
          </cell>
          <cell r="B1736" t="str">
            <v>A5C</v>
          </cell>
          <cell r="C1736" t="str">
            <v>TRIM</v>
          </cell>
          <cell r="D1736" t="str">
            <v>V-2316</v>
          </cell>
          <cell r="E1736" t="str">
            <v>PIPE</v>
          </cell>
          <cell r="F1736">
            <v>1</v>
          </cell>
          <cell r="G1736" t="str">
            <v>CB100508000T00</v>
          </cell>
          <cell r="H1736">
            <v>0.75</v>
          </cell>
          <cell r="I1736" t="str">
            <v>--</v>
          </cell>
          <cell r="J1736">
            <v>1</v>
          </cell>
          <cell r="K1736">
            <v>1</v>
          </cell>
        </row>
        <row r="1737">
          <cell r="A1737" t="str">
            <v>M2</v>
          </cell>
          <cell r="B1737" t="str">
            <v>A5C</v>
          </cell>
          <cell r="C1737" t="str">
            <v>TRIM</v>
          </cell>
          <cell r="D1737" t="str">
            <v>V-2318</v>
          </cell>
          <cell r="E1737" t="str">
            <v>PIPE</v>
          </cell>
          <cell r="F1737">
            <v>1</v>
          </cell>
          <cell r="G1737" t="str">
            <v>CB100508000T00</v>
          </cell>
          <cell r="H1737">
            <v>0.75</v>
          </cell>
          <cell r="I1737" t="str">
            <v>--</v>
          </cell>
          <cell r="J1737">
            <v>1</v>
          </cell>
          <cell r="K1737">
            <v>1</v>
          </cell>
        </row>
        <row r="1738">
          <cell r="A1738" t="str">
            <v>M2</v>
          </cell>
          <cell r="B1738" t="str">
            <v>A5C</v>
          </cell>
          <cell r="C1738" t="str">
            <v>TRIM</v>
          </cell>
          <cell r="D1738" t="str">
            <v>V-2324</v>
          </cell>
          <cell r="E1738" t="str">
            <v>PIPE</v>
          </cell>
          <cell r="F1738">
            <v>1</v>
          </cell>
          <cell r="G1738" t="str">
            <v>CB100508000T00</v>
          </cell>
          <cell r="H1738">
            <v>0.75</v>
          </cell>
          <cell r="I1738" t="str">
            <v>--</v>
          </cell>
          <cell r="J1738">
            <v>1</v>
          </cell>
          <cell r="K1738">
            <v>1</v>
          </cell>
        </row>
        <row r="1739">
          <cell r="A1739" t="str">
            <v>M2</v>
          </cell>
          <cell r="B1739" t="str">
            <v>A5C</v>
          </cell>
          <cell r="C1739" t="str">
            <v>TRIM</v>
          </cell>
          <cell r="D1739" t="str">
            <v>V-2330</v>
          </cell>
          <cell r="E1739" t="str">
            <v>PIPE</v>
          </cell>
          <cell r="F1739">
            <v>1</v>
          </cell>
          <cell r="G1739" t="str">
            <v>CB100508000T00</v>
          </cell>
          <cell r="H1739">
            <v>0.75</v>
          </cell>
          <cell r="I1739" t="str">
            <v>--</v>
          </cell>
          <cell r="J1739">
            <v>1</v>
          </cell>
          <cell r="K1739">
            <v>1</v>
          </cell>
        </row>
        <row r="1740">
          <cell r="A1740" t="str">
            <v>M2</v>
          </cell>
          <cell r="B1740" t="str">
            <v>A5C</v>
          </cell>
          <cell r="C1740" t="str">
            <v>TRIM</v>
          </cell>
          <cell r="D1740" t="str">
            <v>V-2331</v>
          </cell>
          <cell r="E1740" t="str">
            <v>PIPE</v>
          </cell>
          <cell r="F1740">
            <v>1</v>
          </cell>
          <cell r="G1740" t="str">
            <v>CB100508000T00</v>
          </cell>
          <cell r="H1740">
            <v>0.75</v>
          </cell>
          <cell r="I1740" t="str">
            <v>--</v>
          </cell>
          <cell r="J1740">
            <v>1</v>
          </cell>
          <cell r="K1740">
            <v>1</v>
          </cell>
        </row>
        <row r="1741">
          <cell r="A1741" t="str">
            <v>M2</v>
          </cell>
          <cell r="B1741" t="str">
            <v>A5C</v>
          </cell>
          <cell r="C1741" t="str">
            <v>TRIM</v>
          </cell>
          <cell r="D1741" t="str">
            <v>V-2332</v>
          </cell>
          <cell r="E1741" t="str">
            <v>PIPE</v>
          </cell>
          <cell r="F1741">
            <v>1</v>
          </cell>
          <cell r="G1741" t="str">
            <v>CB100508000T00</v>
          </cell>
          <cell r="H1741">
            <v>0.75</v>
          </cell>
          <cell r="I1741" t="str">
            <v>--</v>
          </cell>
          <cell r="J1741">
            <v>1</v>
          </cell>
          <cell r="K1741">
            <v>1</v>
          </cell>
        </row>
        <row r="1742">
          <cell r="A1742" t="str">
            <v>M2</v>
          </cell>
          <cell r="B1742" t="str">
            <v>A5C</v>
          </cell>
          <cell r="C1742" t="str">
            <v>TRIM</v>
          </cell>
          <cell r="D1742" t="str">
            <v>V-2333</v>
          </cell>
          <cell r="E1742" t="str">
            <v>PIPE</v>
          </cell>
          <cell r="F1742">
            <v>1</v>
          </cell>
          <cell r="G1742" t="str">
            <v>CB100508000T00</v>
          </cell>
          <cell r="H1742">
            <v>0.75</v>
          </cell>
          <cell r="I1742" t="str">
            <v>--</v>
          </cell>
          <cell r="J1742">
            <v>1</v>
          </cell>
          <cell r="K1742">
            <v>1</v>
          </cell>
        </row>
        <row r="1743">
          <cell r="A1743" t="str">
            <v>M2</v>
          </cell>
          <cell r="B1743" t="str">
            <v>A5C</v>
          </cell>
          <cell r="C1743" t="str">
            <v>TRIM</v>
          </cell>
          <cell r="D1743" t="str">
            <v>V-2352</v>
          </cell>
          <cell r="E1743" t="str">
            <v>PIPE</v>
          </cell>
          <cell r="F1743">
            <v>1</v>
          </cell>
          <cell r="G1743" t="str">
            <v>CB100508000T00</v>
          </cell>
          <cell r="H1743">
            <v>0.75</v>
          </cell>
          <cell r="I1743" t="str">
            <v>--</v>
          </cell>
          <cell r="J1743">
            <v>1</v>
          </cell>
          <cell r="K1743">
            <v>1</v>
          </cell>
        </row>
        <row r="1744">
          <cell r="A1744" t="str">
            <v>M2</v>
          </cell>
          <cell r="B1744" t="str">
            <v>A5C</v>
          </cell>
          <cell r="C1744" t="str">
            <v>TRIM</v>
          </cell>
          <cell r="D1744" t="str">
            <v>V-2302</v>
          </cell>
          <cell r="E1744" t="str">
            <v>PIPE</v>
          </cell>
          <cell r="F1744">
            <v>1</v>
          </cell>
          <cell r="G1744" t="str">
            <v>CB100508000T00</v>
          </cell>
          <cell r="H1744">
            <v>0.75</v>
          </cell>
          <cell r="I1744" t="str">
            <v>--</v>
          </cell>
          <cell r="J1744">
            <v>1</v>
          </cell>
          <cell r="K1744">
            <v>1</v>
          </cell>
        </row>
        <row r="1745">
          <cell r="A1745" t="str">
            <v>M2</v>
          </cell>
          <cell r="B1745" t="str">
            <v>A5C</v>
          </cell>
          <cell r="C1745" t="str">
            <v>TRIM</v>
          </cell>
          <cell r="D1745" t="str">
            <v>V-2306</v>
          </cell>
          <cell r="E1745" t="str">
            <v>PIPE</v>
          </cell>
          <cell r="F1745">
            <v>1</v>
          </cell>
          <cell r="G1745" t="str">
            <v>CB100508000T00</v>
          </cell>
          <cell r="H1745">
            <v>0.75</v>
          </cell>
          <cell r="I1745" t="str">
            <v>--</v>
          </cell>
          <cell r="J1745">
            <v>1</v>
          </cell>
          <cell r="K1745">
            <v>1</v>
          </cell>
        </row>
        <row r="1746">
          <cell r="A1746" t="str">
            <v>M2</v>
          </cell>
          <cell r="B1746" t="str">
            <v>A5C</v>
          </cell>
          <cell r="C1746" t="str">
            <v>TRIM</v>
          </cell>
          <cell r="D1746" t="str">
            <v>V-2308</v>
          </cell>
          <cell r="E1746" t="str">
            <v>PIPE</v>
          </cell>
          <cell r="F1746">
            <v>1</v>
          </cell>
          <cell r="G1746" t="str">
            <v>CB100508000T00</v>
          </cell>
          <cell r="H1746">
            <v>0.75</v>
          </cell>
          <cell r="I1746" t="str">
            <v>--</v>
          </cell>
          <cell r="J1746">
            <v>1</v>
          </cell>
          <cell r="K1746">
            <v>1</v>
          </cell>
        </row>
        <row r="1747">
          <cell r="A1747" t="str">
            <v>M2</v>
          </cell>
          <cell r="B1747" t="str">
            <v>A5C</v>
          </cell>
          <cell r="C1747" t="str">
            <v>TRIM</v>
          </cell>
          <cell r="D1747" t="str">
            <v>V-2313</v>
          </cell>
          <cell r="E1747" t="str">
            <v>PIPE</v>
          </cell>
          <cell r="F1747">
            <v>1</v>
          </cell>
          <cell r="G1747" t="str">
            <v>CB100508000T00</v>
          </cell>
          <cell r="H1747">
            <v>0.75</v>
          </cell>
          <cell r="I1747" t="str">
            <v>--</v>
          </cell>
          <cell r="J1747">
            <v>1</v>
          </cell>
          <cell r="K1747">
            <v>1</v>
          </cell>
        </row>
        <row r="1748">
          <cell r="A1748" t="str">
            <v>M2</v>
          </cell>
          <cell r="B1748" t="str">
            <v>A5C</v>
          </cell>
          <cell r="C1748" t="str">
            <v>TRIM</v>
          </cell>
          <cell r="D1748" t="str">
            <v>V-2310</v>
          </cell>
          <cell r="E1748" t="str">
            <v>PIPE</v>
          </cell>
          <cell r="F1748">
            <v>1</v>
          </cell>
          <cell r="G1748" t="str">
            <v>CB100508000T00</v>
          </cell>
          <cell r="H1748">
            <v>0.75</v>
          </cell>
          <cell r="I1748" t="str">
            <v>--</v>
          </cell>
          <cell r="J1748">
            <v>1</v>
          </cell>
          <cell r="K1748">
            <v>1</v>
          </cell>
        </row>
        <row r="1749">
          <cell r="A1749" t="str">
            <v>M2</v>
          </cell>
          <cell r="B1749" t="str">
            <v>A5C</v>
          </cell>
          <cell r="C1749" t="str">
            <v>TRIM</v>
          </cell>
          <cell r="D1749" t="str">
            <v>V-2304</v>
          </cell>
          <cell r="E1749" t="str">
            <v>PIPE</v>
          </cell>
          <cell r="F1749">
            <v>1</v>
          </cell>
          <cell r="G1749" t="str">
            <v>CB100508000T00</v>
          </cell>
          <cell r="H1749">
            <v>0.75</v>
          </cell>
          <cell r="I1749" t="str">
            <v>--</v>
          </cell>
          <cell r="J1749">
            <v>1</v>
          </cell>
          <cell r="K1749">
            <v>1</v>
          </cell>
        </row>
        <row r="1750">
          <cell r="A1750" t="str">
            <v>M2</v>
          </cell>
          <cell r="B1750" t="str">
            <v>A5C</v>
          </cell>
          <cell r="C1750" t="str">
            <v>TRIM</v>
          </cell>
          <cell r="D1750" t="str">
            <v>V-2325</v>
          </cell>
          <cell r="E1750" t="str">
            <v>PIPE</v>
          </cell>
          <cell r="F1750">
            <v>1</v>
          </cell>
          <cell r="G1750" t="str">
            <v>CB100508000T00</v>
          </cell>
          <cell r="H1750">
            <v>0.75</v>
          </cell>
          <cell r="I1750" t="str">
            <v>--</v>
          </cell>
          <cell r="J1750">
            <v>1</v>
          </cell>
          <cell r="K1750">
            <v>1</v>
          </cell>
        </row>
        <row r="1751">
          <cell r="A1751" t="str">
            <v>M2</v>
          </cell>
          <cell r="B1751" t="str">
            <v>A5C</v>
          </cell>
          <cell r="C1751" t="str">
            <v>TRIM</v>
          </cell>
          <cell r="D1751" t="str">
            <v>V-2327</v>
          </cell>
          <cell r="E1751" t="str">
            <v>PIPE</v>
          </cell>
          <cell r="F1751">
            <v>1</v>
          </cell>
          <cell r="G1751" t="str">
            <v>CB100508000T00</v>
          </cell>
          <cell r="H1751">
            <v>0.75</v>
          </cell>
          <cell r="I1751" t="str">
            <v>--</v>
          </cell>
          <cell r="J1751">
            <v>1.2</v>
          </cell>
          <cell r="K1751">
            <v>1.2</v>
          </cell>
        </row>
        <row r="1752">
          <cell r="A1752" t="str">
            <v>M2</v>
          </cell>
          <cell r="B1752" t="str">
            <v>A5C</v>
          </cell>
          <cell r="C1752" t="str">
            <v>TRIM</v>
          </cell>
          <cell r="D1752" t="str">
            <v>V-2328</v>
          </cell>
          <cell r="E1752" t="str">
            <v>PIPE</v>
          </cell>
          <cell r="F1752">
            <v>1</v>
          </cell>
          <cell r="G1752" t="str">
            <v>CB100508000T00</v>
          </cell>
          <cell r="H1752">
            <v>0.75</v>
          </cell>
          <cell r="I1752" t="str">
            <v>--</v>
          </cell>
          <cell r="J1752">
            <v>1.2</v>
          </cell>
          <cell r="K1752">
            <v>1.2</v>
          </cell>
        </row>
        <row r="1753">
          <cell r="A1753" t="str">
            <v>M2</v>
          </cell>
          <cell r="B1753" t="str">
            <v>A5C</v>
          </cell>
          <cell r="C1753" t="str">
            <v>TRIM</v>
          </cell>
          <cell r="D1753" t="str">
            <v>V-2326</v>
          </cell>
          <cell r="E1753" t="str">
            <v>PIPE</v>
          </cell>
          <cell r="F1753">
            <v>1</v>
          </cell>
          <cell r="G1753" t="str">
            <v>CB100508000T00</v>
          </cell>
          <cell r="H1753">
            <v>0.75</v>
          </cell>
          <cell r="I1753" t="str">
            <v>--</v>
          </cell>
          <cell r="J1753">
            <v>1.2</v>
          </cell>
          <cell r="K1753">
            <v>1.2</v>
          </cell>
        </row>
        <row r="1754">
          <cell r="A1754" t="str">
            <v>M2</v>
          </cell>
          <cell r="B1754" t="str">
            <v>A5C</v>
          </cell>
          <cell r="C1754" t="str">
            <v>TRIM</v>
          </cell>
          <cell r="D1754" t="str">
            <v>V-2401</v>
          </cell>
          <cell r="E1754" t="str">
            <v>PIPE</v>
          </cell>
          <cell r="F1754">
            <v>1</v>
          </cell>
          <cell r="G1754" t="str">
            <v>CB100508000T00</v>
          </cell>
          <cell r="H1754">
            <v>0.75</v>
          </cell>
          <cell r="I1754" t="str">
            <v>--</v>
          </cell>
          <cell r="J1754">
            <v>1.2</v>
          </cell>
          <cell r="K1754">
            <v>1.2</v>
          </cell>
        </row>
        <row r="1755">
          <cell r="A1755" t="str">
            <v>M2</v>
          </cell>
          <cell r="B1755" t="str">
            <v>A5C</v>
          </cell>
          <cell r="C1755" t="str">
            <v>TRIM</v>
          </cell>
          <cell r="D1755" t="str">
            <v>V-2404</v>
          </cell>
          <cell r="E1755" t="str">
            <v>PIPE</v>
          </cell>
          <cell r="F1755">
            <v>1</v>
          </cell>
          <cell r="G1755" t="str">
            <v>CB100508000T00</v>
          </cell>
          <cell r="H1755">
            <v>0.75</v>
          </cell>
          <cell r="I1755" t="str">
            <v>--</v>
          </cell>
          <cell r="J1755">
            <v>1.2</v>
          </cell>
          <cell r="K1755">
            <v>1.2</v>
          </cell>
        </row>
        <row r="1756">
          <cell r="A1756" t="str">
            <v>M2</v>
          </cell>
          <cell r="B1756" t="str">
            <v>A5C</v>
          </cell>
          <cell r="C1756" t="str">
            <v>TRIM</v>
          </cell>
          <cell r="D1756" t="str">
            <v>R-2401</v>
          </cell>
          <cell r="E1756" t="str">
            <v>PIPE</v>
          </cell>
          <cell r="F1756">
            <v>1</v>
          </cell>
          <cell r="G1756" t="str">
            <v>CB100508000T00</v>
          </cell>
          <cell r="H1756">
            <v>0.75</v>
          </cell>
          <cell r="I1756" t="str">
            <v>--</v>
          </cell>
          <cell r="J1756">
            <v>1.2</v>
          </cell>
          <cell r="K1756">
            <v>1.2</v>
          </cell>
        </row>
        <row r="1757">
          <cell r="A1757" t="str">
            <v>M2</v>
          </cell>
          <cell r="B1757" t="str">
            <v>A5C</v>
          </cell>
          <cell r="C1757" t="str">
            <v>P</v>
          </cell>
          <cell r="D1757" t="str">
            <v>23085</v>
          </cell>
          <cell r="E1757" t="str">
            <v>PIPE</v>
          </cell>
          <cell r="F1757">
            <v>1</v>
          </cell>
          <cell r="G1757" t="str">
            <v>CB100508000T00</v>
          </cell>
          <cell r="H1757">
            <v>0.75</v>
          </cell>
          <cell r="I1757" t="str">
            <v>--</v>
          </cell>
          <cell r="J1757">
            <v>1.5</v>
          </cell>
          <cell r="K1757">
            <v>1.5</v>
          </cell>
        </row>
        <row r="1758">
          <cell r="A1758" t="str">
            <v>M2</v>
          </cell>
          <cell r="B1758" t="str">
            <v>A5C</v>
          </cell>
          <cell r="C1758" t="str">
            <v>P</v>
          </cell>
          <cell r="D1758" t="str">
            <v>23096</v>
          </cell>
          <cell r="E1758" t="str">
            <v>PIPE</v>
          </cell>
          <cell r="F1758">
            <v>1</v>
          </cell>
          <cell r="G1758" t="str">
            <v>CB100508000T00</v>
          </cell>
          <cell r="H1758">
            <v>0.75</v>
          </cell>
          <cell r="I1758" t="str">
            <v>--</v>
          </cell>
          <cell r="J1758">
            <v>1.5</v>
          </cell>
          <cell r="K1758">
            <v>1.5</v>
          </cell>
        </row>
        <row r="1759">
          <cell r="A1759" t="str">
            <v>M2</v>
          </cell>
          <cell r="B1759" t="str">
            <v>A5C</v>
          </cell>
          <cell r="C1759" t="str">
            <v>P</v>
          </cell>
          <cell r="D1759" t="str">
            <v>23124</v>
          </cell>
          <cell r="E1759" t="str">
            <v>PIPE</v>
          </cell>
          <cell r="F1759">
            <v>1</v>
          </cell>
          <cell r="G1759" t="str">
            <v>CB100508000T00</v>
          </cell>
          <cell r="H1759">
            <v>0.75</v>
          </cell>
          <cell r="I1759" t="str">
            <v>--</v>
          </cell>
          <cell r="J1759">
            <v>1.5</v>
          </cell>
          <cell r="K1759">
            <v>1.5</v>
          </cell>
        </row>
        <row r="1760">
          <cell r="A1760" t="str">
            <v>M2</v>
          </cell>
          <cell r="B1760" t="str">
            <v>A5C</v>
          </cell>
          <cell r="C1760" t="str">
            <v>P</v>
          </cell>
          <cell r="D1760" t="str">
            <v>23135</v>
          </cell>
          <cell r="E1760" t="str">
            <v>PIPE</v>
          </cell>
          <cell r="F1760">
            <v>1</v>
          </cell>
          <cell r="G1760" t="str">
            <v>CB100508000T00</v>
          </cell>
          <cell r="H1760">
            <v>0.75</v>
          </cell>
          <cell r="I1760" t="str">
            <v>--</v>
          </cell>
          <cell r="J1760">
            <v>1.5</v>
          </cell>
          <cell r="K1760">
            <v>1.5</v>
          </cell>
        </row>
        <row r="1761">
          <cell r="A1761" t="str">
            <v>M2</v>
          </cell>
          <cell r="B1761" t="str">
            <v>A5C</v>
          </cell>
          <cell r="C1761" t="str">
            <v>TRIM</v>
          </cell>
          <cell r="D1761" t="str">
            <v>C-2302</v>
          </cell>
          <cell r="E1761" t="str">
            <v>PIPE</v>
          </cell>
          <cell r="F1761">
            <v>1</v>
          </cell>
          <cell r="G1761" t="str">
            <v>CB100508000T00</v>
          </cell>
          <cell r="H1761">
            <v>0.75</v>
          </cell>
          <cell r="I1761" t="str">
            <v>--</v>
          </cell>
          <cell r="J1761">
            <v>1.5</v>
          </cell>
          <cell r="K1761">
            <v>1.5</v>
          </cell>
        </row>
        <row r="1762">
          <cell r="A1762" t="str">
            <v>M2</v>
          </cell>
          <cell r="B1762" t="str">
            <v>A5C</v>
          </cell>
          <cell r="C1762" t="str">
            <v>TRIM</v>
          </cell>
          <cell r="D1762" t="str">
            <v>C-2303</v>
          </cell>
          <cell r="E1762" t="str">
            <v>PIPE</v>
          </cell>
          <cell r="F1762">
            <v>1</v>
          </cell>
          <cell r="G1762" t="str">
            <v>CB100508000T00</v>
          </cell>
          <cell r="H1762">
            <v>0.75</v>
          </cell>
          <cell r="I1762" t="str">
            <v>--</v>
          </cell>
          <cell r="J1762">
            <v>1.5</v>
          </cell>
          <cell r="K1762">
            <v>1.5</v>
          </cell>
        </row>
        <row r="1763">
          <cell r="A1763" t="str">
            <v>M2</v>
          </cell>
          <cell r="B1763" t="str">
            <v>A5C</v>
          </cell>
          <cell r="C1763" t="str">
            <v>TRIM</v>
          </cell>
          <cell r="D1763" t="str">
            <v>C-2304</v>
          </cell>
          <cell r="E1763" t="str">
            <v>PIPE</v>
          </cell>
          <cell r="F1763">
            <v>1</v>
          </cell>
          <cell r="G1763" t="str">
            <v>CB100508000T00</v>
          </cell>
          <cell r="H1763">
            <v>0.75</v>
          </cell>
          <cell r="I1763" t="str">
            <v>--</v>
          </cell>
          <cell r="J1763">
            <v>1.5</v>
          </cell>
          <cell r="K1763">
            <v>1.5</v>
          </cell>
        </row>
        <row r="1764">
          <cell r="A1764" t="str">
            <v>M2</v>
          </cell>
          <cell r="B1764" t="str">
            <v>A5C</v>
          </cell>
          <cell r="C1764" t="str">
            <v>TRIM</v>
          </cell>
          <cell r="D1764" t="str">
            <v>C-2305</v>
          </cell>
          <cell r="E1764" t="str">
            <v>PIPE</v>
          </cell>
          <cell r="F1764">
            <v>1</v>
          </cell>
          <cell r="G1764" t="str">
            <v>CB100508000T00</v>
          </cell>
          <cell r="H1764">
            <v>0.75</v>
          </cell>
          <cell r="I1764" t="str">
            <v>--</v>
          </cell>
          <cell r="J1764">
            <v>1.5</v>
          </cell>
          <cell r="K1764">
            <v>1.5</v>
          </cell>
        </row>
        <row r="1765">
          <cell r="A1765" t="str">
            <v>M2</v>
          </cell>
          <cell r="B1765" t="str">
            <v>A5C</v>
          </cell>
          <cell r="C1765" t="str">
            <v>TRIM</v>
          </cell>
          <cell r="D1765" t="str">
            <v>C-2306</v>
          </cell>
          <cell r="E1765" t="str">
            <v>PIPE</v>
          </cell>
          <cell r="F1765">
            <v>1</v>
          </cell>
          <cell r="G1765" t="str">
            <v>CB100508000T00</v>
          </cell>
          <cell r="H1765">
            <v>0.75</v>
          </cell>
          <cell r="I1765" t="str">
            <v>--</v>
          </cell>
          <cell r="J1765">
            <v>1.5</v>
          </cell>
          <cell r="K1765">
            <v>1.5</v>
          </cell>
        </row>
        <row r="1766">
          <cell r="A1766" t="str">
            <v>M2</v>
          </cell>
          <cell r="B1766" t="str">
            <v>A5C</v>
          </cell>
          <cell r="C1766" t="str">
            <v>TRIM</v>
          </cell>
          <cell r="D1766" t="str">
            <v>C-2301</v>
          </cell>
          <cell r="E1766" t="str">
            <v>PIPE</v>
          </cell>
          <cell r="F1766">
            <v>1</v>
          </cell>
          <cell r="G1766" t="str">
            <v>CB100508000T00</v>
          </cell>
          <cell r="H1766">
            <v>0.75</v>
          </cell>
          <cell r="I1766" t="str">
            <v>--</v>
          </cell>
          <cell r="J1766">
            <v>1.5</v>
          </cell>
          <cell r="K1766">
            <v>1.5</v>
          </cell>
        </row>
        <row r="1767">
          <cell r="A1767" t="str">
            <v>M2</v>
          </cell>
          <cell r="B1767" t="str">
            <v>B2C</v>
          </cell>
          <cell r="C1767" t="str">
            <v>SCH</v>
          </cell>
          <cell r="D1767" t="str">
            <v>23613</v>
          </cell>
          <cell r="E1767" t="str">
            <v>PIPE</v>
          </cell>
          <cell r="F1767">
            <v>1</v>
          </cell>
          <cell r="G1767" t="str">
            <v>CB100508000T00</v>
          </cell>
          <cell r="H1767">
            <v>0.75</v>
          </cell>
          <cell r="I1767" t="str">
            <v>--</v>
          </cell>
          <cell r="J1767">
            <v>1.6</v>
          </cell>
          <cell r="K1767">
            <v>1.6</v>
          </cell>
        </row>
        <row r="1768">
          <cell r="A1768" t="str">
            <v>M2</v>
          </cell>
          <cell r="B1768" t="str">
            <v>A5C</v>
          </cell>
          <cell r="C1768" t="str">
            <v>TRIM</v>
          </cell>
          <cell r="D1768" t="str">
            <v>V-2403</v>
          </cell>
          <cell r="E1768" t="str">
            <v>PIPE</v>
          </cell>
          <cell r="F1768">
            <v>1</v>
          </cell>
          <cell r="G1768" t="str">
            <v>CB100508000T00</v>
          </cell>
          <cell r="H1768">
            <v>0.75</v>
          </cell>
          <cell r="I1768" t="str">
            <v>--</v>
          </cell>
          <cell r="J1768">
            <v>1.6</v>
          </cell>
          <cell r="K1768">
            <v>1.6</v>
          </cell>
        </row>
        <row r="1769">
          <cell r="A1769" t="str">
            <v>M2</v>
          </cell>
          <cell r="B1769" t="str">
            <v>A5C</v>
          </cell>
          <cell r="C1769" t="str">
            <v>N</v>
          </cell>
          <cell r="D1769" t="str">
            <v>23613</v>
          </cell>
          <cell r="E1769" t="str">
            <v>PIPE</v>
          </cell>
          <cell r="F1769">
            <v>1</v>
          </cell>
          <cell r="G1769" t="str">
            <v>CB100508000T00</v>
          </cell>
          <cell r="H1769">
            <v>0.75</v>
          </cell>
          <cell r="I1769" t="str">
            <v>--</v>
          </cell>
          <cell r="J1769">
            <v>2.2999999999999998</v>
          </cell>
          <cell r="K1769">
            <v>2.2999999999999998</v>
          </cell>
        </row>
        <row r="1770">
          <cell r="A1770" t="str">
            <v>M2</v>
          </cell>
          <cell r="B1770" t="str">
            <v>A5C</v>
          </cell>
          <cell r="C1770" t="str">
            <v>N</v>
          </cell>
          <cell r="D1770" t="str">
            <v>23647</v>
          </cell>
          <cell r="E1770" t="str">
            <v>PIPE</v>
          </cell>
          <cell r="F1770">
            <v>1</v>
          </cell>
          <cell r="G1770" t="str">
            <v>CB100508000T00</v>
          </cell>
          <cell r="H1770">
            <v>0.75</v>
          </cell>
          <cell r="I1770" t="str">
            <v>--</v>
          </cell>
          <cell r="J1770">
            <v>2.5</v>
          </cell>
          <cell r="K1770">
            <v>2.5</v>
          </cell>
        </row>
        <row r="1771">
          <cell r="A1771" t="str">
            <v>M2</v>
          </cell>
          <cell r="B1771" t="str">
            <v>A5C</v>
          </cell>
          <cell r="C1771" t="str">
            <v>N</v>
          </cell>
          <cell r="D1771" t="str">
            <v>23648</v>
          </cell>
          <cell r="E1771" t="str">
            <v>PIPE</v>
          </cell>
          <cell r="F1771">
            <v>1</v>
          </cell>
          <cell r="G1771" t="str">
            <v>CB100508000T00</v>
          </cell>
          <cell r="H1771">
            <v>0.75</v>
          </cell>
          <cell r="I1771" t="str">
            <v>--</v>
          </cell>
          <cell r="J1771">
            <v>2.5</v>
          </cell>
          <cell r="K1771">
            <v>2.5</v>
          </cell>
        </row>
        <row r="1772">
          <cell r="A1772" t="str">
            <v>M2</v>
          </cell>
          <cell r="B1772" t="str">
            <v>A5C</v>
          </cell>
          <cell r="C1772" t="str">
            <v>N</v>
          </cell>
          <cell r="D1772" t="str">
            <v>23621</v>
          </cell>
          <cell r="E1772" t="str">
            <v>PIPE</v>
          </cell>
          <cell r="F1772">
            <v>1</v>
          </cell>
          <cell r="G1772" t="str">
            <v>CB100508000T00</v>
          </cell>
          <cell r="H1772">
            <v>0.75</v>
          </cell>
          <cell r="I1772" t="str">
            <v>--</v>
          </cell>
          <cell r="J1772">
            <v>2.8</v>
          </cell>
          <cell r="K1772">
            <v>2.8</v>
          </cell>
        </row>
        <row r="1773">
          <cell r="A1773" t="str">
            <v>M2</v>
          </cell>
          <cell r="B1773" t="str">
            <v>A5C</v>
          </cell>
          <cell r="C1773" t="str">
            <v>P</v>
          </cell>
          <cell r="D1773" t="str">
            <v>23113</v>
          </cell>
          <cell r="E1773" t="str">
            <v>PIPE</v>
          </cell>
          <cell r="F1773">
            <v>1</v>
          </cell>
          <cell r="G1773" t="str">
            <v>CB100508000T00</v>
          </cell>
          <cell r="H1773">
            <v>0.75</v>
          </cell>
          <cell r="I1773" t="str">
            <v>--</v>
          </cell>
          <cell r="J1773">
            <v>3</v>
          </cell>
          <cell r="K1773">
            <v>3</v>
          </cell>
        </row>
        <row r="1774">
          <cell r="A1774" t="str">
            <v>M2</v>
          </cell>
          <cell r="B1774" t="str">
            <v>A5C</v>
          </cell>
          <cell r="C1774" t="str">
            <v>N</v>
          </cell>
          <cell r="D1774" t="str">
            <v>23619</v>
          </cell>
          <cell r="E1774" t="str">
            <v>PIPE</v>
          </cell>
          <cell r="F1774">
            <v>1</v>
          </cell>
          <cell r="G1774" t="str">
            <v>CB100508000T00</v>
          </cell>
          <cell r="H1774">
            <v>0.75</v>
          </cell>
          <cell r="I1774" t="str">
            <v>--</v>
          </cell>
          <cell r="J1774">
            <v>3.5</v>
          </cell>
          <cell r="K1774">
            <v>3.5</v>
          </cell>
        </row>
        <row r="1775">
          <cell r="A1775" t="str">
            <v>M2</v>
          </cell>
          <cell r="B1775" t="str">
            <v>A5C</v>
          </cell>
          <cell r="C1775" t="str">
            <v>N</v>
          </cell>
          <cell r="D1775" t="str">
            <v>23620</v>
          </cell>
          <cell r="E1775" t="str">
            <v>PIPE</v>
          </cell>
          <cell r="F1775">
            <v>1</v>
          </cell>
          <cell r="G1775" t="str">
            <v>CB100508000T00</v>
          </cell>
          <cell r="H1775">
            <v>0.75</v>
          </cell>
          <cell r="I1775" t="str">
            <v>--</v>
          </cell>
          <cell r="J1775">
            <v>3.5</v>
          </cell>
          <cell r="K1775">
            <v>3.5</v>
          </cell>
        </row>
        <row r="1776">
          <cell r="A1776" t="str">
            <v>M2</v>
          </cell>
          <cell r="B1776" t="str">
            <v>A5C</v>
          </cell>
          <cell r="C1776" t="str">
            <v>N</v>
          </cell>
          <cell r="D1776" t="str">
            <v>23642</v>
          </cell>
          <cell r="E1776" t="str">
            <v>PIPE</v>
          </cell>
          <cell r="F1776">
            <v>1</v>
          </cell>
          <cell r="G1776" t="str">
            <v>CB100508000T00</v>
          </cell>
          <cell r="H1776">
            <v>0.75</v>
          </cell>
          <cell r="I1776" t="str">
            <v>--</v>
          </cell>
          <cell r="J1776">
            <v>3.5</v>
          </cell>
          <cell r="K1776">
            <v>3.5</v>
          </cell>
        </row>
        <row r="1777">
          <cell r="A1777" t="str">
            <v>M2</v>
          </cell>
          <cell r="B1777" t="str">
            <v>A5C</v>
          </cell>
          <cell r="C1777" t="str">
            <v>N</v>
          </cell>
          <cell r="D1777" t="str">
            <v>24611</v>
          </cell>
          <cell r="E1777" t="str">
            <v>PIPE</v>
          </cell>
          <cell r="F1777">
            <v>1</v>
          </cell>
          <cell r="G1777" t="str">
            <v>CB100508000T00</v>
          </cell>
          <cell r="H1777">
            <v>0.75</v>
          </cell>
          <cell r="I1777" t="str">
            <v>--</v>
          </cell>
          <cell r="J1777">
            <v>3.5</v>
          </cell>
          <cell r="K1777">
            <v>3.5</v>
          </cell>
        </row>
        <row r="1778">
          <cell r="A1778" t="str">
            <v>M2</v>
          </cell>
          <cell r="B1778" t="str">
            <v>A5C</v>
          </cell>
          <cell r="C1778" t="str">
            <v>N</v>
          </cell>
          <cell r="D1778" t="str">
            <v>23646</v>
          </cell>
          <cell r="E1778" t="str">
            <v>PIPE</v>
          </cell>
          <cell r="F1778">
            <v>1</v>
          </cell>
          <cell r="G1778" t="str">
            <v>CB100508000T00</v>
          </cell>
          <cell r="H1778">
            <v>0.75</v>
          </cell>
          <cell r="I1778" t="str">
            <v>--</v>
          </cell>
          <cell r="J1778">
            <v>3.5</v>
          </cell>
          <cell r="K1778">
            <v>3.5</v>
          </cell>
        </row>
        <row r="1779">
          <cell r="A1779" t="str">
            <v>M2</v>
          </cell>
          <cell r="B1779" t="str">
            <v>A5C</v>
          </cell>
          <cell r="C1779" t="str">
            <v>P</v>
          </cell>
          <cell r="D1779" t="str">
            <v>24033</v>
          </cell>
          <cell r="E1779" t="str">
            <v>PIPE</v>
          </cell>
          <cell r="F1779">
            <v>1</v>
          </cell>
          <cell r="G1779" t="str">
            <v>CB100508000T00</v>
          </cell>
          <cell r="H1779">
            <v>0.75</v>
          </cell>
          <cell r="I1779" t="str">
            <v>--</v>
          </cell>
          <cell r="J1779">
            <v>3.5</v>
          </cell>
          <cell r="K1779">
            <v>3.5</v>
          </cell>
        </row>
        <row r="1780">
          <cell r="A1780" t="str">
            <v>M2</v>
          </cell>
          <cell r="B1780" t="str">
            <v>A5C</v>
          </cell>
          <cell r="C1780" t="str">
            <v>N</v>
          </cell>
          <cell r="D1780" t="str">
            <v>24612</v>
          </cell>
          <cell r="E1780" t="str">
            <v>PIPE</v>
          </cell>
          <cell r="F1780">
            <v>1</v>
          </cell>
          <cell r="G1780" t="str">
            <v>CB100508000T00</v>
          </cell>
          <cell r="H1780">
            <v>0.75</v>
          </cell>
          <cell r="I1780" t="str">
            <v>--</v>
          </cell>
          <cell r="J1780">
            <v>3.6</v>
          </cell>
          <cell r="K1780">
            <v>3.6</v>
          </cell>
        </row>
        <row r="1781">
          <cell r="A1781" t="str">
            <v>M2</v>
          </cell>
          <cell r="B1781" t="str">
            <v>A5C</v>
          </cell>
          <cell r="C1781" t="str">
            <v>N</v>
          </cell>
          <cell r="D1781" t="str">
            <v>24614</v>
          </cell>
          <cell r="E1781" t="str">
            <v>PIPE</v>
          </cell>
          <cell r="F1781">
            <v>1</v>
          </cell>
          <cell r="G1781" t="str">
            <v>CB100508000T00</v>
          </cell>
          <cell r="H1781">
            <v>0.75</v>
          </cell>
          <cell r="I1781" t="str">
            <v>--</v>
          </cell>
          <cell r="J1781">
            <v>3.6</v>
          </cell>
          <cell r="K1781">
            <v>3.6</v>
          </cell>
        </row>
        <row r="1782">
          <cell r="A1782" t="str">
            <v>M2</v>
          </cell>
          <cell r="B1782" t="str">
            <v>A5C</v>
          </cell>
          <cell r="C1782" t="str">
            <v>P</v>
          </cell>
          <cell r="D1782" t="str">
            <v>23053</v>
          </cell>
          <cell r="E1782" t="str">
            <v>PIPE</v>
          </cell>
          <cell r="F1782">
            <v>1</v>
          </cell>
          <cell r="G1782" t="str">
            <v>CB100508000T00</v>
          </cell>
          <cell r="H1782">
            <v>0.75</v>
          </cell>
          <cell r="I1782" t="str">
            <v>--</v>
          </cell>
          <cell r="J1782">
            <v>3.9</v>
          </cell>
          <cell r="K1782">
            <v>3.9</v>
          </cell>
        </row>
        <row r="1783">
          <cell r="A1783" t="str">
            <v>M2</v>
          </cell>
          <cell r="B1783" t="str">
            <v>A5C</v>
          </cell>
          <cell r="C1783" t="str">
            <v>P</v>
          </cell>
          <cell r="D1783" t="str">
            <v>23048</v>
          </cell>
          <cell r="E1783" t="str">
            <v>PIPE</v>
          </cell>
          <cell r="F1783">
            <v>1</v>
          </cell>
          <cell r="G1783" t="str">
            <v>CB100508000T00</v>
          </cell>
          <cell r="H1783">
            <v>0.75</v>
          </cell>
          <cell r="I1783" t="str">
            <v>--</v>
          </cell>
          <cell r="J1783">
            <v>4.3</v>
          </cell>
          <cell r="K1783">
            <v>4.3</v>
          </cell>
        </row>
        <row r="1784">
          <cell r="A1784" t="str">
            <v>M2</v>
          </cell>
          <cell r="B1784" t="str">
            <v>A5C</v>
          </cell>
          <cell r="C1784" t="str">
            <v>N</v>
          </cell>
          <cell r="D1784" t="str">
            <v>24613</v>
          </cell>
          <cell r="E1784" t="str">
            <v>PIPE</v>
          </cell>
          <cell r="F1784">
            <v>1</v>
          </cell>
          <cell r="G1784" t="str">
            <v>CB100508000T00</v>
          </cell>
          <cell r="H1784">
            <v>0.75</v>
          </cell>
          <cell r="I1784" t="str">
            <v>--</v>
          </cell>
          <cell r="J1784">
            <v>4.5</v>
          </cell>
          <cell r="K1784">
            <v>4.5</v>
          </cell>
        </row>
        <row r="1785">
          <cell r="A1785" t="str">
            <v>M2</v>
          </cell>
          <cell r="B1785" t="str">
            <v>A5C</v>
          </cell>
          <cell r="C1785" t="str">
            <v>P</v>
          </cell>
          <cell r="D1785" t="str">
            <v>23094</v>
          </cell>
          <cell r="E1785" t="str">
            <v>PIPE</v>
          </cell>
          <cell r="F1785">
            <v>1</v>
          </cell>
          <cell r="G1785" t="str">
            <v>CB100508000T00</v>
          </cell>
          <cell r="H1785">
            <v>0.75</v>
          </cell>
          <cell r="I1785" t="str">
            <v>--</v>
          </cell>
          <cell r="J1785">
            <v>5</v>
          </cell>
          <cell r="K1785">
            <v>5</v>
          </cell>
        </row>
        <row r="1786">
          <cell r="A1786" t="str">
            <v>M2</v>
          </cell>
          <cell r="B1786" t="str">
            <v>A5C</v>
          </cell>
          <cell r="C1786" t="str">
            <v>P</v>
          </cell>
          <cell r="D1786" t="str">
            <v>23101</v>
          </cell>
          <cell r="E1786" t="str">
            <v>PIPE</v>
          </cell>
          <cell r="F1786">
            <v>1</v>
          </cell>
          <cell r="G1786" t="str">
            <v>CB100508000T00</v>
          </cell>
          <cell r="H1786">
            <v>0.75</v>
          </cell>
          <cell r="I1786" t="str">
            <v>--</v>
          </cell>
          <cell r="J1786">
            <v>5</v>
          </cell>
          <cell r="K1786">
            <v>5</v>
          </cell>
        </row>
        <row r="1787">
          <cell r="A1787" t="str">
            <v>M2</v>
          </cell>
          <cell r="B1787" t="str">
            <v>A5C</v>
          </cell>
          <cell r="C1787" t="str">
            <v>P</v>
          </cell>
          <cell r="D1787" t="str">
            <v>23105</v>
          </cell>
          <cell r="E1787" t="str">
            <v>PIPE</v>
          </cell>
          <cell r="F1787">
            <v>1</v>
          </cell>
          <cell r="G1787" t="str">
            <v>CB100508000T00</v>
          </cell>
          <cell r="H1787">
            <v>0.75</v>
          </cell>
          <cell r="I1787" t="str">
            <v>--</v>
          </cell>
          <cell r="J1787">
            <v>5</v>
          </cell>
          <cell r="K1787">
            <v>5</v>
          </cell>
        </row>
        <row r="1788">
          <cell r="A1788" t="str">
            <v>M2</v>
          </cell>
          <cell r="B1788" t="str">
            <v>A5C</v>
          </cell>
          <cell r="C1788" t="str">
            <v>P</v>
          </cell>
          <cell r="D1788" t="str">
            <v>23109</v>
          </cell>
          <cell r="E1788" t="str">
            <v>PIPE</v>
          </cell>
          <cell r="F1788">
            <v>1</v>
          </cell>
          <cell r="G1788" t="str">
            <v>CB100508000T00</v>
          </cell>
          <cell r="H1788">
            <v>0.75</v>
          </cell>
          <cell r="I1788" t="str">
            <v>--</v>
          </cell>
          <cell r="J1788">
            <v>5</v>
          </cell>
          <cell r="K1788">
            <v>5</v>
          </cell>
        </row>
        <row r="1789">
          <cell r="A1789" t="str">
            <v>M2</v>
          </cell>
          <cell r="B1789" t="str">
            <v>A5C</v>
          </cell>
          <cell r="C1789" t="str">
            <v>P</v>
          </cell>
          <cell r="D1789" t="str">
            <v>23234</v>
          </cell>
          <cell r="E1789" t="str">
            <v>PIPE</v>
          </cell>
          <cell r="F1789">
            <v>1</v>
          </cell>
          <cell r="G1789" t="str">
            <v>CB100508000T00</v>
          </cell>
          <cell r="H1789">
            <v>0.75</v>
          </cell>
          <cell r="I1789" t="str">
            <v>--</v>
          </cell>
          <cell r="J1789">
            <v>5</v>
          </cell>
          <cell r="K1789">
            <v>5</v>
          </cell>
        </row>
        <row r="1790">
          <cell r="A1790" t="str">
            <v>M2</v>
          </cell>
          <cell r="B1790" t="str">
            <v>A5C</v>
          </cell>
          <cell r="C1790" t="str">
            <v>P</v>
          </cell>
          <cell r="D1790" t="str">
            <v>23238</v>
          </cell>
          <cell r="E1790" t="str">
            <v>PIPE</v>
          </cell>
          <cell r="F1790">
            <v>1</v>
          </cell>
          <cell r="G1790" t="str">
            <v>CB100508000T00</v>
          </cell>
          <cell r="H1790">
            <v>0.75</v>
          </cell>
          <cell r="I1790" t="str">
            <v>--</v>
          </cell>
          <cell r="J1790">
            <v>5</v>
          </cell>
          <cell r="K1790">
            <v>5</v>
          </cell>
        </row>
        <row r="1791">
          <cell r="A1791" t="str">
            <v>M2</v>
          </cell>
          <cell r="B1791" t="str">
            <v>A5C</v>
          </cell>
          <cell r="C1791" t="str">
            <v>P</v>
          </cell>
          <cell r="D1791" t="str">
            <v>24017</v>
          </cell>
          <cell r="E1791" t="str">
            <v>PIPE</v>
          </cell>
          <cell r="F1791">
            <v>1</v>
          </cell>
          <cell r="G1791" t="str">
            <v>CB100508000T00</v>
          </cell>
          <cell r="H1791">
            <v>0.75</v>
          </cell>
          <cell r="I1791" t="str">
            <v>--</v>
          </cell>
          <cell r="J1791">
            <v>5</v>
          </cell>
          <cell r="K1791">
            <v>5</v>
          </cell>
        </row>
        <row r="1792">
          <cell r="A1792" t="str">
            <v>M2</v>
          </cell>
          <cell r="B1792" t="str">
            <v>A5C</v>
          </cell>
          <cell r="C1792" t="str">
            <v>P</v>
          </cell>
          <cell r="D1792" t="str">
            <v>23176</v>
          </cell>
          <cell r="E1792" t="str">
            <v>PIPE</v>
          </cell>
          <cell r="F1792">
            <v>1</v>
          </cell>
          <cell r="G1792" t="str">
            <v>CB100508000T00</v>
          </cell>
          <cell r="H1792">
            <v>0.75</v>
          </cell>
          <cell r="I1792" t="str">
            <v>--</v>
          </cell>
          <cell r="J1792">
            <v>5.6</v>
          </cell>
          <cell r="K1792">
            <v>5.6</v>
          </cell>
        </row>
        <row r="1793">
          <cell r="A1793" t="str">
            <v>M2</v>
          </cell>
          <cell r="B1793" t="str">
            <v>A5C</v>
          </cell>
          <cell r="C1793" t="str">
            <v>P</v>
          </cell>
          <cell r="D1793" t="str">
            <v>24031</v>
          </cell>
          <cell r="E1793" t="str">
            <v>PIPE</v>
          </cell>
          <cell r="F1793">
            <v>1</v>
          </cell>
          <cell r="G1793" t="str">
            <v>CB100508000T00</v>
          </cell>
          <cell r="H1793">
            <v>0.75</v>
          </cell>
          <cell r="I1793" t="str">
            <v>--</v>
          </cell>
          <cell r="J1793">
            <v>6</v>
          </cell>
          <cell r="K1793">
            <v>6</v>
          </cell>
        </row>
        <row r="1794">
          <cell r="A1794" t="str">
            <v>M2</v>
          </cell>
          <cell r="B1794" t="str">
            <v>A5C</v>
          </cell>
          <cell r="C1794" t="str">
            <v>P</v>
          </cell>
          <cell r="D1794" t="str">
            <v>23193</v>
          </cell>
          <cell r="E1794" t="str">
            <v>PIPE</v>
          </cell>
          <cell r="F1794">
            <v>1</v>
          </cell>
          <cell r="G1794" t="str">
            <v>CB100508000T00</v>
          </cell>
          <cell r="H1794">
            <v>0.75</v>
          </cell>
          <cell r="I1794" t="str">
            <v>--</v>
          </cell>
          <cell r="J1794">
            <v>6.3</v>
          </cell>
          <cell r="K1794">
            <v>6.3</v>
          </cell>
        </row>
        <row r="1795">
          <cell r="A1795" t="str">
            <v>M2</v>
          </cell>
          <cell r="B1795" t="str">
            <v>A5C</v>
          </cell>
          <cell r="C1795" t="str">
            <v>P</v>
          </cell>
          <cell r="D1795" t="str">
            <v>23133</v>
          </cell>
          <cell r="E1795" t="str">
            <v>PIPE</v>
          </cell>
          <cell r="F1795">
            <v>1</v>
          </cell>
          <cell r="G1795" t="str">
            <v>CB100508000T00</v>
          </cell>
          <cell r="H1795">
            <v>0.75</v>
          </cell>
          <cell r="I1795" t="str">
            <v>--</v>
          </cell>
          <cell r="J1795">
            <v>6.5</v>
          </cell>
          <cell r="K1795">
            <v>6.5</v>
          </cell>
        </row>
        <row r="1796">
          <cell r="A1796" t="str">
            <v>M2</v>
          </cell>
          <cell r="B1796" t="str">
            <v>A5C</v>
          </cell>
          <cell r="C1796" t="str">
            <v>P</v>
          </cell>
          <cell r="D1796" t="str">
            <v>23141</v>
          </cell>
          <cell r="E1796" t="str">
            <v>PIPE</v>
          </cell>
          <cell r="F1796">
            <v>1</v>
          </cell>
          <cell r="G1796" t="str">
            <v>CB100508000T00</v>
          </cell>
          <cell r="H1796">
            <v>0.75</v>
          </cell>
          <cell r="I1796" t="str">
            <v>--</v>
          </cell>
          <cell r="J1796">
            <v>6.5</v>
          </cell>
          <cell r="K1796">
            <v>6.5</v>
          </cell>
        </row>
        <row r="1797">
          <cell r="A1797" t="str">
            <v>M2</v>
          </cell>
          <cell r="B1797" t="str">
            <v>A5C</v>
          </cell>
          <cell r="C1797" t="str">
            <v>P</v>
          </cell>
          <cell r="D1797" t="str">
            <v>23145</v>
          </cell>
          <cell r="E1797" t="str">
            <v>PIPE</v>
          </cell>
          <cell r="F1797">
            <v>1</v>
          </cell>
          <cell r="G1797" t="str">
            <v>CB100508000T00</v>
          </cell>
          <cell r="H1797">
            <v>0.75</v>
          </cell>
          <cell r="I1797" t="str">
            <v>--</v>
          </cell>
          <cell r="J1797">
            <v>6.5</v>
          </cell>
          <cell r="K1797">
            <v>6.5</v>
          </cell>
        </row>
        <row r="1798">
          <cell r="A1798" t="str">
            <v>M2</v>
          </cell>
          <cell r="B1798" t="str">
            <v>A5C</v>
          </cell>
          <cell r="C1798" t="str">
            <v>P</v>
          </cell>
          <cell r="D1798" t="str">
            <v>23184</v>
          </cell>
          <cell r="E1798" t="str">
            <v>PIPE</v>
          </cell>
          <cell r="F1798">
            <v>1</v>
          </cell>
          <cell r="G1798" t="str">
            <v>CB100508000T00</v>
          </cell>
          <cell r="H1798">
            <v>0.75</v>
          </cell>
          <cell r="I1798" t="str">
            <v>--</v>
          </cell>
          <cell r="J1798">
            <v>7</v>
          </cell>
          <cell r="K1798">
            <v>7</v>
          </cell>
        </row>
        <row r="1799">
          <cell r="A1799" t="str">
            <v>M2</v>
          </cell>
          <cell r="B1799" t="str">
            <v>A5C</v>
          </cell>
          <cell r="C1799" t="str">
            <v>P</v>
          </cell>
          <cell r="D1799" t="str">
            <v>23163</v>
          </cell>
          <cell r="E1799" t="str">
            <v>PIPE</v>
          </cell>
          <cell r="F1799">
            <v>1</v>
          </cell>
          <cell r="G1799" t="str">
            <v>CB100508000T00</v>
          </cell>
          <cell r="H1799">
            <v>0.75</v>
          </cell>
          <cell r="I1799" t="str">
            <v>--</v>
          </cell>
          <cell r="J1799">
            <v>8.8000000000000007</v>
          </cell>
          <cell r="K1799">
            <v>8.8000000000000007</v>
          </cell>
        </row>
        <row r="1800">
          <cell r="A1800" t="str">
            <v>M2</v>
          </cell>
          <cell r="B1800" t="str">
            <v>A5C</v>
          </cell>
          <cell r="C1800" t="str">
            <v>P</v>
          </cell>
          <cell r="D1800" t="str">
            <v>23113</v>
          </cell>
          <cell r="E1800" t="str">
            <v>PIPE</v>
          </cell>
          <cell r="F1800">
            <v>1</v>
          </cell>
          <cell r="G1800" t="str">
            <v>CB100508000T00</v>
          </cell>
          <cell r="H1800">
            <v>0.75</v>
          </cell>
          <cell r="I1800" t="str">
            <v>--</v>
          </cell>
          <cell r="J1800">
            <v>9</v>
          </cell>
          <cell r="K1800">
            <v>9</v>
          </cell>
        </row>
        <row r="1801">
          <cell r="A1801" t="str">
            <v>M2</v>
          </cell>
          <cell r="B1801" t="str">
            <v>A5C</v>
          </cell>
          <cell r="C1801" t="str">
            <v>P</v>
          </cell>
          <cell r="D1801" t="str">
            <v>23014</v>
          </cell>
          <cell r="E1801" t="str">
            <v>PIPE</v>
          </cell>
          <cell r="F1801">
            <v>1</v>
          </cell>
          <cell r="G1801" t="str">
            <v>CB100508000T00</v>
          </cell>
          <cell r="H1801">
            <v>0.75</v>
          </cell>
          <cell r="I1801" t="str">
            <v>--</v>
          </cell>
          <cell r="J1801">
            <v>9</v>
          </cell>
          <cell r="K1801">
            <v>9</v>
          </cell>
        </row>
        <row r="1802">
          <cell r="A1802" t="str">
            <v>M2</v>
          </cell>
          <cell r="B1802" t="str">
            <v>A5C</v>
          </cell>
          <cell r="C1802" t="str">
            <v>P</v>
          </cell>
          <cell r="D1802" t="str">
            <v>23219</v>
          </cell>
          <cell r="E1802" t="str">
            <v>PIPE</v>
          </cell>
          <cell r="F1802">
            <v>1</v>
          </cell>
          <cell r="G1802" t="str">
            <v>CB100508000T00</v>
          </cell>
          <cell r="H1802">
            <v>0.75</v>
          </cell>
          <cell r="I1802" t="str">
            <v>--</v>
          </cell>
          <cell r="J1802">
            <v>9.8000000000000007</v>
          </cell>
          <cell r="K1802">
            <v>9.8000000000000007</v>
          </cell>
        </row>
        <row r="1803">
          <cell r="A1803" t="str">
            <v>M2</v>
          </cell>
          <cell r="B1803" t="str">
            <v>A5C</v>
          </cell>
          <cell r="C1803" t="str">
            <v>P</v>
          </cell>
          <cell r="D1803" t="str">
            <v>23183</v>
          </cell>
          <cell r="E1803" t="str">
            <v>PIPE</v>
          </cell>
          <cell r="F1803">
            <v>1</v>
          </cell>
          <cell r="G1803" t="str">
            <v>CB100508000T00</v>
          </cell>
          <cell r="H1803">
            <v>0.75</v>
          </cell>
          <cell r="I1803" t="str">
            <v>--</v>
          </cell>
          <cell r="J1803">
            <v>10</v>
          </cell>
          <cell r="K1803">
            <v>10</v>
          </cell>
        </row>
        <row r="1804">
          <cell r="A1804" t="str">
            <v>M2</v>
          </cell>
          <cell r="B1804" t="str">
            <v>A5C</v>
          </cell>
          <cell r="C1804" t="str">
            <v>P</v>
          </cell>
          <cell r="D1804" t="str">
            <v>23065</v>
          </cell>
          <cell r="E1804" t="str">
            <v>PIPE</v>
          </cell>
          <cell r="F1804">
            <v>1</v>
          </cell>
          <cell r="G1804" t="str">
            <v>CB100508000T00</v>
          </cell>
          <cell r="H1804">
            <v>0.75</v>
          </cell>
          <cell r="I1804" t="str">
            <v>--</v>
          </cell>
          <cell r="J1804">
            <v>11</v>
          </cell>
          <cell r="K1804">
            <v>11</v>
          </cell>
        </row>
        <row r="1805">
          <cell r="A1805" t="str">
            <v>M2</v>
          </cell>
          <cell r="B1805" t="str">
            <v>A5C</v>
          </cell>
          <cell r="C1805" t="str">
            <v>P</v>
          </cell>
          <cell r="D1805" t="str">
            <v>23048</v>
          </cell>
          <cell r="E1805" t="str">
            <v>PIPE</v>
          </cell>
          <cell r="F1805">
            <v>1</v>
          </cell>
          <cell r="G1805" t="str">
            <v>CB100508000T00</v>
          </cell>
          <cell r="H1805">
            <v>0.75</v>
          </cell>
          <cell r="I1805" t="str">
            <v>--</v>
          </cell>
          <cell r="J1805">
            <v>12.7</v>
          </cell>
          <cell r="K1805">
            <v>12.7</v>
          </cell>
        </row>
        <row r="1806">
          <cell r="A1806" t="str">
            <v>M2</v>
          </cell>
          <cell r="B1806" t="str">
            <v>A5C</v>
          </cell>
          <cell r="C1806" t="str">
            <v>P</v>
          </cell>
          <cell r="D1806" t="str">
            <v>23155</v>
          </cell>
          <cell r="E1806" t="str">
            <v>PIPE</v>
          </cell>
          <cell r="F1806">
            <v>1</v>
          </cell>
          <cell r="G1806" t="str">
            <v>CB100508000T00</v>
          </cell>
          <cell r="H1806">
            <v>0.75</v>
          </cell>
          <cell r="I1806" t="str">
            <v>--</v>
          </cell>
          <cell r="J1806">
            <v>13.5</v>
          </cell>
          <cell r="K1806">
            <v>13.5</v>
          </cell>
        </row>
        <row r="1807">
          <cell r="A1807" t="str">
            <v>M2</v>
          </cell>
          <cell r="B1807" t="str">
            <v>B2C</v>
          </cell>
          <cell r="C1807" t="str">
            <v>SH</v>
          </cell>
          <cell r="D1807" t="str">
            <v>24612</v>
          </cell>
          <cell r="E1807" t="str">
            <v>PIPE</v>
          </cell>
          <cell r="F1807">
            <v>1</v>
          </cell>
          <cell r="G1807" t="str">
            <v>CB100508000T00</v>
          </cell>
          <cell r="H1807">
            <v>0.75</v>
          </cell>
          <cell r="I1807" t="str">
            <v>--</v>
          </cell>
          <cell r="J1807">
            <v>14</v>
          </cell>
          <cell r="K1807">
            <v>14</v>
          </cell>
        </row>
        <row r="1808">
          <cell r="A1808" t="str">
            <v>M2</v>
          </cell>
          <cell r="B1808" t="str">
            <v>B2C</v>
          </cell>
          <cell r="C1808" t="str">
            <v>SCL</v>
          </cell>
          <cell r="D1808" t="str">
            <v>TRAP</v>
          </cell>
          <cell r="E1808" t="str">
            <v>PIPE</v>
          </cell>
          <cell r="F1808">
            <v>1</v>
          </cell>
          <cell r="G1808" t="str">
            <v>CB100508000T00</v>
          </cell>
          <cell r="H1808">
            <v>0.75</v>
          </cell>
          <cell r="I1808" t="str">
            <v>--</v>
          </cell>
          <cell r="J1808">
            <v>15</v>
          </cell>
          <cell r="K1808">
            <v>15</v>
          </cell>
        </row>
        <row r="1809">
          <cell r="A1809" t="str">
            <v>M2</v>
          </cell>
          <cell r="B1809" t="str">
            <v>A5C</v>
          </cell>
          <cell r="C1809" t="str">
            <v>P</v>
          </cell>
          <cell r="D1809" t="str">
            <v>24029</v>
          </cell>
          <cell r="E1809" t="str">
            <v>PIPE</v>
          </cell>
          <cell r="F1809">
            <v>1</v>
          </cell>
          <cell r="G1809" t="str">
            <v>CB100508000T00</v>
          </cell>
          <cell r="H1809">
            <v>0.75</v>
          </cell>
          <cell r="I1809" t="str">
            <v>--</v>
          </cell>
          <cell r="J1809">
            <v>15</v>
          </cell>
          <cell r="K1809">
            <v>15</v>
          </cell>
        </row>
        <row r="1810">
          <cell r="A1810" t="str">
            <v>M2</v>
          </cell>
          <cell r="B1810" t="str">
            <v>A5C</v>
          </cell>
          <cell r="C1810" t="str">
            <v>P</v>
          </cell>
          <cell r="D1810" t="str">
            <v>23173</v>
          </cell>
          <cell r="E1810" t="str">
            <v>PIPE</v>
          </cell>
          <cell r="F1810">
            <v>1</v>
          </cell>
          <cell r="G1810" t="str">
            <v>CB100508000T00</v>
          </cell>
          <cell r="H1810">
            <v>0.75</v>
          </cell>
          <cell r="I1810" t="str">
            <v>--</v>
          </cell>
          <cell r="J1810">
            <v>17.600000000000001</v>
          </cell>
          <cell r="K1810">
            <v>17.600000000000001</v>
          </cell>
        </row>
        <row r="1811">
          <cell r="A1811" t="str">
            <v>M2</v>
          </cell>
          <cell r="B1811" t="str">
            <v>A5C</v>
          </cell>
          <cell r="C1811" t="str">
            <v>P</v>
          </cell>
          <cell r="D1811" t="str">
            <v>23247</v>
          </cell>
          <cell r="E1811" t="str">
            <v>PIPE</v>
          </cell>
          <cell r="F1811">
            <v>1</v>
          </cell>
          <cell r="G1811" t="str">
            <v>CB100508000T00</v>
          </cell>
          <cell r="H1811">
            <v>0.75</v>
          </cell>
          <cell r="I1811" t="str">
            <v>--</v>
          </cell>
          <cell r="J1811">
            <v>20.6</v>
          </cell>
          <cell r="K1811">
            <v>20.6</v>
          </cell>
        </row>
        <row r="1812">
          <cell r="A1812" t="str">
            <v>M2</v>
          </cell>
          <cell r="B1812" t="str">
            <v>A5C</v>
          </cell>
          <cell r="C1812" t="str">
            <v>P</v>
          </cell>
          <cell r="D1812" t="str">
            <v>23225</v>
          </cell>
          <cell r="E1812" t="str">
            <v>PIPE</v>
          </cell>
          <cell r="F1812">
            <v>1</v>
          </cell>
          <cell r="G1812" t="str">
            <v>CB100508000T00</v>
          </cell>
          <cell r="H1812">
            <v>0.75</v>
          </cell>
          <cell r="I1812" t="str">
            <v>--</v>
          </cell>
          <cell r="J1812">
            <v>21</v>
          </cell>
          <cell r="K1812">
            <v>21</v>
          </cell>
        </row>
        <row r="1813">
          <cell r="A1813" t="str">
            <v>M2</v>
          </cell>
          <cell r="B1813" t="str">
            <v>A5C</v>
          </cell>
          <cell r="C1813" t="str">
            <v>P</v>
          </cell>
          <cell r="D1813" t="str">
            <v>23188</v>
          </cell>
          <cell r="E1813" t="str">
            <v>PIPE</v>
          </cell>
          <cell r="F1813">
            <v>1</v>
          </cell>
          <cell r="G1813" t="str">
            <v>CB100508000T00</v>
          </cell>
          <cell r="H1813">
            <v>0.75</v>
          </cell>
          <cell r="I1813" t="str">
            <v>--</v>
          </cell>
          <cell r="J1813">
            <v>22.2</v>
          </cell>
          <cell r="K1813">
            <v>22.2</v>
          </cell>
        </row>
        <row r="1814">
          <cell r="A1814" t="str">
            <v>M2</v>
          </cell>
          <cell r="B1814" t="str">
            <v>A5C</v>
          </cell>
          <cell r="C1814" t="str">
            <v>P</v>
          </cell>
          <cell r="D1814" t="str">
            <v>23059</v>
          </cell>
          <cell r="E1814" t="str">
            <v>PIPE</v>
          </cell>
          <cell r="F1814">
            <v>1</v>
          </cell>
          <cell r="G1814" t="str">
            <v>CB100508000T00</v>
          </cell>
          <cell r="H1814">
            <v>0.75</v>
          </cell>
          <cell r="I1814" t="str">
            <v>--</v>
          </cell>
          <cell r="J1814">
            <v>23</v>
          </cell>
          <cell r="K1814">
            <v>23</v>
          </cell>
        </row>
        <row r="1815">
          <cell r="A1815" t="str">
            <v>M2</v>
          </cell>
          <cell r="B1815" t="str">
            <v>A5C</v>
          </cell>
          <cell r="C1815" t="str">
            <v>P</v>
          </cell>
          <cell r="D1815" t="str">
            <v>99004</v>
          </cell>
          <cell r="E1815" t="str">
            <v>PIPE</v>
          </cell>
          <cell r="F1815">
            <v>1</v>
          </cell>
          <cell r="G1815" t="str">
            <v>CB100508000T00</v>
          </cell>
          <cell r="H1815">
            <v>0.75</v>
          </cell>
          <cell r="I1815" t="str">
            <v>--</v>
          </cell>
          <cell r="J1815">
            <v>25.5</v>
          </cell>
          <cell r="K1815">
            <v>25.5</v>
          </cell>
        </row>
        <row r="1816">
          <cell r="A1816" t="str">
            <v>M2</v>
          </cell>
          <cell r="B1816" t="str">
            <v>A5C</v>
          </cell>
          <cell r="C1816" t="str">
            <v>P</v>
          </cell>
          <cell r="D1816" t="str">
            <v>23079</v>
          </cell>
          <cell r="E1816" t="str">
            <v>PIPE</v>
          </cell>
          <cell r="F1816">
            <v>1</v>
          </cell>
          <cell r="G1816" t="str">
            <v>CB100508000T00</v>
          </cell>
          <cell r="H1816">
            <v>0.75</v>
          </cell>
          <cell r="I1816" t="str">
            <v>--</v>
          </cell>
          <cell r="J1816">
            <v>26.2</v>
          </cell>
          <cell r="K1816">
            <v>26.2</v>
          </cell>
        </row>
        <row r="1817">
          <cell r="A1817" t="str">
            <v>M2</v>
          </cell>
          <cell r="B1817" t="str">
            <v>A5C</v>
          </cell>
          <cell r="C1817" t="str">
            <v>P</v>
          </cell>
          <cell r="D1817" t="str">
            <v>23094</v>
          </cell>
          <cell r="E1817" t="str">
            <v>PIPE</v>
          </cell>
          <cell r="F1817">
            <v>1</v>
          </cell>
          <cell r="G1817" t="str">
            <v>CB100508000T00</v>
          </cell>
          <cell r="H1817">
            <v>0.75</v>
          </cell>
          <cell r="I1817" t="str">
            <v>--</v>
          </cell>
          <cell r="J1817">
            <v>27</v>
          </cell>
          <cell r="K1817">
            <v>27</v>
          </cell>
        </row>
        <row r="1818">
          <cell r="A1818" t="str">
            <v>M2</v>
          </cell>
          <cell r="B1818" t="str">
            <v>A5C</v>
          </cell>
          <cell r="C1818" t="str">
            <v>P</v>
          </cell>
          <cell r="D1818" t="str">
            <v>23180</v>
          </cell>
          <cell r="E1818" t="str">
            <v>PIPE</v>
          </cell>
          <cell r="F1818">
            <v>1</v>
          </cell>
          <cell r="G1818" t="str">
            <v>CB100508000T00</v>
          </cell>
          <cell r="H1818">
            <v>0.75</v>
          </cell>
          <cell r="I1818" t="str">
            <v>--</v>
          </cell>
          <cell r="J1818">
            <v>29</v>
          </cell>
          <cell r="K1818">
            <v>29</v>
          </cell>
        </row>
        <row r="1819">
          <cell r="A1819" t="str">
            <v>M2</v>
          </cell>
          <cell r="B1819" t="str">
            <v>A5C</v>
          </cell>
          <cell r="C1819" t="str">
            <v>P</v>
          </cell>
          <cell r="D1819" t="str">
            <v>23028</v>
          </cell>
          <cell r="E1819" t="str">
            <v>PIPE</v>
          </cell>
          <cell r="F1819">
            <v>1</v>
          </cell>
          <cell r="G1819" t="str">
            <v>CB100508000T00</v>
          </cell>
          <cell r="H1819">
            <v>0.75</v>
          </cell>
          <cell r="I1819" t="str">
            <v>--</v>
          </cell>
          <cell r="J1819">
            <v>30.5</v>
          </cell>
          <cell r="K1819">
            <v>30.5</v>
          </cell>
        </row>
        <row r="1820">
          <cell r="A1820" t="str">
            <v>M2</v>
          </cell>
          <cell r="B1820" t="str">
            <v>A5C</v>
          </cell>
          <cell r="C1820" t="str">
            <v>P</v>
          </cell>
          <cell r="D1820" t="str">
            <v>23053</v>
          </cell>
          <cell r="E1820" t="str">
            <v>PIPE</v>
          </cell>
          <cell r="F1820">
            <v>1</v>
          </cell>
          <cell r="G1820" t="str">
            <v>CB100508000T00</v>
          </cell>
          <cell r="H1820">
            <v>0.75</v>
          </cell>
          <cell r="I1820" t="str">
            <v>--</v>
          </cell>
          <cell r="J1820">
            <v>31.5</v>
          </cell>
          <cell r="K1820">
            <v>31.5</v>
          </cell>
        </row>
        <row r="1821">
          <cell r="A1821" t="str">
            <v>M2</v>
          </cell>
          <cell r="B1821" t="str">
            <v>A5C</v>
          </cell>
          <cell r="C1821" t="str">
            <v>P</v>
          </cell>
          <cell r="D1821" t="str">
            <v>24016</v>
          </cell>
          <cell r="E1821" t="str">
            <v>PIPE</v>
          </cell>
          <cell r="F1821">
            <v>1</v>
          </cell>
          <cell r="G1821" t="str">
            <v>CB100508000T00</v>
          </cell>
          <cell r="H1821">
            <v>0.75</v>
          </cell>
          <cell r="I1821" t="str">
            <v>--</v>
          </cell>
          <cell r="J1821">
            <v>32.5</v>
          </cell>
          <cell r="K1821">
            <v>32.5</v>
          </cell>
        </row>
        <row r="1822">
          <cell r="A1822" t="str">
            <v>M2</v>
          </cell>
          <cell r="B1822" t="str">
            <v>A5C</v>
          </cell>
          <cell r="C1822" t="str">
            <v>P</v>
          </cell>
          <cell r="D1822" t="str">
            <v>23156</v>
          </cell>
          <cell r="E1822" t="str">
            <v>PIPE</v>
          </cell>
          <cell r="F1822">
            <v>1</v>
          </cell>
          <cell r="G1822" t="str">
            <v>CB100508000T00</v>
          </cell>
          <cell r="H1822">
            <v>0.75</v>
          </cell>
          <cell r="I1822" t="str">
            <v>--</v>
          </cell>
          <cell r="J1822">
            <v>34.9</v>
          </cell>
          <cell r="K1822">
            <v>34.9</v>
          </cell>
        </row>
        <row r="1823">
          <cell r="A1823" t="str">
            <v>M2</v>
          </cell>
          <cell r="B1823" t="str">
            <v>A5C</v>
          </cell>
          <cell r="C1823" t="str">
            <v>P</v>
          </cell>
          <cell r="D1823" t="str">
            <v>23191</v>
          </cell>
          <cell r="E1823" t="str">
            <v>PIPE</v>
          </cell>
          <cell r="F1823">
            <v>1</v>
          </cell>
          <cell r="G1823" t="str">
            <v>CB100508000T00</v>
          </cell>
          <cell r="H1823">
            <v>0.75</v>
          </cell>
          <cell r="I1823" t="str">
            <v>--</v>
          </cell>
          <cell r="J1823">
            <v>35</v>
          </cell>
          <cell r="K1823">
            <v>35</v>
          </cell>
        </row>
        <row r="1824">
          <cell r="A1824" t="str">
            <v>M2</v>
          </cell>
          <cell r="B1824" t="str">
            <v>A5C</v>
          </cell>
          <cell r="C1824" t="str">
            <v>P</v>
          </cell>
          <cell r="D1824" t="str">
            <v>23141</v>
          </cell>
          <cell r="E1824" t="str">
            <v>PIPE</v>
          </cell>
          <cell r="F1824">
            <v>1</v>
          </cell>
          <cell r="G1824" t="str">
            <v>CB100508000T00</v>
          </cell>
          <cell r="H1824">
            <v>0.75</v>
          </cell>
          <cell r="I1824" t="str">
            <v>--</v>
          </cell>
          <cell r="J1824">
            <v>37</v>
          </cell>
          <cell r="K1824">
            <v>37</v>
          </cell>
        </row>
        <row r="1825">
          <cell r="A1825" t="str">
            <v>M2</v>
          </cell>
          <cell r="B1825" t="str">
            <v>A5C</v>
          </cell>
          <cell r="C1825" t="str">
            <v>P</v>
          </cell>
          <cell r="D1825" t="str">
            <v>23081</v>
          </cell>
          <cell r="E1825" t="str">
            <v>PIPE</v>
          </cell>
          <cell r="F1825">
            <v>1</v>
          </cell>
          <cell r="G1825" t="str">
            <v>CB100508000T00</v>
          </cell>
          <cell r="H1825">
            <v>0.75</v>
          </cell>
          <cell r="I1825" t="str">
            <v>--</v>
          </cell>
          <cell r="J1825">
            <v>40</v>
          </cell>
          <cell r="K1825">
            <v>40</v>
          </cell>
        </row>
        <row r="1826">
          <cell r="A1826" t="str">
            <v>M2</v>
          </cell>
          <cell r="B1826" t="str">
            <v>A5C</v>
          </cell>
          <cell r="C1826" t="str">
            <v>P</v>
          </cell>
          <cell r="D1826" t="str">
            <v>24024</v>
          </cell>
          <cell r="E1826" t="str">
            <v>PIPE</v>
          </cell>
          <cell r="F1826">
            <v>1</v>
          </cell>
          <cell r="G1826" t="str">
            <v>CB100508000T00</v>
          </cell>
          <cell r="H1826">
            <v>0.75</v>
          </cell>
          <cell r="I1826" t="str">
            <v>--</v>
          </cell>
          <cell r="J1826">
            <v>49.5</v>
          </cell>
          <cell r="K1826">
            <v>49.5</v>
          </cell>
        </row>
        <row r="1827">
          <cell r="A1827" t="str">
            <v>M2</v>
          </cell>
          <cell r="B1827" t="str">
            <v>A5C</v>
          </cell>
          <cell r="C1827" t="str">
            <v>P</v>
          </cell>
          <cell r="D1827" t="str">
            <v>24018</v>
          </cell>
          <cell r="E1827" t="str">
            <v>PIPE</v>
          </cell>
          <cell r="F1827">
            <v>1</v>
          </cell>
          <cell r="G1827" t="str">
            <v>CB100508000T00</v>
          </cell>
          <cell r="H1827">
            <v>0.75</v>
          </cell>
          <cell r="I1827" t="str">
            <v>--</v>
          </cell>
          <cell r="J1827">
            <v>51</v>
          </cell>
          <cell r="K1827">
            <v>51</v>
          </cell>
        </row>
        <row r="1828">
          <cell r="A1828" t="str">
            <v>M2</v>
          </cell>
          <cell r="B1828" t="str">
            <v>A5C</v>
          </cell>
          <cell r="C1828" t="str">
            <v>P</v>
          </cell>
          <cell r="D1828" t="str">
            <v>23080</v>
          </cell>
          <cell r="E1828" t="str">
            <v>PIPE</v>
          </cell>
          <cell r="F1828">
            <v>1</v>
          </cell>
          <cell r="G1828" t="str">
            <v>CB100508000T00</v>
          </cell>
          <cell r="H1828">
            <v>0.75</v>
          </cell>
          <cell r="I1828" t="str">
            <v>--</v>
          </cell>
          <cell r="J1828">
            <v>67</v>
          </cell>
          <cell r="K1828">
            <v>67</v>
          </cell>
        </row>
        <row r="1829">
          <cell r="A1829" t="str">
            <v>M2</v>
          </cell>
          <cell r="B1829" t="str">
            <v>A5C</v>
          </cell>
          <cell r="C1829" t="str">
            <v>P</v>
          </cell>
          <cell r="D1829" t="str">
            <v>23133</v>
          </cell>
          <cell r="E1829" t="str">
            <v>PIPE</v>
          </cell>
          <cell r="F1829">
            <v>1</v>
          </cell>
          <cell r="G1829" t="str">
            <v>CB100508000100</v>
          </cell>
          <cell r="H1829">
            <v>1</v>
          </cell>
          <cell r="I1829" t="str">
            <v>--</v>
          </cell>
          <cell r="J1829">
            <v>0.1</v>
          </cell>
          <cell r="K1829">
            <v>0.1</v>
          </cell>
        </row>
        <row r="1830">
          <cell r="A1830" t="str">
            <v>M2</v>
          </cell>
          <cell r="B1830" t="str">
            <v>A5C</v>
          </cell>
          <cell r="C1830" t="str">
            <v>P</v>
          </cell>
          <cell r="D1830" t="str">
            <v>23141</v>
          </cell>
          <cell r="E1830" t="str">
            <v>PIPE</v>
          </cell>
          <cell r="F1830">
            <v>1</v>
          </cell>
          <cell r="G1830" t="str">
            <v>CB100508000100</v>
          </cell>
          <cell r="H1830">
            <v>1</v>
          </cell>
          <cell r="I1830" t="str">
            <v>--</v>
          </cell>
          <cell r="J1830">
            <v>0.1</v>
          </cell>
          <cell r="K1830">
            <v>0.1</v>
          </cell>
        </row>
        <row r="1831">
          <cell r="A1831" t="str">
            <v>M2</v>
          </cell>
          <cell r="B1831" t="str">
            <v>A5C</v>
          </cell>
          <cell r="C1831" t="str">
            <v>P</v>
          </cell>
          <cell r="D1831" t="str">
            <v>24001</v>
          </cell>
          <cell r="E1831" t="str">
            <v>PIPE</v>
          </cell>
          <cell r="F1831">
            <v>1</v>
          </cell>
          <cell r="G1831" t="str">
            <v>CB100508000100</v>
          </cell>
          <cell r="H1831">
            <v>1</v>
          </cell>
          <cell r="I1831" t="str">
            <v>--</v>
          </cell>
          <cell r="J1831">
            <v>0.3</v>
          </cell>
          <cell r="K1831">
            <v>0.3</v>
          </cell>
        </row>
        <row r="1832">
          <cell r="A1832" t="str">
            <v>M2</v>
          </cell>
          <cell r="B1832" t="str">
            <v>A5C</v>
          </cell>
          <cell r="C1832" t="str">
            <v>P</v>
          </cell>
          <cell r="D1832" t="str">
            <v>23006</v>
          </cell>
          <cell r="E1832" t="str">
            <v>PIPE</v>
          </cell>
          <cell r="F1832">
            <v>1</v>
          </cell>
          <cell r="G1832" t="str">
            <v>CB100508000100</v>
          </cell>
          <cell r="H1832">
            <v>1</v>
          </cell>
          <cell r="I1832" t="str">
            <v>--</v>
          </cell>
          <cell r="J1832">
            <v>0.4</v>
          </cell>
          <cell r="K1832">
            <v>0.4</v>
          </cell>
        </row>
        <row r="1833">
          <cell r="A1833" t="str">
            <v>M2</v>
          </cell>
          <cell r="B1833" t="str">
            <v>A5C</v>
          </cell>
          <cell r="C1833" t="str">
            <v>TRIM</v>
          </cell>
          <cell r="D1833" t="str">
            <v>V-2316</v>
          </cell>
          <cell r="E1833" t="str">
            <v>PIPE</v>
          </cell>
          <cell r="F1833">
            <v>1</v>
          </cell>
          <cell r="G1833" t="str">
            <v>CB100508000100</v>
          </cell>
          <cell r="H1833">
            <v>1</v>
          </cell>
          <cell r="I1833" t="str">
            <v>--</v>
          </cell>
          <cell r="J1833">
            <v>0.5</v>
          </cell>
          <cell r="K1833">
            <v>0.5</v>
          </cell>
        </row>
        <row r="1834">
          <cell r="A1834" t="str">
            <v>M2</v>
          </cell>
          <cell r="B1834" t="str">
            <v>A5C</v>
          </cell>
          <cell r="C1834" t="str">
            <v>TRIM</v>
          </cell>
          <cell r="D1834" t="str">
            <v>V-2325</v>
          </cell>
          <cell r="E1834" t="str">
            <v>PIPE</v>
          </cell>
          <cell r="F1834">
            <v>1</v>
          </cell>
          <cell r="G1834" t="str">
            <v>CB100508000100</v>
          </cell>
          <cell r="H1834">
            <v>1</v>
          </cell>
          <cell r="I1834" t="str">
            <v>--</v>
          </cell>
          <cell r="J1834">
            <v>0.5</v>
          </cell>
          <cell r="K1834">
            <v>0.5</v>
          </cell>
        </row>
        <row r="1835">
          <cell r="A1835" t="str">
            <v>M2</v>
          </cell>
          <cell r="B1835" t="str">
            <v>A5C</v>
          </cell>
          <cell r="C1835" t="str">
            <v>P</v>
          </cell>
          <cell r="D1835" t="str">
            <v>24031</v>
          </cell>
          <cell r="E1835" t="str">
            <v>PIPE</v>
          </cell>
          <cell r="F1835">
            <v>1</v>
          </cell>
          <cell r="G1835" t="str">
            <v>CB100508000100</v>
          </cell>
          <cell r="H1835">
            <v>1</v>
          </cell>
          <cell r="I1835" t="str">
            <v>--</v>
          </cell>
          <cell r="J1835">
            <v>0.5</v>
          </cell>
          <cell r="K1835">
            <v>0.5</v>
          </cell>
        </row>
        <row r="1836">
          <cell r="A1836" t="str">
            <v>M2</v>
          </cell>
          <cell r="B1836" t="str">
            <v>A5C</v>
          </cell>
          <cell r="C1836" t="str">
            <v>P</v>
          </cell>
          <cell r="D1836" t="str">
            <v>23037</v>
          </cell>
          <cell r="E1836" t="str">
            <v>PIPE</v>
          </cell>
          <cell r="F1836">
            <v>1</v>
          </cell>
          <cell r="G1836" t="str">
            <v>CB100508000100</v>
          </cell>
          <cell r="H1836">
            <v>1</v>
          </cell>
          <cell r="I1836" t="str">
            <v>--</v>
          </cell>
          <cell r="J1836">
            <v>1</v>
          </cell>
          <cell r="K1836">
            <v>1</v>
          </cell>
        </row>
        <row r="1837">
          <cell r="A1837" t="str">
            <v>M2</v>
          </cell>
          <cell r="B1837" t="str">
            <v>A5C</v>
          </cell>
          <cell r="C1837" t="str">
            <v>P</v>
          </cell>
          <cell r="D1837" t="str">
            <v>23052</v>
          </cell>
          <cell r="E1837" t="str">
            <v>PIPE</v>
          </cell>
          <cell r="F1837">
            <v>1</v>
          </cell>
          <cell r="G1837" t="str">
            <v>CB100508000100</v>
          </cell>
          <cell r="H1837">
            <v>1</v>
          </cell>
          <cell r="I1837" t="str">
            <v>--</v>
          </cell>
          <cell r="J1837">
            <v>1</v>
          </cell>
          <cell r="K1837">
            <v>1</v>
          </cell>
        </row>
        <row r="1838">
          <cell r="A1838" t="str">
            <v>M2</v>
          </cell>
          <cell r="B1838" t="str">
            <v>A5C</v>
          </cell>
          <cell r="C1838" t="str">
            <v>P</v>
          </cell>
          <cell r="D1838" t="str">
            <v>23145</v>
          </cell>
          <cell r="E1838" t="str">
            <v>PIPE</v>
          </cell>
          <cell r="F1838">
            <v>1</v>
          </cell>
          <cell r="G1838" t="str">
            <v>CB100508000100</v>
          </cell>
          <cell r="H1838">
            <v>1</v>
          </cell>
          <cell r="I1838" t="str">
            <v>--</v>
          </cell>
          <cell r="J1838">
            <v>1</v>
          </cell>
          <cell r="K1838">
            <v>1</v>
          </cell>
        </row>
        <row r="1839">
          <cell r="A1839" t="str">
            <v>M2</v>
          </cell>
          <cell r="B1839" t="str">
            <v>A5C</v>
          </cell>
          <cell r="C1839" t="str">
            <v>TRIM</v>
          </cell>
          <cell r="D1839" t="str">
            <v>V-2352</v>
          </cell>
          <cell r="E1839" t="str">
            <v>PIPE</v>
          </cell>
          <cell r="F1839">
            <v>1</v>
          </cell>
          <cell r="G1839" t="str">
            <v>CB100508000100</v>
          </cell>
          <cell r="H1839">
            <v>1</v>
          </cell>
          <cell r="I1839" t="str">
            <v>--</v>
          </cell>
          <cell r="J1839">
            <v>1</v>
          </cell>
          <cell r="K1839">
            <v>1</v>
          </cell>
        </row>
        <row r="1840">
          <cell r="A1840" t="str">
            <v>M2</v>
          </cell>
          <cell r="B1840" t="str">
            <v>A5C</v>
          </cell>
          <cell r="C1840" t="str">
            <v>P</v>
          </cell>
          <cell r="D1840" t="str">
            <v>23039</v>
          </cell>
          <cell r="E1840" t="str">
            <v>PIPE</v>
          </cell>
          <cell r="F1840">
            <v>1</v>
          </cell>
          <cell r="G1840" t="str">
            <v>CB100508000100</v>
          </cell>
          <cell r="H1840">
            <v>1</v>
          </cell>
          <cell r="I1840" t="str">
            <v>--</v>
          </cell>
          <cell r="J1840">
            <v>1</v>
          </cell>
          <cell r="K1840">
            <v>1</v>
          </cell>
        </row>
        <row r="1841">
          <cell r="A1841" t="str">
            <v>M2</v>
          </cell>
          <cell r="B1841" t="str">
            <v>A5C</v>
          </cell>
          <cell r="C1841" t="str">
            <v>P</v>
          </cell>
          <cell r="D1841" t="str">
            <v>99004</v>
          </cell>
          <cell r="E1841" t="str">
            <v>PIPE</v>
          </cell>
          <cell r="F1841">
            <v>1</v>
          </cell>
          <cell r="G1841" t="str">
            <v>CB100508000100</v>
          </cell>
          <cell r="H1841">
            <v>1</v>
          </cell>
          <cell r="I1841" t="str">
            <v>--</v>
          </cell>
          <cell r="J1841">
            <v>1</v>
          </cell>
          <cell r="K1841">
            <v>1</v>
          </cell>
        </row>
        <row r="1842">
          <cell r="A1842" t="str">
            <v>M2</v>
          </cell>
          <cell r="B1842" t="str">
            <v>A5C</v>
          </cell>
          <cell r="C1842" t="str">
            <v>N</v>
          </cell>
          <cell r="D1842" t="str">
            <v>23631</v>
          </cell>
          <cell r="E1842" t="str">
            <v>PIPE</v>
          </cell>
          <cell r="F1842">
            <v>1</v>
          </cell>
          <cell r="G1842" t="str">
            <v>CB100508000100</v>
          </cell>
          <cell r="H1842">
            <v>1</v>
          </cell>
          <cell r="I1842" t="str">
            <v>--</v>
          </cell>
          <cell r="J1842">
            <v>1.3</v>
          </cell>
          <cell r="K1842">
            <v>1.3</v>
          </cell>
        </row>
        <row r="1843">
          <cell r="A1843" t="str">
            <v>M2</v>
          </cell>
          <cell r="B1843" t="str">
            <v>A5C</v>
          </cell>
          <cell r="C1843" t="str">
            <v>N</v>
          </cell>
          <cell r="D1843" t="str">
            <v>23634</v>
          </cell>
          <cell r="E1843" t="str">
            <v>PIPE</v>
          </cell>
          <cell r="F1843">
            <v>1</v>
          </cell>
          <cell r="G1843" t="str">
            <v>CB100508000100</v>
          </cell>
          <cell r="H1843">
            <v>1</v>
          </cell>
          <cell r="I1843" t="str">
            <v>--</v>
          </cell>
          <cell r="J1843">
            <v>1.3</v>
          </cell>
          <cell r="K1843">
            <v>1.3</v>
          </cell>
        </row>
        <row r="1844">
          <cell r="A1844" t="str">
            <v>M2</v>
          </cell>
          <cell r="B1844" t="str">
            <v>A5C</v>
          </cell>
          <cell r="C1844" t="str">
            <v>N</v>
          </cell>
          <cell r="D1844" t="str">
            <v>23632</v>
          </cell>
          <cell r="E1844" t="str">
            <v>PIPE</v>
          </cell>
          <cell r="F1844">
            <v>1</v>
          </cell>
          <cell r="G1844" t="str">
            <v>CB100508000100</v>
          </cell>
          <cell r="H1844">
            <v>1</v>
          </cell>
          <cell r="I1844" t="str">
            <v>--</v>
          </cell>
          <cell r="J1844">
            <v>1.3</v>
          </cell>
          <cell r="K1844">
            <v>1.3</v>
          </cell>
        </row>
        <row r="1845">
          <cell r="A1845" t="str">
            <v>M2</v>
          </cell>
          <cell r="B1845" t="str">
            <v>A5C</v>
          </cell>
          <cell r="C1845" t="str">
            <v>P</v>
          </cell>
          <cell r="D1845" t="str">
            <v>23035</v>
          </cell>
          <cell r="E1845" t="str">
            <v>PIPE</v>
          </cell>
          <cell r="F1845">
            <v>1</v>
          </cell>
          <cell r="G1845" t="str">
            <v>CB100508000100</v>
          </cell>
          <cell r="H1845">
            <v>1</v>
          </cell>
          <cell r="I1845" t="str">
            <v>--</v>
          </cell>
          <cell r="J1845">
            <v>1.4</v>
          </cell>
          <cell r="K1845">
            <v>1.4</v>
          </cell>
        </row>
        <row r="1846">
          <cell r="A1846" t="str">
            <v>M2</v>
          </cell>
          <cell r="B1846" t="str">
            <v>A5C</v>
          </cell>
          <cell r="C1846" t="str">
            <v>N</v>
          </cell>
          <cell r="D1846" t="str">
            <v>23638</v>
          </cell>
          <cell r="E1846" t="str">
            <v>PIPE</v>
          </cell>
          <cell r="F1846">
            <v>1</v>
          </cell>
          <cell r="G1846" t="str">
            <v>CB100508000100</v>
          </cell>
          <cell r="H1846">
            <v>1</v>
          </cell>
          <cell r="I1846" t="str">
            <v>--</v>
          </cell>
          <cell r="J1846">
            <v>1.6</v>
          </cell>
          <cell r="K1846">
            <v>1.6</v>
          </cell>
        </row>
        <row r="1847">
          <cell r="A1847" t="str">
            <v>M2</v>
          </cell>
          <cell r="B1847" t="str">
            <v>A5C</v>
          </cell>
          <cell r="C1847" t="str">
            <v>N</v>
          </cell>
          <cell r="D1847" t="str">
            <v>23640</v>
          </cell>
          <cell r="E1847" t="str">
            <v>PIPE</v>
          </cell>
          <cell r="F1847">
            <v>1</v>
          </cell>
          <cell r="G1847" t="str">
            <v>CB100508000100</v>
          </cell>
          <cell r="H1847">
            <v>1</v>
          </cell>
          <cell r="I1847" t="str">
            <v>--</v>
          </cell>
          <cell r="J1847">
            <v>1.6</v>
          </cell>
          <cell r="K1847">
            <v>1.6</v>
          </cell>
        </row>
        <row r="1848">
          <cell r="A1848" t="str">
            <v>M2</v>
          </cell>
          <cell r="B1848" t="str">
            <v>A5C</v>
          </cell>
          <cell r="C1848" t="str">
            <v>P</v>
          </cell>
          <cell r="D1848" t="str">
            <v>23006</v>
          </cell>
          <cell r="E1848" t="str">
            <v>PIPE</v>
          </cell>
          <cell r="F1848">
            <v>1</v>
          </cell>
          <cell r="G1848" t="str">
            <v>CB100508000100</v>
          </cell>
          <cell r="H1848">
            <v>1</v>
          </cell>
          <cell r="I1848" t="str">
            <v>--</v>
          </cell>
          <cell r="J1848">
            <v>1.6</v>
          </cell>
          <cell r="K1848">
            <v>1.6</v>
          </cell>
        </row>
        <row r="1849">
          <cell r="A1849" t="str">
            <v>M2</v>
          </cell>
          <cell r="B1849" t="str">
            <v>A5C</v>
          </cell>
          <cell r="C1849" t="str">
            <v>N</v>
          </cell>
          <cell r="D1849" t="str">
            <v>23636</v>
          </cell>
          <cell r="E1849" t="str">
            <v>PIPE</v>
          </cell>
          <cell r="F1849">
            <v>1</v>
          </cell>
          <cell r="G1849" t="str">
            <v>CB100508000100</v>
          </cell>
          <cell r="H1849">
            <v>1</v>
          </cell>
          <cell r="I1849" t="str">
            <v>--</v>
          </cell>
          <cell r="J1849">
            <v>1.6</v>
          </cell>
          <cell r="K1849">
            <v>1.6</v>
          </cell>
        </row>
        <row r="1850">
          <cell r="A1850" t="str">
            <v>M2</v>
          </cell>
          <cell r="B1850" t="str">
            <v>A5C</v>
          </cell>
          <cell r="C1850" t="str">
            <v>P</v>
          </cell>
          <cell r="D1850" t="str">
            <v>23149</v>
          </cell>
          <cell r="E1850" t="str">
            <v>PIPE</v>
          </cell>
          <cell r="F1850">
            <v>1</v>
          </cell>
          <cell r="G1850" t="str">
            <v>CB100508000100</v>
          </cell>
          <cell r="H1850">
            <v>1</v>
          </cell>
          <cell r="I1850" t="str">
            <v>--</v>
          </cell>
          <cell r="J1850">
            <v>1.7</v>
          </cell>
          <cell r="K1850">
            <v>1.7</v>
          </cell>
        </row>
        <row r="1851">
          <cell r="A1851" t="str">
            <v>M2</v>
          </cell>
          <cell r="B1851" t="str">
            <v>A5C</v>
          </cell>
          <cell r="C1851" t="str">
            <v>P</v>
          </cell>
          <cell r="D1851" t="str">
            <v>23208</v>
          </cell>
          <cell r="E1851" t="str">
            <v>PIPE</v>
          </cell>
          <cell r="F1851">
            <v>1</v>
          </cell>
          <cell r="G1851" t="str">
            <v>CB100508000100</v>
          </cell>
          <cell r="H1851">
            <v>1</v>
          </cell>
          <cell r="I1851" t="str">
            <v>--</v>
          </cell>
          <cell r="J1851">
            <v>2</v>
          </cell>
          <cell r="K1851">
            <v>2</v>
          </cell>
        </row>
        <row r="1852">
          <cell r="A1852" t="str">
            <v>M2</v>
          </cell>
          <cell r="B1852" t="str">
            <v>A5C</v>
          </cell>
          <cell r="C1852" t="str">
            <v>P</v>
          </cell>
          <cell r="D1852" t="str">
            <v>23212</v>
          </cell>
          <cell r="E1852" t="str">
            <v>PIPE</v>
          </cell>
          <cell r="F1852">
            <v>1</v>
          </cell>
          <cell r="G1852" t="str">
            <v>CB100508000100</v>
          </cell>
          <cell r="H1852">
            <v>1</v>
          </cell>
          <cell r="I1852" t="str">
            <v>--</v>
          </cell>
          <cell r="J1852">
            <v>2</v>
          </cell>
          <cell r="K1852">
            <v>2</v>
          </cell>
        </row>
        <row r="1853">
          <cell r="A1853" t="str">
            <v>M2</v>
          </cell>
          <cell r="B1853" t="str">
            <v>A5C</v>
          </cell>
          <cell r="C1853" t="str">
            <v>P</v>
          </cell>
          <cell r="D1853" t="str">
            <v>23214</v>
          </cell>
          <cell r="E1853" t="str">
            <v>PIPE</v>
          </cell>
          <cell r="F1853">
            <v>1</v>
          </cell>
          <cell r="G1853" t="str">
            <v>CB100508000100</v>
          </cell>
          <cell r="H1853">
            <v>1</v>
          </cell>
          <cell r="I1853" t="str">
            <v>--</v>
          </cell>
          <cell r="J1853">
            <v>2</v>
          </cell>
          <cell r="K1853">
            <v>2</v>
          </cell>
        </row>
        <row r="1854">
          <cell r="A1854" t="str">
            <v>M2</v>
          </cell>
          <cell r="B1854" t="str">
            <v>A5C</v>
          </cell>
          <cell r="C1854" t="str">
            <v>P</v>
          </cell>
          <cell r="D1854" t="str">
            <v>23206</v>
          </cell>
          <cell r="E1854" t="str">
            <v>PIPE</v>
          </cell>
          <cell r="F1854">
            <v>1</v>
          </cell>
          <cell r="G1854" t="str">
            <v>CB100508000100</v>
          </cell>
          <cell r="H1854">
            <v>1</v>
          </cell>
          <cell r="I1854" t="str">
            <v>--</v>
          </cell>
          <cell r="J1854">
            <v>2</v>
          </cell>
          <cell r="K1854">
            <v>2</v>
          </cell>
        </row>
        <row r="1855">
          <cell r="A1855" t="str">
            <v>M2</v>
          </cell>
          <cell r="B1855" t="str">
            <v>A5C</v>
          </cell>
          <cell r="C1855" t="str">
            <v>P</v>
          </cell>
          <cell r="D1855" t="str">
            <v>23207</v>
          </cell>
          <cell r="E1855" t="str">
            <v>PIPE</v>
          </cell>
          <cell r="F1855">
            <v>1</v>
          </cell>
          <cell r="G1855" t="str">
            <v>CB100508000100</v>
          </cell>
          <cell r="H1855">
            <v>1</v>
          </cell>
          <cell r="I1855" t="str">
            <v>--</v>
          </cell>
          <cell r="J1855">
            <v>2</v>
          </cell>
          <cell r="K1855">
            <v>2</v>
          </cell>
        </row>
        <row r="1856">
          <cell r="A1856" t="str">
            <v>M2</v>
          </cell>
          <cell r="B1856" t="str">
            <v>A5C</v>
          </cell>
          <cell r="C1856" t="str">
            <v>P</v>
          </cell>
          <cell r="D1856" t="str">
            <v>23213</v>
          </cell>
          <cell r="E1856" t="str">
            <v>PIPE</v>
          </cell>
          <cell r="F1856">
            <v>1</v>
          </cell>
          <cell r="G1856" t="str">
            <v>CB100508000100</v>
          </cell>
          <cell r="H1856">
            <v>1</v>
          </cell>
          <cell r="I1856" t="str">
            <v>--</v>
          </cell>
          <cell r="J1856">
            <v>2</v>
          </cell>
          <cell r="K1856">
            <v>2</v>
          </cell>
        </row>
        <row r="1857">
          <cell r="A1857" t="str">
            <v>M2</v>
          </cell>
          <cell r="B1857" t="str">
            <v>A5C</v>
          </cell>
          <cell r="C1857" t="str">
            <v>P</v>
          </cell>
          <cell r="D1857" t="str">
            <v>23239</v>
          </cell>
          <cell r="E1857" t="str">
            <v>PIPE</v>
          </cell>
          <cell r="F1857">
            <v>1</v>
          </cell>
          <cell r="G1857" t="str">
            <v>CB100508000100</v>
          </cell>
          <cell r="H1857">
            <v>1</v>
          </cell>
          <cell r="I1857" t="str">
            <v>--</v>
          </cell>
          <cell r="J1857">
            <v>2</v>
          </cell>
          <cell r="K1857">
            <v>2</v>
          </cell>
        </row>
        <row r="1858">
          <cell r="A1858" t="str">
            <v>M2</v>
          </cell>
          <cell r="B1858" t="str">
            <v>A5C</v>
          </cell>
          <cell r="C1858" t="str">
            <v>P</v>
          </cell>
          <cell r="D1858" t="str">
            <v>23204</v>
          </cell>
          <cell r="E1858" t="str">
            <v>PIPE</v>
          </cell>
          <cell r="F1858">
            <v>1</v>
          </cell>
          <cell r="G1858" t="str">
            <v>CB100508000100</v>
          </cell>
          <cell r="H1858">
            <v>1</v>
          </cell>
          <cell r="I1858" t="str">
            <v>--</v>
          </cell>
          <cell r="J1858">
            <v>2</v>
          </cell>
          <cell r="K1858">
            <v>2</v>
          </cell>
        </row>
        <row r="1859">
          <cell r="A1859" t="str">
            <v>M2</v>
          </cell>
          <cell r="B1859" t="str">
            <v>A5C</v>
          </cell>
          <cell r="C1859" t="str">
            <v>P</v>
          </cell>
          <cell r="D1859" t="str">
            <v>23205</v>
          </cell>
          <cell r="E1859" t="str">
            <v>PIPE</v>
          </cell>
          <cell r="F1859">
            <v>1</v>
          </cell>
          <cell r="G1859" t="str">
            <v>CB100508000100</v>
          </cell>
          <cell r="H1859">
            <v>1</v>
          </cell>
          <cell r="I1859" t="str">
            <v>--</v>
          </cell>
          <cell r="J1859">
            <v>2</v>
          </cell>
          <cell r="K1859">
            <v>2</v>
          </cell>
        </row>
        <row r="1860">
          <cell r="A1860" t="str">
            <v>M2</v>
          </cell>
          <cell r="B1860" t="str">
            <v>A5C</v>
          </cell>
          <cell r="C1860" t="str">
            <v>P</v>
          </cell>
          <cell r="D1860" t="str">
            <v>23235</v>
          </cell>
          <cell r="E1860" t="str">
            <v>PIPE</v>
          </cell>
          <cell r="F1860">
            <v>1</v>
          </cell>
          <cell r="G1860" t="str">
            <v>CB100508000100</v>
          </cell>
          <cell r="H1860">
            <v>1</v>
          </cell>
          <cell r="I1860" t="str">
            <v>--</v>
          </cell>
          <cell r="J1860">
            <v>2</v>
          </cell>
          <cell r="K1860">
            <v>2</v>
          </cell>
        </row>
        <row r="1861">
          <cell r="A1861" t="str">
            <v>M2</v>
          </cell>
          <cell r="B1861" t="str">
            <v>A5C</v>
          </cell>
          <cell r="C1861" t="str">
            <v>P</v>
          </cell>
          <cell r="D1861" t="str">
            <v>23018</v>
          </cell>
          <cell r="E1861" t="str">
            <v>PIPE</v>
          </cell>
          <cell r="F1861">
            <v>1</v>
          </cell>
          <cell r="G1861" t="str">
            <v>CB100508000100</v>
          </cell>
          <cell r="H1861">
            <v>1</v>
          </cell>
          <cell r="I1861" t="str">
            <v>--</v>
          </cell>
          <cell r="J1861">
            <v>2</v>
          </cell>
          <cell r="K1861">
            <v>2</v>
          </cell>
        </row>
        <row r="1862">
          <cell r="A1862" t="str">
            <v>M2</v>
          </cell>
          <cell r="B1862" t="str">
            <v>A5C</v>
          </cell>
          <cell r="C1862" t="str">
            <v>P</v>
          </cell>
          <cell r="D1862" t="str">
            <v>23223</v>
          </cell>
          <cell r="E1862" t="str">
            <v>PIPE</v>
          </cell>
          <cell r="F1862">
            <v>1</v>
          </cell>
          <cell r="G1862" t="str">
            <v>CB100508000100</v>
          </cell>
          <cell r="H1862">
            <v>1</v>
          </cell>
          <cell r="I1862" t="str">
            <v>--</v>
          </cell>
          <cell r="J1862">
            <v>2</v>
          </cell>
          <cell r="K1862">
            <v>2</v>
          </cell>
        </row>
        <row r="1863">
          <cell r="A1863" t="str">
            <v>M2</v>
          </cell>
          <cell r="B1863" t="str">
            <v>A5C</v>
          </cell>
          <cell r="C1863" t="str">
            <v>P</v>
          </cell>
          <cell r="D1863" t="str">
            <v>99003</v>
          </cell>
          <cell r="E1863" t="str">
            <v>PIPE</v>
          </cell>
          <cell r="F1863">
            <v>1</v>
          </cell>
          <cell r="G1863" t="str">
            <v>CB100508000100</v>
          </cell>
          <cell r="H1863">
            <v>1</v>
          </cell>
          <cell r="I1863" t="str">
            <v>--</v>
          </cell>
          <cell r="J1863">
            <v>2.1</v>
          </cell>
          <cell r="K1863">
            <v>2.1</v>
          </cell>
        </row>
        <row r="1864">
          <cell r="A1864" t="str">
            <v>M2</v>
          </cell>
          <cell r="B1864" t="str">
            <v>B2C</v>
          </cell>
          <cell r="C1864" t="str">
            <v>SH</v>
          </cell>
          <cell r="D1864" t="str">
            <v>23613</v>
          </cell>
          <cell r="E1864" t="str">
            <v>PIPE</v>
          </cell>
          <cell r="F1864">
            <v>1</v>
          </cell>
          <cell r="G1864" t="str">
            <v>CB100508000100</v>
          </cell>
          <cell r="H1864">
            <v>1</v>
          </cell>
          <cell r="I1864" t="str">
            <v>--</v>
          </cell>
          <cell r="J1864">
            <v>2.2999999999999998</v>
          </cell>
          <cell r="K1864">
            <v>2.2999999999999998</v>
          </cell>
        </row>
        <row r="1865">
          <cell r="A1865" t="str">
            <v>M2</v>
          </cell>
          <cell r="B1865" t="str">
            <v>A5C</v>
          </cell>
          <cell r="C1865" t="str">
            <v>N</v>
          </cell>
          <cell r="D1865" t="str">
            <v>23637</v>
          </cell>
          <cell r="E1865" t="str">
            <v>PIPE</v>
          </cell>
          <cell r="F1865">
            <v>1</v>
          </cell>
          <cell r="G1865" t="str">
            <v>CB100508000100</v>
          </cell>
          <cell r="H1865">
            <v>1</v>
          </cell>
          <cell r="I1865" t="str">
            <v>--</v>
          </cell>
          <cell r="J1865">
            <v>2.2999999999999998</v>
          </cell>
          <cell r="K1865">
            <v>2.2999999999999998</v>
          </cell>
        </row>
        <row r="1866">
          <cell r="A1866" t="str">
            <v>M2</v>
          </cell>
          <cell r="B1866" t="str">
            <v>A5C</v>
          </cell>
          <cell r="C1866" t="str">
            <v>N</v>
          </cell>
          <cell r="D1866" t="str">
            <v>23639</v>
          </cell>
          <cell r="E1866" t="str">
            <v>PIPE</v>
          </cell>
          <cell r="F1866">
            <v>1</v>
          </cell>
          <cell r="G1866" t="str">
            <v>CB100508000100</v>
          </cell>
          <cell r="H1866">
            <v>1</v>
          </cell>
          <cell r="I1866" t="str">
            <v>--</v>
          </cell>
          <cell r="J1866">
            <v>2.2999999999999998</v>
          </cell>
          <cell r="K1866">
            <v>2.2999999999999998</v>
          </cell>
        </row>
        <row r="1867">
          <cell r="A1867" t="str">
            <v>M2</v>
          </cell>
          <cell r="B1867" t="str">
            <v>A5C</v>
          </cell>
          <cell r="C1867" t="str">
            <v>P</v>
          </cell>
          <cell r="D1867" t="str">
            <v>23019</v>
          </cell>
          <cell r="E1867" t="str">
            <v>PIPE</v>
          </cell>
          <cell r="F1867">
            <v>1</v>
          </cell>
          <cell r="G1867" t="str">
            <v>CB100508000100</v>
          </cell>
          <cell r="H1867">
            <v>1</v>
          </cell>
          <cell r="I1867" t="str">
            <v>--</v>
          </cell>
          <cell r="J1867">
            <v>2.5</v>
          </cell>
          <cell r="K1867">
            <v>2.5</v>
          </cell>
        </row>
        <row r="1868">
          <cell r="A1868" t="str">
            <v>M2</v>
          </cell>
          <cell r="B1868" t="str">
            <v>A5C</v>
          </cell>
          <cell r="C1868" t="str">
            <v>P</v>
          </cell>
          <cell r="D1868" t="str">
            <v>23063</v>
          </cell>
          <cell r="E1868" t="str">
            <v>PIPE</v>
          </cell>
          <cell r="F1868">
            <v>1</v>
          </cell>
          <cell r="G1868" t="str">
            <v>CB100508000100</v>
          </cell>
          <cell r="H1868">
            <v>1</v>
          </cell>
          <cell r="I1868" t="str">
            <v>--</v>
          </cell>
          <cell r="J1868">
            <v>2.7</v>
          </cell>
          <cell r="K1868">
            <v>2.7</v>
          </cell>
        </row>
        <row r="1869">
          <cell r="A1869" t="str">
            <v>M2</v>
          </cell>
          <cell r="B1869" t="str">
            <v>A5C</v>
          </cell>
          <cell r="C1869" t="str">
            <v>P</v>
          </cell>
          <cell r="D1869" t="str">
            <v>23078</v>
          </cell>
          <cell r="E1869" t="str">
            <v>PIPE</v>
          </cell>
          <cell r="F1869">
            <v>1</v>
          </cell>
          <cell r="G1869" t="str">
            <v>CB100508000100</v>
          </cell>
          <cell r="H1869">
            <v>1</v>
          </cell>
          <cell r="I1869" t="str">
            <v>--</v>
          </cell>
          <cell r="J1869">
            <v>2.7</v>
          </cell>
          <cell r="K1869">
            <v>2.7</v>
          </cell>
        </row>
        <row r="1870">
          <cell r="A1870" t="str">
            <v>M2</v>
          </cell>
          <cell r="B1870" t="str">
            <v>A5C</v>
          </cell>
          <cell r="C1870" t="str">
            <v>P</v>
          </cell>
          <cell r="D1870" t="str">
            <v>23027</v>
          </cell>
          <cell r="E1870" t="str">
            <v>PIPE</v>
          </cell>
          <cell r="F1870">
            <v>1</v>
          </cell>
          <cell r="G1870" t="str">
            <v>CB100508000100</v>
          </cell>
          <cell r="H1870">
            <v>1</v>
          </cell>
          <cell r="I1870" t="str">
            <v>--</v>
          </cell>
          <cell r="J1870">
            <v>2.7</v>
          </cell>
          <cell r="K1870">
            <v>2.7</v>
          </cell>
        </row>
        <row r="1871">
          <cell r="A1871" t="str">
            <v>M2</v>
          </cell>
          <cell r="B1871" t="str">
            <v>A5C</v>
          </cell>
          <cell r="C1871" t="str">
            <v>N</v>
          </cell>
          <cell r="D1871" t="str">
            <v>23635</v>
          </cell>
          <cell r="E1871" t="str">
            <v>PIPE</v>
          </cell>
          <cell r="F1871">
            <v>1</v>
          </cell>
          <cell r="G1871" t="str">
            <v>CB100508000100</v>
          </cell>
          <cell r="H1871">
            <v>1</v>
          </cell>
          <cell r="I1871" t="str">
            <v>--</v>
          </cell>
          <cell r="J1871">
            <v>2.9</v>
          </cell>
          <cell r="K1871">
            <v>2.9</v>
          </cell>
        </row>
        <row r="1872">
          <cell r="A1872" t="str">
            <v>M2</v>
          </cell>
          <cell r="B1872" t="str">
            <v>A5C</v>
          </cell>
          <cell r="C1872" t="str">
            <v>N</v>
          </cell>
          <cell r="D1872" t="str">
            <v>23633</v>
          </cell>
          <cell r="E1872" t="str">
            <v>PIPE</v>
          </cell>
          <cell r="F1872">
            <v>1</v>
          </cell>
          <cell r="G1872" t="str">
            <v>CB100508000100</v>
          </cell>
          <cell r="H1872">
            <v>1</v>
          </cell>
          <cell r="I1872" t="str">
            <v>--</v>
          </cell>
          <cell r="J1872">
            <v>3</v>
          </cell>
          <cell r="K1872">
            <v>3</v>
          </cell>
        </row>
        <row r="1873">
          <cell r="A1873" t="str">
            <v>M2</v>
          </cell>
          <cell r="B1873" t="str">
            <v>A5C</v>
          </cell>
          <cell r="C1873" t="str">
            <v>P</v>
          </cell>
          <cell r="D1873" t="str">
            <v>23164</v>
          </cell>
          <cell r="E1873" t="str">
            <v>PIPE</v>
          </cell>
          <cell r="F1873">
            <v>1</v>
          </cell>
          <cell r="G1873" t="str">
            <v>CB100508000100</v>
          </cell>
          <cell r="H1873">
            <v>1</v>
          </cell>
          <cell r="I1873" t="str">
            <v>--</v>
          </cell>
          <cell r="J1873">
            <v>3.3</v>
          </cell>
          <cell r="K1873">
            <v>3.3</v>
          </cell>
        </row>
        <row r="1874">
          <cell r="A1874" t="str">
            <v>M2</v>
          </cell>
          <cell r="B1874" t="str">
            <v>A5C</v>
          </cell>
          <cell r="C1874" t="str">
            <v>P</v>
          </cell>
          <cell r="D1874" t="str">
            <v>24007</v>
          </cell>
          <cell r="E1874" t="str">
            <v>PIPE</v>
          </cell>
          <cell r="F1874">
            <v>1</v>
          </cell>
          <cell r="G1874" t="str">
            <v>CB100508000100</v>
          </cell>
          <cell r="H1874">
            <v>1</v>
          </cell>
          <cell r="I1874" t="str">
            <v>--</v>
          </cell>
          <cell r="J1874">
            <v>4</v>
          </cell>
          <cell r="K1874">
            <v>4</v>
          </cell>
        </row>
        <row r="1875">
          <cell r="A1875" t="str">
            <v>M2</v>
          </cell>
          <cell r="B1875" t="str">
            <v>A5C</v>
          </cell>
          <cell r="C1875" t="str">
            <v>P</v>
          </cell>
          <cell r="D1875" t="str">
            <v>24015</v>
          </cell>
          <cell r="E1875" t="str">
            <v>PIPE</v>
          </cell>
          <cell r="F1875">
            <v>1</v>
          </cell>
          <cell r="G1875" t="str">
            <v>CB100508000100</v>
          </cell>
          <cell r="H1875">
            <v>1</v>
          </cell>
          <cell r="I1875" t="str">
            <v>--</v>
          </cell>
          <cell r="J1875">
            <v>4.5</v>
          </cell>
          <cell r="K1875">
            <v>4.5</v>
          </cell>
        </row>
        <row r="1876">
          <cell r="A1876" t="str">
            <v>M2</v>
          </cell>
          <cell r="B1876" t="str">
            <v>A5C</v>
          </cell>
          <cell r="C1876" t="str">
            <v>P</v>
          </cell>
          <cell r="D1876" t="str">
            <v>24020</v>
          </cell>
          <cell r="E1876" t="str">
            <v>PIPE</v>
          </cell>
          <cell r="F1876">
            <v>1</v>
          </cell>
          <cell r="G1876" t="str">
            <v>CB100508000100</v>
          </cell>
          <cell r="H1876">
            <v>1</v>
          </cell>
          <cell r="I1876" t="str">
            <v>--</v>
          </cell>
          <cell r="J1876">
            <v>4.9000000000000004</v>
          </cell>
          <cell r="K1876">
            <v>4.9000000000000004</v>
          </cell>
        </row>
        <row r="1877">
          <cell r="A1877" t="str">
            <v>M2</v>
          </cell>
          <cell r="B1877" t="str">
            <v>A5C</v>
          </cell>
          <cell r="C1877" t="str">
            <v>P</v>
          </cell>
          <cell r="D1877" t="str">
            <v>24010</v>
          </cell>
          <cell r="E1877" t="str">
            <v>PIPE</v>
          </cell>
          <cell r="F1877">
            <v>1</v>
          </cell>
          <cell r="G1877" t="str">
            <v>CB100508000100</v>
          </cell>
          <cell r="H1877">
            <v>1</v>
          </cell>
          <cell r="I1877" t="str">
            <v>--</v>
          </cell>
          <cell r="J1877">
            <v>5</v>
          </cell>
          <cell r="K1877">
            <v>5</v>
          </cell>
        </row>
        <row r="1878">
          <cell r="A1878" t="str">
            <v>M2</v>
          </cell>
          <cell r="B1878" t="str">
            <v>A5C</v>
          </cell>
          <cell r="C1878" t="str">
            <v>P</v>
          </cell>
          <cell r="D1878" t="str">
            <v>24026</v>
          </cell>
          <cell r="E1878" t="str">
            <v>PIPE</v>
          </cell>
          <cell r="F1878">
            <v>1</v>
          </cell>
          <cell r="G1878" t="str">
            <v>CB100508000100</v>
          </cell>
          <cell r="H1878">
            <v>1</v>
          </cell>
          <cell r="I1878" t="str">
            <v>--</v>
          </cell>
          <cell r="J1878">
            <v>5.9</v>
          </cell>
          <cell r="K1878">
            <v>5.9</v>
          </cell>
        </row>
        <row r="1879">
          <cell r="A1879" t="str">
            <v>M2</v>
          </cell>
          <cell r="B1879" t="str">
            <v>A5C</v>
          </cell>
          <cell r="C1879" t="str">
            <v>P</v>
          </cell>
          <cell r="D1879" t="str">
            <v>24002</v>
          </cell>
          <cell r="E1879" t="str">
            <v>PIPE</v>
          </cell>
          <cell r="F1879">
            <v>1</v>
          </cell>
          <cell r="G1879" t="str">
            <v>CB100508000100</v>
          </cell>
          <cell r="H1879">
            <v>1</v>
          </cell>
          <cell r="I1879" t="str">
            <v>--</v>
          </cell>
          <cell r="J1879">
            <v>5.9</v>
          </cell>
          <cell r="K1879">
            <v>5.9</v>
          </cell>
        </row>
        <row r="1880">
          <cell r="A1880" t="str">
            <v>M2</v>
          </cell>
          <cell r="B1880" t="str">
            <v>A5C</v>
          </cell>
          <cell r="C1880" t="str">
            <v>P</v>
          </cell>
          <cell r="D1880" t="str">
            <v>23104</v>
          </cell>
          <cell r="E1880" t="str">
            <v>PIPE</v>
          </cell>
          <cell r="F1880">
            <v>1</v>
          </cell>
          <cell r="G1880" t="str">
            <v>CB100508000100</v>
          </cell>
          <cell r="H1880">
            <v>1</v>
          </cell>
          <cell r="I1880" t="str">
            <v>--</v>
          </cell>
          <cell r="J1880">
            <v>6</v>
          </cell>
          <cell r="K1880">
            <v>6</v>
          </cell>
        </row>
        <row r="1881">
          <cell r="A1881" t="str">
            <v>M2</v>
          </cell>
          <cell r="B1881" t="str">
            <v>A5C</v>
          </cell>
          <cell r="C1881" t="str">
            <v>P</v>
          </cell>
          <cell r="D1881" t="str">
            <v>23108</v>
          </cell>
          <cell r="E1881" t="str">
            <v>PIPE</v>
          </cell>
          <cell r="F1881">
            <v>1</v>
          </cell>
          <cell r="G1881" t="str">
            <v>CB100508000100</v>
          </cell>
          <cell r="H1881">
            <v>1</v>
          </cell>
          <cell r="I1881" t="str">
            <v>--</v>
          </cell>
          <cell r="J1881">
            <v>6</v>
          </cell>
          <cell r="K1881">
            <v>6</v>
          </cell>
        </row>
        <row r="1882">
          <cell r="A1882" t="str">
            <v>M2</v>
          </cell>
          <cell r="B1882" t="str">
            <v>A5C</v>
          </cell>
          <cell r="C1882" t="str">
            <v>P</v>
          </cell>
          <cell r="D1882" t="str">
            <v>23112</v>
          </cell>
          <cell r="E1882" t="str">
            <v>PIPE</v>
          </cell>
          <cell r="F1882">
            <v>1</v>
          </cell>
          <cell r="G1882" t="str">
            <v>CB100508000100</v>
          </cell>
          <cell r="H1882">
            <v>1</v>
          </cell>
          <cell r="I1882" t="str">
            <v>--</v>
          </cell>
          <cell r="J1882">
            <v>6</v>
          </cell>
          <cell r="K1882">
            <v>6</v>
          </cell>
        </row>
        <row r="1883">
          <cell r="A1883" t="str">
            <v>M2</v>
          </cell>
          <cell r="B1883" t="str">
            <v>A5C</v>
          </cell>
          <cell r="C1883" t="str">
            <v>P</v>
          </cell>
          <cell r="D1883" t="str">
            <v>23048</v>
          </cell>
          <cell r="E1883" t="str">
            <v>PIPE</v>
          </cell>
          <cell r="F1883">
            <v>1</v>
          </cell>
          <cell r="G1883" t="str">
            <v>CB100508000100</v>
          </cell>
          <cell r="H1883">
            <v>1</v>
          </cell>
          <cell r="I1883" t="str">
            <v>--</v>
          </cell>
          <cell r="J1883">
            <v>6.5</v>
          </cell>
          <cell r="K1883">
            <v>6.5</v>
          </cell>
        </row>
        <row r="1884">
          <cell r="A1884" t="str">
            <v>M2</v>
          </cell>
          <cell r="B1884" t="str">
            <v>A5C</v>
          </cell>
          <cell r="C1884" t="str">
            <v>P</v>
          </cell>
          <cell r="D1884" t="str">
            <v>23245</v>
          </cell>
          <cell r="E1884" t="str">
            <v>PIPE</v>
          </cell>
          <cell r="F1884">
            <v>1</v>
          </cell>
          <cell r="G1884" t="str">
            <v>CB100508000100</v>
          </cell>
          <cell r="H1884">
            <v>1</v>
          </cell>
          <cell r="I1884" t="str">
            <v>--</v>
          </cell>
          <cell r="J1884">
            <v>7.5</v>
          </cell>
          <cell r="K1884">
            <v>7.5</v>
          </cell>
        </row>
        <row r="1885">
          <cell r="A1885" t="str">
            <v>M2</v>
          </cell>
          <cell r="B1885" t="str">
            <v>A5C</v>
          </cell>
          <cell r="C1885" t="str">
            <v>P</v>
          </cell>
          <cell r="D1885" t="str">
            <v>23230</v>
          </cell>
          <cell r="E1885" t="str">
            <v>PIPE</v>
          </cell>
          <cell r="F1885">
            <v>1</v>
          </cell>
          <cell r="G1885" t="str">
            <v>CB100508000100</v>
          </cell>
          <cell r="H1885">
            <v>1</v>
          </cell>
          <cell r="I1885" t="str">
            <v>--</v>
          </cell>
          <cell r="J1885">
            <v>8</v>
          </cell>
          <cell r="K1885">
            <v>8</v>
          </cell>
        </row>
        <row r="1886">
          <cell r="A1886" t="str">
            <v>M2</v>
          </cell>
          <cell r="B1886" t="str">
            <v>A5C</v>
          </cell>
          <cell r="C1886" t="str">
            <v>P</v>
          </cell>
          <cell r="D1886" t="str">
            <v>24025</v>
          </cell>
          <cell r="E1886" t="str">
            <v>PIPE</v>
          </cell>
          <cell r="F1886">
            <v>1</v>
          </cell>
          <cell r="G1886" t="str">
            <v>CB100508000100</v>
          </cell>
          <cell r="H1886">
            <v>1</v>
          </cell>
          <cell r="I1886" t="str">
            <v>--</v>
          </cell>
          <cell r="J1886">
            <v>8</v>
          </cell>
          <cell r="K1886">
            <v>8</v>
          </cell>
        </row>
        <row r="1887">
          <cell r="A1887" t="str">
            <v>M2</v>
          </cell>
          <cell r="B1887" t="str">
            <v>A5C</v>
          </cell>
          <cell r="C1887" t="str">
            <v>P</v>
          </cell>
          <cell r="D1887" t="str">
            <v>23194</v>
          </cell>
          <cell r="E1887" t="str">
            <v>PIPE</v>
          </cell>
          <cell r="F1887">
            <v>1</v>
          </cell>
          <cell r="G1887" t="str">
            <v>CB100508000100</v>
          </cell>
          <cell r="H1887">
            <v>1</v>
          </cell>
          <cell r="I1887" t="str">
            <v>--</v>
          </cell>
          <cell r="J1887">
            <v>10</v>
          </cell>
          <cell r="K1887">
            <v>10</v>
          </cell>
        </row>
        <row r="1888">
          <cell r="A1888" t="str">
            <v>M2</v>
          </cell>
          <cell r="B1888" t="str">
            <v>A5C</v>
          </cell>
          <cell r="C1888" t="str">
            <v>P</v>
          </cell>
          <cell r="D1888" t="str">
            <v>23059</v>
          </cell>
          <cell r="E1888" t="str">
            <v>PIPE</v>
          </cell>
          <cell r="F1888">
            <v>1</v>
          </cell>
          <cell r="G1888" t="str">
            <v>CB100508000100</v>
          </cell>
          <cell r="H1888">
            <v>1</v>
          </cell>
          <cell r="I1888" t="str">
            <v>--</v>
          </cell>
          <cell r="J1888">
            <v>10.199999999999999</v>
          </cell>
          <cell r="K1888">
            <v>10.199999999999999</v>
          </cell>
        </row>
        <row r="1889">
          <cell r="A1889" t="str">
            <v>M2</v>
          </cell>
          <cell r="B1889" t="str">
            <v>A5C</v>
          </cell>
          <cell r="C1889" t="str">
            <v>P</v>
          </cell>
          <cell r="D1889" t="str">
            <v>23154</v>
          </cell>
          <cell r="E1889" t="str">
            <v>PIPE</v>
          </cell>
          <cell r="F1889">
            <v>1</v>
          </cell>
          <cell r="G1889" t="str">
            <v>CB100508000100</v>
          </cell>
          <cell r="H1889">
            <v>1</v>
          </cell>
          <cell r="I1889" t="str">
            <v>--</v>
          </cell>
          <cell r="J1889">
            <v>10.8</v>
          </cell>
          <cell r="K1889">
            <v>10.8</v>
          </cell>
        </row>
        <row r="1890">
          <cell r="A1890" t="str">
            <v>M2</v>
          </cell>
          <cell r="B1890" t="str">
            <v>A5C</v>
          </cell>
          <cell r="C1890" t="str">
            <v>P</v>
          </cell>
          <cell r="D1890" t="str">
            <v>23122</v>
          </cell>
          <cell r="E1890" t="str">
            <v>PIPE</v>
          </cell>
          <cell r="F1890">
            <v>1</v>
          </cell>
          <cell r="G1890" t="str">
            <v>CB100508000100</v>
          </cell>
          <cell r="H1890">
            <v>1</v>
          </cell>
          <cell r="I1890" t="str">
            <v>--</v>
          </cell>
          <cell r="J1890">
            <v>11.9</v>
          </cell>
          <cell r="K1890">
            <v>11.9</v>
          </cell>
        </row>
        <row r="1891">
          <cell r="A1891" t="str">
            <v>M2</v>
          </cell>
          <cell r="B1891" t="str">
            <v>A5C</v>
          </cell>
          <cell r="C1891" t="str">
            <v>P</v>
          </cell>
          <cell r="D1891" t="str">
            <v>23018</v>
          </cell>
          <cell r="E1891" t="str">
            <v>PIPE</v>
          </cell>
          <cell r="F1891">
            <v>1</v>
          </cell>
          <cell r="G1891" t="str">
            <v>CB100508000100</v>
          </cell>
          <cell r="H1891">
            <v>1</v>
          </cell>
          <cell r="I1891" t="str">
            <v>--</v>
          </cell>
          <cell r="J1891">
            <v>12</v>
          </cell>
          <cell r="K1891">
            <v>12</v>
          </cell>
        </row>
        <row r="1892">
          <cell r="A1892" t="str">
            <v>M2</v>
          </cell>
          <cell r="B1892" t="str">
            <v>A5C</v>
          </cell>
          <cell r="C1892" t="str">
            <v>P</v>
          </cell>
          <cell r="D1892" t="str">
            <v>23083</v>
          </cell>
          <cell r="E1892" t="str">
            <v>PIPE</v>
          </cell>
          <cell r="F1892">
            <v>1</v>
          </cell>
          <cell r="G1892" t="str">
            <v>CB100508000100</v>
          </cell>
          <cell r="H1892">
            <v>1</v>
          </cell>
          <cell r="I1892" t="str">
            <v>--</v>
          </cell>
          <cell r="J1892">
            <v>13.9</v>
          </cell>
          <cell r="K1892">
            <v>13.9</v>
          </cell>
        </row>
        <row r="1893">
          <cell r="A1893" t="str">
            <v>M2</v>
          </cell>
          <cell r="B1893" t="str">
            <v>A5C</v>
          </cell>
          <cell r="C1893" t="str">
            <v>P</v>
          </cell>
          <cell r="D1893" t="str">
            <v>23252</v>
          </cell>
          <cell r="E1893" t="str">
            <v>PIPE</v>
          </cell>
          <cell r="F1893">
            <v>1</v>
          </cell>
          <cell r="G1893" t="str">
            <v>CB100508000100</v>
          </cell>
          <cell r="H1893">
            <v>1</v>
          </cell>
          <cell r="I1893" t="str">
            <v>--</v>
          </cell>
          <cell r="J1893">
            <v>13.9</v>
          </cell>
          <cell r="K1893">
            <v>13.9</v>
          </cell>
        </row>
        <row r="1894">
          <cell r="A1894" t="str">
            <v>M2</v>
          </cell>
          <cell r="B1894" t="str">
            <v>A5C</v>
          </cell>
          <cell r="C1894" t="str">
            <v>P</v>
          </cell>
          <cell r="D1894" t="str">
            <v>23079</v>
          </cell>
          <cell r="E1894" t="str">
            <v>PIPE</v>
          </cell>
          <cell r="F1894">
            <v>1</v>
          </cell>
          <cell r="G1894" t="str">
            <v>CB100508000100</v>
          </cell>
          <cell r="H1894">
            <v>1</v>
          </cell>
          <cell r="I1894" t="str">
            <v>--</v>
          </cell>
          <cell r="J1894">
            <v>14</v>
          </cell>
          <cell r="K1894">
            <v>14</v>
          </cell>
        </row>
        <row r="1895">
          <cell r="A1895" t="str">
            <v>M2</v>
          </cell>
          <cell r="B1895" t="str">
            <v>A5C</v>
          </cell>
          <cell r="C1895" t="str">
            <v>P</v>
          </cell>
          <cell r="D1895" t="str">
            <v>23144</v>
          </cell>
          <cell r="E1895" t="str">
            <v>PIPE</v>
          </cell>
          <cell r="F1895">
            <v>1</v>
          </cell>
          <cell r="G1895" t="str">
            <v>CB100508000100</v>
          </cell>
          <cell r="H1895">
            <v>1</v>
          </cell>
          <cell r="I1895" t="str">
            <v>--</v>
          </cell>
          <cell r="J1895">
            <v>14.5</v>
          </cell>
          <cell r="K1895">
            <v>14.5</v>
          </cell>
        </row>
        <row r="1896">
          <cell r="A1896" t="str">
            <v>M2</v>
          </cell>
          <cell r="B1896" t="str">
            <v>A5C</v>
          </cell>
          <cell r="C1896" t="str">
            <v>P</v>
          </cell>
          <cell r="D1896" t="str">
            <v>24013</v>
          </cell>
          <cell r="E1896" t="str">
            <v>PIPE</v>
          </cell>
          <cell r="F1896">
            <v>1</v>
          </cell>
          <cell r="G1896" t="str">
            <v>CB100508000100</v>
          </cell>
          <cell r="H1896">
            <v>1</v>
          </cell>
          <cell r="I1896" t="str">
            <v>--</v>
          </cell>
          <cell r="J1896">
            <v>15.5</v>
          </cell>
          <cell r="K1896">
            <v>15.5</v>
          </cell>
        </row>
        <row r="1897">
          <cell r="A1897" t="str">
            <v>M2</v>
          </cell>
          <cell r="B1897" t="str">
            <v>A5C</v>
          </cell>
          <cell r="C1897" t="str">
            <v>P</v>
          </cell>
          <cell r="D1897" t="str">
            <v>23013</v>
          </cell>
          <cell r="E1897" t="str">
            <v>PIPE</v>
          </cell>
          <cell r="F1897">
            <v>1</v>
          </cell>
          <cell r="G1897" t="str">
            <v>CB100508000100</v>
          </cell>
          <cell r="H1897">
            <v>1</v>
          </cell>
          <cell r="I1897" t="str">
            <v>--</v>
          </cell>
          <cell r="J1897">
            <v>16.8</v>
          </cell>
          <cell r="K1897">
            <v>16.8</v>
          </cell>
        </row>
        <row r="1898">
          <cell r="A1898" t="str">
            <v>M2</v>
          </cell>
          <cell r="B1898" t="str">
            <v>A5C</v>
          </cell>
          <cell r="C1898" t="str">
            <v>P</v>
          </cell>
          <cell r="D1898" t="str">
            <v>23104</v>
          </cell>
          <cell r="E1898" t="str">
            <v>PIPE</v>
          </cell>
          <cell r="F1898">
            <v>1</v>
          </cell>
          <cell r="G1898" t="str">
            <v>CB100508000100</v>
          </cell>
          <cell r="H1898">
            <v>1</v>
          </cell>
          <cell r="I1898" t="str">
            <v>--</v>
          </cell>
          <cell r="J1898">
            <v>21</v>
          </cell>
          <cell r="K1898">
            <v>21</v>
          </cell>
        </row>
        <row r="1899">
          <cell r="A1899" t="str">
            <v>M2</v>
          </cell>
          <cell r="B1899" t="str">
            <v>A5C</v>
          </cell>
          <cell r="C1899" t="str">
            <v>P</v>
          </cell>
          <cell r="D1899" t="str">
            <v>23112</v>
          </cell>
          <cell r="E1899" t="str">
            <v>PIPE</v>
          </cell>
          <cell r="F1899">
            <v>1</v>
          </cell>
          <cell r="G1899" t="str">
            <v>CB100508000100</v>
          </cell>
          <cell r="H1899">
            <v>1</v>
          </cell>
          <cell r="I1899" t="str">
            <v>--</v>
          </cell>
          <cell r="J1899">
            <v>21</v>
          </cell>
          <cell r="K1899">
            <v>21</v>
          </cell>
        </row>
        <row r="1900">
          <cell r="A1900" t="str">
            <v>M2</v>
          </cell>
          <cell r="B1900" t="str">
            <v>A5C</v>
          </cell>
          <cell r="C1900" t="str">
            <v>P</v>
          </cell>
          <cell r="D1900" t="str">
            <v>23108</v>
          </cell>
          <cell r="E1900" t="str">
            <v>PIPE</v>
          </cell>
          <cell r="F1900">
            <v>1</v>
          </cell>
          <cell r="G1900" t="str">
            <v>CB100508000100</v>
          </cell>
          <cell r="H1900">
            <v>1</v>
          </cell>
          <cell r="I1900" t="str">
            <v>--</v>
          </cell>
          <cell r="J1900">
            <v>21</v>
          </cell>
          <cell r="K1900">
            <v>21</v>
          </cell>
        </row>
        <row r="1901">
          <cell r="A1901" t="str">
            <v>M2</v>
          </cell>
          <cell r="B1901" t="str">
            <v>A5C</v>
          </cell>
          <cell r="C1901" t="str">
            <v>P</v>
          </cell>
          <cell r="D1901" t="str">
            <v>23148</v>
          </cell>
          <cell r="E1901" t="str">
            <v>PIPE</v>
          </cell>
          <cell r="F1901">
            <v>1</v>
          </cell>
          <cell r="G1901" t="str">
            <v>CB100508000100</v>
          </cell>
          <cell r="H1901">
            <v>1</v>
          </cell>
          <cell r="I1901" t="str">
            <v>--</v>
          </cell>
          <cell r="J1901">
            <v>22.9</v>
          </cell>
          <cell r="K1901">
            <v>22.9</v>
          </cell>
        </row>
        <row r="1902">
          <cell r="A1902" t="str">
            <v>M2</v>
          </cell>
          <cell r="B1902" t="str">
            <v>A5C</v>
          </cell>
          <cell r="C1902" t="str">
            <v>P</v>
          </cell>
          <cell r="D1902" t="str">
            <v>24032</v>
          </cell>
          <cell r="E1902" t="str">
            <v>PIPE</v>
          </cell>
          <cell r="F1902">
            <v>1</v>
          </cell>
          <cell r="G1902" t="str">
            <v>CB100508000100</v>
          </cell>
          <cell r="H1902">
            <v>1</v>
          </cell>
          <cell r="I1902" t="str">
            <v>--</v>
          </cell>
          <cell r="J1902">
            <v>24</v>
          </cell>
          <cell r="K1902">
            <v>24</v>
          </cell>
        </row>
        <row r="1903">
          <cell r="A1903" t="str">
            <v>M2</v>
          </cell>
          <cell r="B1903" t="str">
            <v>A5C</v>
          </cell>
          <cell r="C1903" t="str">
            <v>P</v>
          </cell>
          <cell r="D1903" t="str">
            <v>23074</v>
          </cell>
          <cell r="E1903" t="str">
            <v>PIPE</v>
          </cell>
          <cell r="F1903">
            <v>1</v>
          </cell>
          <cell r="G1903" t="str">
            <v>CB100508000100</v>
          </cell>
          <cell r="H1903">
            <v>1</v>
          </cell>
          <cell r="I1903" t="str">
            <v>--</v>
          </cell>
          <cell r="J1903">
            <v>27</v>
          </cell>
          <cell r="K1903">
            <v>27</v>
          </cell>
        </row>
        <row r="1904">
          <cell r="A1904" t="str">
            <v>M2</v>
          </cell>
          <cell r="B1904" t="str">
            <v>A5C</v>
          </cell>
          <cell r="C1904" t="str">
            <v>P</v>
          </cell>
          <cell r="D1904" t="str">
            <v>24004</v>
          </cell>
          <cell r="E1904" t="str">
            <v>PIPE</v>
          </cell>
          <cell r="F1904">
            <v>1</v>
          </cell>
          <cell r="G1904" t="str">
            <v>CB100508000100</v>
          </cell>
          <cell r="H1904">
            <v>1</v>
          </cell>
          <cell r="I1904" t="str">
            <v>--</v>
          </cell>
          <cell r="J1904">
            <v>27.4</v>
          </cell>
          <cell r="K1904">
            <v>27.4</v>
          </cell>
        </row>
        <row r="1905">
          <cell r="A1905" t="str">
            <v>M2</v>
          </cell>
          <cell r="B1905" t="str">
            <v>A5C</v>
          </cell>
          <cell r="C1905" t="str">
            <v>P</v>
          </cell>
          <cell r="D1905" t="str">
            <v>24008</v>
          </cell>
          <cell r="E1905" t="str">
            <v>PIPE</v>
          </cell>
          <cell r="F1905">
            <v>1</v>
          </cell>
          <cell r="G1905" t="str">
            <v>CB100508000100</v>
          </cell>
          <cell r="H1905">
            <v>1</v>
          </cell>
          <cell r="I1905" t="str">
            <v>--</v>
          </cell>
          <cell r="J1905">
            <v>28.5</v>
          </cell>
          <cell r="K1905">
            <v>28.5</v>
          </cell>
        </row>
        <row r="1906">
          <cell r="A1906" t="str">
            <v>M2</v>
          </cell>
          <cell r="B1906" t="str">
            <v>A5C</v>
          </cell>
          <cell r="C1906" t="str">
            <v>P</v>
          </cell>
          <cell r="D1906" t="str">
            <v>23030</v>
          </cell>
          <cell r="E1906" t="str">
            <v>PIPE</v>
          </cell>
          <cell r="F1906">
            <v>1</v>
          </cell>
          <cell r="G1906" t="str">
            <v>CB100508001H00</v>
          </cell>
          <cell r="H1906">
            <v>1.5</v>
          </cell>
          <cell r="I1906" t="str">
            <v>--</v>
          </cell>
          <cell r="J1906">
            <v>0.6</v>
          </cell>
          <cell r="K1906">
            <v>0.6</v>
          </cell>
        </row>
        <row r="1907">
          <cell r="A1907" t="str">
            <v>M2</v>
          </cell>
          <cell r="B1907" t="str">
            <v>A5C</v>
          </cell>
          <cell r="C1907" t="str">
            <v>P</v>
          </cell>
          <cell r="D1907" t="str">
            <v>23020</v>
          </cell>
          <cell r="E1907" t="str">
            <v>PIPE</v>
          </cell>
          <cell r="F1907">
            <v>1</v>
          </cell>
          <cell r="G1907" t="str">
            <v>CB100508001H00</v>
          </cell>
          <cell r="H1907">
            <v>1.5</v>
          </cell>
          <cell r="I1907" t="str">
            <v>--</v>
          </cell>
          <cell r="J1907">
            <v>1</v>
          </cell>
          <cell r="K1907">
            <v>1</v>
          </cell>
        </row>
        <row r="1908">
          <cell r="A1908" t="str">
            <v>M2</v>
          </cell>
          <cell r="B1908" t="str">
            <v>A5C</v>
          </cell>
          <cell r="C1908" t="str">
            <v>P</v>
          </cell>
          <cell r="D1908" t="str">
            <v>23054</v>
          </cell>
          <cell r="E1908" t="str">
            <v>PIPE</v>
          </cell>
          <cell r="F1908">
            <v>1</v>
          </cell>
          <cell r="G1908" t="str">
            <v>CB100508001H00</v>
          </cell>
          <cell r="H1908">
            <v>1.5</v>
          </cell>
          <cell r="I1908" t="str">
            <v>--</v>
          </cell>
          <cell r="J1908">
            <v>1</v>
          </cell>
          <cell r="K1908">
            <v>1</v>
          </cell>
        </row>
        <row r="1909">
          <cell r="A1909" t="str">
            <v>M2</v>
          </cell>
          <cell r="B1909" t="str">
            <v>A5C</v>
          </cell>
          <cell r="C1909" t="str">
            <v>TRIM</v>
          </cell>
          <cell r="D1909" t="str">
            <v>V-2301</v>
          </cell>
          <cell r="E1909" t="str">
            <v>PIPE</v>
          </cell>
          <cell r="F1909">
            <v>1</v>
          </cell>
          <cell r="G1909" t="str">
            <v>CB100508001H00</v>
          </cell>
          <cell r="H1909">
            <v>1.5</v>
          </cell>
          <cell r="I1909" t="str">
            <v>--</v>
          </cell>
          <cell r="J1909">
            <v>1.5</v>
          </cell>
          <cell r="K1909">
            <v>1.5</v>
          </cell>
        </row>
        <row r="1910">
          <cell r="A1910" t="str">
            <v>M2</v>
          </cell>
          <cell r="B1910" t="str">
            <v>A5C</v>
          </cell>
          <cell r="C1910" t="str">
            <v>TRIM</v>
          </cell>
          <cell r="D1910" t="str">
            <v>C-2303</v>
          </cell>
          <cell r="E1910" t="str">
            <v>PIPE</v>
          </cell>
          <cell r="F1910">
            <v>1</v>
          </cell>
          <cell r="G1910" t="str">
            <v>CB100508001H00</v>
          </cell>
          <cell r="H1910">
            <v>1.5</v>
          </cell>
          <cell r="I1910" t="str">
            <v>--</v>
          </cell>
          <cell r="J1910">
            <v>1.5</v>
          </cell>
          <cell r="K1910">
            <v>1.5</v>
          </cell>
        </row>
        <row r="1911">
          <cell r="A1911" t="str">
            <v>M2</v>
          </cell>
          <cell r="B1911" t="str">
            <v>A5C</v>
          </cell>
          <cell r="C1911" t="str">
            <v>TRIM</v>
          </cell>
          <cell r="D1911" t="str">
            <v>C-2304</v>
          </cell>
          <cell r="E1911" t="str">
            <v>PIPE</v>
          </cell>
          <cell r="F1911">
            <v>1</v>
          </cell>
          <cell r="G1911" t="str">
            <v>CB100508001H00</v>
          </cell>
          <cell r="H1911">
            <v>1.5</v>
          </cell>
          <cell r="I1911" t="str">
            <v>--</v>
          </cell>
          <cell r="J1911">
            <v>1.5</v>
          </cell>
          <cell r="K1911">
            <v>1.5</v>
          </cell>
        </row>
        <row r="1912">
          <cell r="A1912" t="str">
            <v>M2</v>
          </cell>
          <cell r="B1912" t="str">
            <v>A5C</v>
          </cell>
          <cell r="C1912" t="str">
            <v>TRIM</v>
          </cell>
          <cell r="D1912" t="str">
            <v>V-2302</v>
          </cell>
          <cell r="E1912" t="str">
            <v>PIPE</v>
          </cell>
          <cell r="F1912">
            <v>1</v>
          </cell>
          <cell r="G1912" t="str">
            <v>CB100508001H00</v>
          </cell>
          <cell r="H1912">
            <v>1.5</v>
          </cell>
          <cell r="I1912" t="str">
            <v>--</v>
          </cell>
          <cell r="J1912">
            <v>1.5</v>
          </cell>
          <cell r="K1912">
            <v>1.5</v>
          </cell>
        </row>
        <row r="1913">
          <cell r="A1913" t="str">
            <v>M2</v>
          </cell>
          <cell r="B1913" t="str">
            <v>A5C</v>
          </cell>
          <cell r="C1913" t="str">
            <v>TRIM</v>
          </cell>
          <cell r="D1913" t="str">
            <v>C-2306</v>
          </cell>
          <cell r="E1913" t="str">
            <v>PIPE</v>
          </cell>
          <cell r="F1913">
            <v>1</v>
          </cell>
          <cell r="G1913" t="str">
            <v>CB100508001H00</v>
          </cell>
          <cell r="H1913">
            <v>1.5</v>
          </cell>
          <cell r="I1913" t="str">
            <v>--</v>
          </cell>
          <cell r="J1913">
            <v>1.5</v>
          </cell>
          <cell r="K1913">
            <v>1.5</v>
          </cell>
        </row>
        <row r="1914">
          <cell r="A1914" t="str">
            <v>M2</v>
          </cell>
          <cell r="B1914" t="str">
            <v>A5C</v>
          </cell>
          <cell r="C1914" t="str">
            <v>TRIM</v>
          </cell>
          <cell r="D1914" t="str">
            <v>V-2304</v>
          </cell>
          <cell r="E1914" t="str">
            <v>PIPE</v>
          </cell>
          <cell r="F1914">
            <v>1</v>
          </cell>
          <cell r="G1914" t="str">
            <v>CB100508001H00</v>
          </cell>
          <cell r="H1914">
            <v>1.5</v>
          </cell>
          <cell r="I1914" t="str">
            <v>--</v>
          </cell>
          <cell r="J1914">
            <v>1.5</v>
          </cell>
          <cell r="K1914">
            <v>1.5</v>
          </cell>
        </row>
        <row r="1915">
          <cell r="A1915" t="str">
            <v>M2</v>
          </cell>
          <cell r="B1915" t="str">
            <v>A5C</v>
          </cell>
          <cell r="C1915" t="str">
            <v>TRIM</v>
          </cell>
          <cell r="D1915" t="str">
            <v>V-2308</v>
          </cell>
          <cell r="E1915" t="str">
            <v>PIPE</v>
          </cell>
          <cell r="F1915">
            <v>1</v>
          </cell>
          <cell r="G1915" t="str">
            <v>CB100508001H00</v>
          </cell>
          <cell r="H1915">
            <v>1.5</v>
          </cell>
          <cell r="I1915" t="str">
            <v>--</v>
          </cell>
          <cell r="J1915">
            <v>1.5</v>
          </cell>
          <cell r="K1915">
            <v>1.5</v>
          </cell>
        </row>
        <row r="1916">
          <cell r="A1916" t="str">
            <v>M2</v>
          </cell>
          <cell r="B1916" t="str">
            <v>A5C</v>
          </cell>
          <cell r="C1916" t="str">
            <v>TRIM</v>
          </cell>
          <cell r="D1916" t="str">
            <v>V-2313</v>
          </cell>
          <cell r="E1916" t="str">
            <v>PIPE</v>
          </cell>
          <cell r="F1916">
            <v>1</v>
          </cell>
          <cell r="G1916" t="str">
            <v>CB100508001H00</v>
          </cell>
          <cell r="H1916">
            <v>1.5</v>
          </cell>
          <cell r="I1916" t="str">
            <v>--</v>
          </cell>
          <cell r="J1916">
            <v>1.5</v>
          </cell>
          <cell r="K1916">
            <v>1.5</v>
          </cell>
        </row>
        <row r="1917">
          <cell r="A1917" t="str">
            <v>M2</v>
          </cell>
          <cell r="B1917" t="str">
            <v>A5C</v>
          </cell>
          <cell r="C1917" t="str">
            <v>TRIM</v>
          </cell>
          <cell r="D1917" t="str">
            <v>V-2310</v>
          </cell>
          <cell r="E1917" t="str">
            <v>PIPE</v>
          </cell>
          <cell r="F1917">
            <v>1</v>
          </cell>
          <cell r="G1917" t="str">
            <v>CB100508001H00</v>
          </cell>
          <cell r="H1917">
            <v>1.5</v>
          </cell>
          <cell r="I1917" t="str">
            <v>--</v>
          </cell>
          <cell r="J1917">
            <v>1.5</v>
          </cell>
          <cell r="K1917">
            <v>1.5</v>
          </cell>
        </row>
        <row r="1918">
          <cell r="A1918" t="str">
            <v>M2</v>
          </cell>
          <cell r="B1918" t="str">
            <v>A5C</v>
          </cell>
          <cell r="C1918" t="str">
            <v>TRIM</v>
          </cell>
          <cell r="D1918" t="str">
            <v>C-2305</v>
          </cell>
          <cell r="E1918" t="str">
            <v>PIPE</v>
          </cell>
          <cell r="F1918">
            <v>1</v>
          </cell>
          <cell r="G1918" t="str">
            <v>CB100508001H00</v>
          </cell>
          <cell r="H1918">
            <v>1.5</v>
          </cell>
          <cell r="I1918" t="str">
            <v>--</v>
          </cell>
          <cell r="J1918">
            <v>1.5</v>
          </cell>
          <cell r="K1918">
            <v>1.5</v>
          </cell>
        </row>
        <row r="1919">
          <cell r="A1919" t="str">
            <v>M2</v>
          </cell>
          <cell r="B1919" t="str">
            <v>A5C</v>
          </cell>
          <cell r="C1919" t="str">
            <v>TRIM</v>
          </cell>
          <cell r="D1919" t="str">
            <v>V-2306</v>
          </cell>
          <cell r="E1919" t="str">
            <v>PIPE</v>
          </cell>
          <cell r="F1919">
            <v>1</v>
          </cell>
          <cell r="G1919" t="str">
            <v>CB100508001H00</v>
          </cell>
          <cell r="H1919">
            <v>1.5</v>
          </cell>
          <cell r="I1919" t="str">
            <v>--</v>
          </cell>
          <cell r="J1919">
            <v>1.5</v>
          </cell>
          <cell r="K1919">
            <v>1.5</v>
          </cell>
        </row>
        <row r="1920">
          <cell r="A1920" t="str">
            <v>M2</v>
          </cell>
          <cell r="B1920" t="str">
            <v>A5C</v>
          </cell>
          <cell r="C1920" t="str">
            <v>TRIM</v>
          </cell>
          <cell r="D1920" t="str">
            <v>C-2301</v>
          </cell>
          <cell r="E1920" t="str">
            <v>PIPE</v>
          </cell>
          <cell r="F1920">
            <v>1</v>
          </cell>
          <cell r="G1920" t="str">
            <v>CB100508001H00</v>
          </cell>
          <cell r="H1920">
            <v>1.5</v>
          </cell>
          <cell r="I1920" t="str">
            <v>--</v>
          </cell>
          <cell r="J1920">
            <v>1.5</v>
          </cell>
          <cell r="K1920">
            <v>1.5</v>
          </cell>
        </row>
        <row r="1921">
          <cell r="A1921" t="str">
            <v>M2</v>
          </cell>
          <cell r="B1921" t="str">
            <v>A5C</v>
          </cell>
          <cell r="C1921" t="str">
            <v>P</v>
          </cell>
          <cell r="D1921" t="str">
            <v>23157</v>
          </cell>
          <cell r="E1921" t="str">
            <v>PIPE</v>
          </cell>
          <cell r="F1921">
            <v>1</v>
          </cell>
          <cell r="G1921" t="str">
            <v>CB100508001H00</v>
          </cell>
          <cell r="H1921">
            <v>1.5</v>
          </cell>
          <cell r="I1921" t="str">
            <v>--</v>
          </cell>
          <cell r="J1921">
            <v>2.5</v>
          </cell>
          <cell r="K1921">
            <v>2.5</v>
          </cell>
        </row>
        <row r="1922">
          <cell r="A1922" t="str">
            <v>M2</v>
          </cell>
          <cell r="B1922" t="str">
            <v>A5C</v>
          </cell>
          <cell r="C1922" t="str">
            <v>P</v>
          </cell>
          <cell r="D1922" t="str">
            <v>23038</v>
          </cell>
          <cell r="E1922" t="str">
            <v>PIPE</v>
          </cell>
          <cell r="F1922">
            <v>1</v>
          </cell>
          <cell r="G1922" t="str">
            <v>CB100508001H00</v>
          </cell>
          <cell r="H1922">
            <v>1.5</v>
          </cell>
          <cell r="I1922" t="str">
            <v>--</v>
          </cell>
          <cell r="J1922">
            <v>3.3</v>
          </cell>
          <cell r="K1922">
            <v>3.3</v>
          </cell>
        </row>
        <row r="1923">
          <cell r="A1923" t="str">
            <v>M2</v>
          </cell>
          <cell r="B1923" t="str">
            <v>A5C</v>
          </cell>
          <cell r="C1923" t="str">
            <v>P</v>
          </cell>
          <cell r="D1923" t="str">
            <v>23117</v>
          </cell>
          <cell r="E1923" t="str">
            <v>PIPE</v>
          </cell>
          <cell r="F1923">
            <v>1</v>
          </cell>
          <cell r="G1923" t="str">
            <v>CB100508001H00</v>
          </cell>
          <cell r="H1923">
            <v>1.5</v>
          </cell>
          <cell r="I1923" t="str">
            <v>--</v>
          </cell>
          <cell r="J1923">
            <v>3.3</v>
          </cell>
          <cell r="K1923">
            <v>3.3</v>
          </cell>
        </row>
        <row r="1924">
          <cell r="A1924" t="str">
            <v>M2</v>
          </cell>
          <cell r="B1924" t="str">
            <v>A5C</v>
          </cell>
          <cell r="C1924" t="str">
            <v>P</v>
          </cell>
          <cell r="D1924" t="str">
            <v>23185</v>
          </cell>
          <cell r="E1924" t="str">
            <v>PIPE</v>
          </cell>
          <cell r="F1924">
            <v>1</v>
          </cell>
          <cell r="G1924" t="str">
            <v>CB100508001H00</v>
          </cell>
          <cell r="H1924">
            <v>1.5</v>
          </cell>
          <cell r="I1924" t="str">
            <v>--</v>
          </cell>
          <cell r="J1924">
            <v>3.3</v>
          </cell>
          <cell r="K1924">
            <v>3.3</v>
          </cell>
        </row>
        <row r="1925">
          <cell r="A1925" t="str">
            <v>M2</v>
          </cell>
          <cell r="B1925" t="str">
            <v>A5C</v>
          </cell>
          <cell r="C1925" t="str">
            <v>P</v>
          </cell>
          <cell r="D1925" t="str">
            <v>23019</v>
          </cell>
          <cell r="E1925" t="str">
            <v>PIPE</v>
          </cell>
          <cell r="F1925">
            <v>1</v>
          </cell>
          <cell r="G1925" t="str">
            <v>CB100508001H00</v>
          </cell>
          <cell r="H1925">
            <v>1.5</v>
          </cell>
          <cell r="I1925" t="str">
            <v>--</v>
          </cell>
          <cell r="J1925">
            <v>3.5</v>
          </cell>
          <cell r="K1925">
            <v>3.5</v>
          </cell>
        </row>
        <row r="1926">
          <cell r="A1926" t="str">
            <v>M2</v>
          </cell>
          <cell r="B1926" t="str">
            <v>A5C</v>
          </cell>
          <cell r="C1926" t="str">
            <v>P</v>
          </cell>
          <cell r="D1926" t="str">
            <v>23164</v>
          </cell>
          <cell r="E1926" t="str">
            <v>PIPE</v>
          </cell>
          <cell r="F1926">
            <v>1</v>
          </cell>
          <cell r="G1926" t="str">
            <v>CB100508001H00</v>
          </cell>
          <cell r="H1926">
            <v>1.5</v>
          </cell>
          <cell r="I1926" t="str">
            <v>--</v>
          </cell>
          <cell r="J1926">
            <v>4</v>
          </cell>
          <cell r="K1926">
            <v>4</v>
          </cell>
        </row>
        <row r="1927">
          <cell r="A1927" t="str">
            <v>M2</v>
          </cell>
          <cell r="B1927" t="str">
            <v>A5C</v>
          </cell>
          <cell r="C1927" t="str">
            <v>P</v>
          </cell>
          <cell r="D1927" t="str">
            <v>23196</v>
          </cell>
          <cell r="E1927" t="str">
            <v>PIPE</v>
          </cell>
          <cell r="F1927">
            <v>1</v>
          </cell>
          <cell r="G1927" t="str">
            <v>CB100508001H00</v>
          </cell>
          <cell r="H1927">
            <v>1.5</v>
          </cell>
          <cell r="I1927" t="str">
            <v>--</v>
          </cell>
          <cell r="J1927">
            <v>4</v>
          </cell>
          <cell r="K1927">
            <v>4</v>
          </cell>
        </row>
        <row r="1928">
          <cell r="A1928" t="str">
            <v>M2</v>
          </cell>
          <cell r="B1928" t="str">
            <v>A5C</v>
          </cell>
          <cell r="C1928" t="str">
            <v>P</v>
          </cell>
          <cell r="D1928" t="str">
            <v>23076</v>
          </cell>
          <cell r="E1928" t="str">
            <v>PIPE</v>
          </cell>
          <cell r="F1928">
            <v>1</v>
          </cell>
          <cell r="G1928" t="str">
            <v>CB100508001H00</v>
          </cell>
          <cell r="H1928">
            <v>1.5</v>
          </cell>
          <cell r="I1928" t="str">
            <v>--</v>
          </cell>
          <cell r="J1928">
            <v>4</v>
          </cell>
          <cell r="K1928">
            <v>4</v>
          </cell>
        </row>
        <row r="1929">
          <cell r="A1929" t="str">
            <v>M2</v>
          </cell>
          <cell r="B1929" t="str">
            <v>A5C</v>
          </cell>
          <cell r="C1929" t="str">
            <v>P</v>
          </cell>
          <cell r="D1929" t="str">
            <v>23222</v>
          </cell>
          <cell r="E1929" t="str">
            <v>PIPE</v>
          </cell>
          <cell r="F1929">
            <v>1</v>
          </cell>
          <cell r="G1929" t="str">
            <v>CB100508001H00</v>
          </cell>
          <cell r="H1929">
            <v>1.5</v>
          </cell>
          <cell r="I1929" t="str">
            <v>--</v>
          </cell>
          <cell r="J1929">
            <v>4.5</v>
          </cell>
          <cell r="K1929">
            <v>4.5</v>
          </cell>
        </row>
        <row r="1930">
          <cell r="A1930" t="str">
            <v>M2</v>
          </cell>
          <cell r="B1930" t="str">
            <v>A5C</v>
          </cell>
          <cell r="C1930" t="str">
            <v>P</v>
          </cell>
          <cell r="D1930" t="str">
            <v>23242</v>
          </cell>
          <cell r="E1930" t="str">
            <v>PIPE</v>
          </cell>
          <cell r="F1930">
            <v>1</v>
          </cell>
          <cell r="G1930" t="str">
            <v>CB100508001H00</v>
          </cell>
          <cell r="H1930">
            <v>1.5</v>
          </cell>
          <cell r="I1930" t="str">
            <v>--</v>
          </cell>
          <cell r="J1930">
            <v>4.5</v>
          </cell>
          <cell r="K1930">
            <v>4.5</v>
          </cell>
        </row>
        <row r="1931">
          <cell r="A1931" t="str">
            <v>M2</v>
          </cell>
          <cell r="B1931" t="str">
            <v>A5C</v>
          </cell>
          <cell r="C1931" t="str">
            <v>P</v>
          </cell>
          <cell r="D1931" t="str">
            <v>99003</v>
          </cell>
          <cell r="E1931" t="str">
            <v>PIPE</v>
          </cell>
          <cell r="F1931">
            <v>1</v>
          </cell>
          <cell r="G1931" t="str">
            <v>CB100508001H00</v>
          </cell>
          <cell r="H1931">
            <v>1.5</v>
          </cell>
          <cell r="I1931" t="str">
            <v>--</v>
          </cell>
          <cell r="J1931">
            <v>4.5999999999999996</v>
          </cell>
          <cell r="K1931">
            <v>4.5999999999999996</v>
          </cell>
        </row>
        <row r="1932">
          <cell r="A1932" t="str">
            <v>M2</v>
          </cell>
          <cell r="B1932" t="str">
            <v>A5C</v>
          </cell>
          <cell r="C1932" t="str">
            <v>P</v>
          </cell>
          <cell r="D1932" t="str">
            <v>23039</v>
          </cell>
          <cell r="E1932" t="str">
            <v>PIPE</v>
          </cell>
          <cell r="F1932">
            <v>1</v>
          </cell>
          <cell r="G1932" t="str">
            <v>CB100508001H00</v>
          </cell>
          <cell r="H1932">
            <v>1.5</v>
          </cell>
          <cell r="I1932" t="str">
            <v>--</v>
          </cell>
          <cell r="J1932">
            <v>4.9000000000000004</v>
          </cell>
          <cell r="K1932">
            <v>4.9000000000000004</v>
          </cell>
        </row>
        <row r="1933">
          <cell r="A1933" t="str">
            <v>M2</v>
          </cell>
          <cell r="B1933" t="str">
            <v>A5C</v>
          </cell>
          <cell r="C1933" t="str">
            <v>P</v>
          </cell>
          <cell r="D1933" t="str">
            <v>24014</v>
          </cell>
          <cell r="E1933" t="str">
            <v>PIPE</v>
          </cell>
          <cell r="F1933">
            <v>1</v>
          </cell>
          <cell r="G1933" t="str">
            <v>CB100508001H00</v>
          </cell>
          <cell r="H1933">
            <v>1.5</v>
          </cell>
          <cell r="I1933" t="str">
            <v>--</v>
          </cell>
          <cell r="J1933">
            <v>5</v>
          </cell>
          <cell r="K1933">
            <v>5</v>
          </cell>
        </row>
        <row r="1934">
          <cell r="A1934" t="str">
            <v>M2</v>
          </cell>
          <cell r="B1934" t="str">
            <v>A5C</v>
          </cell>
          <cell r="C1934" t="str">
            <v>P</v>
          </cell>
          <cell r="D1934" t="str">
            <v>23035</v>
          </cell>
          <cell r="E1934" t="str">
            <v>PIPE</v>
          </cell>
          <cell r="F1934">
            <v>1</v>
          </cell>
          <cell r="G1934" t="str">
            <v>CB100508001H00</v>
          </cell>
          <cell r="H1934">
            <v>1.5</v>
          </cell>
          <cell r="I1934" t="str">
            <v>--</v>
          </cell>
          <cell r="J1934">
            <v>5.2</v>
          </cell>
          <cell r="K1934">
            <v>5.2</v>
          </cell>
        </row>
        <row r="1935">
          <cell r="A1935" t="str">
            <v>M2</v>
          </cell>
          <cell r="B1935" t="str">
            <v>A5C</v>
          </cell>
          <cell r="C1935" t="str">
            <v>P</v>
          </cell>
          <cell r="D1935" t="str">
            <v>23052</v>
          </cell>
          <cell r="E1935" t="str">
            <v>PIPE</v>
          </cell>
          <cell r="F1935">
            <v>1</v>
          </cell>
          <cell r="G1935" t="str">
            <v>CB100508001H00</v>
          </cell>
          <cell r="H1935">
            <v>1.5</v>
          </cell>
          <cell r="I1935" t="str">
            <v>--</v>
          </cell>
          <cell r="J1935">
            <v>5.3</v>
          </cell>
          <cell r="K1935">
            <v>5.3</v>
          </cell>
        </row>
        <row r="1936">
          <cell r="A1936" t="str">
            <v>M2</v>
          </cell>
          <cell r="B1936" t="str">
            <v>A5C</v>
          </cell>
          <cell r="C1936" t="str">
            <v>P</v>
          </cell>
          <cell r="D1936" t="str">
            <v>23078</v>
          </cell>
          <cell r="E1936" t="str">
            <v>PIPE</v>
          </cell>
          <cell r="F1936">
            <v>1</v>
          </cell>
          <cell r="G1936" t="str">
            <v>CB100508001H00</v>
          </cell>
          <cell r="H1936">
            <v>1.5</v>
          </cell>
          <cell r="I1936" t="str">
            <v>--</v>
          </cell>
          <cell r="J1936">
            <v>5.3</v>
          </cell>
          <cell r="K1936">
            <v>5.3</v>
          </cell>
        </row>
        <row r="1937">
          <cell r="A1937" t="str">
            <v>M2</v>
          </cell>
          <cell r="B1937" t="str">
            <v>A5C</v>
          </cell>
          <cell r="C1937" t="str">
            <v>P</v>
          </cell>
          <cell r="D1937" t="str">
            <v>23037</v>
          </cell>
          <cell r="E1937" t="str">
            <v>PIPE</v>
          </cell>
          <cell r="F1937">
            <v>1</v>
          </cell>
          <cell r="G1937" t="str">
            <v>CB100508001H00</v>
          </cell>
          <cell r="H1937">
            <v>1.5</v>
          </cell>
          <cell r="I1937" t="str">
            <v>--</v>
          </cell>
          <cell r="J1937">
            <v>5.3</v>
          </cell>
          <cell r="K1937">
            <v>5.3</v>
          </cell>
        </row>
        <row r="1938">
          <cell r="A1938" t="str">
            <v>M2</v>
          </cell>
          <cell r="B1938" t="str">
            <v>A5C</v>
          </cell>
          <cell r="C1938" t="str">
            <v>P</v>
          </cell>
          <cell r="D1938" t="str">
            <v>23063</v>
          </cell>
          <cell r="E1938" t="str">
            <v>PIPE</v>
          </cell>
          <cell r="F1938">
            <v>1</v>
          </cell>
          <cell r="G1938" t="str">
            <v>CB100508001H00</v>
          </cell>
          <cell r="H1938">
            <v>1.5</v>
          </cell>
          <cell r="I1938" t="str">
            <v>--</v>
          </cell>
          <cell r="J1938">
            <v>5.3</v>
          </cell>
          <cell r="K1938">
            <v>5.3</v>
          </cell>
        </row>
        <row r="1939">
          <cell r="A1939" t="str">
            <v>M2</v>
          </cell>
          <cell r="B1939" t="str">
            <v>A5C</v>
          </cell>
          <cell r="C1939" t="str">
            <v>P</v>
          </cell>
          <cell r="D1939" t="str">
            <v>23027</v>
          </cell>
          <cell r="E1939" t="str">
            <v>PIPE</v>
          </cell>
          <cell r="F1939">
            <v>1</v>
          </cell>
          <cell r="G1939" t="str">
            <v>CB100508001H00</v>
          </cell>
          <cell r="H1939">
            <v>1.5</v>
          </cell>
          <cell r="I1939" t="str">
            <v>--</v>
          </cell>
          <cell r="J1939">
            <v>5.3</v>
          </cell>
          <cell r="K1939">
            <v>5.3</v>
          </cell>
        </row>
        <row r="1940">
          <cell r="A1940" t="str">
            <v>M2</v>
          </cell>
          <cell r="B1940" t="str">
            <v>A5C</v>
          </cell>
          <cell r="C1940" t="str">
            <v>P</v>
          </cell>
          <cell r="D1940" t="str">
            <v>23259</v>
          </cell>
          <cell r="E1940" t="str">
            <v>PIPE</v>
          </cell>
          <cell r="F1940">
            <v>1</v>
          </cell>
          <cell r="G1940" t="str">
            <v>CB100508001H00</v>
          </cell>
          <cell r="H1940">
            <v>1.5</v>
          </cell>
          <cell r="I1940" t="str">
            <v>--</v>
          </cell>
          <cell r="J1940">
            <v>5.5</v>
          </cell>
          <cell r="K1940">
            <v>5.5</v>
          </cell>
        </row>
        <row r="1941">
          <cell r="A1941" t="str">
            <v>M2</v>
          </cell>
          <cell r="B1941" t="str">
            <v>A5C</v>
          </cell>
          <cell r="C1941" t="str">
            <v>P</v>
          </cell>
          <cell r="D1941" t="str">
            <v>23007</v>
          </cell>
          <cell r="E1941" t="str">
            <v>PIPE</v>
          </cell>
          <cell r="F1941">
            <v>1</v>
          </cell>
          <cell r="G1941" t="str">
            <v>CB100508001H00</v>
          </cell>
          <cell r="H1941">
            <v>1.5</v>
          </cell>
          <cell r="I1941" t="str">
            <v>--</v>
          </cell>
          <cell r="J1941">
            <v>5.8</v>
          </cell>
          <cell r="K1941">
            <v>5.8</v>
          </cell>
        </row>
        <row r="1942">
          <cell r="A1942" t="str">
            <v>M2</v>
          </cell>
          <cell r="B1942" t="str">
            <v>A5C</v>
          </cell>
          <cell r="C1942" t="str">
            <v>P</v>
          </cell>
          <cell r="D1942" t="str">
            <v>23253</v>
          </cell>
          <cell r="E1942" t="str">
            <v>PIPE</v>
          </cell>
          <cell r="F1942">
            <v>1</v>
          </cell>
          <cell r="G1942" t="str">
            <v>CB100508001H00</v>
          </cell>
          <cell r="H1942">
            <v>1.5</v>
          </cell>
          <cell r="I1942" t="str">
            <v>--</v>
          </cell>
          <cell r="J1942">
            <v>6</v>
          </cell>
          <cell r="K1942">
            <v>6</v>
          </cell>
        </row>
        <row r="1943">
          <cell r="A1943" t="str">
            <v>M2</v>
          </cell>
          <cell r="B1943" t="str">
            <v>A5C</v>
          </cell>
          <cell r="C1943" t="str">
            <v>P</v>
          </cell>
          <cell r="D1943" t="str">
            <v>23231</v>
          </cell>
          <cell r="E1943" t="str">
            <v>PIPE</v>
          </cell>
          <cell r="F1943">
            <v>1</v>
          </cell>
          <cell r="G1943" t="str">
            <v>CB100508001H00</v>
          </cell>
          <cell r="H1943">
            <v>1.5</v>
          </cell>
          <cell r="I1943" t="str">
            <v>--</v>
          </cell>
          <cell r="J1943">
            <v>6</v>
          </cell>
          <cell r="K1943">
            <v>6</v>
          </cell>
        </row>
        <row r="1944">
          <cell r="A1944" t="str">
            <v>M2</v>
          </cell>
          <cell r="B1944" t="str">
            <v>A5C</v>
          </cell>
          <cell r="C1944" t="str">
            <v>P</v>
          </cell>
          <cell r="D1944" t="str">
            <v>23216</v>
          </cell>
          <cell r="E1944" t="str">
            <v>PIPE</v>
          </cell>
          <cell r="F1944">
            <v>1</v>
          </cell>
          <cell r="G1944" t="str">
            <v>CB100508001H00</v>
          </cell>
          <cell r="H1944">
            <v>1.5</v>
          </cell>
          <cell r="I1944" t="str">
            <v>--</v>
          </cell>
          <cell r="J1944">
            <v>6</v>
          </cell>
          <cell r="K1944">
            <v>6</v>
          </cell>
        </row>
        <row r="1945">
          <cell r="A1945" t="str">
            <v>M2</v>
          </cell>
          <cell r="B1945" t="str">
            <v>A5C</v>
          </cell>
          <cell r="C1945" t="str">
            <v>P</v>
          </cell>
          <cell r="D1945" t="str">
            <v>23220</v>
          </cell>
          <cell r="E1945" t="str">
            <v>PIPE</v>
          </cell>
          <cell r="F1945">
            <v>1</v>
          </cell>
          <cell r="G1945" t="str">
            <v>CB100508001H00</v>
          </cell>
          <cell r="H1945">
            <v>1.5</v>
          </cell>
          <cell r="I1945" t="str">
            <v>--</v>
          </cell>
          <cell r="J1945">
            <v>6.5</v>
          </cell>
          <cell r="K1945">
            <v>6.5</v>
          </cell>
        </row>
        <row r="1946">
          <cell r="A1946" t="str">
            <v>M2</v>
          </cell>
          <cell r="B1946" t="str">
            <v>A5C</v>
          </cell>
          <cell r="C1946" t="str">
            <v>P</v>
          </cell>
          <cell r="D1946" t="str">
            <v>23243</v>
          </cell>
          <cell r="E1946" t="str">
            <v>PIPE</v>
          </cell>
          <cell r="F1946">
            <v>1</v>
          </cell>
          <cell r="G1946" t="str">
            <v>CB100508001H00</v>
          </cell>
          <cell r="H1946">
            <v>1.5</v>
          </cell>
          <cell r="I1946" t="str">
            <v>--</v>
          </cell>
          <cell r="J1946">
            <v>6.5</v>
          </cell>
          <cell r="K1946">
            <v>6.5</v>
          </cell>
        </row>
        <row r="1947">
          <cell r="A1947" t="str">
            <v>M2</v>
          </cell>
          <cell r="B1947" t="str">
            <v>A5C</v>
          </cell>
          <cell r="C1947" t="str">
            <v>P</v>
          </cell>
          <cell r="D1947" t="str">
            <v>23033</v>
          </cell>
          <cell r="E1947" t="str">
            <v>PIPE</v>
          </cell>
          <cell r="F1947">
            <v>1</v>
          </cell>
          <cell r="G1947" t="str">
            <v>CB100508001H00</v>
          </cell>
          <cell r="H1947">
            <v>1.5</v>
          </cell>
          <cell r="I1947" t="str">
            <v>--</v>
          </cell>
          <cell r="J1947">
            <v>7.1</v>
          </cell>
          <cell r="K1947">
            <v>7.1</v>
          </cell>
        </row>
        <row r="1948">
          <cell r="A1948" t="str">
            <v>M2</v>
          </cell>
          <cell r="B1948" t="str">
            <v>A5C</v>
          </cell>
          <cell r="C1948" t="str">
            <v>P</v>
          </cell>
          <cell r="D1948" t="str">
            <v>24012</v>
          </cell>
          <cell r="E1948" t="str">
            <v>PIPE</v>
          </cell>
          <cell r="F1948">
            <v>1</v>
          </cell>
          <cell r="G1948" t="str">
            <v>CB100508001H00</v>
          </cell>
          <cell r="H1948">
            <v>1.5</v>
          </cell>
          <cell r="I1948" t="str">
            <v>--</v>
          </cell>
          <cell r="J1948">
            <v>7.5</v>
          </cell>
          <cell r="K1948">
            <v>7.5</v>
          </cell>
        </row>
        <row r="1949">
          <cell r="A1949" t="str">
            <v>M2</v>
          </cell>
          <cell r="B1949" t="str">
            <v>A5C</v>
          </cell>
          <cell r="C1949" t="str">
            <v>P</v>
          </cell>
          <cell r="D1949" t="str">
            <v>23147</v>
          </cell>
          <cell r="E1949" t="str">
            <v>PIPE</v>
          </cell>
          <cell r="F1949">
            <v>1</v>
          </cell>
          <cell r="G1949" t="str">
            <v>CB100508001H00</v>
          </cell>
          <cell r="H1949">
            <v>1.5</v>
          </cell>
          <cell r="I1949" t="str">
            <v>--</v>
          </cell>
          <cell r="J1949">
            <v>7.8</v>
          </cell>
          <cell r="K1949">
            <v>7.8</v>
          </cell>
        </row>
        <row r="1950">
          <cell r="A1950" t="str">
            <v>M2</v>
          </cell>
          <cell r="B1950" t="str">
            <v>A5C</v>
          </cell>
          <cell r="C1950" t="str">
            <v>P</v>
          </cell>
          <cell r="D1950" t="str">
            <v>23116</v>
          </cell>
          <cell r="E1950" t="str">
            <v>PIPE</v>
          </cell>
          <cell r="F1950">
            <v>1</v>
          </cell>
          <cell r="G1950" t="str">
            <v>CB100508001H00</v>
          </cell>
          <cell r="H1950">
            <v>1.5</v>
          </cell>
          <cell r="I1950" t="str">
            <v>--</v>
          </cell>
          <cell r="J1950">
            <v>8</v>
          </cell>
          <cell r="K1950">
            <v>8</v>
          </cell>
        </row>
        <row r="1951">
          <cell r="A1951" t="str">
            <v>M2</v>
          </cell>
          <cell r="B1951" t="str">
            <v>A5C</v>
          </cell>
          <cell r="C1951" t="str">
            <v>P</v>
          </cell>
          <cell r="D1951" t="str">
            <v>23215</v>
          </cell>
          <cell r="E1951" t="str">
            <v>PIPE</v>
          </cell>
          <cell r="F1951">
            <v>1</v>
          </cell>
          <cell r="G1951" t="str">
            <v>CB100508001H00</v>
          </cell>
          <cell r="H1951">
            <v>1.5</v>
          </cell>
          <cell r="I1951" t="str">
            <v>--</v>
          </cell>
          <cell r="J1951">
            <v>9.3000000000000007</v>
          </cell>
          <cell r="K1951">
            <v>9.3000000000000007</v>
          </cell>
        </row>
        <row r="1952">
          <cell r="A1952" t="str">
            <v>M2</v>
          </cell>
          <cell r="B1952" t="str">
            <v>A5C</v>
          </cell>
          <cell r="C1952" t="str">
            <v>P</v>
          </cell>
          <cell r="D1952" t="str">
            <v>23019</v>
          </cell>
          <cell r="E1952" t="str">
            <v>PIPE</v>
          </cell>
          <cell r="F1952">
            <v>1</v>
          </cell>
          <cell r="G1952" t="str">
            <v>CB100508001H00</v>
          </cell>
          <cell r="H1952">
            <v>1.5</v>
          </cell>
          <cell r="I1952" t="str">
            <v>--</v>
          </cell>
          <cell r="J1952">
            <v>12.3</v>
          </cell>
          <cell r="K1952">
            <v>12.3</v>
          </cell>
        </row>
        <row r="1953">
          <cell r="A1953" t="str">
            <v>M2</v>
          </cell>
          <cell r="B1953" t="str">
            <v>A5C</v>
          </cell>
          <cell r="C1953" t="str">
            <v>P</v>
          </cell>
          <cell r="D1953" t="str">
            <v>23070</v>
          </cell>
          <cell r="E1953" t="str">
            <v>PIPE</v>
          </cell>
          <cell r="F1953">
            <v>1</v>
          </cell>
          <cell r="G1953" t="str">
            <v>CB100508001H00</v>
          </cell>
          <cell r="H1953">
            <v>1.5</v>
          </cell>
          <cell r="I1953" t="str">
            <v>--</v>
          </cell>
          <cell r="J1953">
            <v>12.4</v>
          </cell>
          <cell r="K1953">
            <v>12.4</v>
          </cell>
        </row>
        <row r="1954">
          <cell r="A1954" t="str">
            <v>M2</v>
          </cell>
          <cell r="B1954" t="str">
            <v>A5C</v>
          </cell>
          <cell r="C1954" t="str">
            <v>P</v>
          </cell>
          <cell r="D1954" t="str">
            <v>23055</v>
          </cell>
          <cell r="E1954" t="str">
            <v>PIPE</v>
          </cell>
          <cell r="F1954">
            <v>1</v>
          </cell>
          <cell r="G1954" t="str">
            <v>CB100508001H00</v>
          </cell>
          <cell r="H1954">
            <v>1.5</v>
          </cell>
          <cell r="I1954" t="str">
            <v>--</v>
          </cell>
          <cell r="J1954">
            <v>12.4</v>
          </cell>
          <cell r="K1954">
            <v>12.4</v>
          </cell>
        </row>
        <row r="1955">
          <cell r="A1955" t="str">
            <v>M2</v>
          </cell>
          <cell r="B1955" t="str">
            <v>A5C</v>
          </cell>
          <cell r="C1955" t="str">
            <v>P</v>
          </cell>
          <cell r="D1955" t="str">
            <v>23044</v>
          </cell>
          <cell r="E1955" t="str">
            <v>PIPE</v>
          </cell>
          <cell r="F1955">
            <v>1</v>
          </cell>
          <cell r="G1955" t="str">
            <v>CB100508001H00</v>
          </cell>
          <cell r="H1955">
            <v>1.5</v>
          </cell>
          <cell r="I1955" t="str">
            <v>--</v>
          </cell>
          <cell r="J1955">
            <v>12.4</v>
          </cell>
          <cell r="K1955">
            <v>12.4</v>
          </cell>
        </row>
        <row r="1956">
          <cell r="A1956" t="str">
            <v>M2</v>
          </cell>
          <cell r="B1956" t="str">
            <v>A5C</v>
          </cell>
          <cell r="C1956" t="str">
            <v>P</v>
          </cell>
          <cell r="D1956" t="str">
            <v>23006</v>
          </cell>
          <cell r="E1956" t="str">
            <v>PIPE</v>
          </cell>
          <cell r="F1956">
            <v>1</v>
          </cell>
          <cell r="G1956" t="str">
            <v>CB100508001H00</v>
          </cell>
          <cell r="H1956">
            <v>1.5</v>
          </cell>
          <cell r="I1956" t="str">
            <v>--</v>
          </cell>
          <cell r="J1956">
            <v>13.1</v>
          </cell>
          <cell r="K1956">
            <v>13.1</v>
          </cell>
        </row>
        <row r="1957">
          <cell r="A1957" t="str">
            <v>M2</v>
          </cell>
          <cell r="B1957" t="str">
            <v>A5C</v>
          </cell>
          <cell r="C1957" t="str">
            <v>P</v>
          </cell>
          <cell r="D1957" t="str">
            <v>99003</v>
          </cell>
          <cell r="E1957" t="str">
            <v>PIPE</v>
          </cell>
          <cell r="F1957">
            <v>1</v>
          </cell>
          <cell r="G1957" t="str">
            <v>CB100508001H00</v>
          </cell>
          <cell r="H1957">
            <v>1.5</v>
          </cell>
          <cell r="I1957" t="str">
            <v>--</v>
          </cell>
          <cell r="J1957">
            <v>13.1</v>
          </cell>
          <cell r="K1957">
            <v>13.1</v>
          </cell>
        </row>
        <row r="1958">
          <cell r="A1958" t="str">
            <v>M2</v>
          </cell>
          <cell r="B1958" t="str">
            <v>A5C</v>
          </cell>
          <cell r="C1958" t="str">
            <v>P</v>
          </cell>
          <cell r="D1958" t="str">
            <v>23107</v>
          </cell>
          <cell r="E1958" t="str">
            <v>PIPE</v>
          </cell>
          <cell r="F1958">
            <v>1</v>
          </cell>
          <cell r="G1958" t="str">
            <v>CB100508001H00</v>
          </cell>
          <cell r="H1958">
            <v>1.5</v>
          </cell>
          <cell r="I1958" t="str">
            <v>--</v>
          </cell>
          <cell r="J1958">
            <v>14</v>
          </cell>
          <cell r="K1958">
            <v>14</v>
          </cell>
        </row>
        <row r="1959">
          <cell r="A1959" t="str">
            <v>M2</v>
          </cell>
          <cell r="B1959" t="str">
            <v>A5C</v>
          </cell>
          <cell r="C1959" t="str">
            <v>P</v>
          </cell>
          <cell r="D1959" t="str">
            <v>23111</v>
          </cell>
          <cell r="E1959" t="str">
            <v>PIPE</v>
          </cell>
          <cell r="F1959">
            <v>1</v>
          </cell>
          <cell r="G1959" t="str">
            <v>CB100508001H00</v>
          </cell>
          <cell r="H1959">
            <v>1.5</v>
          </cell>
          <cell r="I1959" t="str">
            <v>--</v>
          </cell>
          <cell r="J1959">
            <v>14</v>
          </cell>
          <cell r="K1959">
            <v>14</v>
          </cell>
        </row>
        <row r="1960">
          <cell r="A1960" t="str">
            <v>M2</v>
          </cell>
          <cell r="B1960" t="str">
            <v>A5C</v>
          </cell>
          <cell r="C1960" t="str">
            <v>P</v>
          </cell>
          <cell r="D1960" t="str">
            <v>23103</v>
          </cell>
          <cell r="E1960" t="str">
            <v>PIPE</v>
          </cell>
          <cell r="F1960">
            <v>1</v>
          </cell>
          <cell r="G1960" t="str">
            <v>CB100508001H00</v>
          </cell>
          <cell r="H1960">
            <v>1.5</v>
          </cell>
          <cell r="I1960" t="str">
            <v>--</v>
          </cell>
          <cell r="J1960">
            <v>14</v>
          </cell>
          <cell r="K1960">
            <v>14</v>
          </cell>
        </row>
        <row r="1961">
          <cell r="A1961" t="str">
            <v>M2</v>
          </cell>
          <cell r="B1961" t="str">
            <v>A5C</v>
          </cell>
          <cell r="C1961" t="str">
            <v>P</v>
          </cell>
          <cell r="D1961" t="str">
            <v>24001</v>
          </cell>
          <cell r="E1961" t="str">
            <v>PIPE</v>
          </cell>
          <cell r="F1961">
            <v>1</v>
          </cell>
          <cell r="G1961" t="str">
            <v>CB100508001H00</v>
          </cell>
          <cell r="H1961">
            <v>1.5</v>
          </cell>
          <cell r="I1961" t="str">
            <v>--</v>
          </cell>
          <cell r="J1961">
            <v>14</v>
          </cell>
          <cell r="K1961">
            <v>14</v>
          </cell>
        </row>
        <row r="1962">
          <cell r="A1962" t="str">
            <v>M2</v>
          </cell>
          <cell r="B1962" t="str">
            <v>A5C</v>
          </cell>
          <cell r="C1962" t="str">
            <v>P</v>
          </cell>
          <cell r="D1962" t="str">
            <v>23039</v>
          </cell>
          <cell r="E1962" t="str">
            <v>PIPE</v>
          </cell>
          <cell r="F1962">
            <v>1</v>
          </cell>
          <cell r="G1962" t="str">
            <v>CB100508001H00</v>
          </cell>
          <cell r="H1962">
            <v>1.5</v>
          </cell>
          <cell r="I1962" t="str">
            <v>--</v>
          </cell>
          <cell r="J1962">
            <v>14.5</v>
          </cell>
          <cell r="K1962">
            <v>14.5</v>
          </cell>
        </row>
        <row r="1963">
          <cell r="A1963" t="str">
            <v>M2</v>
          </cell>
          <cell r="B1963" t="str">
            <v>A5C</v>
          </cell>
          <cell r="C1963" t="str">
            <v>P</v>
          </cell>
          <cell r="D1963" t="str">
            <v>23033</v>
          </cell>
          <cell r="E1963" t="str">
            <v>PIPE</v>
          </cell>
          <cell r="F1963">
            <v>1</v>
          </cell>
          <cell r="G1963" t="str">
            <v>CB100508001H00</v>
          </cell>
          <cell r="H1963">
            <v>1.5</v>
          </cell>
          <cell r="I1963" t="str">
            <v>--</v>
          </cell>
          <cell r="J1963">
            <v>15.5</v>
          </cell>
          <cell r="K1963">
            <v>15.5</v>
          </cell>
        </row>
        <row r="1964">
          <cell r="A1964" t="str">
            <v>M2</v>
          </cell>
          <cell r="B1964" t="str">
            <v>A5C</v>
          </cell>
          <cell r="C1964" t="str">
            <v>P</v>
          </cell>
          <cell r="D1964" t="str">
            <v>23009</v>
          </cell>
          <cell r="E1964" t="str">
            <v>PIPE</v>
          </cell>
          <cell r="F1964">
            <v>1</v>
          </cell>
          <cell r="G1964" t="str">
            <v>CB100508001H00</v>
          </cell>
          <cell r="H1964">
            <v>1.5</v>
          </cell>
          <cell r="I1964" t="str">
            <v>--</v>
          </cell>
          <cell r="J1964">
            <v>15.5</v>
          </cell>
          <cell r="K1964">
            <v>15.5</v>
          </cell>
        </row>
        <row r="1965">
          <cell r="A1965" t="str">
            <v>M2</v>
          </cell>
          <cell r="B1965" t="str">
            <v>A5C</v>
          </cell>
          <cell r="C1965" t="str">
            <v>P</v>
          </cell>
          <cell r="D1965" t="str">
            <v>23006</v>
          </cell>
          <cell r="E1965" t="str">
            <v>PIPE</v>
          </cell>
          <cell r="F1965">
            <v>1</v>
          </cell>
          <cell r="G1965" t="str">
            <v>CB100508001H00</v>
          </cell>
          <cell r="H1965">
            <v>1.5</v>
          </cell>
          <cell r="I1965" t="str">
            <v>--</v>
          </cell>
          <cell r="J1965">
            <v>15.8</v>
          </cell>
          <cell r="K1965">
            <v>15.8</v>
          </cell>
        </row>
        <row r="1966">
          <cell r="A1966" t="str">
            <v>M2</v>
          </cell>
          <cell r="B1966" t="str">
            <v>A5C</v>
          </cell>
          <cell r="C1966" t="str">
            <v>P</v>
          </cell>
          <cell r="D1966" t="str">
            <v>23226</v>
          </cell>
          <cell r="E1966" t="str">
            <v>PIPE</v>
          </cell>
          <cell r="F1966">
            <v>1</v>
          </cell>
          <cell r="G1966" t="str">
            <v>CB100508001H00</v>
          </cell>
          <cell r="H1966">
            <v>1.5</v>
          </cell>
          <cell r="I1966" t="str">
            <v>--</v>
          </cell>
          <cell r="J1966">
            <v>17</v>
          </cell>
          <cell r="K1966">
            <v>17</v>
          </cell>
        </row>
        <row r="1967">
          <cell r="A1967" t="str">
            <v>M2</v>
          </cell>
          <cell r="B1967" t="str">
            <v>A5C</v>
          </cell>
          <cell r="C1967" t="str">
            <v>P</v>
          </cell>
          <cell r="D1967" t="str">
            <v>23248</v>
          </cell>
          <cell r="E1967" t="str">
            <v>PIPE</v>
          </cell>
          <cell r="F1967">
            <v>1</v>
          </cell>
          <cell r="G1967" t="str">
            <v>CB100508001H00</v>
          </cell>
          <cell r="H1967">
            <v>1.5</v>
          </cell>
          <cell r="I1967" t="str">
            <v>--</v>
          </cell>
          <cell r="J1967">
            <v>17</v>
          </cell>
          <cell r="K1967">
            <v>17</v>
          </cell>
        </row>
        <row r="1968">
          <cell r="A1968" t="str">
            <v>M2</v>
          </cell>
          <cell r="B1968" t="str">
            <v>A5C</v>
          </cell>
          <cell r="C1968" t="str">
            <v>P</v>
          </cell>
          <cell r="D1968" t="str">
            <v>23077</v>
          </cell>
          <cell r="E1968" t="str">
            <v>PIPE</v>
          </cell>
          <cell r="F1968">
            <v>1</v>
          </cell>
          <cell r="G1968" t="str">
            <v>CB100508001H00</v>
          </cell>
          <cell r="H1968">
            <v>1.5</v>
          </cell>
          <cell r="I1968" t="str">
            <v>--</v>
          </cell>
          <cell r="J1968">
            <v>17</v>
          </cell>
          <cell r="K1968">
            <v>17</v>
          </cell>
        </row>
        <row r="1969">
          <cell r="A1969" t="str">
            <v>M2</v>
          </cell>
          <cell r="B1969" t="str">
            <v>A5C</v>
          </cell>
          <cell r="C1969" t="str">
            <v>P</v>
          </cell>
          <cell r="D1969" t="str">
            <v>23143</v>
          </cell>
          <cell r="E1969" t="str">
            <v>PIPE</v>
          </cell>
          <cell r="F1969">
            <v>1</v>
          </cell>
          <cell r="G1969" t="str">
            <v>CB100508001H00</v>
          </cell>
          <cell r="H1969">
            <v>1.5</v>
          </cell>
          <cell r="I1969" t="str">
            <v>--</v>
          </cell>
          <cell r="J1969">
            <v>17.100000000000001</v>
          </cell>
          <cell r="K1969">
            <v>17.100000000000001</v>
          </cell>
        </row>
        <row r="1970">
          <cell r="A1970" t="str">
            <v>M2</v>
          </cell>
          <cell r="B1970" t="str">
            <v>A5C</v>
          </cell>
          <cell r="C1970" t="str">
            <v>P</v>
          </cell>
          <cell r="D1970" t="str">
            <v>23217</v>
          </cell>
          <cell r="E1970" t="str">
            <v>PIPE</v>
          </cell>
          <cell r="F1970">
            <v>1</v>
          </cell>
          <cell r="G1970" t="str">
            <v>CB100508001H00</v>
          </cell>
          <cell r="H1970">
            <v>1.5</v>
          </cell>
          <cell r="I1970" t="str">
            <v>--</v>
          </cell>
          <cell r="J1970">
            <v>17.2</v>
          </cell>
          <cell r="K1970">
            <v>17.2</v>
          </cell>
        </row>
        <row r="1971">
          <cell r="A1971" t="str">
            <v>M2</v>
          </cell>
          <cell r="B1971" t="str">
            <v>A5C</v>
          </cell>
          <cell r="C1971" t="str">
            <v>P</v>
          </cell>
          <cell r="D1971" t="str">
            <v>23218</v>
          </cell>
          <cell r="E1971" t="str">
            <v>PIPE</v>
          </cell>
          <cell r="F1971">
            <v>1</v>
          </cell>
          <cell r="G1971" t="str">
            <v>CB100508001H00</v>
          </cell>
          <cell r="H1971">
            <v>1.5</v>
          </cell>
          <cell r="I1971" t="str">
            <v>--</v>
          </cell>
          <cell r="J1971">
            <v>18.5</v>
          </cell>
          <cell r="K1971">
            <v>18.5</v>
          </cell>
        </row>
        <row r="1972">
          <cell r="A1972" t="str">
            <v>M2</v>
          </cell>
          <cell r="B1972" t="str">
            <v>A5C</v>
          </cell>
          <cell r="C1972" t="str">
            <v>P</v>
          </cell>
          <cell r="D1972" t="str">
            <v>23116</v>
          </cell>
          <cell r="E1972" t="str">
            <v>PIPE</v>
          </cell>
          <cell r="F1972">
            <v>1</v>
          </cell>
          <cell r="G1972" t="str">
            <v>CB100508001H00</v>
          </cell>
          <cell r="H1972">
            <v>1.5</v>
          </cell>
          <cell r="I1972" t="str">
            <v>--</v>
          </cell>
          <cell r="J1972">
            <v>19</v>
          </cell>
          <cell r="K1972">
            <v>19</v>
          </cell>
        </row>
        <row r="1973">
          <cell r="A1973" t="str">
            <v>M2</v>
          </cell>
          <cell r="B1973" t="str">
            <v>A5C</v>
          </cell>
          <cell r="C1973" t="str">
            <v>P</v>
          </cell>
          <cell r="D1973" t="str">
            <v>23035</v>
          </cell>
          <cell r="E1973" t="str">
            <v>PIPE</v>
          </cell>
          <cell r="F1973">
            <v>1</v>
          </cell>
          <cell r="G1973" t="str">
            <v>CB100508001H00</v>
          </cell>
          <cell r="H1973">
            <v>1.5</v>
          </cell>
          <cell r="I1973" t="str">
            <v>--</v>
          </cell>
          <cell r="J1973">
            <v>19.3</v>
          </cell>
          <cell r="K1973">
            <v>19.3</v>
          </cell>
        </row>
        <row r="1974">
          <cell r="A1974" t="str">
            <v>M2</v>
          </cell>
          <cell r="B1974" t="str">
            <v>A5C</v>
          </cell>
          <cell r="C1974" t="str">
            <v>P</v>
          </cell>
          <cell r="D1974" t="str">
            <v>23008</v>
          </cell>
          <cell r="E1974" t="str">
            <v>PIPE</v>
          </cell>
          <cell r="F1974">
            <v>1</v>
          </cell>
          <cell r="G1974" t="str">
            <v>CB100508001H00</v>
          </cell>
          <cell r="H1974">
            <v>1.5</v>
          </cell>
          <cell r="I1974" t="str">
            <v>--</v>
          </cell>
          <cell r="J1974">
            <v>24.2</v>
          </cell>
          <cell r="K1974">
            <v>24.2</v>
          </cell>
        </row>
        <row r="1975">
          <cell r="A1975" t="str">
            <v>M2</v>
          </cell>
          <cell r="B1975" t="str">
            <v>A5C</v>
          </cell>
          <cell r="C1975" t="str">
            <v>P</v>
          </cell>
          <cell r="D1975" t="str">
            <v>22102</v>
          </cell>
          <cell r="E1975" t="str">
            <v>PIPE</v>
          </cell>
          <cell r="F1975">
            <v>1</v>
          </cell>
          <cell r="G1975" t="str">
            <v>CB100508001H00</v>
          </cell>
          <cell r="H1975">
            <v>1.5</v>
          </cell>
          <cell r="I1975" t="str">
            <v>--</v>
          </cell>
          <cell r="J1975">
            <v>50.6</v>
          </cell>
          <cell r="K1975">
            <v>50.6</v>
          </cell>
        </row>
        <row r="1976">
          <cell r="A1976" t="str">
            <v>M2</v>
          </cell>
          <cell r="B1976" t="str">
            <v>A5C</v>
          </cell>
          <cell r="C1976" t="str">
            <v>P</v>
          </cell>
          <cell r="D1976" t="str">
            <v>23170</v>
          </cell>
          <cell r="E1976" t="str">
            <v>PIPE</v>
          </cell>
          <cell r="F1976">
            <v>1</v>
          </cell>
          <cell r="G1976" t="str">
            <v>CB100508001H00</v>
          </cell>
          <cell r="H1976">
            <v>1.5</v>
          </cell>
          <cell r="I1976" t="str">
            <v>--</v>
          </cell>
          <cell r="J1976">
            <v>70.599999999999994</v>
          </cell>
          <cell r="K1976">
            <v>70.599999999999994</v>
          </cell>
        </row>
        <row r="1977">
          <cell r="A1977" t="str">
            <v>M2</v>
          </cell>
          <cell r="B1977" t="str">
            <v>A5C</v>
          </cell>
          <cell r="C1977" t="str">
            <v>P</v>
          </cell>
          <cell r="D1977" t="str">
            <v>23022</v>
          </cell>
          <cell r="E1977" t="str">
            <v>PIPE</v>
          </cell>
          <cell r="F1977">
            <v>1</v>
          </cell>
          <cell r="G1977" t="str">
            <v>CB100408000200</v>
          </cell>
          <cell r="H1977">
            <v>2</v>
          </cell>
          <cell r="I1977" t="str">
            <v>--</v>
          </cell>
          <cell r="J1977">
            <v>0.2</v>
          </cell>
          <cell r="K1977">
            <v>0.3</v>
          </cell>
        </row>
        <row r="1978">
          <cell r="A1978" t="str">
            <v>M2</v>
          </cell>
          <cell r="B1978" t="str">
            <v>A5C</v>
          </cell>
          <cell r="C1978" t="str">
            <v>P</v>
          </cell>
          <cell r="D1978" t="str">
            <v>23057</v>
          </cell>
          <cell r="E1978" t="str">
            <v>PIPE</v>
          </cell>
          <cell r="F1978">
            <v>1</v>
          </cell>
          <cell r="G1978" t="str">
            <v>CB100408000200</v>
          </cell>
          <cell r="H1978">
            <v>2</v>
          </cell>
          <cell r="I1978" t="str">
            <v>--</v>
          </cell>
          <cell r="J1978">
            <v>0.2</v>
          </cell>
          <cell r="K1978">
            <v>0.3</v>
          </cell>
        </row>
        <row r="1979">
          <cell r="A1979" t="str">
            <v>M2</v>
          </cell>
          <cell r="B1979" t="str">
            <v>A5C</v>
          </cell>
          <cell r="C1979" t="str">
            <v>P</v>
          </cell>
          <cell r="D1979" t="str">
            <v>23046</v>
          </cell>
          <cell r="E1979" t="str">
            <v>PIPE</v>
          </cell>
          <cell r="F1979">
            <v>1</v>
          </cell>
          <cell r="G1979" t="str">
            <v>CB100408000200</v>
          </cell>
          <cell r="H1979">
            <v>2</v>
          </cell>
          <cell r="I1979" t="str">
            <v>--</v>
          </cell>
          <cell r="J1979">
            <v>0.2</v>
          </cell>
          <cell r="K1979">
            <v>0.3</v>
          </cell>
        </row>
        <row r="1980">
          <cell r="A1980" t="str">
            <v>M2</v>
          </cell>
          <cell r="B1980" t="str">
            <v>A5C</v>
          </cell>
          <cell r="C1980" t="str">
            <v>P</v>
          </cell>
          <cell r="D1980" t="str">
            <v>23032</v>
          </cell>
          <cell r="E1980" t="str">
            <v>PIPE</v>
          </cell>
          <cell r="F1980">
            <v>1</v>
          </cell>
          <cell r="G1980" t="str">
            <v>CB100408000200</v>
          </cell>
          <cell r="H1980">
            <v>2</v>
          </cell>
          <cell r="I1980" t="str">
            <v>--</v>
          </cell>
          <cell r="J1980">
            <v>0.2</v>
          </cell>
          <cell r="K1980">
            <v>0.3</v>
          </cell>
        </row>
        <row r="1981">
          <cell r="A1981" t="str">
            <v>M2</v>
          </cell>
          <cell r="B1981" t="str">
            <v>A5C</v>
          </cell>
          <cell r="C1981" t="str">
            <v>P</v>
          </cell>
          <cell r="D1981" t="str">
            <v>23011</v>
          </cell>
          <cell r="E1981" t="str">
            <v>PIPE</v>
          </cell>
          <cell r="F1981">
            <v>1</v>
          </cell>
          <cell r="G1981" t="str">
            <v>CB100408000200</v>
          </cell>
          <cell r="H1981">
            <v>2</v>
          </cell>
          <cell r="I1981" t="str">
            <v>--</v>
          </cell>
          <cell r="J1981">
            <v>0.3</v>
          </cell>
          <cell r="K1981">
            <v>0.4</v>
          </cell>
        </row>
        <row r="1982">
          <cell r="A1982" t="str">
            <v>M2</v>
          </cell>
          <cell r="B1982" t="str">
            <v>A5C</v>
          </cell>
          <cell r="C1982" t="str">
            <v>TRIM</v>
          </cell>
          <cell r="D1982" t="str">
            <v>V-2315</v>
          </cell>
          <cell r="E1982" t="str">
            <v>PIPE</v>
          </cell>
          <cell r="F1982">
            <v>1</v>
          </cell>
          <cell r="G1982" t="str">
            <v>CB100408000200</v>
          </cell>
          <cell r="H1982">
            <v>2</v>
          </cell>
          <cell r="I1982" t="str">
            <v>--</v>
          </cell>
          <cell r="J1982">
            <v>0.4</v>
          </cell>
          <cell r="K1982">
            <v>0.5</v>
          </cell>
        </row>
        <row r="1983">
          <cell r="A1983" t="str">
            <v>M2</v>
          </cell>
          <cell r="B1983" t="str">
            <v>A5C</v>
          </cell>
          <cell r="C1983" t="str">
            <v>TRIM</v>
          </cell>
          <cell r="D1983" t="str">
            <v>V-2320</v>
          </cell>
          <cell r="E1983" t="str">
            <v>PIPE</v>
          </cell>
          <cell r="F1983">
            <v>1</v>
          </cell>
          <cell r="G1983" t="str">
            <v>CB100408000200</v>
          </cell>
          <cell r="H1983">
            <v>2</v>
          </cell>
          <cell r="I1983" t="str">
            <v>--</v>
          </cell>
          <cell r="J1983">
            <v>0.4</v>
          </cell>
          <cell r="K1983">
            <v>0.5</v>
          </cell>
        </row>
        <row r="1984">
          <cell r="A1984" t="str">
            <v>M2</v>
          </cell>
          <cell r="B1984" t="str">
            <v>A5C</v>
          </cell>
          <cell r="C1984" t="str">
            <v>TRIM</v>
          </cell>
          <cell r="D1984" t="str">
            <v>V-2317</v>
          </cell>
          <cell r="E1984" t="str">
            <v>PIPE</v>
          </cell>
          <cell r="F1984">
            <v>1</v>
          </cell>
          <cell r="G1984" t="str">
            <v>CB100408000200</v>
          </cell>
          <cell r="H1984">
            <v>2</v>
          </cell>
          <cell r="I1984" t="str">
            <v>--</v>
          </cell>
          <cell r="J1984">
            <v>0.4</v>
          </cell>
          <cell r="K1984">
            <v>0.5</v>
          </cell>
        </row>
        <row r="1985">
          <cell r="A1985" t="str">
            <v>M2</v>
          </cell>
          <cell r="B1985" t="str">
            <v>A5C</v>
          </cell>
          <cell r="C1985" t="str">
            <v>TRIM</v>
          </cell>
          <cell r="D1985" t="str">
            <v>V-2318</v>
          </cell>
          <cell r="E1985" t="str">
            <v>PIPE</v>
          </cell>
          <cell r="F1985">
            <v>1</v>
          </cell>
          <cell r="G1985" t="str">
            <v>CB100408000200</v>
          </cell>
          <cell r="H1985">
            <v>2</v>
          </cell>
          <cell r="I1985" t="str">
            <v>--</v>
          </cell>
          <cell r="J1985">
            <v>0.4</v>
          </cell>
          <cell r="K1985">
            <v>0.5</v>
          </cell>
        </row>
        <row r="1986">
          <cell r="A1986" t="str">
            <v>M2</v>
          </cell>
          <cell r="B1986" t="str">
            <v>A5C</v>
          </cell>
          <cell r="C1986" t="str">
            <v>TRIM</v>
          </cell>
          <cell r="D1986" t="str">
            <v>V-2321</v>
          </cell>
          <cell r="E1986" t="str">
            <v>PIPE</v>
          </cell>
          <cell r="F1986">
            <v>1</v>
          </cell>
          <cell r="G1986" t="str">
            <v>CB100408000200</v>
          </cell>
          <cell r="H1986">
            <v>2</v>
          </cell>
          <cell r="I1986" t="str">
            <v>--</v>
          </cell>
          <cell r="J1986">
            <v>0.4</v>
          </cell>
          <cell r="K1986">
            <v>0.5</v>
          </cell>
        </row>
        <row r="1987">
          <cell r="A1987" t="str">
            <v>M2</v>
          </cell>
          <cell r="B1987" t="str">
            <v>A5C</v>
          </cell>
          <cell r="C1987" t="str">
            <v>TRIM</v>
          </cell>
          <cell r="D1987" t="str">
            <v>V-2319</v>
          </cell>
          <cell r="E1987" t="str">
            <v>PIPE</v>
          </cell>
          <cell r="F1987">
            <v>1</v>
          </cell>
          <cell r="G1987" t="str">
            <v>CB100408000200</v>
          </cell>
          <cell r="H1987">
            <v>2</v>
          </cell>
          <cell r="I1987" t="str">
            <v>--</v>
          </cell>
          <cell r="J1987">
            <v>0.4</v>
          </cell>
          <cell r="K1987">
            <v>0.5</v>
          </cell>
        </row>
        <row r="1988">
          <cell r="A1988" t="str">
            <v>M2</v>
          </cell>
          <cell r="B1988" t="str">
            <v>A5C</v>
          </cell>
          <cell r="C1988" t="str">
            <v>TRIM</v>
          </cell>
          <cell r="D1988" t="str">
            <v>V-2323</v>
          </cell>
          <cell r="E1988" t="str">
            <v>PIPE</v>
          </cell>
          <cell r="F1988">
            <v>1</v>
          </cell>
          <cell r="G1988" t="str">
            <v>CB100408000200</v>
          </cell>
          <cell r="H1988">
            <v>2</v>
          </cell>
          <cell r="I1988" t="str">
            <v>--</v>
          </cell>
          <cell r="J1988">
            <v>0.4</v>
          </cell>
          <cell r="K1988">
            <v>0.5</v>
          </cell>
        </row>
        <row r="1989">
          <cell r="A1989" t="str">
            <v>M2</v>
          </cell>
          <cell r="B1989" t="str">
            <v>A5C</v>
          </cell>
          <cell r="C1989" t="str">
            <v>TRIM</v>
          </cell>
          <cell r="D1989" t="str">
            <v>V-2324</v>
          </cell>
          <cell r="E1989" t="str">
            <v>PIPE</v>
          </cell>
          <cell r="F1989">
            <v>1</v>
          </cell>
          <cell r="G1989" t="str">
            <v>CB100408000200</v>
          </cell>
          <cell r="H1989">
            <v>2</v>
          </cell>
          <cell r="I1989" t="str">
            <v>--</v>
          </cell>
          <cell r="J1989">
            <v>0.4</v>
          </cell>
          <cell r="K1989">
            <v>0.5</v>
          </cell>
        </row>
        <row r="1990">
          <cell r="A1990" t="str">
            <v>M2</v>
          </cell>
          <cell r="B1990" t="str">
            <v>A5C</v>
          </cell>
          <cell r="C1990" t="str">
            <v>TRIM</v>
          </cell>
          <cell r="D1990" t="str">
            <v>V-2329</v>
          </cell>
          <cell r="E1990" t="str">
            <v>PIPE</v>
          </cell>
          <cell r="F1990">
            <v>1</v>
          </cell>
          <cell r="G1990" t="str">
            <v>CB100408000200</v>
          </cell>
          <cell r="H1990">
            <v>2</v>
          </cell>
          <cell r="I1990" t="str">
            <v>--</v>
          </cell>
          <cell r="J1990">
            <v>0.4</v>
          </cell>
          <cell r="K1990">
            <v>0.5</v>
          </cell>
        </row>
        <row r="1991">
          <cell r="A1991" t="str">
            <v>M2</v>
          </cell>
          <cell r="B1991" t="str">
            <v>A5C</v>
          </cell>
          <cell r="C1991" t="str">
            <v>TRIM</v>
          </cell>
          <cell r="D1991" t="str">
            <v>V-2330</v>
          </cell>
          <cell r="E1991" t="str">
            <v>PIPE</v>
          </cell>
          <cell r="F1991">
            <v>1</v>
          </cell>
          <cell r="G1991" t="str">
            <v>CB100408000200</v>
          </cell>
          <cell r="H1991">
            <v>2</v>
          </cell>
          <cell r="I1991" t="str">
            <v>--</v>
          </cell>
          <cell r="J1991">
            <v>0.4</v>
          </cell>
          <cell r="K1991">
            <v>0.5</v>
          </cell>
        </row>
        <row r="1992">
          <cell r="A1992" t="str">
            <v>M2</v>
          </cell>
          <cell r="B1992" t="str">
            <v>A5C</v>
          </cell>
          <cell r="C1992" t="str">
            <v>TRIM</v>
          </cell>
          <cell r="D1992" t="str">
            <v>V-2331</v>
          </cell>
          <cell r="E1992" t="str">
            <v>PIPE</v>
          </cell>
          <cell r="F1992">
            <v>1</v>
          </cell>
          <cell r="G1992" t="str">
            <v>CB100408000200</v>
          </cell>
          <cell r="H1992">
            <v>2</v>
          </cell>
          <cell r="I1992" t="str">
            <v>--</v>
          </cell>
          <cell r="J1992">
            <v>0.4</v>
          </cell>
          <cell r="K1992">
            <v>0.5</v>
          </cell>
        </row>
        <row r="1993">
          <cell r="A1993" t="str">
            <v>M2</v>
          </cell>
          <cell r="B1993" t="str">
            <v>A5C</v>
          </cell>
          <cell r="C1993" t="str">
            <v>TRIM</v>
          </cell>
          <cell r="D1993" t="str">
            <v>V-2332</v>
          </cell>
          <cell r="E1993" t="str">
            <v>PIPE</v>
          </cell>
          <cell r="F1993">
            <v>1</v>
          </cell>
          <cell r="G1993" t="str">
            <v>CB100408000200</v>
          </cell>
          <cell r="H1993">
            <v>2</v>
          </cell>
          <cell r="I1993" t="str">
            <v>--</v>
          </cell>
          <cell r="J1993">
            <v>0.4</v>
          </cell>
          <cell r="K1993">
            <v>0.5</v>
          </cell>
        </row>
        <row r="1994">
          <cell r="A1994" t="str">
            <v>M2</v>
          </cell>
          <cell r="B1994" t="str">
            <v>A5C</v>
          </cell>
          <cell r="C1994" t="str">
            <v>TRIM</v>
          </cell>
          <cell r="D1994" t="str">
            <v>V-2333</v>
          </cell>
          <cell r="E1994" t="str">
            <v>PIPE</v>
          </cell>
          <cell r="F1994">
            <v>1</v>
          </cell>
          <cell r="G1994" t="str">
            <v>CB100408000200</v>
          </cell>
          <cell r="H1994">
            <v>2</v>
          </cell>
          <cell r="I1994" t="str">
            <v>--</v>
          </cell>
          <cell r="J1994">
            <v>0.4</v>
          </cell>
          <cell r="K1994">
            <v>0.5</v>
          </cell>
        </row>
        <row r="1995">
          <cell r="A1995" t="str">
            <v>M2</v>
          </cell>
          <cell r="B1995" t="str">
            <v>A5C</v>
          </cell>
          <cell r="C1995" t="str">
            <v>TRIM</v>
          </cell>
          <cell r="D1995" t="str">
            <v>C-2303</v>
          </cell>
          <cell r="E1995" t="str">
            <v>PIPE</v>
          </cell>
          <cell r="F1995">
            <v>1</v>
          </cell>
          <cell r="G1995" t="str">
            <v>CB100408000200</v>
          </cell>
          <cell r="H1995">
            <v>2</v>
          </cell>
          <cell r="I1995" t="str">
            <v>--</v>
          </cell>
          <cell r="J1995">
            <v>0.4</v>
          </cell>
          <cell r="K1995">
            <v>0.5</v>
          </cell>
        </row>
        <row r="1996">
          <cell r="A1996" t="str">
            <v>M2</v>
          </cell>
          <cell r="B1996" t="str">
            <v>A5C</v>
          </cell>
          <cell r="C1996" t="str">
            <v>TRIM</v>
          </cell>
          <cell r="D1996" t="str">
            <v>C-2304</v>
          </cell>
          <cell r="E1996" t="str">
            <v>PIPE</v>
          </cell>
          <cell r="F1996">
            <v>1</v>
          </cell>
          <cell r="G1996" t="str">
            <v>CB100408000200</v>
          </cell>
          <cell r="H1996">
            <v>2</v>
          </cell>
          <cell r="I1996" t="str">
            <v>--</v>
          </cell>
          <cell r="J1996">
            <v>0.4</v>
          </cell>
          <cell r="K1996">
            <v>0.5</v>
          </cell>
        </row>
        <row r="1997">
          <cell r="A1997" t="str">
            <v>M2</v>
          </cell>
          <cell r="B1997" t="str">
            <v>A5C</v>
          </cell>
          <cell r="C1997" t="str">
            <v>TRIM</v>
          </cell>
          <cell r="D1997" t="str">
            <v>C-2305</v>
          </cell>
          <cell r="E1997" t="str">
            <v>PIPE</v>
          </cell>
          <cell r="F1997">
            <v>1</v>
          </cell>
          <cell r="G1997" t="str">
            <v>CB100408000200</v>
          </cell>
          <cell r="H1997">
            <v>2</v>
          </cell>
          <cell r="I1997" t="str">
            <v>--</v>
          </cell>
          <cell r="J1997">
            <v>0.4</v>
          </cell>
          <cell r="K1997">
            <v>0.5</v>
          </cell>
        </row>
        <row r="1998">
          <cell r="A1998" t="str">
            <v>M2</v>
          </cell>
          <cell r="B1998" t="str">
            <v>A5C</v>
          </cell>
          <cell r="C1998" t="str">
            <v>TRIM</v>
          </cell>
          <cell r="D1998" t="str">
            <v>C-2302</v>
          </cell>
          <cell r="E1998" t="str">
            <v>PIPE</v>
          </cell>
          <cell r="F1998">
            <v>1</v>
          </cell>
          <cell r="G1998" t="str">
            <v>CB100408000200</v>
          </cell>
          <cell r="H1998">
            <v>2</v>
          </cell>
          <cell r="I1998" t="str">
            <v>--</v>
          </cell>
          <cell r="J1998">
            <v>0.4</v>
          </cell>
          <cell r="K1998">
            <v>0.5</v>
          </cell>
        </row>
        <row r="1999">
          <cell r="A1999" t="str">
            <v>M2</v>
          </cell>
          <cell r="B1999" t="str">
            <v>A5C</v>
          </cell>
          <cell r="C1999" t="str">
            <v>TRIM</v>
          </cell>
          <cell r="D1999" t="str">
            <v>C-2306</v>
          </cell>
          <cell r="E1999" t="str">
            <v>PIPE</v>
          </cell>
          <cell r="F1999">
            <v>1</v>
          </cell>
          <cell r="G1999" t="str">
            <v>CB100408000200</v>
          </cell>
          <cell r="H1999">
            <v>2</v>
          </cell>
          <cell r="I1999" t="str">
            <v>--</v>
          </cell>
          <cell r="J1999">
            <v>0.4</v>
          </cell>
          <cell r="K1999">
            <v>0.5</v>
          </cell>
        </row>
        <row r="2000">
          <cell r="A2000" t="str">
            <v>M2</v>
          </cell>
          <cell r="B2000" t="str">
            <v>A5C</v>
          </cell>
          <cell r="C2000" t="str">
            <v>TRIM</v>
          </cell>
          <cell r="D2000" t="str">
            <v>C-2301</v>
          </cell>
          <cell r="E2000" t="str">
            <v>PIPE</v>
          </cell>
          <cell r="F2000">
            <v>1</v>
          </cell>
          <cell r="G2000" t="str">
            <v>CB100408000200</v>
          </cell>
          <cell r="H2000">
            <v>2</v>
          </cell>
          <cell r="I2000" t="str">
            <v>--</v>
          </cell>
          <cell r="J2000">
            <v>0.4</v>
          </cell>
          <cell r="K2000">
            <v>0.5</v>
          </cell>
        </row>
        <row r="2001">
          <cell r="A2001" t="str">
            <v>M2</v>
          </cell>
          <cell r="B2001" t="str">
            <v>A5C</v>
          </cell>
          <cell r="C2001" t="str">
            <v>TRIM</v>
          </cell>
          <cell r="D2001" t="str">
            <v>V-2402</v>
          </cell>
          <cell r="E2001" t="str">
            <v>PIPE</v>
          </cell>
          <cell r="F2001">
            <v>1</v>
          </cell>
          <cell r="G2001" t="str">
            <v>CB100408000200</v>
          </cell>
          <cell r="H2001">
            <v>2</v>
          </cell>
          <cell r="I2001" t="str">
            <v>--</v>
          </cell>
          <cell r="J2001">
            <v>0.5</v>
          </cell>
          <cell r="K2001">
            <v>0.6</v>
          </cell>
        </row>
        <row r="2002">
          <cell r="A2002" t="str">
            <v>M2</v>
          </cell>
          <cell r="B2002" t="str">
            <v>B2C</v>
          </cell>
          <cell r="C2002" t="str">
            <v>SH</v>
          </cell>
          <cell r="D2002" t="str">
            <v>23612</v>
          </cell>
          <cell r="E2002" t="str">
            <v>PIPE</v>
          </cell>
          <cell r="F2002">
            <v>1</v>
          </cell>
          <cell r="G2002" t="str">
            <v>CB100408000200</v>
          </cell>
          <cell r="H2002">
            <v>2</v>
          </cell>
          <cell r="I2002" t="str">
            <v>--</v>
          </cell>
          <cell r="J2002">
            <v>1</v>
          </cell>
          <cell r="K2002">
            <v>1.1000000000000001</v>
          </cell>
        </row>
        <row r="2003">
          <cell r="A2003" t="str">
            <v>M2</v>
          </cell>
          <cell r="B2003" t="str">
            <v>A5C</v>
          </cell>
          <cell r="C2003" t="str">
            <v>TRIM</v>
          </cell>
          <cell r="D2003" t="str">
            <v>V-2301</v>
          </cell>
          <cell r="E2003" t="str">
            <v>PIPE</v>
          </cell>
          <cell r="F2003">
            <v>1</v>
          </cell>
          <cell r="G2003" t="str">
            <v>CB100408000200</v>
          </cell>
          <cell r="H2003">
            <v>2</v>
          </cell>
          <cell r="I2003" t="str">
            <v>--</v>
          </cell>
          <cell r="J2003">
            <v>1</v>
          </cell>
          <cell r="K2003">
            <v>1.1000000000000001</v>
          </cell>
        </row>
        <row r="2004">
          <cell r="A2004" t="str">
            <v>M2</v>
          </cell>
          <cell r="B2004" t="str">
            <v>A5C</v>
          </cell>
          <cell r="C2004" t="str">
            <v>TRIM</v>
          </cell>
          <cell r="D2004" t="str">
            <v>V-2304</v>
          </cell>
          <cell r="E2004" t="str">
            <v>PIPE</v>
          </cell>
          <cell r="F2004">
            <v>1</v>
          </cell>
          <cell r="G2004" t="str">
            <v>CB100408000200</v>
          </cell>
          <cell r="H2004">
            <v>2</v>
          </cell>
          <cell r="I2004" t="str">
            <v>--</v>
          </cell>
          <cell r="J2004">
            <v>1.6</v>
          </cell>
          <cell r="K2004">
            <v>1.8</v>
          </cell>
        </row>
        <row r="2005">
          <cell r="A2005" t="str">
            <v>M2</v>
          </cell>
          <cell r="B2005" t="str">
            <v>A5C</v>
          </cell>
          <cell r="C2005" t="str">
            <v>TRIM</v>
          </cell>
          <cell r="D2005" t="str">
            <v>V-2308</v>
          </cell>
          <cell r="E2005" t="str">
            <v>PIPE</v>
          </cell>
          <cell r="F2005">
            <v>1</v>
          </cell>
          <cell r="G2005" t="str">
            <v>CB100408000200</v>
          </cell>
          <cell r="H2005">
            <v>2</v>
          </cell>
          <cell r="I2005" t="str">
            <v>--</v>
          </cell>
          <cell r="J2005">
            <v>1.6</v>
          </cell>
          <cell r="K2005">
            <v>1.8</v>
          </cell>
        </row>
        <row r="2006">
          <cell r="A2006" t="str">
            <v>M2</v>
          </cell>
          <cell r="B2006" t="str">
            <v>A5C</v>
          </cell>
          <cell r="C2006" t="str">
            <v>TRIM</v>
          </cell>
          <cell r="D2006" t="str">
            <v>V-2313</v>
          </cell>
          <cell r="E2006" t="str">
            <v>PIPE</v>
          </cell>
          <cell r="F2006">
            <v>1</v>
          </cell>
          <cell r="G2006" t="str">
            <v>CB100408000200</v>
          </cell>
          <cell r="H2006">
            <v>2</v>
          </cell>
          <cell r="I2006" t="str">
            <v>--</v>
          </cell>
          <cell r="J2006">
            <v>1.6</v>
          </cell>
          <cell r="K2006">
            <v>1.8</v>
          </cell>
        </row>
        <row r="2007">
          <cell r="A2007" t="str">
            <v>M2</v>
          </cell>
          <cell r="B2007" t="str">
            <v>A5C</v>
          </cell>
          <cell r="C2007" t="str">
            <v>TRIM</v>
          </cell>
          <cell r="D2007" t="str">
            <v>V-2325</v>
          </cell>
          <cell r="E2007" t="str">
            <v>PIPE</v>
          </cell>
          <cell r="F2007">
            <v>1</v>
          </cell>
          <cell r="G2007" t="str">
            <v>CB100408000200</v>
          </cell>
          <cell r="H2007">
            <v>2</v>
          </cell>
          <cell r="I2007" t="str">
            <v>--</v>
          </cell>
          <cell r="J2007">
            <v>1.6</v>
          </cell>
          <cell r="K2007">
            <v>1.8</v>
          </cell>
        </row>
        <row r="2008">
          <cell r="A2008" t="str">
            <v>M2</v>
          </cell>
          <cell r="B2008" t="str">
            <v>A5C</v>
          </cell>
          <cell r="C2008" t="str">
            <v>TRIM</v>
          </cell>
          <cell r="D2008" t="str">
            <v>V-2302</v>
          </cell>
          <cell r="E2008" t="str">
            <v>PIPE</v>
          </cell>
          <cell r="F2008">
            <v>1</v>
          </cell>
          <cell r="G2008" t="str">
            <v>CB100408000200</v>
          </cell>
          <cell r="H2008">
            <v>2</v>
          </cell>
          <cell r="I2008" t="str">
            <v>--</v>
          </cell>
          <cell r="J2008">
            <v>1.6</v>
          </cell>
          <cell r="K2008">
            <v>1.8</v>
          </cell>
        </row>
        <row r="2009">
          <cell r="A2009" t="str">
            <v>M2</v>
          </cell>
          <cell r="B2009" t="str">
            <v>A5C</v>
          </cell>
          <cell r="C2009" t="str">
            <v>TRIM</v>
          </cell>
          <cell r="D2009" t="str">
            <v>V-2306</v>
          </cell>
          <cell r="E2009" t="str">
            <v>PIPE</v>
          </cell>
          <cell r="F2009">
            <v>1</v>
          </cell>
          <cell r="G2009" t="str">
            <v>CB100408000200</v>
          </cell>
          <cell r="H2009">
            <v>2</v>
          </cell>
          <cell r="I2009" t="str">
            <v>--</v>
          </cell>
          <cell r="J2009">
            <v>1.6</v>
          </cell>
          <cell r="K2009">
            <v>1.8</v>
          </cell>
        </row>
        <row r="2010">
          <cell r="A2010" t="str">
            <v>M2</v>
          </cell>
          <cell r="B2010" t="str">
            <v>A5C</v>
          </cell>
          <cell r="C2010" t="str">
            <v>TRIM</v>
          </cell>
          <cell r="D2010" t="str">
            <v>V-2310</v>
          </cell>
          <cell r="E2010" t="str">
            <v>PIPE</v>
          </cell>
          <cell r="F2010">
            <v>1</v>
          </cell>
          <cell r="G2010" t="str">
            <v>CB100408000200</v>
          </cell>
          <cell r="H2010">
            <v>2</v>
          </cell>
          <cell r="I2010" t="str">
            <v>--</v>
          </cell>
          <cell r="J2010">
            <v>1.6</v>
          </cell>
          <cell r="K2010">
            <v>1.8</v>
          </cell>
        </row>
        <row r="2011">
          <cell r="A2011" t="str">
            <v>M2</v>
          </cell>
          <cell r="B2011" t="str">
            <v>A5C</v>
          </cell>
          <cell r="C2011" t="str">
            <v>P</v>
          </cell>
          <cell r="D2011" t="str">
            <v>24020</v>
          </cell>
          <cell r="E2011" t="str">
            <v>PIPE</v>
          </cell>
          <cell r="F2011">
            <v>1</v>
          </cell>
          <cell r="G2011" t="str">
            <v>CB100408000200</v>
          </cell>
          <cell r="H2011">
            <v>2</v>
          </cell>
          <cell r="I2011" t="str">
            <v>--</v>
          </cell>
          <cell r="J2011">
            <v>2</v>
          </cell>
          <cell r="K2011">
            <v>2.2000000000000002</v>
          </cell>
        </row>
        <row r="2012">
          <cell r="A2012" t="str">
            <v>M2</v>
          </cell>
          <cell r="B2012" t="str">
            <v>A5C</v>
          </cell>
          <cell r="C2012" t="str">
            <v>TRIM</v>
          </cell>
          <cell r="D2012" t="str">
            <v>V-2326</v>
          </cell>
          <cell r="E2012" t="str">
            <v>PIPE</v>
          </cell>
          <cell r="F2012">
            <v>1</v>
          </cell>
          <cell r="G2012" t="str">
            <v>CB100408000200</v>
          </cell>
          <cell r="H2012">
            <v>2</v>
          </cell>
          <cell r="I2012" t="str">
            <v>--</v>
          </cell>
          <cell r="J2012">
            <v>2</v>
          </cell>
          <cell r="K2012">
            <v>2.2000000000000002</v>
          </cell>
        </row>
        <row r="2013">
          <cell r="A2013" t="str">
            <v>M2</v>
          </cell>
          <cell r="B2013" t="str">
            <v>A5C</v>
          </cell>
          <cell r="C2013" t="str">
            <v>TRIM</v>
          </cell>
          <cell r="D2013" t="str">
            <v>V-2327</v>
          </cell>
          <cell r="E2013" t="str">
            <v>PIPE</v>
          </cell>
          <cell r="F2013">
            <v>1</v>
          </cell>
          <cell r="G2013" t="str">
            <v>CB100408000200</v>
          </cell>
          <cell r="H2013">
            <v>2</v>
          </cell>
          <cell r="I2013" t="str">
            <v>--</v>
          </cell>
          <cell r="J2013">
            <v>2</v>
          </cell>
          <cell r="K2013">
            <v>2.2000000000000002</v>
          </cell>
        </row>
        <row r="2014">
          <cell r="A2014" t="str">
            <v>M2</v>
          </cell>
          <cell r="B2014" t="str">
            <v>A5C</v>
          </cell>
          <cell r="C2014" t="str">
            <v>TRIM</v>
          </cell>
          <cell r="D2014" t="str">
            <v>V-2328</v>
          </cell>
          <cell r="E2014" t="str">
            <v>PIPE</v>
          </cell>
          <cell r="F2014">
            <v>1</v>
          </cell>
          <cell r="G2014" t="str">
            <v>CB100408000200</v>
          </cell>
          <cell r="H2014">
            <v>2</v>
          </cell>
          <cell r="I2014" t="str">
            <v>--</v>
          </cell>
          <cell r="J2014">
            <v>2</v>
          </cell>
          <cell r="K2014">
            <v>2.2000000000000002</v>
          </cell>
        </row>
        <row r="2015">
          <cell r="A2015" t="str">
            <v>M2</v>
          </cell>
          <cell r="B2015" t="str">
            <v>A5C</v>
          </cell>
          <cell r="C2015" t="str">
            <v>TRIM</v>
          </cell>
          <cell r="D2015" t="str">
            <v>V-2403</v>
          </cell>
          <cell r="E2015" t="str">
            <v>PIPE</v>
          </cell>
          <cell r="F2015">
            <v>1</v>
          </cell>
          <cell r="G2015" t="str">
            <v>CB100408000200</v>
          </cell>
          <cell r="H2015">
            <v>2</v>
          </cell>
          <cell r="I2015" t="str">
            <v>--</v>
          </cell>
          <cell r="J2015">
            <v>2</v>
          </cell>
          <cell r="K2015">
            <v>2.2000000000000002</v>
          </cell>
        </row>
        <row r="2016">
          <cell r="A2016" t="str">
            <v>M2</v>
          </cell>
          <cell r="B2016" t="str">
            <v>A5C</v>
          </cell>
          <cell r="C2016" t="str">
            <v>TRIM</v>
          </cell>
          <cell r="D2016" t="str">
            <v>V-2404</v>
          </cell>
          <cell r="E2016" t="str">
            <v>PIPE</v>
          </cell>
          <cell r="F2016">
            <v>1</v>
          </cell>
          <cell r="G2016" t="str">
            <v>CB100408000200</v>
          </cell>
          <cell r="H2016">
            <v>2</v>
          </cell>
          <cell r="I2016" t="str">
            <v>--</v>
          </cell>
          <cell r="J2016">
            <v>2</v>
          </cell>
          <cell r="K2016">
            <v>2.2000000000000002</v>
          </cell>
        </row>
        <row r="2017">
          <cell r="A2017" t="str">
            <v>M2</v>
          </cell>
          <cell r="B2017" t="str">
            <v>A5C</v>
          </cell>
          <cell r="C2017" t="str">
            <v>TRIM</v>
          </cell>
          <cell r="D2017" t="str">
            <v>R-2401</v>
          </cell>
          <cell r="E2017" t="str">
            <v>PIPE</v>
          </cell>
          <cell r="F2017">
            <v>1</v>
          </cell>
          <cell r="G2017" t="str">
            <v>CB100408000200</v>
          </cell>
          <cell r="H2017">
            <v>2</v>
          </cell>
          <cell r="I2017" t="str">
            <v>--</v>
          </cell>
          <cell r="J2017">
            <v>2</v>
          </cell>
          <cell r="K2017">
            <v>2.2000000000000002</v>
          </cell>
        </row>
        <row r="2018">
          <cell r="A2018" t="str">
            <v>M2</v>
          </cell>
          <cell r="B2018" t="str">
            <v>A5C</v>
          </cell>
          <cell r="C2018" t="str">
            <v>TRIM</v>
          </cell>
          <cell r="D2018" t="str">
            <v>V-2401</v>
          </cell>
          <cell r="E2018" t="str">
            <v>PIPE</v>
          </cell>
          <cell r="F2018">
            <v>1</v>
          </cell>
          <cell r="G2018" t="str">
            <v>CB100408000200</v>
          </cell>
          <cell r="H2018">
            <v>2</v>
          </cell>
          <cell r="I2018" t="str">
            <v>--</v>
          </cell>
          <cell r="J2018">
            <v>2</v>
          </cell>
          <cell r="K2018">
            <v>2.2000000000000002</v>
          </cell>
        </row>
        <row r="2019">
          <cell r="A2019" t="str">
            <v>M2</v>
          </cell>
          <cell r="B2019" t="str">
            <v>A5C</v>
          </cell>
          <cell r="C2019" t="str">
            <v>P</v>
          </cell>
          <cell r="D2019" t="str">
            <v>23231</v>
          </cell>
          <cell r="E2019" t="str">
            <v>PIPE</v>
          </cell>
          <cell r="F2019">
            <v>1</v>
          </cell>
          <cell r="G2019" t="str">
            <v>CB100408000200</v>
          </cell>
          <cell r="H2019">
            <v>2</v>
          </cell>
          <cell r="I2019" t="str">
            <v>--</v>
          </cell>
          <cell r="J2019">
            <v>2.5</v>
          </cell>
          <cell r="K2019">
            <v>2.8</v>
          </cell>
        </row>
        <row r="2020">
          <cell r="A2020" t="str">
            <v>M2</v>
          </cell>
          <cell r="B2020" t="str">
            <v>A5C</v>
          </cell>
          <cell r="C2020" t="str">
            <v>P</v>
          </cell>
          <cell r="D2020" t="str">
            <v>23253</v>
          </cell>
          <cell r="E2020" t="str">
            <v>PIPE</v>
          </cell>
          <cell r="F2020">
            <v>1</v>
          </cell>
          <cell r="G2020" t="str">
            <v>CB100408000200</v>
          </cell>
          <cell r="H2020">
            <v>2</v>
          </cell>
          <cell r="I2020" t="str">
            <v>--</v>
          </cell>
          <cell r="J2020">
            <v>2.5</v>
          </cell>
          <cell r="K2020">
            <v>2.8</v>
          </cell>
        </row>
        <row r="2021">
          <cell r="A2021" t="str">
            <v>M2</v>
          </cell>
          <cell r="B2021" t="str">
            <v>A5C</v>
          </cell>
          <cell r="C2021" t="str">
            <v>TRIM</v>
          </cell>
          <cell r="D2021" t="str">
            <v>V-2352</v>
          </cell>
          <cell r="E2021" t="str">
            <v>PIPE</v>
          </cell>
          <cell r="F2021">
            <v>1</v>
          </cell>
          <cell r="G2021" t="str">
            <v>CB100408000200</v>
          </cell>
          <cell r="H2021">
            <v>2</v>
          </cell>
          <cell r="I2021" t="str">
            <v>--</v>
          </cell>
          <cell r="J2021">
            <v>2.5</v>
          </cell>
          <cell r="K2021">
            <v>2.8</v>
          </cell>
        </row>
        <row r="2022">
          <cell r="A2022" t="str">
            <v>M2</v>
          </cell>
          <cell r="B2022" t="str">
            <v>A5C</v>
          </cell>
          <cell r="C2022" t="str">
            <v>P</v>
          </cell>
          <cell r="D2022" t="str">
            <v>23073</v>
          </cell>
          <cell r="E2022" t="str">
            <v>PIPE</v>
          </cell>
          <cell r="F2022">
            <v>1</v>
          </cell>
          <cell r="G2022" t="str">
            <v>CB100408000200</v>
          </cell>
          <cell r="H2022">
            <v>2</v>
          </cell>
          <cell r="I2022" t="str">
            <v>--</v>
          </cell>
          <cell r="J2022">
            <v>3</v>
          </cell>
          <cell r="K2022">
            <v>3.3</v>
          </cell>
        </row>
        <row r="2023">
          <cell r="A2023" t="str">
            <v>M2</v>
          </cell>
          <cell r="B2023" t="str">
            <v>A5C</v>
          </cell>
          <cell r="C2023" t="str">
            <v>P</v>
          </cell>
          <cell r="D2023" t="str">
            <v>23102</v>
          </cell>
          <cell r="E2023" t="str">
            <v>PIPE</v>
          </cell>
          <cell r="F2023">
            <v>1</v>
          </cell>
          <cell r="G2023" t="str">
            <v>CB100408000200</v>
          </cell>
          <cell r="H2023">
            <v>2</v>
          </cell>
          <cell r="I2023" t="str">
            <v>--</v>
          </cell>
          <cell r="J2023">
            <v>3</v>
          </cell>
          <cell r="K2023">
            <v>3.3</v>
          </cell>
        </row>
        <row r="2024">
          <cell r="A2024" t="str">
            <v>M2</v>
          </cell>
          <cell r="B2024" t="str">
            <v>A5C</v>
          </cell>
          <cell r="C2024" t="str">
            <v>TRIM</v>
          </cell>
          <cell r="D2024" t="str">
            <v>V-2316</v>
          </cell>
          <cell r="E2024" t="str">
            <v>PIPE</v>
          </cell>
          <cell r="F2024">
            <v>1</v>
          </cell>
          <cell r="G2024" t="str">
            <v>CB100408000200</v>
          </cell>
          <cell r="H2024">
            <v>2</v>
          </cell>
          <cell r="I2024" t="str">
            <v>--</v>
          </cell>
          <cell r="J2024">
            <v>3.6</v>
          </cell>
          <cell r="K2024">
            <v>4</v>
          </cell>
        </row>
        <row r="2025">
          <cell r="A2025" t="str">
            <v>M2</v>
          </cell>
          <cell r="B2025" t="str">
            <v>A5C</v>
          </cell>
          <cell r="C2025" t="str">
            <v>TRIM</v>
          </cell>
          <cell r="D2025" t="str">
            <v>V-2351</v>
          </cell>
          <cell r="E2025" t="str">
            <v>PIPE</v>
          </cell>
          <cell r="F2025">
            <v>1</v>
          </cell>
          <cell r="G2025" t="str">
            <v>CB100408000200</v>
          </cell>
          <cell r="H2025">
            <v>2</v>
          </cell>
          <cell r="I2025" t="str">
            <v>--</v>
          </cell>
          <cell r="J2025">
            <v>4.5</v>
          </cell>
          <cell r="K2025">
            <v>5</v>
          </cell>
        </row>
        <row r="2026">
          <cell r="A2026" t="str">
            <v>M2</v>
          </cell>
          <cell r="B2026" t="str">
            <v>A5C</v>
          </cell>
          <cell r="C2026" t="str">
            <v>P</v>
          </cell>
          <cell r="D2026" t="str">
            <v>24021</v>
          </cell>
          <cell r="E2026" t="str">
            <v>PIPE</v>
          </cell>
          <cell r="F2026">
            <v>1</v>
          </cell>
          <cell r="G2026" t="str">
            <v>CB100408000200</v>
          </cell>
          <cell r="H2026">
            <v>2</v>
          </cell>
          <cell r="I2026" t="str">
            <v>--</v>
          </cell>
          <cell r="J2026">
            <v>5</v>
          </cell>
          <cell r="K2026">
            <v>5.5</v>
          </cell>
        </row>
        <row r="2027">
          <cell r="A2027" t="str">
            <v>M2</v>
          </cell>
          <cell r="B2027" t="str">
            <v>A5C</v>
          </cell>
          <cell r="C2027" t="str">
            <v>P</v>
          </cell>
          <cell r="D2027" t="str">
            <v>23224</v>
          </cell>
          <cell r="E2027" t="str">
            <v>PIPE</v>
          </cell>
          <cell r="F2027">
            <v>1</v>
          </cell>
          <cell r="G2027" t="str">
            <v>CB100408000200</v>
          </cell>
          <cell r="H2027">
            <v>2</v>
          </cell>
          <cell r="I2027" t="str">
            <v>--</v>
          </cell>
          <cell r="J2027">
            <v>5</v>
          </cell>
          <cell r="K2027">
            <v>5.5</v>
          </cell>
        </row>
        <row r="2028">
          <cell r="A2028" t="str">
            <v>M2</v>
          </cell>
          <cell r="B2028" t="str">
            <v>A5C</v>
          </cell>
          <cell r="C2028" t="str">
            <v>P</v>
          </cell>
          <cell r="D2028" t="str">
            <v>24006</v>
          </cell>
          <cell r="E2028" t="str">
            <v>PIPE</v>
          </cell>
          <cell r="F2028">
            <v>1</v>
          </cell>
          <cell r="G2028" t="str">
            <v>CB100408000200</v>
          </cell>
          <cell r="H2028">
            <v>2</v>
          </cell>
          <cell r="I2028" t="str">
            <v>--</v>
          </cell>
          <cell r="J2028">
            <v>5.5</v>
          </cell>
          <cell r="K2028">
            <v>6.1</v>
          </cell>
        </row>
        <row r="2029">
          <cell r="A2029" t="str">
            <v>M2</v>
          </cell>
          <cell r="B2029" t="str">
            <v>A5C</v>
          </cell>
          <cell r="C2029" t="str">
            <v>P</v>
          </cell>
          <cell r="D2029" t="str">
            <v>23102</v>
          </cell>
          <cell r="E2029" t="str">
            <v>PIPE</v>
          </cell>
          <cell r="F2029">
            <v>1</v>
          </cell>
          <cell r="G2029" t="str">
            <v>CB100408000200</v>
          </cell>
          <cell r="H2029">
            <v>2</v>
          </cell>
          <cell r="I2029" t="str">
            <v>--</v>
          </cell>
          <cell r="J2029">
            <v>6</v>
          </cell>
          <cell r="K2029">
            <v>6.6</v>
          </cell>
        </row>
        <row r="2030">
          <cell r="A2030" t="str">
            <v>M2</v>
          </cell>
          <cell r="B2030" t="str">
            <v>A5C</v>
          </cell>
          <cell r="C2030" t="str">
            <v>P</v>
          </cell>
          <cell r="D2030" t="str">
            <v>23019</v>
          </cell>
          <cell r="E2030" t="str">
            <v>PIPE</v>
          </cell>
          <cell r="F2030">
            <v>1</v>
          </cell>
          <cell r="G2030" t="str">
            <v>CB100408000200</v>
          </cell>
          <cell r="H2030">
            <v>2</v>
          </cell>
          <cell r="I2030" t="str">
            <v>--</v>
          </cell>
          <cell r="J2030">
            <v>7.1</v>
          </cell>
          <cell r="K2030">
            <v>7.9</v>
          </cell>
        </row>
        <row r="2031">
          <cell r="A2031" t="str">
            <v>M2</v>
          </cell>
          <cell r="B2031" t="str">
            <v>A5C</v>
          </cell>
          <cell r="C2031" t="str">
            <v>P</v>
          </cell>
          <cell r="D2031" t="str">
            <v>23053</v>
          </cell>
          <cell r="E2031" t="str">
            <v>PIPE</v>
          </cell>
          <cell r="F2031">
            <v>1</v>
          </cell>
          <cell r="G2031" t="str">
            <v>CB100408000200</v>
          </cell>
          <cell r="H2031">
            <v>2</v>
          </cell>
          <cell r="I2031" t="str">
            <v>--</v>
          </cell>
          <cell r="J2031">
            <v>7.1</v>
          </cell>
          <cell r="K2031">
            <v>7.9</v>
          </cell>
        </row>
        <row r="2032">
          <cell r="A2032" t="str">
            <v>M2</v>
          </cell>
          <cell r="B2032" t="str">
            <v>A5C</v>
          </cell>
          <cell r="C2032" t="str">
            <v>P</v>
          </cell>
          <cell r="D2032" t="str">
            <v>23233</v>
          </cell>
          <cell r="E2032" t="str">
            <v>PIPE</v>
          </cell>
          <cell r="F2032">
            <v>1</v>
          </cell>
          <cell r="G2032" t="str">
            <v>CB100408000200</v>
          </cell>
          <cell r="H2032">
            <v>2</v>
          </cell>
          <cell r="I2032" t="str">
            <v>--</v>
          </cell>
          <cell r="J2032">
            <v>8.5</v>
          </cell>
          <cell r="K2032">
            <v>9.4</v>
          </cell>
        </row>
        <row r="2033">
          <cell r="A2033" t="str">
            <v>M2</v>
          </cell>
          <cell r="B2033" t="str">
            <v>A5C</v>
          </cell>
          <cell r="C2033" t="str">
            <v>P</v>
          </cell>
          <cell r="D2033" t="str">
            <v>23255</v>
          </cell>
          <cell r="E2033" t="str">
            <v>PIPE</v>
          </cell>
          <cell r="F2033">
            <v>1</v>
          </cell>
          <cell r="G2033" t="str">
            <v>CB100408000200</v>
          </cell>
          <cell r="H2033">
            <v>2</v>
          </cell>
          <cell r="I2033" t="str">
            <v>--</v>
          </cell>
          <cell r="J2033">
            <v>8.5</v>
          </cell>
          <cell r="K2033">
            <v>9.4</v>
          </cell>
        </row>
        <row r="2034">
          <cell r="A2034" t="str">
            <v>M2</v>
          </cell>
          <cell r="B2034" t="str">
            <v>A5C</v>
          </cell>
          <cell r="C2034" t="str">
            <v>P</v>
          </cell>
          <cell r="D2034" t="str">
            <v>23229</v>
          </cell>
          <cell r="E2034" t="str">
            <v>PIPE</v>
          </cell>
          <cell r="F2034">
            <v>1</v>
          </cell>
          <cell r="G2034" t="str">
            <v>CB100408000200</v>
          </cell>
          <cell r="H2034">
            <v>2</v>
          </cell>
          <cell r="I2034" t="str">
            <v>--</v>
          </cell>
          <cell r="J2034">
            <v>10</v>
          </cell>
          <cell r="K2034">
            <v>11</v>
          </cell>
        </row>
        <row r="2035">
          <cell r="A2035" t="str">
            <v>M2</v>
          </cell>
          <cell r="B2035" t="str">
            <v>A5C</v>
          </cell>
          <cell r="C2035" t="str">
            <v>P</v>
          </cell>
          <cell r="D2035" t="str">
            <v>23251</v>
          </cell>
          <cell r="E2035" t="str">
            <v>PIPE</v>
          </cell>
          <cell r="F2035">
            <v>1</v>
          </cell>
          <cell r="G2035" t="str">
            <v>CB100408000200</v>
          </cell>
          <cell r="H2035">
            <v>2</v>
          </cell>
          <cell r="I2035" t="str">
            <v>--</v>
          </cell>
          <cell r="J2035">
            <v>10</v>
          </cell>
          <cell r="K2035">
            <v>11</v>
          </cell>
        </row>
        <row r="2036">
          <cell r="A2036" t="str">
            <v>M2</v>
          </cell>
          <cell r="B2036" t="str">
            <v>A5C</v>
          </cell>
          <cell r="C2036" t="str">
            <v>P</v>
          </cell>
          <cell r="D2036" t="str">
            <v>24009</v>
          </cell>
          <cell r="E2036" t="str">
            <v>PIPE</v>
          </cell>
          <cell r="F2036">
            <v>1</v>
          </cell>
          <cell r="G2036" t="str">
            <v>CB100408000200</v>
          </cell>
          <cell r="H2036">
            <v>2</v>
          </cell>
          <cell r="I2036" t="str">
            <v>--</v>
          </cell>
          <cell r="J2036">
            <v>12</v>
          </cell>
          <cell r="K2036">
            <v>13.2</v>
          </cell>
        </row>
        <row r="2037">
          <cell r="A2037" t="str">
            <v>M2</v>
          </cell>
          <cell r="B2037" t="str">
            <v>A5C</v>
          </cell>
          <cell r="C2037" t="str">
            <v>P</v>
          </cell>
          <cell r="D2037" t="str">
            <v>23115</v>
          </cell>
          <cell r="E2037" t="str">
            <v>PIPE</v>
          </cell>
          <cell r="F2037">
            <v>1</v>
          </cell>
          <cell r="G2037" t="str">
            <v>CB100408000200</v>
          </cell>
          <cell r="H2037">
            <v>2</v>
          </cell>
          <cell r="I2037" t="str">
            <v>--</v>
          </cell>
          <cell r="J2037">
            <v>13</v>
          </cell>
          <cell r="K2037">
            <v>14.3</v>
          </cell>
        </row>
        <row r="2038">
          <cell r="A2038" t="str">
            <v>M2</v>
          </cell>
          <cell r="B2038" t="str">
            <v>A5C</v>
          </cell>
          <cell r="C2038" t="str">
            <v>P</v>
          </cell>
          <cell r="D2038" t="str">
            <v>23261</v>
          </cell>
          <cell r="E2038" t="str">
            <v>PIPE</v>
          </cell>
          <cell r="F2038">
            <v>1</v>
          </cell>
          <cell r="G2038" t="str">
            <v>CB100408000200</v>
          </cell>
          <cell r="H2038">
            <v>2</v>
          </cell>
          <cell r="I2038" t="str">
            <v>--</v>
          </cell>
          <cell r="J2038">
            <v>13</v>
          </cell>
          <cell r="K2038">
            <v>14.3</v>
          </cell>
        </row>
        <row r="2039">
          <cell r="A2039" t="str">
            <v>M2</v>
          </cell>
          <cell r="B2039" t="str">
            <v>A5C</v>
          </cell>
          <cell r="C2039" t="str">
            <v>P</v>
          </cell>
          <cell r="D2039" t="str">
            <v>23054</v>
          </cell>
          <cell r="E2039" t="str">
            <v>PIPE</v>
          </cell>
          <cell r="F2039">
            <v>1</v>
          </cell>
          <cell r="G2039" t="str">
            <v>CB100408000200</v>
          </cell>
          <cell r="H2039">
            <v>2</v>
          </cell>
          <cell r="I2039" t="str">
            <v>--</v>
          </cell>
          <cell r="J2039">
            <v>15</v>
          </cell>
          <cell r="K2039">
            <v>16.5</v>
          </cell>
        </row>
        <row r="2040">
          <cell r="A2040" t="str">
            <v>M2</v>
          </cell>
          <cell r="B2040" t="str">
            <v>A5C</v>
          </cell>
          <cell r="C2040" t="str">
            <v>P</v>
          </cell>
          <cell r="D2040" t="str">
            <v>23020</v>
          </cell>
          <cell r="E2040" t="str">
            <v>PIPE</v>
          </cell>
          <cell r="F2040">
            <v>1</v>
          </cell>
          <cell r="G2040" t="str">
            <v>CB100408000200</v>
          </cell>
          <cell r="H2040">
            <v>2</v>
          </cell>
          <cell r="I2040" t="str">
            <v>--</v>
          </cell>
          <cell r="J2040">
            <v>15</v>
          </cell>
          <cell r="K2040">
            <v>16.5</v>
          </cell>
        </row>
        <row r="2041">
          <cell r="A2041" t="str">
            <v>M2</v>
          </cell>
          <cell r="B2041" t="str">
            <v>A5C</v>
          </cell>
          <cell r="C2041" t="str">
            <v>P</v>
          </cell>
          <cell r="D2041" t="str">
            <v>23036</v>
          </cell>
          <cell r="E2041" t="str">
            <v>PIPE</v>
          </cell>
          <cell r="F2041">
            <v>1</v>
          </cell>
          <cell r="G2041" t="str">
            <v>CB100408000200</v>
          </cell>
          <cell r="H2041">
            <v>2</v>
          </cell>
          <cell r="I2041" t="str">
            <v>--</v>
          </cell>
          <cell r="J2041">
            <v>17.3</v>
          </cell>
          <cell r="K2041">
            <v>19.100000000000001</v>
          </cell>
        </row>
        <row r="2042">
          <cell r="A2042" t="str">
            <v>M2</v>
          </cell>
          <cell r="B2042" t="str">
            <v>A5C</v>
          </cell>
          <cell r="C2042" t="str">
            <v>P</v>
          </cell>
          <cell r="D2042" t="str">
            <v>23030</v>
          </cell>
          <cell r="E2042" t="str">
            <v>PIPE</v>
          </cell>
          <cell r="F2042">
            <v>1</v>
          </cell>
          <cell r="G2042" t="str">
            <v>CB100408000200</v>
          </cell>
          <cell r="H2042">
            <v>2</v>
          </cell>
          <cell r="I2042" t="str">
            <v>--</v>
          </cell>
          <cell r="J2042">
            <v>17.5</v>
          </cell>
          <cell r="K2042">
            <v>19.3</v>
          </cell>
        </row>
        <row r="2043">
          <cell r="A2043" t="str">
            <v>M2</v>
          </cell>
          <cell r="B2043" t="str">
            <v>A5C</v>
          </cell>
          <cell r="C2043" t="str">
            <v>P</v>
          </cell>
          <cell r="D2043" t="str">
            <v>23001</v>
          </cell>
          <cell r="E2043" t="str">
            <v>PIPE</v>
          </cell>
          <cell r="F2043">
            <v>1</v>
          </cell>
          <cell r="G2043" t="str">
            <v>CB100408000200</v>
          </cell>
          <cell r="H2043">
            <v>2</v>
          </cell>
          <cell r="I2043" t="str">
            <v>--</v>
          </cell>
          <cell r="J2043">
            <v>17.899999999999999</v>
          </cell>
          <cell r="K2043">
            <v>19.7</v>
          </cell>
        </row>
        <row r="2044">
          <cell r="A2044" t="str">
            <v>M2</v>
          </cell>
          <cell r="B2044" t="str">
            <v>A5C</v>
          </cell>
          <cell r="C2044" t="str">
            <v>P</v>
          </cell>
          <cell r="D2044" t="str">
            <v>23264</v>
          </cell>
          <cell r="E2044" t="str">
            <v>PIPE</v>
          </cell>
          <cell r="F2044">
            <v>1</v>
          </cell>
          <cell r="G2044" t="str">
            <v>CB100408000200</v>
          </cell>
          <cell r="H2044">
            <v>2</v>
          </cell>
          <cell r="I2044" t="str">
            <v>--</v>
          </cell>
          <cell r="J2044">
            <v>18</v>
          </cell>
          <cell r="K2044">
            <v>19.8</v>
          </cell>
        </row>
        <row r="2045">
          <cell r="A2045" t="str">
            <v>M2</v>
          </cell>
          <cell r="B2045" t="str">
            <v>A5C</v>
          </cell>
          <cell r="C2045" t="str">
            <v>P</v>
          </cell>
          <cell r="D2045" t="str">
            <v>23085</v>
          </cell>
          <cell r="E2045" t="str">
            <v>PIPE</v>
          </cell>
          <cell r="F2045">
            <v>1</v>
          </cell>
          <cell r="G2045" t="str">
            <v>CB100408000200</v>
          </cell>
          <cell r="H2045">
            <v>2</v>
          </cell>
          <cell r="I2045" t="str">
            <v>--</v>
          </cell>
          <cell r="J2045">
            <v>18.5</v>
          </cell>
          <cell r="K2045">
            <v>20.399999999999999</v>
          </cell>
        </row>
        <row r="2046">
          <cell r="A2046" t="str">
            <v>M2</v>
          </cell>
          <cell r="B2046" t="str">
            <v>A5C</v>
          </cell>
          <cell r="C2046" t="str">
            <v>P</v>
          </cell>
          <cell r="D2046" t="str">
            <v>23192</v>
          </cell>
          <cell r="E2046" t="str">
            <v>PIPE</v>
          </cell>
          <cell r="F2046">
            <v>1</v>
          </cell>
          <cell r="G2046" t="str">
            <v>CB100408000200</v>
          </cell>
          <cell r="H2046">
            <v>2</v>
          </cell>
          <cell r="I2046" t="str">
            <v>--</v>
          </cell>
          <cell r="J2046">
            <v>20</v>
          </cell>
          <cell r="K2046">
            <v>22</v>
          </cell>
        </row>
        <row r="2047">
          <cell r="A2047" t="str">
            <v>M2</v>
          </cell>
          <cell r="B2047" t="str">
            <v>A5C</v>
          </cell>
          <cell r="C2047" t="str">
            <v>P</v>
          </cell>
          <cell r="D2047" t="str">
            <v>23263</v>
          </cell>
          <cell r="E2047" t="str">
            <v>PIPE</v>
          </cell>
          <cell r="F2047">
            <v>1</v>
          </cell>
          <cell r="G2047" t="str">
            <v>CB100408000200</v>
          </cell>
          <cell r="H2047">
            <v>2</v>
          </cell>
          <cell r="I2047" t="str">
            <v>--</v>
          </cell>
          <cell r="J2047">
            <v>23</v>
          </cell>
          <cell r="K2047">
            <v>25.3</v>
          </cell>
        </row>
        <row r="2048">
          <cell r="A2048" t="str">
            <v>M2</v>
          </cell>
          <cell r="B2048" t="str">
            <v>A5C</v>
          </cell>
          <cell r="C2048" t="str">
            <v>P</v>
          </cell>
          <cell r="D2048" t="str">
            <v>23192</v>
          </cell>
          <cell r="E2048" t="str">
            <v>PIPE</v>
          </cell>
          <cell r="F2048">
            <v>1</v>
          </cell>
          <cell r="G2048" t="str">
            <v>CB100408000200</v>
          </cell>
          <cell r="H2048">
            <v>2</v>
          </cell>
          <cell r="I2048" t="str">
            <v>--</v>
          </cell>
          <cell r="J2048">
            <v>29</v>
          </cell>
          <cell r="K2048">
            <v>31.9</v>
          </cell>
        </row>
        <row r="2049">
          <cell r="A2049" t="str">
            <v>M2</v>
          </cell>
          <cell r="B2049" t="str">
            <v>A5C</v>
          </cell>
          <cell r="C2049" t="str">
            <v>P</v>
          </cell>
          <cell r="D2049" t="str">
            <v>23131</v>
          </cell>
          <cell r="E2049" t="str">
            <v>PIPE</v>
          </cell>
          <cell r="F2049">
            <v>1</v>
          </cell>
          <cell r="G2049" t="str">
            <v>CB100408000200</v>
          </cell>
          <cell r="H2049">
            <v>2</v>
          </cell>
          <cell r="I2049" t="str">
            <v>--</v>
          </cell>
          <cell r="J2049">
            <v>32.5</v>
          </cell>
          <cell r="K2049">
            <v>35.799999999999997</v>
          </cell>
        </row>
        <row r="2050">
          <cell r="A2050" t="str">
            <v>M2</v>
          </cell>
          <cell r="B2050" t="str">
            <v>A5C</v>
          </cell>
          <cell r="C2050" t="str">
            <v>P</v>
          </cell>
          <cell r="D2050" t="str">
            <v>23092</v>
          </cell>
          <cell r="E2050" t="str">
            <v>PIPE</v>
          </cell>
          <cell r="F2050">
            <v>1</v>
          </cell>
          <cell r="G2050" t="str">
            <v>CB100408000200</v>
          </cell>
          <cell r="H2050">
            <v>2</v>
          </cell>
          <cell r="I2050" t="str">
            <v>--</v>
          </cell>
          <cell r="J2050">
            <v>32.5</v>
          </cell>
          <cell r="K2050">
            <v>35.799999999999997</v>
          </cell>
        </row>
        <row r="2051">
          <cell r="A2051" t="str">
            <v>M2</v>
          </cell>
          <cell r="B2051" t="str">
            <v>A5C</v>
          </cell>
          <cell r="C2051" t="str">
            <v>P</v>
          </cell>
          <cell r="D2051" t="str">
            <v>23096</v>
          </cell>
          <cell r="E2051" t="str">
            <v>PIPE</v>
          </cell>
          <cell r="F2051">
            <v>1</v>
          </cell>
          <cell r="G2051" t="str">
            <v>CB100408000200</v>
          </cell>
          <cell r="H2051">
            <v>2</v>
          </cell>
          <cell r="I2051" t="str">
            <v>--</v>
          </cell>
          <cell r="J2051">
            <v>33.5</v>
          </cell>
          <cell r="K2051">
            <v>36.9</v>
          </cell>
        </row>
        <row r="2052">
          <cell r="A2052" t="str">
            <v>M2</v>
          </cell>
          <cell r="B2052" t="str">
            <v>A5C</v>
          </cell>
          <cell r="C2052" t="str">
            <v>P</v>
          </cell>
          <cell r="D2052" t="str">
            <v>23135</v>
          </cell>
          <cell r="E2052" t="str">
            <v>PIPE</v>
          </cell>
          <cell r="F2052">
            <v>1</v>
          </cell>
          <cell r="G2052" t="str">
            <v>CB100408000200</v>
          </cell>
          <cell r="H2052">
            <v>2</v>
          </cell>
          <cell r="I2052" t="str">
            <v>--</v>
          </cell>
          <cell r="J2052">
            <v>33.5</v>
          </cell>
          <cell r="K2052">
            <v>36.9</v>
          </cell>
        </row>
        <row r="2053">
          <cell r="A2053" t="str">
            <v>M2</v>
          </cell>
          <cell r="B2053" t="str">
            <v>A5C</v>
          </cell>
          <cell r="C2053" t="str">
            <v>P</v>
          </cell>
          <cell r="D2053" t="str">
            <v>23020</v>
          </cell>
          <cell r="E2053" t="str">
            <v>PIPE</v>
          </cell>
          <cell r="F2053">
            <v>1</v>
          </cell>
          <cell r="G2053" t="str">
            <v>CB100408000200</v>
          </cell>
          <cell r="H2053">
            <v>2</v>
          </cell>
          <cell r="I2053" t="str">
            <v>--</v>
          </cell>
          <cell r="J2053">
            <v>34.1</v>
          </cell>
          <cell r="K2053">
            <v>37.6</v>
          </cell>
        </row>
        <row r="2054">
          <cell r="A2054" t="str">
            <v>M2</v>
          </cell>
          <cell r="B2054" t="str">
            <v>A5C</v>
          </cell>
          <cell r="C2054" t="str">
            <v>P</v>
          </cell>
          <cell r="D2054" t="str">
            <v>HOLD1</v>
          </cell>
          <cell r="E2054" t="str">
            <v>PIPE</v>
          </cell>
          <cell r="F2054">
            <v>1</v>
          </cell>
          <cell r="G2054" t="str">
            <v>CB100408000200</v>
          </cell>
          <cell r="H2054">
            <v>2</v>
          </cell>
          <cell r="I2054" t="str">
            <v>--</v>
          </cell>
          <cell r="J2054">
            <v>51</v>
          </cell>
          <cell r="K2054">
            <v>56.1</v>
          </cell>
        </row>
        <row r="2055">
          <cell r="A2055" t="str">
            <v>M2</v>
          </cell>
          <cell r="B2055" t="str">
            <v>A5C</v>
          </cell>
          <cell r="C2055" t="str">
            <v>P</v>
          </cell>
          <cell r="D2055" t="str">
            <v>23054</v>
          </cell>
          <cell r="E2055" t="str">
            <v>PIPE</v>
          </cell>
          <cell r="F2055">
            <v>1</v>
          </cell>
          <cell r="G2055" t="str">
            <v>CB100408000200</v>
          </cell>
          <cell r="H2055">
            <v>2</v>
          </cell>
          <cell r="I2055" t="str">
            <v>--</v>
          </cell>
          <cell r="J2055">
            <v>54.1</v>
          </cell>
          <cell r="K2055">
            <v>59.6</v>
          </cell>
        </row>
        <row r="2056">
          <cell r="A2056" t="str">
            <v>M2</v>
          </cell>
          <cell r="B2056" t="str">
            <v>A5C</v>
          </cell>
          <cell r="C2056" t="str">
            <v>P</v>
          </cell>
          <cell r="D2056" t="str">
            <v>23174</v>
          </cell>
          <cell r="E2056" t="str">
            <v>PIPE</v>
          </cell>
          <cell r="F2056">
            <v>1</v>
          </cell>
          <cell r="G2056" t="str">
            <v>CB100404000300</v>
          </cell>
          <cell r="H2056">
            <v>3</v>
          </cell>
          <cell r="I2056" t="str">
            <v>--</v>
          </cell>
          <cell r="J2056">
            <v>1</v>
          </cell>
          <cell r="K2056">
            <v>1.1000000000000001</v>
          </cell>
        </row>
        <row r="2057">
          <cell r="A2057" t="str">
            <v>M2</v>
          </cell>
          <cell r="B2057" t="str">
            <v>A5C</v>
          </cell>
          <cell r="C2057" t="str">
            <v>P</v>
          </cell>
          <cell r="D2057" t="str">
            <v>23024</v>
          </cell>
          <cell r="E2057" t="str">
            <v>PIPE</v>
          </cell>
          <cell r="F2057">
            <v>1</v>
          </cell>
          <cell r="G2057" t="str">
            <v>CB100404000300</v>
          </cell>
          <cell r="H2057">
            <v>3</v>
          </cell>
          <cell r="I2057" t="str">
            <v>--</v>
          </cell>
          <cell r="J2057">
            <v>1</v>
          </cell>
          <cell r="K2057">
            <v>1.1000000000000001</v>
          </cell>
        </row>
        <row r="2058">
          <cell r="A2058" t="str">
            <v>M2</v>
          </cell>
          <cell r="B2058" t="str">
            <v>A5C</v>
          </cell>
          <cell r="C2058" t="str">
            <v>P</v>
          </cell>
          <cell r="D2058" t="str">
            <v>23094</v>
          </cell>
          <cell r="E2058" t="str">
            <v>PIPE</v>
          </cell>
          <cell r="F2058">
            <v>1</v>
          </cell>
          <cell r="G2058" t="str">
            <v>CB100404000300</v>
          </cell>
          <cell r="H2058">
            <v>3</v>
          </cell>
          <cell r="I2058" t="str">
            <v>--</v>
          </cell>
          <cell r="J2058">
            <v>2</v>
          </cell>
          <cell r="K2058">
            <v>2.2000000000000002</v>
          </cell>
        </row>
        <row r="2059">
          <cell r="A2059" t="str">
            <v>M2</v>
          </cell>
          <cell r="B2059" t="str">
            <v>A5C</v>
          </cell>
          <cell r="C2059" t="str">
            <v>P</v>
          </cell>
          <cell r="D2059" t="str">
            <v>23101</v>
          </cell>
          <cell r="E2059" t="str">
            <v>PIPE</v>
          </cell>
          <cell r="F2059">
            <v>1</v>
          </cell>
          <cell r="G2059" t="str">
            <v>CB100404000300</v>
          </cell>
          <cell r="H2059">
            <v>3</v>
          </cell>
          <cell r="I2059" t="str">
            <v>--</v>
          </cell>
          <cell r="J2059">
            <v>2</v>
          </cell>
          <cell r="K2059">
            <v>2.2000000000000002</v>
          </cell>
        </row>
        <row r="2060">
          <cell r="A2060" t="str">
            <v>M2</v>
          </cell>
          <cell r="B2060" t="str">
            <v>A5C</v>
          </cell>
          <cell r="C2060" t="str">
            <v>P</v>
          </cell>
          <cell r="D2060" t="str">
            <v>23105</v>
          </cell>
          <cell r="E2060" t="str">
            <v>PIPE</v>
          </cell>
          <cell r="F2060">
            <v>1</v>
          </cell>
          <cell r="G2060" t="str">
            <v>CB100404000300</v>
          </cell>
          <cell r="H2060">
            <v>3</v>
          </cell>
          <cell r="I2060" t="str">
            <v>--</v>
          </cell>
          <cell r="J2060">
            <v>2</v>
          </cell>
          <cell r="K2060">
            <v>2.2000000000000002</v>
          </cell>
        </row>
        <row r="2061">
          <cell r="A2061" t="str">
            <v>M2</v>
          </cell>
          <cell r="B2061" t="str">
            <v>A5C</v>
          </cell>
          <cell r="C2061" t="str">
            <v>P</v>
          </cell>
          <cell r="D2061" t="str">
            <v>23109</v>
          </cell>
          <cell r="E2061" t="str">
            <v>PIPE</v>
          </cell>
          <cell r="F2061">
            <v>1</v>
          </cell>
          <cell r="G2061" t="str">
            <v>CB100404000300</v>
          </cell>
          <cell r="H2061">
            <v>3</v>
          </cell>
          <cell r="I2061" t="str">
            <v>--</v>
          </cell>
          <cell r="J2061">
            <v>2</v>
          </cell>
          <cell r="K2061">
            <v>2.2000000000000002</v>
          </cell>
        </row>
        <row r="2062">
          <cell r="A2062" t="str">
            <v>M2</v>
          </cell>
          <cell r="B2062" t="str">
            <v>A5C</v>
          </cell>
          <cell r="C2062" t="str">
            <v>P</v>
          </cell>
          <cell r="D2062" t="str">
            <v>23141</v>
          </cell>
          <cell r="E2062" t="str">
            <v>PIPE</v>
          </cell>
          <cell r="F2062">
            <v>1</v>
          </cell>
          <cell r="G2062" t="str">
            <v>CB100404000300</v>
          </cell>
          <cell r="H2062">
            <v>3</v>
          </cell>
          <cell r="I2062" t="str">
            <v>--</v>
          </cell>
          <cell r="J2062">
            <v>2</v>
          </cell>
          <cell r="K2062">
            <v>2.2000000000000002</v>
          </cell>
        </row>
        <row r="2063">
          <cell r="A2063" t="str">
            <v>M2</v>
          </cell>
          <cell r="B2063" t="str">
            <v>A5C</v>
          </cell>
          <cell r="C2063" t="str">
            <v>P</v>
          </cell>
          <cell r="D2063" t="str">
            <v>23234</v>
          </cell>
          <cell r="E2063" t="str">
            <v>PIPE</v>
          </cell>
          <cell r="F2063">
            <v>1</v>
          </cell>
          <cell r="G2063" t="str">
            <v>CB100404000300</v>
          </cell>
          <cell r="H2063">
            <v>3</v>
          </cell>
          <cell r="I2063" t="str">
            <v>--</v>
          </cell>
          <cell r="J2063">
            <v>2</v>
          </cell>
          <cell r="K2063">
            <v>2.2000000000000002</v>
          </cell>
        </row>
        <row r="2064">
          <cell r="A2064" t="str">
            <v>M2</v>
          </cell>
          <cell r="B2064" t="str">
            <v>A5C</v>
          </cell>
          <cell r="C2064" t="str">
            <v>P</v>
          </cell>
          <cell r="D2064" t="str">
            <v>23113</v>
          </cell>
          <cell r="E2064" t="str">
            <v>PIPE</v>
          </cell>
          <cell r="F2064">
            <v>1</v>
          </cell>
          <cell r="G2064" t="str">
            <v>CB100404000300</v>
          </cell>
          <cell r="H2064">
            <v>3</v>
          </cell>
          <cell r="I2064" t="str">
            <v>--</v>
          </cell>
          <cell r="J2064">
            <v>2</v>
          </cell>
          <cell r="K2064">
            <v>2.2000000000000002</v>
          </cell>
        </row>
        <row r="2065">
          <cell r="A2065" t="str">
            <v>M2</v>
          </cell>
          <cell r="B2065" t="str">
            <v>A5C</v>
          </cell>
          <cell r="C2065" t="str">
            <v>P</v>
          </cell>
          <cell r="D2065" t="str">
            <v>23133</v>
          </cell>
          <cell r="E2065" t="str">
            <v>PIPE</v>
          </cell>
          <cell r="F2065">
            <v>1</v>
          </cell>
          <cell r="G2065" t="str">
            <v>CB100404000300</v>
          </cell>
          <cell r="H2065">
            <v>3</v>
          </cell>
          <cell r="I2065" t="str">
            <v>--</v>
          </cell>
          <cell r="J2065">
            <v>2</v>
          </cell>
          <cell r="K2065">
            <v>2.2000000000000002</v>
          </cell>
        </row>
        <row r="2066">
          <cell r="A2066" t="str">
            <v>M2</v>
          </cell>
          <cell r="B2066" t="str">
            <v>A5C</v>
          </cell>
          <cell r="C2066" t="str">
            <v>P</v>
          </cell>
          <cell r="D2066" t="str">
            <v>23145</v>
          </cell>
          <cell r="E2066" t="str">
            <v>PIPE</v>
          </cell>
          <cell r="F2066">
            <v>1</v>
          </cell>
          <cell r="G2066" t="str">
            <v>CB100404000300</v>
          </cell>
          <cell r="H2066">
            <v>3</v>
          </cell>
          <cell r="I2066" t="str">
            <v>--</v>
          </cell>
          <cell r="J2066">
            <v>2</v>
          </cell>
          <cell r="K2066">
            <v>2.2000000000000002</v>
          </cell>
        </row>
        <row r="2067">
          <cell r="A2067" t="str">
            <v>M2</v>
          </cell>
          <cell r="B2067" t="str">
            <v>A5C</v>
          </cell>
          <cell r="C2067" t="str">
            <v>P</v>
          </cell>
          <cell r="D2067" t="str">
            <v>23238</v>
          </cell>
          <cell r="E2067" t="str">
            <v>PIPE</v>
          </cell>
          <cell r="F2067">
            <v>1</v>
          </cell>
          <cell r="G2067" t="str">
            <v>CB100404000300</v>
          </cell>
          <cell r="H2067">
            <v>3</v>
          </cell>
          <cell r="I2067" t="str">
            <v>--</v>
          </cell>
          <cell r="J2067">
            <v>2</v>
          </cell>
          <cell r="K2067">
            <v>2.2000000000000002</v>
          </cell>
        </row>
        <row r="2068">
          <cell r="A2068" t="str">
            <v>M2</v>
          </cell>
          <cell r="B2068" t="str">
            <v>A5C</v>
          </cell>
          <cell r="C2068" t="str">
            <v>P</v>
          </cell>
          <cell r="D2068" t="str">
            <v>23071</v>
          </cell>
          <cell r="E2068" t="str">
            <v>PIPE</v>
          </cell>
          <cell r="F2068">
            <v>1</v>
          </cell>
          <cell r="G2068" t="str">
            <v>CB100404000300</v>
          </cell>
          <cell r="H2068">
            <v>3</v>
          </cell>
          <cell r="I2068" t="str">
            <v>--</v>
          </cell>
          <cell r="J2068">
            <v>2</v>
          </cell>
          <cell r="K2068">
            <v>2.2000000000000002</v>
          </cell>
        </row>
        <row r="2069">
          <cell r="A2069" t="str">
            <v>M2</v>
          </cell>
          <cell r="B2069" t="str">
            <v>A5C</v>
          </cell>
          <cell r="C2069" t="str">
            <v>TRIM</v>
          </cell>
          <cell r="D2069" t="str">
            <v>V-2304</v>
          </cell>
          <cell r="E2069" t="str">
            <v>PIPE</v>
          </cell>
          <cell r="F2069">
            <v>1</v>
          </cell>
          <cell r="G2069" t="str">
            <v>CB100404000300</v>
          </cell>
          <cell r="H2069">
            <v>3</v>
          </cell>
          <cell r="I2069" t="str">
            <v>--</v>
          </cell>
          <cell r="J2069">
            <v>2</v>
          </cell>
          <cell r="K2069">
            <v>2.2000000000000002</v>
          </cell>
        </row>
        <row r="2070">
          <cell r="A2070" t="str">
            <v>M2</v>
          </cell>
          <cell r="B2070" t="str">
            <v>A5C</v>
          </cell>
          <cell r="C2070" t="str">
            <v>TRIM</v>
          </cell>
          <cell r="D2070" t="str">
            <v>V-2306</v>
          </cell>
          <cell r="E2070" t="str">
            <v>PIPE</v>
          </cell>
          <cell r="F2070">
            <v>1</v>
          </cell>
          <cell r="G2070" t="str">
            <v>CB100404000300</v>
          </cell>
          <cell r="H2070">
            <v>3</v>
          </cell>
          <cell r="I2070" t="str">
            <v>--</v>
          </cell>
          <cell r="J2070">
            <v>2</v>
          </cell>
          <cell r="K2070">
            <v>2.2000000000000002</v>
          </cell>
        </row>
        <row r="2071">
          <cell r="A2071" t="str">
            <v>M2</v>
          </cell>
          <cell r="B2071" t="str">
            <v>A5C</v>
          </cell>
          <cell r="C2071" t="str">
            <v>TRIM</v>
          </cell>
          <cell r="D2071" t="str">
            <v>V-2308</v>
          </cell>
          <cell r="E2071" t="str">
            <v>PIPE</v>
          </cell>
          <cell r="F2071">
            <v>1</v>
          </cell>
          <cell r="G2071" t="str">
            <v>CB100404000300</v>
          </cell>
          <cell r="H2071">
            <v>3</v>
          </cell>
          <cell r="I2071" t="str">
            <v>--</v>
          </cell>
          <cell r="J2071">
            <v>2</v>
          </cell>
          <cell r="K2071">
            <v>2.2000000000000002</v>
          </cell>
        </row>
        <row r="2072">
          <cell r="A2072" t="str">
            <v>M2</v>
          </cell>
          <cell r="B2072" t="str">
            <v>A5C</v>
          </cell>
          <cell r="C2072" t="str">
            <v>TRIM</v>
          </cell>
          <cell r="D2072" t="str">
            <v>V-2310</v>
          </cell>
          <cell r="E2072" t="str">
            <v>PIPE</v>
          </cell>
          <cell r="F2072">
            <v>1</v>
          </cell>
          <cell r="G2072" t="str">
            <v>CB100404000300</v>
          </cell>
          <cell r="H2072">
            <v>3</v>
          </cell>
          <cell r="I2072" t="str">
            <v>--</v>
          </cell>
          <cell r="J2072">
            <v>2</v>
          </cell>
          <cell r="K2072">
            <v>2.2000000000000002</v>
          </cell>
        </row>
        <row r="2073">
          <cell r="A2073" t="str">
            <v>M2</v>
          </cell>
          <cell r="B2073" t="str">
            <v>A5C</v>
          </cell>
          <cell r="C2073" t="str">
            <v>TRIM</v>
          </cell>
          <cell r="D2073" t="str">
            <v>V-2313</v>
          </cell>
          <cell r="E2073" t="str">
            <v>PIPE</v>
          </cell>
          <cell r="F2073">
            <v>1</v>
          </cell>
          <cell r="G2073" t="str">
            <v>CB100404000300</v>
          </cell>
          <cell r="H2073">
            <v>3</v>
          </cell>
          <cell r="I2073" t="str">
            <v>--</v>
          </cell>
          <cell r="J2073">
            <v>2</v>
          </cell>
          <cell r="K2073">
            <v>2.2000000000000002</v>
          </cell>
        </row>
        <row r="2074">
          <cell r="A2074" t="str">
            <v>M2</v>
          </cell>
          <cell r="B2074" t="str">
            <v>A5C</v>
          </cell>
          <cell r="C2074" t="str">
            <v>TRIM</v>
          </cell>
          <cell r="D2074" t="str">
            <v>C-2306</v>
          </cell>
          <cell r="E2074" t="str">
            <v>PIPE</v>
          </cell>
          <cell r="F2074">
            <v>1</v>
          </cell>
          <cell r="G2074" t="str">
            <v>CB100404000300</v>
          </cell>
          <cell r="H2074">
            <v>3</v>
          </cell>
          <cell r="I2074" t="str">
            <v>--</v>
          </cell>
          <cell r="J2074">
            <v>2</v>
          </cell>
          <cell r="K2074">
            <v>2.2000000000000002</v>
          </cell>
        </row>
        <row r="2075">
          <cell r="A2075" t="str">
            <v>M2</v>
          </cell>
          <cell r="B2075" t="str">
            <v>A5C</v>
          </cell>
          <cell r="C2075" t="str">
            <v>TRIM</v>
          </cell>
          <cell r="D2075" t="str">
            <v>V-2302</v>
          </cell>
          <cell r="E2075" t="str">
            <v>PIPE</v>
          </cell>
          <cell r="F2075">
            <v>1</v>
          </cell>
          <cell r="G2075" t="str">
            <v>CB100404000300</v>
          </cell>
          <cell r="H2075">
            <v>3</v>
          </cell>
          <cell r="I2075" t="str">
            <v>--</v>
          </cell>
          <cell r="J2075">
            <v>2</v>
          </cell>
          <cell r="K2075">
            <v>2.2000000000000002</v>
          </cell>
        </row>
        <row r="2076">
          <cell r="A2076" t="str">
            <v>M2</v>
          </cell>
          <cell r="B2076" t="str">
            <v>A5C</v>
          </cell>
          <cell r="C2076" t="str">
            <v>P</v>
          </cell>
          <cell r="D2076" t="str">
            <v>24026</v>
          </cell>
          <cell r="E2076" t="str">
            <v>PIPE</v>
          </cell>
          <cell r="F2076">
            <v>1</v>
          </cell>
          <cell r="G2076" t="str">
            <v>CB100404000300</v>
          </cell>
          <cell r="H2076">
            <v>3</v>
          </cell>
          <cell r="I2076" t="str">
            <v>--</v>
          </cell>
          <cell r="J2076">
            <v>2</v>
          </cell>
          <cell r="K2076">
            <v>2.2000000000000002</v>
          </cell>
        </row>
        <row r="2077">
          <cell r="A2077" t="str">
            <v>M2</v>
          </cell>
          <cell r="B2077" t="str">
            <v>A5C</v>
          </cell>
          <cell r="C2077" t="str">
            <v>P</v>
          </cell>
          <cell r="D2077" t="str">
            <v>24002</v>
          </cell>
          <cell r="E2077" t="str">
            <v>PIPE</v>
          </cell>
          <cell r="F2077">
            <v>1</v>
          </cell>
          <cell r="G2077" t="str">
            <v>CB100404000300</v>
          </cell>
          <cell r="H2077">
            <v>3</v>
          </cell>
          <cell r="I2077" t="str">
            <v>--</v>
          </cell>
          <cell r="J2077">
            <v>2</v>
          </cell>
          <cell r="K2077">
            <v>2.2000000000000002</v>
          </cell>
        </row>
        <row r="2078">
          <cell r="A2078" t="str">
            <v>M2</v>
          </cell>
          <cell r="B2078" t="str">
            <v>A5C</v>
          </cell>
          <cell r="C2078" t="str">
            <v>P</v>
          </cell>
          <cell r="D2078" t="str">
            <v>23029</v>
          </cell>
          <cell r="E2078" t="str">
            <v>PIPE</v>
          </cell>
          <cell r="F2078">
            <v>1</v>
          </cell>
          <cell r="G2078" t="str">
            <v>CB100404000300</v>
          </cell>
          <cell r="H2078">
            <v>3</v>
          </cell>
          <cell r="I2078" t="str">
            <v>--</v>
          </cell>
          <cell r="J2078">
            <v>2.2999999999999998</v>
          </cell>
          <cell r="K2078">
            <v>2.6</v>
          </cell>
        </row>
        <row r="2079">
          <cell r="A2079" t="str">
            <v>M2</v>
          </cell>
          <cell r="B2079" t="str">
            <v>A5C</v>
          </cell>
          <cell r="C2079" t="str">
            <v>TRIM</v>
          </cell>
          <cell r="D2079" t="str">
            <v>V-2327</v>
          </cell>
          <cell r="E2079" t="str">
            <v>PIPE</v>
          </cell>
          <cell r="F2079">
            <v>1</v>
          </cell>
          <cell r="G2079" t="str">
            <v>CB100404000300</v>
          </cell>
          <cell r="H2079">
            <v>3</v>
          </cell>
          <cell r="I2079" t="str">
            <v>--</v>
          </cell>
          <cell r="J2079">
            <v>2.5</v>
          </cell>
          <cell r="K2079">
            <v>2.8</v>
          </cell>
        </row>
        <row r="2080">
          <cell r="A2080" t="str">
            <v>M2</v>
          </cell>
          <cell r="B2080" t="str">
            <v>A5C</v>
          </cell>
          <cell r="C2080" t="str">
            <v>TRIM</v>
          </cell>
          <cell r="D2080" t="str">
            <v>V-2351</v>
          </cell>
          <cell r="E2080" t="str">
            <v>PIPE</v>
          </cell>
          <cell r="F2080">
            <v>1</v>
          </cell>
          <cell r="G2080" t="str">
            <v>CB100404000300</v>
          </cell>
          <cell r="H2080">
            <v>3</v>
          </cell>
          <cell r="I2080" t="str">
            <v>--</v>
          </cell>
          <cell r="J2080">
            <v>2.5</v>
          </cell>
          <cell r="K2080">
            <v>2.8</v>
          </cell>
        </row>
        <row r="2081">
          <cell r="A2081" t="str">
            <v>M2</v>
          </cell>
          <cell r="B2081" t="str">
            <v>A5C</v>
          </cell>
          <cell r="C2081" t="str">
            <v>TRIM</v>
          </cell>
          <cell r="D2081" t="str">
            <v>V-2301</v>
          </cell>
          <cell r="E2081" t="str">
            <v>PIPE</v>
          </cell>
          <cell r="F2081">
            <v>1</v>
          </cell>
          <cell r="G2081" t="str">
            <v>CB100404000300</v>
          </cell>
          <cell r="H2081">
            <v>3</v>
          </cell>
          <cell r="I2081" t="str">
            <v>--</v>
          </cell>
          <cell r="J2081">
            <v>2.5</v>
          </cell>
          <cell r="K2081">
            <v>2.8</v>
          </cell>
        </row>
        <row r="2082">
          <cell r="A2082" t="str">
            <v>M2</v>
          </cell>
          <cell r="B2082" t="str">
            <v>A5C</v>
          </cell>
          <cell r="C2082" t="str">
            <v>TRIM</v>
          </cell>
          <cell r="D2082" t="str">
            <v>V-2318</v>
          </cell>
          <cell r="E2082" t="str">
            <v>PIPE</v>
          </cell>
          <cell r="F2082">
            <v>1</v>
          </cell>
          <cell r="G2082" t="str">
            <v>CB100404000300</v>
          </cell>
          <cell r="H2082">
            <v>3</v>
          </cell>
          <cell r="I2082" t="str">
            <v>--</v>
          </cell>
          <cell r="J2082">
            <v>2.5</v>
          </cell>
          <cell r="K2082">
            <v>2.8</v>
          </cell>
        </row>
        <row r="2083">
          <cell r="A2083" t="str">
            <v>M2</v>
          </cell>
          <cell r="B2083" t="str">
            <v>A5C</v>
          </cell>
          <cell r="C2083" t="str">
            <v>TRIM</v>
          </cell>
          <cell r="D2083" t="str">
            <v>V-2319</v>
          </cell>
          <cell r="E2083" t="str">
            <v>PIPE</v>
          </cell>
          <cell r="F2083">
            <v>1</v>
          </cell>
          <cell r="G2083" t="str">
            <v>CB100404000300</v>
          </cell>
          <cell r="H2083">
            <v>3</v>
          </cell>
          <cell r="I2083" t="str">
            <v>--</v>
          </cell>
          <cell r="J2083">
            <v>2.5</v>
          </cell>
          <cell r="K2083">
            <v>2.8</v>
          </cell>
        </row>
        <row r="2084">
          <cell r="A2084" t="str">
            <v>M2</v>
          </cell>
          <cell r="B2084" t="str">
            <v>A5C</v>
          </cell>
          <cell r="C2084" t="str">
            <v>TRIM</v>
          </cell>
          <cell r="D2084" t="str">
            <v>V-2326</v>
          </cell>
          <cell r="E2084" t="str">
            <v>PIPE</v>
          </cell>
          <cell r="F2084">
            <v>1</v>
          </cell>
          <cell r="G2084" t="str">
            <v>CB100404000300</v>
          </cell>
          <cell r="H2084">
            <v>3</v>
          </cell>
          <cell r="I2084" t="str">
            <v>--</v>
          </cell>
          <cell r="J2084">
            <v>2.5</v>
          </cell>
          <cell r="K2084">
            <v>2.8</v>
          </cell>
        </row>
        <row r="2085">
          <cell r="A2085" t="str">
            <v>M2</v>
          </cell>
          <cell r="B2085" t="str">
            <v>A5C</v>
          </cell>
          <cell r="C2085" t="str">
            <v>TRIM</v>
          </cell>
          <cell r="D2085" t="str">
            <v>V-2328</v>
          </cell>
          <cell r="E2085" t="str">
            <v>PIPE</v>
          </cell>
          <cell r="F2085">
            <v>1</v>
          </cell>
          <cell r="G2085" t="str">
            <v>CB100404000300</v>
          </cell>
          <cell r="H2085">
            <v>3</v>
          </cell>
          <cell r="I2085" t="str">
            <v>--</v>
          </cell>
          <cell r="J2085">
            <v>2.5</v>
          </cell>
          <cell r="K2085">
            <v>2.8</v>
          </cell>
        </row>
        <row r="2086">
          <cell r="A2086" t="str">
            <v>M2</v>
          </cell>
          <cell r="B2086" t="str">
            <v>A5C</v>
          </cell>
          <cell r="C2086" t="str">
            <v>TRIM</v>
          </cell>
          <cell r="D2086" t="str">
            <v>C-2303</v>
          </cell>
          <cell r="E2086" t="str">
            <v>PIPE</v>
          </cell>
          <cell r="F2086">
            <v>1</v>
          </cell>
          <cell r="G2086" t="str">
            <v>CB100404000300</v>
          </cell>
          <cell r="H2086">
            <v>3</v>
          </cell>
          <cell r="I2086" t="str">
            <v>--</v>
          </cell>
          <cell r="J2086">
            <v>2.5</v>
          </cell>
          <cell r="K2086">
            <v>2.8</v>
          </cell>
        </row>
        <row r="2087">
          <cell r="A2087" t="str">
            <v>M2</v>
          </cell>
          <cell r="B2087" t="str">
            <v>A5C</v>
          </cell>
          <cell r="C2087" t="str">
            <v>TRIM</v>
          </cell>
          <cell r="D2087" t="str">
            <v>C-2304</v>
          </cell>
          <cell r="E2087" t="str">
            <v>PIPE</v>
          </cell>
          <cell r="F2087">
            <v>1</v>
          </cell>
          <cell r="G2087" t="str">
            <v>CB100404000300</v>
          </cell>
          <cell r="H2087">
            <v>3</v>
          </cell>
          <cell r="I2087" t="str">
            <v>--</v>
          </cell>
          <cell r="J2087">
            <v>2.5</v>
          </cell>
          <cell r="K2087">
            <v>2.8</v>
          </cell>
        </row>
        <row r="2088">
          <cell r="A2088" t="str">
            <v>M2</v>
          </cell>
          <cell r="B2088" t="str">
            <v>A5C</v>
          </cell>
          <cell r="C2088" t="str">
            <v>TRIM</v>
          </cell>
          <cell r="D2088" t="str">
            <v>C-2305</v>
          </cell>
          <cell r="E2088" t="str">
            <v>PIPE</v>
          </cell>
          <cell r="F2088">
            <v>1</v>
          </cell>
          <cell r="G2088" t="str">
            <v>CB100404000300</v>
          </cell>
          <cell r="H2088">
            <v>3</v>
          </cell>
          <cell r="I2088" t="str">
            <v>--</v>
          </cell>
          <cell r="J2088">
            <v>2.5</v>
          </cell>
          <cell r="K2088">
            <v>2.8</v>
          </cell>
        </row>
        <row r="2089">
          <cell r="A2089" t="str">
            <v>M2</v>
          </cell>
          <cell r="B2089" t="str">
            <v>A5C</v>
          </cell>
          <cell r="C2089" t="str">
            <v>TRIM</v>
          </cell>
          <cell r="D2089" t="str">
            <v>C-2302</v>
          </cell>
          <cell r="E2089" t="str">
            <v>PIPE</v>
          </cell>
          <cell r="F2089">
            <v>1</v>
          </cell>
          <cell r="G2089" t="str">
            <v>CB100404000300</v>
          </cell>
          <cell r="H2089">
            <v>3</v>
          </cell>
          <cell r="I2089" t="str">
            <v>--</v>
          </cell>
          <cell r="J2089">
            <v>2.5</v>
          </cell>
          <cell r="K2089">
            <v>2.8</v>
          </cell>
        </row>
        <row r="2090">
          <cell r="A2090" t="str">
            <v>M2</v>
          </cell>
          <cell r="B2090" t="str">
            <v>A5C</v>
          </cell>
          <cell r="C2090" t="str">
            <v>TRIM</v>
          </cell>
          <cell r="D2090" t="str">
            <v>C-2301</v>
          </cell>
          <cell r="E2090" t="str">
            <v>PIPE</v>
          </cell>
          <cell r="F2090">
            <v>1</v>
          </cell>
          <cell r="G2090" t="str">
            <v>CB100404000300</v>
          </cell>
          <cell r="H2090">
            <v>3</v>
          </cell>
          <cell r="I2090" t="str">
            <v>--</v>
          </cell>
          <cell r="J2090">
            <v>2.5</v>
          </cell>
          <cell r="K2090">
            <v>2.8</v>
          </cell>
        </row>
        <row r="2091">
          <cell r="A2091" t="str">
            <v>M2</v>
          </cell>
          <cell r="B2091" t="str">
            <v>A5C</v>
          </cell>
          <cell r="C2091" t="str">
            <v>TRIM</v>
          </cell>
          <cell r="D2091" t="str">
            <v>V-2332</v>
          </cell>
          <cell r="E2091" t="str">
            <v>PIPE</v>
          </cell>
          <cell r="F2091">
            <v>1</v>
          </cell>
          <cell r="G2091" t="str">
            <v>CB100404000300</v>
          </cell>
          <cell r="H2091">
            <v>3</v>
          </cell>
          <cell r="I2091" t="str">
            <v>--</v>
          </cell>
          <cell r="J2091">
            <v>2.8</v>
          </cell>
          <cell r="K2091">
            <v>3.1</v>
          </cell>
        </row>
        <row r="2092">
          <cell r="A2092" t="str">
            <v>M2</v>
          </cell>
          <cell r="B2092" t="str">
            <v>A5C</v>
          </cell>
          <cell r="C2092" t="str">
            <v>P</v>
          </cell>
          <cell r="D2092" t="str">
            <v>23106</v>
          </cell>
          <cell r="E2092" t="str">
            <v>PIPE</v>
          </cell>
          <cell r="F2092">
            <v>1</v>
          </cell>
          <cell r="G2092" t="str">
            <v>CB100404000300</v>
          </cell>
          <cell r="H2092">
            <v>3</v>
          </cell>
          <cell r="I2092" t="str">
            <v>--</v>
          </cell>
          <cell r="J2092">
            <v>3</v>
          </cell>
          <cell r="K2092">
            <v>3.3</v>
          </cell>
        </row>
        <row r="2093">
          <cell r="A2093" t="str">
            <v>M2</v>
          </cell>
          <cell r="B2093" t="str">
            <v>A5C</v>
          </cell>
          <cell r="C2093" t="str">
            <v>P</v>
          </cell>
          <cell r="D2093" t="str">
            <v>23240</v>
          </cell>
          <cell r="E2093" t="str">
            <v>PIPE</v>
          </cell>
          <cell r="F2093">
            <v>1</v>
          </cell>
          <cell r="G2093" t="str">
            <v>CB100404000300</v>
          </cell>
          <cell r="H2093">
            <v>3</v>
          </cell>
          <cell r="I2093" t="str">
            <v>--</v>
          </cell>
          <cell r="J2093">
            <v>3</v>
          </cell>
          <cell r="K2093">
            <v>3.3</v>
          </cell>
        </row>
        <row r="2094">
          <cell r="A2094" t="str">
            <v>M2</v>
          </cell>
          <cell r="B2094" t="str">
            <v>A5C</v>
          </cell>
          <cell r="C2094" t="str">
            <v>P</v>
          </cell>
          <cell r="D2094" t="str">
            <v>23236</v>
          </cell>
          <cell r="E2094" t="str">
            <v>PIPE</v>
          </cell>
          <cell r="F2094">
            <v>1</v>
          </cell>
          <cell r="G2094" t="str">
            <v>CB100404000300</v>
          </cell>
          <cell r="H2094">
            <v>3</v>
          </cell>
          <cell r="I2094" t="str">
            <v>--</v>
          </cell>
          <cell r="J2094">
            <v>3</v>
          </cell>
          <cell r="K2094">
            <v>3.3</v>
          </cell>
        </row>
        <row r="2095">
          <cell r="A2095" t="str">
            <v>M2</v>
          </cell>
          <cell r="B2095" t="str">
            <v>A5C</v>
          </cell>
          <cell r="C2095" t="str">
            <v>TRIM</v>
          </cell>
          <cell r="D2095" t="str">
            <v>V-2316</v>
          </cell>
          <cell r="E2095" t="str">
            <v>PIPE</v>
          </cell>
          <cell r="F2095">
            <v>1</v>
          </cell>
          <cell r="G2095" t="str">
            <v>CB100404000300</v>
          </cell>
          <cell r="H2095">
            <v>3</v>
          </cell>
          <cell r="I2095" t="str">
            <v>--</v>
          </cell>
          <cell r="J2095">
            <v>3</v>
          </cell>
          <cell r="K2095">
            <v>3.3</v>
          </cell>
        </row>
        <row r="2096">
          <cell r="A2096" t="str">
            <v>M2</v>
          </cell>
          <cell r="B2096" t="str">
            <v>A5C</v>
          </cell>
          <cell r="C2096" t="str">
            <v>TRIM</v>
          </cell>
          <cell r="D2096" t="str">
            <v>V-2325</v>
          </cell>
          <cell r="E2096" t="str">
            <v>PIPE</v>
          </cell>
          <cell r="F2096">
            <v>1</v>
          </cell>
          <cell r="G2096" t="str">
            <v>CB100404000300</v>
          </cell>
          <cell r="H2096">
            <v>3</v>
          </cell>
          <cell r="I2096" t="str">
            <v>--</v>
          </cell>
          <cell r="J2096">
            <v>3</v>
          </cell>
          <cell r="K2096">
            <v>3.3</v>
          </cell>
        </row>
        <row r="2097">
          <cell r="A2097" t="str">
            <v>M2</v>
          </cell>
          <cell r="B2097" t="str">
            <v>A5C</v>
          </cell>
          <cell r="C2097" t="str">
            <v>TRIM</v>
          </cell>
          <cell r="D2097" t="str">
            <v>V-2403</v>
          </cell>
          <cell r="E2097" t="str">
            <v>PIPE</v>
          </cell>
          <cell r="F2097">
            <v>1</v>
          </cell>
          <cell r="G2097" t="str">
            <v>CB100404000300</v>
          </cell>
          <cell r="H2097">
            <v>3</v>
          </cell>
          <cell r="I2097" t="str">
            <v>--</v>
          </cell>
          <cell r="J2097">
            <v>3</v>
          </cell>
          <cell r="K2097">
            <v>3.3</v>
          </cell>
        </row>
        <row r="2098">
          <cell r="A2098" t="str">
            <v>M2</v>
          </cell>
          <cell r="B2098" t="str">
            <v>A5C</v>
          </cell>
          <cell r="C2098" t="str">
            <v>TRIM</v>
          </cell>
          <cell r="D2098" t="str">
            <v>R-2401</v>
          </cell>
          <cell r="E2098" t="str">
            <v>PIPE</v>
          </cell>
          <cell r="F2098">
            <v>1</v>
          </cell>
          <cell r="G2098" t="str">
            <v>CB100404000300</v>
          </cell>
          <cell r="H2098">
            <v>3</v>
          </cell>
          <cell r="I2098" t="str">
            <v>--</v>
          </cell>
          <cell r="J2098">
            <v>3</v>
          </cell>
          <cell r="K2098">
            <v>3.3</v>
          </cell>
        </row>
        <row r="2099">
          <cell r="A2099" t="str">
            <v>M2</v>
          </cell>
          <cell r="B2099" t="str">
            <v>A5C</v>
          </cell>
          <cell r="C2099" t="str">
            <v>TRIM</v>
          </cell>
          <cell r="D2099" t="str">
            <v>V-2401</v>
          </cell>
          <cell r="E2099" t="str">
            <v>PIPE</v>
          </cell>
          <cell r="F2099">
            <v>1</v>
          </cell>
          <cell r="G2099" t="str">
            <v>CB100404000300</v>
          </cell>
          <cell r="H2099">
            <v>3</v>
          </cell>
          <cell r="I2099" t="str">
            <v>--</v>
          </cell>
          <cell r="J2099">
            <v>3</v>
          </cell>
          <cell r="K2099">
            <v>3.3</v>
          </cell>
        </row>
        <row r="2100">
          <cell r="A2100" t="str">
            <v>M2</v>
          </cell>
          <cell r="B2100" t="str">
            <v>A5C</v>
          </cell>
          <cell r="C2100" t="str">
            <v>TRIM</v>
          </cell>
          <cell r="D2100" t="str">
            <v>V-2404</v>
          </cell>
          <cell r="E2100" t="str">
            <v>PIPE</v>
          </cell>
          <cell r="F2100">
            <v>1</v>
          </cell>
          <cell r="G2100" t="str">
            <v>CB100404000300</v>
          </cell>
          <cell r="H2100">
            <v>3</v>
          </cell>
          <cell r="I2100" t="str">
            <v>--</v>
          </cell>
          <cell r="J2100">
            <v>3</v>
          </cell>
          <cell r="K2100">
            <v>3.3</v>
          </cell>
        </row>
        <row r="2101">
          <cell r="A2101" t="str">
            <v>M2</v>
          </cell>
          <cell r="B2101" t="str">
            <v>A5C</v>
          </cell>
          <cell r="C2101" t="str">
            <v>P</v>
          </cell>
          <cell r="D2101" t="str">
            <v>23047</v>
          </cell>
          <cell r="E2101" t="str">
            <v>PIPE</v>
          </cell>
          <cell r="F2101">
            <v>1</v>
          </cell>
          <cell r="G2101" t="str">
            <v>CB100404000300</v>
          </cell>
          <cell r="H2101">
            <v>3</v>
          </cell>
          <cell r="I2101" t="str">
            <v>--</v>
          </cell>
          <cell r="J2101">
            <v>3.3</v>
          </cell>
          <cell r="K2101">
            <v>3.7</v>
          </cell>
        </row>
        <row r="2102">
          <cell r="A2102" t="str">
            <v>M2</v>
          </cell>
          <cell r="B2102" t="str">
            <v>A5C</v>
          </cell>
          <cell r="C2102" t="str">
            <v>TRIM</v>
          </cell>
          <cell r="D2102" t="str">
            <v>V-2323</v>
          </cell>
          <cell r="E2102" t="str">
            <v>PIPE</v>
          </cell>
          <cell r="F2102">
            <v>1</v>
          </cell>
          <cell r="G2102" t="str">
            <v>CB100404000300</v>
          </cell>
          <cell r="H2102">
            <v>3</v>
          </cell>
          <cell r="I2102" t="str">
            <v>--</v>
          </cell>
          <cell r="J2102">
            <v>3.5</v>
          </cell>
          <cell r="K2102">
            <v>3.9</v>
          </cell>
        </row>
        <row r="2103">
          <cell r="A2103" t="str">
            <v>M2</v>
          </cell>
          <cell r="B2103" t="str">
            <v>A5C</v>
          </cell>
          <cell r="C2103" t="str">
            <v>TRIM</v>
          </cell>
          <cell r="D2103" t="str">
            <v>V-2329</v>
          </cell>
          <cell r="E2103" t="str">
            <v>PIPE</v>
          </cell>
          <cell r="F2103">
            <v>1</v>
          </cell>
          <cell r="G2103" t="str">
            <v>CB100404000300</v>
          </cell>
          <cell r="H2103">
            <v>3</v>
          </cell>
          <cell r="I2103" t="str">
            <v>--</v>
          </cell>
          <cell r="J2103">
            <v>3.5</v>
          </cell>
          <cell r="K2103">
            <v>3.9</v>
          </cell>
        </row>
        <row r="2104">
          <cell r="A2104" t="str">
            <v>M2</v>
          </cell>
          <cell r="B2104" t="str">
            <v>A5C</v>
          </cell>
          <cell r="C2104" t="str">
            <v>TRIM</v>
          </cell>
          <cell r="D2104" t="str">
            <v>V-2331</v>
          </cell>
          <cell r="E2104" t="str">
            <v>PIPE</v>
          </cell>
          <cell r="F2104">
            <v>1</v>
          </cell>
          <cell r="G2104" t="str">
            <v>CB100404000300</v>
          </cell>
          <cell r="H2104">
            <v>3</v>
          </cell>
          <cell r="I2104" t="str">
            <v>--</v>
          </cell>
          <cell r="J2104">
            <v>3.5</v>
          </cell>
          <cell r="K2104">
            <v>3.9</v>
          </cell>
        </row>
        <row r="2105">
          <cell r="A2105" t="str">
            <v>M2</v>
          </cell>
          <cell r="B2105" t="str">
            <v>A5C</v>
          </cell>
          <cell r="C2105" t="str">
            <v>TRIM</v>
          </cell>
          <cell r="D2105" t="str">
            <v>V-2320</v>
          </cell>
          <cell r="E2105" t="str">
            <v>PIPE</v>
          </cell>
          <cell r="F2105">
            <v>1</v>
          </cell>
          <cell r="G2105" t="str">
            <v>CB100404000300</v>
          </cell>
          <cell r="H2105">
            <v>3</v>
          </cell>
          <cell r="I2105" t="str">
            <v>--</v>
          </cell>
          <cell r="J2105">
            <v>3.5</v>
          </cell>
          <cell r="K2105">
            <v>3.9</v>
          </cell>
        </row>
        <row r="2106">
          <cell r="A2106" t="str">
            <v>M2</v>
          </cell>
          <cell r="B2106" t="str">
            <v>A5C</v>
          </cell>
          <cell r="C2106" t="str">
            <v>TRIM</v>
          </cell>
          <cell r="D2106" t="str">
            <v>V-2330</v>
          </cell>
          <cell r="E2106" t="str">
            <v>PIPE</v>
          </cell>
          <cell r="F2106">
            <v>1</v>
          </cell>
          <cell r="G2106" t="str">
            <v>CB100404000300</v>
          </cell>
          <cell r="H2106">
            <v>3</v>
          </cell>
          <cell r="I2106" t="str">
            <v>--</v>
          </cell>
          <cell r="J2106">
            <v>3.5</v>
          </cell>
          <cell r="K2106">
            <v>3.9</v>
          </cell>
        </row>
        <row r="2107">
          <cell r="A2107" t="str">
            <v>M2</v>
          </cell>
          <cell r="B2107" t="str">
            <v>A5C</v>
          </cell>
          <cell r="C2107" t="str">
            <v>TRIM</v>
          </cell>
          <cell r="D2107" t="str">
            <v>V-2333</v>
          </cell>
          <cell r="E2107" t="str">
            <v>PIPE</v>
          </cell>
          <cell r="F2107">
            <v>1</v>
          </cell>
          <cell r="G2107" t="str">
            <v>CB100404000300</v>
          </cell>
          <cell r="H2107">
            <v>3</v>
          </cell>
          <cell r="I2107" t="str">
            <v>--</v>
          </cell>
          <cell r="J2107">
            <v>3.5</v>
          </cell>
          <cell r="K2107">
            <v>3.9</v>
          </cell>
        </row>
        <row r="2108">
          <cell r="A2108" t="str">
            <v>M2</v>
          </cell>
          <cell r="B2108" t="str">
            <v>A5C</v>
          </cell>
          <cell r="C2108" t="str">
            <v>TRIM</v>
          </cell>
          <cell r="D2108" t="str">
            <v>V-2317</v>
          </cell>
          <cell r="E2108" t="str">
            <v>PIPE</v>
          </cell>
          <cell r="F2108">
            <v>1</v>
          </cell>
          <cell r="G2108" t="str">
            <v>CB100404000300</v>
          </cell>
          <cell r="H2108">
            <v>3</v>
          </cell>
          <cell r="I2108" t="str">
            <v>--</v>
          </cell>
          <cell r="J2108">
            <v>4</v>
          </cell>
          <cell r="K2108">
            <v>4.4000000000000004</v>
          </cell>
        </row>
        <row r="2109">
          <cell r="A2109" t="str">
            <v>M2</v>
          </cell>
          <cell r="B2109" t="str">
            <v>A5C</v>
          </cell>
          <cell r="C2109" t="str">
            <v>P</v>
          </cell>
          <cell r="D2109" t="str">
            <v>23050</v>
          </cell>
          <cell r="E2109" t="str">
            <v>PIPE</v>
          </cell>
          <cell r="F2109">
            <v>1</v>
          </cell>
          <cell r="G2109" t="str">
            <v>CB100404000300</v>
          </cell>
          <cell r="H2109">
            <v>3</v>
          </cell>
          <cell r="I2109" t="str">
            <v>--</v>
          </cell>
          <cell r="J2109">
            <v>4</v>
          </cell>
          <cell r="K2109">
            <v>4.4000000000000004</v>
          </cell>
        </row>
        <row r="2110">
          <cell r="A2110" t="str">
            <v>M2</v>
          </cell>
          <cell r="B2110" t="str">
            <v>A5C</v>
          </cell>
          <cell r="C2110" t="str">
            <v>P</v>
          </cell>
          <cell r="D2110" t="str">
            <v>23061</v>
          </cell>
          <cell r="E2110" t="str">
            <v>PIPE</v>
          </cell>
          <cell r="F2110">
            <v>1</v>
          </cell>
          <cell r="G2110" t="str">
            <v>CB100404000300</v>
          </cell>
          <cell r="H2110">
            <v>3</v>
          </cell>
          <cell r="I2110" t="str">
            <v>--</v>
          </cell>
          <cell r="J2110">
            <v>4</v>
          </cell>
          <cell r="K2110">
            <v>4.4000000000000004</v>
          </cell>
        </row>
        <row r="2111">
          <cell r="A2111" t="str">
            <v>M2</v>
          </cell>
          <cell r="B2111" t="str">
            <v>A5C</v>
          </cell>
          <cell r="C2111" t="str">
            <v>TRIM</v>
          </cell>
          <cell r="D2111" t="str">
            <v>V-2321</v>
          </cell>
          <cell r="E2111" t="str">
            <v>PIPE</v>
          </cell>
          <cell r="F2111">
            <v>1</v>
          </cell>
          <cell r="G2111" t="str">
            <v>CB100404000300</v>
          </cell>
          <cell r="H2111">
            <v>3</v>
          </cell>
          <cell r="I2111" t="str">
            <v>--</v>
          </cell>
          <cell r="J2111">
            <v>4.5</v>
          </cell>
          <cell r="K2111">
            <v>5</v>
          </cell>
        </row>
        <row r="2112">
          <cell r="A2112" t="str">
            <v>M2</v>
          </cell>
          <cell r="B2112" t="str">
            <v>A5C</v>
          </cell>
          <cell r="C2112" t="str">
            <v>P</v>
          </cell>
          <cell r="D2112" t="str">
            <v>24027</v>
          </cell>
          <cell r="E2112" t="str">
            <v>PIPE</v>
          </cell>
          <cell r="F2112">
            <v>1</v>
          </cell>
          <cell r="G2112" t="str">
            <v>CB100404000300</v>
          </cell>
          <cell r="H2112">
            <v>3</v>
          </cell>
          <cell r="I2112" t="str">
            <v>--</v>
          </cell>
          <cell r="J2112">
            <v>4.5</v>
          </cell>
          <cell r="K2112">
            <v>5</v>
          </cell>
        </row>
        <row r="2113">
          <cell r="A2113" t="str">
            <v>M2</v>
          </cell>
          <cell r="B2113" t="str">
            <v>A5C</v>
          </cell>
          <cell r="C2113" t="str">
            <v>P</v>
          </cell>
          <cell r="D2113" t="str">
            <v>23142</v>
          </cell>
          <cell r="E2113" t="str">
            <v>PIPE</v>
          </cell>
          <cell r="F2113">
            <v>1</v>
          </cell>
          <cell r="G2113" t="str">
            <v>CB100404000300</v>
          </cell>
          <cell r="H2113">
            <v>3</v>
          </cell>
          <cell r="I2113" t="str">
            <v>--</v>
          </cell>
          <cell r="J2113">
            <v>5</v>
          </cell>
          <cell r="K2113">
            <v>5.5</v>
          </cell>
        </row>
        <row r="2114">
          <cell r="A2114" t="str">
            <v>M2</v>
          </cell>
          <cell r="B2114" t="str">
            <v>A5C</v>
          </cell>
          <cell r="C2114" t="str">
            <v>P</v>
          </cell>
          <cell r="D2114" t="str">
            <v>23246</v>
          </cell>
          <cell r="E2114" t="str">
            <v>PIPE</v>
          </cell>
          <cell r="F2114">
            <v>1</v>
          </cell>
          <cell r="G2114" t="str">
            <v>CB100404000300</v>
          </cell>
          <cell r="H2114">
            <v>3</v>
          </cell>
          <cell r="I2114" t="str">
            <v>--</v>
          </cell>
          <cell r="J2114">
            <v>5</v>
          </cell>
          <cell r="K2114">
            <v>5.5</v>
          </cell>
        </row>
        <row r="2115">
          <cell r="A2115" t="str">
            <v>M2</v>
          </cell>
          <cell r="B2115" t="str">
            <v>A5C</v>
          </cell>
          <cell r="C2115" t="str">
            <v>P</v>
          </cell>
          <cell r="D2115" t="str">
            <v>24003</v>
          </cell>
          <cell r="E2115" t="str">
            <v>PIPE</v>
          </cell>
          <cell r="F2115">
            <v>1</v>
          </cell>
          <cell r="G2115" t="str">
            <v>CB100404000300</v>
          </cell>
          <cell r="H2115">
            <v>3</v>
          </cell>
          <cell r="I2115" t="str">
            <v>--</v>
          </cell>
          <cell r="J2115">
            <v>5</v>
          </cell>
          <cell r="K2115">
            <v>5.5</v>
          </cell>
        </row>
        <row r="2116">
          <cell r="A2116" t="str">
            <v>M2</v>
          </cell>
          <cell r="B2116" t="str">
            <v>A5C</v>
          </cell>
          <cell r="C2116" t="str">
            <v>P</v>
          </cell>
          <cell r="D2116" t="str">
            <v>23106</v>
          </cell>
          <cell r="E2116" t="str">
            <v>PIPE</v>
          </cell>
          <cell r="F2116">
            <v>1</v>
          </cell>
          <cell r="G2116" t="str">
            <v>CB100404000300</v>
          </cell>
          <cell r="H2116">
            <v>3</v>
          </cell>
          <cell r="I2116" t="str">
            <v>--</v>
          </cell>
          <cell r="J2116">
            <v>6</v>
          </cell>
          <cell r="K2116">
            <v>6.6</v>
          </cell>
        </row>
        <row r="2117">
          <cell r="A2117" t="str">
            <v>M2</v>
          </cell>
          <cell r="B2117" t="str">
            <v>A5C</v>
          </cell>
          <cell r="C2117" t="str">
            <v>P</v>
          </cell>
          <cell r="D2117" t="str">
            <v>23236</v>
          </cell>
          <cell r="E2117" t="str">
            <v>PIPE</v>
          </cell>
          <cell r="F2117">
            <v>1</v>
          </cell>
          <cell r="G2117" t="str">
            <v>CB100404000300</v>
          </cell>
          <cell r="H2117">
            <v>3</v>
          </cell>
          <cell r="I2117" t="str">
            <v>--</v>
          </cell>
          <cell r="J2117">
            <v>6</v>
          </cell>
          <cell r="K2117">
            <v>6.6</v>
          </cell>
        </row>
        <row r="2118">
          <cell r="A2118" t="str">
            <v>M2</v>
          </cell>
          <cell r="B2118" t="str">
            <v>A5C</v>
          </cell>
          <cell r="C2118" t="str">
            <v>P</v>
          </cell>
          <cell r="D2118" t="str">
            <v>23240</v>
          </cell>
          <cell r="E2118" t="str">
            <v>PIPE</v>
          </cell>
          <cell r="F2118">
            <v>1</v>
          </cell>
          <cell r="G2118" t="str">
            <v>CB100404000300</v>
          </cell>
          <cell r="H2118">
            <v>3</v>
          </cell>
          <cell r="I2118" t="str">
            <v>--</v>
          </cell>
          <cell r="J2118">
            <v>6</v>
          </cell>
          <cell r="K2118">
            <v>6.6</v>
          </cell>
        </row>
        <row r="2119">
          <cell r="A2119" t="str">
            <v>M2</v>
          </cell>
          <cell r="B2119" t="str">
            <v>A5C</v>
          </cell>
          <cell r="C2119" t="str">
            <v>TRIM</v>
          </cell>
          <cell r="D2119" t="str">
            <v>V-2315</v>
          </cell>
          <cell r="E2119" t="str">
            <v>PIPE</v>
          </cell>
          <cell r="F2119">
            <v>1</v>
          </cell>
          <cell r="G2119" t="str">
            <v>CB100404000300</v>
          </cell>
          <cell r="H2119">
            <v>3</v>
          </cell>
          <cell r="I2119" t="str">
            <v>--</v>
          </cell>
          <cell r="J2119">
            <v>6.5</v>
          </cell>
          <cell r="K2119">
            <v>7.2</v>
          </cell>
        </row>
        <row r="2120">
          <cell r="A2120" t="str">
            <v>M2</v>
          </cell>
          <cell r="B2120" t="str">
            <v>A5C</v>
          </cell>
          <cell r="C2120" t="str">
            <v>TRIM</v>
          </cell>
          <cell r="D2120" t="str">
            <v>V-2324</v>
          </cell>
          <cell r="E2120" t="str">
            <v>PIPE</v>
          </cell>
          <cell r="F2120">
            <v>1</v>
          </cell>
          <cell r="G2120" t="str">
            <v>CB100404000300</v>
          </cell>
          <cell r="H2120">
            <v>3</v>
          </cell>
          <cell r="I2120" t="str">
            <v>--</v>
          </cell>
          <cell r="J2120">
            <v>6.5</v>
          </cell>
          <cell r="K2120">
            <v>7.2</v>
          </cell>
        </row>
        <row r="2121">
          <cell r="A2121" t="str">
            <v>M2</v>
          </cell>
          <cell r="B2121" t="str">
            <v>A5C</v>
          </cell>
          <cell r="C2121" t="str">
            <v>P</v>
          </cell>
          <cell r="D2121" t="str">
            <v>23086</v>
          </cell>
          <cell r="E2121" t="str">
            <v>PIPE</v>
          </cell>
          <cell r="F2121">
            <v>1</v>
          </cell>
          <cell r="G2121" t="str">
            <v>CB100404000300</v>
          </cell>
          <cell r="H2121">
            <v>3</v>
          </cell>
          <cell r="I2121" t="str">
            <v>--</v>
          </cell>
          <cell r="J2121">
            <v>7</v>
          </cell>
          <cell r="K2121">
            <v>7.7</v>
          </cell>
        </row>
        <row r="2122">
          <cell r="A2122" t="str">
            <v>M2</v>
          </cell>
          <cell r="B2122" t="str">
            <v>A5C</v>
          </cell>
          <cell r="C2122" t="str">
            <v>P</v>
          </cell>
          <cell r="D2122" t="str">
            <v>23125</v>
          </cell>
          <cell r="E2122" t="str">
            <v>PIPE</v>
          </cell>
          <cell r="F2122">
            <v>1</v>
          </cell>
          <cell r="G2122" t="str">
            <v>CB100404000300</v>
          </cell>
          <cell r="H2122">
            <v>3</v>
          </cell>
          <cell r="I2122" t="str">
            <v>--</v>
          </cell>
          <cell r="J2122">
            <v>7</v>
          </cell>
          <cell r="K2122">
            <v>7.7</v>
          </cell>
        </row>
        <row r="2123">
          <cell r="A2123" t="str">
            <v>M2</v>
          </cell>
          <cell r="B2123" t="str">
            <v>A5C</v>
          </cell>
          <cell r="C2123" t="str">
            <v>P</v>
          </cell>
          <cell r="D2123" t="str">
            <v>23064</v>
          </cell>
          <cell r="E2123" t="str">
            <v>PIPE</v>
          </cell>
          <cell r="F2123">
            <v>1</v>
          </cell>
          <cell r="G2123" t="str">
            <v>CB100404000300</v>
          </cell>
          <cell r="H2123">
            <v>3</v>
          </cell>
          <cell r="I2123" t="str">
            <v>--</v>
          </cell>
          <cell r="J2123">
            <v>8.1</v>
          </cell>
          <cell r="K2123">
            <v>9</v>
          </cell>
        </row>
        <row r="2124">
          <cell r="A2124" t="str">
            <v>M2</v>
          </cell>
          <cell r="B2124" t="str">
            <v>A5C</v>
          </cell>
          <cell r="C2124" t="str">
            <v>P</v>
          </cell>
          <cell r="D2124" t="str">
            <v>23082</v>
          </cell>
          <cell r="E2124" t="str">
            <v>PIPE</v>
          </cell>
          <cell r="F2124">
            <v>1</v>
          </cell>
          <cell r="G2124" t="str">
            <v>CB100404000300</v>
          </cell>
          <cell r="H2124">
            <v>3</v>
          </cell>
          <cell r="I2124" t="str">
            <v>--</v>
          </cell>
          <cell r="J2124">
            <v>8.5</v>
          </cell>
          <cell r="K2124">
            <v>9.4</v>
          </cell>
        </row>
        <row r="2125">
          <cell r="A2125" t="str">
            <v>M2</v>
          </cell>
          <cell r="B2125" t="str">
            <v>A5C</v>
          </cell>
          <cell r="C2125" t="str">
            <v>P</v>
          </cell>
          <cell r="D2125" t="str">
            <v>23258</v>
          </cell>
          <cell r="E2125" t="str">
            <v>PIPE</v>
          </cell>
          <cell r="F2125">
            <v>1</v>
          </cell>
          <cell r="G2125" t="str">
            <v>CB100404000300</v>
          </cell>
          <cell r="H2125">
            <v>3</v>
          </cell>
          <cell r="I2125" t="str">
            <v>--</v>
          </cell>
          <cell r="J2125">
            <v>8.5</v>
          </cell>
          <cell r="K2125">
            <v>9.4</v>
          </cell>
        </row>
        <row r="2126">
          <cell r="A2126" t="str">
            <v>M2</v>
          </cell>
          <cell r="B2126" t="str">
            <v>A5C</v>
          </cell>
          <cell r="C2126" t="str">
            <v>P</v>
          </cell>
          <cell r="D2126" t="str">
            <v>23257</v>
          </cell>
          <cell r="E2126" t="str">
            <v>PIPE</v>
          </cell>
          <cell r="F2126">
            <v>1</v>
          </cell>
          <cell r="G2126" t="str">
            <v>CB100404000300</v>
          </cell>
          <cell r="H2126">
            <v>3</v>
          </cell>
          <cell r="I2126" t="str">
            <v>--</v>
          </cell>
          <cell r="J2126">
            <v>11.5</v>
          </cell>
          <cell r="K2126">
            <v>12.7</v>
          </cell>
        </row>
        <row r="2127">
          <cell r="A2127" t="str">
            <v>M2</v>
          </cell>
          <cell r="B2127" t="str">
            <v>A5C</v>
          </cell>
          <cell r="C2127" t="str">
            <v>P</v>
          </cell>
          <cell r="D2127" t="str">
            <v>23016</v>
          </cell>
          <cell r="E2127" t="str">
            <v>PIPE</v>
          </cell>
          <cell r="F2127">
            <v>1</v>
          </cell>
          <cell r="G2127" t="str">
            <v>CB100404000300</v>
          </cell>
          <cell r="H2127">
            <v>3</v>
          </cell>
          <cell r="I2127" t="str">
            <v>--</v>
          </cell>
          <cell r="J2127">
            <v>11.5</v>
          </cell>
          <cell r="K2127">
            <v>12.7</v>
          </cell>
        </row>
        <row r="2128">
          <cell r="A2128" t="str">
            <v>M2</v>
          </cell>
          <cell r="B2128" t="str">
            <v>A5C</v>
          </cell>
          <cell r="C2128" t="str">
            <v>P</v>
          </cell>
          <cell r="D2128" t="str">
            <v>23005</v>
          </cell>
          <cell r="E2128" t="str">
            <v>PIPE</v>
          </cell>
          <cell r="F2128">
            <v>1</v>
          </cell>
          <cell r="G2128" t="str">
            <v>CB100404000300</v>
          </cell>
          <cell r="H2128">
            <v>3</v>
          </cell>
          <cell r="I2128" t="str">
            <v>--</v>
          </cell>
          <cell r="J2128">
            <v>12</v>
          </cell>
          <cell r="K2128">
            <v>13.2</v>
          </cell>
        </row>
        <row r="2129">
          <cell r="A2129" t="str">
            <v>M2</v>
          </cell>
          <cell r="B2129" t="str">
            <v>A5C</v>
          </cell>
          <cell r="C2129" t="str">
            <v>P</v>
          </cell>
          <cell r="D2129" t="str">
            <v>23232</v>
          </cell>
          <cell r="E2129" t="str">
            <v>PIPE</v>
          </cell>
          <cell r="F2129">
            <v>1</v>
          </cell>
          <cell r="G2129" t="str">
            <v>CB100404000300</v>
          </cell>
          <cell r="H2129">
            <v>3</v>
          </cell>
          <cell r="I2129" t="str">
            <v>--</v>
          </cell>
          <cell r="J2129">
            <v>12.5</v>
          </cell>
          <cell r="K2129">
            <v>13.8</v>
          </cell>
        </row>
        <row r="2130">
          <cell r="A2130" t="str">
            <v>M2</v>
          </cell>
          <cell r="B2130" t="str">
            <v>A5C</v>
          </cell>
          <cell r="C2130" t="str">
            <v>P</v>
          </cell>
          <cell r="D2130" t="str">
            <v>23254</v>
          </cell>
          <cell r="E2130" t="str">
            <v>PIPE</v>
          </cell>
          <cell r="F2130">
            <v>1</v>
          </cell>
          <cell r="G2130" t="str">
            <v>CB100404000300</v>
          </cell>
          <cell r="H2130">
            <v>3</v>
          </cell>
          <cell r="I2130" t="str">
            <v>--</v>
          </cell>
          <cell r="J2130">
            <v>12.5</v>
          </cell>
          <cell r="K2130">
            <v>13.8</v>
          </cell>
        </row>
        <row r="2131">
          <cell r="A2131" t="str">
            <v>M2</v>
          </cell>
          <cell r="B2131" t="str">
            <v>A5C</v>
          </cell>
          <cell r="C2131" t="str">
            <v>P</v>
          </cell>
          <cell r="D2131" t="str">
            <v>23017</v>
          </cell>
          <cell r="E2131" t="str">
            <v>PIPE</v>
          </cell>
          <cell r="F2131">
            <v>1</v>
          </cell>
          <cell r="G2131" t="str">
            <v>CB100404000300</v>
          </cell>
          <cell r="H2131">
            <v>3</v>
          </cell>
          <cell r="I2131" t="str">
            <v>--</v>
          </cell>
          <cell r="J2131">
            <v>15.6</v>
          </cell>
          <cell r="K2131">
            <v>17.2</v>
          </cell>
        </row>
        <row r="2132">
          <cell r="A2132" t="str">
            <v>M2</v>
          </cell>
          <cell r="B2132" t="str">
            <v>A5C</v>
          </cell>
          <cell r="C2132" t="str">
            <v>P</v>
          </cell>
          <cell r="D2132" t="str">
            <v>23051</v>
          </cell>
          <cell r="E2132" t="str">
            <v>PIPE</v>
          </cell>
          <cell r="F2132">
            <v>1</v>
          </cell>
          <cell r="G2132" t="str">
            <v>CB100404000300</v>
          </cell>
          <cell r="H2132">
            <v>3</v>
          </cell>
          <cell r="I2132" t="str">
            <v>--</v>
          </cell>
          <cell r="J2132">
            <v>16.600000000000001</v>
          </cell>
          <cell r="K2132">
            <v>18.3</v>
          </cell>
        </row>
        <row r="2133">
          <cell r="A2133" t="str">
            <v>M2</v>
          </cell>
          <cell r="B2133" t="str">
            <v>A5C</v>
          </cell>
          <cell r="C2133" t="str">
            <v>P</v>
          </cell>
          <cell r="D2133" t="str">
            <v>23124</v>
          </cell>
          <cell r="E2133" t="str">
            <v>PIPE</v>
          </cell>
          <cell r="F2133">
            <v>1</v>
          </cell>
          <cell r="G2133" t="str">
            <v>CB100404000300</v>
          </cell>
          <cell r="H2133">
            <v>3</v>
          </cell>
          <cell r="I2133" t="str">
            <v>--</v>
          </cell>
          <cell r="J2133">
            <v>18.5</v>
          </cell>
          <cell r="K2133">
            <v>20.399999999999999</v>
          </cell>
        </row>
        <row r="2134">
          <cell r="A2134" t="str">
            <v>M2</v>
          </cell>
          <cell r="B2134" t="str">
            <v>B2C</v>
          </cell>
          <cell r="C2134" t="str">
            <v>SH</v>
          </cell>
          <cell r="D2134" t="str">
            <v>23612</v>
          </cell>
          <cell r="E2134" t="str">
            <v>PIPE</v>
          </cell>
          <cell r="F2134">
            <v>1</v>
          </cell>
          <cell r="G2134" t="str">
            <v>CB100404000300</v>
          </cell>
          <cell r="H2134">
            <v>3</v>
          </cell>
          <cell r="I2134" t="str">
            <v>--</v>
          </cell>
          <cell r="J2134">
            <v>20.6</v>
          </cell>
          <cell r="K2134">
            <v>22.7</v>
          </cell>
        </row>
        <row r="2135">
          <cell r="A2135" t="str">
            <v>M2</v>
          </cell>
          <cell r="B2135" t="str">
            <v>A5C</v>
          </cell>
          <cell r="C2135" t="str">
            <v>P</v>
          </cell>
          <cell r="D2135" t="str">
            <v>23256</v>
          </cell>
          <cell r="E2135" t="str">
            <v>PIPE</v>
          </cell>
          <cell r="F2135">
            <v>1</v>
          </cell>
          <cell r="G2135" t="str">
            <v>CB100404000300</v>
          </cell>
          <cell r="H2135">
            <v>3</v>
          </cell>
          <cell r="I2135" t="str">
            <v>--</v>
          </cell>
          <cell r="J2135">
            <v>37.200000000000003</v>
          </cell>
          <cell r="K2135">
            <v>41</v>
          </cell>
        </row>
        <row r="2136">
          <cell r="A2136" t="str">
            <v>M2</v>
          </cell>
          <cell r="B2136" t="str">
            <v>B2C</v>
          </cell>
          <cell r="C2136" t="str">
            <v>SH</v>
          </cell>
          <cell r="D2136" t="str">
            <v>23601</v>
          </cell>
          <cell r="E2136" t="str">
            <v>PIPE</v>
          </cell>
          <cell r="F2136">
            <v>1</v>
          </cell>
          <cell r="G2136" t="str">
            <v>CB100404000300</v>
          </cell>
          <cell r="H2136">
            <v>3</v>
          </cell>
          <cell r="I2136" t="str">
            <v>--</v>
          </cell>
          <cell r="J2136">
            <v>65</v>
          </cell>
          <cell r="K2136">
            <v>71.5</v>
          </cell>
        </row>
        <row r="2137">
          <cell r="A2137" t="str">
            <v>M2</v>
          </cell>
          <cell r="B2137" t="str">
            <v>A5C</v>
          </cell>
          <cell r="C2137" t="str">
            <v>P</v>
          </cell>
          <cell r="D2137" t="str">
            <v>23064</v>
          </cell>
          <cell r="E2137" t="str">
            <v>PIPE</v>
          </cell>
          <cell r="F2137">
            <v>1</v>
          </cell>
          <cell r="G2137" t="str">
            <v>CB100404000300</v>
          </cell>
          <cell r="H2137">
            <v>3</v>
          </cell>
          <cell r="I2137" t="str">
            <v>--</v>
          </cell>
          <cell r="J2137">
            <v>65</v>
          </cell>
          <cell r="K2137">
            <v>71.5</v>
          </cell>
        </row>
        <row r="2138">
          <cell r="A2138" t="str">
            <v>M2</v>
          </cell>
          <cell r="B2138" t="str">
            <v>A5C</v>
          </cell>
          <cell r="C2138" t="str">
            <v>P</v>
          </cell>
          <cell r="D2138" t="str">
            <v>23035</v>
          </cell>
          <cell r="E2138" t="str">
            <v>PIPE</v>
          </cell>
          <cell r="F2138">
            <v>1</v>
          </cell>
          <cell r="G2138" t="str">
            <v>CB100404000400</v>
          </cell>
          <cell r="H2138">
            <v>4</v>
          </cell>
          <cell r="I2138" t="str">
            <v>--</v>
          </cell>
          <cell r="J2138">
            <v>0.3</v>
          </cell>
          <cell r="K2138">
            <v>0.4</v>
          </cell>
        </row>
        <row r="2139">
          <cell r="A2139" t="str">
            <v>M2</v>
          </cell>
          <cell r="B2139" t="str">
            <v>A5C</v>
          </cell>
          <cell r="C2139" t="str">
            <v>P</v>
          </cell>
          <cell r="D2139" t="str">
            <v>23188</v>
          </cell>
          <cell r="E2139" t="str">
            <v>PIPE</v>
          </cell>
          <cell r="F2139">
            <v>1</v>
          </cell>
          <cell r="G2139" t="str">
            <v>CB100404000400</v>
          </cell>
          <cell r="H2139">
            <v>4</v>
          </cell>
          <cell r="I2139" t="str">
            <v>--</v>
          </cell>
          <cell r="J2139">
            <v>0.3</v>
          </cell>
          <cell r="K2139">
            <v>0.4</v>
          </cell>
        </row>
        <row r="2140">
          <cell r="A2140" t="str">
            <v>M2</v>
          </cell>
          <cell r="B2140" t="str">
            <v>A5C</v>
          </cell>
          <cell r="C2140" t="str">
            <v>P</v>
          </cell>
          <cell r="D2140" t="str">
            <v>24013</v>
          </cell>
          <cell r="E2140" t="str">
            <v>PIPE</v>
          </cell>
          <cell r="F2140">
            <v>1</v>
          </cell>
          <cell r="G2140" t="str">
            <v>CB100404000400</v>
          </cell>
          <cell r="H2140">
            <v>4</v>
          </cell>
          <cell r="I2140" t="str">
            <v>--</v>
          </cell>
          <cell r="J2140">
            <v>0.3</v>
          </cell>
          <cell r="K2140">
            <v>0.4</v>
          </cell>
        </row>
        <row r="2141">
          <cell r="A2141" t="str">
            <v>M2</v>
          </cell>
          <cell r="B2141" t="str">
            <v>A5C</v>
          </cell>
          <cell r="C2141" t="str">
            <v>P</v>
          </cell>
          <cell r="D2141" t="str">
            <v>23008</v>
          </cell>
          <cell r="E2141" t="str">
            <v>PIPE</v>
          </cell>
          <cell r="F2141">
            <v>1</v>
          </cell>
          <cell r="G2141" t="str">
            <v>CB100404000400</v>
          </cell>
          <cell r="H2141">
            <v>4</v>
          </cell>
          <cell r="I2141" t="str">
            <v>--</v>
          </cell>
          <cell r="J2141">
            <v>0.3</v>
          </cell>
          <cell r="K2141">
            <v>0.4</v>
          </cell>
        </row>
        <row r="2142">
          <cell r="A2142" t="str">
            <v>M2</v>
          </cell>
          <cell r="B2142" t="str">
            <v>A5C</v>
          </cell>
          <cell r="C2142" t="str">
            <v>P</v>
          </cell>
          <cell r="D2142" t="str">
            <v>23050</v>
          </cell>
          <cell r="E2142" t="str">
            <v>PIPE</v>
          </cell>
          <cell r="F2142">
            <v>1</v>
          </cell>
          <cell r="G2142" t="str">
            <v>CB100404000400</v>
          </cell>
          <cell r="H2142">
            <v>4</v>
          </cell>
          <cell r="I2142" t="str">
            <v>--</v>
          </cell>
          <cell r="J2142">
            <v>0.3</v>
          </cell>
          <cell r="K2142">
            <v>0.4</v>
          </cell>
        </row>
        <row r="2143">
          <cell r="A2143" t="str">
            <v>M2</v>
          </cell>
          <cell r="B2143" t="str">
            <v>A5C</v>
          </cell>
          <cell r="C2143" t="str">
            <v>P</v>
          </cell>
          <cell r="D2143" t="str">
            <v>23061</v>
          </cell>
          <cell r="E2143" t="str">
            <v>PIPE</v>
          </cell>
          <cell r="F2143">
            <v>1</v>
          </cell>
          <cell r="G2143" t="str">
            <v>CB100404000400</v>
          </cell>
          <cell r="H2143">
            <v>4</v>
          </cell>
          <cell r="I2143" t="str">
            <v>--</v>
          </cell>
          <cell r="J2143">
            <v>0.3</v>
          </cell>
          <cell r="K2143">
            <v>0.4</v>
          </cell>
        </row>
        <row r="2144">
          <cell r="A2144" t="str">
            <v>M2</v>
          </cell>
          <cell r="B2144" t="str">
            <v>A5C</v>
          </cell>
          <cell r="C2144" t="str">
            <v>P</v>
          </cell>
          <cell r="D2144" t="str">
            <v>23076</v>
          </cell>
          <cell r="E2144" t="str">
            <v>PIPE</v>
          </cell>
          <cell r="F2144">
            <v>1</v>
          </cell>
          <cell r="G2144" t="str">
            <v>CB100404000400</v>
          </cell>
          <cell r="H2144">
            <v>4</v>
          </cell>
          <cell r="I2144" t="str">
            <v>--</v>
          </cell>
          <cell r="J2144">
            <v>0.3</v>
          </cell>
          <cell r="K2144">
            <v>0.4</v>
          </cell>
        </row>
        <row r="2145">
          <cell r="A2145" t="str">
            <v>M2</v>
          </cell>
          <cell r="B2145" t="str">
            <v>A5C</v>
          </cell>
          <cell r="C2145" t="str">
            <v>P</v>
          </cell>
          <cell r="D2145" t="str">
            <v>23170</v>
          </cell>
          <cell r="E2145" t="str">
            <v>PIPE</v>
          </cell>
          <cell r="F2145">
            <v>1</v>
          </cell>
          <cell r="G2145" t="str">
            <v>CB100404000400</v>
          </cell>
          <cell r="H2145">
            <v>4</v>
          </cell>
          <cell r="I2145" t="str">
            <v>--</v>
          </cell>
          <cell r="J2145">
            <v>0.3</v>
          </cell>
          <cell r="K2145">
            <v>0.4</v>
          </cell>
        </row>
        <row r="2146">
          <cell r="A2146" t="str">
            <v>M2</v>
          </cell>
          <cell r="B2146" t="str">
            <v>A5C</v>
          </cell>
          <cell r="C2146" t="str">
            <v>P</v>
          </cell>
          <cell r="D2146" t="str">
            <v>23173</v>
          </cell>
          <cell r="E2146" t="str">
            <v>PIPE</v>
          </cell>
          <cell r="F2146">
            <v>1</v>
          </cell>
          <cell r="G2146" t="str">
            <v>CB100404000400</v>
          </cell>
          <cell r="H2146">
            <v>4</v>
          </cell>
          <cell r="I2146" t="str">
            <v>--</v>
          </cell>
          <cell r="J2146">
            <v>0.3</v>
          </cell>
          <cell r="K2146">
            <v>0.4</v>
          </cell>
        </row>
        <row r="2147">
          <cell r="A2147" t="str">
            <v>M2</v>
          </cell>
          <cell r="B2147" t="str">
            <v>A5C</v>
          </cell>
          <cell r="C2147" t="str">
            <v>P</v>
          </cell>
          <cell r="D2147" t="str">
            <v>23230</v>
          </cell>
          <cell r="E2147" t="str">
            <v>PIPE</v>
          </cell>
          <cell r="F2147">
            <v>1</v>
          </cell>
          <cell r="G2147" t="str">
            <v>CB100404000400</v>
          </cell>
          <cell r="H2147">
            <v>4</v>
          </cell>
          <cell r="I2147" t="str">
            <v>--</v>
          </cell>
          <cell r="J2147">
            <v>0.5</v>
          </cell>
          <cell r="K2147">
            <v>0.6</v>
          </cell>
        </row>
        <row r="2148">
          <cell r="A2148" t="str">
            <v>M2</v>
          </cell>
          <cell r="B2148" t="str">
            <v>A5C</v>
          </cell>
          <cell r="C2148" t="str">
            <v>P</v>
          </cell>
          <cell r="D2148" t="str">
            <v>23252</v>
          </cell>
          <cell r="E2148" t="str">
            <v>PIPE</v>
          </cell>
          <cell r="F2148">
            <v>1</v>
          </cell>
          <cell r="G2148" t="str">
            <v>CB100404000400</v>
          </cell>
          <cell r="H2148">
            <v>4</v>
          </cell>
          <cell r="I2148" t="str">
            <v>--</v>
          </cell>
          <cell r="J2148">
            <v>0.5</v>
          </cell>
          <cell r="K2148">
            <v>0.6</v>
          </cell>
        </row>
        <row r="2149">
          <cell r="A2149" t="str">
            <v>M2</v>
          </cell>
          <cell r="B2149" t="str">
            <v>A5C</v>
          </cell>
          <cell r="C2149" t="str">
            <v>P</v>
          </cell>
          <cell r="D2149" t="str">
            <v>23180</v>
          </cell>
          <cell r="E2149" t="str">
            <v>PIPE</v>
          </cell>
          <cell r="F2149">
            <v>1</v>
          </cell>
          <cell r="G2149" t="str">
            <v>CB100404000400</v>
          </cell>
          <cell r="H2149">
            <v>4</v>
          </cell>
          <cell r="I2149" t="str">
            <v>--</v>
          </cell>
          <cell r="J2149">
            <v>0.5</v>
          </cell>
          <cell r="K2149">
            <v>0.6</v>
          </cell>
        </row>
        <row r="2150">
          <cell r="A2150" t="str">
            <v>M2</v>
          </cell>
          <cell r="B2150" t="str">
            <v>A5C</v>
          </cell>
          <cell r="C2150" t="str">
            <v>P</v>
          </cell>
          <cell r="D2150" t="str">
            <v>23191</v>
          </cell>
          <cell r="E2150" t="str">
            <v>PIPE</v>
          </cell>
          <cell r="F2150">
            <v>1</v>
          </cell>
          <cell r="G2150" t="str">
            <v>CB100404000400</v>
          </cell>
          <cell r="H2150">
            <v>4</v>
          </cell>
          <cell r="I2150" t="str">
            <v>--</v>
          </cell>
          <cell r="J2150">
            <v>0.5</v>
          </cell>
          <cell r="K2150">
            <v>0.6</v>
          </cell>
        </row>
        <row r="2151">
          <cell r="A2151" t="str">
            <v>M2</v>
          </cell>
          <cell r="B2151" t="str">
            <v>A5C</v>
          </cell>
          <cell r="C2151" t="str">
            <v>P</v>
          </cell>
          <cell r="D2151" t="str">
            <v>24016</v>
          </cell>
          <cell r="E2151" t="str">
            <v>PIPE</v>
          </cell>
          <cell r="F2151">
            <v>1</v>
          </cell>
          <cell r="G2151" t="str">
            <v>CB100404000400</v>
          </cell>
          <cell r="H2151">
            <v>4</v>
          </cell>
          <cell r="I2151" t="str">
            <v>--</v>
          </cell>
          <cell r="J2151">
            <v>0.5</v>
          </cell>
          <cell r="K2151">
            <v>0.6</v>
          </cell>
        </row>
        <row r="2152">
          <cell r="A2152" t="str">
            <v>M2</v>
          </cell>
          <cell r="B2152" t="str">
            <v>A5C</v>
          </cell>
          <cell r="C2152" t="str">
            <v>P</v>
          </cell>
          <cell r="D2152" t="str">
            <v>23152</v>
          </cell>
          <cell r="E2152" t="str">
            <v>PIPE</v>
          </cell>
          <cell r="F2152">
            <v>1</v>
          </cell>
          <cell r="G2152" t="str">
            <v>CB100404000400</v>
          </cell>
          <cell r="H2152">
            <v>4</v>
          </cell>
          <cell r="I2152" t="str">
            <v>--</v>
          </cell>
          <cell r="J2152">
            <v>1</v>
          </cell>
          <cell r="K2152">
            <v>1.2</v>
          </cell>
        </row>
        <row r="2153">
          <cell r="A2153" t="str">
            <v>M2</v>
          </cell>
          <cell r="B2153" t="str">
            <v>A5C</v>
          </cell>
          <cell r="C2153" t="str">
            <v>P</v>
          </cell>
          <cell r="D2153" t="str">
            <v>23045</v>
          </cell>
          <cell r="E2153" t="str">
            <v>PIPE</v>
          </cell>
          <cell r="F2153">
            <v>1</v>
          </cell>
          <cell r="G2153" t="str">
            <v>CB100404000400</v>
          </cell>
          <cell r="H2153">
            <v>4</v>
          </cell>
          <cell r="I2153" t="str">
            <v>--</v>
          </cell>
          <cell r="J2153">
            <v>1.3</v>
          </cell>
          <cell r="K2153">
            <v>1.6</v>
          </cell>
        </row>
        <row r="2154">
          <cell r="A2154" t="str">
            <v>M2</v>
          </cell>
          <cell r="B2154" t="str">
            <v>A5C</v>
          </cell>
          <cell r="C2154" t="str">
            <v>P</v>
          </cell>
          <cell r="D2154" t="str">
            <v>23012</v>
          </cell>
          <cell r="E2154" t="str">
            <v>PIPE</v>
          </cell>
          <cell r="F2154">
            <v>1</v>
          </cell>
          <cell r="G2154" t="str">
            <v>CB100404000400</v>
          </cell>
          <cell r="H2154">
            <v>4</v>
          </cell>
          <cell r="I2154" t="str">
            <v>--</v>
          </cell>
          <cell r="J2154">
            <v>1.9</v>
          </cell>
          <cell r="K2154">
            <v>2.2999999999999998</v>
          </cell>
        </row>
        <row r="2155">
          <cell r="A2155" t="str">
            <v>M2</v>
          </cell>
          <cell r="B2155" t="str">
            <v>A5C</v>
          </cell>
          <cell r="C2155" t="str">
            <v>P</v>
          </cell>
          <cell r="D2155" t="str">
            <v>23122</v>
          </cell>
          <cell r="E2155" t="str">
            <v>PIPE</v>
          </cell>
          <cell r="F2155">
            <v>1</v>
          </cell>
          <cell r="G2155" t="str">
            <v>CB100404000400</v>
          </cell>
          <cell r="H2155">
            <v>4</v>
          </cell>
          <cell r="I2155" t="str">
            <v>--</v>
          </cell>
          <cell r="J2155">
            <v>2</v>
          </cell>
          <cell r="K2155">
            <v>2.4</v>
          </cell>
        </row>
        <row r="2156">
          <cell r="A2156" t="str">
            <v>M2</v>
          </cell>
          <cell r="B2156" t="str">
            <v>A5C</v>
          </cell>
          <cell r="C2156" t="str">
            <v>P</v>
          </cell>
          <cell r="D2156" t="str">
            <v>23237</v>
          </cell>
          <cell r="E2156" t="str">
            <v>PIPE</v>
          </cell>
          <cell r="F2156">
            <v>1</v>
          </cell>
          <cell r="G2156" t="str">
            <v>CB100404000400</v>
          </cell>
          <cell r="H2156">
            <v>4</v>
          </cell>
          <cell r="I2156" t="str">
            <v>--</v>
          </cell>
          <cell r="J2156">
            <v>2</v>
          </cell>
          <cell r="K2156">
            <v>2.4</v>
          </cell>
        </row>
        <row r="2157">
          <cell r="A2157" t="str">
            <v>M2</v>
          </cell>
          <cell r="B2157" t="str">
            <v>A5C</v>
          </cell>
          <cell r="C2157" t="str">
            <v>P</v>
          </cell>
          <cell r="D2157" t="str">
            <v>23241</v>
          </cell>
          <cell r="E2157" t="str">
            <v>PIPE</v>
          </cell>
          <cell r="F2157">
            <v>1</v>
          </cell>
          <cell r="G2157" t="str">
            <v>CB100404000400</v>
          </cell>
          <cell r="H2157">
            <v>4</v>
          </cell>
          <cell r="I2157" t="str">
            <v>--</v>
          </cell>
          <cell r="J2157">
            <v>2</v>
          </cell>
          <cell r="K2157">
            <v>2.4</v>
          </cell>
        </row>
        <row r="2158">
          <cell r="A2158" t="str">
            <v>M2</v>
          </cell>
          <cell r="B2158" t="str">
            <v>A5C</v>
          </cell>
          <cell r="C2158" t="str">
            <v>P</v>
          </cell>
          <cell r="D2158" t="str">
            <v>23181</v>
          </cell>
          <cell r="E2158" t="str">
            <v>PIPE</v>
          </cell>
          <cell r="F2158">
            <v>1</v>
          </cell>
          <cell r="G2158" t="str">
            <v>CB100404000400</v>
          </cell>
          <cell r="H2158">
            <v>4</v>
          </cell>
          <cell r="I2158" t="str">
            <v>--</v>
          </cell>
          <cell r="J2158">
            <v>2.1</v>
          </cell>
          <cell r="K2158">
            <v>2.6</v>
          </cell>
        </row>
        <row r="2159">
          <cell r="A2159" t="str">
            <v>M2</v>
          </cell>
          <cell r="B2159" t="str">
            <v>A5C</v>
          </cell>
          <cell r="C2159" t="str">
            <v>P</v>
          </cell>
          <cell r="D2159" t="str">
            <v>23058</v>
          </cell>
          <cell r="E2159" t="str">
            <v>PIPE</v>
          </cell>
          <cell r="F2159">
            <v>1</v>
          </cell>
          <cell r="G2159" t="str">
            <v>CB100404000400</v>
          </cell>
          <cell r="H2159">
            <v>4</v>
          </cell>
          <cell r="I2159" t="str">
            <v>--</v>
          </cell>
          <cell r="J2159">
            <v>3</v>
          </cell>
          <cell r="K2159">
            <v>3.6</v>
          </cell>
        </row>
        <row r="2160">
          <cell r="A2160" t="str">
            <v>M2</v>
          </cell>
          <cell r="B2160" t="str">
            <v>A5C</v>
          </cell>
          <cell r="C2160" t="str">
            <v>P</v>
          </cell>
          <cell r="D2160" t="str">
            <v>23110</v>
          </cell>
          <cell r="E2160" t="str">
            <v>PIPE</v>
          </cell>
          <cell r="F2160">
            <v>1</v>
          </cell>
          <cell r="G2160" t="str">
            <v>CB100404000400</v>
          </cell>
          <cell r="H2160">
            <v>4</v>
          </cell>
          <cell r="I2160" t="str">
            <v>--</v>
          </cell>
          <cell r="J2160">
            <v>3</v>
          </cell>
          <cell r="K2160">
            <v>3.6</v>
          </cell>
        </row>
        <row r="2161">
          <cell r="A2161" t="str">
            <v>M2</v>
          </cell>
          <cell r="B2161" t="str">
            <v>A5C</v>
          </cell>
          <cell r="C2161" t="str">
            <v>P</v>
          </cell>
          <cell r="D2161" t="str">
            <v>23068</v>
          </cell>
          <cell r="E2161" t="str">
            <v>PIPE</v>
          </cell>
          <cell r="F2161">
            <v>1</v>
          </cell>
          <cell r="G2161" t="str">
            <v>CB100404000400</v>
          </cell>
          <cell r="H2161">
            <v>4</v>
          </cell>
          <cell r="I2161" t="str">
            <v>--</v>
          </cell>
          <cell r="J2161">
            <v>3</v>
          </cell>
          <cell r="K2161">
            <v>3.6</v>
          </cell>
        </row>
        <row r="2162">
          <cell r="A2162" t="str">
            <v>M2</v>
          </cell>
          <cell r="B2162" t="str">
            <v>A5C</v>
          </cell>
          <cell r="C2162" t="str">
            <v>P</v>
          </cell>
          <cell r="D2162" t="str">
            <v>23095</v>
          </cell>
          <cell r="E2162" t="str">
            <v>PIPE</v>
          </cell>
          <cell r="F2162">
            <v>1</v>
          </cell>
          <cell r="G2162" t="str">
            <v>CB100404000400</v>
          </cell>
          <cell r="H2162">
            <v>4</v>
          </cell>
          <cell r="I2162" t="str">
            <v>--</v>
          </cell>
          <cell r="J2162">
            <v>3</v>
          </cell>
          <cell r="K2162">
            <v>3.6</v>
          </cell>
        </row>
        <row r="2163">
          <cell r="A2163" t="str">
            <v>M2</v>
          </cell>
          <cell r="B2163" t="str">
            <v>A5C</v>
          </cell>
          <cell r="C2163" t="str">
            <v>P</v>
          </cell>
          <cell r="D2163" t="str">
            <v>23114</v>
          </cell>
          <cell r="E2163" t="str">
            <v>PIPE</v>
          </cell>
          <cell r="F2163">
            <v>1</v>
          </cell>
          <cell r="G2163" t="str">
            <v>CB100404000400</v>
          </cell>
          <cell r="H2163">
            <v>4</v>
          </cell>
          <cell r="I2163" t="str">
            <v>--</v>
          </cell>
          <cell r="J2163">
            <v>3</v>
          </cell>
          <cell r="K2163">
            <v>3.6</v>
          </cell>
        </row>
        <row r="2164">
          <cell r="A2164" t="str">
            <v>M2</v>
          </cell>
          <cell r="B2164" t="str">
            <v>A5C</v>
          </cell>
          <cell r="C2164" t="str">
            <v>P</v>
          </cell>
          <cell r="D2164" t="str">
            <v>23123</v>
          </cell>
          <cell r="E2164" t="str">
            <v>PIPE</v>
          </cell>
          <cell r="F2164">
            <v>1</v>
          </cell>
          <cell r="G2164" t="str">
            <v>CB100404000400</v>
          </cell>
          <cell r="H2164">
            <v>4</v>
          </cell>
          <cell r="I2164" t="str">
            <v>--</v>
          </cell>
          <cell r="J2164">
            <v>3</v>
          </cell>
          <cell r="K2164">
            <v>3.6</v>
          </cell>
        </row>
        <row r="2165">
          <cell r="A2165" t="str">
            <v>M2</v>
          </cell>
          <cell r="B2165" t="str">
            <v>A5C</v>
          </cell>
          <cell r="C2165" t="str">
            <v>P</v>
          </cell>
          <cell r="D2165" t="str">
            <v>23127</v>
          </cell>
          <cell r="E2165" t="str">
            <v>PIPE</v>
          </cell>
          <cell r="F2165">
            <v>1</v>
          </cell>
          <cell r="G2165" t="str">
            <v>CB100404000400</v>
          </cell>
          <cell r="H2165">
            <v>4</v>
          </cell>
          <cell r="I2165" t="str">
            <v>--</v>
          </cell>
          <cell r="J2165">
            <v>3</v>
          </cell>
          <cell r="K2165">
            <v>3.6</v>
          </cell>
        </row>
        <row r="2166">
          <cell r="A2166" t="str">
            <v>M2</v>
          </cell>
          <cell r="B2166" t="str">
            <v>A5C</v>
          </cell>
          <cell r="C2166" t="str">
            <v>P</v>
          </cell>
          <cell r="D2166" t="str">
            <v>23228</v>
          </cell>
          <cell r="E2166" t="str">
            <v>PIPE</v>
          </cell>
          <cell r="F2166">
            <v>1</v>
          </cell>
          <cell r="G2166" t="str">
            <v>CB100404000400</v>
          </cell>
          <cell r="H2166">
            <v>4</v>
          </cell>
          <cell r="I2166" t="str">
            <v>--</v>
          </cell>
          <cell r="J2166">
            <v>4.5</v>
          </cell>
          <cell r="K2166">
            <v>5.4</v>
          </cell>
        </row>
        <row r="2167">
          <cell r="A2167" t="str">
            <v>M2</v>
          </cell>
          <cell r="B2167" t="str">
            <v>A5C</v>
          </cell>
          <cell r="C2167" t="str">
            <v>P</v>
          </cell>
          <cell r="D2167" t="str">
            <v>23250</v>
          </cell>
          <cell r="E2167" t="str">
            <v>PIPE</v>
          </cell>
          <cell r="F2167">
            <v>1</v>
          </cell>
          <cell r="G2167" t="str">
            <v>CB100404000400</v>
          </cell>
          <cell r="H2167">
            <v>4</v>
          </cell>
          <cell r="I2167" t="str">
            <v>--</v>
          </cell>
          <cell r="J2167">
            <v>4.5</v>
          </cell>
          <cell r="K2167">
            <v>5.4</v>
          </cell>
        </row>
        <row r="2168">
          <cell r="A2168" t="str">
            <v>M2</v>
          </cell>
          <cell r="B2168" t="str">
            <v>A5C</v>
          </cell>
          <cell r="C2168" t="str">
            <v>P</v>
          </cell>
          <cell r="D2168" t="str">
            <v>23134</v>
          </cell>
          <cell r="E2168" t="str">
            <v>PIPE</v>
          </cell>
          <cell r="F2168">
            <v>1</v>
          </cell>
          <cell r="G2168" t="str">
            <v>CB100404000400</v>
          </cell>
          <cell r="H2168">
            <v>4</v>
          </cell>
          <cell r="I2168" t="str">
            <v>--</v>
          </cell>
          <cell r="J2168">
            <v>5</v>
          </cell>
          <cell r="K2168">
            <v>6</v>
          </cell>
        </row>
        <row r="2169">
          <cell r="A2169" t="str">
            <v>M2</v>
          </cell>
          <cell r="B2169" t="str">
            <v>A5C</v>
          </cell>
          <cell r="C2169" t="str">
            <v>P</v>
          </cell>
          <cell r="D2169" t="str">
            <v>23146</v>
          </cell>
          <cell r="E2169" t="str">
            <v>PIPE</v>
          </cell>
          <cell r="F2169">
            <v>1</v>
          </cell>
          <cell r="G2169" t="str">
            <v>CB100404000400</v>
          </cell>
          <cell r="H2169">
            <v>4</v>
          </cell>
          <cell r="I2169" t="str">
            <v>--</v>
          </cell>
          <cell r="J2169">
            <v>5</v>
          </cell>
          <cell r="K2169">
            <v>6</v>
          </cell>
        </row>
        <row r="2170">
          <cell r="A2170" t="str">
            <v>M2</v>
          </cell>
          <cell r="B2170" t="str">
            <v>A5C</v>
          </cell>
          <cell r="C2170" t="str">
            <v>P</v>
          </cell>
          <cell r="D2170" t="str">
            <v>23095</v>
          </cell>
          <cell r="E2170" t="str">
            <v>PIPE</v>
          </cell>
          <cell r="F2170">
            <v>1</v>
          </cell>
          <cell r="G2170" t="str">
            <v>CB100404000400</v>
          </cell>
          <cell r="H2170">
            <v>4</v>
          </cell>
          <cell r="I2170" t="str">
            <v>--</v>
          </cell>
          <cell r="J2170">
            <v>6</v>
          </cell>
          <cell r="K2170">
            <v>7.2</v>
          </cell>
        </row>
        <row r="2171">
          <cell r="A2171" t="str">
            <v>M2</v>
          </cell>
          <cell r="B2171" t="str">
            <v>A5C</v>
          </cell>
          <cell r="C2171" t="str">
            <v>P</v>
          </cell>
          <cell r="D2171" t="str">
            <v>23110</v>
          </cell>
          <cell r="E2171" t="str">
            <v>PIPE</v>
          </cell>
          <cell r="F2171">
            <v>1</v>
          </cell>
          <cell r="G2171" t="str">
            <v>CB100404000400</v>
          </cell>
          <cell r="H2171">
            <v>4</v>
          </cell>
          <cell r="I2171" t="str">
            <v>--</v>
          </cell>
          <cell r="J2171">
            <v>6</v>
          </cell>
          <cell r="K2171">
            <v>7.2</v>
          </cell>
        </row>
        <row r="2172">
          <cell r="A2172" t="str">
            <v>M2</v>
          </cell>
          <cell r="B2172" t="str">
            <v>A5C</v>
          </cell>
          <cell r="C2172" t="str">
            <v>P</v>
          </cell>
          <cell r="D2172" t="str">
            <v>23114</v>
          </cell>
          <cell r="E2172" t="str">
            <v>PIPE</v>
          </cell>
          <cell r="F2172">
            <v>1</v>
          </cell>
          <cell r="G2172" t="str">
            <v>CB100404000400</v>
          </cell>
          <cell r="H2172">
            <v>4</v>
          </cell>
          <cell r="I2172" t="str">
            <v>--</v>
          </cell>
          <cell r="J2172">
            <v>6</v>
          </cell>
          <cell r="K2172">
            <v>7.2</v>
          </cell>
        </row>
        <row r="2173">
          <cell r="A2173" t="str">
            <v>M2</v>
          </cell>
          <cell r="B2173" t="str">
            <v>A5C</v>
          </cell>
          <cell r="C2173" t="str">
            <v>P</v>
          </cell>
          <cell r="D2173" t="str">
            <v>23121</v>
          </cell>
          <cell r="E2173" t="str">
            <v>PIPE</v>
          </cell>
          <cell r="F2173">
            <v>1</v>
          </cell>
          <cell r="G2173" t="str">
            <v>CB100404000400</v>
          </cell>
          <cell r="H2173">
            <v>4</v>
          </cell>
          <cell r="I2173" t="str">
            <v>--</v>
          </cell>
          <cell r="J2173">
            <v>8.5</v>
          </cell>
          <cell r="K2173">
            <v>10.199999999999999</v>
          </cell>
        </row>
        <row r="2174">
          <cell r="A2174" t="str">
            <v>M2</v>
          </cell>
          <cell r="B2174" t="str">
            <v>A5C</v>
          </cell>
          <cell r="C2174" t="str">
            <v>P</v>
          </cell>
          <cell r="D2174" t="str">
            <v>23174</v>
          </cell>
          <cell r="E2174" t="str">
            <v>PIPE</v>
          </cell>
          <cell r="F2174">
            <v>1</v>
          </cell>
          <cell r="G2174" t="str">
            <v>CB100404000400</v>
          </cell>
          <cell r="H2174">
            <v>4</v>
          </cell>
          <cell r="I2174" t="str">
            <v>--</v>
          </cell>
          <cell r="J2174">
            <v>9</v>
          </cell>
          <cell r="K2174">
            <v>10.8</v>
          </cell>
        </row>
        <row r="2175">
          <cell r="A2175" t="str">
            <v>M2</v>
          </cell>
          <cell r="B2175" t="str">
            <v>A5C</v>
          </cell>
          <cell r="C2175" t="str">
            <v>P</v>
          </cell>
          <cell r="D2175" t="str">
            <v>23024</v>
          </cell>
          <cell r="E2175" t="str">
            <v>PIPE</v>
          </cell>
          <cell r="F2175">
            <v>1</v>
          </cell>
          <cell r="G2175" t="str">
            <v>CB100404000400</v>
          </cell>
          <cell r="H2175">
            <v>4</v>
          </cell>
          <cell r="I2175" t="str">
            <v>--</v>
          </cell>
          <cell r="J2175">
            <v>13.5</v>
          </cell>
          <cell r="K2175">
            <v>16.2</v>
          </cell>
        </row>
        <row r="2176">
          <cell r="A2176" t="str">
            <v>M2</v>
          </cell>
          <cell r="B2176" t="str">
            <v>A5C</v>
          </cell>
          <cell r="C2176" t="str">
            <v>P</v>
          </cell>
          <cell r="D2176" t="str">
            <v>23227</v>
          </cell>
          <cell r="E2176" t="str">
            <v>PIPE</v>
          </cell>
          <cell r="F2176">
            <v>1</v>
          </cell>
          <cell r="G2176" t="str">
            <v>CB100404000400</v>
          </cell>
          <cell r="H2176">
            <v>4</v>
          </cell>
          <cell r="I2176" t="str">
            <v>--</v>
          </cell>
          <cell r="J2176">
            <v>14.5</v>
          </cell>
          <cell r="K2176">
            <v>17.399999999999999</v>
          </cell>
        </row>
        <row r="2177">
          <cell r="A2177" t="str">
            <v>M2</v>
          </cell>
          <cell r="B2177" t="str">
            <v>A5C</v>
          </cell>
          <cell r="C2177" t="str">
            <v>P</v>
          </cell>
          <cell r="D2177" t="str">
            <v>23249</v>
          </cell>
          <cell r="E2177" t="str">
            <v>PIPE</v>
          </cell>
          <cell r="F2177">
            <v>1</v>
          </cell>
          <cell r="G2177" t="str">
            <v>CB100404000400</v>
          </cell>
          <cell r="H2177">
            <v>4</v>
          </cell>
          <cell r="I2177" t="str">
            <v>--</v>
          </cell>
          <cell r="J2177">
            <v>14.5</v>
          </cell>
          <cell r="K2177">
            <v>17.399999999999999</v>
          </cell>
        </row>
        <row r="2178">
          <cell r="A2178" t="str">
            <v>M2</v>
          </cell>
          <cell r="B2178" t="str">
            <v>A5C</v>
          </cell>
          <cell r="C2178" t="str">
            <v>P</v>
          </cell>
          <cell r="D2178" t="str">
            <v>23139</v>
          </cell>
          <cell r="E2178" t="str">
            <v>PIPE</v>
          </cell>
          <cell r="F2178">
            <v>1</v>
          </cell>
          <cell r="G2178" t="str">
            <v>CB100404000400</v>
          </cell>
          <cell r="H2178">
            <v>4</v>
          </cell>
          <cell r="I2178" t="str">
            <v>--</v>
          </cell>
          <cell r="J2178">
            <v>15</v>
          </cell>
          <cell r="K2178">
            <v>18</v>
          </cell>
        </row>
        <row r="2179">
          <cell r="A2179" t="str">
            <v>M2</v>
          </cell>
          <cell r="B2179" t="str">
            <v>A5C</v>
          </cell>
          <cell r="C2179" t="str">
            <v>P</v>
          </cell>
          <cell r="D2179" t="str">
            <v>23062</v>
          </cell>
          <cell r="E2179" t="str">
            <v>PIPE</v>
          </cell>
          <cell r="F2179">
            <v>1</v>
          </cell>
          <cell r="G2179" t="str">
            <v>CB100404000400</v>
          </cell>
          <cell r="H2179">
            <v>4</v>
          </cell>
          <cell r="I2179" t="str">
            <v>--</v>
          </cell>
          <cell r="J2179">
            <v>17</v>
          </cell>
          <cell r="K2179">
            <v>20.399999999999999</v>
          </cell>
        </row>
        <row r="2180">
          <cell r="A2180" t="str">
            <v>M2</v>
          </cell>
          <cell r="B2180" t="str">
            <v>A5C</v>
          </cell>
          <cell r="C2180" t="str">
            <v>P</v>
          </cell>
          <cell r="D2180" t="str">
            <v>23029</v>
          </cell>
          <cell r="E2180" t="str">
            <v>PIPE</v>
          </cell>
          <cell r="F2180">
            <v>1</v>
          </cell>
          <cell r="G2180" t="str">
            <v>CB100404000400</v>
          </cell>
          <cell r="H2180">
            <v>4</v>
          </cell>
          <cell r="I2180" t="str">
            <v>--</v>
          </cell>
          <cell r="J2180">
            <v>18.7</v>
          </cell>
          <cell r="K2180">
            <v>22.5</v>
          </cell>
        </row>
        <row r="2181">
          <cell r="A2181" t="str">
            <v>M2</v>
          </cell>
          <cell r="B2181" t="str">
            <v>A5C</v>
          </cell>
          <cell r="C2181" t="str">
            <v>P</v>
          </cell>
          <cell r="D2181" t="str">
            <v>23100</v>
          </cell>
          <cell r="E2181" t="str">
            <v>PIPE</v>
          </cell>
          <cell r="F2181">
            <v>1</v>
          </cell>
          <cell r="G2181" t="str">
            <v>CB100404000400</v>
          </cell>
          <cell r="H2181">
            <v>4</v>
          </cell>
          <cell r="I2181" t="str">
            <v>--</v>
          </cell>
          <cell r="J2181">
            <v>20</v>
          </cell>
          <cell r="K2181">
            <v>24</v>
          </cell>
        </row>
        <row r="2182">
          <cell r="A2182" t="str">
            <v>M2</v>
          </cell>
          <cell r="B2182" t="str">
            <v>A5C</v>
          </cell>
          <cell r="C2182" t="str">
            <v>P</v>
          </cell>
          <cell r="D2182" t="str">
            <v>23174</v>
          </cell>
          <cell r="E2182" t="str">
            <v>PIPE</v>
          </cell>
          <cell r="F2182">
            <v>1</v>
          </cell>
          <cell r="G2182" t="str">
            <v>CB100404000400</v>
          </cell>
          <cell r="H2182">
            <v>4</v>
          </cell>
          <cell r="I2182" t="str">
            <v>--</v>
          </cell>
          <cell r="J2182">
            <v>48.1</v>
          </cell>
          <cell r="K2182">
            <v>57.8</v>
          </cell>
        </row>
        <row r="2183">
          <cell r="A2183" t="str">
            <v>M2</v>
          </cell>
          <cell r="B2183" t="str">
            <v>A5C</v>
          </cell>
          <cell r="C2183" t="str">
            <v>P</v>
          </cell>
          <cell r="D2183" t="str">
            <v>23072</v>
          </cell>
          <cell r="E2183" t="str">
            <v>PIPE</v>
          </cell>
          <cell r="F2183">
            <v>1</v>
          </cell>
          <cell r="G2183" t="str">
            <v>CB100404000400</v>
          </cell>
          <cell r="H2183">
            <v>4</v>
          </cell>
          <cell r="I2183" t="str">
            <v>--</v>
          </cell>
          <cell r="J2183">
            <v>52.1</v>
          </cell>
          <cell r="K2183">
            <v>62.6</v>
          </cell>
        </row>
        <row r="2184">
          <cell r="A2184" t="str">
            <v>M2</v>
          </cell>
          <cell r="B2184" t="str">
            <v>A5C</v>
          </cell>
          <cell r="C2184" t="str">
            <v>P</v>
          </cell>
          <cell r="D2184" t="str">
            <v>23029</v>
          </cell>
          <cell r="E2184" t="str">
            <v>PIPE</v>
          </cell>
          <cell r="F2184">
            <v>1</v>
          </cell>
          <cell r="G2184" t="str">
            <v>CB100404000400</v>
          </cell>
          <cell r="H2184">
            <v>4</v>
          </cell>
          <cell r="I2184" t="str">
            <v>--</v>
          </cell>
          <cell r="J2184">
            <v>53.1</v>
          </cell>
          <cell r="K2184">
            <v>63.8</v>
          </cell>
        </row>
        <row r="2185">
          <cell r="A2185" t="str">
            <v>M2</v>
          </cell>
          <cell r="B2185" t="str">
            <v>A5C</v>
          </cell>
          <cell r="C2185" t="str">
            <v>P</v>
          </cell>
          <cell r="D2185" t="str">
            <v>23267</v>
          </cell>
          <cell r="E2185" t="str">
            <v>PIPE</v>
          </cell>
          <cell r="F2185">
            <v>1</v>
          </cell>
          <cell r="G2185" t="str">
            <v>CB100404000400</v>
          </cell>
          <cell r="H2185">
            <v>4</v>
          </cell>
          <cell r="I2185" t="str">
            <v>--</v>
          </cell>
          <cell r="J2185">
            <v>56.5</v>
          </cell>
          <cell r="K2185">
            <v>67.8</v>
          </cell>
        </row>
        <row r="2186">
          <cell r="A2186" t="str">
            <v>M2</v>
          </cell>
          <cell r="B2186" t="str">
            <v>A5C</v>
          </cell>
          <cell r="C2186" t="str">
            <v>P</v>
          </cell>
          <cell r="D2186" t="str">
            <v>23024</v>
          </cell>
          <cell r="E2186" t="str">
            <v>PIPE</v>
          </cell>
          <cell r="F2186">
            <v>1</v>
          </cell>
          <cell r="G2186" t="str">
            <v>CB100404000400</v>
          </cell>
          <cell r="H2186">
            <v>4</v>
          </cell>
          <cell r="I2186" t="str">
            <v>--</v>
          </cell>
          <cell r="J2186">
            <v>61.4</v>
          </cell>
          <cell r="K2186">
            <v>73.7</v>
          </cell>
        </row>
        <row r="2187">
          <cell r="A2187" t="str">
            <v>M2</v>
          </cell>
          <cell r="B2187" t="str">
            <v>A5C</v>
          </cell>
          <cell r="C2187" t="str">
            <v>P</v>
          </cell>
          <cell r="D2187" t="str">
            <v>HOLD2</v>
          </cell>
          <cell r="E2187" t="str">
            <v>PIPE</v>
          </cell>
          <cell r="F2187">
            <v>1</v>
          </cell>
          <cell r="G2187" t="str">
            <v>CB100404000400</v>
          </cell>
          <cell r="H2187">
            <v>4</v>
          </cell>
          <cell r="I2187" t="str">
            <v>--</v>
          </cell>
          <cell r="J2187">
            <v>255</v>
          </cell>
          <cell r="K2187">
            <v>306</v>
          </cell>
        </row>
        <row r="2188">
          <cell r="A2188" t="str">
            <v>M2</v>
          </cell>
          <cell r="B2188" t="str">
            <v>A5C</v>
          </cell>
          <cell r="C2188" t="str">
            <v>P</v>
          </cell>
          <cell r="D2188" t="str">
            <v>23160</v>
          </cell>
          <cell r="E2188" t="str">
            <v>PIPE</v>
          </cell>
          <cell r="F2188">
            <v>1</v>
          </cell>
          <cell r="G2188" t="str">
            <v>CB100404000600</v>
          </cell>
          <cell r="H2188">
            <v>6</v>
          </cell>
          <cell r="I2188" t="str">
            <v>--</v>
          </cell>
          <cell r="J2188">
            <v>1</v>
          </cell>
          <cell r="K2188">
            <v>1.2</v>
          </cell>
        </row>
        <row r="2189">
          <cell r="A2189" t="str">
            <v>M2</v>
          </cell>
          <cell r="B2189" t="str">
            <v>A5C</v>
          </cell>
          <cell r="C2189" t="str">
            <v>P</v>
          </cell>
          <cell r="D2189" t="str">
            <v>23083</v>
          </cell>
          <cell r="E2189" t="str">
            <v>PIPE</v>
          </cell>
          <cell r="F2189">
            <v>1</v>
          </cell>
          <cell r="G2189" t="str">
            <v>CB100404000600</v>
          </cell>
          <cell r="H2189">
            <v>6</v>
          </cell>
          <cell r="I2189" t="str">
            <v>--</v>
          </cell>
          <cell r="J2189">
            <v>2</v>
          </cell>
          <cell r="K2189">
            <v>2.4</v>
          </cell>
        </row>
        <row r="2190">
          <cell r="A2190" t="str">
            <v>M2</v>
          </cell>
          <cell r="B2190" t="str">
            <v>A5C</v>
          </cell>
          <cell r="C2190" t="str">
            <v>P</v>
          </cell>
          <cell r="D2190" t="str">
            <v>23056</v>
          </cell>
          <cell r="E2190" t="str">
            <v>PIPE</v>
          </cell>
          <cell r="F2190">
            <v>1</v>
          </cell>
          <cell r="G2190" t="str">
            <v>CB100404000600</v>
          </cell>
          <cell r="H2190">
            <v>6</v>
          </cell>
          <cell r="I2190" t="str">
            <v>--</v>
          </cell>
          <cell r="J2190">
            <v>2</v>
          </cell>
          <cell r="K2190">
            <v>2.4</v>
          </cell>
        </row>
        <row r="2191">
          <cell r="A2191" t="str">
            <v>M2</v>
          </cell>
          <cell r="B2191" t="str">
            <v>A5C</v>
          </cell>
          <cell r="C2191" t="str">
            <v>P</v>
          </cell>
          <cell r="D2191" t="str">
            <v>23075</v>
          </cell>
          <cell r="E2191" t="str">
            <v>PIPE</v>
          </cell>
          <cell r="F2191">
            <v>1</v>
          </cell>
          <cell r="G2191" t="str">
            <v>CB100404000600</v>
          </cell>
          <cell r="H2191">
            <v>6</v>
          </cell>
          <cell r="I2191" t="str">
            <v>--</v>
          </cell>
          <cell r="J2191">
            <v>2</v>
          </cell>
          <cell r="K2191">
            <v>2.4</v>
          </cell>
        </row>
        <row r="2192">
          <cell r="A2192" t="str">
            <v>M2</v>
          </cell>
          <cell r="B2192" t="str">
            <v>A5C</v>
          </cell>
          <cell r="C2192" t="str">
            <v>P</v>
          </cell>
          <cell r="D2192" t="str">
            <v>23084</v>
          </cell>
          <cell r="E2192" t="str">
            <v>PIPE</v>
          </cell>
          <cell r="F2192">
            <v>1</v>
          </cell>
          <cell r="G2192" t="str">
            <v>CB100404000600</v>
          </cell>
          <cell r="H2192">
            <v>6</v>
          </cell>
          <cell r="I2192" t="str">
            <v>--</v>
          </cell>
          <cell r="J2192">
            <v>3</v>
          </cell>
          <cell r="K2192">
            <v>3.6</v>
          </cell>
        </row>
        <row r="2193">
          <cell r="A2193" t="str">
            <v>M2</v>
          </cell>
          <cell r="B2193" t="str">
            <v>A5C</v>
          </cell>
          <cell r="C2193" t="str">
            <v>P</v>
          </cell>
          <cell r="D2193" t="str">
            <v>23090</v>
          </cell>
          <cell r="E2193" t="str">
            <v>PIPE</v>
          </cell>
          <cell r="F2193">
            <v>1</v>
          </cell>
          <cell r="G2193" t="str">
            <v>CB100404000600</v>
          </cell>
          <cell r="H2193">
            <v>6</v>
          </cell>
          <cell r="I2193" t="str">
            <v>--</v>
          </cell>
          <cell r="J2193">
            <v>4</v>
          </cell>
          <cell r="K2193">
            <v>4.8</v>
          </cell>
        </row>
        <row r="2194">
          <cell r="A2194" t="str">
            <v>M2</v>
          </cell>
          <cell r="B2194" t="str">
            <v>A5C</v>
          </cell>
          <cell r="C2194" t="str">
            <v>P</v>
          </cell>
          <cell r="D2194" t="str">
            <v>23129</v>
          </cell>
          <cell r="E2194" t="str">
            <v>PIPE</v>
          </cell>
          <cell r="F2194">
            <v>1</v>
          </cell>
          <cell r="G2194" t="str">
            <v>CB100404000600</v>
          </cell>
          <cell r="H2194">
            <v>6</v>
          </cell>
          <cell r="I2194" t="str">
            <v>--</v>
          </cell>
          <cell r="J2194">
            <v>4</v>
          </cell>
          <cell r="K2194">
            <v>4.8</v>
          </cell>
        </row>
        <row r="2195">
          <cell r="A2195" t="str">
            <v>M2</v>
          </cell>
          <cell r="B2195" t="str">
            <v>A5C</v>
          </cell>
          <cell r="C2195" t="str">
            <v>P</v>
          </cell>
          <cell r="D2195" t="str">
            <v>23097</v>
          </cell>
          <cell r="E2195" t="str">
            <v>PIPE</v>
          </cell>
          <cell r="F2195">
            <v>1</v>
          </cell>
          <cell r="G2195" t="str">
            <v>CB100404000600</v>
          </cell>
          <cell r="H2195">
            <v>6</v>
          </cell>
          <cell r="I2195" t="str">
            <v>--</v>
          </cell>
          <cell r="J2195">
            <v>5.5</v>
          </cell>
          <cell r="K2195">
            <v>6.6</v>
          </cell>
        </row>
        <row r="2196">
          <cell r="A2196" t="str">
            <v>M2</v>
          </cell>
          <cell r="B2196" t="str">
            <v>A5C</v>
          </cell>
          <cell r="C2196" t="str">
            <v>P</v>
          </cell>
          <cell r="D2196" t="str">
            <v>23136</v>
          </cell>
          <cell r="E2196" t="str">
            <v>PIPE</v>
          </cell>
          <cell r="F2196">
            <v>1</v>
          </cell>
          <cell r="G2196" t="str">
            <v>CB100404000600</v>
          </cell>
          <cell r="H2196">
            <v>6</v>
          </cell>
          <cell r="I2196" t="str">
            <v>--</v>
          </cell>
          <cell r="J2196">
            <v>5.5</v>
          </cell>
          <cell r="K2196">
            <v>6.6</v>
          </cell>
        </row>
        <row r="2197">
          <cell r="A2197" t="str">
            <v>M2</v>
          </cell>
          <cell r="B2197" t="str">
            <v>A5C</v>
          </cell>
          <cell r="C2197" t="str">
            <v>P</v>
          </cell>
          <cell r="D2197" t="str">
            <v>23025</v>
          </cell>
          <cell r="E2197" t="str">
            <v>PIPE</v>
          </cell>
          <cell r="F2197">
            <v>1</v>
          </cell>
          <cell r="G2197" t="str">
            <v>CB100404000600</v>
          </cell>
          <cell r="H2197">
            <v>6</v>
          </cell>
          <cell r="I2197" t="str">
            <v>--</v>
          </cell>
          <cell r="J2197">
            <v>5.8</v>
          </cell>
          <cell r="K2197">
            <v>7</v>
          </cell>
        </row>
        <row r="2198">
          <cell r="A2198" t="str">
            <v>M2</v>
          </cell>
          <cell r="B2198" t="str">
            <v>A5C</v>
          </cell>
          <cell r="C2198" t="str">
            <v>P</v>
          </cell>
          <cell r="D2198" t="str">
            <v>23221</v>
          </cell>
          <cell r="E2198" t="str">
            <v>PIPE</v>
          </cell>
          <cell r="F2198">
            <v>1</v>
          </cell>
          <cell r="G2198" t="str">
            <v>CB100404000600</v>
          </cell>
          <cell r="H2198">
            <v>6</v>
          </cell>
          <cell r="I2198" t="str">
            <v>--</v>
          </cell>
          <cell r="J2198">
            <v>7</v>
          </cell>
          <cell r="K2198">
            <v>8.4</v>
          </cell>
        </row>
        <row r="2199">
          <cell r="A2199" t="str">
            <v>M2</v>
          </cell>
          <cell r="B2199" t="str">
            <v>A5C</v>
          </cell>
          <cell r="C2199" t="str">
            <v>P</v>
          </cell>
          <cell r="D2199" t="str">
            <v>23244</v>
          </cell>
          <cell r="E2199" t="str">
            <v>PIPE</v>
          </cell>
          <cell r="F2199">
            <v>1</v>
          </cell>
          <cell r="G2199" t="str">
            <v>CB100404000600</v>
          </cell>
          <cell r="H2199">
            <v>6</v>
          </cell>
          <cell r="I2199" t="str">
            <v>--</v>
          </cell>
          <cell r="J2199">
            <v>7</v>
          </cell>
          <cell r="K2199">
            <v>8.4</v>
          </cell>
        </row>
        <row r="2200">
          <cell r="A2200" t="str">
            <v>M2</v>
          </cell>
          <cell r="B2200" t="str">
            <v>A5C</v>
          </cell>
          <cell r="C2200" t="str">
            <v>P</v>
          </cell>
          <cell r="D2200" t="str">
            <v>23152</v>
          </cell>
          <cell r="E2200" t="str">
            <v>PIPE</v>
          </cell>
          <cell r="F2200">
            <v>1</v>
          </cell>
          <cell r="G2200" t="str">
            <v>CB100404000600</v>
          </cell>
          <cell r="H2200">
            <v>6</v>
          </cell>
          <cell r="I2200" t="str">
            <v>--</v>
          </cell>
          <cell r="J2200">
            <v>10</v>
          </cell>
          <cell r="K2200">
            <v>12</v>
          </cell>
        </row>
        <row r="2201">
          <cell r="A2201" t="str">
            <v>M2</v>
          </cell>
          <cell r="B2201" t="str">
            <v>A5C</v>
          </cell>
          <cell r="C2201" t="str">
            <v>P</v>
          </cell>
          <cell r="D2201" t="str">
            <v>23021</v>
          </cell>
          <cell r="E2201" t="str">
            <v>PIPE</v>
          </cell>
          <cell r="F2201">
            <v>1</v>
          </cell>
          <cell r="G2201" t="str">
            <v>CB100404000600</v>
          </cell>
          <cell r="H2201">
            <v>6</v>
          </cell>
          <cell r="I2201" t="str">
            <v>--</v>
          </cell>
          <cell r="J2201">
            <v>10</v>
          </cell>
          <cell r="K2201">
            <v>12</v>
          </cell>
        </row>
        <row r="2202">
          <cell r="A2202" t="str">
            <v>M2</v>
          </cell>
          <cell r="B2202" t="str">
            <v>A5C</v>
          </cell>
          <cell r="C2202" t="str">
            <v>P</v>
          </cell>
          <cell r="D2202" t="str">
            <v>23091</v>
          </cell>
          <cell r="E2202" t="str">
            <v>PIPE</v>
          </cell>
          <cell r="F2202">
            <v>1</v>
          </cell>
          <cell r="G2202" t="str">
            <v>CB100404000600</v>
          </cell>
          <cell r="H2202">
            <v>6</v>
          </cell>
          <cell r="I2202" t="str">
            <v>--</v>
          </cell>
          <cell r="J2202">
            <v>10</v>
          </cell>
          <cell r="K2202">
            <v>12</v>
          </cell>
        </row>
        <row r="2203">
          <cell r="A2203" t="str">
            <v>M2</v>
          </cell>
          <cell r="B2203" t="str">
            <v>A5C</v>
          </cell>
          <cell r="C2203" t="str">
            <v>P</v>
          </cell>
          <cell r="D2203" t="str">
            <v>23130</v>
          </cell>
          <cell r="E2203" t="str">
            <v>PIPE</v>
          </cell>
          <cell r="F2203">
            <v>1</v>
          </cell>
          <cell r="G2203" t="str">
            <v>CB100404000600</v>
          </cell>
          <cell r="H2203">
            <v>6</v>
          </cell>
          <cell r="I2203" t="str">
            <v>--</v>
          </cell>
          <cell r="J2203">
            <v>10</v>
          </cell>
          <cell r="K2203">
            <v>12</v>
          </cell>
        </row>
        <row r="2204">
          <cell r="A2204" t="str">
            <v>M2</v>
          </cell>
          <cell r="B2204" t="str">
            <v>A5C</v>
          </cell>
          <cell r="C2204" t="str">
            <v>P</v>
          </cell>
          <cell r="D2204" t="str">
            <v>23026</v>
          </cell>
          <cell r="E2204" t="str">
            <v>PIPE</v>
          </cell>
          <cell r="F2204">
            <v>1</v>
          </cell>
          <cell r="G2204" t="str">
            <v>CB100404000600</v>
          </cell>
          <cell r="H2204">
            <v>6</v>
          </cell>
          <cell r="I2204" t="str">
            <v>--</v>
          </cell>
          <cell r="J2204">
            <v>13.5</v>
          </cell>
          <cell r="K2204">
            <v>16.2</v>
          </cell>
        </row>
        <row r="2205">
          <cell r="A2205" t="str">
            <v>M2</v>
          </cell>
          <cell r="B2205" t="str">
            <v>A5C</v>
          </cell>
          <cell r="C2205" t="str">
            <v>P</v>
          </cell>
          <cell r="D2205" t="str">
            <v>23181</v>
          </cell>
          <cell r="E2205" t="str">
            <v>PIPE</v>
          </cell>
          <cell r="F2205">
            <v>1</v>
          </cell>
          <cell r="G2205" t="str">
            <v>CB100404000600</v>
          </cell>
          <cell r="H2205">
            <v>6</v>
          </cell>
          <cell r="I2205" t="str">
            <v>--</v>
          </cell>
          <cell r="J2205">
            <v>22</v>
          </cell>
          <cell r="K2205">
            <v>26.4</v>
          </cell>
        </row>
        <row r="2206">
          <cell r="A2206" t="str">
            <v>M2</v>
          </cell>
          <cell r="B2206" t="str">
            <v>A5C</v>
          </cell>
          <cell r="C2206" t="str">
            <v>P</v>
          </cell>
          <cell r="D2206" t="str">
            <v>23181</v>
          </cell>
          <cell r="E2206" t="str">
            <v>PIPE</v>
          </cell>
          <cell r="F2206">
            <v>1</v>
          </cell>
          <cell r="G2206" t="str">
            <v>CB100404000600</v>
          </cell>
          <cell r="H2206">
            <v>6</v>
          </cell>
          <cell r="I2206" t="str">
            <v>--</v>
          </cell>
          <cell r="J2206">
            <v>29</v>
          </cell>
          <cell r="K2206">
            <v>34.799999999999997</v>
          </cell>
        </row>
        <row r="2207">
          <cell r="A2207" t="str">
            <v>M2</v>
          </cell>
          <cell r="B2207" t="str">
            <v>A5C</v>
          </cell>
          <cell r="C2207" t="str">
            <v>P</v>
          </cell>
          <cell r="D2207" t="str">
            <v>23152</v>
          </cell>
          <cell r="E2207" t="str">
            <v>PIPE</v>
          </cell>
          <cell r="F2207">
            <v>1</v>
          </cell>
          <cell r="G2207" t="str">
            <v>CB100404000600</v>
          </cell>
          <cell r="H2207">
            <v>6</v>
          </cell>
          <cell r="I2207" t="str">
            <v>--</v>
          </cell>
          <cell r="J2207">
            <v>31.5</v>
          </cell>
          <cell r="K2207">
            <v>37.799999999999997</v>
          </cell>
        </row>
        <row r="2208">
          <cell r="A2208" t="str">
            <v>M2</v>
          </cell>
          <cell r="B2208" t="str">
            <v>A5C</v>
          </cell>
          <cell r="C2208" t="str">
            <v>P</v>
          </cell>
          <cell r="D2208" t="str">
            <v>23010</v>
          </cell>
          <cell r="E2208" t="str">
            <v>PIPE</v>
          </cell>
          <cell r="F2208">
            <v>1</v>
          </cell>
          <cell r="G2208" t="str">
            <v>CB100404000800</v>
          </cell>
          <cell r="H2208">
            <v>8</v>
          </cell>
          <cell r="I2208" t="str">
            <v>--</v>
          </cell>
          <cell r="J2208">
            <v>1.3</v>
          </cell>
          <cell r="K2208">
            <v>1.6</v>
          </cell>
        </row>
        <row r="2209">
          <cell r="A2209" t="str">
            <v>M2</v>
          </cell>
          <cell r="B2209" t="str">
            <v>A5C</v>
          </cell>
          <cell r="C2209" t="str">
            <v>P</v>
          </cell>
          <cell r="D2209" t="str">
            <v>23093</v>
          </cell>
          <cell r="E2209" t="str">
            <v>PIPE</v>
          </cell>
          <cell r="F2209">
            <v>1</v>
          </cell>
          <cell r="G2209" t="str">
            <v>CB100404000800</v>
          </cell>
          <cell r="H2209">
            <v>8</v>
          </cell>
          <cell r="I2209" t="str">
            <v>--</v>
          </cell>
          <cell r="J2209">
            <v>5.5</v>
          </cell>
          <cell r="K2209">
            <v>6.6</v>
          </cell>
        </row>
        <row r="2210">
          <cell r="A2210" t="str">
            <v>M2</v>
          </cell>
          <cell r="B2210" t="str">
            <v>A5C</v>
          </cell>
          <cell r="C2210" t="str">
            <v>P</v>
          </cell>
          <cell r="D2210" t="str">
            <v>23132</v>
          </cell>
          <cell r="E2210" t="str">
            <v>PIPE</v>
          </cell>
          <cell r="F2210">
            <v>1</v>
          </cell>
          <cell r="G2210" t="str">
            <v>CB100404000800</v>
          </cell>
          <cell r="H2210">
            <v>8</v>
          </cell>
          <cell r="I2210" t="str">
            <v>--</v>
          </cell>
          <cell r="J2210">
            <v>5.5</v>
          </cell>
          <cell r="K2210">
            <v>6.6</v>
          </cell>
        </row>
        <row r="2211">
          <cell r="A2211" t="str">
            <v>M2</v>
          </cell>
          <cell r="B2211" t="str">
            <v>A5C</v>
          </cell>
          <cell r="C2211" t="str">
            <v>P</v>
          </cell>
          <cell r="D2211" t="str">
            <v>23067</v>
          </cell>
          <cell r="E2211" t="str">
            <v>PIPE</v>
          </cell>
          <cell r="F2211">
            <v>1</v>
          </cell>
          <cell r="G2211" t="str">
            <v>CB100404000800</v>
          </cell>
          <cell r="H2211">
            <v>8</v>
          </cell>
          <cell r="I2211" t="str">
            <v>--</v>
          </cell>
          <cell r="J2211">
            <v>9</v>
          </cell>
          <cell r="K2211">
            <v>10.8</v>
          </cell>
        </row>
        <row r="2212">
          <cell r="A2212" t="str">
            <v>M2</v>
          </cell>
          <cell r="B2212" t="str">
            <v>A5C</v>
          </cell>
          <cell r="C2212" t="str">
            <v>P</v>
          </cell>
          <cell r="D2212" t="str">
            <v>23126</v>
          </cell>
          <cell r="E2212" t="str">
            <v>PIPE</v>
          </cell>
          <cell r="F2212">
            <v>1</v>
          </cell>
          <cell r="G2212" t="str">
            <v>CB100404000800</v>
          </cell>
          <cell r="H2212">
            <v>8</v>
          </cell>
          <cell r="I2212" t="str">
            <v>--</v>
          </cell>
          <cell r="J2212">
            <v>9</v>
          </cell>
          <cell r="K2212">
            <v>10.8</v>
          </cell>
        </row>
        <row r="2213">
          <cell r="A2213" t="str">
            <v>M2</v>
          </cell>
          <cell r="B2213" t="str">
            <v>A5C</v>
          </cell>
          <cell r="C2213" t="str">
            <v>P</v>
          </cell>
          <cell r="D2213" t="str">
            <v>23089</v>
          </cell>
          <cell r="E2213" t="str">
            <v>PIPE</v>
          </cell>
          <cell r="F2213">
            <v>1</v>
          </cell>
          <cell r="G2213" t="str">
            <v>CB100404000800</v>
          </cell>
          <cell r="H2213">
            <v>8</v>
          </cell>
          <cell r="I2213" t="str">
            <v>--</v>
          </cell>
          <cell r="J2213">
            <v>9.5</v>
          </cell>
          <cell r="K2213">
            <v>11.4</v>
          </cell>
        </row>
        <row r="2214">
          <cell r="A2214" t="str">
            <v>M2</v>
          </cell>
          <cell r="B2214" t="str">
            <v>A5C</v>
          </cell>
          <cell r="C2214" t="str">
            <v>P</v>
          </cell>
          <cell r="D2214" t="str">
            <v>23128</v>
          </cell>
          <cell r="E2214" t="str">
            <v>PIPE</v>
          </cell>
          <cell r="F2214">
            <v>1</v>
          </cell>
          <cell r="G2214" t="str">
            <v>CB100404000800</v>
          </cell>
          <cell r="H2214">
            <v>8</v>
          </cell>
          <cell r="I2214" t="str">
            <v>--</v>
          </cell>
          <cell r="J2214">
            <v>9.5</v>
          </cell>
          <cell r="K2214">
            <v>11.4</v>
          </cell>
        </row>
        <row r="2215">
          <cell r="A2215" t="str">
            <v>M2</v>
          </cell>
          <cell r="B2215" t="str">
            <v>A5C</v>
          </cell>
          <cell r="C2215" t="str">
            <v>P</v>
          </cell>
          <cell r="D2215" t="str">
            <v>23046</v>
          </cell>
          <cell r="E2215" t="str">
            <v>PIPE</v>
          </cell>
          <cell r="F2215">
            <v>1</v>
          </cell>
          <cell r="G2215" t="str">
            <v>CB100404000800</v>
          </cell>
          <cell r="H2215">
            <v>8</v>
          </cell>
          <cell r="I2215" t="str">
            <v>--</v>
          </cell>
          <cell r="J2215">
            <v>48.3</v>
          </cell>
          <cell r="K2215">
            <v>58</v>
          </cell>
        </row>
        <row r="2216">
          <cell r="A2216" t="str">
            <v>M2</v>
          </cell>
          <cell r="B2216" t="str">
            <v>A5C</v>
          </cell>
          <cell r="C2216" t="str">
            <v>P</v>
          </cell>
          <cell r="D2216" t="str">
            <v>23160</v>
          </cell>
          <cell r="E2216" t="str">
            <v>PIPE</v>
          </cell>
          <cell r="F2216">
            <v>1</v>
          </cell>
          <cell r="G2216" t="str">
            <v>CB100404000800</v>
          </cell>
          <cell r="H2216">
            <v>8</v>
          </cell>
          <cell r="I2216" t="str">
            <v>--</v>
          </cell>
          <cell r="J2216">
            <v>61.6</v>
          </cell>
          <cell r="K2216">
            <v>74</v>
          </cell>
        </row>
        <row r="2217">
          <cell r="A2217" t="str">
            <v>M2</v>
          </cell>
          <cell r="B2217" t="str">
            <v>A5C</v>
          </cell>
          <cell r="C2217" t="str">
            <v>P</v>
          </cell>
          <cell r="D2217" t="str">
            <v>23049</v>
          </cell>
          <cell r="E2217" t="str">
            <v>PIPE</v>
          </cell>
          <cell r="F2217">
            <v>1</v>
          </cell>
          <cell r="G2217" t="str">
            <v>CB100404001000</v>
          </cell>
          <cell r="H2217">
            <v>10</v>
          </cell>
          <cell r="I2217" t="str">
            <v>--</v>
          </cell>
          <cell r="J2217">
            <v>1.3</v>
          </cell>
          <cell r="K2217">
            <v>1.5</v>
          </cell>
        </row>
        <row r="2218">
          <cell r="A2218" t="str">
            <v>M2</v>
          </cell>
          <cell r="B2218" t="str">
            <v>A5C</v>
          </cell>
          <cell r="C2218" t="str">
            <v>P</v>
          </cell>
          <cell r="D2218" t="str">
            <v>23060</v>
          </cell>
          <cell r="E2218" t="str">
            <v>PIPE</v>
          </cell>
          <cell r="F2218">
            <v>1</v>
          </cell>
          <cell r="G2218" t="str">
            <v>CB100404001000</v>
          </cell>
          <cell r="H2218">
            <v>10</v>
          </cell>
          <cell r="I2218" t="str">
            <v>--</v>
          </cell>
          <cell r="J2218">
            <v>2</v>
          </cell>
          <cell r="K2218">
            <v>2.2000000000000002</v>
          </cell>
        </row>
        <row r="2219">
          <cell r="A2219" t="str">
            <v>M2</v>
          </cell>
          <cell r="B2219" t="str">
            <v>A5C</v>
          </cell>
          <cell r="C2219" t="str">
            <v>P</v>
          </cell>
          <cell r="D2219" t="str">
            <v>23023</v>
          </cell>
          <cell r="E2219" t="str">
            <v>PIPE</v>
          </cell>
          <cell r="F2219">
            <v>1</v>
          </cell>
          <cell r="G2219" t="str">
            <v>CB100404001000</v>
          </cell>
          <cell r="H2219">
            <v>10</v>
          </cell>
          <cell r="I2219" t="str">
            <v>--</v>
          </cell>
          <cell r="J2219">
            <v>2.6</v>
          </cell>
          <cell r="K2219">
            <v>2.9</v>
          </cell>
        </row>
        <row r="2220">
          <cell r="A2220" t="str">
            <v>M2</v>
          </cell>
          <cell r="B2220" t="str">
            <v>A5C</v>
          </cell>
          <cell r="C2220" t="str">
            <v>P</v>
          </cell>
          <cell r="D2220" t="str">
            <v>23011</v>
          </cell>
          <cell r="E2220" t="str">
            <v>PIPE</v>
          </cell>
          <cell r="F2220">
            <v>1</v>
          </cell>
          <cell r="G2220" t="str">
            <v>CB100404001000</v>
          </cell>
          <cell r="H2220">
            <v>10</v>
          </cell>
          <cell r="I2220" t="str">
            <v>--</v>
          </cell>
          <cell r="J2220">
            <v>33.9</v>
          </cell>
          <cell r="K2220">
            <v>37.299999999999997</v>
          </cell>
        </row>
        <row r="2221">
          <cell r="A2221" t="str">
            <v>M2</v>
          </cell>
          <cell r="B2221" t="str">
            <v>A5C</v>
          </cell>
          <cell r="C2221" t="str">
            <v>P</v>
          </cell>
          <cell r="D2221" t="str">
            <v>23057</v>
          </cell>
          <cell r="E2221" t="str">
            <v>PIPE</v>
          </cell>
          <cell r="F2221">
            <v>1</v>
          </cell>
          <cell r="G2221" t="str">
            <v>CB100404001000</v>
          </cell>
          <cell r="H2221">
            <v>10</v>
          </cell>
          <cell r="I2221" t="str">
            <v>--</v>
          </cell>
          <cell r="J2221">
            <v>52.5</v>
          </cell>
          <cell r="K2221">
            <v>57.8</v>
          </cell>
        </row>
        <row r="2222">
          <cell r="A2222" t="str">
            <v>M2</v>
          </cell>
          <cell r="B2222" t="str">
            <v>A5C</v>
          </cell>
          <cell r="C2222" t="str">
            <v>P</v>
          </cell>
          <cell r="D2222" t="str">
            <v>23031</v>
          </cell>
          <cell r="E2222" t="str">
            <v>PIPE</v>
          </cell>
          <cell r="F2222">
            <v>1</v>
          </cell>
          <cell r="G2222" t="str">
            <v>CB100404001200</v>
          </cell>
          <cell r="H2222">
            <v>12</v>
          </cell>
          <cell r="I2222" t="str">
            <v>--</v>
          </cell>
          <cell r="J2222">
            <v>1.3</v>
          </cell>
          <cell r="K2222">
            <v>1.5</v>
          </cell>
        </row>
        <row r="2223">
          <cell r="A2223" t="str">
            <v>M2</v>
          </cell>
          <cell r="B2223" t="str">
            <v>A5C</v>
          </cell>
          <cell r="C2223" t="str">
            <v>P</v>
          </cell>
          <cell r="D2223" t="str">
            <v>23015</v>
          </cell>
          <cell r="E2223" t="str">
            <v>PIPE</v>
          </cell>
          <cell r="F2223">
            <v>1</v>
          </cell>
          <cell r="G2223" t="str">
            <v>CB100404001200</v>
          </cell>
          <cell r="H2223">
            <v>12</v>
          </cell>
          <cell r="I2223" t="str">
            <v>--</v>
          </cell>
          <cell r="J2223">
            <v>1.8</v>
          </cell>
          <cell r="K2223">
            <v>2</v>
          </cell>
        </row>
        <row r="2224">
          <cell r="A2224" t="str">
            <v>M2</v>
          </cell>
          <cell r="B2224" t="str">
            <v>A5C</v>
          </cell>
          <cell r="C2224" t="str">
            <v>P</v>
          </cell>
          <cell r="D2224" t="str">
            <v>23032</v>
          </cell>
          <cell r="E2224" t="str">
            <v>PIPE</v>
          </cell>
          <cell r="F2224">
            <v>1</v>
          </cell>
          <cell r="G2224" t="str">
            <v>CB100404001600</v>
          </cell>
          <cell r="H2224">
            <v>16</v>
          </cell>
          <cell r="I2224" t="str">
            <v>--</v>
          </cell>
          <cell r="J2224">
            <v>46.6</v>
          </cell>
          <cell r="K2224">
            <v>46.6</v>
          </cell>
        </row>
        <row r="2225">
          <cell r="A2225" t="str">
            <v>M2</v>
          </cell>
          <cell r="B2225" t="str">
            <v>A5C</v>
          </cell>
          <cell r="C2225" t="str">
            <v>P</v>
          </cell>
          <cell r="D2225" t="str">
            <v>23022</v>
          </cell>
          <cell r="E2225" t="str">
            <v>PIPE</v>
          </cell>
          <cell r="F2225">
            <v>1</v>
          </cell>
          <cell r="G2225" t="str">
            <v>CB100404001800</v>
          </cell>
          <cell r="H2225">
            <v>18</v>
          </cell>
          <cell r="I2225" t="str">
            <v>--</v>
          </cell>
          <cell r="J2225">
            <v>51</v>
          </cell>
          <cell r="K2225">
            <v>51</v>
          </cell>
        </row>
        <row r="2226">
          <cell r="A2226" t="str">
            <v>M2</v>
          </cell>
          <cell r="B2226" t="str">
            <v>A5C</v>
          </cell>
          <cell r="C2226" t="str">
            <v>P</v>
          </cell>
          <cell r="D2226" t="str">
            <v>23034</v>
          </cell>
          <cell r="E2226" t="str">
            <v>PIPE</v>
          </cell>
          <cell r="F2226">
            <v>1</v>
          </cell>
          <cell r="G2226" t="str">
            <v>CB100404002000</v>
          </cell>
          <cell r="H2226">
            <v>20</v>
          </cell>
          <cell r="I2226" t="str">
            <v>--</v>
          </cell>
          <cell r="J2226">
            <v>1.3</v>
          </cell>
          <cell r="K2226">
            <v>1.3</v>
          </cell>
        </row>
        <row r="2227">
          <cell r="A2227" t="str">
            <v>M2</v>
          </cell>
          <cell r="B2227" t="str">
            <v>B2C</v>
          </cell>
          <cell r="C2227" t="str">
            <v>SH</v>
          </cell>
          <cell r="D2227" t="str">
            <v>23601</v>
          </cell>
          <cell r="E2227" t="str">
            <v>NPL</v>
          </cell>
          <cell r="F2227">
            <v>2</v>
          </cell>
          <cell r="G2227" t="str">
            <v>CB132108000HVR</v>
          </cell>
          <cell r="H2227">
            <v>0.5</v>
          </cell>
          <cell r="I2227" t="str">
            <v>75mm</v>
          </cell>
          <cell r="J2227">
            <v>2</v>
          </cell>
          <cell r="K2227">
            <v>2</v>
          </cell>
        </row>
        <row r="2228">
          <cell r="A2228" t="str">
            <v>M2</v>
          </cell>
          <cell r="B2228" t="str">
            <v>B2C</v>
          </cell>
          <cell r="C2228" t="str">
            <v>SH</v>
          </cell>
          <cell r="D2228" t="str">
            <v>23612</v>
          </cell>
          <cell r="E2228" t="str">
            <v>NPL</v>
          </cell>
          <cell r="F2228">
            <v>2</v>
          </cell>
          <cell r="G2228" t="str">
            <v>CB132108000HVR</v>
          </cell>
          <cell r="H2228">
            <v>0.5</v>
          </cell>
          <cell r="I2228" t="str">
            <v>75mm</v>
          </cell>
          <cell r="J2228">
            <v>1</v>
          </cell>
          <cell r="K2228">
            <v>1</v>
          </cell>
        </row>
        <row r="2229">
          <cell r="A2229" t="str">
            <v>M2</v>
          </cell>
          <cell r="B2229" t="str">
            <v>B2C</v>
          </cell>
          <cell r="C2229" t="str">
            <v>SH</v>
          </cell>
          <cell r="D2229" t="str">
            <v>23612</v>
          </cell>
          <cell r="E2229" t="str">
            <v>NPL</v>
          </cell>
          <cell r="F2229">
            <v>2</v>
          </cell>
          <cell r="G2229" t="str">
            <v>CB132108000HWL</v>
          </cell>
          <cell r="H2229">
            <v>0.5</v>
          </cell>
          <cell r="I2229" t="str">
            <v>150mm</v>
          </cell>
          <cell r="J2229">
            <v>1</v>
          </cell>
          <cell r="K2229">
            <v>1</v>
          </cell>
        </row>
        <row r="2230">
          <cell r="A2230" t="str">
            <v>M2</v>
          </cell>
          <cell r="B2230" t="str">
            <v>A5C</v>
          </cell>
          <cell r="C2230" t="str">
            <v>P</v>
          </cell>
          <cell r="D2230" t="str">
            <v>23094</v>
          </cell>
          <cell r="E2230" t="str">
            <v>90 ELL</v>
          </cell>
          <cell r="F2230">
            <v>2</v>
          </cell>
          <cell r="G2230" t="str">
            <v>CB400100000H00</v>
          </cell>
          <cell r="H2230">
            <v>0.5</v>
          </cell>
          <cell r="I2230" t="str">
            <v>--</v>
          </cell>
          <cell r="J2230">
            <v>1</v>
          </cell>
          <cell r="K2230">
            <v>1</v>
          </cell>
        </row>
        <row r="2231">
          <cell r="A2231" t="str">
            <v>M2</v>
          </cell>
          <cell r="B2231" t="str">
            <v>A5C</v>
          </cell>
          <cell r="C2231" t="str">
            <v>P</v>
          </cell>
          <cell r="D2231" t="str">
            <v>23113</v>
          </cell>
          <cell r="E2231" t="str">
            <v>90 ELL</v>
          </cell>
          <cell r="F2231">
            <v>2</v>
          </cell>
          <cell r="G2231" t="str">
            <v>CB400100000H00</v>
          </cell>
          <cell r="H2231">
            <v>0.5</v>
          </cell>
          <cell r="I2231" t="str">
            <v>--</v>
          </cell>
          <cell r="J2231">
            <v>1</v>
          </cell>
          <cell r="K2231">
            <v>1</v>
          </cell>
        </row>
        <row r="2232">
          <cell r="A2232" t="str">
            <v>M2</v>
          </cell>
          <cell r="B2232" t="str">
            <v>A5C</v>
          </cell>
          <cell r="C2232" t="str">
            <v>P</v>
          </cell>
          <cell r="D2232" t="str">
            <v>23188</v>
          </cell>
          <cell r="E2232" t="str">
            <v>CPLG</v>
          </cell>
          <cell r="F2232">
            <v>2</v>
          </cell>
          <cell r="G2232" t="str">
            <v>CB400500000H00</v>
          </cell>
          <cell r="H2232">
            <v>0.5</v>
          </cell>
          <cell r="I2232" t="str">
            <v>--</v>
          </cell>
          <cell r="J2232">
            <v>1</v>
          </cell>
          <cell r="K2232">
            <v>1</v>
          </cell>
        </row>
        <row r="2233">
          <cell r="A2233" t="str">
            <v>M2</v>
          </cell>
          <cell r="B2233" t="str">
            <v>A5C</v>
          </cell>
          <cell r="C2233" t="str">
            <v>P</v>
          </cell>
          <cell r="D2233" t="str">
            <v>23081</v>
          </cell>
          <cell r="E2233" t="str">
            <v>NPL</v>
          </cell>
          <cell r="F2233">
            <v>2</v>
          </cell>
          <cell r="G2233" t="str">
            <v>CB132108000HVR</v>
          </cell>
          <cell r="H2233">
            <v>0.5</v>
          </cell>
          <cell r="I2233" t="str">
            <v>75mm</v>
          </cell>
          <cell r="J2233">
            <v>1</v>
          </cell>
          <cell r="K2233">
            <v>1</v>
          </cell>
        </row>
        <row r="2234">
          <cell r="A2234" t="str">
            <v>M2</v>
          </cell>
          <cell r="B2234" t="str">
            <v>A5C</v>
          </cell>
          <cell r="C2234" t="str">
            <v>P</v>
          </cell>
          <cell r="D2234" t="str">
            <v>23081</v>
          </cell>
          <cell r="E2234" t="str">
            <v>NPL</v>
          </cell>
          <cell r="F2234">
            <v>2</v>
          </cell>
          <cell r="G2234" t="str">
            <v>CB132108000HWL</v>
          </cell>
          <cell r="H2234">
            <v>0.5</v>
          </cell>
          <cell r="I2234" t="str">
            <v>150mm</v>
          </cell>
          <cell r="J2234">
            <v>1</v>
          </cell>
          <cell r="K2234">
            <v>1</v>
          </cell>
        </row>
        <row r="2235">
          <cell r="A2235" t="str">
            <v>M2</v>
          </cell>
          <cell r="B2235" t="str">
            <v>A5C</v>
          </cell>
          <cell r="C2235" t="str">
            <v>P</v>
          </cell>
          <cell r="D2235" t="str">
            <v>23094</v>
          </cell>
          <cell r="E2235" t="str">
            <v>NPL</v>
          </cell>
          <cell r="F2235">
            <v>2</v>
          </cell>
          <cell r="G2235" t="str">
            <v>CB132108000HWL</v>
          </cell>
          <cell r="H2235">
            <v>0.5</v>
          </cell>
          <cell r="I2235" t="str">
            <v>150mm</v>
          </cell>
          <cell r="J2235">
            <v>1</v>
          </cell>
          <cell r="K2235">
            <v>1</v>
          </cell>
        </row>
        <row r="2236">
          <cell r="A2236" t="str">
            <v>M2</v>
          </cell>
          <cell r="B2236" t="str">
            <v>A5C</v>
          </cell>
          <cell r="C2236" t="str">
            <v>P</v>
          </cell>
          <cell r="D2236" t="str">
            <v>23094</v>
          </cell>
          <cell r="E2236" t="str">
            <v>NPL</v>
          </cell>
          <cell r="F2236">
            <v>2</v>
          </cell>
          <cell r="G2236" t="str">
            <v>CB132108000HVR</v>
          </cell>
          <cell r="H2236">
            <v>0.5</v>
          </cell>
          <cell r="I2236" t="str">
            <v>75mm</v>
          </cell>
          <cell r="J2236">
            <v>1</v>
          </cell>
          <cell r="K2236">
            <v>1</v>
          </cell>
        </row>
        <row r="2237">
          <cell r="A2237" t="str">
            <v>M2</v>
          </cell>
          <cell r="B2237" t="str">
            <v>A5C</v>
          </cell>
          <cell r="C2237" t="str">
            <v>P</v>
          </cell>
          <cell r="D2237" t="str">
            <v>23113</v>
          </cell>
          <cell r="E2237" t="str">
            <v>NPL</v>
          </cell>
          <cell r="F2237">
            <v>2</v>
          </cell>
          <cell r="G2237" t="str">
            <v>CB132108000HVR</v>
          </cell>
          <cell r="H2237">
            <v>0.5</v>
          </cell>
          <cell r="I2237" t="str">
            <v>75mm</v>
          </cell>
          <cell r="J2237">
            <v>1</v>
          </cell>
          <cell r="K2237">
            <v>1</v>
          </cell>
        </row>
        <row r="2238">
          <cell r="A2238" t="str">
            <v>M2</v>
          </cell>
          <cell r="B2238" t="str">
            <v>A5C</v>
          </cell>
          <cell r="C2238" t="str">
            <v>P</v>
          </cell>
          <cell r="D2238" t="str">
            <v>23225</v>
          </cell>
          <cell r="E2238" t="str">
            <v>NPL</v>
          </cell>
          <cell r="F2238">
            <v>2</v>
          </cell>
          <cell r="G2238" t="str">
            <v>CB132108000HWL</v>
          </cell>
          <cell r="H2238">
            <v>0.5</v>
          </cell>
          <cell r="I2238" t="str">
            <v>150mm</v>
          </cell>
          <cell r="J2238">
            <v>1</v>
          </cell>
          <cell r="K2238">
            <v>1</v>
          </cell>
        </row>
        <row r="2239">
          <cell r="A2239" t="str">
            <v>M2</v>
          </cell>
          <cell r="B2239" t="str">
            <v>A5C</v>
          </cell>
          <cell r="C2239" t="str">
            <v>P</v>
          </cell>
          <cell r="D2239" t="str">
            <v>23225</v>
          </cell>
          <cell r="E2239" t="str">
            <v>NPL</v>
          </cell>
          <cell r="F2239">
            <v>2</v>
          </cell>
          <cell r="G2239" t="str">
            <v>CB132108000HVR</v>
          </cell>
          <cell r="H2239">
            <v>0.5</v>
          </cell>
          <cell r="I2239" t="str">
            <v>75mm</v>
          </cell>
          <cell r="J2239">
            <v>1</v>
          </cell>
          <cell r="K2239">
            <v>1</v>
          </cell>
        </row>
        <row r="2240">
          <cell r="A2240" t="str">
            <v>M2</v>
          </cell>
          <cell r="B2240" t="str">
            <v>A5C</v>
          </cell>
          <cell r="C2240" t="str">
            <v>P</v>
          </cell>
          <cell r="D2240" t="str">
            <v>23113</v>
          </cell>
          <cell r="E2240" t="str">
            <v>NPL</v>
          </cell>
          <cell r="F2240">
            <v>2</v>
          </cell>
          <cell r="G2240" t="str">
            <v>CB132108000HWL</v>
          </cell>
          <cell r="H2240">
            <v>0.5</v>
          </cell>
          <cell r="I2240" t="str">
            <v>150mm</v>
          </cell>
          <cell r="J2240">
            <v>1</v>
          </cell>
          <cell r="K2240">
            <v>1</v>
          </cell>
        </row>
        <row r="2241">
          <cell r="A2241" t="str">
            <v>M2</v>
          </cell>
          <cell r="B2241" t="str">
            <v>A5C</v>
          </cell>
          <cell r="C2241" t="str">
            <v>P</v>
          </cell>
          <cell r="D2241" t="str">
            <v>23059</v>
          </cell>
          <cell r="E2241" t="str">
            <v>NPL</v>
          </cell>
          <cell r="F2241">
            <v>2</v>
          </cell>
          <cell r="G2241" t="str">
            <v>CB132108000HWL</v>
          </cell>
          <cell r="H2241">
            <v>0.5</v>
          </cell>
          <cell r="I2241" t="str">
            <v>150mm</v>
          </cell>
          <cell r="J2241">
            <v>1</v>
          </cell>
          <cell r="K2241">
            <v>1</v>
          </cell>
        </row>
        <row r="2242">
          <cell r="A2242" t="str">
            <v>M2</v>
          </cell>
          <cell r="B2242" t="str">
            <v>A5C</v>
          </cell>
          <cell r="C2242" t="str">
            <v>P</v>
          </cell>
          <cell r="D2242" t="str">
            <v>23059</v>
          </cell>
          <cell r="E2242" t="str">
            <v>NPL</v>
          </cell>
          <cell r="F2242">
            <v>2</v>
          </cell>
          <cell r="G2242" t="str">
            <v>CB132108000HVR</v>
          </cell>
          <cell r="H2242">
            <v>0.5</v>
          </cell>
          <cell r="I2242" t="str">
            <v>75mm</v>
          </cell>
          <cell r="J2242">
            <v>1</v>
          </cell>
          <cell r="K2242">
            <v>1</v>
          </cell>
        </row>
        <row r="2243">
          <cell r="A2243" t="str">
            <v>M2</v>
          </cell>
          <cell r="B2243" t="str">
            <v>A5C</v>
          </cell>
          <cell r="C2243" t="str">
            <v>P</v>
          </cell>
          <cell r="D2243" t="str">
            <v>23053</v>
          </cell>
          <cell r="E2243" t="str">
            <v>NPL</v>
          </cell>
          <cell r="F2243">
            <v>2</v>
          </cell>
          <cell r="G2243" t="str">
            <v>CB132108000HWL</v>
          </cell>
          <cell r="H2243">
            <v>0.5</v>
          </cell>
          <cell r="I2243" t="str">
            <v>150mm</v>
          </cell>
          <cell r="J2243">
            <v>1</v>
          </cell>
          <cell r="K2243">
            <v>1</v>
          </cell>
        </row>
        <row r="2244">
          <cell r="A2244" t="str">
            <v>M2</v>
          </cell>
          <cell r="B2244" t="str">
            <v>A5C</v>
          </cell>
          <cell r="C2244" t="str">
            <v>P</v>
          </cell>
          <cell r="D2244" t="str">
            <v>23064</v>
          </cell>
          <cell r="E2244" t="str">
            <v>NPL</v>
          </cell>
          <cell r="F2244">
            <v>2</v>
          </cell>
          <cell r="G2244" t="str">
            <v>CB132108000HWL</v>
          </cell>
          <cell r="H2244">
            <v>0.5</v>
          </cell>
          <cell r="I2244" t="str">
            <v>150mm</v>
          </cell>
          <cell r="J2244">
            <v>1</v>
          </cell>
          <cell r="K2244">
            <v>1</v>
          </cell>
        </row>
        <row r="2245">
          <cell r="A2245" t="str">
            <v>M2</v>
          </cell>
          <cell r="B2245" t="str">
            <v>A5C</v>
          </cell>
          <cell r="C2245" t="str">
            <v>P</v>
          </cell>
          <cell r="D2245" t="str">
            <v>23064</v>
          </cell>
          <cell r="E2245" t="str">
            <v>NPL</v>
          </cell>
          <cell r="F2245">
            <v>2</v>
          </cell>
          <cell r="G2245" t="str">
            <v>CB132108000HVR</v>
          </cell>
          <cell r="H2245">
            <v>0.5</v>
          </cell>
          <cell r="I2245" t="str">
            <v>75mm</v>
          </cell>
          <cell r="J2245">
            <v>1</v>
          </cell>
          <cell r="K2245">
            <v>1</v>
          </cell>
        </row>
        <row r="2246">
          <cell r="A2246" t="str">
            <v>M2</v>
          </cell>
          <cell r="B2246" t="str">
            <v>A5C</v>
          </cell>
          <cell r="C2246" t="str">
            <v>P</v>
          </cell>
          <cell r="D2246" t="str">
            <v>23080</v>
          </cell>
          <cell r="E2246" t="str">
            <v>NPL</v>
          </cell>
          <cell r="F2246">
            <v>2</v>
          </cell>
          <cell r="G2246" t="str">
            <v>CB132108000HWL</v>
          </cell>
          <cell r="H2246">
            <v>0.5</v>
          </cell>
          <cell r="I2246" t="str">
            <v>150mm</v>
          </cell>
          <cell r="J2246">
            <v>1</v>
          </cell>
          <cell r="K2246">
            <v>1</v>
          </cell>
        </row>
        <row r="2247">
          <cell r="A2247" t="str">
            <v>M2</v>
          </cell>
          <cell r="B2247" t="str">
            <v>A5C</v>
          </cell>
          <cell r="C2247" t="str">
            <v>P</v>
          </cell>
          <cell r="D2247" t="str">
            <v>23080</v>
          </cell>
          <cell r="E2247" t="str">
            <v>NPL</v>
          </cell>
          <cell r="F2247">
            <v>2</v>
          </cell>
          <cell r="G2247" t="str">
            <v>CB132108000HVR</v>
          </cell>
          <cell r="H2247">
            <v>0.5</v>
          </cell>
          <cell r="I2247" t="str">
            <v>75mm</v>
          </cell>
          <cell r="J2247">
            <v>1</v>
          </cell>
          <cell r="K2247">
            <v>1</v>
          </cell>
        </row>
        <row r="2248">
          <cell r="A2248" t="str">
            <v>M2</v>
          </cell>
          <cell r="B2248" t="str">
            <v>A5C</v>
          </cell>
          <cell r="C2248" t="str">
            <v>P</v>
          </cell>
          <cell r="D2248" t="str">
            <v>23079</v>
          </cell>
          <cell r="E2248" t="str">
            <v>NPL</v>
          </cell>
          <cell r="F2248">
            <v>2</v>
          </cell>
          <cell r="G2248" t="str">
            <v>CB132108000HVR</v>
          </cell>
          <cell r="H2248">
            <v>0.5</v>
          </cell>
          <cell r="I2248" t="str">
            <v>75mm</v>
          </cell>
          <cell r="J2248">
            <v>1</v>
          </cell>
          <cell r="K2248">
            <v>1</v>
          </cell>
        </row>
        <row r="2249">
          <cell r="A2249" t="str">
            <v>M2</v>
          </cell>
          <cell r="B2249" t="str">
            <v>A5C</v>
          </cell>
          <cell r="C2249" t="str">
            <v>P</v>
          </cell>
          <cell r="D2249" t="str">
            <v>23079</v>
          </cell>
          <cell r="E2249" t="str">
            <v>NPL</v>
          </cell>
          <cell r="F2249">
            <v>2</v>
          </cell>
          <cell r="G2249" t="str">
            <v>CB132108000HWL</v>
          </cell>
          <cell r="H2249">
            <v>0.5</v>
          </cell>
          <cell r="I2249" t="str">
            <v>150mm</v>
          </cell>
          <cell r="J2249">
            <v>1</v>
          </cell>
          <cell r="K2249">
            <v>1</v>
          </cell>
        </row>
        <row r="2250">
          <cell r="A2250" t="str">
            <v>M2</v>
          </cell>
          <cell r="B2250" t="str">
            <v>A5C</v>
          </cell>
          <cell r="C2250" t="str">
            <v>P</v>
          </cell>
          <cell r="D2250" t="str">
            <v>23053</v>
          </cell>
          <cell r="E2250" t="str">
            <v>NPL</v>
          </cell>
          <cell r="F2250">
            <v>2</v>
          </cell>
          <cell r="G2250" t="str">
            <v>CB132108000HVR</v>
          </cell>
          <cell r="H2250">
            <v>0.5</v>
          </cell>
          <cell r="I2250" t="str">
            <v>75mm</v>
          </cell>
          <cell r="J2250">
            <v>1</v>
          </cell>
          <cell r="K2250">
            <v>1</v>
          </cell>
        </row>
        <row r="2251">
          <cell r="A2251" t="str">
            <v>M2</v>
          </cell>
          <cell r="B2251" t="str">
            <v>B2C</v>
          </cell>
          <cell r="C2251" t="str">
            <v>SCL</v>
          </cell>
          <cell r="D2251" t="str">
            <v>TRAP</v>
          </cell>
          <cell r="E2251" t="str">
            <v>90 ELL</v>
          </cell>
          <cell r="F2251">
            <v>2</v>
          </cell>
          <cell r="G2251" t="str">
            <v>CB400100000T00</v>
          </cell>
          <cell r="H2251">
            <v>0.75</v>
          </cell>
          <cell r="I2251" t="str">
            <v>--</v>
          </cell>
          <cell r="J2251">
            <v>12</v>
          </cell>
          <cell r="K2251">
            <v>12</v>
          </cell>
        </row>
        <row r="2252">
          <cell r="A2252" t="str">
            <v>M2</v>
          </cell>
          <cell r="B2252" t="str">
            <v>B2C</v>
          </cell>
          <cell r="C2252" t="str">
            <v>SH</v>
          </cell>
          <cell r="D2252" t="str">
            <v>23612</v>
          </cell>
          <cell r="E2252" t="str">
            <v>90 ELL</v>
          </cell>
          <cell r="F2252">
            <v>2</v>
          </cell>
          <cell r="G2252" t="str">
            <v>CB400100000T00</v>
          </cell>
          <cell r="H2252">
            <v>0.75</v>
          </cell>
          <cell r="I2252" t="str">
            <v>--</v>
          </cell>
          <cell r="J2252">
            <v>1</v>
          </cell>
          <cell r="K2252">
            <v>1</v>
          </cell>
        </row>
        <row r="2253">
          <cell r="A2253" t="str">
            <v>M2</v>
          </cell>
          <cell r="B2253" t="str">
            <v>B2C</v>
          </cell>
          <cell r="C2253" t="str">
            <v>SCH</v>
          </cell>
          <cell r="D2253" t="str">
            <v>23613</v>
          </cell>
          <cell r="E2253" t="str">
            <v>90 ELL</v>
          </cell>
          <cell r="F2253">
            <v>2</v>
          </cell>
          <cell r="G2253" t="str">
            <v>CB400100000T00</v>
          </cell>
          <cell r="H2253">
            <v>0.75</v>
          </cell>
          <cell r="I2253" t="str">
            <v>--</v>
          </cell>
          <cell r="J2253">
            <v>1</v>
          </cell>
          <cell r="K2253">
            <v>1</v>
          </cell>
        </row>
        <row r="2254">
          <cell r="A2254" t="str">
            <v>M2</v>
          </cell>
          <cell r="B2254" t="str">
            <v>B2C</v>
          </cell>
          <cell r="C2254" t="str">
            <v>SH</v>
          </cell>
          <cell r="D2254" t="str">
            <v>24612</v>
          </cell>
          <cell r="E2254" t="str">
            <v>90 ELL</v>
          </cell>
          <cell r="F2254">
            <v>2</v>
          </cell>
          <cell r="G2254" t="str">
            <v>CB400100000T00</v>
          </cell>
          <cell r="H2254">
            <v>0.75</v>
          </cell>
          <cell r="I2254" t="str">
            <v>--</v>
          </cell>
          <cell r="J2254">
            <v>5</v>
          </cell>
          <cell r="K2254">
            <v>5</v>
          </cell>
        </row>
        <row r="2255">
          <cell r="A2255" t="str">
            <v>M2</v>
          </cell>
          <cell r="B2255" t="str">
            <v>B2C</v>
          </cell>
          <cell r="C2255" t="str">
            <v>SCH</v>
          </cell>
          <cell r="D2255" t="str">
            <v>23613</v>
          </cell>
          <cell r="E2255" t="str">
            <v>CAP</v>
          </cell>
          <cell r="F2255">
            <v>2</v>
          </cell>
          <cell r="G2255" t="str">
            <v>CB520700000T00</v>
          </cell>
          <cell r="H2255">
            <v>0.75</v>
          </cell>
          <cell r="I2255" t="str">
            <v>--</v>
          </cell>
          <cell r="J2255">
            <v>1</v>
          </cell>
          <cell r="K2255">
            <v>1</v>
          </cell>
        </row>
        <row r="2256">
          <cell r="A2256" t="str">
            <v>M2</v>
          </cell>
          <cell r="B2256" t="str">
            <v>B2C</v>
          </cell>
          <cell r="C2256" t="str">
            <v>SH</v>
          </cell>
          <cell r="D2256" t="str">
            <v>23601</v>
          </cell>
          <cell r="E2256" t="str">
            <v>CAP</v>
          </cell>
          <cell r="F2256">
            <v>2</v>
          </cell>
          <cell r="G2256" t="str">
            <v>CB520700000T00</v>
          </cell>
          <cell r="H2256">
            <v>0.75</v>
          </cell>
          <cell r="I2256" t="str">
            <v>--</v>
          </cell>
          <cell r="J2256">
            <v>3</v>
          </cell>
          <cell r="K2256">
            <v>3</v>
          </cell>
        </row>
        <row r="2257">
          <cell r="A2257" t="str">
            <v>M2</v>
          </cell>
          <cell r="B2257" t="str">
            <v>B2C</v>
          </cell>
          <cell r="C2257" t="str">
            <v>SH</v>
          </cell>
          <cell r="D2257" t="str">
            <v>24612</v>
          </cell>
          <cell r="E2257" t="str">
            <v>CAP</v>
          </cell>
          <cell r="F2257">
            <v>2</v>
          </cell>
          <cell r="G2257" t="str">
            <v>CB520700000T00</v>
          </cell>
          <cell r="H2257">
            <v>0.75</v>
          </cell>
          <cell r="I2257" t="str">
            <v>--</v>
          </cell>
          <cell r="J2257">
            <v>1</v>
          </cell>
          <cell r="K2257">
            <v>1</v>
          </cell>
        </row>
        <row r="2258">
          <cell r="A2258" t="str">
            <v>M2</v>
          </cell>
          <cell r="B2258" t="str">
            <v>B2C</v>
          </cell>
          <cell r="C2258" t="str">
            <v>SH</v>
          </cell>
          <cell r="D2258" t="str">
            <v>24612</v>
          </cell>
          <cell r="E2258" t="str">
            <v>CPLG</v>
          </cell>
          <cell r="F2258">
            <v>2</v>
          </cell>
          <cell r="G2258" t="str">
            <v>CB400500000T00</v>
          </cell>
          <cell r="H2258">
            <v>0.75</v>
          </cell>
          <cell r="I2258" t="str">
            <v>--</v>
          </cell>
          <cell r="J2258">
            <v>1</v>
          </cell>
          <cell r="K2258">
            <v>1</v>
          </cell>
        </row>
        <row r="2259">
          <cell r="A2259" t="str">
            <v>M2</v>
          </cell>
          <cell r="B2259" t="str">
            <v>B2C</v>
          </cell>
          <cell r="C2259" t="str">
            <v>SCH</v>
          </cell>
          <cell r="D2259" t="str">
            <v>23613</v>
          </cell>
          <cell r="E2259" t="str">
            <v>NPL</v>
          </cell>
          <cell r="F2259">
            <v>2</v>
          </cell>
          <cell r="G2259" t="str">
            <v>CB132108000TVR</v>
          </cell>
          <cell r="H2259">
            <v>0.75</v>
          </cell>
          <cell r="I2259" t="str">
            <v>75mm</v>
          </cell>
          <cell r="J2259">
            <v>1</v>
          </cell>
          <cell r="K2259">
            <v>1</v>
          </cell>
        </row>
        <row r="2260">
          <cell r="A2260" t="str">
            <v>M2</v>
          </cell>
          <cell r="B2260" t="str">
            <v>B2C</v>
          </cell>
          <cell r="C2260" t="str">
            <v>SH</v>
          </cell>
          <cell r="D2260" t="str">
            <v>23601</v>
          </cell>
          <cell r="E2260" t="str">
            <v>NPL</v>
          </cell>
          <cell r="F2260">
            <v>2</v>
          </cell>
          <cell r="G2260" t="str">
            <v>CB132308000TVR</v>
          </cell>
          <cell r="H2260">
            <v>0.75</v>
          </cell>
          <cell r="I2260" t="str">
            <v>75mm</v>
          </cell>
          <cell r="J2260">
            <v>2</v>
          </cell>
          <cell r="K2260">
            <v>2</v>
          </cell>
        </row>
        <row r="2261">
          <cell r="A2261" t="str">
            <v>M2</v>
          </cell>
          <cell r="B2261" t="str">
            <v>B2C</v>
          </cell>
          <cell r="C2261" t="str">
            <v>SH</v>
          </cell>
          <cell r="D2261" t="str">
            <v>24612</v>
          </cell>
          <cell r="E2261" t="str">
            <v>NPL</v>
          </cell>
          <cell r="F2261">
            <v>2</v>
          </cell>
          <cell r="G2261" t="str">
            <v>CB132308000TVR</v>
          </cell>
          <cell r="H2261">
            <v>0.75</v>
          </cell>
          <cell r="I2261" t="str">
            <v>75mm</v>
          </cell>
          <cell r="J2261">
            <v>1</v>
          </cell>
          <cell r="K2261">
            <v>1</v>
          </cell>
        </row>
        <row r="2262">
          <cell r="A2262" t="str">
            <v>M2</v>
          </cell>
          <cell r="B2262" t="str">
            <v>B2C</v>
          </cell>
          <cell r="C2262" t="str">
            <v>SCL</v>
          </cell>
          <cell r="D2262" t="str">
            <v>TRAP</v>
          </cell>
          <cell r="E2262" t="str">
            <v>TEE</v>
          </cell>
          <cell r="F2262">
            <v>2</v>
          </cell>
          <cell r="G2262" t="str">
            <v>CB400300000T00</v>
          </cell>
          <cell r="H2262">
            <v>0.75</v>
          </cell>
          <cell r="I2262" t="str">
            <v>--</v>
          </cell>
          <cell r="J2262">
            <v>2</v>
          </cell>
          <cell r="K2262">
            <v>2</v>
          </cell>
        </row>
        <row r="2263">
          <cell r="A2263" t="str">
            <v>M2</v>
          </cell>
          <cell r="B2263" t="str">
            <v>B2C</v>
          </cell>
          <cell r="C2263" t="str">
            <v>SH</v>
          </cell>
          <cell r="D2263" t="str">
            <v>24612</v>
          </cell>
          <cell r="E2263" t="str">
            <v>TEE</v>
          </cell>
          <cell r="F2263">
            <v>2</v>
          </cell>
          <cell r="G2263" t="str">
            <v>CB400300000T00</v>
          </cell>
          <cell r="H2263">
            <v>0.75</v>
          </cell>
          <cell r="I2263" t="str">
            <v>--</v>
          </cell>
          <cell r="J2263">
            <v>4</v>
          </cell>
          <cell r="K2263">
            <v>4</v>
          </cell>
        </row>
        <row r="2264">
          <cell r="A2264" t="str">
            <v>M2</v>
          </cell>
          <cell r="B2264" t="str">
            <v>B2C</v>
          </cell>
          <cell r="C2264" t="str">
            <v>SCH</v>
          </cell>
          <cell r="D2264" t="str">
            <v>23613</v>
          </cell>
          <cell r="E2264" t="str">
            <v>TEE</v>
          </cell>
          <cell r="F2264">
            <v>2</v>
          </cell>
          <cell r="G2264" t="str">
            <v>CB400300000T00</v>
          </cell>
          <cell r="H2264">
            <v>0.75</v>
          </cell>
          <cell r="I2264" t="str">
            <v>--</v>
          </cell>
          <cell r="J2264">
            <v>1</v>
          </cell>
          <cell r="K2264">
            <v>1</v>
          </cell>
        </row>
        <row r="2265">
          <cell r="A2265" t="str">
            <v>M2</v>
          </cell>
          <cell r="B2265" t="str">
            <v>A5C</v>
          </cell>
          <cell r="C2265" t="str">
            <v>N</v>
          </cell>
          <cell r="D2265" t="str">
            <v>23613</v>
          </cell>
          <cell r="E2265" t="str">
            <v>90 ELL</v>
          </cell>
          <cell r="F2265">
            <v>2</v>
          </cell>
          <cell r="G2265" t="str">
            <v>CB400100000T00</v>
          </cell>
          <cell r="H2265">
            <v>0.75</v>
          </cell>
          <cell r="I2265" t="str">
            <v>--</v>
          </cell>
          <cell r="J2265">
            <v>1</v>
          </cell>
          <cell r="K2265">
            <v>1</v>
          </cell>
        </row>
        <row r="2266">
          <cell r="A2266" t="str">
            <v>M2</v>
          </cell>
          <cell r="B2266" t="str">
            <v>A5C</v>
          </cell>
          <cell r="C2266" t="str">
            <v>N</v>
          </cell>
          <cell r="D2266" t="str">
            <v>23620</v>
          </cell>
          <cell r="E2266" t="str">
            <v>90 ELL</v>
          </cell>
          <cell r="F2266">
            <v>2</v>
          </cell>
          <cell r="G2266" t="str">
            <v>CB400100000T00</v>
          </cell>
          <cell r="H2266">
            <v>0.75</v>
          </cell>
          <cell r="I2266" t="str">
            <v>--</v>
          </cell>
          <cell r="J2266">
            <v>3</v>
          </cell>
          <cell r="K2266">
            <v>3</v>
          </cell>
        </row>
        <row r="2267">
          <cell r="A2267" t="str">
            <v>M2</v>
          </cell>
          <cell r="B2267" t="str">
            <v>A5C</v>
          </cell>
          <cell r="C2267" t="str">
            <v>N</v>
          </cell>
          <cell r="D2267" t="str">
            <v>23619</v>
          </cell>
          <cell r="E2267" t="str">
            <v>90 ELL</v>
          </cell>
          <cell r="F2267">
            <v>2</v>
          </cell>
          <cell r="G2267" t="str">
            <v>CB400100000T00</v>
          </cell>
          <cell r="H2267">
            <v>0.75</v>
          </cell>
          <cell r="I2267" t="str">
            <v>--</v>
          </cell>
          <cell r="J2267">
            <v>3</v>
          </cell>
          <cell r="K2267">
            <v>3</v>
          </cell>
        </row>
        <row r="2268">
          <cell r="A2268" t="str">
            <v>M2</v>
          </cell>
          <cell r="B2268" t="str">
            <v>A5C</v>
          </cell>
          <cell r="C2268" t="str">
            <v>N</v>
          </cell>
          <cell r="D2268" t="str">
            <v>23621</v>
          </cell>
          <cell r="E2268" t="str">
            <v>90 ELL</v>
          </cell>
          <cell r="F2268">
            <v>2</v>
          </cell>
          <cell r="G2268" t="str">
            <v>CB400100000T00</v>
          </cell>
          <cell r="H2268">
            <v>0.75</v>
          </cell>
          <cell r="I2268" t="str">
            <v>--</v>
          </cell>
          <cell r="J2268">
            <v>1</v>
          </cell>
          <cell r="K2268">
            <v>1</v>
          </cell>
        </row>
        <row r="2269">
          <cell r="A2269" t="str">
            <v>M2</v>
          </cell>
          <cell r="B2269" t="str">
            <v>A5C</v>
          </cell>
          <cell r="C2269" t="str">
            <v>N</v>
          </cell>
          <cell r="D2269" t="str">
            <v>23642</v>
          </cell>
          <cell r="E2269" t="str">
            <v>90 ELL</v>
          </cell>
          <cell r="F2269">
            <v>2</v>
          </cell>
          <cell r="G2269" t="str">
            <v>CB400100000T00</v>
          </cell>
          <cell r="H2269">
            <v>0.75</v>
          </cell>
          <cell r="I2269" t="str">
            <v>--</v>
          </cell>
          <cell r="J2269">
            <v>3</v>
          </cell>
          <cell r="K2269">
            <v>3</v>
          </cell>
        </row>
        <row r="2270">
          <cell r="A2270" t="str">
            <v>M2</v>
          </cell>
          <cell r="B2270" t="str">
            <v>A5C</v>
          </cell>
          <cell r="C2270" t="str">
            <v>N</v>
          </cell>
          <cell r="D2270" t="str">
            <v>23647</v>
          </cell>
          <cell r="E2270" t="str">
            <v>90 ELL</v>
          </cell>
          <cell r="F2270">
            <v>2</v>
          </cell>
          <cell r="G2270" t="str">
            <v>CB400100000T00</v>
          </cell>
          <cell r="H2270">
            <v>0.75</v>
          </cell>
          <cell r="I2270" t="str">
            <v>--</v>
          </cell>
          <cell r="J2270">
            <v>1</v>
          </cell>
          <cell r="K2270">
            <v>1</v>
          </cell>
        </row>
        <row r="2271">
          <cell r="A2271" t="str">
            <v>M2</v>
          </cell>
          <cell r="B2271" t="str">
            <v>A5C</v>
          </cell>
          <cell r="C2271" t="str">
            <v>N</v>
          </cell>
          <cell r="D2271" t="str">
            <v>23648</v>
          </cell>
          <cell r="E2271" t="str">
            <v>90 ELL</v>
          </cell>
          <cell r="F2271">
            <v>2</v>
          </cell>
          <cell r="G2271" t="str">
            <v>CB400100000T00</v>
          </cell>
          <cell r="H2271">
            <v>0.75</v>
          </cell>
          <cell r="I2271" t="str">
            <v>--</v>
          </cell>
          <cell r="J2271">
            <v>1</v>
          </cell>
          <cell r="K2271">
            <v>1</v>
          </cell>
        </row>
        <row r="2272">
          <cell r="A2272" t="str">
            <v>M2</v>
          </cell>
          <cell r="B2272" t="str">
            <v>A5C</v>
          </cell>
          <cell r="C2272" t="str">
            <v>N</v>
          </cell>
          <cell r="D2272" t="str">
            <v>24611</v>
          </cell>
          <cell r="E2272" t="str">
            <v>90 ELL</v>
          </cell>
          <cell r="F2272">
            <v>2</v>
          </cell>
          <cell r="G2272" t="str">
            <v>CB400100000T00</v>
          </cell>
          <cell r="H2272">
            <v>0.75</v>
          </cell>
          <cell r="I2272" t="str">
            <v>--</v>
          </cell>
          <cell r="J2272">
            <v>3</v>
          </cell>
          <cell r="K2272">
            <v>3</v>
          </cell>
        </row>
        <row r="2273">
          <cell r="A2273" t="str">
            <v>M2</v>
          </cell>
          <cell r="B2273" t="str">
            <v>A5C</v>
          </cell>
          <cell r="C2273" t="str">
            <v>N</v>
          </cell>
          <cell r="D2273" t="str">
            <v>24612</v>
          </cell>
          <cell r="E2273" t="str">
            <v>90 ELL</v>
          </cell>
          <cell r="F2273">
            <v>2</v>
          </cell>
          <cell r="G2273" t="str">
            <v>CB400100000T00</v>
          </cell>
          <cell r="H2273">
            <v>0.75</v>
          </cell>
          <cell r="I2273" t="str">
            <v>--</v>
          </cell>
          <cell r="J2273">
            <v>3</v>
          </cell>
          <cell r="K2273">
            <v>3</v>
          </cell>
        </row>
        <row r="2274">
          <cell r="A2274" t="str">
            <v>M2</v>
          </cell>
          <cell r="B2274" t="str">
            <v>A5C</v>
          </cell>
          <cell r="C2274" t="str">
            <v>N</v>
          </cell>
          <cell r="D2274" t="str">
            <v>23646</v>
          </cell>
          <cell r="E2274" t="str">
            <v>90 ELL</v>
          </cell>
          <cell r="F2274">
            <v>2</v>
          </cell>
          <cell r="G2274" t="str">
            <v>CB400100000T00</v>
          </cell>
          <cell r="H2274">
            <v>0.75</v>
          </cell>
          <cell r="I2274" t="str">
            <v>--</v>
          </cell>
          <cell r="J2274">
            <v>3</v>
          </cell>
          <cell r="K2274">
            <v>3</v>
          </cell>
        </row>
        <row r="2275">
          <cell r="A2275" t="str">
            <v>M2</v>
          </cell>
          <cell r="B2275" t="str">
            <v>A5C</v>
          </cell>
          <cell r="C2275" t="str">
            <v>P</v>
          </cell>
          <cell r="D2275" t="str">
            <v>23005</v>
          </cell>
          <cell r="E2275" t="str">
            <v>90 ELL</v>
          </cell>
          <cell r="F2275">
            <v>2</v>
          </cell>
          <cell r="G2275" t="str">
            <v>CB400100000T00</v>
          </cell>
          <cell r="H2275">
            <v>0.75</v>
          </cell>
          <cell r="I2275" t="str">
            <v>--</v>
          </cell>
          <cell r="J2275">
            <v>2</v>
          </cell>
          <cell r="K2275">
            <v>2</v>
          </cell>
        </row>
        <row r="2276">
          <cell r="A2276" t="str">
            <v>M2</v>
          </cell>
          <cell r="B2276" t="str">
            <v>A5C</v>
          </cell>
          <cell r="C2276" t="str">
            <v>P</v>
          </cell>
          <cell r="D2276" t="str">
            <v>23011</v>
          </cell>
          <cell r="E2276" t="str">
            <v>90 ELL</v>
          </cell>
          <cell r="F2276">
            <v>2</v>
          </cell>
          <cell r="G2276" t="str">
            <v>CB400100000T00</v>
          </cell>
          <cell r="H2276">
            <v>0.75</v>
          </cell>
          <cell r="I2276" t="str">
            <v>--</v>
          </cell>
          <cell r="J2276">
            <v>2</v>
          </cell>
          <cell r="K2276">
            <v>2</v>
          </cell>
        </row>
        <row r="2277">
          <cell r="A2277" t="str">
            <v>M2</v>
          </cell>
          <cell r="B2277" t="str">
            <v>A5C</v>
          </cell>
          <cell r="C2277" t="str">
            <v>P</v>
          </cell>
          <cell r="D2277" t="str">
            <v>23012</v>
          </cell>
          <cell r="E2277" t="str">
            <v>90 ELL</v>
          </cell>
          <cell r="F2277">
            <v>2</v>
          </cell>
          <cell r="G2277" t="str">
            <v>CB400100000T00</v>
          </cell>
          <cell r="H2277">
            <v>0.75</v>
          </cell>
          <cell r="I2277" t="str">
            <v>--</v>
          </cell>
          <cell r="J2277">
            <v>2</v>
          </cell>
          <cell r="K2277">
            <v>2</v>
          </cell>
        </row>
        <row r="2278">
          <cell r="A2278" t="str">
            <v>M2</v>
          </cell>
          <cell r="B2278" t="str">
            <v>A5C</v>
          </cell>
          <cell r="C2278" t="str">
            <v>P</v>
          </cell>
          <cell r="D2278" t="str">
            <v>23022</v>
          </cell>
          <cell r="E2278" t="str">
            <v>90 ELL</v>
          </cell>
          <cell r="F2278">
            <v>2</v>
          </cell>
          <cell r="G2278" t="str">
            <v>CB400100000T00</v>
          </cell>
          <cell r="H2278">
            <v>0.75</v>
          </cell>
          <cell r="I2278" t="str">
            <v>--</v>
          </cell>
          <cell r="J2278">
            <v>1</v>
          </cell>
          <cell r="K2278">
            <v>1</v>
          </cell>
        </row>
        <row r="2279">
          <cell r="A2279" t="str">
            <v>M2</v>
          </cell>
          <cell r="B2279" t="str">
            <v>A5C</v>
          </cell>
          <cell r="C2279" t="str">
            <v>P</v>
          </cell>
          <cell r="D2279" t="str">
            <v>23023</v>
          </cell>
          <cell r="E2279" t="str">
            <v>90 ELL</v>
          </cell>
          <cell r="F2279">
            <v>2</v>
          </cell>
          <cell r="G2279" t="str">
            <v>CB400100000T00</v>
          </cell>
          <cell r="H2279">
            <v>0.75</v>
          </cell>
          <cell r="I2279" t="str">
            <v>--</v>
          </cell>
          <cell r="J2279">
            <v>2</v>
          </cell>
          <cell r="K2279">
            <v>2</v>
          </cell>
        </row>
        <row r="2280">
          <cell r="A2280" t="str">
            <v>M2</v>
          </cell>
          <cell r="B2280" t="str">
            <v>A5C</v>
          </cell>
          <cell r="C2280" t="str">
            <v>P</v>
          </cell>
          <cell r="D2280" t="str">
            <v>23037</v>
          </cell>
          <cell r="E2280" t="str">
            <v>90 ELL</v>
          </cell>
          <cell r="F2280">
            <v>2</v>
          </cell>
          <cell r="G2280" t="str">
            <v>CB400100000T00</v>
          </cell>
          <cell r="H2280">
            <v>0.75</v>
          </cell>
          <cell r="I2280" t="str">
            <v>--</v>
          </cell>
          <cell r="J2280">
            <v>2</v>
          </cell>
          <cell r="K2280">
            <v>2</v>
          </cell>
        </row>
        <row r="2281">
          <cell r="A2281" t="str">
            <v>M2</v>
          </cell>
          <cell r="B2281" t="str">
            <v>A5C</v>
          </cell>
          <cell r="C2281" t="str">
            <v>P</v>
          </cell>
          <cell r="D2281" t="str">
            <v>23038</v>
          </cell>
          <cell r="E2281" t="str">
            <v>90 ELL</v>
          </cell>
          <cell r="F2281">
            <v>2</v>
          </cell>
          <cell r="G2281" t="str">
            <v>CB400100000T00</v>
          </cell>
          <cell r="H2281">
            <v>0.75</v>
          </cell>
          <cell r="I2281" t="str">
            <v>--</v>
          </cell>
          <cell r="J2281">
            <v>2</v>
          </cell>
          <cell r="K2281">
            <v>2</v>
          </cell>
        </row>
        <row r="2282">
          <cell r="A2282" t="str">
            <v>M2</v>
          </cell>
          <cell r="B2282" t="str">
            <v>A5C</v>
          </cell>
          <cell r="C2282" t="str">
            <v>P</v>
          </cell>
          <cell r="D2282" t="str">
            <v>23047</v>
          </cell>
          <cell r="E2282" t="str">
            <v>90 ELL</v>
          </cell>
          <cell r="F2282">
            <v>2</v>
          </cell>
          <cell r="G2282" t="str">
            <v>CB400100000T00</v>
          </cell>
          <cell r="H2282">
            <v>0.75</v>
          </cell>
          <cell r="I2282" t="str">
            <v>--</v>
          </cell>
          <cell r="J2282">
            <v>2</v>
          </cell>
          <cell r="K2282">
            <v>2</v>
          </cell>
        </row>
        <row r="2283">
          <cell r="A2283" t="str">
            <v>M2</v>
          </cell>
          <cell r="B2283" t="str">
            <v>A5C</v>
          </cell>
          <cell r="C2283" t="str">
            <v>P</v>
          </cell>
          <cell r="D2283" t="str">
            <v>23052</v>
          </cell>
          <cell r="E2283" t="str">
            <v>90 ELL</v>
          </cell>
          <cell r="F2283">
            <v>2</v>
          </cell>
          <cell r="G2283" t="str">
            <v>CB400100000T00</v>
          </cell>
          <cell r="H2283">
            <v>0.75</v>
          </cell>
          <cell r="I2283" t="str">
            <v>--</v>
          </cell>
          <cell r="J2283">
            <v>2</v>
          </cell>
          <cell r="K2283">
            <v>2</v>
          </cell>
        </row>
        <row r="2284">
          <cell r="A2284" t="str">
            <v>M2</v>
          </cell>
          <cell r="B2284" t="str">
            <v>A5C</v>
          </cell>
          <cell r="C2284" t="str">
            <v>P</v>
          </cell>
          <cell r="D2284" t="str">
            <v>23057</v>
          </cell>
          <cell r="E2284" t="str">
            <v>90 ELL</v>
          </cell>
          <cell r="F2284">
            <v>2</v>
          </cell>
          <cell r="G2284" t="str">
            <v>CB400100000T00</v>
          </cell>
          <cell r="H2284">
            <v>0.75</v>
          </cell>
          <cell r="I2284" t="str">
            <v>--</v>
          </cell>
          <cell r="J2284">
            <v>1</v>
          </cell>
          <cell r="K2284">
            <v>1</v>
          </cell>
        </row>
        <row r="2285">
          <cell r="A2285" t="str">
            <v>M2</v>
          </cell>
          <cell r="B2285" t="str">
            <v>A5C</v>
          </cell>
          <cell r="C2285" t="str">
            <v>P</v>
          </cell>
          <cell r="D2285" t="str">
            <v>23058</v>
          </cell>
          <cell r="E2285" t="str">
            <v>90 ELL</v>
          </cell>
          <cell r="F2285">
            <v>2</v>
          </cell>
          <cell r="G2285" t="str">
            <v>CB400100000T00</v>
          </cell>
          <cell r="H2285">
            <v>0.75</v>
          </cell>
          <cell r="I2285" t="str">
            <v>--</v>
          </cell>
          <cell r="J2285">
            <v>2</v>
          </cell>
          <cell r="K2285">
            <v>2</v>
          </cell>
        </row>
        <row r="2286">
          <cell r="A2286" t="str">
            <v>M2</v>
          </cell>
          <cell r="B2286" t="str">
            <v>A5C</v>
          </cell>
          <cell r="C2286" t="str">
            <v>P</v>
          </cell>
          <cell r="D2286" t="str">
            <v>23063</v>
          </cell>
          <cell r="E2286" t="str">
            <v>90 ELL</v>
          </cell>
          <cell r="F2286">
            <v>2</v>
          </cell>
          <cell r="G2286" t="str">
            <v>CB400100000T00</v>
          </cell>
          <cell r="H2286">
            <v>0.75</v>
          </cell>
          <cell r="I2286" t="str">
            <v>--</v>
          </cell>
          <cell r="J2286">
            <v>1</v>
          </cell>
          <cell r="K2286">
            <v>1</v>
          </cell>
        </row>
        <row r="2287">
          <cell r="A2287" t="str">
            <v>M2</v>
          </cell>
          <cell r="B2287" t="str">
            <v>A5C</v>
          </cell>
          <cell r="C2287" t="str">
            <v>P</v>
          </cell>
          <cell r="D2287" t="str">
            <v>23068</v>
          </cell>
          <cell r="E2287" t="str">
            <v>90 ELL</v>
          </cell>
          <cell r="F2287">
            <v>2</v>
          </cell>
          <cell r="G2287" t="str">
            <v>CB400100000T00</v>
          </cell>
          <cell r="H2287">
            <v>0.75</v>
          </cell>
          <cell r="I2287" t="str">
            <v>--</v>
          </cell>
          <cell r="J2287">
            <v>2</v>
          </cell>
          <cell r="K2287">
            <v>2</v>
          </cell>
        </row>
        <row r="2288">
          <cell r="A2288" t="str">
            <v>M2</v>
          </cell>
          <cell r="B2288" t="str">
            <v>A5C</v>
          </cell>
          <cell r="C2288" t="str">
            <v>P</v>
          </cell>
          <cell r="D2288" t="str">
            <v>23072</v>
          </cell>
          <cell r="E2288" t="str">
            <v>90 ELL</v>
          </cell>
          <cell r="F2288">
            <v>2</v>
          </cell>
          <cell r="G2288" t="str">
            <v>CB400100000T00</v>
          </cell>
          <cell r="H2288">
            <v>0.75</v>
          </cell>
          <cell r="I2288" t="str">
            <v>--</v>
          </cell>
          <cell r="J2288">
            <v>1</v>
          </cell>
          <cell r="K2288">
            <v>1</v>
          </cell>
        </row>
        <row r="2289">
          <cell r="A2289" t="str">
            <v>M2</v>
          </cell>
          <cell r="B2289" t="str">
            <v>A5C</v>
          </cell>
          <cell r="C2289" t="str">
            <v>P</v>
          </cell>
          <cell r="D2289" t="str">
            <v>23073</v>
          </cell>
          <cell r="E2289" t="str">
            <v>90 ELL</v>
          </cell>
          <cell r="F2289">
            <v>2</v>
          </cell>
          <cell r="G2289" t="str">
            <v>CB400100000T00</v>
          </cell>
          <cell r="H2289">
            <v>0.75</v>
          </cell>
          <cell r="I2289" t="str">
            <v>--</v>
          </cell>
          <cell r="J2289">
            <v>2</v>
          </cell>
          <cell r="K2289">
            <v>2</v>
          </cell>
        </row>
        <row r="2290">
          <cell r="A2290" t="str">
            <v>M2</v>
          </cell>
          <cell r="B2290" t="str">
            <v>A5C</v>
          </cell>
          <cell r="C2290" t="str">
            <v>P</v>
          </cell>
          <cell r="D2290" t="str">
            <v>23078</v>
          </cell>
          <cell r="E2290" t="str">
            <v>90 ELL</v>
          </cell>
          <cell r="F2290">
            <v>2</v>
          </cell>
          <cell r="G2290" t="str">
            <v>CB400100000T00</v>
          </cell>
          <cell r="H2290">
            <v>0.75</v>
          </cell>
          <cell r="I2290" t="str">
            <v>--</v>
          </cell>
          <cell r="J2290">
            <v>1</v>
          </cell>
          <cell r="K2290">
            <v>1</v>
          </cell>
        </row>
        <row r="2291">
          <cell r="A2291" t="str">
            <v>M2</v>
          </cell>
          <cell r="B2291" t="str">
            <v>A5C</v>
          </cell>
          <cell r="C2291" t="str">
            <v>P</v>
          </cell>
          <cell r="D2291" t="str">
            <v>23081</v>
          </cell>
          <cell r="E2291" t="str">
            <v>90 ELL</v>
          </cell>
          <cell r="F2291">
            <v>2</v>
          </cell>
          <cell r="G2291" t="str">
            <v>CB400100000T00</v>
          </cell>
          <cell r="H2291">
            <v>0.75</v>
          </cell>
          <cell r="I2291" t="str">
            <v>--</v>
          </cell>
          <cell r="J2291">
            <v>17</v>
          </cell>
          <cell r="K2291">
            <v>17</v>
          </cell>
        </row>
        <row r="2292">
          <cell r="A2292" t="str">
            <v>M2</v>
          </cell>
          <cell r="B2292" t="str">
            <v>A5C</v>
          </cell>
          <cell r="C2292" t="str">
            <v>P</v>
          </cell>
          <cell r="D2292" t="str">
            <v>23084</v>
          </cell>
          <cell r="E2292" t="str">
            <v>90 ELL</v>
          </cell>
          <cell r="F2292">
            <v>2</v>
          </cell>
          <cell r="G2292" t="str">
            <v>CB400100000T00</v>
          </cell>
          <cell r="H2292">
            <v>0.75</v>
          </cell>
          <cell r="I2292" t="str">
            <v>--</v>
          </cell>
          <cell r="J2292">
            <v>2</v>
          </cell>
          <cell r="K2292">
            <v>2</v>
          </cell>
        </row>
        <row r="2293">
          <cell r="A2293" t="str">
            <v>M2</v>
          </cell>
          <cell r="B2293" t="str">
            <v>A5C</v>
          </cell>
          <cell r="C2293" t="str">
            <v>P</v>
          </cell>
          <cell r="D2293" t="str">
            <v>23094</v>
          </cell>
          <cell r="E2293" t="str">
            <v>90 ELL</v>
          </cell>
          <cell r="F2293">
            <v>2</v>
          </cell>
          <cell r="G2293" t="str">
            <v>CB400100000T00</v>
          </cell>
          <cell r="H2293">
            <v>0.75</v>
          </cell>
          <cell r="I2293" t="str">
            <v>--</v>
          </cell>
          <cell r="J2293">
            <v>5</v>
          </cell>
          <cell r="K2293">
            <v>5</v>
          </cell>
        </row>
        <row r="2294">
          <cell r="A2294" t="str">
            <v>M2</v>
          </cell>
          <cell r="B2294" t="str">
            <v>A5C</v>
          </cell>
          <cell r="C2294" t="str">
            <v>P</v>
          </cell>
          <cell r="D2294" t="str">
            <v>23094</v>
          </cell>
          <cell r="E2294" t="str">
            <v>90 ELL</v>
          </cell>
          <cell r="F2294">
            <v>2</v>
          </cell>
          <cell r="G2294" t="str">
            <v>CB400100000T00</v>
          </cell>
          <cell r="H2294">
            <v>0.75</v>
          </cell>
          <cell r="I2294" t="str">
            <v>--</v>
          </cell>
          <cell r="J2294">
            <v>4</v>
          </cell>
          <cell r="K2294">
            <v>4</v>
          </cell>
        </row>
        <row r="2295">
          <cell r="A2295" t="str">
            <v>M2</v>
          </cell>
          <cell r="B2295" t="str">
            <v>A5C</v>
          </cell>
          <cell r="C2295" t="str">
            <v>P</v>
          </cell>
          <cell r="D2295" t="str">
            <v>23095</v>
          </cell>
          <cell r="E2295" t="str">
            <v>90 ELL</v>
          </cell>
          <cell r="F2295">
            <v>2</v>
          </cell>
          <cell r="G2295" t="str">
            <v>CB400100000T00</v>
          </cell>
          <cell r="H2295">
            <v>0.75</v>
          </cell>
          <cell r="I2295" t="str">
            <v>--</v>
          </cell>
          <cell r="J2295">
            <v>2</v>
          </cell>
          <cell r="K2295">
            <v>2</v>
          </cell>
        </row>
        <row r="2296">
          <cell r="A2296" t="str">
            <v>M2</v>
          </cell>
          <cell r="B2296" t="str">
            <v>A5C</v>
          </cell>
          <cell r="C2296" t="str">
            <v>P</v>
          </cell>
          <cell r="D2296" t="str">
            <v>23101</v>
          </cell>
          <cell r="E2296" t="str">
            <v>90 ELL</v>
          </cell>
          <cell r="F2296">
            <v>2</v>
          </cell>
          <cell r="G2296" t="str">
            <v>CB400100000T00</v>
          </cell>
          <cell r="H2296">
            <v>0.75</v>
          </cell>
          <cell r="I2296" t="str">
            <v>--</v>
          </cell>
          <cell r="J2296">
            <v>5</v>
          </cell>
          <cell r="K2296">
            <v>5</v>
          </cell>
        </row>
        <row r="2297">
          <cell r="A2297" t="str">
            <v>M2</v>
          </cell>
          <cell r="B2297" t="str">
            <v>A5C</v>
          </cell>
          <cell r="C2297" t="str">
            <v>P</v>
          </cell>
          <cell r="D2297" t="str">
            <v>23105</v>
          </cell>
          <cell r="E2297" t="str">
            <v>90 ELL</v>
          </cell>
          <cell r="F2297">
            <v>2</v>
          </cell>
          <cell r="G2297" t="str">
            <v>CB400100000T00</v>
          </cell>
          <cell r="H2297">
            <v>0.75</v>
          </cell>
          <cell r="I2297" t="str">
            <v>--</v>
          </cell>
          <cell r="J2297">
            <v>5</v>
          </cell>
          <cell r="K2297">
            <v>5</v>
          </cell>
        </row>
        <row r="2298">
          <cell r="A2298" t="str">
            <v>M2</v>
          </cell>
          <cell r="B2298" t="str">
            <v>A5C</v>
          </cell>
          <cell r="C2298" t="str">
            <v>P</v>
          </cell>
          <cell r="D2298" t="str">
            <v>23102</v>
          </cell>
          <cell r="E2298" t="str">
            <v>90 ELL</v>
          </cell>
          <cell r="F2298">
            <v>2</v>
          </cell>
          <cell r="G2298" t="str">
            <v>CB400100000T00</v>
          </cell>
          <cell r="H2298">
            <v>0.75</v>
          </cell>
          <cell r="I2298" t="str">
            <v>--</v>
          </cell>
          <cell r="J2298">
            <v>2</v>
          </cell>
          <cell r="K2298">
            <v>2</v>
          </cell>
        </row>
        <row r="2299">
          <cell r="A2299" t="str">
            <v>M2</v>
          </cell>
          <cell r="B2299" t="str">
            <v>A5C</v>
          </cell>
          <cell r="C2299" t="str">
            <v>P</v>
          </cell>
          <cell r="D2299" t="str">
            <v>23109</v>
          </cell>
          <cell r="E2299" t="str">
            <v>90 ELL</v>
          </cell>
          <cell r="F2299">
            <v>2</v>
          </cell>
          <cell r="G2299" t="str">
            <v>CB400100000T00</v>
          </cell>
          <cell r="H2299">
            <v>0.75</v>
          </cell>
          <cell r="I2299" t="str">
            <v>--</v>
          </cell>
          <cell r="J2299">
            <v>5</v>
          </cell>
          <cell r="K2299">
            <v>5</v>
          </cell>
        </row>
        <row r="2300">
          <cell r="A2300" t="str">
            <v>M2</v>
          </cell>
          <cell r="B2300" t="str">
            <v>A5C</v>
          </cell>
          <cell r="C2300" t="str">
            <v>P</v>
          </cell>
          <cell r="D2300" t="str">
            <v>23113</v>
          </cell>
          <cell r="E2300" t="str">
            <v>90 ELL</v>
          </cell>
          <cell r="F2300">
            <v>2</v>
          </cell>
          <cell r="G2300" t="str">
            <v>CB400100000T00</v>
          </cell>
          <cell r="H2300">
            <v>0.75</v>
          </cell>
          <cell r="I2300" t="str">
            <v>--</v>
          </cell>
          <cell r="J2300">
            <v>4</v>
          </cell>
          <cell r="K2300">
            <v>4</v>
          </cell>
        </row>
        <row r="2301">
          <cell r="A2301" t="str">
            <v>M2</v>
          </cell>
          <cell r="B2301" t="str">
            <v>A5C</v>
          </cell>
          <cell r="C2301" t="str">
            <v>P</v>
          </cell>
          <cell r="D2301" t="str">
            <v>23113</v>
          </cell>
          <cell r="E2301" t="str">
            <v>90 ELL</v>
          </cell>
          <cell r="F2301">
            <v>2</v>
          </cell>
          <cell r="G2301" t="str">
            <v>CB400100000T00</v>
          </cell>
          <cell r="H2301">
            <v>0.75</v>
          </cell>
          <cell r="I2301" t="str">
            <v>--</v>
          </cell>
          <cell r="J2301">
            <v>4</v>
          </cell>
          <cell r="K2301">
            <v>4</v>
          </cell>
        </row>
        <row r="2302">
          <cell r="A2302" t="str">
            <v>M2</v>
          </cell>
          <cell r="B2302" t="str">
            <v>A5C</v>
          </cell>
          <cell r="C2302" t="str">
            <v>P</v>
          </cell>
          <cell r="D2302" t="str">
            <v>23114</v>
          </cell>
          <cell r="E2302" t="str">
            <v>90 ELL</v>
          </cell>
          <cell r="F2302">
            <v>2</v>
          </cell>
          <cell r="G2302" t="str">
            <v>CB400100000T00</v>
          </cell>
          <cell r="H2302">
            <v>0.75</v>
          </cell>
          <cell r="I2302" t="str">
            <v>--</v>
          </cell>
          <cell r="J2302">
            <v>2</v>
          </cell>
          <cell r="K2302">
            <v>2</v>
          </cell>
        </row>
        <row r="2303">
          <cell r="A2303" t="str">
            <v>M2</v>
          </cell>
          <cell r="B2303" t="str">
            <v>A5C</v>
          </cell>
          <cell r="C2303" t="str">
            <v>P</v>
          </cell>
          <cell r="D2303" t="str">
            <v>23117</v>
          </cell>
          <cell r="E2303" t="str">
            <v>90 ELL</v>
          </cell>
          <cell r="F2303">
            <v>2</v>
          </cell>
          <cell r="G2303" t="str">
            <v>CB400100000T00</v>
          </cell>
          <cell r="H2303">
            <v>0.75</v>
          </cell>
          <cell r="I2303" t="str">
            <v>--</v>
          </cell>
          <cell r="J2303">
            <v>2</v>
          </cell>
          <cell r="K2303">
            <v>2</v>
          </cell>
        </row>
        <row r="2304">
          <cell r="A2304" t="str">
            <v>M2</v>
          </cell>
          <cell r="B2304" t="str">
            <v>A5C</v>
          </cell>
          <cell r="C2304" t="str">
            <v>P</v>
          </cell>
          <cell r="D2304" t="str">
            <v>23123</v>
          </cell>
          <cell r="E2304" t="str">
            <v>90 ELL</v>
          </cell>
          <cell r="F2304">
            <v>2</v>
          </cell>
          <cell r="G2304" t="str">
            <v>CB400100000T00</v>
          </cell>
          <cell r="H2304">
            <v>0.75</v>
          </cell>
          <cell r="I2304" t="str">
            <v>--</v>
          </cell>
          <cell r="J2304">
            <v>2</v>
          </cell>
          <cell r="K2304">
            <v>2</v>
          </cell>
        </row>
        <row r="2305">
          <cell r="A2305" t="str">
            <v>M2</v>
          </cell>
          <cell r="B2305" t="str">
            <v>A5C</v>
          </cell>
          <cell r="C2305" t="str">
            <v>P</v>
          </cell>
          <cell r="D2305" t="str">
            <v>23127</v>
          </cell>
          <cell r="E2305" t="str">
            <v>90 ELL</v>
          </cell>
          <cell r="F2305">
            <v>2</v>
          </cell>
          <cell r="G2305" t="str">
            <v>CB400100000T00</v>
          </cell>
          <cell r="H2305">
            <v>0.75</v>
          </cell>
          <cell r="I2305" t="str">
            <v>--</v>
          </cell>
          <cell r="J2305">
            <v>2</v>
          </cell>
          <cell r="K2305">
            <v>2</v>
          </cell>
        </row>
        <row r="2306">
          <cell r="A2306" t="str">
            <v>M2</v>
          </cell>
          <cell r="B2306" t="str">
            <v>A5C</v>
          </cell>
          <cell r="C2306" t="str">
            <v>P</v>
          </cell>
          <cell r="D2306" t="str">
            <v>23133</v>
          </cell>
          <cell r="E2306" t="str">
            <v>90 ELL</v>
          </cell>
          <cell r="F2306">
            <v>2</v>
          </cell>
          <cell r="G2306" t="str">
            <v>CB400100000T00</v>
          </cell>
          <cell r="H2306">
            <v>0.75</v>
          </cell>
          <cell r="I2306" t="str">
            <v>--</v>
          </cell>
          <cell r="J2306">
            <v>4</v>
          </cell>
          <cell r="K2306">
            <v>4</v>
          </cell>
        </row>
        <row r="2307">
          <cell r="A2307" t="str">
            <v>M2</v>
          </cell>
          <cell r="B2307" t="str">
            <v>A5C</v>
          </cell>
          <cell r="C2307" t="str">
            <v>P</v>
          </cell>
          <cell r="D2307" t="str">
            <v>23134</v>
          </cell>
          <cell r="E2307" t="str">
            <v>90 ELL</v>
          </cell>
          <cell r="F2307">
            <v>2</v>
          </cell>
          <cell r="G2307" t="str">
            <v>CB400100000T00</v>
          </cell>
          <cell r="H2307">
            <v>0.75</v>
          </cell>
          <cell r="I2307" t="str">
            <v>--</v>
          </cell>
          <cell r="J2307">
            <v>2</v>
          </cell>
          <cell r="K2307">
            <v>2</v>
          </cell>
        </row>
        <row r="2308">
          <cell r="A2308" t="str">
            <v>M2</v>
          </cell>
          <cell r="B2308" t="str">
            <v>A5C</v>
          </cell>
          <cell r="C2308" t="str">
            <v>P</v>
          </cell>
          <cell r="D2308" t="str">
            <v>23141</v>
          </cell>
          <cell r="E2308" t="str">
            <v>90 ELL</v>
          </cell>
          <cell r="F2308">
            <v>2</v>
          </cell>
          <cell r="G2308" t="str">
            <v>CB400100000T00</v>
          </cell>
          <cell r="H2308">
            <v>0.75</v>
          </cell>
          <cell r="I2308" t="str">
            <v>--</v>
          </cell>
          <cell r="J2308">
            <v>4</v>
          </cell>
          <cell r="K2308">
            <v>4</v>
          </cell>
        </row>
        <row r="2309">
          <cell r="A2309" t="str">
            <v>M2</v>
          </cell>
          <cell r="B2309" t="str">
            <v>A5C</v>
          </cell>
          <cell r="C2309" t="str">
            <v>P</v>
          </cell>
          <cell r="D2309" t="str">
            <v>23141</v>
          </cell>
          <cell r="E2309" t="str">
            <v>90 ELL</v>
          </cell>
          <cell r="F2309">
            <v>2</v>
          </cell>
          <cell r="G2309" t="str">
            <v>CB400100000T00</v>
          </cell>
          <cell r="H2309">
            <v>0.75</v>
          </cell>
          <cell r="I2309" t="str">
            <v>--</v>
          </cell>
          <cell r="J2309">
            <v>12</v>
          </cell>
          <cell r="K2309">
            <v>12</v>
          </cell>
        </row>
        <row r="2310">
          <cell r="A2310" t="str">
            <v>M2</v>
          </cell>
          <cell r="B2310" t="str">
            <v>A5C</v>
          </cell>
          <cell r="C2310" t="str">
            <v>P</v>
          </cell>
          <cell r="D2310" t="str">
            <v>23142</v>
          </cell>
          <cell r="E2310" t="str">
            <v>90 ELL</v>
          </cell>
          <cell r="F2310">
            <v>2</v>
          </cell>
          <cell r="G2310" t="str">
            <v>CB400100000T00</v>
          </cell>
          <cell r="H2310">
            <v>0.75</v>
          </cell>
          <cell r="I2310" t="str">
            <v>--</v>
          </cell>
          <cell r="J2310">
            <v>2</v>
          </cell>
          <cell r="K2310">
            <v>2</v>
          </cell>
        </row>
        <row r="2311">
          <cell r="A2311" t="str">
            <v>M2</v>
          </cell>
          <cell r="B2311" t="str">
            <v>A5C</v>
          </cell>
          <cell r="C2311" t="str">
            <v>P</v>
          </cell>
          <cell r="D2311" t="str">
            <v>23145</v>
          </cell>
          <cell r="E2311" t="str">
            <v>90 ELL</v>
          </cell>
          <cell r="F2311">
            <v>2</v>
          </cell>
          <cell r="G2311" t="str">
            <v>CB400100000T00</v>
          </cell>
          <cell r="H2311">
            <v>0.75</v>
          </cell>
          <cell r="I2311" t="str">
            <v>--</v>
          </cell>
          <cell r="J2311">
            <v>4</v>
          </cell>
          <cell r="K2311">
            <v>4</v>
          </cell>
        </row>
        <row r="2312">
          <cell r="A2312" t="str">
            <v>M2</v>
          </cell>
          <cell r="B2312" t="str">
            <v>A5C</v>
          </cell>
          <cell r="C2312" t="str">
            <v>P</v>
          </cell>
          <cell r="D2312" t="str">
            <v>23146</v>
          </cell>
          <cell r="E2312" t="str">
            <v>90 ELL</v>
          </cell>
          <cell r="F2312">
            <v>2</v>
          </cell>
          <cell r="G2312" t="str">
            <v>CB400100000T00</v>
          </cell>
          <cell r="H2312">
            <v>0.75</v>
          </cell>
          <cell r="I2312" t="str">
            <v>--</v>
          </cell>
          <cell r="J2312">
            <v>2</v>
          </cell>
          <cell r="K2312">
            <v>2</v>
          </cell>
        </row>
        <row r="2313">
          <cell r="A2313" t="str">
            <v>M2</v>
          </cell>
          <cell r="B2313" t="str">
            <v>A5C</v>
          </cell>
          <cell r="C2313" t="str">
            <v>P</v>
          </cell>
          <cell r="D2313" t="str">
            <v>23149</v>
          </cell>
          <cell r="E2313" t="str">
            <v>90 ELL</v>
          </cell>
          <cell r="F2313">
            <v>2</v>
          </cell>
          <cell r="G2313" t="str">
            <v>CB400100000T00</v>
          </cell>
          <cell r="H2313">
            <v>0.75</v>
          </cell>
          <cell r="I2313" t="str">
            <v>--</v>
          </cell>
          <cell r="J2313">
            <v>1</v>
          </cell>
          <cell r="K2313">
            <v>1</v>
          </cell>
        </row>
        <row r="2314">
          <cell r="A2314" t="str">
            <v>M2</v>
          </cell>
          <cell r="B2314" t="str">
            <v>A5C</v>
          </cell>
          <cell r="C2314" t="str">
            <v>P</v>
          </cell>
          <cell r="D2314" t="str">
            <v>23152</v>
          </cell>
          <cell r="E2314" t="str">
            <v>90 ELL</v>
          </cell>
          <cell r="F2314">
            <v>2</v>
          </cell>
          <cell r="G2314" t="str">
            <v>CB400100000T00</v>
          </cell>
          <cell r="H2314">
            <v>0.75</v>
          </cell>
          <cell r="I2314" t="str">
            <v>--</v>
          </cell>
          <cell r="J2314">
            <v>2</v>
          </cell>
          <cell r="K2314">
            <v>2</v>
          </cell>
        </row>
        <row r="2315">
          <cell r="A2315" t="str">
            <v>M2</v>
          </cell>
          <cell r="B2315" t="str">
            <v>A5C</v>
          </cell>
          <cell r="C2315" t="str">
            <v>P</v>
          </cell>
          <cell r="D2315" t="str">
            <v>23157</v>
          </cell>
          <cell r="E2315" t="str">
            <v>90 ELL</v>
          </cell>
          <cell r="F2315">
            <v>2</v>
          </cell>
          <cell r="G2315" t="str">
            <v>CB400100000T00</v>
          </cell>
          <cell r="H2315">
            <v>0.75</v>
          </cell>
          <cell r="I2315" t="str">
            <v>--</v>
          </cell>
          <cell r="J2315">
            <v>2</v>
          </cell>
          <cell r="K2315">
            <v>2</v>
          </cell>
        </row>
        <row r="2316">
          <cell r="A2316" t="str">
            <v>M2</v>
          </cell>
          <cell r="B2316" t="str">
            <v>A5C</v>
          </cell>
          <cell r="C2316" t="str">
            <v>P</v>
          </cell>
          <cell r="D2316" t="str">
            <v>23160</v>
          </cell>
          <cell r="E2316" t="str">
            <v>90 ELL</v>
          </cell>
          <cell r="F2316">
            <v>2</v>
          </cell>
          <cell r="G2316" t="str">
            <v>CB400100000T00</v>
          </cell>
          <cell r="H2316">
            <v>0.75</v>
          </cell>
          <cell r="I2316" t="str">
            <v>--</v>
          </cell>
          <cell r="J2316">
            <v>2</v>
          </cell>
          <cell r="K2316">
            <v>2</v>
          </cell>
        </row>
        <row r="2317">
          <cell r="A2317" t="str">
            <v>M2</v>
          </cell>
          <cell r="B2317" t="str">
            <v>A5C</v>
          </cell>
          <cell r="C2317" t="str">
            <v>P</v>
          </cell>
          <cell r="D2317" t="str">
            <v>23174</v>
          </cell>
          <cell r="E2317" t="str">
            <v>90 ELL</v>
          </cell>
          <cell r="F2317">
            <v>2</v>
          </cell>
          <cell r="G2317" t="str">
            <v>CB400100000T00</v>
          </cell>
          <cell r="H2317">
            <v>0.75</v>
          </cell>
          <cell r="I2317" t="str">
            <v>--</v>
          </cell>
          <cell r="J2317">
            <v>2</v>
          </cell>
          <cell r="K2317">
            <v>2</v>
          </cell>
        </row>
        <row r="2318">
          <cell r="A2318" t="str">
            <v>M2</v>
          </cell>
          <cell r="B2318" t="str">
            <v>A5C</v>
          </cell>
          <cell r="C2318" t="str">
            <v>P</v>
          </cell>
          <cell r="D2318" t="str">
            <v>23188</v>
          </cell>
          <cell r="E2318" t="str">
            <v>90 ELL</v>
          </cell>
          <cell r="F2318">
            <v>2</v>
          </cell>
          <cell r="G2318" t="str">
            <v>CB400100000T00</v>
          </cell>
          <cell r="H2318">
            <v>0.75</v>
          </cell>
          <cell r="I2318" t="str">
            <v>--</v>
          </cell>
          <cell r="J2318">
            <v>7</v>
          </cell>
          <cell r="K2318">
            <v>7</v>
          </cell>
        </row>
        <row r="2319">
          <cell r="A2319" t="str">
            <v>M2</v>
          </cell>
          <cell r="B2319" t="str">
            <v>A5C</v>
          </cell>
          <cell r="C2319" t="str">
            <v>P</v>
          </cell>
          <cell r="D2319" t="str">
            <v>23185</v>
          </cell>
          <cell r="E2319" t="str">
            <v>90 ELL</v>
          </cell>
          <cell r="F2319">
            <v>2</v>
          </cell>
          <cell r="G2319" t="str">
            <v>CB400100000T00</v>
          </cell>
          <cell r="H2319">
            <v>0.75</v>
          </cell>
          <cell r="I2319" t="str">
            <v>--</v>
          </cell>
          <cell r="J2319">
            <v>2</v>
          </cell>
          <cell r="K2319">
            <v>2</v>
          </cell>
        </row>
        <row r="2320">
          <cell r="A2320" t="str">
            <v>M2</v>
          </cell>
          <cell r="B2320" t="str">
            <v>A5C</v>
          </cell>
          <cell r="C2320" t="str">
            <v>P</v>
          </cell>
          <cell r="D2320" t="str">
            <v>23196</v>
          </cell>
          <cell r="E2320" t="str">
            <v>90 ELL</v>
          </cell>
          <cell r="F2320">
            <v>2</v>
          </cell>
          <cell r="G2320" t="str">
            <v>CB400100000T00</v>
          </cell>
          <cell r="H2320">
            <v>0.75</v>
          </cell>
          <cell r="I2320" t="str">
            <v>--</v>
          </cell>
          <cell r="J2320">
            <v>2</v>
          </cell>
          <cell r="K2320">
            <v>2</v>
          </cell>
        </row>
        <row r="2321">
          <cell r="A2321" t="str">
            <v>M2</v>
          </cell>
          <cell r="B2321" t="str">
            <v>A5C</v>
          </cell>
          <cell r="C2321" t="str">
            <v>P</v>
          </cell>
          <cell r="D2321" t="str">
            <v>23225</v>
          </cell>
          <cell r="E2321" t="str">
            <v>90 ELL</v>
          </cell>
          <cell r="F2321">
            <v>2</v>
          </cell>
          <cell r="G2321" t="str">
            <v>CB400100000T00</v>
          </cell>
          <cell r="H2321">
            <v>0.75</v>
          </cell>
          <cell r="I2321" t="str">
            <v>--</v>
          </cell>
          <cell r="J2321">
            <v>10</v>
          </cell>
          <cell r="K2321">
            <v>10</v>
          </cell>
        </row>
        <row r="2322">
          <cell r="A2322" t="str">
            <v>M2</v>
          </cell>
          <cell r="B2322" t="str">
            <v>A5C</v>
          </cell>
          <cell r="C2322" t="str">
            <v>P</v>
          </cell>
          <cell r="D2322" t="str">
            <v>23236</v>
          </cell>
          <cell r="E2322" t="str">
            <v>90 ELL</v>
          </cell>
          <cell r="F2322">
            <v>2</v>
          </cell>
          <cell r="G2322" t="str">
            <v>CB400100000T00</v>
          </cell>
          <cell r="H2322">
            <v>0.75</v>
          </cell>
          <cell r="I2322" t="str">
            <v>--</v>
          </cell>
          <cell r="J2322">
            <v>2</v>
          </cell>
          <cell r="K2322">
            <v>2</v>
          </cell>
        </row>
        <row r="2323">
          <cell r="A2323" t="str">
            <v>M2</v>
          </cell>
          <cell r="B2323" t="str">
            <v>A5C</v>
          </cell>
          <cell r="C2323" t="str">
            <v>P</v>
          </cell>
          <cell r="D2323" t="str">
            <v>23234</v>
          </cell>
          <cell r="E2323" t="str">
            <v>90 ELL</v>
          </cell>
          <cell r="F2323">
            <v>2</v>
          </cell>
          <cell r="G2323" t="str">
            <v>CB400100000T00</v>
          </cell>
          <cell r="H2323">
            <v>0.75</v>
          </cell>
          <cell r="I2323" t="str">
            <v>--</v>
          </cell>
          <cell r="J2323">
            <v>5</v>
          </cell>
          <cell r="K2323">
            <v>5</v>
          </cell>
        </row>
        <row r="2324">
          <cell r="A2324" t="str">
            <v>M2</v>
          </cell>
          <cell r="B2324" t="str">
            <v>A5C</v>
          </cell>
          <cell r="C2324" t="str">
            <v>P</v>
          </cell>
          <cell r="D2324" t="str">
            <v>23238</v>
          </cell>
          <cell r="E2324" t="str">
            <v>90 ELL</v>
          </cell>
          <cell r="F2324">
            <v>2</v>
          </cell>
          <cell r="G2324" t="str">
            <v>CB400100000T00</v>
          </cell>
          <cell r="H2324">
            <v>0.75</v>
          </cell>
          <cell r="I2324" t="str">
            <v>--</v>
          </cell>
          <cell r="J2324">
            <v>5</v>
          </cell>
          <cell r="K2324">
            <v>5</v>
          </cell>
        </row>
        <row r="2325">
          <cell r="A2325" t="str">
            <v>M2</v>
          </cell>
          <cell r="B2325" t="str">
            <v>A5C</v>
          </cell>
          <cell r="C2325" t="str">
            <v>P</v>
          </cell>
          <cell r="D2325" t="str">
            <v>23246</v>
          </cell>
          <cell r="E2325" t="str">
            <v>90 ELL</v>
          </cell>
          <cell r="F2325">
            <v>2</v>
          </cell>
          <cell r="G2325" t="str">
            <v>CB400100000T00</v>
          </cell>
          <cell r="H2325">
            <v>0.75</v>
          </cell>
          <cell r="I2325" t="str">
            <v>--</v>
          </cell>
          <cell r="J2325">
            <v>2</v>
          </cell>
          <cell r="K2325">
            <v>2</v>
          </cell>
        </row>
        <row r="2326">
          <cell r="A2326" t="str">
            <v>M2</v>
          </cell>
          <cell r="B2326" t="str">
            <v>A5C</v>
          </cell>
          <cell r="C2326" t="str">
            <v>P</v>
          </cell>
          <cell r="D2326" t="str">
            <v>23247</v>
          </cell>
          <cell r="E2326" t="str">
            <v>90 ELL</v>
          </cell>
          <cell r="F2326">
            <v>2</v>
          </cell>
          <cell r="G2326" t="str">
            <v>CB400100000T00</v>
          </cell>
          <cell r="H2326">
            <v>0.75</v>
          </cell>
          <cell r="I2326" t="str">
            <v>--</v>
          </cell>
          <cell r="J2326">
            <v>10</v>
          </cell>
          <cell r="K2326">
            <v>10</v>
          </cell>
        </row>
        <row r="2327">
          <cell r="A2327" t="str">
            <v>M2</v>
          </cell>
          <cell r="B2327" t="str">
            <v>A5C</v>
          </cell>
          <cell r="C2327" t="str">
            <v>P</v>
          </cell>
          <cell r="D2327" t="str">
            <v>24014</v>
          </cell>
          <cell r="E2327" t="str">
            <v>90 ELL</v>
          </cell>
          <cell r="F2327">
            <v>2</v>
          </cell>
          <cell r="G2327" t="str">
            <v>CB400100000T00</v>
          </cell>
          <cell r="H2327">
            <v>0.75</v>
          </cell>
          <cell r="I2327" t="str">
            <v>--</v>
          </cell>
          <cell r="J2327">
            <v>2</v>
          </cell>
          <cell r="K2327">
            <v>2</v>
          </cell>
        </row>
        <row r="2328">
          <cell r="A2328" t="str">
            <v>M2</v>
          </cell>
          <cell r="B2328" t="str">
            <v>A5C</v>
          </cell>
          <cell r="C2328" t="str">
            <v>P</v>
          </cell>
          <cell r="D2328" t="str">
            <v>24024</v>
          </cell>
          <cell r="E2328" t="str">
            <v>90 ELL</v>
          </cell>
          <cell r="F2328">
            <v>2</v>
          </cell>
          <cell r="G2328" t="str">
            <v>CB400100000T00</v>
          </cell>
          <cell r="H2328">
            <v>0.75</v>
          </cell>
          <cell r="I2328" t="str">
            <v>--</v>
          </cell>
          <cell r="J2328">
            <v>7</v>
          </cell>
          <cell r="K2328">
            <v>7</v>
          </cell>
        </row>
        <row r="2329">
          <cell r="A2329" t="str">
            <v>M2</v>
          </cell>
          <cell r="B2329" t="str">
            <v>A5C</v>
          </cell>
          <cell r="C2329" t="str">
            <v>N</v>
          </cell>
          <cell r="D2329" t="str">
            <v>24613</v>
          </cell>
          <cell r="E2329" t="str">
            <v>90 ELL</v>
          </cell>
          <cell r="F2329">
            <v>2</v>
          </cell>
          <cell r="G2329" t="str">
            <v>CB400100000T00</v>
          </cell>
          <cell r="H2329">
            <v>0.75</v>
          </cell>
          <cell r="I2329" t="str">
            <v>--</v>
          </cell>
          <cell r="J2329">
            <v>5</v>
          </cell>
          <cell r="K2329">
            <v>5</v>
          </cell>
        </row>
        <row r="2330">
          <cell r="A2330" t="str">
            <v>M2</v>
          </cell>
          <cell r="B2330" t="str">
            <v>A5C</v>
          </cell>
          <cell r="C2330" t="str">
            <v>N</v>
          </cell>
          <cell r="D2330" t="str">
            <v>24614</v>
          </cell>
          <cell r="E2330" t="str">
            <v>90 ELL</v>
          </cell>
          <cell r="F2330">
            <v>2</v>
          </cell>
          <cell r="G2330" t="str">
            <v>CB400100000T00</v>
          </cell>
          <cell r="H2330">
            <v>0.75</v>
          </cell>
          <cell r="I2330" t="str">
            <v>--</v>
          </cell>
          <cell r="J2330">
            <v>3</v>
          </cell>
          <cell r="K2330">
            <v>3</v>
          </cell>
        </row>
        <row r="2331">
          <cell r="A2331" t="str">
            <v>M2</v>
          </cell>
          <cell r="B2331" t="str">
            <v>A5C</v>
          </cell>
          <cell r="C2331" t="str">
            <v>P</v>
          </cell>
          <cell r="D2331" t="str">
            <v>23110</v>
          </cell>
          <cell r="E2331" t="str">
            <v>90 ELL</v>
          </cell>
          <cell r="F2331">
            <v>2</v>
          </cell>
          <cell r="G2331" t="str">
            <v>CB400100000T00</v>
          </cell>
          <cell r="H2331">
            <v>0.75</v>
          </cell>
          <cell r="I2331" t="str">
            <v>--</v>
          </cell>
          <cell r="J2331">
            <v>2</v>
          </cell>
          <cell r="K2331">
            <v>2</v>
          </cell>
        </row>
        <row r="2332">
          <cell r="A2332" t="str">
            <v>M2</v>
          </cell>
          <cell r="B2332" t="str">
            <v>A5C</v>
          </cell>
          <cell r="C2332" t="str">
            <v>P</v>
          </cell>
          <cell r="D2332" t="str">
            <v>23164</v>
          </cell>
          <cell r="E2332" t="str">
            <v>90 ELL</v>
          </cell>
          <cell r="F2332">
            <v>2</v>
          </cell>
          <cell r="G2332" t="str">
            <v>CB400100000T00</v>
          </cell>
          <cell r="H2332">
            <v>0.75</v>
          </cell>
          <cell r="I2332" t="str">
            <v>--</v>
          </cell>
          <cell r="J2332">
            <v>2</v>
          </cell>
          <cell r="K2332">
            <v>2</v>
          </cell>
        </row>
        <row r="2333">
          <cell r="A2333" t="str">
            <v>M2</v>
          </cell>
          <cell r="B2333" t="str">
            <v>A5C</v>
          </cell>
          <cell r="C2333" t="str">
            <v>P</v>
          </cell>
          <cell r="D2333" t="str">
            <v>23240</v>
          </cell>
          <cell r="E2333" t="str">
            <v>90 ELL</v>
          </cell>
          <cell r="F2333">
            <v>2</v>
          </cell>
          <cell r="G2333" t="str">
            <v>CB400100000T00</v>
          </cell>
          <cell r="H2333">
            <v>0.75</v>
          </cell>
          <cell r="I2333" t="str">
            <v>--</v>
          </cell>
          <cell r="J2333">
            <v>2</v>
          </cell>
          <cell r="K2333">
            <v>2</v>
          </cell>
        </row>
        <row r="2334">
          <cell r="A2334" t="str">
            <v>M2</v>
          </cell>
          <cell r="B2334" t="str">
            <v>A5C</v>
          </cell>
          <cell r="C2334" t="str">
            <v>P</v>
          </cell>
          <cell r="D2334" t="str">
            <v>24021</v>
          </cell>
          <cell r="E2334" t="str">
            <v>90 ELL</v>
          </cell>
          <cell r="F2334">
            <v>2</v>
          </cell>
          <cell r="G2334" t="str">
            <v>CB400100000T00</v>
          </cell>
          <cell r="H2334">
            <v>0.75</v>
          </cell>
          <cell r="I2334" t="str">
            <v>--</v>
          </cell>
          <cell r="J2334">
            <v>2</v>
          </cell>
          <cell r="K2334">
            <v>2</v>
          </cell>
        </row>
        <row r="2335">
          <cell r="A2335" t="str">
            <v>M2</v>
          </cell>
          <cell r="B2335" t="str">
            <v>A5C</v>
          </cell>
          <cell r="C2335" t="str">
            <v>P</v>
          </cell>
          <cell r="D2335" t="str">
            <v>23148</v>
          </cell>
          <cell r="E2335" t="str">
            <v>CAP</v>
          </cell>
          <cell r="F2335">
            <v>2</v>
          </cell>
          <cell r="G2335" t="str">
            <v>CB520700000T00</v>
          </cell>
          <cell r="H2335">
            <v>0.75</v>
          </cell>
          <cell r="I2335" t="str">
            <v>--</v>
          </cell>
          <cell r="J2335">
            <v>2</v>
          </cell>
          <cell r="K2335">
            <v>2</v>
          </cell>
        </row>
        <row r="2336">
          <cell r="A2336" t="str">
            <v>M2</v>
          </cell>
          <cell r="B2336" t="str">
            <v>A5C</v>
          </cell>
          <cell r="C2336" t="str">
            <v>N</v>
          </cell>
          <cell r="D2336" t="str">
            <v>23620</v>
          </cell>
          <cell r="E2336" t="str">
            <v>CAP</v>
          </cell>
          <cell r="F2336">
            <v>2</v>
          </cell>
          <cell r="G2336" t="str">
            <v>CB520700000T00</v>
          </cell>
          <cell r="H2336">
            <v>0.75</v>
          </cell>
          <cell r="I2336" t="str">
            <v>--</v>
          </cell>
          <cell r="J2336">
            <v>1</v>
          </cell>
          <cell r="K2336">
            <v>1</v>
          </cell>
        </row>
        <row r="2337">
          <cell r="A2337" t="str">
            <v>M2</v>
          </cell>
          <cell r="B2337" t="str">
            <v>A5C</v>
          </cell>
          <cell r="C2337" t="str">
            <v>N</v>
          </cell>
          <cell r="D2337" t="str">
            <v>23621</v>
          </cell>
          <cell r="E2337" t="str">
            <v>CAP</v>
          </cell>
          <cell r="F2337">
            <v>2</v>
          </cell>
          <cell r="G2337" t="str">
            <v>CB520700000T00</v>
          </cell>
          <cell r="H2337">
            <v>0.75</v>
          </cell>
          <cell r="I2337" t="str">
            <v>--</v>
          </cell>
          <cell r="J2337">
            <v>1</v>
          </cell>
          <cell r="K2337">
            <v>1</v>
          </cell>
        </row>
        <row r="2338">
          <cell r="A2338" t="str">
            <v>M2</v>
          </cell>
          <cell r="B2338" t="str">
            <v>A5C</v>
          </cell>
          <cell r="C2338" t="str">
            <v>N</v>
          </cell>
          <cell r="D2338" t="str">
            <v>23632</v>
          </cell>
          <cell r="E2338" t="str">
            <v>CAP</v>
          </cell>
          <cell r="F2338">
            <v>2</v>
          </cell>
          <cell r="G2338" t="str">
            <v>CB520700000T00</v>
          </cell>
          <cell r="H2338">
            <v>0.75</v>
          </cell>
          <cell r="I2338" t="str">
            <v>--</v>
          </cell>
          <cell r="J2338">
            <v>1</v>
          </cell>
          <cell r="K2338">
            <v>1</v>
          </cell>
        </row>
        <row r="2339">
          <cell r="A2339" t="str">
            <v>M2</v>
          </cell>
          <cell r="B2339" t="str">
            <v>A5C</v>
          </cell>
          <cell r="C2339" t="str">
            <v>N</v>
          </cell>
          <cell r="D2339" t="str">
            <v>23634</v>
          </cell>
          <cell r="E2339" t="str">
            <v>CAP</v>
          </cell>
          <cell r="F2339">
            <v>2</v>
          </cell>
          <cell r="G2339" t="str">
            <v>CB520700000T00</v>
          </cell>
          <cell r="H2339">
            <v>0.75</v>
          </cell>
          <cell r="I2339" t="str">
            <v>--</v>
          </cell>
          <cell r="J2339">
            <v>1</v>
          </cell>
          <cell r="K2339">
            <v>1</v>
          </cell>
        </row>
        <row r="2340">
          <cell r="A2340" t="str">
            <v>M2</v>
          </cell>
          <cell r="B2340" t="str">
            <v>A5C</v>
          </cell>
          <cell r="C2340" t="str">
            <v>N</v>
          </cell>
          <cell r="D2340" t="str">
            <v>23642</v>
          </cell>
          <cell r="E2340" t="str">
            <v>CAP</v>
          </cell>
          <cell r="F2340">
            <v>2</v>
          </cell>
          <cell r="G2340" t="str">
            <v>CB520700000T00</v>
          </cell>
          <cell r="H2340">
            <v>0.75</v>
          </cell>
          <cell r="I2340" t="str">
            <v>--</v>
          </cell>
          <cell r="J2340">
            <v>1</v>
          </cell>
          <cell r="K2340">
            <v>1</v>
          </cell>
        </row>
        <row r="2341">
          <cell r="A2341" t="str">
            <v>M2</v>
          </cell>
          <cell r="B2341" t="str">
            <v>A5C</v>
          </cell>
          <cell r="C2341" t="str">
            <v>N</v>
          </cell>
          <cell r="D2341" t="str">
            <v>23636</v>
          </cell>
          <cell r="E2341" t="str">
            <v>CAP</v>
          </cell>
          <cell r="F2341">
            <v>2</v>
          </cell>
          <cell r="G2341" t="str">
            <v>CB520700000T00</v>
          </cell>
          <cell r="H2341">
            <v>0.75</v>
          </cell>
          <cell r="I2341" t="str">
            <v>--</v>
          </cell>
          <cell r="J2341">
            <v>1</v>
          </cell>
          <cell r="K2341">
            <v>1</v>
          </cell>
        </row>
        <row r="2342">
          <cell r="A2342" t="str">
            <v>M2</v>
          </cell>
          <cell r="B2342" t="str">
            <v>A5C</v>
          </cell>
          <cell r="C2342" t="str">
            <v>N</v>
          </cell>
          <cell r="D2342" t="str">
            <v>23639</v>
          </cell>
          <cell r="E2342" t="str">
            <v>CAP</v>
          </cell>
          <cell r="F2342">
            <v>2</v>
          </cell>
          <cell r="G2342" t="str">
            <v>CB520700000T00</v>
          </cell>
          <cell r="H2342">
            <v>0.75</v>
          </cell>
          <cell r="I2342" t="str">
            <v>--</v>
          </cell>
          <cell r="J2342">
            <v>1</v>
          </cell>
          <cell r="K2342">
            <v>1</v>
          </cell>
        </row>
        <row r="2343">
          <cell r="A2343" t="str">
            <v>M2</v>
          </cell>
          <cell r="B2343" t="str">
            <v>A5C</v>
          </cell>
          <cell r="C2343" t="str">
            <v>N</v>
          </cell>
          <cell r="D2343" t="str">
            <v>24611</v>
          </cell>
          <cell r="E2343" t="str">
            <v>CAP</v>
          </cell>
          <cell r="F2343">
            <v>2</v>
          </cell>
          <cell r="G2343" t="str">
            <v>CB520700000T00</v>
          </cell>
          <cell r="H2343">
            <v>0.75</v>
          </cell>
          <cell r="I2343" t="str">
            <v>--</v>
          </cell>
          <cell r="J2343">
            <v>1</v>
          </cell>
          <cell r="K2343">
            <v>1</v>
          </cell>
        </row>
        <row r="2344">
          <cell r="A2344" t="str">
            <v>M2</v>
          </cell>
          <cell r="B2344" t="str">
            <v>A5C</v>
          </cell>
          <cell r="C2344" t="str">
            <v>N</v>
          </cell>
          <cell r="D2344" t="str">
            <v>23646</v>
          </cell>
          <cell r="E2344" t="str">
            <v>CAP</v>
          </cell>
          <cell r="F2344">
            <v>2</v>
          </cell>
          <cell r="G2344" t="str">
            <v>CB520700000T00</v>
          </cell>
          <cell r="H2344">
            <v>0.75</v>
          </cell>
          <cell r="I2344" t="str">
            <v>--</v>
          </cell>
          <cell r="J2344">
            <v>1</v>
          </cell>
          <cell r="K2344">
            <v>1</v>
          </cell>
        </row>
        <row r="2345">
          <cell r="A2345" t="str">
            <v>M2</v>
          </cell>
          <cell r="B2345" t="str">
            <v>A5C</v>
          </cell>
          <cell r="C2345" t="str">
            <v>N</v>
          </cell>
          <cell r="D2345" t="str">
            <v>24613</v>
          </cell>
          <cell r="E2345" t="str">
            <v>CAP</v>
          </cell>
          <cell r="F2345">
            <v>2</v>
          </cell>
          <cell r="G2345" t="str">
            <v>CB520700000T00</v>
          </cell>
          <cell r="H2345">
            <v>0.75</v>
          </cell>
          <cell r="I2345" t="str">
            <v>--</v>
          </cell>
          <cell r="J2345">
            <v>1</v>
          </cell>
          <cell r="K2345">
            <v>1</v>
          </cell>
        </row>
        <row r="2346">
          <cell r="A2346" t="str">
            <v>M2</v>
          </cell>
          <cell r="B2346" t="str">
            <v>A5C</v>
          </cell>
          <cell r="C2346" t="str">
            <v>N</v>
          </cell>
          <cell r="D2346" t="str">
            <v>24614</v>
          </cell>
          <cell r="E2346" t="str">
            <v>CAP</v>
          </cell>
          <cell r="F2346">
            <v>2</v>
          </cell>
          <cell r="G2346" t="str">
            <v>CB520700000T00</v>
          </cell>
          <cell r="H2346">
            <v>0.75</v>
          </cell>
          <cell r="I2346" t="str">
            <v>--</v>
          </cell>
          <cell r="J2346">
            <v>1</v>
          </cell>
          <cell r="K2346">
            <v>1</v>
          </cell>
        </row>
        <row r="2347">
          <cell r="A2347" t="str">
            <v>M2</v>
          </cell>
          <cell r="B2347" t="str">
            <v>A5C</v>
          </cell>
          <cell r="C2347" t="str">
            <v>P</v>
          </cell>
          <cell r="D2347" t="str">
            <v>23006</v>
          </cell>
          <cell r="E2347" t="str">
            <v>CAP</v>
          </cell>
          <cell r="F2347">
            <v>2</v>
          </cell>
          <cell r="G2347" t="str">
            <v>CB520700000T00</v>
          </cell>
          <cell r="H2347">
            <v>0.75</v>
          </cell>
          <cell r="I2347" t="str">
            <v>--</v>
          </cell>
          <cell r="J2347">
            <v>2</v>
          </cell>
          <cell r="K2347">
            <v>2</v>
          </cell>
        </row>
        <row r="2348">
          <cell r="A2348" t="str">
            <v>M2</v>
          </cell>
          <cell r="B2348" t="str">
            <v>A5C</v>
          </cell>
          <cell r="C2348" t="str">
            <v>P</v>
          </cell>
          <cell r="D2348" t="str">
            <v>23037</v>
          </cell>
          <cell r="E2348" t="str">
            <v>CAP</v>
          </cell>
          <cell r="F2348">
            <v>2</v>
          </cell>
          <cell r="G2348" t="str">
            <v>CB520700000T00</v>
          </cell>
          <cell r="H2348">
            <v>0.75</v>
          </cell>
          <cell r="I2348" t="str">
            <v>--</v>
          </cell>
          <cell r="J2348">
            <v>1</v>
          </cell>
          <cell r="K2348">
            <v>1</v>
          </cell>
        </row>
        <row r="2349">
          <cell r="A2349" t="str">
            <v>M2</v>
          </cell>
          <cell r="B2349" t="str">
            <v>A5C</v>
          </cell>
          <cell r="C2349" t="str">
            <v>P</v>
          </cell>
          <cell r="D2349" t="str">
            <v>23035</v>
          </cell>
          <cell r="E2349" t="str">
            <v>CAP</v>
          </cell>
          <cell r="F2349">
            <v>2</v>
          </cell>
          <cell r="G2349" t="str">
            <v>CB520700000T00</v>
          </cell>
          <cell r="H2349">
            <v>0.75</v>
          </cell>
          <cell r="I2349" t="str">
            <v>--</v>
          </cell>
          <cell r="J2349">
            <v>1</v>
          </cell>
          <cell r="K2349">
            <v>1</v>
          </cell>
        </row>
        <row r="2350">
          <cell r="A2350" t="str">
            <v>M2</v>
          </cell>
          <cell r="B2350" t="str">
            <v>A5C</v>
          </cell>
          <cell r="C2350" t="str">
            <v>P</v>
          </cell>
          <cell r="D2350" t="str">
            <v>23052</v>
          </cell>
          <cell r="E2350" t="str">
            <v>CAP</v>
          </cell>
          <cell r="F2350">
            <v>2</v>
          </cell>
          <cell r="G2350" t="str">
            <v>CB520700000T00</v>
          </cell>
          <cell r="H2350">
            <v>0.75</v>
          </cell>
          <cell r="I2350" t="str">
            <v>--</v>
          </cell>
          <cell r="J2350">
            <v>1</v>
          </cell>
          <cell r="K2350">
            <v>1</v>
          </cell>
        </row>
        <row r="2351">
          <cell r="A2351" t="str">
            <v>M2</v>
          </cell>
          <cell r="B2351" t="str">
            <v>A5C</v>
          </cell>
          <cell r="C2351" t="str">
            <v>P</v>
          </cell>
          <cell r="D2351" t="str">
            <v>23063</v>
          </cell>
          <cell r="E2351" t="str">
            <v>CAP</v>
          </cell>
          <cell r="F2351">
            <v>2</v>
          </cell>
          <cell r="G2351" t="str">
            <v>CB520700000T00</v>
          </cell>
          <cell r="H2351">
            <v>0.75</v>
          </cell>
          <cell r="I2351" t="str">
            <v>--</v>
          </cell>
          <cell r="J2351">
            <v>1</v>
          </cell>
          <cell r="K2351">
            <v>1</v>
          </cell>
        </row>
        <row r="2352">
          <cell r="A2352" t="str">
            <v>M2</v>
          </cell>
          <cell r="B2352" t="str">
            <v>A5C</v>
          </cell>
          <cell r="C2352" t="str">
            <v>P</v>
          </cell>
          <cell r="D2352" t="str">
            <v>23078</v>
          </cell>
          <cell r="E2352" t="str">
            <v>CAP</v>
          </cell>
          <cell r="F2352">
            <v>2</v>
          </cell>
          <cell r="G2352" t="str">
            <v>CB520700000T00</v>
          </cell>
          <cell r="H2352">
            <v>0.75</v>
          </cell>
          <cell r="I2352" t="str">
            <v>--</v>
          </cell>
          <cell r="J2352">
            <v>1</v>
          </cell>
          <cell r="K2352">
            <v>1</v>
          </cell>
        </row>
        <row r="2353">
          <cell r="A2353" t="str">
            <v>M2</v>
          </cell>
          <cell r="B2353" t="str">
            <v>A5C</v>
          </cell>
          <cell r="C2353" t="str">
            <v>P</v>
          </cell>
          <cell r="D2353" t="str">
            <v>23081</v>
          </cell>
          <cell r="E2353" t="str">
            <v>CAP</v>
          </cell>
          <cell r="F2353">
            <v>2</v>
          </cell>
          <cell r="G2353" t="str">
            <v>CB520700000T00</v>
          </cell>
          <cell r="H2353">
            <v>0.75</v>
          </cell>
          <cell r="I2353" t="str">
            <v>--</v>
          </cell>
          <cell r="J2353">
            <v>1</v>
          </cell>
          <cell r="K2353">
            <v>1</v>
          </cell>
        </row>
        <row r="2354">
          <cell r="A2354" t="str">
            <v>M2</v>
          </cell>
          <cell r="B2354" t="str">
            <v>A5C</v>
          </cell>
          <cell r="C2354" t="str">
            <v>P</v>
          </cell>
          <cell r="D2354" t="str">
            <v>23082</v>
          </cell>
          <cell r="E2354" t="str">
            <v>CAP</v>
          </cell>
          <cell r="F2354">
            <v>2</v>
          </cell>
          <cell r="G2354" t="str">
            <v>CB520700000T00</v>
          </cell>
          <cell r="H2354">
            <v>0.75</v>
          </cell>
          <cell r="I2354" t="str">
            <v>--</v>
          </cell>
          <cell r="J2354">
            <v>2</v>
          </cell>
          <cell r="K2354">
            <v>2</v>
          </cell>
        </row>
        <row r="2355">
          <cell r="A2355" t="str">
            <v>M2</v>
          </cell>
          <cell r="B2355" t="str">
            <v>A5C</v>
          </cell>
          <cell r="C2355" t="str">
            <v>P</v>
          </cell>
          <cell r="D2355" t="str">
            <v>23083</v>
          </cell>
          <cell r="E2355" t="str">
            <v>CAP</v>
          </cell>
          <cell r="F2355">
            <v>2</v>
          </cell>
          <cell r="G2355" t="str">
            <v>CB520700000T00</v>
          </cell>
          <cell r="H2355">
            <v>0.75</v>
          </cell>
          <cell r="I2355" t="str">
            <v>--</v>
          </cell>
          <cell r="J2355">
            <v>1</v>
          </cell>
          <cell r="K2355">
            <v>1</v>
          </cell>
        </row>
        <row r="2356">
          <cell r="A2356" t="str">
            <v>M2</v>
          </cell>
          <cell r="B2356" t="str">
            <v>A5C</v>
          </cell>
          <cell r="C2356" t="str">
            <v>P</v>
          </cell>
          <cell r="D2356" t="str">
            <v>23085</v>
          </cell>
          <cell r="E2356" t="str">
            <v>CAP</v>
          </cell>
          <cell r="F2356">
            <v>2</v>
          </cell>
          <cell r="G2356" t="str">
            <v>CB520700000T00</v>
          </cell>
          <cell r="H2356">
            <v>0.75</v>
          </cell>
          <cell r="I2356" t="str">
            <v>--</v>
          </cell>
          <cell r="J2356">
            <v>2</v>
          </cell>
          <cell r="K2356">
            <v>2</v>
          </cell>
        </row>
        <row r="2357">
          <cell r="A2357" t="str">
            <v>M2</v>
          </cell>
          <cell r="B2357" t="str">
            <v>A5C</v>
          </cell>
          <cell r="C2357" t="str">
            <v>P</v>
          </cell>
          <cell r="D2357" t="str">
            <v>23094</v>
          </cell>
          <cell r="E2357" t="str">
            <v>CAP</v>
          </cell>
          <cell r="F2357">
            <v>2</v>
          </cell>
          <cell r="G2357" t="str">
            <v>CB520700000T00</v>
          </cell>
          <cell r="H2357">
            <v>0.75</v>
          </cell>
          <cell r="I2357" t="str">
            <v>--</v>
          </cell>
          <cell r="J2357">
            <v>3</v>
          </cell>
          <cell r="K2357">
            <v>3</v>
          </cell>
        </row>
        <row r="2358">
          <cell r="A2358" t="str">
            <v>M2</v>
          </cell>
          <cell r="B2358" t="str">
            <v>A5C</v>
          </cell>
          <cell r="C2358" t="str">
            <v>P</v>
          </cell>
          <cell r="D2358" t="str">
            <v>23096</v>
          </cell>
          <cell r="E2358" t="str">
            <v>CAP</v>
          </cell>
          <cell r="F2358">
            <v>2</v>
          </cell>
          <cell r="G2358" t="str">
            <v>CB520700000T00</v>
          </cell>
          <cell r="H2358">
            <v>0.75</v>
          </cell>
          <cell r="I2358" t="str">
            <v>--</v>
          </cell>
          <cell r="J2358">
            <v>3</v>
          </cell>
          <cell r="K2358">
            <v>3</v>
          </cell>
        </row>
        <row r="2359">
          <cell r="A2359" t="str">
            <v>M2</v>
          </cell>
          <cell r="B2359" t="str">
            <v>A5C</v>
          </cell>
          <cell r="C2359" t="str">
            <v>P</v>
          </cell>
          <cell r="D2359" t="str">
            <v>23104</v>
          </cell>
          <cell r="E2359" t="str">
            <v>CAP</v>
          </cell>
          <cell r="F2359">
            <v>2</v>
          </cell>
          <cell r="G2359" t="str">
            <v>CB520700000T00</v>
          </cell>
          <cell r="H2359">
            <v>0.75</v>
          </cell>
          <cell r="I2359" t="str">
            <v>--</v>
          </cell>
          <cell r="J2359">
            <v>1</v>
          </cell>
          <cell r="K2359">
            <v>1</v>
          </cell>
        </row>
        <row r="2360">
          <cell r="A2360" t="str">
            <v>M2</v>
          </cell>
          <cell r="B2360" t="str">
            <v>A5C</v>
          </cell>
          <cell r="C2360" t="str">
            <v>P</v>
          </cell>
          <cell r="D2360" t="str">
            <v>23103</v>
          </cell>
          <cell r="E2360" t="str">
            <v>CAP</v>
          </cell>
          <cell r="F2360">
            <v>2</v>
          </cell>
          <cell r="G2360" t="str">
            <v>CB520700000T00</v>
          </cell>
          <cell r="H2360">
            <v>0.75</v>
          </cell>
          <cell r="I2360" t="str">
            <v>--</v>
          </cell>
          <cell r="J2360">
            <v>2</v>
          </cell>
          <cell r="K2360">
            <v>2</v>
          </cell>
        </row>
        <row r="2361">
          <cell r="A2361" t="str">
            <v>M2</v>
          </cell>
          <cell r="B2361" t="str">
            <v>A5C</v>
          </cell>
          <cell r="C2361" t="str">
            <v>P</v>
          </cell>
          <cell r="D2361" t="str">
            <v>23104</v>
          </cell>
          <cell r="E2361" t="str">
            <v>CAP</v>
          </cell>
          <cell r="F2361">
            <v>2</v>
          </cell>
          <cell r="G2361" t="str">
            <v>CB520700000T00</v>
          </cell>
          <cell r="H2361">
            <v>0.75</v>
          </cell>
          <cell r="I2361" t="str">
            <v>--</v>
          </cell>
          <cell r="J2361">
            <v>1</v>
          </cell>
          <cell r="K2361">
            <v>1</v>
          </cell>
        </row>
        <row r="2362">
          <cell r="A2362" t="str">
            <v>M2</v>
          </cell>
          <cell r="B2362" t="str">
            <v>A5C</v>
          </cell>
          <cell r="C2362" t="str">
            <v>P</v>
          </cell>
          <cell r="D2362" t="str">
            <v>23108</v>
          </cell>
          <cell r="E2362" t="str">
            <v>CAP</v>
          </cell>
          <cell r="F2362">
            <v>2</v>
          </cell>
          <cell r="G2362" t="str">
            <v>CB520700000T00</v>
          </cell>
          <cell r="H2362">
            <v>0.75</v>
          </cell>
          <cell r="I2362" t="str">
            <v>--</v>
          </cell>
          <cell r="J2362">
            <v>1</v>
          </cell>
          <cell r="K2362">
            <v>1</v>
          </cell>
        </row>
        <row r="2363">
          <cell r="A2363" t="str">
            <v>M2</v>
          </cell>
          <cell r="B2363" t="str">
            <v>A5C</v>
          </cell>
          <cell r="C2363" t="str">
            <v>P</v>
          </cell>
          <cell r="D2363" t="str">
            <v>23108</v>
          </cell>
          <cell r="E2363" t="str">
            <v>CAP</v>
          </cell>
          <cell r="F2363">
            <v>2</v>
          </cell>
          <cell r="G2363" t="str">
            <v>CB520700000T00</v>
          </cell>
          <cell r="H2363">
            <v>0.75</v>
          </cell>
          <cell r="I2363" t="str">
            <v>--</v>
          </cell>
          <cell r="J2363">
            <v>1</v>
          </cell>
          <cell r="K2363">
            <v>1</v>
          </cell>
        </row>
        <row r="2364">
          <cell r="A2364" t="str">
            <v>M2</v>
          </cell>
          <cell r="B2364" t="str">
            <v>A5C</v>
          </cell>
          <cell r="C2364" t="str">
            <v>P</v>
          </cell>
          <cell r="D2364" t="str">
            <v>23111</v>
          </cell>
          <cell r="E2364" t="str">
            <v>CAP</v>
          </cell>
          <cell r="F2364">
            <v>2</v>
          </cell>
          <cell r="G2364" t="str">
            <v>CB520700000T00</v>
          </cell>
          <cell r="H2364">
            <v>0.75</v>
          </cell>
          <cell r="I2364" t="str">
            <v>--</v>
          </cell>
          <cell r="J2364">
            <v>2</v>
          </cell>
          <cell r="K2364">
            <v>2</v>
          </cell>
        </row>
        <row r="2365">
          <cell r="A2365" t="str">
            <v>M2</v>
          </cell>
          <cell r="B2365" t="str">
            <v>A5C</v>
          </cell>
          <cell r="C2365" t="str">
            <v>P</v>
          </cell>
          <cell r="D2365" t="str">
            <v>23112</v>
          </cell>
          <cell r="E2365" t="str">
            <v>CAP</v>
          </cell>
          <cell r="F2365">
            <v>2</v>
          </cell>
          <cell r="G2365" t="str">
            <v>CB520700000T00</v>
          </cell>
          <cell r="H2365">
            <v>0.75</v>
          </cell>
          <cell r="I2365" t="str">
            <v>--</v>
          </cell>
          <cell r="J2365">
            <v>1</v>
          </cell>
          <cell r="K2365">
            <v>1</v>
          </cell>
        </row>
        <row r="2366">
          <cell r="A2366" t="str">
            <v>M2</v>
          </cell>
          <cell r="B2366" t="str">
            <v>A5C</v>
          </cell>
          <cell r="C2366" t="str">
            <v>P</v>
          </cell>
          <cell r="D2366" t="str">
            <v>23112</v>
          </cell>
          <cell r="E2366" t="str">
            <v>CAP</v>
          </cell>
          <cell r="F2366">
            <v>2</v>
          </cell>
          <cell r="G2366" t="str">
            <v>CB520700000T00</v>
          </cell>
          <cell r="H2366">
            <v>0.75</v>
          </cell>
          <cell r="I2366" t="str">
            <v>--</v>
          </cell>
          <cell r="J2366">
            <v>1</v>
          </cell>
          <cell r="K2366">
            <v>1</v>
          </cell>
        </row>
        <row r="2367">
          <cell r="A2367" t="str">
            <v>M2</v>
          </cell>
          <cell r="B2367" t="str">
            <v>A5C</v>
          </cell>
          <cell r="C2367" t="str">
            <v>P</v>
          </cell>
          <cell r="D2367" t="str">
            <v>23113</v>
          </cell>
          <cell r="E2367" t="str">
            <v>CAP</v>
          </cell>
          <cell r="F2367">
            <v>2</v>
          </cell>
          <cell r="G2367" t="str">
            <v>CB520700000T00</v>
          </cell>
          <cell r="H2367">
            <v>0.75</v>
          </cell>
          <cell r="I2367" t="str">
            <v>--</v>
          </cell>
          <cell r="J2367">
            <v>1</v>
          </cell>
          <cell r="K2367">
            <v>1</v>
          </cell>
        </row>
        <row r="2368">
          <cell r="A2368" t="str">
            <v>M2</v>
          </cell>
          <cell r="B2368" t="str">
            <v>A5C</v>
          </cell>
          <cell r="C2368" t="str">
            <v>P</v>
          </cell>
          <cell r="D2368" t="str">
            <v>23116</v>
          </cell>
          <cell r="E2368" t="str">
            <v>CAP</v>
          </cell>
          <cell r="F2368">
            <v>2</v>
          </cell>
          <cell r="G2368" t="str">
            <v>CB520700000T00</v>
          </cell>
          <cell r="H2368">
            <v>0.75</v>
          </cell>
          <cell r="I2368" t="str">
            <v>--</v>
          </cell>
          <cell r="J2368">
            <v>2</v>
          </cell>
          <cell r="K2368">
            <v>2</v>
          </cell>
        </row>
        <row r="2369">
          <cell r="A2369" t="str">
            <v>M2</v>
          </cell>
          <cell r="B2369" t="str">
            <v>A5C</v>
          </cell>
          <cell r="C2369" t="str">
            <v>P</v>
          </cell>
          <cell r="D2369" t="str">
            <v>23121</v>
          </cell>
          <cell r="E2369" t="str">
            <v>CAP</v>
          </cell>
          <cell r="F2369">
            <v>2</v>
          </cell>
          <cell r="G2369" t="str">
            <v>CB520700000T00</v>
          </cell>
          <cell r="H2369">
            <v>0.75</v>
          </cell>
          <cell r="I2369" t="str">
            <v>--</v>
          </cell>
          <cell r="J2369">
            <v>2</v>
          </cell>
          <cell r="K2369">
            <v>2</v>
          </cell>
        </row>
        <row r="2370">
          <cell r="A2370" t="str">
            <v>M2</v>
          </cell>
          <cell r="B2370" t="str">
            <v>A5C</v>
          </cell>
          <cell r="C2370" t="str">
            <v>P</v>
          </cell>
          <cell r="D2370" t="str">
            <v>23122</v>
          </cell>
          <cell r="E2370" t="str">
            <v>CAP</v>
          </cell>
          <cell r="F2370">
            <v>2</v>
          </cell>
          <cell r="G2370" t="str">
            <v>CB520700000T00</v>
          </cell>
          <cell r="H2370">
            <v>0.75</v>
          </cell>
          <cell r="I2370" t="str">
            <v>--</v>
          </cell>
          <cell r="J2370">
            <v>1</v>
          </cell>
          <cell r="K2370">
            <v>1</v>
          </cell>
        </row>
        <row r="2371">
          <cell r="A2371" t="str">
            <v>M2</v>
          </cell>
          <cell r="B2371" t="str">
            <v>A5C</v>
          </cell>
          <cell r="C2371" t="str">
            <v>P</v>
          </cell>
          <cell r="D2371" t="str">
            <v>23135</v>
          </cell>
          <cell r="E2371" t="str">
            <v>CAP</v>
          </cell>
          <cell r="F2371">
            <v>2</v>
          </cell>
          <cell r="G2371" t="str">
            <v>CB520700000T00</v>
          </cell>
          <cell r="H2371">
            <v>0.75</v>
          </cell>
          <cell r="I2371" t="str">
            <v>--</v>
          </cell>
          <cell r="J2371">
            <v>3</v>
          </cell>
          <cell r="K2371">
            <v>3</v>
          </cell>
        </row>
        <row r="2372">
          <cell r="A2372" t="str">
            <v>M2</v>
          </cell>
          <cell r="B2372" t="str">
            <v>A5C</v>
          </cell>
          <cell r="C2372" t="str">
            <v>P</v>
          </cell>
          <cell r="D2372" t="str">
            <v>23141</v>
          </cell>
          <cell r="E2372" t="str">
            <v>CAP</v>
          </cell>
          <cell r="F2372">
            <v>2</v>
          </cell>
          <cell r="G2372" t="str">
            <v>CB520700000T00</v>
          </cell>
          <cell r="H2372">
            <v>0.75</v>
          </cell>
          <cell r="I2372" t="str">
            <v>--</v>
          </cell>
          <cell r="J2372">
            <v>1</v>
          </cell>
          <cell r="K2372">
            <v>1</v>
          </cell>
        </row>
        <row r="2373">
          <cell r="A2373" t="str">
            <v>M2</v>
          </cell>
          <cell r="B2373" t="str">
            <v>A5C</v>
          </cell>
          <cell r="C2373" t="str">
            <v>P</v>
          </cell>
          <cell r="D2373" t="str">
            <v>23144</v>
          </cell>
          <cell r="E2373" t="str">
            <v>CAP</v>
          </cell>
          <cell r="F2373">
            <v>2</v>
          </cell>
          <cell r="G2373" t="str">
            <v>CB520700000T00</v>
          </cell>
          <cell r="H2373">
            <v>0.75</v>
          </cell>
          <cell r="I2373" t="str">
            <v>--</v>
          </cell>
          <cell r="J2373">
            <v>2</v>
          </cell>
          <cell r="K2373">
            <v>2</v>
          </cell>
        </row>
        <row r="2374">
          <cell r="A2374" t="str">
            <v>M2</v>
          </cell>
          <cell r="B2374" t="str">
            <v>A5C</v>
          </cell>
          <cell r="C2374" t="str">
            <v>P</v>
          </cell>
          <cell r="D2374" t="str">
            <v>23152</v>
          </cell>
          <cell r="E2374" t="str">
            <v>CAP</v>
          </cell>
          <cell r="F2374">
            <v>2</v>
          </cell>
          <cell r="G2374" t="str">
            <v>CB520700000T00</v>
          </cell>
          <cell r="H2374">
            <v>0.75</v>
          </cell>
          <cell r="I2374" t="str">
            <v>--</v>
          </cell>
          <cell r="J2374">
            <v>1</v>
          </cell>
          <cell r="K2374">
            <v>1</v>
          </cell>
        </row>
        <row r="2375">
          <cell r="A2375" t="str">
            <v>M2</v>
          </cell>
          <cell r="B2375" t="str">
            <v>A5C</v>
          </cell>
          <cell r="C2375" t="str">
            <v>P</v>
          </cell>
          <cell r="D2375" t="str">
            <v>23160</v>
          </cell>
          <cell r="E2375" t="str">
            <v>CAP</v>
          </cell>
          <cell r="F2375">
            <v>2</v>
          </cell>
          <cell r="G2375" t="str">
            <v>CB520700000T00</v>
          </cell>
          <cell r="H2375">
            <v>0.75</v>
          </cell>
          <cell r="I2375" t="str">
            <v>--</v>
          </cell>
          <cell r="J2375">
            <v>1</v>
          </cell>
          <cell r="K2375">
            <v>1</v>
          </cell>
        </row>
        <row r="2376">
          <cell r="A2376" t="str">
            <v>M2</v>
          </cell>
          <cell r="B2376" t="str">
            <v>A5C</v>
          </cell>
          <cell r="C2376" t="str">
            <v>P</v>
          </cell>
          <cell r="D2376" t="str">
            <v>23174</v>
          </cell>
          <cell r="E2376" t="str">
            <v>CAP</v>
          </cell>
          <cell r="F2376">
            <v>2</v>
          </cell>
          <cell r="G2376" t="str">
            <v>CB520700000T00</v>
          </cell>
          <cell r="H2376">
            <v>0.75</v>
          </cell>
          <cell r="I2376" t="str">
            <v>--</v>
          </cell>
          <cell r="J2376">
            <v>1</v>
          </cell>
          <cell r="K2376">
            <v>1</v>
          </cell>
        </row>
        <row r="2377">
          <cell r="A2377" t="str">
            <v>M2</v>
          </cell>
          <cell r="B2377" t="str">
            <v>A5C</v>
          </cell>
          <cell r="C2377" t="str">
            <v>P</v>
          </cell>
          <cell r="D2377" t="str">
            <v>23181</v>
          </cell>
          <cell r="E2377" t="str">
            <v>CAP</v>
          </cell>
          <cell r="F2377">
            <v>2</v>
          </cell>
          <cell r="G2377" t="str">
            <v>CB520700000T00</v>
          </cell>
          <cell r="H2377">
            <v>0.75</v>
          </cell>
          <cell r="I2377" t="str">
            <v>--</v>
          </cell>
          <cell r="J2377">
            <v>1</v>
          </cell>
          <cell r="K2377">
            <v>1</v>
          </cell>
        </row>
        <row r="2378">
          <cell r="A2378" t="str">
            <v>M2</v>
          </cell>
          <cell r="B2378" t="str">
            <v>A5C</v>
          </cell>
          <cell r="C2378" t="str">
            <v>P</v>
          </cell>
          <cell r="D2378" t="str">
            <v>23188</v>
          </cell>
          <cell r="E2378" t="str">
            <v>CAP</v>
          </cell>
          <cell r="F2378">
            <v>2</v>
          </cell>
          <cell r="G2378" t="str">
            <v>CB520700000T00</v>
          </cell>
          <cell r="H2378">
            <v>0.75</v>
          </cell>
          <cell r="I2378" t="str">
            <v>--</v>
          </cell>
          <cell r="J2378">
            <v>3</v>
          </cell>
          <cell r="K2378">
            <v>3</v>
          </cell>
        </row>
        <row r="2379">
          <cell r="A2379" t="str">
            <v>M2</v>
          </cell>
          <cell r="B2379" t="str">
            <v>A5C</v>
          </cell>
          <cell r="C2379" t="str">
            <v>P</v>
          </cell>
          <cell r="D2379" t="str">
            <v>23192</v>
          </cell>
          <cell r="E2379" t="str">
            <v>CAP</v>
          </cell>
          <cell r="F2379">
            <v>2</v>
          </cell>
          <cell r="G2379" t="str">
            <v>CB520700000T00</v>
          </cell>
          <cell r="H2379">
            <v>0.75</v>
          </cell>
          <cell r="I2379" t="str">
            <v>--</v>
          </cell>
          <cell r="J2379">
            <v>1</v>
          </cell>
          <cell r="K2379">
            <v>1</v>
          </cell>
        </row>
        <row r="2380">
          <cell r="A2380" t="str">
            <v>M2</v>
          </cell>
          <cell r="B2380" t="str">
            <v>A5C</v>
          </cell>
          <cell r="C2380" t="str">
            <v>P</v>
          </cell>
          <cell r="D2380" t="str">
            <v>23213</v>
          </cell>
          <cell r="E2380" t="str">
            <v>CAP</v>
          </cell>
          <cell r="F2380">
            <v>2</v>
          </cell>
          <cell r="G2380" t="str">
            <v>CB520700000T00</v>
          </cell>
          <cell r="H2380">
            <v>0.75</v>
          </cell>
          <cell r="I2380" t="str">
            <v>--</v>
          </cell>
          <cell r="J2380">
            <v>1</v>
          </cell>
          <cell r="K2380">
            <v>1</v>
          </cell>
        </row>
        <row r="2381">
          <cell r="A2381" t="str">
            <v>M2</v>
          </cell>
          <cell r="B2381" t="str">
            <v>A5C</v>
          </cell>
          <cell r="C2381" t="str">
            <v>P</v>
          </cell>
          <cell r="D2381" t="str">
            <v>23214</v>
          </cell>
          <cell r="E2381" t="str">
            <v>CAP</v>
          </cell>
          <cell r="F2381">
            <v>2</v>
          </cell>
          <cell r="G2381" t="str">
            <v>CB520700000T00</v>
          </cell>
          <cell r="H2381">
            <v>0.75</v>
          </cell>
          <cell r="I2381" t="str">
            <v>--</v>
          </cell>
          <cell r="J2381">
            <v>1</v>
          </cell>
          <cell r="K2381">
            <v>1</v>
          </cell>
        </row>
        <row r="2382">
          <cell r="A2382" t="str">
            <v>M2</v>
          </cell>
          <cell r="B2382" t="str">
            <v>A5C</v>
          </cell>
          <cell r="C2382" t="str">
            <v>P</v>
          </cell>
          <cell r="D2382" t="str">
            <v>23226</v>
          </cell>
          <cell r="E2382" t="str">
            <v>CAP</v>
          </cell>
          <cell r="F2382">
            <v>2</v>
          </cell>
          <cell r="G2382" t="str">
            <v>CB520700000T00</v>
          </cell>
          <cell r="H2382">
            <v>0.75</v>
          </cell>
          <cell r="I2382" t="str">
            <v>--</v>
          </cell>
          <cell r="J2382">
            <v>1</v>
          </cell>
          <cell r="K2382">
            <v>1</v>
          </cell>
        </row>
        <row r="2383">
          <cell r="A2383" t="str">
            <v>M2</v>
          </cell>
          <cell r="B2383" t="str">
            <v>A5C</v>
          </cell>
          <cell r="C2383" t="str">
            <v>P</v>
          </cell>
          <cell r="D2383" t="str">
            <v>23231</v>
          </cell>
          <cell r="E2383" t="str">
            <v>CAP</v>
          </cell>
          <cell r="F2383">
            <v>2</v>
          </cell>
          <cell r="G2383" t="str">
            <v>CB520700000T00</v>
          </cell>
          <cell r="H2383">
            <v>0.75</v>
          </cell>
          <cell r="I2383" t="str">
            <v>--</v>
          </cell>
          <cell r="J2383">
            <v>1</v>
          </cell>
          <cell r="K2383">
            <v>1</v>
          </cell>
        </row>
        <row r="2384">
          <cell r="A2384" t="str">
            <v>M2</v>
          </cell>
          <cell r="B2384" t="str">
            <v>A5C</v>
          </cell>
          <cell r="C2384" t="str">
            <v>P</v>
          </cell>
          <cell r="D2384" t="str">
            <v>23232</v>
          </cell>
          <cell r="E2384" t="str">
            <v>CAP</v>
          </cell>
          <cell r="F2384">
            <v>2</v>
          </cell>
          <cell r="G2384" t="str">
            <v>CB520700000T00</v>
          </cell>
          <cell r="H2384">
            <v>0.75</v>
          </cell>
          <cell r="I2384" t="str">
            <v>--</v>
          </cell>
          <cell r="J2384">
            <v>2</v>
          </cell>
          <cell r="K2384">
            <v>2</v>
          </cell>
        </row>
        <row r="2385">
          <cell r="A2385" t="str">
            <v>M2</v>
          </cell>
          <cell r="B2385" t="str">
            <v>A5C</v>
          </cell>
          <cell r="C2385" t="str">
            <v>P</v>
          </cell>
          <cell r="D2385" t="str">
            <v>23229</v>
          </cell>
          <cell r="E2385" t="str">
            <v>CAP</v>
          </cell>
          <cell r="F2385">
            <v>2</v>
          </cell>
          <cell r="G2385" t="str">
            <v>CB520700000T00</v>
          </cell>
          <cell r="H2385">
            <v>0.75</v>
          </cell>
          <cell r="I2385" t="str">
            <v>--</v>
          </cell>
          <cell r="J2385">
            <v>1</v>
          </cell>
          <cell r="K2385">
            <v>1</v>
          </cell>
        </row>
        <row r="2386">
          <cell r="A2386" t="str">
            <v>M2</v>
          </cell>
          <cell r="B2386" t="str">
            <v>A5C</v>
          </cell>
          <cell r="C2386" t="str">
            <v>P</v>
          </cell>
          <cell r="D2386" t="str">
            <v>23245</v>
          </cell>
          <cell r="E2386" t="str">
            <v>CAP</v>
          </cell>
          <cell r="F2386">
            <v>2</v>
          </cell>
          <cell r="G2386" t="str">
            <v>CB520700000T00</v>
          </cell>
          <cell r="H2386">
            <v>0.75</v>
          </cell>
          <cell r="I2386" t="str">
            <v>--</v>
          </cell>
          <cell r="J2386">
            <v>1</v>
          </cell>
          <cell r="K2386">
            <v>1</v>
          </cell>
        </row>
        <row r="2387">
          <cell r="A2387" t="str">
            <v>M2</v>
          </cell>
          <cell r="B2387" t="str">
            <v>A5C</v>
          </cell>
          <cell r="C2387" t="str">
            <v>P</v>
          </cell>
          <cell r="D2387" t="str">
            <v>23247</v>
          </cell>
          <cell r="E2387" t="str">
            <v>CAP</v>
          </cell>
          <cell r="F2387">
            <v>2</v>
          </cell>
          <cell r="G2387" t="str">
            <v>CB520700000T00</v>
          </cell>
          <cell r="H2387">
            <v>0.75</v>
          </cell>
          <cell r="I2387" t="str">
            <v>--</v>
          </cell>
          <cell r="J2387">
            <v>1</v>
          </cell>
          <cell r="K2387">
            <v>1</v>
          </cell>
        </row>
        <row r="2388">
          <cell r="A2388" t="str">
            <v>M2</v>
          </cell>
          <cell r="B2388" t="str">
            <v>A5C</v>
          </cell>
          <cell r="C2388" t="str">
            <v>P</v>
          </cell>
          <cell r="D2388" t="str">
            <v>23248</v>
          </cell>
          <cell r="E2388" t="str">
            <v>CAP</v>
          </cell>
          <cell r="F2388">
            <v>2</v>
          </cell>
          <cell r="G2388" t="str">
            <v>CB520700000T00</v>
          </cell>
          <cell r="H2388">
            <v>0.75</v>
          </cell>
          <cell r="I2388" t="str">
            <v>--</v>
          </cell>
          <cell r="J2388">
            <v>1</v>
          </cell>
          <cell r="K2388">
            <v>1</v>
          </cell>
        </row>
        <row r="2389">
          <cell r="A2389" t="str">
            <v>M2</v>
          </cell>
          <cell r="B2389" t="str">
            <v>A5C</v>
          </cell>
          <cell r="C2389" t="str">
            <v>P</v>
          </cell>
          <cell r="D2389" t="str">
            <v>23251</v>
          </cell>
          <cell r="E2389" t="str">
            <v>CAP</v>
          </cell>
          <cell r="F2389">
            <v>2</v>
          </cell>
          <cell r="G2389" t="str">
            <v>CB520700000T00</v>
          </cell>
          <cell r="H2389">
            <v>0.75</v>
          </cell>
          <cell r="I2389" t="str">
            <v>--</v>
          </cell>
          <cell r="J2389">
            <v>1</v>
          </cell>
          <cell r="K2389">
            <v>1</v>
          </cell>
        </row>
        <row r="2390">
          <cell r="A2390" t="str">
            <v>M2</v>
          </cell>
          <cell r="B2390" t="str">
            <v>A5C</v>
          </cell>
          <cell r="C2390" t="str">
            <v>P</v>
          </cell>
          <cell r="D2390" t="str">
            <v>23252</v>
          </cell>
          <cell r="E2390" t="str">
            <v>CAP</v>
          </cell>
          <cell r="F2390">
            <v>2</v>
          </cell>
          <cell r="G2390" t="str">
            <v>CB520700000T00</v>
          </cell>
          <cell r="H2390">
            <v>0.75</v>
          </cell>
          <cell r="I2390" t="str">
            <v>--</v>
          </cell>
          <cell r="J2390">
            <v>1</v>
          </cell>
          <cell r="K2390">
            <v>1</v>
          </cell>
        </row>
        <row r="2391">
          <cell r="A2391" t="str">
            <v>M2</v>
          </cell>
          <cell r="B2391" t="str">
            <v>A5C</v>
          </cell>
          <cell r="C2391" t="str">
            <v>P</v>
          </cell>
          <cell r="D2391" t="str">
            <v>23254</v>
          </cell>
          <cell r="E2391" t="str">
            <v>CAP</v>
          </cell>
          <cell r="F2391">
            <v>2</v>
          </cell>
          <cell r="G2391" t="str">
            <v>CB520700000T00</v>
          </cell>
          <cell r="H2391">
            <v>0.75</v>
          </cell>
          <cell r="I2391" t="str">
            <v>--</v>
          </cell>
          <cell r="J2391">
            <v>2</v>
          </cell>
          <cell r="K2391">
            <v>2</v>
          </cell>
        </row>
        <row r="2392">
          <cell r="A2392" t="str">
            <v>M2</v>
          </cell>
          <cell r="B2392" t="str">
            <v>A5C</v>
          </cell>
          <cell r="C2392" t="str">
            <v>P</v>
          </cell>
          <cell r="D2392" t="str">
            <v>23258</v>
          </cell>
          <cell r="E2392" t="str">
            <v>CAP</v>
          </cell>
          <cell r="F2392">
            <v>2</v>
          </cell>
          <cell r="G2392" t="str">
            <v>CB520700000T00</v>
          </cell>
          <cell r="H2392">
            <v>0.75</v>
          </cell>
          <cell r="I2392" t="str">
            <v>--</v>
          </cell>
          <cell r="J2392">
            <v>1</v>
          </cell>
          <cell r="K2392">
            <v>1</v>
          </cell>
        </row>
        <row r="2393">
          <cell r="A2393" t="str">
            <v>M2</v>
          </cell>
          <cell r="B2393" t="str">
            <v>A5C</v>
          </cell>
          <cell r="C2393" t="str">
            <v>P</v>
          </cell>
          <cell r="D2393" t="str">
            <v>24020</v>
          </cell>
          <cell r="E2393" t="str">
            <v>CAP</v>
          </cell>
          <cell r="F2393">
            <v>2</v>
          </cell>
          <cell r="G2393" t="str">
            <v>CB520700000T00</v>
          </cell>
          <cell r="H2393">
            <v>0.75</v>
          </cell>
          <cell r="I2393" t="str">
            <v>--</v>
          </cell>
          <cell r="J2393">
            <v>1</v>
          </cell>
          <cell r="K2393">
            <v>1</v>
          </cell>
        </row>
        <row r="2394">
          <cell r="A2394" t="str">
            <v>M2</v>
          </cell>
          <cell r="B2394" t="str">
            <v>A5C</v>
          </cell>
          <cell r="C2394" t="str">
            <v>P</v>
          </cell>
          <cell r="D2394" t="str">
            <v>24024</v>
          </cell>
          <cell r="E2394" t="str">
            <v>CAP</v>
          </cell>
          <cell r="F2394">
            <v>2</v>
          </cell>
          <cell r="G2394" t="str">
            <v>CB520700000T00</v>
          </cell>
          <cell r="H2394">
            <v>0.75</v>
          </cell>
          <cell r="I2394" t="str">
            <v>--</v>
          </cell>
          <cell r="J2394">
            <v>2</v>
          </cell>
          <cell r="K2394">
            <v>2</v>
          </cell>
        </row>
        <row r="2395">
          <cell r="A2395" t="str">
            <v>M2</v>
          </cell>
          <cell r="B2395" t="str">
            <v>A5C</v>
          </cell>
          <cell r="C2395" t="str">
            <v>TRIM</v>
          </cell>
          <cell r="D2395" t="str">
            <v>V-2315</v>
          </cell>
          <cell r="E2395" t="str">
            <v>CAP</v>
          </cell>
          <cell r="F2395">
            <v>2</v>
          </cell>
          <cell r="G2395" t="str">
            <v>CB520700000T00</v>
          </cell>
          <cell r="H2395">
            <v>0.75</v>
          </cell>
          <cell r="I2395" t="str">
            <v>--</v>
          </cell>
          <cell r="J2395">
            <v>2</v>
          </cell>
          <cell r="K2395">
            <v>2</v>
          </cell>
        </row>
        <row r="2396">
          <cell r="A2396" t="str">
            <v>M2</v>
          </cell>
          <cell r="B2396" t="str">
            <v>A5C</v>
          </cell>
          <cell r="C2396" t="str">
            <v>TRIM</v>
          </cell>
          <cell r="D2396" t="str">
            <v>V-2316</v>
          </cell>
          <cell r="E2396" t="str">
            <v>CAP</v>
          </cell>
          <cell r="F2396">
            <v>2</v>
          </cell>
          <cell r="G2396" t="str">
            <v>CB520700000T00</v>
          </cell>
          <cell r="H2396">
            <v>0.75</v>
          </cell>
          <cell r="I2396" t="str">
            <v>--</v>
          </cell>
          <cell r="J2396">
            <v>2</v>
          </cell>
          <cell r="K2396">
            <v>2</v>
          </cell>
        </row>
        <row r="2397">
          <cell r="A2397" t="str">
            <v>M2</v>
          </cell>
          <cell r="B2397" t="str">
            <v>A5C</v>
          </cell>
          <cell r="C2397" t="str">
            <v>TRIM</v>
          </cell>
          <cell r="D2397" t="str">
            <v>V-2317</v>
          </cell>
          <cell r="E2397" t="str">
            <v>CAP</v>
          </cell>
          <cell r="F2397">
            <v>2</v>
          </cell>
          <cell r="G2397" t="str">
            <v>CB520700000T00</v>
          </cell>
          <cell r="H2397">
            <v>0.75</v>
          </cell>
          <cell r="I2397" t="str">
            <v>--</v>
          </cell>
          <cell r="J2397">
            <v>2</v>
          </cell>
          <cell r="K2397">
            <v>2</v>
          </cell>
        </row>
        <row r="2398">
          <cell r="A2398" t="str">
            <v>M2</v>
          </cell>
          <cell r="B2398" t="str">
            <v>A5C</v>
          </cell>
          <cell r="C2398" t="str">
            <v>TRIM</v>
          </cell>
          <cell r="D2398" t="str">
            <v>V-2319</v>
          </cell>
          <cell r="E2398" t="str">
            <v>CAP</v>
          </cell>
          <cell r="F2398">
            <v>2</v>
          </cell>
          <cell r="G2398" t="str">
            <v>CB520700000T00</v>
          </cell>
          <cell r="H2398">
            <v>0.75</v>
          </cell>
          <cell r="I2398" t="str">
            <v>--</v>
          </cell>
          <cell r="J2398">
            <v>2</v>
          </cell>
          <cell r="K2398">
            <v>2</v>
          </cell>
        </row>
        <row r="2399">
          <cell r="A2399" t="str">
            <v>M2</v>
          </cell>
          <cell r="B2399" t="str">
            <v>A5C</v>
          </cell>
          <cell r="C2399" t="str">
            <v>TRIM</v>
          </cell>
          <cell r="D2399" t="str">
            <v>V-2320</v>
          </cell>
          <cell r="E2399" t="str">
            <v>CAP</v>
          </cell>
          <cell r="F2399">
            <v>2</v>
          </cell>
          <cell r="G2399" t="str">
            <v>CB520700000T00</v>
          </cell>
          <cell r="H2399">
            <v>0.75</v>
          </cell>
          <cell r="I2399" t="str">
            <v>--</v>
          </cell>
          <cell r="J2399">
            <v>2</v>
          </cell>
          <cell r="K2399">
            <v>2</v>
          </cell>
        </row>
        <row r="2400">
          <cell r="A2400" t="str">
            <v>M2</v>
          </cell>
          <cell r="B2400" t="str">
            <v>A5C</v>
          </cell>
          <cell r="C2400" t="str">
            <v>TRIM</v>
          </cell>
          <cell r="D2400" t="str">
            <v>V-2321</v>
          </cell>
          <cell r="E2400" t="str">
            <v>CAP</v>
          </cell>
          <cell r="F2400">
            <v>2</v>
          </cell>
          <cell r="G2400" t="str">
            <v>CB520700000T00</v>
          </cell>
          <cell r="H2400">
            <v>0.75</v>
          </cell>
          <cell r="I2400" t="str">
            <v>--</v>
          </cell>
          <cell r="J2400">
            <v>2</v>
          </cell>
          <cell r="K2400">
            <v>2</v>
          </cell>
        </row>
        <row r="2401">
          <cell r="A2401" t="str">
            <v>M2</v>
          </cell>
          <cell r="B2401" t="str">
            <v>A5C</v>
          </cell>
          <cell r="C2401" t="str">
            <v>TRIM</v>
          </cell>
          <cell r="D2401" t="str">
            <v>V-2318</v>
          </cell>
          <cell r="E2401" t="str">
            <v>CAP</v>
          </cell>
          <cell r="F2401">
            <v>2</v>
          </cell>
          <cell r="G2401" t="str">
            <v>CB520700000T00</v>
          </cell>
          <cell r="H2401">
            <v>0.75</v>
          </cell>
          <cell r="I2401" t="str">
            <v>--</v>
          </cell>
          <cell r="J2401">
            <v>2</v>
          </cell>
          <cell r="K2401">
            <v>2</v>
          </cell>
        </row>
        <row r="2402">
          <cell r="A2402" t="str">
            <v>M2</v>
          </cell>
          <cell r="B2402" t="str">
            <v>A5C</v>
          </cell>
          <cell r="C2402" t="str">
            <v>TRIM</v>
          </cell>
          <cell r="D2402" t="str">
            <v>V-2323</v>
          </cell>
          <cell r="E2402" t="str">
            <v>CAP</v>
          </cell>
          <cell r="F2402">
            <v>2</v>
          </cell>
          <cell r="G2402" t="str">
            <v>CB520700000T00</v>
          </cell>
          <cell r="H2402">
            <v>0.75</v>
          </cell>
          <cell r="I2402" t="str">
            <v>--</v>
          </cell>
          <cell r="J2402">
            <v>2</v>
          </cell>
          <cell r="K2402">
            <v>2</v>
          </cell>
        </row>
        <row r="2403">
          <cell r="A2403" t="str">
            <v>M2</v>
          </cell>
          <cell r="B2403" t="str">
            <v>A5C</v>
          </cell>
          <cell r="C2403" t="str">
            <v>TRIM</v>
          </cell>
          <cell r="D2403" t="str">
            <v>V-2333</v>
          </cell>
          <cell r="E2403" t="str">
            <v>CAP</v>
          </cell>
          <cell r="F2403">
            <v>2</v>
          </cell>
          <cell r="G2403" t="str">
            <v>CB520700000T00</v>
          </cell>
          <cell r="H2403">
            <v>0.75</v>
          </cell>
          <cell r="I2403" t="str">
            <v>--</v>
          </cell>
          <cell r="J2403">
            <v>2</v>
          </cell>
          <cell r="K2403">
            <v>2</v>
          </cell>
        </row>
        <row r="2404">
          <cell r="A2404" t="str">
            <v>M2</v>
          </cell>
          <cell r="B2404" t="str">
            <v>A5C</v>
          </cell>
          <cell r="C2404" t="str">
            <v>TRIM</v>
          </cell>
          <cell r="D2404" t="str">
            <v>V-2327</v>
          </cell>
          <cell r="E2404" t="str">
            <v>CAP</v>
          </cell>
          <cell r="F2404">
            <v>2</v>
          </cell>
          <cell r="G2404" t="str">
            <v>CB520700000T00</v>
          </cell>
          <cell r="H2404">
            <v>0.75</v>
          </cell>
          <cell r="I2404" t="str">
            <v>--</v>
          </cell>
          <cell r="J2404">
            <v>2</v>
          </cell>
          <cell r="K2404">
            <v>2</v>
          </cell>
        </row>
        <row r="2405">
          <cell r="A2405" t="str">
            <v>M2</v>
          </cell>
          <cell r="B2405" t="str">
            <v>A5C</v>
          </cell>
          <cell r="C2405" t="str">
            <v>TRIM</v>
          </cell>
          <cell r="D2405" t="str">
            <v>V-2332</v>
          </cell>
          <cell r="E2405" t="str">
            <v>CAP</v>
          </cell>
          <cell r="F2405">
            <v>2</v>
          </cell>
          <cell r="G2405" t="str">
            <v>CB520700000T00</v>
          </cell>
          <cell r="H2405">
            <v>0.75</v>
          </cell>
          <cell r="I2405" t="str">
            <v>--</v>
          </cell>
          <cell r="J2405">
            <v>2</v>
          </cell>
          <cell r="K2405">
            <v>2</v>
          </cell>
        </row>
        <row r="2406">
          <cell r="A2406" t="str">
            <v>M2</v>
          </cell>
          <cell r="B2406" t="str">
            <v>A5C</v>
          </cell>
          <cell r="C2406" t="str">
            <v>N</v>
          </cell>
          <cell r="D2406" t="str">
            <v>23613</v>
          </cell>
          <cell r="E2406" t="str">
            <v>CAP</v>
          </cell>
          <cell r="F2406">
            <v>2</v>
          </cell>
          <cell r="G2406" t="str">
            <v>CB520700000T00</v>
          </cell>
          <cell r="H2406">
            <v>0.75</v>
          </cell>
          <cell r="I2406" t="str">
            <v>--</v>
          </cell>
          <cell r="J2406">
            <v>1</v>
          </cell>
          <cell r="K2406">
            <v>1</v>
          </cell>
        </row>
        <row r="2407">
          <cell r="A2407" t="str">
            <v>M2</v>
          </cell>
          <cell r="B2407" t="str">
            <v>A5C</v>
          </cell>
          <cell r="C2407" t="str">
            <v>N</v>
          </cell>
          <cell r="D2407" t="str">
            <v>23619</v>
          </cell>
          <cell r="E2407" t="str">
            <v>CAP</v>
          </cell>
          <cell r="F2407">
            <v>2</v>
          </cell>
          <cell r="G2407" t="str">
            <v>CB520700000T00</v>
          </cell>
          <cell r="H2407">
            <v>0.75</v>
          </cell>
          <cell r="I2407" t="str">
            <v>--</v>
          </cell>
          <cell r="J2407">
            <v>1</v>
          </cell>
          <cell r="K2407">
            <v>1</v>
          </cell>
        </row>
        <row r="2408">
          <cell r="A2408" t="str">
            <v>M2</v>
          </cell>
          <cell r="B2408" t="str">
            <v>A5C</v>
          </cell>
          <cell r="C2408" t="str">
            <v>N</v>
          </cell>
          <cell r="D2408" t="str">
            <v>23637</v>
          </cell>
          <cell r="E2408" t="str">
            <v>CAP</v>
          </cell>
          <cell r="F2408">
            <v>2</v>
          </cell>
          <cell r="G2408" t="str">
            <v>CB520700000T00</v>
          </cell>
          <cell r="H2408">
            <v>0.75</v>
          </cell>
          <cell r="I2408" t="str">
            <v>--</v>
          </cell>
          <cell r="J2408">
            <v>1</v>
          </cell>
          <cell r="K2408">
            <v>1</v>
          </cell>
        </row>
        <row r="2409">
          <cell r="A2409" t="str">
            <v>M2</v>
          </cell>
          <cell r="B2409" t="str">
            <v>A5C</v>
          </cell>
          <cell r="C2409" t="str">
            <v>N</v>
          </cell>
          <cell r="D2409" t="str">
            <v>23638</v>
          </cell>
          <cell r="E2409" t="str">
            <v>CAP</v>
          </cell>
          <cell r="F2409">
            <v>2</v>
          </cell>
          <cell r="G2409" t="str">
            <v>CB520700000T00</v>
          </cell>
          <cell r="H2409">
            <v>0.75</v>
          </cell>
          <cell r="I2409" t="str">
            <v>--</v>
          </cell>
          <cell r="J2409">
            <v>1</v>
          </cell>
          <cell r="K2409">
            <v>1</v>
          </cell>
        </row>
        <row r="2410">
          <cell r="A2410" t="str">
            <v>M2</v>
          </cell>
          <cell r="B2410" t="str">
            <v>A5C</v>
          </cell>
          <cell r="C2410" t="str">
            <v>N</v>
          </cell>
          <cell r="D2410" t="str">
            <v>23640</v>
          </cell>
          <cell r="E2410" t="str">
            <v>CAP</v>
          </cell>
          <cell r="F2410">
            <v>2</v>
          </cell>
          <cell r="G2410" t="str">
            <v>CB520700000T00</v>
          </cell>
          <cell r="H2410">
            <v>0.75</v>
          </cell>
          <cell r="I2410" t="str">
            <v>--</v>
          </cell>
          <cell r="J2410">
            <v>1</v>
          </cell>
          <cell r="K2410">
            <v>1</v>
          </cell>
        </row>
        <row r="2411">
          <cell r="A2411" t="str">
            <v>M2</v>
          </cell>
          <cell r="B2411" t="str">
            <v>A5C</v>
          </cell>
          <cell r="C2411" t="str">
            <v>N</v>
          </cell>
          <cell r="D2411" t="str">
            <v>24612</v>
          </cell>
          <cell r="E2411" t="str">
            <v>CAP</v>
          </cell>
          <cell r="F2411">
            <v>2</v>
          </cell>
          <cell r="G2411" t="str">
            <v>CB520700000T00</v>
          </cell>
          <cell r="H2411">
            <v>0.75</v>
          </cell>
          <cell r="I2411" t="str">
            <v>--</v>
          </cell>
          <cell r="J2411">
            <v>1</v>
          </cell>
          <cell r="K2411">
            <v>1</v>
          </cell>
        </row>
        <row r="2412">
          <cell r="A2412" t="str">
            <v>M2</v>
          </cell>
          <cell r="B2412" t="str">
            <v>A5C</v>
          </cell>
          <cell r="C2412" t="str">
            <v>P</v>
          </cell>
          <cell r="D2412" t="str">
            <v>23035</v>
          </cell>
          <cell r="E2412" t="str">
            <v>CAP</v>
          </cell>
          <cell r="F2412">
            <v>2</v>
          </cell>
          <cell r="G2412" t="str">
            <v>CB520700000T00</v>
          </cell>
          <cell r="H2412">
            <v>0.75</v>
          </cell>
          <cell r="I2412" t="str">
            <v>--</v>
          </cell>
          <cell r="J2412">
            <v>2</v>
          </cell>
          <cell r="K2412">
            <v>2</v>
          </cell>
        </row>
        <row r="2413">
          <cell r="A2413" t="str">
            <v>M2</v>
          </cell>
          <cell r="B2413" t="str">
            <v>A5C</v>
          </cell>
          <cell r="C2413" t="str">
            <v>P</v>
          </cell>
          <cell r="D2413" t="str">
            <v>23107</v>
          </cell>
          <cell r="E2413" t="str">
            <v>CAP</v>
          </cell>
          <cell r="F2413">
            <v>2</v>
          </cell>
          <cell r="G2413" t="str">
            <v>CB520700000T00</v>
          </cell>
          <cell r="H2413">
            <v>0.75</v>
          </cell>
          <cell r="I2413" t="str">
            <v>--</v>
          </cell>
          <cell r="J2413">
            <v>2</v>
          </cell>
          <cell r="K2413">
            <v>2</v>
          </cell>
        </row>
        <row r="2414">
          <cell r="A2414" t="str">
            <v>M2</v>
          </cell>
          <cell r="B2414" t="str">
            <v>A5C</v>
          </cell>
          <cell r="C2414" t="str">
            <v>P</v>
          </cell>
          <cell r="D2414" t="str">
            <v>23124</v>
          </cell>
          <cell r="E2414" t="str">
            <v>CAP</v>
          </cell>
          <cell r="F2414">
            <v>2</v>
          </cell>
          <cell r="G2414" t="str">
            <v>CB520700000T00</v>
          </cell>
          <cell r="H2414">
            <v>0.75</v>
          </cell>
          <cell r="I2414" t="str">
            <v>--</v>
          </cell>
          <cell r="J2414">
            <v>2</v>
          </cell>
          <cell r="K2414">
            <v>2</v>
          </cell>
        </row>
        <row r="2415">
          <cell r="A2415" t="str">
            <v>M2</v>
          </cell>
          <cell r="B2415" t="str">
            <v>A5C</v>
          </cell>
          <cell r="C2415" t="str">
            <v>P</v>
          </cell>
          <cell r="D2415" t="str">
            <v>23212</v>
          </cell>
          <cell r="E2415" t="str">
            <v>CAP</v>
          </cell>
          <cell r="F2415">
            <v>2</v>
          </cell>
          <cell r="G2415" t="str">
            <v>CB520700000T00</v>
          </cell>
          <cell r="H2415">
            <v>0.75</v>
          </cell>
          <cell r="I2415" t="str">
            <v>--</v>
          </cell>
          <cell r="J2415">
            <v>1</v>
          </cell>
          <cell r="K2415">
            <v>1</v>
          </cell>
        </row>
        <row r="2416">
          <cell r="A2416" t="str">
            <v>M2</v>
          </cell>
          <cell r="B2416" t="str">
            <v>A5C</v>
          </cell>
          <cell r="C2416" t="str">
            <v>P</v>
          </cell>
          <cell r="D2416" t="str">
            <v>23230</v>
          </cell>
          <cell r="E2416" t="str">
            <v>CAP</v>
          </cell>
          <cell r="F2416">
            <v>2</v>
          </cell>
          <cell r="G2416" t="str">
            <v>CB520700000T00</v>
          </cell>
          <cell r="H2416">
            <v>0.75</v>
          </cell>
          <cell r="I2416" t="str">
            <v>--</v>
          </cell>
          <cell r="J2416">
            <v>1</v>
          </cell>
          <cell r="K2416">
            <v>1</v>
          </cell>
        </row>
        <row r="2417">
          <cell r="A2417" t="str">
            <v>M2</v>
          </cell>
          <cell r="B2417" t="str">
            <v>A5C</v>
          </cell>
          <cell r="C2417" t="str">
            <v>P</v>
          </cell>
          <cell r="D2417" t="str">
            <v>23253</v>
          </cell>
          <cell r="E2417" t="str">
            <v>CAP</v>
          </cell>
          <cell r="F2417">
            <v>2</v>
          </cell>
          <cell r="G2417" t="str">
            <v>CB520700000T00</v>
          </cell>
          <cell r="H2417">
            <v>0.75</v>
          </cell>
          <cell r="I2417" t="str">
            <v>--</v>
          </cell>
          <cell r="J2417">
            <v>1</v>
          </cell>
          <cell r="K2417">
            <v>1</v>
          </cell>
        </row>
        <row r="2418">
          <cell r="A2418" t="str">
            <v>M2</v>
          </cell>
          <cell r="B2418" t="str">
            <v>A5C</v>
          </cell>
          <cell r="C2418" t="str">
            <v>P</v>
          </cell>
          <cell r="D2418" t="str">
            <v>24006</v>
          </cell>
          <cell r="E2418" t="str">
            <v>CAP</v>
          </cell>
          <cell r="F2418">
            <v>2</v>
          </cell>
          <cell r="G2418" t="str">
            <v>CB520700000T00</v>
          </cell>
          <cell r="H2418">
            <v>0.75</v>
          </cell>
          <cell r="I2418" t="str">
            <v>--</v>
          </cell>
          <cell r="J2418">
            <v>1</v>
          </cell>
          <cell r="K2418">
            <v>1</v>
          </cell>
        </row>
        <row r="2419">
          <cell r="A2419" t="str">
            <v>M2</v>
          </cell>
          <cell r="B2419" t="str">
            <v>A5C</v>
          </cell>
          <cell r="C2419" t="str">
            <v>P</v>
          </cell>
          <cell r="D2419" t="str">
            <v>24007</v>
          </cell>
          <cell r="E2419" t="str">
            <v>CAP</v>
          </cell>
          <cell r="F2419">
            <v>2</v>
          </cell>
          <cell r="G2419" t="str">
            <v>CB520700000T00</v>
          </cell>
          <cell r="H2419">
            <v>0.75</v>
          </cell>
          <cell r="I2419" t="str">
            <v>--</v>
          </cell>
          <cell r="J2419">
            <v>1</v>
          </cell>
          <cell r="K2419">
            <v>1</v>
          </cell>
        </row>
        <row r="2420">
          <cell r="A2420" t="str">
            <v>M2</v>
          </cell>
          <cell r="B2420" t="str">
            <v>A5C</v>
          </cell>
          <cell r="C2420" t="str">
            <v>P</v>
          </cell>
          <cell r="D2420" t="str">
            <v>24008</v>
          </cell>
          <cell r="E2420" t="str">
            <v>CAP</v>
          </cell>
          <cell r="F2420">
            <v>2</v>
          </cell>
          <cell r="G2420" t="str">
            <v>CB520700000T00</v>
          </cell>
          <cell r="H2420">
            <v>0.75</v>
          </cell>
          <cell r="I2420" t="str">
            <v>--</v>
          </cell>
          <cell r="J2420">
            <v>2</v>
          </cell>
          <cell r="K2420">
            <v>2</v>
          </cell>
        </row>
        <row r="2421">
          <cell r="A2421" t="str">
            <v>M2</v>
          </cell>
          <cell r="B2421" t="str">
            <v>A5C</v>
          </cell>
          <cell r="C2421" t="str">
            <v>P</v>
          </cell>
          <cell r="D2421" t="str">
            <v>99003</v>
          </cell>
          <cell r="E2421" t="str">
            <v>CAP</v>
          </cell>
          <cell r="F2421">
            <v>2</v>
          </cell>
          <cell r="G2421" t="str">
            <v>CB520700000T00</v>
          </cell>
          <cell r="H2421">
            <v>0.75</v>
          </cell>
          <cell r="I2421" t="str">
            <v>--</v>
          </cell>
          <cell r="J2421">
            <v>2</v>
          </cell>
          <cell r="K2421">
            <v>2</v>
          </cell>
        </row>
        <row r="2422">
          <cell r="A2422" t="str">
            <v>M2</v>
          </cell>
          <cell r="B2422" t="str">
            <v>A5C</v>
          </cell>
          <cell r="C2422" t="str">
            <v>P</v>
          </cell>
          <cell r="D2422" t="str">
            <v>99003</v>
          </cell>
          <cell r="E2422" t="str">
            <v>CAP</v>
          </cell>
          <cell r="F2422">
            <v>2</v>
          </cell>
          <cell r="G2422" t="str">
            <v>CB520700000T00</v>
          </cell>
          <cell r="H2422">
            <v>0.75</v>
          </cell>
          <cell r="I2422" t="str">
            <v>--</v>
          </cell>
          <cell r="J2422">
            <v>1</v>
          </cell>
          <cell r="K2422">
            <v>1</v>
          </cell>
        </row>
        <row r="2423">
          <cell r="A2423" t="str">
            <v>M2</v>
          </cell>
          <cell r="B2423" t="str">
            <v>A5C</v>
          </cell>
          <cell r="C2423" t="str">
            <v>TRIM</v>
          </cell>
          <cell r="D2423" t="str">
            <v>V-2301</v>
          </cell>
          <cell r="E2423" t="str">
            <v>CAP</v>
          </cell>
          <cell r="F2423">
            <v>2</v>
          </cell>
          <cell r="G2423" t="str">
            <v>CB520700000T00</v>
          </cell>
          <cell r="H2423">
            <v>0.75</v>
          </cell>
          <cell r="I2423" t="str">
            <v>--</v>
          </cell>
          <cell r="J2423">
            <v>2</v>
          </cell>
          <cell r="K2423">
            <v>2</v>
          </cell>
        </row>
        <row r="2424">
          <cell r="A2424" t="str">
            <v>M2</v>
          </cell>
          <cell r="B2424" t="str">
            <v>A5C</v>
          </cell>
          <cell r="C2424" t="str">
            <v>TRIM</v>
          </cell>
          <cell r="D2424" t="str">
            <v>V-2324</v>
          </cell>
          <cell r="E2424" t="str">
            <v>CAP</v>
          </cell>
          <cell r="F2424">
            <v>2</v>
          </cell>
          <cell r="G2424" t="str">
            <v>CB520700000T00</v>
          </cell>
          <cell r="H2424">
            <v>0.75</v>
          </cell>
          <cell r="I2424" t="str">
            <v>--</v>
          </cell>
          <cell r="J2424">
            <v>2</v>
          </cell>
          <cell r="K2424">
            <v>2</v>
          </cell>
        </row>
        <row r="2425">
          <cell r="A2425" t="str">
            <v>M2</v>
          </cell>
          <cell r="B2425" t="str">
            <v>A5C</v>
          </cell>
          <cell r="C2425" t="str">
            <v>TRIM</v>
          </cell>
          <cell r="D2425" t="str">
            <v>V-2326</v>
          </cell>
          <cell r="E2425" t="str">
            <v>CAP</v>
          </cell>
          <cell r="F2425">
            <v>2</v>
          </cell>
          <cell r="G2425" t="str">
            <v>CB520700000T00</v>
          </cell>
          <cell r="H2425">
            <v>0.75</v>
          </cell>
          <cell r="I2425" t="str">
            <v>--</v>
          </cell>
          <cell r="J2425">
            <v>2</v>
          </cell>
          <cell r="K2425">
            <v>2</v>
          </cell>
        </row>
        <row r="2426">
          <cell r="A2426" t="str">
            <v>M2</v>
          </cell>
          <cell r="B2426" t="str">
            <v>A5C</v>
          </cell>
          <cell r="C2426" t="str">
            <v>TRIM</v>
          </cell>
          <cell r="D2426" t="str">
            <v>V-2328</v>
          </cell>
          <cell r="E2426" t="str">
            <v>CAP</v>
          </cell>
          <cell r="F2426">
            <v>2</v>
          </cell>
          <cell r="G2426" t="str">
            <v>CB520700000T00</v>
          </cell>
          <cell r="H2426">
            <v>0.75</v>
          </cell>
          <cell r="I2426" t="str">
            <v>--</v>
          </cell>
          <cell r="J2426">
            <v>2</v>
          </cell>
          <cell r="K2426">
            <v>2</v>
          </cell>
        </row>
        <row r="2427">
          <cell r="A2427" t="str">
            <v>M2</v>
          </cell>
          <cell r="B2427" t="str">
            <v>A5C</v>
          </cell>
          <cell r="C2427" t="str">
            <v>TRIM</v>
          </cell>
          <cell r="D2427" t="str">
            <v>V-2329</v>
          </cell>
          <cell r="E2427" t="str">
            <v>CAP</v>
          </cell>
          <cell r="F2427">
            <v>2</v>
          </cell>
          <cell r="G2427" t="str">
            <v>CB520700000T00</v>
          </cell>
          <cell r="H2427">
            <v>0.75</v>
          </cell>
          <cell r="I2427" t="str">
            <v>--</v>
          </cell>
          <cell r="J2427">
            <v>2</v>
          </cell>
          <cell r="K2427">
            <v>2</v>
          </cell>
        </row>
        <row r="2428">
          <cell r="A2428" t="str">
            <v>M2</v>
          </cell>
          <cell r="B2428" t="str">
            <v>A5C</v>
          </cell>
          <cell r="C2428" t="str">
            <v>TRIM</v>
          </cell>
          <cell r="D2428" t="str">
            <v>V-2330</v>
          </cell>
          <cell r="E2428" t="str">
            <v>CAP</v>
          </cell>
          <cell r="F2428">
            <v>2</v>
          </cell>
          <cell r="G2428" t="str">
            <v>CB520700000T00</v>
          </cell>
          <cell r="H2428">
            <v>0.75</v>
          </cell>
          <cell r="I2428" t="str">
            <v>--</v>
          </cell>
          <cell r="J2428">
            <v>2</v>
          </cell>
          <cell r="K2428">
            <v>2</v>
          </cell>
        </row>
        <row r="2429">
          <cell r="A2429" t="str">
            <v>M2</v>
          </cell>
          <cell r="B2429" t="str">
            <v>A5C</v>
          </cell>
          <cell r="C2429" t="str">
            <v>TRIM</v>
          </cell>
          <cell r="D2429" t="str">
            <v>V-2331</v>
          </cell>
          <cell r="E2429" t="str">
            <v>CAP</v>
          </cell>
          <cell r="F2429">
            <v>2</v>
          </cell>
          <cell r="G2429" t="str">
            <v>CB520700000T00</v>
          </cell>
          <cell r="H2429">
            <v>0.75</v>
          </cell>
          <cell r="I2429" t="str">
            <v>--</v>
          </cell>
          <cell r="J2429">
            <v>2</v>
          </cell>
          <cell r="K2429">
            <v>2</v>
          </cell>
        </row>
        <row r="2430">
          <cell r="A2430" t="str">
            <v>M2</v>
          </cell>
          <cell r="B2430" t="str">
            <v>A5C</v>
          </cell>
          <cell r="C2430" t="str">
            <v>TRIM</v>
          </cell>
          <cell r="D2430" t="str">
            <v>V-2351</v>
          </cell>
          <cell r="E2430" t="str">
            <v>CAP</v>
          </cell>
          <cell r="F2430">
            <v>2</v>
          </cell>
          <cell r="G2430" t="str">
            <v>CB520700000T00</v>
          </cell>
          <cell r="H2430">
            <v>0.75</v>
          </cell>
          <cell r="I2430" t="str">
            <v>--</v>
          </cell>
          <cell r="J2430">
            <v>2</v>
          </cell>
          <cell r="K2430">
            <v>2</v>
          </cell>
        </row>
        <row r="2431">
          <cell r="A2431" t="str">
            <v>M2</v>
          </cell>
          <cell r="B2431" t="str">
            <v>A5C</v>
          </cell>
          <cell r="C2431" t="str">
            <v>P</v>
          </cell>
          <cell r="D2431" t="str">
            <v>23081</v>
          </cell>
          <cell r="E2431" t="str">
            <v>CPLG</v>
          </cell>
          <cell r="F2431">
            <v>2</v>
          </cell>
          <cell r="G2431" t="str">
            <v>CB400500000T00</v>
          </cell>
          <cell r="H2431">
            <v>0.75</v>
          </cell>
          <cell r="I2431" t="str">
            <v>--</v>
          </cell>
          <cell r="J2431">
            <v>1</v>
          </cell>
          <cell r="K2431">
            <v>1</v>
          </cell>
        </row>
        <row r="2432">
          <cell r="A2432" t="str">
            <v>M2</v>
          </cell>
          <cell r="B2432" t="str">
            <v>A5C</v>
          </cell>
          <cell r="C2432" t="str">
            <v>P</v>
          </cell>
          <cell r="D2432" t="str">
            <v>23144</v>
          </cell>
          <cell r="E2432" t="str">
            <v>CPLG</v>
          </cell>
          <cell r="F2432">
            <v>2</v>
          </cell>
          <cell r="G2432" t="str">
            <v>CB400500000T00</v>
          </cell>
          <cell r="H2432">
            <v>0.75</v>
          </cell>
          <cell r="I2432" t="str">
            <v>--</v>
          </cell>
          <cell r="J2432">
            <v>2</v>
          </cell>
          <cell r="K2432">
            <v>2</v>
          </cell>
        </row>
        <row r="2433">
          <cell r="A2433" t="str">
            <v>M2</v>
          </cell>
          <cell r="B2433" t="str">
            <v>A5C</v>
          </cell>
          <cell r="C2433" t="str">
            <v>P</v>
          </cell>
          <cell r="D2433" t="str">
            <v>23225</v>
          </cell>
          <cell r="E2433" t="str">
            <v>CPLG</v>
          </cell>
          <cell r="F2433">
            <v>2</v>
          </cell>
          <cell r="G2433" t="str">
            <v>CB400500000T00</v>
          </cell>
          <cell r="H2433">
            <v>0.75</v>
          </cell>
          <cell r="I2433" t="str">
            <v>--</v>
          </cell>
          <cell r="J2433">
            <v>1</v>
          </cell>
          <cell r="K2433">
            <v>1</v>
          </cell>
        </row>
        <row r="2434">
          <cell r="A2434" t="str">
            <v>M2</v>
          </cell>
          <cell r="B2434" t="str">
            <v>A5C</v>
          </cell>
          <cell r="C2434" t="str">
            <v>P</v>
          </cell>
          <cell r="D2434" t="str">
            <v>23148</v>
          </cell>
          <cell r="E2434" t="str">
            <v>CPLG</v>
          </cell>
          <cell r="F2434">
            <v>2</v>
          </cell>
          <cell r="G2434" t="str">
            <v>CB400500000T00</v>
          </cell>
          <cell r="H2434">
            <v>0.75</v>
          </cell>
          <cell r="I2434" t="str">
            <v>--</v>
          </cell>
          <cell r="J2434">
            <v>2</v>
          </cell>
          <cell r="K2434">
            <v>2</v>
          </cell>
        </row>
        <row r="2435">
          <cell r="A2435" t="str">
            <v>M2</v>
          </cell>
          <cell r="B2435" t="str">
            <v>A5C</v>
          </cell>
          <cell r="C2435" t="str">
            <v>P</v>
          </cell>
          <cell r="D2435" t="str">
            <v>23247</v>
          </cell>
          <cell r="E2435" t="str">
            <v>CPLG</v>
          </cell>
          <cell r="F2435">
            <v>2</v>
          </cell>
          <cell r="G2435" t="str">
            <v>CB400500000T00</v>
          </cell>
          <cell r="H2435">
            <v>0.75</v>
          </cell>
          <cell r="I2435" t="str">
            <v>--</v>
          </cell>
          <cell r="J2435">
            <v>1</v>
          </cell>
          <cell r="K2435">
            <v>1</v>
          </cell>
        </row>
        <row r="2436">
          <cell r="A2436" t="str">
            <v>M2</v>
          </cell>
          <cell r="B2436" t="str">
            <v>A5C</v>
          </cell>
          <cell r="C2436" t="str">
            <v>P</v>
          </cell>
          <cell r="D2436" t="str">
            <v>24024</v>
          </cell>
          <cell r="E2436" t="str">
            <v>CPLG</v>
          </cell>
          <cell r="F2436">
            <v>2</v>
          </cell>
          <cell r="G2436" t="str">
            <v>CB400500000T00</v>
          </cell>
          <cell r="H2436">
            <v>0.75</v>
          </cell>
          <cell r="I2436" t="str">
            <v>--</v>
          </cell>
          <cell r="J2436">
            <v>5</v>
          </cell>
          <cell r="K2436">
            <v>5</v>
          </cell>
        </row>
        <row r="2437">
          <cell r="A2437" t="str">
            <v>M2</v>
          </cell>
          <cell r="B2437" t="str">
            <v>A5C</v>
          </cell>
          <cell r="C2437" t="str">
            <v>P</v>
          </cell>
          <cell r="D2437" t="str">
            <v>23063</v>
          </cell>
          <cell r="E2437" t="str">
            <v>E SWG</v>
          </cell>
          <cell r="F2437">
            <v>2</v>
          </cell>
          <cell r="G2437" t="str">
            <v>CB162108080T0H</v>
          </cell>
          <cell r="H2437">
            <v>0.75</v>
          </cell>
          <cell r="I2437">
            <v>0.5</v>
          </cell>
          <cell r="J2437">
            <v>2</v>
          </cell>
          <cell r="K2437">
            <v>2</v>
          </cell>
        </row>
        <row r="2438">
          <cell r="A2438" t="str">
            <v>M2</v>
          </cell>
          <cell r="B2438" t="str">
            <v>A5C</v>
          </cell>
          <cell r="C2438" t="str">
            <v>P</v>
          </cell>
          <cell r="D2438" t="str">
            <v>23078</v>
          </cell>
          <cell r="E2438" t="str">
            <v>E SWG</v>
          </cell>
          <cell r="F2438">
            <v>2</v>
          </cell>
          <cell r="G2438" t="str">
            <v>CB162108080T0H</v>
          </cell>
          <cell r="H2438">
            <v>0.75</v>
          </cell>
          <cell r="I2438">
            <v>0.5</v>
          </cell>
          <cell r="J2438">
            <v>2</v>
          </cell>
          <cell r="K2438">
            <v>2</v>
          </cell>
        </row>
        <row r="2439">
          <cell r="A2439" t="str">
            <v>M2</v>
          </cell>
          <cell r="B2439" t="str">
            <v>A5C</v>
          </cell>
          <cell r="C2439" t="str">
            <v>P</v>
          </cell>
          <cell r="D2439" t="str">
            <v>23094</v>
          </cell>
          <cell r="E2439" t="str">
            <v>E SWG</v>
          </cell>
          <cell r="F2439">
            <v>2</v>
          </cell>
          <cell r="G2439" t="str">
            <v>CB162108080T0H</v>
          </cell>
          <cell r="H2439">
            <v>0.75</v>
          </cell>
          <cell r="I2439">
            <v>0.5</v>
          </cell>
          <cell r="J2439">
            <v>2</v>
          </cell>
          <cell r="K2439">
            <v>2</v>
          </cell>
        </row>
        <row r="2440">
          <cell r="A2440" t="str">
            <v>M2</v>
          </cell>
          <cell r="B2440" t="str">
            <v>A5C</v>
          </cell>
          <cell r="C2440" t="str">
            <v>P</v>
          </cell>
          <cell r="D2440" t="str">
            <v>23113</v>
          </cell>
          <cell r="E2440" t="str">
            <v>E SWG</v>
          </cell>
          <cell r="F2440">
            <v>2</v>
          </cell>
          <cell r="G2440" t="str">
            <v>CB162108080T0H</v>
          </cell>
          <cell r="H2440">
            <v>0.75</v>
          </cell>
          <cell r="I2440">
            <v>0.5</v>
          </cell>
          <cell r="J2440">
            <v>2</v>
          </cell>
          <cell r="K2440">
            <v>2</v>
          </cell>
        </row>
        <row r="2441">
          <cell r="A2441" t="str">
            <v>M2</v>
          </cell>
          <cell r="B2441" t="str">
            <v>A5C</v>
          </cell>
          <cell r="C2441" t="str">
            <v>P</v>
          </cell>
          <cell r="D2441" t="str">
            <v>23188</v>
          </cell>
          <cell r="E2441" t="str">
            <v>E SWG</v>
          </cell>
          <cell r="F2441">
            <v>2</v>
          </cell>
          <cell r="G2441" t="str">
            <v>CB162108080T0H</v>
          </cell>
          <cell r="H2441">
            <v>0.75</v>
          </cell>
          <cell r="I2441">
            <v>0.5</v>
          </cell>
          <cell r="J2441">
            <v>1</v>
          </cell>
          <cell r="K2441">
            <v>1</v>
          </cell>
        </row>
        <row r="2442">
          <cell r="A2442" t="str">
            <v>M2</v>
          </cell>
          <cell r="B2442" t="str">
            <v>A5C</v>
          </cell>
          <cell r="C2442" t="str">
            <v>N</v>
          </cell>
          <cell r="D2442" t="str">
            <v>23632</v>
          </cell>
          <cell r="E2442" t="str">
            <v>NPL</v>
          </cell>
          <cell r="F2442">
            <v>2</v>
          </cell>
          <cell r="G2442" t="str">
            <v>CB132108000TVR</v>
          </cell>
          <cell r="H2442">
            <v>0.75</v>
          </cell>
          <cell r="I2442" t="str">
            <v>75mm</v>
          </cell>
          <cell r="J2442">
            <v>1</v>
          </cell>
          <cell r="K2442">
            <v>1</v>
          </cell>
        </row>
        <row r="2443">
          <cell r="A2443" t="str">
            <v>M2</v>
          </cell>
          <cell r="B2443" t="str">
            <v>A5C</v>
          </cell>
          <cell r="C2443" t="str">
            <v>N</v>
          </cell>
          <cell r="D2443" t="str">
            <v>23637</v>
          </cell>
          <cell r="E2443" t="str">
            <v>NPL</v>
          </cell>
          <cell r="F2443">
            <v>2</v>
          </cell>
          <cell r="G2443" t="str">
            <v>CB132108000TVR</v>
          </cell>
          <cell r="H2443">
            <v>0.75</v>
          </cell>
          <cell r="I2443" t="str">
            <v>75mm</v>
          </cell>
          <cell r="J2443">
            <v>1</v>
          </cell>
          <cell r="K2443">
            <v>1</v>
          </cell>
        </row>
        <row r="2444">
          <cell r="A2444" t="str">
            <v>M2</v>
          </cell>
          <cell r="B2444" t="str">
            <v>A5C</v>
          </cell>
          <cell r="C2444" t="str">
            <v>N</v>
          </cell>
          <cell r="D2444" t="str">
            <v>23640</v>
          </cell>
          <cell r="E2444" t="str">
            <v>NPL</v>
          </cell>
          <cell r="F2444">
            <v>2</v>
          </cell>
          <cell r="G2444" t="str">
            <v>CB132108000TVR</v>
          </cell>
          <cell r="H2444">
            <v>0.75</v>
          </cell>
          <cell r="I2444" t="str">
            <v>75mm</v>
          </cell>
          <cell r="J2444">
            <v>1</v>
          </cell>
          <cell r="K2444">
            <v>1</v>
          </cell>
        </row>
        <row r="2445">
          <cell r="A2445" t="str">
            <v>M2</v>
          </cell>
          <cell r="B2445" t="str">
            <v>A5C</v>
          </cell>
          <cell r="C2445" t="str">
            <v>P</v>
          </cell>
          <cell r="D2445" t="str">
            <v>23121</v>
          </cell>
          <cell r="E2445" t="str">
            <v>NPL</v>
          </cell>
          <cell r="F2445">
            <v>2</v>
          </cell>
          <cell r="G2445" t="str">
            <v>CB132108000TVR</v>
          </cell>
          <cell r="H2445">
            <v>0.75</v>
          </cell>
          <cell r="I2445" t="str">
            <v>75mm</v>
          </cell>
          <cell r="J2445">
            <v>2</v>
          </cell>
          <cell r="K2445">
            <v>2</v>
          </cell>
        </row>
        <row r="2446">
          <cell r="A2446" t="str">
            <v>M2</v>
          </cell>
          <cell r="B2446" t="str">
            <v>A5C</v>
          </cell>
          <cell r="C2446" t="str">
            <v>P</v>
          </cell>
          <cell r="D2446" t="str">
            <v>23181</v>
          </cell>
          <cell r="E2446" t="str">
            <v>NPL</v>
          </cell>
          <cell r="F2446">
            <v>2</v>
          </cell>
          <cell r="G2446" t="str">
            <v>CB132108000TVR</v>
          </cell>
          <cell r="H2446">
            <v>0.75</v>
          </cell>
          <cell r="I2446" t="str">
            <v>75mm</v>
          </cell>
          <cell r="J2446">
            <v>1</v>
          </cell>
          <cell r="K2446">
            <v>1</v>
          </cell>
        </row>
        <row r="2447">
          <cell r="A2447" t="str">
            <v>M2</v>
          </cell>
          <cell r="B2447" t="str">
            <v>A5C</v>
          </cell>
          <cell r="C2447" t="str">
            <v>P</v>
          </cell>
          <cell r="D2447" t="str">
            <v>23214</v>
          </cell>
          <cell r="E2447" t="str">
            <v>NPL</v>
          </cell>
          <cell r="F2447">
            <v>2</v>
          </cell>
          <cell r="G2447" t="str">
            <v>CB132308000TVR</v>
          </cell>
          <cell r="H2447">
            <v>0.75</v>
          </cell>
          <cell r="I2447" t="str">
            <v>75mm</v>
          </cell>
          <cell r="J2447">
            <v>1</v>
          </cell>
          <cell r="K2447">
            <v>1</v>
          </cell>
        </row>
        <row r="2448">
          <cell r="A2448" t="str">
            <v>M2</v>
          </cell>
          <cell r="B2448" t="str">
            <v>A5C</v>
          </cell>
          <cell r="C2448" t="str">
            <v>TRIM</v>
          </cell>
          <cell r="D2448" t="str">
            <v>V-2315</v>
          </cell>
          <cell r="E2448" t="str">
            <v>NPL</v>
          </cell>
          <cell r="F2448">
            <v>2</v>
          </cell>
          <cell r="G2448" t="str">
            <v>CB132108000TVR</v>
          </cell>
          <cell r="H2448">
            <v>0.75</v>
          </cell>
          <cell r="I2448" t="str">
            <v>75mm</v>
          </cell>
          <cell r="J2448">
            <v>2</v>
          </cell>
          <cell r="K2448">
            <v>2</v>
          </cell>
        </row>
        <row r="2449">
          <cell r="A2449" t="str">
            <v>M2</v>
          </cell>
          <cell r="B2449" t="str">
            <v>A5C</v>
          </cell>
          <cell r="C2449" t="str">
            <v>TRIM</v>
          </cell>
          <cell r="D2449" t="str">
            <v>V-2318</v>
          </cell>
          <cell r="E2449" t="str">
            <v>NPL</v>
          </cell>
          <cell r="F2449">
            <v>2</v>
          </cell>
          <cell r="G2449" t="str">
            <v>CB132108000TVR</v>
          </cell>
          <cell r="H2449">
            <v>0.75</v>
          </cell>
          <cell r="I2449" t="str">
            <v>75mm</v>
          </cell>
          <cell r="J2449">
            <v>2</v>
          </cell>
          <cell r="K2449">
            <v>2</v>
          </cell>
        </row>
        <row r="2450">
          <cell r="A2450" t="str">
            <v>M2</v>
          </cell>
          <cell r="B2450" t="str">
            <v>A5C</v>
          </cell>
          <cell r="C2450" t="str">
            <v>TRIM</v>
          </cell>
          <cell r="D2450" t="str">
            <v>V-2319</v>
          </cell>
          <cell r="E2450" t="str">
            <v>NPL</v>
          </cell>
          <cell r="F2450">
            <v>2</v>
          </cell>
          <cell r="G2450" t="str">
            <v>CB132108000TVR</v>
          </cell>
          <cell r="H2450">
            <v>0.75</v>
          </cell>
          <cell r="I2450" t="str">
            <v>75mm</v>
          </cell>
          <cell r="J2450">
            <v>2</v>
          </cell>
          <cell r="K2450">
            <v>2</v>
          </cell>
        </row>
        <row r="2451">
          <cell r="A2451" t="str">
            <v>M2</v>
          </cell>
          <cell r="B2451" t="str">
            <v>A5C</v>
          </cell>
          <cell r="C2451" t="str">
            <v>TRIM</v>
          </cell>
          <cell r="D2451" t="str">
            <v>V-2320</v>
          </cell>
          <cell r="E2451" t="str">
            <v>NPL</v>
          </cell>
          <cell r="F2451">
            <v>2</v>
          </cell>
          <cell r="G2451" t="str">
            <v>CB132108000TVR</v>
          </cell>
          <cell r="H2451">
            <v>0.75</v>
          </cell>
          <cell r="I2451" t="str">
            <v>75mm</v>
          </cell>
          <cell r="J2451">
            <v>2</v>
          </cell>
          <cell r="K2451">
            <v>2</v>
          </cell>
        </row>
        <row r="2452">
          <cell r="A2452" t="str">
            <v>M2</v>
          </cell>
          <cell r="B2452" t="str">
            <v>A5C</v>
          </cell>
          <cell r="C2452" t="str">
            <v>TRIM</v>
          </cell>
          <cell r="D2452" t="str">
            <v>V-2316</v>
          </cell>
          <cell r="E2452" t="str">
            <v>NPL</v>
          </cell>
          <cell r="F2452">
            <v>2</v>
          </cell>
          <cell r="G2452" t="str">
            <v>CB132108000TVR</v>
          </cell>
          <cell r="H2452">
            <v>0.75</v>
          </cell>
          <cell r="I2452" t="str">
            <v>75mm</v>
          </cell>
          <cell r="J2452">
            <v>2</v>
          </cell>
          <cell r="K2452">
            <v>2</v>
          </cell>
        </row>
        <row r="2453">
          <cell r="A2453" t="str">
            <v>M2</v>
          </cell>
          <cell r="B2453" t="str">
            <v>A5C</v>
          </cell>
          <cell r="C2453" t="str">
            <v>TRIM</v>
          </cell>
          <cell r="D2453" t="str">
            <v>V-2317</v>
          </cell>
          <cell r="E2453" t="str">
            <v>NPL</v>
          </cell>
          <cell r="F2453">
            <v>2</v>
          </cell>
          <cell r="G2453" t="str">
            <v>CB132108000TVR</v>
          </cell>
          <cell r="H2453">
            <v>0.75</v>
          </cell>
          <cell r="I2453" t="str">
            <v>75mm</v>
          </cell>
          <cell r="J2453">
            <v>2</v>
          </cell>
          <cell r="K2453">
            <v>2</v>
          </cell>
        </row>
        <row r="2454">
          <cell r="A2454" t="str">
            <v>M2</v>
          </cell>
          <cell r="B2454" t="str">
            <v>A5C</v>
          </cell>
          <cell r="C2454" t="str">
            <v>TRIM</v>
          </cell>
          <cell r="D2454" t="str">
            <v>V-2323</v>
          </cell>
          <cell r="E2454" t="str">
            <v>NPL</v>
          </cell>
          <cell r="F2454">
            <v>2</v>
          </cell>
          <cell r="G2454" t="str">
            <v>CB132108000TVR</v>
          </cell>
          <cell r="H2454">
            <v>0.75</v>
          </cell>
          <cell r="I2454" t="str">
            <v>75mm</v>
          </cell>
          <cell r="J2454">
            <v>2</v>
          </cell>
          <cell r="K2454">
            <v>2</v>
          </cell>
        </row>
        <row r="2455">
          <cell r="A2455" t="str">
            <v>M2</v>
          </cell>
          <cell r="B2455" t="str">
            <v>A5C</v>
          </cell>
          <cell r="C2455" t="str">
            <v>TRIM</v>
          </cell>
          <cell r="D2455" t="str">
            <v>V-2321</v>
          </cell>
          <cell r="E2455" t="str">
            <v>NPL</v>
          </cell>
          <cell r="F2455">
            <v>2</v>
          </cell>
          <cell r="G2455" t="str">
            <v>CB132108000TVR</v>
          </cell>
          <cell r="H2455">
            <v>0.75</v>
          </cell>
          <cell r="I2455" t="str">
            <v>75mm</v>
          </cell>
          <cell r="J2455">
            <v>2</v>
          </cell>
          <cell r="K2455">
            <v>2</v>
          </cell>
        </row>
        <row r="2456">
          <cell r="A2456" t="str">
            <v>M2</v>
          </cell>
          <cell r="B2456" t="str">
            <v>A5C</v>
          </cell>
          <cell r="C2456" t="str">
            <v>TRIM</v>
          </cell>
          <cell r="D2456" t="str">
            <v>V-2330</v>
          </cell>
          <cell r="E2456" t="str">
            <v>NPL</v>
          </cell>
          <cell r="F2456">
            <v>2</v>
          </cell>
          <cell r="G2456" t="str">
            <v>CB132108000TVR</v>
          </cell>
          <cell r="H2456">
            <v>0.75</v>
          </cell>
          <cell r="I2456" t="str">
            <v>75mm</v>
          </cell>
          <cell r="J2456">
            <v>2</v>
          </cell>
          <cell r="K2456">
            <v>2</v>
          </cell>
        </row>
        <row r="2457">
          <cell r="A2457" t="str">
            <v>M2</v>
          </cell>
          <cell r="B2457" t="str">
            <v>A5C</v>
          </cell>
          <cell r="C2457" t="str">
            <v>TRIM</v>
          </cell>
          <cell r="D2457" t="str">
            <v>V-2324</v>
          </cell>
          <cell r="E2457" t="str">
            <v>NPL</v>
          </cell>
          <cell r="F2457">
            <v>2</v>
          </cell>
          <cell r="G2457" t="str">
            <v>CB132108000TVR</v>
          </cell>
          <cell r="H2457">
            <v>0.75</v>
          </cell>
          <cell r="I2457" t="str">
            <v>75mm</v>
          </cell>
          <cell r="J2457">
            <v>2</v>
          </cell>
          <cell r="K2457">
            <v>2</v>
          </cell>
        </row>
        <row r="2458">
          <cell r="A2458" t="str">
            <v>M2</v>
          </cell>
          <cell r="B2458" t="str">
            <v>A5C</v>
          </cell>
          <cell r="C2458" t="str">
            <v>TRIM</v>
          </cell>
          <cell r="D2458" t="str">
            <v>V-2331</v>
          </cell>
          <cell r="E2458" t="str">
            <v>NPL</v>
          </cell>
          <cell r="F2458">
            <v>2</v>
          </cell>
          <cell r="G2458" t="str">
            <v>CB132108000TVR</v>
          </cell>
          <cell r="H2458">
            <v>0.75</v>
          </cell>
          <cell r="I2458" t="str">
            <v>75mm</v>
          </cell>
          <cell r="J2458">
            <v>2</v>
          </cell>
          <cell r="K2458">
            <v>2</v>
          </cell>
        </row>
        <row r="2459">
          <cell r="A2459" t="str">
            <v>M2</v>
          </cell>
          <cell r="B2459" t="str">
            <v>A5C</v>
          </cell>
          <cell r="C2459" t="str">
            <v>TRIM</v>
          </cell>
          <cell r="D2459" t="str">
            <v>V-2332</v>
          </cell>
          <cell r="E2459" t="str">
            <v>NPL</v>
          </cell>
          <cell r="F2459">
            <v>2</v>
          </cell>
          <cell r="G2459" t="str">
            <v>CB132108000TVR</v>
          </cell>
          <cell r="H2459">
            <v>0.75</v>
          </cell>
          <cell r="I2459" t="str">
            <v>75mm</v>
          </cell>
          <cell r="J2459">
            <v>2</v>
          </cell>
          <cell r="K2459">
            <v>2</v>
          </cell>
        </row>
        <row r="2460">
          <cell r="A2460" t="str">
            <v>M2</v>
          </cell>
          <cell r="B2460" t="str">
            <v>A5C</v>
          </cell>
          <cell r="C2460" t="str">
            <v>TRIM</v>
          </cell>
          <cell r="D2460" t="str">
            <v>V-2333</v>
          </cell>
          <cell r="E2460" t="str">
            <v>NPL</v>
          </cell>
          <cell r="F2460">
            <v>2</v>
          </cell>
          <cell r="G2460" t="str">
            <v>CB132108000TVR</v>
          </cell>
          <cell r="H2460">
            <v>0.75</v>
          </cell>
          <cell r="I2460" t="str">
            <v>75mm</v>
          </cell>
          <cell r="J2460">
            <v>2</v>
          </cell>
          <cell r="K2460">
            <v>2</v>
          </cell>
        </row>
        <row r="2461">
          <cell r="A2461" t="str">
            <v>M2</v>
          </cell>
          <cell r="B2461" t="str">
            <v>A5C</v>
          </cell>
          <cell r="C2461" t="str">
            <v>N</v>
          </cell>
          <cell r="D2461" t="str">
            <v>23613</v>
          </cell>
          <cell r="E2461" t="str">
            <v>NPL</v>
          </cell>
          <cell r="F2461">
            <v>2</v>
          </cell>
          <cell r="G2461" t="str">
            <v>CB132108000TVR</v>
          </cell>
          <cell r="H2461">
            <v>0.75</v>
          </cell>
          <cell r="I2461" t="str">
            <v>75mm</v>
          </cell>
          <cell r="J2461">
            <v>1</v>
          </cell>
          <cell r="K2461">
            <v>1</v>
          </cell>
        </row>
        <row r="2462">
          <cell r="A2462" t="str">
            <v>M2</v>
          </cell>
          <cell r="B2462" t="str">
            <v>A5C</v>
          </cell>
          <cell r="C2462" t="str">
            <v>N</v>
          </cell>
          <cell r="D2462" t="str">
            <v>23621</v>
          </cell>
          <cell r="E2462" t="str">
            <v>NPL</v>
          </cell>
          <cell r="F2462">
            <v>2</v>
          </cell>
          <cell r="G2462" t="str">
            <v>CB132108000TVR</v>
          </cell>
          <cell r="H2462">
            <v>0.75</v>
          </cell>
          <cell r="I2462" t="str">
            <v>75mm</v>
          </cell>
          <cell r="J2462">
            <v>1</v>
          </cell>
          <cell r="K2462">
            <v>1</v>
          </cell>
        </row>
        <row r="2463">
          <cell r="A2463" t="str">
            <v>M2</v>
          </cell>
          <cell r="B2463" t="str">
            <v>A5C</v>
          </cell>
          <cell r="C2463" t="str">
            <v>N</v>
          </cell>
          <cell r="D2463" t="str">
            <v>23636</v>
          </cell>
          <cell r="E2463" t="str">
            <v>NPL</v>
          </cell>
          <cell r="F2463">
            <v>2</v>
          </cell>
          <cell r="G2463" t="str">
            <v>CB132108000TVR</v>
          </cell>
          <cell r="H2463">
            <v>0.75</v>
          </cell>
          <cell r="I2463" t="str">
            <v>75mm</v>
          </cell>
          <cell r="J2463">
            <v>1</v>
          </cell>
          <cell r="K2463">
            <v>1</v>
          </cell>
        </row>
        <row r="2464">
          <cell r="A2464" t="str">
            <v>M2</v>
          </cell>
          <cell r="B2464" t="str">
            <v>A5C</v>
          </cell>
          <cell r="C2464" t="str">
            <v>N</v>
          </cell>
          <cell r="D2464" t="str">
            <v>23638</v>
          </cell>
          <cell r="E2464" t="str">
            <v>NPL</v>
          </cell>
          <cell r="F2464">
            <v>2</v>
          </cell>
          <cell r="G2464" t="str">
            <v>CB132108000TVR</v>
          </cell>
          <cell r="H2464">
            <v>0.75</v>
          </cell>
          <cell r="I2464" t="str">
            <v>75mm</v>
          </cell>
          <cell r="J2464">
            <v>1</v>
          </cell>
          <cell r="K2464">
            <v>1</v>
          </cell>
        </row>
        <row r="2465">
          <cell r="A2465" t="str">
            <v>M2</v>
          </cell>
          <cell r="B2465" t="str">
            <v>A5C</v>
          </cell>
          <cell r="C2465" t="str">
            <v>N</v>
          </cell>
          <cell r="D2465" t="str">
            <v>23639</v>
          </cell>
          <cell r="E2465" t="str">
            <v>NPL</v>
          </cell>
          <cell r="F2465">
            <v>2</v>
          </cell>
          <cell r="G2465" t="str">
            <v>CB132108000TVR</v>
          </cell>
          <cell r="H2465">
            <v>0.75</v>
          </cell>
          <cell r="I2465" t="str">
            <v>75mm</v>
          </cell>
          <cell r="J2465">
            <v>1</v>
          </cell>
          <cell r="K2465">
            <v>1</v>
          </cell>
        </row>
        <row r="2466">
          <cell r="A2466" t="str">
            <v>M2</v>
          </cell>
          <cell r="B2466" t="str">
            <v>A5C</v>
          </cell>
          <cell r="C2466" t="str">
            <v>N</v>
          </cell>
          <cell r="D2466" t="str">
            <v>24613</v>
          </cell>
          <cell r="E2466" t="str">
            <v>NPL</v>
          </cell>
          <cell r="F2466">
            <v>2</v>
          </cell>
          <cell r="G2466" t="str">
            <v>CB132308000TVR</v>
          </cell>
          <cell r="H2466">
            <v>0.75</v>
          </cell>
          <cell r="I2466" t="str">
            <v>75mm</v>
          </cell>
          <cell r="J2466">
            <v>3</v>
          </cell>
          <cell r="K2466">
            <v>3</v>
          </cell>
        </row>
        <row r="2467">
          <cell r="A2467" t="str">
            <v>M2</v>
          </cell>
          <cell r="B2467" t="str">
            <v>A5C</v>
          </cell>
          <cell r="C2467" t="str">
            <v>P</v>
          </cell>
          <cell r="D2467" t="str">
            <v>23082</v>
          </cell>
          <cell r="E2467" t="str">
            <v>NPL</v>
          </cell>
          <cell r="F2467">
            <v>2</v>
          </cell>
          <cell r="G2467" t="str">
            <v>CB132108000TVR</v>
          </cell>
          <cell r="H2467">
            <v>0.75</v>
          </cell>
          <cell r="I2467" t="str">
            <v>75mm</v>
          </cell>
          <cell r="J2467">
            <v>2</v>
          </cell>
          <cell r="K2467">
            <v>2</v>
          </cell>
        </row>
        <row r="2468">
          <cell r="A2468" t="str">
            <v>M2</v>
          </cell>
          <cell r="B2468" t="str">
            <v>A5C</v>
          </cell>
          <cell r="C2468" t="str">
            <v>P</v>
          </cell>
          <cell r="D2468" t="str">
            <v>23212</v>
          </cell>
          <cell r="E2468" t="str">
            <v>NPL</v>
          </cell>
          <cell r="F2468">
            <v>2</v>
          </cell>
          <cell r="G2468" t="str">
            <v>CB132308000TVR</v>
          </cell>
          <cell r="H2468">
            <v>0.75</v>
          </cell>
          <cell r="I2468" t="str">
            <v>75mm</v>
          </cell>
          <cell r="J2468">
            <v>1</v>
          </cell>
          <cell r="K2468">
            <v>1</v>
          </cell>
        </row>
        <row r="2469">
          <cell r="A2469" t="str">
            <v>M2</v>
          </cell>
          <cell r="B2469" t="str">
            <v>A5C</v>
          </cell>
          <cell r="C2469" t="str">
            <v>P</v>
          </cell>
          <cell r="D2469" t="str">
            <v>24006</v>
          </cell>
          <cell r="E2469" t="str">
            <v>NPL</v>
          </cell>
          <cell r="F2469">
            <v>2</v>
          </cell>
          <cell r="G2469" t="str">
            <v>CB132308000TVR</v>
          </cell>
          <cell r="H2469">
            <v>0.75</v>
          </cell>
          <cell r="I2469" t="str">
            <v>75mm</v>
          </cell>
          <cell r="J2469">
            <v>1</v>
          </cell>
          <cell r="K2469">
            <v>1</v>
          </cell>
        </row>
        <row r="2470">
          <cell r="A2470" t="str">
            <v>M2</v>
          </cell>
          <cell r="B2470" t="str">
            <v>A5C</v>
          </cell>
          <cell r="C2470" t="str">
            <v>TRIM</v>
          </cell>
          <cell r="D2470" t="str">
            <v>V-2301</v>
          </cell>
          <cell r="E2470" t="str">
            <v>NPL</v>
          </cell>
          <cell r="F2470">
            <v>2</v>
          </cell>
          <cell r="G2470" t="str">
            <v>CB132108000TVR</v>
          </cell>
          <cell r="H2470">
            <v>0.75</v>
          </cell>
          <cell r="I2470" t="str">
            <v>75mm</v>
          </cell>
          <cell r="J2470">
            <v>2</v>
          </cell>
          <cell r="K2470">
            <v>2</v>
          </cell>
        </row>
        <row r="2471">
          <cell r="A2471" t="str">
            <v>M2</v>
          </cell>
          <cell r="B2471" t="str">
            <v>A5C</v>
          </cell>
          <cell r="C2471" t="str">
            <v>TRIM</v>
          </cell>
          <cell r="D2471" t="str">
            <v>V-2329</v>
          </cell>
          <cell r="E2471" t="str">
            <v>NPL</v>
          </cell>
          <cell r="F2471">
            <v>2</v>
          </cell>
          <cell r="G2471" t="str">
            <v>CB132108000TVR</v>
          </cell>
          <cell r="H2471">
            <v>0.75</v>
          </cell>
          <cell r="I2471" t="str">
            <v>75mm</v>
          </cell>
          <cell r="J2471">
            <v>2</v>
          </cell>
          <cell r="K2471">
            <v>2</v>
          </cell>
        </row>
        <row r="2472">
          <cell r="A2472" t="str">
            <v>M2</v>
          </cell>
          <cell r="B2472" t="str">
            <v>A5C</v>
          </cell>
          <cell r="C2472" t="str">
            <v>P</v>
          </cell>
          <cell r="D2472" t="str">
            <v>23094</v>
          </cell>
          <cell r="E2472" t="str">
            <v>R TEE</v>
          </cell>
          <cell r="F2472">
            <v>2</v>
          </cell>
          <cell r="G2472" t="str">
            <v>CB400400000T0H</v>
          </cell>
          <cell r="H2472">
            <v>0.75</v>
          </cell>
          <cell r="I2472">
            <v>0.5</v>
          </cell>
          <cell r="J2472">
            <v>2</v>
          </cell>
          <cell r="K2472">
            <v>2</v>
          </cell>
        </row>
        <row r="2473">
          <cell r="A2473" t="str">
            <v>M2</v>
          </cell>
          <cell r="B2473" t="str">
            <v>A5C</v>
          </cell>
          <cell r="C2473" t="str">
            <v>P</v>
          </cell>
          <cell r="D2473" t="str">
            <v>23113</v>
          </cell>
          <cell r="E2473" t="str">
            <v>R TEE</v>
          </cell>
          <cell r="F2473">
            <v>2</v>
          </cell>
          <cell r="G2473" t="str">
            <v>CB400400000T0H</v>
          </cell>
          <cell r="H2473">
            <v>0.75</v>
          </cell>
          <cell r="I2473">
            <v>0.5</v>
          </cell>
          <cell r="J2473">
            <v>2</v>
          </cell>
          <cell r="K2473">
            <v>2</v>
          </cell>
        </row>
        <row r="2474">
          <cell r="A2474" t="str">
            <v>M2</v>
          </cell>
          <cell r="B2474" t="str">
            <v>A5C</v>
          </cell>
          <cell r="C2474" t="str">
            <v>N</v>
          </cell>
          <cell r="D2474" t="str">
            <v>23613</v>
          </cell>
          <cell r="E2474" t="str">
            <v>TEE</v>
          </cell>
          <cell r="F2474">
            <v>2</v>
          </cell>
          <cell r="G2474" t="str">
            <v>CB400300000T00</v>
          </cell>
          <cell r="H2474">
            <v>0.75</v>
          </cell>
          <cell r="I2474" t="str">
            <v>--</v>
          </cell>
          <cell r="J2474">
            <v>3</v>
          </cell>
          <cell r="K2474">
            <v>3</v>
          </cell>
        </row>
        <row r="2475">
          <cell r="A2475" t="str">
            <v>M2</v>
          </cell>
          <cell r="B2475" t="str">
            <v>A5C</v>
          </cell>
          <cell r="C2475" t="str">
            <v>N</v>
          </cell>
          <cell r="D2475" t="str">
            <v>23619</v>
          </cell>
          <cell r="E2475" t="str">
            <v>TEE</v>
          </cell>
          <cell r="F2475">
            <v>2</v>
          </cell>
          <cell r="G2475" t="str">
            <v>CB400300000T00</v>
          </cell>
          <cell r="H2475">
            <v>0.75</v>
          </cell>
          <cell r="I2475" t="str">
            <v>--</v>
          </cell>
          <cell r="J2475">
            <v>4</v>
          </cell>
          <cell r="K2475">
            <v>4</v>
          </cell>
        </row>
        <row r="2476">
          <cell r="A2476" t="str">
            <v>M2</v>
          </cell>
          <cell r="B2476" t="str">
            <v>A5C</v>
          </cell>
          <cell r="C2476" t="str">
            <v>N</v>
          </cell>
          <cell r="D2476" t="str">
            <v>23620</v>
          </cell>
          <cell r="E2476" t="str">
            <v>TEE</v>
          </cell>
          <cell r="F2476">
            <v>2</v>
          </cell>
          <cell r="G2476" t="str">
            <v>CB400300000T00</v>
          </cell>
          <cell r="H2476">
            <v>0.75</v>
          </cell>
          <cell r="I2476" t="str">
            <v>--</v>
          </cell>
          <cell r="J2476">
            <v>4</v>
          </cell>
          <cell r="K2476">
            <v>4</v>
          </cell>
        </row>
        <row r="2477">
          <cell r="A2477" t="str">
            <v>M2</v>
          </cell>
          <cell r="B2477" t="str">
            <v>A5C</v>
          </cell>
          <cell r="C2477" t="str">
            <v>N</v>
          </cell>
          <cell r="D2477" t="str">
            <v>23642</v>
          </cell>
          <cell r="E2477" t="str">
            <v>TEE</v>
          </cell>
          <cell r="F2477">
            <v>2</v>
          </cell>
          <cell r="G2477" t="str">
            <v>CB400300000T00</v>
          </cell>
          <cell r="H2477">
            <v>0.75</v>
          </cell>
          <cell r="I2477" t="str">
            <v>--</v>
          </cell>
          <cell r="J2477">
            <v>4</v>
          </cell>
          <cell r="K2477">
            <v>4</v>
          </cell>
        </row>
        <row r="2478">
          <cell r="A2478" t="str">
            <v>M2</v>
          </cell>
          <cell r="B2478" t="str">
            <v>A5C</v>
          </cell>
          <cell r="C2478" t="str">
            <v>N</v>
          </cell>
          <cell r="D2478" t="str">
            <v>23646</v>
          </cell>
          <cell r="E2478" t="str">
            <v>TEE</v>
          </cell>
          <cell r="F2478">
            <v>2</v>
          </cell>
          <cell r="G2478" t="str">
            <v>CB400300000T00</v>
          </cell>
          <cell r="H2478">
            <v>0.75</v>
          </cell>
          <cell r="I2478" t="str">
            <v>--</v>
          </cell>
          <cell r="J2478">
            <v>4</v>
          </cell>
          <cell r="K2478">
            <v>4</v>
          </cell>
        </row>
        <row r="2479">
          <cell r="A2479" t="str">
            <v>M2</v>
          </cell>
          <cell r="B2479" t="str">
            <v>A5C</v>
          </cell>
          <cell r="C2479" t="str">
            <v>N</v>
          </cell>
          <cell r="D2479" t="str">
            <v>24611</v>
          </cell>
          <cell r="E2479" t="str">
            <v>TEE</v>
          </cell>
          <cell r="F2479">
            <v>2</v>
          </cell>
          <cell r="G2479" t="str">
            <v>CB400300000T00</v>
          </cell>
          <cell r="H2479">
            <v>0.75</v>
          </cell>
          <cell r="I2479" t="str">
            <v>--</v>
          </cell>
          <cell r="J2479">
            <v>3</v>
          </cell>
          <cell r="K2479">
            <v>3</v>
          </cell>
        </row>
        <row r="2480">
          <cell r="A2480" t="str">
            <v>M2</v>
          </cell>
          <cell r="B2480" t="str">
            <v>A5C</v>
          </cell>
          <cell r="C2480" t="str">
            <v>N</v>
          </cell>
          <cell r="D2480" t="str">
            <v>24612</v>
          </cell>
          <cell r="E2480" t="str">
            <v>TEE</v>
          </cell>
          <cell r="F2480">
            <v>2</v>
          </cell>
          <cell r="G2480" t="str">
            <v>CB400300000T00</v>
          </cell>
          <cell r="H2480">
            <v>0.75</v>
          </cell>
          <cell r="I2480" t="str">
            <v>--</v>
          </cell>
          <cell r="J2480">
            <v>4</v>
          </cell>
          <cell r="K2480">
            <v>4</v>
          </cell>
        </row>
        <row r="2481">
          <cell r="A2481" t="str">
            <v>M2</v>
          </cell>
          <cell r="B2481" t="str">
            <v>A5C</v>
          </cell>
          <cell r="C2481" t="str">
            <v>N</v>
          </cell>
          <cell r="D2481" t="str">
            <v>24613</v>
          </cell>
          <cell r="E2481" t="str">
            <v>TEE</v>
          </cell>
          <cell r="F2481">
            <v>2</v>
          </cell>
          <cell r="G2481" t="str">
            <v>CB400300000T00</v>
          </cell>
          <cell r="H2481">
            <v>0.75</v>
          </cell>
          <cell r="I2481" t="str">
            <v>--</v>
          </cell>
          <cell r="J2481">
            <v>2</v>
          </cell>
          <cell r="K2481">
            <v>2</v>
          </cell>
        </row>
        <row r="2482">
          <cell r="A2482" t="str">
            <v>M2</v>
          </cell>
          <cell r="B2482" t="str">
            <v>A5C</v>
          </cell>
          <cell r="C2482" t="str">
            <v>N</v>
          </cell>
          <cell r="D2482" t="str">
            <v>24614</v>
          </cell>
          <cell r="E2482" t="str">
            <v>TEE</v>
          </cell>
          <cell r="F2482">
            <v>2</v>
          </cell>
          <cell r="G2482" t="str">
            <v>CB400300000T00</v>
          </cell>
          <cell r="H2482">
            <v>0.75</v>
          </cell>
          <cell r="I2482" t="str">
            <v>--</v>
          </cell>
          <cell r="J2482">
            <v>4</v>
          </cell>
          <cell r="K2482">
            <v>4</v>
          </cell>
        </row>
        <row r="2483">
          <cell r="A2483" t="str">
            <v>M2</v>
          </cell>
          <cell r="B2483" t="str">
            <v>A5C</v>
          </cell>
          <cell r="C2483" t="str">
            <v>P</v>
          </cell>
          <cell r="D2483" t="str">
            <v>23081</v>
          </cell>
          <cell r="E2483" t="str">
            <v>TEE</v>
          </cell>
          <cell r="F2483">
            <v>2</v>
          </cell>
          <cell r="G2483" t="str">
            <v>CB400300000T00</v>
          </cell>
          <cell r="H2483">
            <v>0.75</v>
          </cell>
          <cell r="I2483" t="str">
            <v>--</v>
          </cell>
          <cell r="J2483">
            <v>3</v>
          </cell>
          <cell r="K2483">
            <v>3</v>
          </cell>
        </row>
        <row r="2484">
          <cell r="A2484" t="str">
            <v>M2</v>
          </cell>
          <cell r="B2484" t="str">
            <v>A5C</v>
          </cell>
          <cell r="C2484" t="str">
            <v>P</v>
          </cell>
          <cell r="D2484" t="str">
            <v>23094</v>
          </cell>
          <cell r="E2484" t="str">
            <v>TEE</v>
          </cell>
          <cell r="F2484">
            <v>2</v>
          </cell>
          <cell r="G2484" t="str">
            <v>CB400300000T00</v>
          </cell>
          <cell r="H2484">
            <v>0.75</v>
          </cell>
          <cell r="I2484" t="str">
            <v>--</v>
          </cell>
          <cell r="J2484">
            <v>2</v>
          </cell>
          <cell r="K2484">
            <v>2</v>
          </cell>
        </row>
        <row r="2485">
          <cell r="A2485" t="str">
            <v>M2</v>
          </cell>
          <cell r="B2485" t="str">
            <v>A5C</v>
          </cell>
          <cell r="C2485" t="str">
            <v>P</v>
          </cell>
          <cell r="D2485" t="str">
            <v>23094</v>
          </cell>
          <cell r="E2485" t="str">
            <v>TEE</v>
          </cell>
          <cell r="F2485">
            <v>2</v>
          </cell>
          <cell r="G2485" t="str">
            <v>CB400300000T00</v>
          </cell>
          <cell r="H2485">
            <v>0.75</v>
          </cell>
          <cell r="I2485" t="str">
            <v>--</v>
          </cell>
          <cell r="J2485">
            <v>8</v>
          </cell>
          <cell r="K2485">
            <v>8</v>
          </cell>
        </row>
        <row r="2486">
          <cell r="A2486" t="str">
            <v>M2</v>
          </cell>
          <cell r="B2486" t="str">
            <v>A5C</v>
          </cell>
          <cell r="C2486" t="str">
            <v>P</v>
          </cell>
          <cell r="D2486" t="str">
            <v>23101</v>
          </cell>
          <cell r="E2486" t="str">
            <v>TEE</v>
          </cell>
          <cell r="F2486">
            <v>2</v>
          </cell>
          <cell r="G2486" t="str">
            <v>CB400300000T00</v>
          </cell>
          <cell r="H2486">
            <v>0.75</v>
          </cell>
          <cell r="I2486" t="str">
            <v>--</v>
          </cell>
          <cell r="J2486">
            <v>2</v>
          </cell>
          <cell r="K2486">
            <v>2</v>
          </cell>
        </row>
        <row r="2487">
          <cell r="A2487" t="str">
            <v>M2</v>
          </cell>
          <cell r="B2487" t="str">
            <v>A5C</v>
          </cell>
          <cell r="C2487" t="str">
            <v>P</v>
          </cell>
          <cell r="D2487" t="str">
            <v>23096</v>
          </cell>
          <cell r="E2487" t="str">
            <v>TEE</v>
          </cell>
          <cell r="F2487">
            <v>2</v>
          </cell>
          <cell r="G2487" t="str">
            <v>CB400300000T00</v>
          </cell>
          <cell r="H2487">
            <v>0.75</v>
          </cell>
          <cell r="I2487" t="str">
            <v>--</v>
          </cell>
          <cell r="J2487">
            <v>2</v>
          </cell>
          <cell r="K2487">
            <v>2</v>
          </cell>
        </row>
        <row r="2488">
          <cell r="A2488" t="str">
            <v>M2</v>
          </cell>
          <cell r="B2488" t="str">
            <v>A5C</v>
          </cell>
          <cell r="C2488" t="str">
            <v>P</v>
          </cell>
          <cell r="D2488" t="str">
            <v>23105</v>
          </cell>
          <cell r="E2488" t="str">
            <v>TEE</v>
          </cell>
          <cell r="F2488">
            <v>2</v>
          </cell>
          <cell r="G2488" t="str">
            <v>CB400300000T00</v>
          </cell>
          <cell r="H2488">
            <v>0.75</v>
          </cell>
          <cell r="I2488" t="str">
            <v>--</v>
          </cell>
          <cell r="J2488">
            <v>2</v>
          </cell>
          <cell r="K2488">
            <v>2</v>
          </cell>
        </row>
        <row r="2489">
          <cell r="A2489" t="str">
            <v>M2</v>
          </cell>
          <cell r="B2489" t="str">
            <v>A5C</v>
          </cell>
          <cell r="C2489" t="str">
            <v>P</v>
          </cell>
          <cell r="D2489" t="str">
            <v>23109</v>
          </cell>
          <cell r="E2489" t="str">
            <v>TEE</v>
          </cell>
          <cell r="F2489">
            <v>2</v>
          </cell>
          <cell r="G2489" t="str">
            <v>CB400300000T00</v>
          </cell>
          <cell r="H2489">
            <v>0.75</v>
          </cell>
          <cell r="I2489" t="str">
            <v>--</v>
          </cell>
          <cell r="J2489">
            <v>2</v>
          </cell>
          <cell r="K2489">
            <v>2</v>
          </cell>
        </row>
        <row r="2490">
          <cell r="A2490" t="str">
            <v>M2</v>
          </cell>
          <cell r="B2490" t="str">
            <v>A5C</v>
          </cell>
          <cell r="C2490" t="str">
            <v>P</v>
          </cell>
          <cell r="D2490" t="str">
            <v>23124</v>
          </cell>
          <cell r="E2490" t="str">
            <v>TEE</v>
          </cell>
          <cell r="F2490">
            <v>2</v>
          </cell>
          <cell r="G2490" t="str">
            <v>CB400300000T00</v>
          </cell>
          <cell r="H2490">
            <v>0.75</v>
          </cell>
          <cell r="I2490" t="str">
            <v>--</v>
          </cell>
          <cell r="J2490">
            <v>2</v>
          </cell>
          <cell r="K2490">
            <v>2</v>
          </cell>
        </row>
        <row r="2491">
          <cell r="A2491" t="str">
            <v>M2</v>
          </cell>
          <cell r="B2491" t="str">
            <v>A5C</v>
          </cell>
          <cell r="C2491" t="str">
            <v>P</v>
          </cell>
          <cell r="D2491" t="str">
            <v>23133</v>
          </cell>
          <cell r="E2491" t="str">
            <v>TEE</v>
          </cell>
          <cell r="F2491">
            <v>2</v>
          </cell>
          <cell r="G2491" t="str">
            <v>CB400300000T00</v>
          </cell>
          <cell r="H2491">
            <v>0.75</v>
          </cell>
          <cell r="I2491" t="str">
            <v>--</v>
          </cell>
          <cell r="J2491">
            <v>2</v>
          </cell>
          <cell r="K2491">
            <v>2</v>
          </cell>
        </row>
        <row r="2492">
          <cell r="A2492" t="str">
            <v>M2</v>
          </cell>
          <cell r="B2492" t="str">
            <v>A5C</v>
          </cell>
          <cell r="C2492" t="str">
            <v>P</v>
          </cell>
          <cell r="D2492" t="str">
            <v>23135</v>
          </cell>
          <cell r="E2492" t="str">
            <v>TEE</v>
          </cell>
          <cell r="F2492">
            <v>2</v>
          </cell>
          <cell r="G2492" t="str">
            <v>CB400300000T00</v>
          </cell>
          <cell r="H2492">
            <v>0.75</v>
          </cell>
          <cell r="I2492" t="str">
            <v>--</v>
          </cell>
          <cell r="J2492">
            <v>2</v>
          </cell>
          <cell r="K2492">
            <v>2</v>
          </cell>
        </row>
        <row r="2493">
          <cell r="A2493" t="str">
            <v>M2</v>
          </cell>
          <cell r="B2493" t="str">
            <v>A5C</v>
          </cell>
          <cell r="C2493" t="str">
            <v>P</v>
          </cell>
          <cell r="D2493" t="str">
            <v>23141</v>
          </cell>
          <cell r="E2493" t="str">
            <v>TEE</v>
          </cell>
          <cell r="F2493">
            <v>2</v>
          </cell>
          <cell r="G2493" t="str">
            <v>CB400300000T00</v>
          </cell>
          <cell r="H2493">
            <v>0.75</v>
          </cell>
          <cell r="I2493" t="str">
            <v>--</v>
          </cell>
          <cell r="J2493">
            <v>2</v>
          </cell>
          <cell r="K2493">
            <v>2</v>
          </cell>
        </row>
        <row r="2494">
          <cell r="A2494" t="str">
            <v>M2</v>
          </cell>
          <cell r="B2494" t="str">
            <v>A5C</v>
          </cell>
          <cell r="C2494" t="str">
            <v>P</v>
          </cell>
          <cell r="D2494" t="str">
            <v>23145</v>
          </cell>
          <cell r="E2494" t="str">
            <v>TEE</v>
          </cell>
          <cell r="F2494">
            <v>2</v>
          </cell>
          <cell r="G2494" t="str">
            <v>CB400300000T00</v>
          </cell>
          <cell r="H2494">
            <v>0.75</v>
          </cell>
          <cell r="I2494" t="str">
            <v>--</v>
          </cell>
          <cell r="J2494">
            <v>2</v>
          </cell>
          <cell r="K2494">
            <v>2</v>
          </cell>
        </row>
        <row r="2495">
          <cell r="A2495" t="str">
            <v>M2</v>
          </cell>
          <cell r="B2495" t="str">
            <v>A5C</v>
          </cell>
          <cell r="C2495" t="str">
            <v>P</v>
          </cell>
          <cell r="D2495" t="str">
            <v>23225</v>
          </cell>
          <cell r="E2495" t="str">
            <v>TEE</v>
          </cell>
          <cell r="F2495">
            <v>2</v>
          </cell>
          <cell r="G2495" t="str">
            <v>CB400300000T00</v>
          </cell>
          <cell r="H2495">
            <v>0.75</v>
          </cell>
          <cell r="I2495" t="str">
            <v>--</v>
          </cell>
          <cell r="J2495">
            <v>3</v>
          </cell>
          <cell r="K2495">
            <v>3</v>
          </cell>
        </row>
        <row r="2496">
          <cell r="A2496" t="str">
            <v>M2</v>
          </cell>
          <cell r="B2496" t="str">
            <v>A5C</v>
          </cell>
          <cell r="C2496" t="str">
            <v>P</v>
          </cell>
          <cell r="D2496" t="str">
            <v>23234</v>
          </cell>
          <cell r="E2496" t="str">
            <v>TEE</v>
          </cell>
          <cell r="F2496">
            <v>2</v>
          </cell>
          <cell r="G2496" t="str">
            <v>CB400300000T00</v>
          </cell>
          <cell r="H2496">
            <v>0.75</v>
          </cell>
          <cell r="I2496" t="str">
            <v>--</v>
          </cell>
          <cell r="J2496">
            <v>2</v>
          </cell>
          <cell r="K2496">
            <v>2</v>
          </cell>
        </row>
        <row r="2497">
          <cell r="A2497" t="str">
            <v>M2</v>
          </cell>
          <cell r="B2497" t="str">
            <v>A5C</v>
          </cell>
          <cell r="C2497" t="str">
            <v>P</v>
          </cell>
          <cell r="D2497" t="str">
            <v>23247</v>
          </cell>
          <cell r="E2497" t="str">
            <v>TEE</v>
          </cell>
          <cell r="F2497">
            <v>2</v>
          </cell>
          <cell r="G2497" t="str">
            <v>CB400300000T00</v>
          </cell>
          <cell r="H2497">
            <v>0.75</v>
          </cell>
          <cell r="I2497" t="str">
            <v>--</v>
          </cell>
          <cell r="J2497">
            <v>2</v>
          </cell>
          <cell r="K2497">
            <v>2</v>
          </cell>
        </row>
        <row r="2498">
          <cell r="A2498" t="str">
            <v>M2</v>
          </cell>
          <cell r="B2498" t="str">
            <v>A5C</v>
          </cell>
          <cell r="C2498" t="str">
            <v>N</v>
          </cell>
          <cell r="D2498" t="str">
            <v>23621</v>
          </cell>
          <cell r="E2498" t="str">
            <v>TEE</v>
          </cell>
          <cell r="F2498">
            <v>2</v>
          </cell>
          <cell r="G2498" t="str">
            <v>CB400300000T00</v>
          </cell>
          <cell r="H2498">
            <v>0.75</v>
          </cell>
          <cell r="I2498" t="str">
            <v>--</v>
          </cell>
          <cell r="J2498">
            <v>1</v>
          </cell>
          <cell r="K2498">
            <v>1</v>
          </cell>
        </row>
        <row r="2499">
          <cell r="A2499" t="str">
            <v>M2</v>
          </cell>
          <cell r="B2499" t="str">
            <v>A5C</v>
          </cell>
          <cell r="C2499" t="str">
            <v>N</v>
          </cell>
          <cell r="D2499" t="str">
            <v>23647</v>
          </cell>
          <cell r="E2499" t="str">
            <v>TEE</v>
          </cell>
          <cell r="F2499">
            <v>2</v>
          </cell>
          <cell r="G2499" t="str">
            <v>CB400300000T00</v>
          </cell>
          <cell r="H2499">
            <v>0.75</v>
          </cell>
          <cell r="I2499" t="str">
            <v>--</v>
          </cell>
          <cell r="J2499">
            <v>1</v>
          </cell>
          <cell r="K2499">
            <v>1</v>
          </cell>
        </row>
        <row r="2500">
          <cell r="A2500" t="str">
            <v>M2</v>
          </cell>
          <cell r="B2500" t="str">
            <v>A5C</v>
          </cell>
          <cell r="C2500" t="str">
            <v>P</v>
          </cell>
          <cell r="D2500" t="str">
            <v>23085</v>
          </cell>
          <cell r="E2500" t="str">
            <v>TEE</v>
          </cell>
          <cell r="F2500">
            <v>2</v>
          </cell>
          <cell r="G2500" t="str">
            <v>CB400300000T00</v>
          </cell>
          <cell r="H2500">
            <v>0.75</v>
          </cell>
          <cell r="I2500" t="str">
            <v>--</v>
          </cell>
          <cell r="J2500">
            <v>2</v>
          </cell>
          <cell r="K2500">
            <v>2</v>
          </cell>
        </row>
        <row r="2501">
          <cell r="A2501" t="str">
            <v>M2</v>
          </cell>
          <cell r="B2501" t="str">
            <v>A5C</v>
          </cell>
          <cell r="C2501" t="str">
            <v>P</v>
          </cell>
          <cell r="D2501" t="str">
            <v>23113</v>
          </cell>
          <cell r="E2501" t="str">
            <v>TEE</v>
          </cell>
          <cell r="F2501">
            <v>2</v>
          </cell>
          <cell r="G2501" t="str">
            <v>CB400300000T00</v>
          </cell>
          <cell r="H2501">
            <v>0.75</v>
          </cell>
          <cell r="I2501" t="str">
            <v>--</v>
          </cell>
          <cell r="J2501">
            <v>1</v>
          </cell>
          <cell r="K2501">
            <v>1</v>
          </cell>
        </row>
        <row r="2502">
          <cell r="A2502" t="str">
            <v>M2</v>
          </cell>
          <cell r="B2502" t="str">
            <v>A5C</v>
          </cell>
          <cell r="C2502" t="str">
            <v>P</v>
          </cell>
          <cell r="D2502" t="str">
            <v>23113</v>
          </cell>
          <cell r="E2502" t="str">
            <v>TEE</v>
          </cell>
          <cell r="F2502">
            <v>2</v>
          </cell>
          <cell r="G2502" t="str">
            <v>CB400300000T00</v>
          </cell>
          <cell r="H2502">
            <v>0.75</v>
          </cell>
          <cell r="I2502" t="str">
            <v>--</v>
          </cell>
          <cell r="J2502">
            <v>2</v>
          </cell>
          <cell r="K2502">
            <v>2</v>
          </cell>
        </row>
        <row r="2503">
          <cell r="A2503" t="str">
            <v>M2</v>
          </cell>
          <cell r="B2503" t="str">
            <v>A5C</v>
          </cell>
          <cell r="C2503" t="str">
            <v>P</v>
          </cell>
          <cell r="D2503" t="str">
            <v>23141</v>
          </cell>
          <cell r="E2503" t="str">
            <v>TEE</v>
          </cell>
          <cell r="F2503">
            <v>2</v>
          </cell>
          <cell r="G2503" t="str">
            <v>CB400300000T00</v>
          </cell>
          <cell r="H2503">
            <v>0.75</v>
          </cell>
          <cell r="I2503" t="str">
            <v>--</v>
          </cell>
          <cell r="J2503">
            <v>5</v>
          </cell>
          <cell r="K2503">
            <v>5</v>
          </cell>
        </row>
        <row r="2504">
          <cell r="A2504" t="str">
            <v>M2</v>
          </cell>
          <cell r="B2504" t="str">
            <v>A5C</v>
          </cell>
          <cell r="C2504" t="str">
            <v>P</v>
          </cell>
          <cell r="D2504" t="str">
            <v>23188</v>
          </cell>
          <cell r="E2504" t="str">
            <v>TEE</v>
          </cell>
          <cell r="F2504">
            <v>2</v>
          </cell>
          <cell r="G2504" t="str">
            <v>CB400300000T00</v>
          </cell>
          <cell r="H2504">
            <v>0.75</v>
          </cell>
          <cell r="I2504" t="str">
            <v>--</v>
          </cell>
          <cell r="J2504">
            <v>5</v>
          </cell>
          <cell r="K2504">
            <v>5</v>
          </cell>
        </row>
        <row r="2505">
          <cell r="A2505" t="str">
            <v>M2</v>
          </cell>
          <cell r="B2505" t="str">
            <v>A5C</v>
          </cell>
          <cell r="C2505" t="str">
            <v>P</v>
          </cell>
          <cell r="D2505" t="str">
            <v>23238</v>
          </cell>
          <cell r="E2505" t="str">
            <v>TEE</v>
          </cell>
          <cell r="F2505">
            <v>2</v>
          </cell>
          <cell r="G2505" t="str">
            <v>CB400300000T00</v>
          </cell>
          <cell r="H2505">
            <v>0.75</v>
          </cell>
          <cell r="I2505" t="str">
            <v>--</v>
          </cell>
          <cell r="J2505">
            <v>2</v>
          </cell>
          <cell r="K2505">
            <v>2</v>
          </cell>
        </row>
        <row r="2506">
          <cell r="A2506" t="str">
            <v>M2</v>
          </cell>
          <cell r="B2506" t="str">
            <v>A5C</v>
          </cell>
          <cell r="C2506" t="str">
            <v>P</v>
          </cell>
          <cell r="D2506" t="str">
            <v>24024</v>
          </cell>
          <cell r="E2506" t="str">
            <v>TEE</v>
          </cell>
          <cell r="F2506">
            <v>2</v>
          </cell>
          <cell r="G2506" t="str">
            <v>CB400300000T00</v>
          </cell>
          <cell r="H2506">
            <v>0.75</v>
          </cell>
          <cell r="I2506" t="str">
            <v>--</v>
          </cell>
          <cell r="J2506">
            <v>5</v>
          </cell>
          <cell r="K2506">
            <v>5</v>
          </cell>
        </row>
        <row r="2507">
          <cell r="A2507" t="str">
            <v>M2</v>
          </cell>
          <cell r="B2507" t="str">
            <v>A5C</v>
          </cell>
          <cell r="C2507" t="str">
            <v>P</v>
          </cell>
          <cell r="D2507" t="str">
            <v>23059</v>
          </cell>
          <cell r="E2507" t="str">
            <v>90 ELL</v>
          </cell>
          <cell r="F2507">
            <v>2</v>
          </cell>
          <cell r="G2507" t="str">
            <v>CB400100000T00</v>
          </cell>
          <cell r="H2507">
            <v>0.75</v>
          </cell>
          <cell r="I2507" t="str">
            <v>--</v>
          </cell>
          <cell r="J2507">
            <v>13</v>
          </cell>
          <cell r="K2507">
            <v>13</v>
          </cell>
        </row>
        <row r="2508">
          <cell r="A2508" t="str">
            <v>M2</v>
          </cell>
          <cell r="B2508" t="str">
            <v>A5C</v>
          </cell>
          <cell r="C2508" t="str">
            <v>P</v>
          </cell>
          <cell r="D2508" t="str">
            <v>23183</v>
          </cell>
          <cell r="E2508" t="str">
            <v>90 ELL</v>
          </cell>
          <cell r="F2508">
            <v>2</v>
          </cell>
          <cell r="G2508" t="str">
            <v>CB400100000T00</v>
          </cell>
          <cell r="H2508">
            <v>0.75</v>
          </cell>
          <cell r="I2508" t="str">
            <v>--</v>
          </cell>
          <cell r="J2508">
            <v>5</v>
          </cell>
          <cell r="K2508">
            <v>5</v>
          </cell>
        </row>
        <row r="2509">
          <cell r="A2509" t="str">
            <v>M2</v>
          </cell>
          <cell r="B2509" t="str">
            <v>A5C</v>
          </cell>
          <cell r="C2509" t="str">
            <v>P</v>
          </cell>
          <cell r="D2509" t="str">
            <v>23059</v>
          </cell>
          <cell r="E2509" t="str">
            <v>CAP</v>
          </cell>
          <cell r="F2509">
            <v>2</v>
          </cell>
          <cell r="G2509" t="str">
            <v>CB520700000T00</v>
          </cell>
          <cell r="H2509">
            <v>0.75</v>
          </cell>
          <cell r="I2509" t="str">
            <v>--</v>
          </cell>
          <cell r="J2509">
            <v>2</v>
          </cell>
          <cell r="K2509">
            <v>2</v>
          </cell>
        </row>
        <row r="2510">
          <cell r="A2510" t="str">
            <v>M2</v>
          </cell>
          <cell r="B2510" t="str">
            <v>A5C</v>
          </cell>
          <cell r="C2510" t="str">
            <v>P</v>
          </cell>
          <cell r="D2510" t="str">
            <v>23059</v>
          </cell>
          <cell r="E2510" t="str">
            <v>CAP</v>
          </cell>
          <cell r="F2510">
            <v>2</v>
          </cell>
          <cell r="G2510" t="str">
            <v>CB520700000T00</v>
          </cell>
          <cell r="H2510">
            <v>0.75</v>
          </cell>
          <cell r="I2510" t="str">
            <v>--</v>
          </cell>
          <cell r="J2510">
            <v>1</v>
          </cell>
          <cell r="K2510">
            <v>1</v>
          </cell>
        </row>
        <row r="2511">
          <cell r="A2511" t="str">
            <v>M2</v>
          </cell>
          <cell r="B2511" t="str">
            <v>A5C</v>
          </cell>
          <cell r="C2511" t="str">
            <v>P</v>
          </cell>
          <cell r="D2511" t="str">
            <v>23264</v>
          </cell>
          <cell r="E2511" t="str">
            <v>CAP</v>
          </cell>
          <cell r="F2511">
            <v>2</v>
          </cell>
          <cell r="G2511" t="str">
            <v>CB520700000T00</v>
          </cell>
          <cell r="H2511">
            <v>0.75</v>
          </cell>
          <cell r="I2511" t="str">
            <v>--</v>
          </cell>
          <cell r="J2511">
            <v>1</v>
          </cell>
          <cell r="K2511">
            <v>1</v>
          </cell>
        </row>
        <row r="2512">
          <cell r="A2512" t="str">
            <v>M2</v>
          </cell>
          <cell r="B2512" t="str">
            <v>A5C</v>
          </cell>
          <cell r="C2512" t="str">
            <v>TRIM</v>
          </cell>
          <cell r="D2512" t="str">
            <v>V-2352</v>
          </cell>
          <cell r="E2512" t="str">
            <v>CAP</v>
          </cell>
          <cell r="F2512">
            <v>2</v>
          </cell>
          <cell r="G2512" t="str">
            <v>CB520700000T00</v>
          </cell>
          <cell r="H2512">
            <v>0.75</v>
          </cell>
          <cell r="I2512" t="str">
            <v>--</v>
          </cell>
          <cell r="J2512">
            <v>2</v>
          </cell>
          <cell r="K2512">
            <v>2</v>
          </cell>
        </row>
        <row r="2513">
          <cell r="A2513" t="str">
            <v>M2</v>
          </cell>
          <cell r="B2513" t="str">
            <v>A5C</v>
          </cell>
          <cell r="C2513" t="str">
            <v>P</v>
          </cell>
          <cell r="D2513" t="str">
            <v>23059</v>
          </cell>
          <cell r="E2513" t="str">
            <v>CPLG</v>
          </cell>
          <cell r="F2513">
            <v>2</v>
          </cell>
          <cell r="G2513" t="str">
            <v>CB400500000T00</v>
          </cell>
          <cell r="H2513">
            <v>0.75</v>
          </cell>
          <cell r="I2513" t="str">
            <v>--</v>
          </cell>
          <cell r="J2513">
            <v>1</v>
          </cell>
          <cell r="K2513">
            <v>1</v>
          </cell>
        </row>
        <row r="2514">
          <cell r="A2514" t="str">
            <v>M2</v>
          </cell>
          <cell r="B2514" t="str">
            <v>A5C</v>
          </cell>
          <cell r="C2514" t="str">
            <v>P</v>
          </cell>
          <cell r="D2514" t="str">
            <v>23183</v>
          </cell>
          <cell r="E2514" t="str">
            <v>CPLG</v>
          </cell>
          <cell r="F2514">
            <v>2</v>
          </cell>
          <cell r="G2514" t="str">
            <v>CB400500000T00</v>
          </cell>
          <cell r="H2514">
            <v>0.75</v>
          </cell>
          <cell r="I2514" t="str">
            <v>--</v>
          </cell>
          <cell r="J2514">
            <v>1</v>
          </cell>
          <cell r="K2514">
            <v>1</v>
          </cell>
        </row>
        <row r="2515">
          <cell r="A2515" t="str">
            <v>M2</v>
          </cell>
          <cell r="B2515" t="str">
            <v>A5C</v>
          </cell>
          <cell r="C2515" t="str">
            <v>P</v>
          </cell>
          <cell r="D2515" t="str">
            <v>23059</v>
          </cell>
          <cell r="E2515" t="str">
            <v>TEE</v>
          </cell>
          <cell r="F2515">
            <v>2</v>
          </cell>
          <cell r="G2515" t="str">
            <v>CB400300000T00</v>
          </cell>
          <cell r="H2515">
            <v>0.75</v>
          </cell>
          <cell r="I2515" t="str">
            <v>--</v>
          </cell>
          <cell r="J2515">
            <v>2</v>
          </cell>
          <cell r="K2515">
            <v>2</v>
          </cell>
        </row>
        <row r="2516">
          <cell r="A2516" t="str">
            <v>M2</v>
          </cell>
          <cell r="B2516" t="str">
            <v>A5C</v>
          </cell>
          <cell r="C2516" t="str">
            <v>P</v>
          </cell>
          <cell r="D2516" t="str">
            <v>23018</v>
          </cell>
          <cell r="E2516" t="str">
            <v>90 ELL</v>
          </cell>
          <cell r="F2516">
            <v>2</v>
          </cell>
          <cell r="G2516" t="str">
            <v>CB400100000T00</v>
          </cell>
          <cell r="H2516">
            <v>0.75</v>
          </cell>
          <cell r="I2516" t="str">
            <v>--</v>
          </cell>
          <cell r="J2516">
            <v>2</v>
          </cell>
          <cell r="K2516">
            <v>2</v>
          </cell>
        </row>
        <row r="2517">
          <cell r="A2517" t="str">
            <v>M2</v>
          </cell>
          <cell r="B2517" t="str">
            <v>A5C</v>
          </cell>
          <cell r="C2517" t="str">
            <v>P</v>
          </cell>
          <cell r="D2517" t="str">
            <v>23018</v>
          </cell>
          <cell r="E2517" t="str">
            <v>90 ELL</v>
          </cell>
          <cell r="F2517">
            <v>2</v>
          </cell>
          <cell r="G2517" t="str">
            <v>CB400100000T00</v>
          </cell>
          <cell r="H2517">
            <v>0.75</v>
          </cell>
          <cell r="I2517" t="str">
            <v>--</v>
          </cell>
          <cell r="J2517">
            <v>1</v>
          </cell>
          <cell r="K2517">
            <v>1</v>
          </cell>
        </row>
        <row r="2518">
          <cell r="A2518" t="str">
            <v>M2</v>
          </cell>
          <cell r="B2518" t="str">
            <v>A5C</v>
          </cell>
          <cell r="C2518" t="str">
            <v>P</v>
          </cell>
          <cell r="D2518" t="str">
            <v>23027</v>
          </cell>
          <cell r="E2518" t="str">
            <v>90 ELL</v>
          </cell>
          <cell r="F2518">
            <v>2</v>
          </cell>
          <cell r="G2518" t="str">
            <v>CB400100000T00</v>
          </cell>
          <cell r="H2518">
            <v>0.75</v>
          </cell>
          <cell r="I2518" t="str">
            <v>--</v>
          </cell>
          <cell r="J2518">
            <v>1</v>
          </cell>
          <cell r="K2518">
            <v>1</v>
          </cell>
        </row>
        <row r="2519">
          <cell r="A2519" t="str">
            <v>M2</v>
          </cell>
          <cell r="B2519" t="str">
            <v>A5C</v>
          </cell>
          <cell r="C2519" t="str">
            <v>P</v>
          </cell>
          <cell r="D2519" t="str">
            <v>23032</v>
          </cell>
          <cell r="E2519" t="str">
            <v>90 ELL</v>
          </cell>
          <cell r="F2519">
            <v>2</v>
          </cell>
          <cell r="G2519" t="str">
            <v>CB400100000T00</v>
          </cell>
          <cell r="H2519">
            <v>0.75</v>
          </cell>
          <cell r="I2519" t="str">
            <v>--</v>
          </cell>
          <cell r="J2519">
            <v>2</v>
          </cell>
          <cell r="K2519">
            <v>2</v>
          </cell>
        </row>
        <row r="2520">
          <cell r="A2520" t="str">
            <v>M2</v>
          </cell>
          <cell r="B2520" t="str">
            <v>A5C</v>
          </cell>
          <cell r="C2520" t="str">
            <v>P</v>
          </cell>
          <cell r="D2520" t="str">
            <v>23048</v>
          </cell>
          <cell r="E2520" t="str">
            <v>90 ELL</v>
          </cell>
          <cell r="F2520">
            <v>2</v>
          </cell>
          <cell r="G2520" t="str">
            <v>CB400100000T00</v>
          </cell>
          <cell r="H2520">
            <v>0.75</v>
          </cell>
          <cell r="I2520" t="str">
            <v>--</v>
          </cell>
          <cell r="J2520">
            <v>4</v>
          </cell>
          <cell r="K2520">
            <v>4</v>
          </cell>
        </row>
        <row r="2521">
          <cell r="A2521" t="str">
            <v>M2</v>
          </cell>
          <cell r="B2521" t="str">
            <v>A5C</v>
          </cell>
          <cell r="C2521" t="str">
            <v>P</v>
          </cell>
          <cell r="D2521" t="str">
            <v>23048</v>
          </cell>
          <cell r="E2521" t="str">
            <v>90 ELL</v>
          </cell>
          <cell r="F2521">
            <v>2</v>
          </cell>
          <cell r="G2521" t="str">
            <v>CB400100000T00</v>
          </cell>
          <cell r="H2521">
            <v>0.75</v>
          </cell>
          <cell r="I2521" t="str">
            <v>--</v>
          </cell>
          <cell r="J2521">
            <v>7</v>
          </cell>
          <cell r="K2521">
            <v>7</v>
          </cell>
        </row>
        <row r="2522">
          <cell r="A2522" t="str">
            <v>M2</v>
          </cell>
          <cell r="B2522" t="str">
            <v>A5C</v>
          </cell>
          <cell r="C2522" t="str">
            <v>P</v>
          </cell>
          <cell r="D2522" t="str">
            <v>23053</v>
          </cell>
          <cell r="E2522" t="str">
            <v>90 ELL</v>
          </cell>
          <cell r="F2522">
            <v>2</v>
          </cell>
          <cell r="G2522" t="str">
            <v>CB400100000T00</v>
          </cell>
          <cell r="H2522">
            <v>0.75</v>
          </cell>
          <cell r="I2522" t="str">
            <v>--</v>
          </cell>
          <cell r="J2522">
            <v>14</v>
          </cell>
          <cell r="K2522">
            <v>14</v>
          </cell>
        </row>
        <row r="2523">
          <cell r="A2523" t="str">
            <v>M2</v>
          </cell>
          <cell r="B2523" t="str">
            <v>A5C</v>
          </cell>
          <cell r="C2523" t="str">
            <v>P</v>
          </cell>
          <cell r="D2523" t="str">
            <v>23065</v>
          </cell>
          <cell r="E2523" t="str">
            <v>90 ELL</v>
          </cell>
          <cell r="F2523">
            <v>2</v>
          </cell>
          <cell r="G2523" t="str">
            <v>CB400100000T00</v>
          </cell>
          <cell r="H2523">
            <v>0.75</v>
          </cell>
          <cell r="I2523" t="str">
            <v>--</v>
          </cell>
          <cell r="J2523">
            <v>6</v>
          </cell>
          <cell r="K2523">
            <v>6</v>
          </cell>
        </row>
        <row r="2524">
          <cell r="A2524" t="str">
            <v>M2</v>
          </cell>
          <cell r="B2524" t="str">
            <v>A5C</v>
          </cell>
          <cell r="C2524" t="str">
            <v>P</v>
          </cell>
          <cell r="D2524" t="str">
            <v>23079</v>
          </cell>
          <cell r="E2524" t="str">
            <v>90 ELL</v>
          </cell>
          <cell r="F2524">
            <v>2</v>
          </cell>
          <cell r="G2524" t="str">
            <v>CB400100000T00</v>
          </cell>
          <cell r="H2524">
            <v>0.75</v>
          </cell>
          <cell r="I2524" t="str">
            <v>--</v>
          </cell>
          <cell r="J2524">
            <v>13</v>
          </cell>
          <cell r="K2524">
            <v>13</v>
          </cell>
        </row>
        <row r="2525">
          <cell r="A2525" t="str">
            <v>M2</v>
          </cell>
          <cell r="B2525" t="str">
            <v>A5C</v>
          </cell>
          <cell r="C2525" t="str">
            <v>P</v>
          </cell>
          <cell r="D2525" t="str">
            <v>23155</v>
          </cell>
          <cell r="E2525" t="str">
            <v>90 ELL</v>
          </cell>
          <cell r="F2525">
            <v>2</v>
          </cell>
          <cell r="G2525" t="str">
            <v>CB400100000T00</v>
          </cell>
          <cell r="H2525">
            <v>0.75</v>
          </cell>
          <cell r="I2525" t="str">
            <v>--</v>
          </cell>
          <cell r="J2525">
            <v>7</v>
          </cell>
          <cell r="K2525">
            <v>7</v>
          </cell>
        </row>
        <row r="2526">
          <cell r="A2526" t="str">
            <v>M2</v>
          </cell>
          <cell r="B2526" t="str">
            <v>A5C</v>
          </cell>
          <cell r="C2526" t="str">
            <v>P</v>
          </cell>
          <cell r="D2526" t="str">
            <v>23163</v>
          </cell>
          <cell r="E2526" t="str">
            <v>90 ELL</v>
          </cell>
          <cell r="F2526">
            <v>2</v>
          </cell>
          <cell r="G2526" t="str">
            <v>CB400100000T00</v>
          </cell>
          <cell r="H2526">
            <v>0.75</v>
          </cell>
          <cell r="I2526" t="str">
            <v>--</v>
          </cell>
          <cell r="J2526">
            <v>6</v>
          </cell>
          <cell r="K2526">
            <v>6</v>
          </cell>
        </row>
        <row r="2527">
          <cell r="A2527" t="str">
            <v>M2</v>
          </cell>
          <cell r="B2527" t="str">
            <v>A5C</v>
          </cell>
          <cell r="C2527" t="str">
            <v>P</v>
          </cell>
          <cell r="D2527" t="str">
            <v>23173</v>
          </cell>
          <cell r="E2527" t="str">
            <v>90 ELL</v>
          </cell>
          <cell r="F2527">
            <v>2</v>
          </cell>
          <cell r="G2527" t="str">
            <v>CB400100000T00</v>
          </cell>
          <cell r="H2527">
            <v>0.75</v>
          </cell>
          <cell r="I2527" t="str">
            <v>--</v>
          </cell>
          <cell r="J2527">
            <v>10</v>
          </cell>
          <cell r="K2527">
            <v>10</v>
          </cell>
        </row>
        <row r="2528">
          <cell r="A2528" t="str">
            <v>M2</v>
          </cell>
          <cell r="B2528" t="str">
            <v>A5C</v>
          </cell>
          <cell r="C2528" t="str">
            <v>P</v>
          </cell>
          <cell r="D2528" t="str">
            <v>23180</v>
          </cell>
          <cell r="E2528" t="str">
            <v>90 ELL</v>
          </cell>
          <cell r="F2528">
            <v>2</v>
          </cell>
          <cell r="G2528" t="str">
            <v>CB400100000T00</v>
          </cell>
          <cell r="H2528">
            <v>0.75</v>
          </cell>
          <cell r="I2528" t="str">
            <v>--</v>
          </cell>
          <cell r="J2528">
            <v>10</v>
          </cell>
          <cell r="K2528">
            <v>10</v>
          </cell>
        </row>
        <row r="2529">
          <cell r="A2529" t="str">
            <v>M2</v>
          </cell>
          <cell r="B2529" t="str">
            <v>A5C</v>
          </cell>
          <cell r="C2529" t="str">
            <v>P</v>
          </cell>
          <cell r="D2529" t="str">
            <v>23184</v>
          </cell>
          <cell r="E2529" t="str">
            <v>90 ELL</v>
          </cell>
          <cell r="F2529">
            <v>2</v>
          </cell>
          <cell r="G2529" t="str">
            <v>CB400100000T00</v>
          </cell>
          <cell r="H2529">
            <v>0.75</v>
          </cell>
          <cell r="I2529" t="str">
            <v>--</v>
          </cell>
          <cell r="J2529">
            <v>5</v>
          </cell>
          <cell r="K2529">
            <v>5</v>
          </cell>
        </row>
        <row r="2530">
          <cell r="A2530" t="str">
            <v>M2</v>
          </cell>
          <cell r="B2530" t="str">
            <v>A5C</v>
          </cell>
          <cell r="C2530" t="str">
            <v>P</v>
          </cell>
          <cell r="D2530" t="str">
            <v>23191</v>
          </cell>
          <cell r="E2530" t="str">
            <v>90 ELL</v>
          </cell>
          <cell r="F2530">
            <v>2</v>
          </cell>
          <cell r="G2530" t="str">
            <v>CB400100000T00</v>
          </cell>
          <cell r="H2530">
            <v>0.75</v>
          </cell>
          <cell r="I2530" t="str">
            <v>--</v>
          </cell>
          <cell r="J2530">
            <v>10</v>
          </cell>
          <cell r="K2530">
            <v>10</v>
          </cell>
        </row>
        <row r="2531">
          <cell r="A2531" t="str">
            <v>M2</v>
          </cell>
          <cell r="B2531" t="str">
            <v>A5C</v>
          </cell>
          <cell r="C2531" t="str">
            <v>P</v>
          </cell>
          <cell r="D2531" t="str">
            <v>23193</v>
          </cell>
          <cell r="E2531" t="str">
            <v>90 ELL</v>
          </cell>
          <cell r="F2531">
            <v>2</v>
          </cell>
          <cell r="G2531" t="str">
            <v>CB400100000T00</v>
          </cell>
          <cell r="H2531">
            <v>0.75</v>
          </cell>
          <cell r="I2531" t="str">
            <v>--</v>
          </cell>
          <cell r="J2531">
            <v>4</v>
          </cell>
          <cell r="K2531">
            <v>4</v>
          </cell>
        </row>
        <row r="2532">
          <cell r="A2532" t="str">
            <v>M2</v>
          </cell>
          <cell r="B2532" t="str">
            <v>A5C</v>
          </cell>
          <cell r="C2532" t="str">
            <v>P</v>
          </cell>
          <cell r="D2532" t="str">
            <v>23224</v>
          </cell>
          <cell r="E2532" t="str">
            <v>90 ELL</v>
          </cell>
          <cell r="F2532">
            <v>2</v>
          </cell>
          <cell r="G2532" t="str">
            <v>CB400100000T00</v>
          </cell>
          <cell r="H2532">
            <v>0.75</v>
          </cell>
          <cell r="I2532" t="str">
            <v>--</v>
          </cell>
          <cell r="J2532">
            <v>2</v>
          </cell>
          <cell r="K2532">
            <v>2</v>
          </cell>
        </row>
        <row r="2533">
          <cell r="A2533" t="str">
            <v>M2</v>
          </cell>
          <cell r="B2533" t="str">
            <v>A5C</v>
          </cell>
          <cell r="C2533" t="str">
            <v>P</v>
          </cell>
          <cell r="D2533" t="str">
            <v>24016</v>
          </cell>
          <cell r="E2533" t="str">
            <v>90 ELL</v>
          </cell>
          <cell r="F2533">
            <v>2</v>
          </cell>
          <cell r="G2533" t="str">
            <v>CB400100000T00</v>
          </cell>
          <cell r="H2533">
            <v>0.75</v>
          </cell>
          <cell r="I2533" t="str">
            <v>--</v>
          </cell>
          <cell r="J2533">
            <v>6</v>
          </cell>
          <cell r="K2533">
            <v>6</v>
          </cell>
        </row>
        <row r="2534">
          <cell r="A2534" t="str">
            <v>M2</v>
          </cell>
          <cell r="B2534" t="str">
            <v>A5C</v>
          </cell>
          <cell r="C2534" t="str">
            <v>P</v>
          </cell>
          <cell r="D2534" t="str">
            <v>24017</v>
          </cell>
          <cell r="E2534" t="str">
            <v>90 ELL</v>
          </cell>
          <cell r="F2534">
            <v>2</v>
          </cell>
          <cell r="G2534" t="str">
            <v>CB400100000T00</v>
          </cell>
          <cell r="H2534">
            <v>0.75</v>
          </cell>
          <cell r="I2534" t="str">
            <v>--</v>
          </cell>
          <cell r="J2534">
            <v>4</v>
          </cell>
          <cell r="K2534">
            <v>4</v>
          </cell>
        </row>
        <row r="2535">
          <cell r="A2535" t="str">
            <v>M2</v>
          </cell>
          <cell r="B2535" t="str">
            <v>A5C</v>
          </cell>
          <cell r="C2535" t="str">
            <v>TRIM</v>
          </cell>
          <cell r="D2535" t="str">
            <v>C-2302</v>
          </cell>
          <cell r="E2535" t="str">
            <v>90 ELL</v>
          </cell>
          <cell r="F2535">
            <v>2</v>
          </cell>
          <cell r="G2535" t="str">
            <v>CB400100000T00</v>
          </cell>
          <cell r="H2535">
            <v>0.75</v>
          </cell>
          <cell r="I2535" t="str">
            <v>--</v>
          </cell>
          <cell r="J2535">
            <v>1</v>
          </cell>
          <cell r="K2535">
            <v>1</v>
          </cell>
        </row>
        <row r="2536">
          <cell r="A2536" t="str">
            <v>M2</v>
          </cell>
          <cell r="B2536" t="str">
            <v>A5C</v>
          </cell>
          <cell r="C2536" t="str">
            <v>TRIM</v>
          </cell>
          <cell r="D2536" t="str">
            <v>C-2304</v>
          </cell>
          <cell r="E2536" t="str">
            <v>90 ELL</v>
          </cell>
          <cell r="F2536">
            <v>2</v>
          </cell>
          <cell r="G2536" t="str">
            <v>CB400100000T00</v>
          </cell>
          <cell r="H2536">
            <v>0.75</v>
          </cell>
          <cell r="I2536" t="str">
            <v>--</v>
          </cell>
          <cell r="J2536">
            <v>1</v>
          </cell>
          <cell r="K2536">
            <v>1</v>
          </cell>
        </row>
        <row r="2537">
          <cell r="A2537" t="str">
            <v>M2</v>
          </cell>
          <cell r="B2537" t="str">
            <v>A5C</v>
          </cell>
          <cell r="C2537" t="str">
            <v>TRIM</v>
          </cell>
          <cell r="D2537" t="str">
            <v>C-2303</v>
          </cell>
          <cell r="E2537" t="str">
            <v>90 ELL</v>
          </cell>
          <cell r="F2537">
            <v>2</v>
          </cell>
          <cell r="G2537" t="str">
            <v>CB400100000T00</v>
          </cell>
          <cell r="H2537">
            <v>0.75</v>
          </cell>
          <cell r="I2537" t="str">
            <v>--</v>
          </cell>
          <cell r="J2537">
            <v>1</v>
          </cell>
          <cell r="K2537">
            <v>1</v>
          </cell>
        </row>
        <row r="2538">
          <cell r="A2538" t="str">
            <v>M2</v>
          </cell>
          <cell r="B2538" t="str">
            <v>A5C</v>
          </cell>
          <cell r="C2538" t="str">
            <v>TRIM</v>
          </cell>
          <cell r="D2538" t="str">
            <v>C-2305</v>
          </cell>
          <cell r="E2538" t="str">
            <v>90 ELL</v>
          </cell>
          <cell r="F2538">
            <v>2</v>
          </cell>
          <cell r="G2538" t="str">
            <v>CB400100000T00</v>
          </cell>
          <cell r="H2538">
            <v>0.75</v>
          </cell>
          <cell r="I2538" t="str">
            <v>--</v>
          </cell>
          <cell r="J2538">
            <v>1</v>
          </cell>
          <cell r="K2538">
            <v>1</v>
          </cell>
        </row>
        <row r="2539">
          <cell r="A2539" t="str">
            <v>M2</v>
          </cell>
          <cell r="B2539" t="str">
            <v>A5C</v>
          </cell>
          <cell r="C2539" t="str">
            <v>TRIM</v>
          </cell>
          <cell r="D2539" t="str">
            <v>C-2306</v>
          </cell>
          <cell r="E2539" t="str">
            <v>90 ELL</v>
          </cell>
          <cell r="F2539">
            <v>2</v>
          </cell>
          <cell r="G2539" t="str">
            <v>CB400100000T00</v>
          </cell>
          <cell r="H2539">
            <v>0.75</v>
          </cell>
          <cell r="I2539" t="str">
            <v>--</v>
          </cell>
          <cell r="J2539">
            <v>1</v>
          </cell>
          <cell r="K2539">
            <v>1</v>
          </cell>
        </row>
        <row r="2540">
          <cell r="A2540" t="str">
            <v>M2</v>
          </cell>
          <cell r="B2540" t="str">
            <v>A5C</v>
          </cell>
          <cell r="C2540" t="str">
            <v>P</v>
          </cell>
          <cell r="D2540" t="str">
            <v>23028</v>
          </cell>
          <cell r="E2540" t="str">
            <v>90 ELL</v>
          </cell>
          <cell r="F2540">
            <v>2</v>
          </cell>
          <cell r="G2540" t="str">
            <v>CB400100000T00</v>
          </cell>
          <cell r="H2540">
            <v>0.75</v>
          </cell>
          <cell r="I2540" t="str">
            <v>--</v>
          </cell>
          <cell r="J2540">
            <v>13</v>
          </cell>
          <cell r="K2540">
            <v>13</v>
          </cell>
        </row>
        <row r="2541">
          <cell r="A2541" t="str">
            <v>M2</v>
          </cell>
          <cell r="B2541" t="str">
            <v>A5C</v>
          </cell>
          <cell r="C2541" t="str">
            <v>P</v>
          </cell>
          <cell r="D2541" t="str">
            <v>23053</v>
          </cell>
          <cell r="E2541" t="str">
            <v>90 ELL</v>
          </cell>
          <cell r="F2541">
            <v>2</v>
          </cell>
          <cell r="G2541" t="str">
            <v>CB400100000T00</v>
          </cell>
          <cell r="H2541">
            <v>0.75</v>
          </cell>
          <cell r="I2541" t="str">
            <v>--</v>
          </cell>
          <cell r="J2541">
            <v>1</v>
          </cell>
          <cell r="K2541">
            <v>1</v>
          </cell>
        </row>
        <row r="2542">
          <cell r="A2542" t="str">
            <v>M2</v>
          </cell>
          <cell r="B2542" t="str">
            <v>A5C</v>
          </cell>
          <cell r="C2542" t="str">
            <v>P</v>
          </cell>
          <cell r="D2542" t="str">
            <v>23080</v>
          </cell>
          <cell r="E2542" t="str">
            <v>90 ELL</v>
          </cell>
          <cell r="F2542">
            <v>2</v>
          </cell>
          <cell r="G2542" t="str">
            <v>CB400100000T00</v>
          </cell>
          <cell r="H2542">
            <v>0.75</v>
          </cell>
          <cell r="I2542" t="str">
            <v>--</v>
          </cell>
          <cell r="J2542">
            <v>13</v>
          </cell>
          <cell r="K2542">
            <v>13</v>
          </cell>
        </row>
        <row r="2543">
          <cell r="A2543" t="str">
            <v>M2</v>
          </cell>
          <cell r="B2543" t="str">
            <v>A5C</v>
          </cell>
          <cell r="C2543" t="str">
            <v>P</v>
          </cell>
          <cell r="D2543" t="str">
            <v>23176</v>
          </cell>
          <cell r="E2543" t="str">
            <v>90 ELL</v>
          </cell>
          <cell r="F2543">
            <v>2</v>
          </cell>
          <cell r="G2543" t="str">
            <v>CB400100000T00</v>
          </cell>
          <cell r="H2543">
            <v>0.75</v>
          </cell>
          <cell r="I2543" t="str">
            <v>--</v>
          </cell>
          <cell r="J2543">
            <v>4</v>
          </cell>
          <cell r="K2543">
            <v>4</v>
          </cell>
        </row>
        <row r="2544">
          <cell r="A2544" t="str">
            <v>M2</v>
          </cell>
          <cell r="B2544" t="str">
            <v>A5C</v>
          </cell>
          <cell r="C2544" t="str">
            <v>P</v>
          </cell>
          <cell r="D2544" t="str">
            <v>23219</v>
          </cell>
          <cell r="E2544" t="str">
            <v>90 ELL</v>
          </cell>
          <cell r="F2544">
            <v>2</v>
          </cell>
          <cell r="G2544" t="str">
            <v>CB400100000T00</v>
          </cell>
          <cell r="H2544">
            <v>0.75</v>
          </cell>
          <cell r="I2544" t="str">
            <v>--</v>
          </cell>
          <cell r="J2544">
            <v>5</v>
          </cell>
          <cell r="K2544">
            <v>5</v>
          </cell>
        </row>
        <row r="2545">
          <cell r="A2545" t="str">
            <v>M2</v>
          </cell>
          <cell r="B2545" t="str">
            <v>A5C</v>
          </cell>
          <cell r="C2545" t="str">
            <v>P</v>
          </cell>
          <cell r="D2545" t="str">
            <v>24018</v>
          </cell>
          <cell r="E2545" t="str">
            <v>90 ELL</v>
          </cell>
          <cell r="F2545">
            <v>2</v>
          </cell>
          <cell r="G2545" t="str">
            <v>CB400100000T00</v>
          </cell>
          <cell r="H2545">
            <v>0.75</v>
          </cell>
          <cell r="I2545" t="str">
            <v>--</v>
          </cell>
          <cell r="J2545">
            <v>8</v>
          </cell>
          <cell r="K2545">
            <v>8</v>
          </cell>
        </row>
        <row r="2546">
          <cell r="A2546" t="str">
            <v>M2</v>
          </cell>
          <cell r="B2546" t="str">
            <v>A5C</v>
          </cell>
          <cell r="C2546" t="str">
            <v>TRIM</v>
          </cell>
          <cell r="D2546" t="str">
            <v>V-2310</v>
          </cell>
          <cell r="E2546" t="str">
            <v>CAP</v>
          </cell>
          <cell r="F2546">
            <v>2</v>
          </cell>
          <cell r="G2546" t="str">
            <v>CB520700000T00</v>
          </cell>
          <cell r="H2546">
            <v>0.75</v>
          </cell>
          <cell r="I2546" t="str">
            <v>--</v>
          </cell>
          <cell r="J2546">
            <v>2</v>
          </cell>
          <cell r="K2546">
            <v>2</v>
          </cell>
        </row>
        <row r="2547">
          <cell r="A2547" t="str">
            <v>M2</v>
          </cell>
          <cell r="B2547" t="str">
            <v>A5C</v>
          </cell>
          <cell r="C2547" t="str">
            <v>P</v>
          </cell>
          <cell r="D2547" t="str">
            <v>23018</v>
          </cell>
          <cell r="E2547" t="str">
            <v>CAP</v>
          </cell>
          <cell r="F2547">
            <v>2</v>
          </cell>
          <cell r="G2547" t="str">
            <v>CB520700000T00</v>
          </cell>
          <cell r="H2547">
            <v>0.75</v>
          </cell>
          <cell r="I2547" t="str">
            <v>--</v>
          </cell>
          <cell r="J2547">
            <v>1</v>
          </cell>
          <cell r="K2547">
            <v>1</v>
          </cell>
        </row>
        <row r="2548">
          <cell r="A2548" t="str">
            <v>M2</v>
          </cell>
          <cell r="B2548" t="str">
            <v>A5C</v>
          </cell>
          <cell r="C2548" t="str">
            <v>P</v>
          </cell>
          <cell r="D2548" t="str">
            <v>23019</v>
          </cell>
          <cell r="E2548" t="str">
            <v>CAP</v>
          </cell>
          <cell r="F2548">
            <v>2</v>
          </cell>
          <cell r="G2548" t="str">
            <v>CB520700000T00</v>
          </cell>
          <cell r="H2548">
            <v>0.75</v>
          </cell>
          <cell r="I2548" t="str">
            <v>--</v>
          </cell>
          <cell r="J2548">
            <v>2</v>
          </cell>
          <cell r="K2548">
            <v>2</v>
          </cell>
        </row>
        <row r="2549">
          <cell r="A2549" t="str">
            <v>M2</v>
          </cell>
          <cell r="B2549" t="str">
            <v>A5C</v>
          </cell>
          <cell r="C2549" t="str">
            <v>P</v>
          </cell>
          <cell r="D2549" t="str">
            <v>23019</v>
          </cell>
          <cell r="E2549" t="str">
            <v>CAP</v>
          </cell>
          <cell r="F2549">
            <v>2</v>
          </cell>
          <cell r="G2549" t="str">
            <v>CB520700000T00</v>
          </cell>
          <cell r="H2549">
            <v>0.75</v>
          </cell>
          <cell r="I2549" t="str">
            <v>--</v>
          </cell>
          <cell r="J2549">
            <v>1</v>
          </cell>
          <cell r="K2549">
            <v>1</v>
          </cell>
        </row>
        <row r="2550">
          <cell r="A2550" t="str">
            <v>M2</v>
          </cell>
          <cell r="B2550" t="str">
            <v>A5C</v>
          </cell>
          <cell r="C2550" t="str">
            <v>P</v>
          </cell>
          <cell r="D2550" t="str">
            <v>23020</v>
          </cell>
          <cell r="E2550" t="str">
            <v>CAP</v>
          </cell>
          <cell r="F2550">
            <v>2</v>
          </cell>
          <cell r="G2550" t="str">
            <v>CB520700000T00</v>
          </cell>
          <cell r="H2550">
            <v>0.75</v>
          </cell>
          <cell r="I2550" t="str">
            <v>--</v>
          </cell>
          <cell r="J2550">
            <v>1</v>
          </cell>
          <cell r="K2550">
            <v>1</v>
          </cell>
        </row>
        <row r="2551">
          <cell r="A2551" t="str">
            <v>M2</v>
          </cell>
          <cell r="B2551" t="str">
            <v>A5C</v>
          </cell>
          <cell r="C2551" t="str">
            <v>P</v>
          </cell>
          <cell r="D2551" t="str">
            <v>23024</v>
          </cell>
          <cell r="E2551" t="str">
            <v>CAP</v>
          </cell>
          <cell r="F2551">
            <v>2</v>
          </cell>
          <cell r="G2551" t="str">
            <v>CB520700000T00</v>
          </cell>
          <cell r="H2551">
            <v>0.75</v>
          </cell>
          <cell r="I2551" t="str">
            <v>--</v>
          </cell>
          <cell r="J2551">
            <v>2</v>
          </cell>
          <cell r="K2551">
            <v>2</v>
          </cell>
        </row>
        <row r="2552">
          <cell r="A2552" t="str">
            <v>M2</v>
          </cell>
          <cell r="B2552" t="str">
            <v>A5C</v>
          </cell>
          <cell r="C2552" t="str">
            <v>P</v>
          </cell>
          <cell r="D2552" t="str">
            <v>23027</v>
          </cell>
          <cell r="E2552" t="str">
            <v>CAP</v>
          </cell>
          <cell r="F2552">
            <v>2</v>
          </cell>
          <cell r="G2552" t="str">
            <v>CB520700000T00</v>
          </cell>
          <cell r="H2552">
            <v>0.75</v>
          </cell>
          <cell r="I2552" t="str">
            <v>--</v>
          </cell>
          <cell r="J2552">
            <v>1</v>
          </cell>
          <cell r="K2552">
            <v>1</v>
          </cell>
        </row>
        <row r="2553">
          <cell r="A2553" t="str">
            <v>M2</v>
          </cell>
          <cell r="B2553" t="str">
            <v>A5C</v>
          </cell>
          <cell r="C2553" t="str">
            <v>P</v>
          </cell>
          <cell r="D2553" t="str">
            <v>23028</v>
          </cell>
          <cell r="E2553" t="str">
            <v>CAP</v>
          </cell>
          <cell r="F2553">
            <v>2</v>
          </cell>
          <cell r="G2553" t="str">
            <v>CB520700000T00</v>
          </cell>
          <cell r="H2553">
            <v>0.75</v>
          </cell>
          <cell r="I2553" t="str">
            <v>--</v>
          </cell>
          <cell r="J2553">
            <v>1</v>
          </cell>
          <cell r="K2553">
            <v>1</v>
          </cell>
        </row>
        <row r="2554">
          <cell r="A2554" t="str">
            <v>M2</v>
          </cell>
          <cell r="B2554" t="str">
            <v>A5C</v>
          </cell>
          <cell r="C2554" t="str">
            <v>P</v>
          </cell>
          <cell r="D2554" t="str">
            <v>23029</v>
          </cell>
          <cell r="E2554" t="str">
            <v>CAP</v>
          </cell>
          <cell r="F2554">
            <v>2</v>
          </cell>
          <cell r="G2554" t="str">
            <v>CB520700000T00</v>
          </cell>
          <cell r="H2554">
            <v>0.75</v>
          </cell>
          <cell r="I2554" t="str">
            <v>--</v>
          </cell>
          <cell r="J2554">
            <v>2</v>
          </cell>
          <cell r="K2554">
            <v>2</v>
          </cell>
        </row>
        <row r="2555">
          <cell r="A2555" t="str">
            <v>M2</v>
          </cell>
          <cell r="B2555" t="str">
            <v>A5C</v>
          </cell>
          <cell r="C2555" t="str">
            <v>P</v>
          </cell>
          <cell r="D2555" t="str">
            <v>23029</v>
          </cell>
          <cell r="E2555" t="str">
            <v>CAP</v>
          </cell>
          <cell r="F2555">
            <v>2</v>
          </cell>
          <cell r="G2555" t="str">
            <v>CB520700000T00</v>
          </cell>
          <cell r="H2555">
            <v>0.75</v>
          </cell>
          <cell r="I2555" t="str">
            <v>--</v>
          </cell>
          <cell r="J2555">
            <v>1</v>
          </cell>
          <cell r="K2555">
            <v>1</v>
          </cell>
        </row>
        <row r="2556">
          <cell r="A2556" t="str">
            <v>M2</v>
          </cell>
          <cell r="B2556" t="str">
            <v>A5C</v>
          </cell>
          <cell r="C2556" t="str">
            <v>P</v>
          </cell>
          <cell r="D2556" t="str">
            <v>23039</v>
          </cell>
          <cell r="E2556" t="str">
            <v>CAP</v>
          </cell>
          <cell r="F2556">
            <v>2</v>
          </cell>
          <cell r="G2556" t="str">
            <v>CB520700000T00</v>
          </cell>
          <cell r="H2556">
            <v>0.75</v>
          </cell>
          <cell r="I2556" t="str">
            <v>--</v>
          </cell>
          <cell r="J2556">
            <v>1</v>
          </cell>
          <cell r="K2556">
            <v>1</v>
          </cell>
        </row>
        <row r="2557">
          <cell r="A2557" t="str">
            <v>M2</v>
          </cell>
          <cell r="B2557" t="str">
            <v>A5C</v>
          </cell>
          <cell r="C2557" t="str">
            <v>P</v>
          </cell>
          <cell r="D2557" t="str">
            <v>23039</v>
          </cell>
          <cell r="E2557" t="str">
            <v>CAP</v>
          </cell>
          <cell r="F2557">
            <v>2</v>
          </cell>
          <cell r="G2557" t="str">
            <v>CB520700000T00</v>
          </cell>
          <cell r="H2557">
            <v>0.75</v>
          </cell>
          <cell r="I2557" t="str">
            <v>--</v>
          </cell>
          <cell r="J2557">
            <v>2</v>
          </cell>
          <cell r="K2557">
            <v>2</v>
          </cell>
        </row>
        <row r="2558">
          <cell r="A2558" t="str">
            <v>M2</v>
          </cell>
          <cell r="B2558" t="str">
            <v>A5C</v>
          </cell>
          <cell r="C2558" t="str">
            <v>P</v>
          </cell>
          <cell r="D2558" t="str">
            <v>23048</v>
          </cell>
          <cell r="E2558" t="str">
            <v>CAP</v>
          </cell>
          <cell r="F2558">
            <v>2</v>
          </cell>
          <cell r="G2558" t="str">
            <v>CB520700000T00</v>
          </cell>
          <cell r="H2558">
            <v>0.75</v>
          </cell>
          <cell r="I2558" t="str">
            <v>--</v>
          </cell>
          <cell r="J2558">
            <v>2</v>
          </cell>
          <cell r="K2558">
            <v>2</v>
          </cell>
        </row>
        <row r="2559">
          <cell r="A2559" t="str">
            <v>M2</v>
          </cell>
          <cell r="B2559" t="str">
            <v>A5C</v>
          </cell>
          <cell r="C2559" t="str">
            <v>P</v>
          </cell>
          <cell r="D2559" t="str">
            <v>23048</v>
          </cell>
          <cell r="E2559" t="str">
            <v>CAP</v>
          </cell>
          <cell r="F2559">
            <v>2</v>
          </cell>
          <cell r="G2559" t="str">
            <v>CB520700000T00</v>
          </cell>
          <cell r="H2559">
            <v>0.75</v>
          </cell>
          <cell r="I2559" t="str">
            <v>--</v>
          </cell>
          <cell r="J2559">
            <v>1</v>
          </cell>
          <cell r="K2559">
            <v>1</v>
          </cell>
        </row>
        <row r="2560">
          <cell r="A2560" t="str">
            <v>M2</v>
          </cell>
          <cell r="B2560" t="str">
            <v>A5C</v>
          </cell>
          <cell r="C2560" t="str">
            <v>P</v>
          </cell>
          <cell r="D2560" t="str">
            <v>23051</v>
          </cell>
          <cell r="E2560" t="str">
            <v>CAP</v>
          </cell>
          <cell r="F2560">
            <v>2</v>
          </cell>
          <cell r="G2560" t="str">
            <v>CB520700000T00</v>
          </cell>
          <cell r="H2560">
            <v>0.75</v>
          </cell>
          <cell r="I2560" t="str">
            <v>--</v>
          </cell>
          <cell r="J2560">
            <v>2</v>
          </cell>
          <cell r="K2560">
            <v>2</v>
          </cell>
        </row>
        <row r="2561">
          <cell r="A2561" t="str">
            <v>M2</v>
          </cell>
          <cell r="B2561" t="str">
            <v>A5C</v>
          </cell>
          <cell r="C2561" t="str">
            <v>P</v>
          </cell>
          <cell r="D2561" t="str">
            <v>23053</v>
          </cell>
          <cell r="E2561" t="str">
            <v>CAP</v>
          </cell>
          <cell r="F2561">
            <v>2</v>
          </cell>
          <cell r="G2561" t="str">
            <v>CB520700000T00</v>
          </cell>
          <cell r="H2561">
            <v>0.75</v>
          </cell>
          <cell r="I2561" t="str">
            <v>--</v>
          </cell>
          <cell r="J2561">
            <v>2</v>
          </cell>
          <cell r="K2561">
            <v>2</v>
          </cell>
        </row>
        <row r="2562">
          <cell r="A2562" t="str">
            <v>M2</v>
          </cell>
          <cell r="B2562" t="str">
            <v>A5C</v>
          </cell>
          <cell r="C2562" t="str">
            <v>P</v>
          </cell>
          <cell r="D2562" t="str">
            <v>23053</v>
          </cell>
          <cell r="E2562" t="str">
            <v>CAP</v>
          </cell>
          <cell r="F2562">
            <v>2</v>
          </cell>
          <cell r="G2562" t="str">
            <v>CB520700000T00</v>
          </cell>
          <cell r="H2562">
            <v>0.75</v>
          </cell>
          <cell r="I2562" t="str">
            <v>--</v>
          </cell>
          <cell r="J2562">
            <v>1</v>
          </cell>
          <cell r="K2562">
            <v>1</v>
          </cell>
        </row>
        <row r="2563">
          <cell r="A2563" t="str">
            <v>M2</v>
          </cell>
          <cell r="B2563" t="str">
            <v>A5C</v>
          </cell>
          <cell r="C2563" t="str">
            <v>P</v>
          </cell>
          <cell r="D2563" t="str">
            <v>23064</v>
          </cell>
          <cell r="E2563" t="str">
            <v>CAP</v>
          </cell>
          <cell r="F2563">
            <v>2</v>
          </cell>
          <cell r="G2563" t="str">
            <v>CB520700000T00</v>
          </cell>
          <cell r="H2563">
            <v>0.75</v>
          </cell>
          <cell r="I2563" t="str">
            <v>--</v>
          </cell>
          <cell r="J2563">
            <v>2</v>
          </cell>
          <cell r="K2563">
            <v>2</v>
          </cell>
        </row>
        <row r="2564">
          <cell r="A2564" t="str">
            <v>M2</v>
          </cell>
          <cell r="B2564" t="str">
            <v>A5C</v>
          </cell>
          <cell r="C2564" t="str">
            <v>P</v>
          </cell>
          <cell r="D2564" t="str">
            <v>23064</v>
          </cell>
          <cell r="E2564" t="str">
            <v>CAP</v>
          </cell>
          <cell r="F2564">
            <v>2</v>
          </cell>
          <cell r="G2564" t="str">
            <v>CB520700000T00</v>
          </cell>
          <cell r="H2564">
            <v>0.75</v>
          </cell>
          <cell r="I2564" t="str">
            <v>--</v>
          </cell>
          <cell r="J2564">
            <v>1</v>
          </cell>
          <cell r="K2564">
            <v>1</v>
          </cell>
        </row>
        <row r="2565">
          <cell r="A2565" t="str">
            <v>M2</v>
          </cell>
          <cell r="B2565" t="str">
            <v>A5C</v>
          </cell>
          <cell r="C2565" t="str">
            <v>P</v>
          </cell>
          <cell r="D2565" t="str">
            <v>23079</v>
          </cell>
          <cell r="E2565" t="str">
            <v>CAP</v>
          </cell>
          <cell r="F2565">
            <v>2</v>
          </cell>
          <cell r="G2565" t="str">
            <v>CB520700000T00</v>
          </cell>
          <cell r="H2565">
            <v>0.75</v>
          </cell>
          <cell r="I2565" t="str">
            <v>--</v>
          </cell>
          <cell r="J2565">
            <v>2</v>
          </cell>
          <cell r="K2565">
            <v>2</v>
          </cell>
        </row>
        <row r="2566">
          <cell r="A2566" t="str">
            <v>M2</v>
          </cell>
          <cell r="B2566" t="str">
            <v>A5C</v>
          </cell>
          <cell r="C2566" t="str">
            <v>P</v>
          </cell>
          <cell r="D2566" t="str">
            <v>23080</v>
          </cell>
          <cell r="E2566" t="str">
            <v>CAP</v>
          </cell>
          <cell r="F2566">
            <v>2</v>
          </cell>
          <cell r="G2566" t="str">
            <v>CB520700000T00</v>
          </cell>
          <cell r="H2566">
            <v>0.75</v>
          </cell>
          <cell r="I2566" t="str">
            <v>--</v>
          </cell>
          <cell r="J2566">
            <v>1</v>
          </cell>
          <cell r="K2566">
            <v>1</v>
          </cell>
        </row>
        <row r="2567">
          <cell r="A2567" t="str">
            <v>M2</v>
          </cell>
          <cell r="B2567" t="str">
            <v>A5C</v>
          </cell>
          <cell r="C2567" t="str">
            <v>P</v>
          </cell>
          <cell r="D2567" t="str">
            <v>23089</v>
          </cell>
          <cell r="E2567" t="str">
            <v>CAP</v>
          </cell>
          <cell r="F2567">
            <v>2</v>
          </cell>
          <cell r="G2567" t="str">
            <v>CB520700000T00</v>
          </cell>
          <cell r="H2567">
            <v>0.75</v>
          </cell>
          <cell r="I2567" t="str">
            <v>--</v>
          </cell>
          <cell r="J2567">
            <v>2</v>
          </cell>
          <cell r="K2567">
            <v>2</v>
          </cell>
        </row>
        <row r="2568">
          <cell r="A2568" t="str">
            <v>M2</v>
          </cell>
          <cell r="B2568" t="str">
            <v>A5C</v>
          </cell>
          <cell r="C2568" t="str">
            <v>P</v>
          </cell>
          <cell r="D2568" t="str">
            <v>23091</v>
          </cell>
          <cell r="E2568" t="str">
            <v>CAP</v>
          </cell>
          <cell r="F2568">
            <v>2</v>
          </cell>
          <cell r="G2568" t="str">
            <v>CB520700000T00</v>
          </cell>
          <cell r="H2568">
            <v>0.75</v>
          </cell>
          <cell r="I2568" t="str">
            <v>--</v>
          </cell>
          <cell r="J2568">
            <v>2</v>
          </cell>
          <cell r="K2568">
            <v>2</v>
          </cell>
        </row>
        <row r="2569">
          <cell r="A2569" t="str">
            <v>M2</v>
          </cell>
          <cell r="B2569" t="str">
            <v>A5C</v>
          </cell>
          <cell r="C2569" t="str">
            <v>P</v>
          </cell>
          <cell r="D2569" t="str">
            <v>23128</v>
          </cell>
          <cell r="E2569" t="str">
            <v>CAP</v>
          </cell>
          <cell r="F2569">
            <v>2</v>
          </cell>
          <cell r="G2569" t="str">
            <v>CB520700000T00</v>
          </cell>
          <cell r="H2569">
            <v>0.75</v>
          </cell>
          <cell r="I2569" t="str">
            <v>--</v>
          </cell>
          <cell r="J2569">
            <v>2</v>
          </cell>
          <cell r="K2569">
            <v>2</v>
          </cell>
        </row>
        <row r="2570">
          <cell r="A2570" t="str">
            <v>M2</v>
          </cell>
          <cell r="B2570" t="str">
            <v>A5C</v>
          </cell>
          <cell r="C2570" t="str">
            <v>P</v>
          </cell>
          <cell r="D2570" t="str">
            <v>23130</v>
          </cell>
          <cell r="E2570" t="str">
            <v>CAP</v>
          </cell>
          <cell r="F2570">
            <v>2</v>
          </cell>
          <cell r="G2570" t="str">
            <v>CB520700000T00</v>
          </cell>
          <cell r="H2570">
            <v>0.75</v>
          </cell>
          <cell r="I2570" t="str">
            <v>--</v>
          </cell>
          <cell r="J2570">
            <v>2</v>
          </cell>
          <cell r="K2570">
            <v>2</v>
          </cell>
        </row>
        <row r="2571">
          <cell r="A2571" t="str">
            <v>M2</v>
          </cell>
          <cell r="B2571" t="str">
            <v>A5C</v>
          </cell>
          <cell r="C2571" t="str">
            <v>P</v>
          </cell>
          <cell r="D2571" t="str">
            <v>24016</v>
          </cell>
          <cell r="E2571" t="str">
            <v>CAP</v>
          </cell>
          <cell r="F2571">
            <v>2</v>
          </cell>
          <cell r="G2571" t="str">
            <v>CB520700000T00</v>
          </cell>
          <cell r="H2571">
            <v>0.75</v>
          </cell>
          <cell r="I2571" t="str">
            <v>--</v>
          </cell>
          <cell r="J2571">
            <v>1</v>
          </cell>
          <cell r="K2571">
            <v>1</v>
          </cell>
        </row>
        <row r="2572">
          <cell r="A2572" t="str">
            <v>M2</v>
          </cell>
          <cell r="B2572" t="str">
            <v>A5C</v>
          </cell>
          <cell r="C2572" t="str">
            <v>P</v>
          </cell>
          <cell r="D2572" t="str">
            <v>24017</v>
          </cell>
          <cell r="E2572" t="str">
            <v>CAP</v>
          </cell>
          <cell r="F2572">
            <v>2</v>
          </cell>
          <cell r="G2572" t="str">
            <v>CB520700000T00</v>
          </cell>
          <cell r="H2572">
            <v>0.75</v>
          </cell>
          <cell r="I2572" t="str">
            <v>--</v>
          </cell>
          <cell r="J2572">
            <v>2</v>
          </cell>
          <cell r="K2572">
            <v>2</v>
          </cell>
        </row>
        <row r="2573">
          <cell r="A2573" t="str">
            <v>M2</v>
          </cell>
          <cell r="B2573" t="str">
            <v>A5C</v>
          </cell>
          <cell r="C2573" t="str">
            <v>P</v>
          </cell>
          <cell r="D2573" t="str">
            <v>24018</v>
          </cell>
          <cell r="E2573" t="str">
            <v>CAP</v>
          </cell>
          <cell r="F2573">
            <v>2</v>
          </cell>
          <cell r="G2573" t="str">
            <v>CB520700000T00</v>
          </cell>
          <cell r="H2573">
            <v>0.75</v>
          </cell>
          <cell r="I2573" t="str">
            <v>--</v>
          </cell>
          <cell r="J2573">
            <v>1</v>
          </cell>
          <cell r="K2573">
            <v>1</v>
          </cell>
        </row>
        <row r="2574">
          <cell r="A2574" t="str">
            <v>M2</v>
          </cell>
          <cell r="B2574" t="str">
            <v>A5C</v>
          </cell>
          <cell r="C2574" t="str">
            <v>TRIM</v>
          </cell>
          <cell r="D2574" t="str">
            <v>C-2302</v>
          </cell>
          <cell r="E2574" t="str">
            <v>CAP</v>
          </cell>
          <cell r="F2574">
            <v>2</v>
          </cell>
          <cell r="G2574" t="str">
            <v>CB520700000T00</v>
          </cell>
          <cell r="H2574">
            <v>0.75</v>
          </cell>
          <cell r="I2574" t="str">
            <v>--</v>
          </cell>
          <cell r="J2574">
            <v>2</v>
          </cell>
          <cell r="K2574">
            <v>2</v>
          </cell>
        </row>
        <row r="2575">
          <cell r="A2575" t="str">
            <v>M2</v>
          </cell>
          <cell r="B2575" t="str">
            <v>A5C</v>
          </cell>
          <cell r="C2575" t="str">
            <v>TRIM</v>
          </cell>
          <cell r="D2575" t="str">
            <v>C-2303</v>
          </cell>
          <cell r="E2575" t="str">
            <v>CAP</v>
          </cell>
          <cell r="F2575">
            <v>2</v>
          </cell>
          <cell r="G2575" t="str">
            <v>CB520700000T00</v>
          </cell>
          <cell r="H2575">
            <v>0.75</v>
          </cell>
          <cell r="I2575" t="str">
            <v>--</v>
          </cell>
          <cell r="J2575">
            <v>2</v>
          </cell>
          <cell r="K2575">
            <v>2</v>
          </cell>
        </row>
        <row r="2576">
          <cell r="A2576" t="str">
            <v>M2</v>
          </cell>
          <cell r="B2576" t="str">
            <v>A5C</v>
          </cell>
          <cell r="C2576" t="str">
            <v>TRIM</v>
          </cell>
          <cell r="D2576" t="str">
            <v>C-2304</v>
          </cell>
          <cell r="E2576" t="str">
            <v>CAP</v>
          </cell>
          <cell r="F2576">
            <v>2</v>
          </cell>
          <cell r="G2576" t="str">
            <v>CB520700000T00</v>
          </cell>
          <cell r="H2576">
            <v>0.75</v>
          </cell>
          <cell r="I2576" t="str">
            <v>--</v>
          </cell>
          <cell r="J2576">
            <v>2</v>
          </cell>
          <cell r="K2576">
            <v>2</v>
          </cell>
        </row>
        <row r="2577">
          <cell r="A2577" t="str">
            <v>M2</v>
          </cell>
          <cell r="B2577" t="str">
            <v>A5C</v>
          </cell>
          <cell r="C2577" t="str">
            <v>TRIM</v>
          </cell>
          <cell r="D2577" t="str">
            <v>C-2305</v>
          </cell>
          <cell r="E2577" t="str">
            <v>CAP</v>
          </cell>
          <cell r="F2577">
            <v>2</v>
          </cell>
          <cell r="G2577" t="str">
            <v>CB520700000T00</v>
          </cell>
          <cell r="H2577">
            <v>0.75</v>
          </cell>
          <cell r="I2577" t="str">
            <v>--</v>
          </cell>
          <cell r="J2577">
            <v>2</v>
          </cell>
          <cell r="K2577">
            <v>2</v>
          </cell>
        </row>
        <row r="2578">
          <cell r="A2578" t="str">
            <v>M2</v>
          </cell>
          <cell r="B2578" t="str">
            <v>A5C</v>
          </cell>
          <cell r="C2578" t="str">
            <v>TRIM</v>
          </cell>
          <cell r="D2578" t="str">
            <v>C-2306</v>
          </cell>
          <cell r="E2578" t="str">
            <v>CAP</v>
          </cell>
          <cell r="F2578">
            <v>2</v>
          </cell>
          <cell r="G2578" t="str">
            <v>CB520700000T00</v>
          </cell>
          <cell r="H2578">
            <v>0.75</v>
          </cell>
          <cell r="I2578" t="str">
            <v>--</v>
          </cell>
          <cell r="J2578">
            <v>2</v>
          </cell>
          <cell r="K2578">
            <v>2</v>
          </cell>
        </row>
        <row r="2579">
          <cell r="A2579" t="str">
            <v>M2</v>
          </cell>
          <cell r="B2579" t="str">
            <v>A5C</v>
          </cell>
          <cell r="C2579" t="str">
            <v>TRIM</v>
          </cell>
          <cell r="D2579" t="str">
            <v>V-2302</v>
          </cell>
          <cell r="E2579" t="str">
            <v>CAP</v>
          </cell>
          <cell r="F2579">
            <v>2</v>
          </cell>
          <cell r="G2579" t="str">
            <v>CB520700000T00</v>
          </cell>
          <cell r="H2579">
            <v>0.75</v>
          </cell>
          <cell r="I2579" t="str">
            <v>--</v>
          </cell>
          <cell r="J2579">
            <v>2</v>
          </cell>
          <cell r="K2579">
            <v>2</v>
          </cell>
        </row>
        <row r="2580">
          <cell r="A2580" t="str">
            <v>M2</v>
          </cell>
          <cell r="B2580" t="str">
            <v>A5C</v>
          </cell>
          <cell r="C2580" t="str">
            <v>TRIM</v>
          </cell>
          <cell r="D2580" t="str">
            <v>V-2304</v>
          </cell>
          <cell r="E2580" t="str">
            <v>CAP</v>
          </cell>
          <cell r="F2580">
            <v>2</v>
          </cell>
          <cell r="G2580" t="str">
            <v>CB520700000T00</v>
          </cell>
          <cell r="H2580">
            <v>0.75</v>
          </cell>
          <cell r="I2580" t="str">
            <v>--</v>
          </cell>
          <cell r="J2580">
            <v>2</v>
          </cell>
          <cell r="K2580">
            <v>2</v>
          </cell>
        </row>
        <row r="2581">
          <cell r="A2581" t="str">
            <v>M2</v>
          </cell>
          <cell r="B2581" t="str">
            <v>A5C</v>
          </cell>
          <cell r="C2581" t="str">
            <v>TRIM</v>
          </cell>
          <cell r="D2581" t="str">
            <v>V-2306</v>
          </cell>
          <cell r="E2581" t="str">
            <v>CAP</v>
          </cell>
          <cell r="F2581">
            <v>2</v>
          </cell>
          <cell r="G2581" t="str">
            <v>CB520700000T00</v>
          </cell>
          <cell r="H2581">
            <v>0.75</v>
          </cell>
          <cell r="I2581" t="str">
            <v>--</v>
          </cell>
          <cell r="J2581">
            <v>2</v>
          </cell>
          <cell r="K2581">
            <v>2</v>
          </cell>
        </row>
        <row r="2582">
          <cell r="A2582" t="str">
            <v>M2</v>
          </cell>
          <cell r="B2582" t="str">
            <v>A5C</v>
          </cell>
          <cell r="C2582" t="str">
            <v>TRIM</v>
          </cell>
          <cell r="D2582" t="str">
            <v>V-2308</v>
          </cell>
          <cell r="E2582" t="str">
            <v>CAP</v>
          </cell>
          <cell r="F2582">
            <v>2</v>
          </cell>
          <cell r="G2582" t="str">
            <v>CB520700000T00</v>
          </cell>
          <cell r="H2582">
            <v>0.75</v>
          </cell>
          <cell r="I2582" t="str">
            <v>--</v>
          </cell>
          <cell r="J2582">
            <v>2</v>
          </cell>
          <cell r="K2582">
            <v>2</v>
          </cell>
        </row>
        <row r="2583">
          <cell r="A2583" t="str">
            <v>M2</v>
          </cell>
          <cell r="B2583" t="str">
            <v>A5C</v>
          </cell>
          <cell r="C2583" t="str">
            <v>TRIM</v>
          </cell>
          <cell r="D2583" t="str">
            <v>V-2325</v>
          </cell>
          <cell r="E2583" t="str">
            <v>CAP</v>
          </cell>
          <cell r="F2583">
            <v>2</v>
          </cell>
          <cell r="G2583" t="str">
            <v>CB520700000T00</v>
          </cell>
          <cell r="H2583">
            <v>0.75</v>
          </cell>
          <cell r="I2583" t="str">
            <v>--</v>
          </cell>
          <cell r="J2583">
            <v>2</v>
          </cell>
          <cell r="K2583">
            <v>2</v>
          </cell>
        </row>
        <row r="2584">
          <cell r="A2584" t="str">
            <v>M2</v>
          </cell>
          <cell r="B2584" t="str">
            <v>A5C</v>
          </cell>
          <cell r="C2584" t="str">
            <v>TRIM</v>
          </cell>
          <cell r="D2584" t="str">
            <v>V-2403</v>
          </cell>
          <cell r="E2584" t="str">
            <v>CAP</v>
          </cell>
          <cell r="F2584">
            <v>2</v>
          </cell>
          <cell r="G2584" t="str">
            <v>CB520700000T00</v>
          </cell>
          <cell r="H2584">
            <v>0.75</v>
          </cell>
          <cell r="I2584" t="str">
            <v>--</v>
          </cell>
          <cell r="J2584">
            <v>2</v>
          </cell>
          <cell r="K2584">
            <v>2</v>
          </cell>
        </row>
        <row r="2585">
          <cell r="A2585" t="str">
            <v>M2</v>
          </cell>
          <cell r="B2585" t="str">
            <v>A5C</v>
          </cell>
          <cell r="C2585" t="str">
            <v>P</v>
          </cell>
          <cell r="D2585" t="str">
            <v>23024</v>
          </cell>
          <cell r="E2585" t="str">
            <v>CAP</v>
          </cell>
          <cell r="F2585">
            <v>2</v>
          </cell>
          <cell r="G2585" t="str">
            <v>CB520700000T00</v>
          </cell>
          <cell r="H2585">
            <v>0.75</v>
          </cell>
          <cell r="I2585" t="str">
            <v>--</v>
          </cell>
          <cell r="J2585">
            <v>1</v>
          </cell>
          <cell r="K2585">
            <v>1</v>
          </cell>
        </row>
        <row r="2586">
          <cell r="A2586" t="str">
            <v>M2</v>
          </cell>
          <cell r="B2586" t="str">
            <v>A5C</v>
          </cell>
          <cell r="C2586" t="str">
            <v>P</v>
          </cell>
          <cell r="D2586" t="str">
            <v>23033</v>
          </cell>
          <cell r="E2586" t="str">
            <v>CAP</v>
          </cell>
          <cell r="F2586">
            <v>2</v>
          </cell>
          <cell r="G2586" t="str">
            <v>CB520700000T00</v>
          </cell>
          <cell r="H2586">
            <v>0.75</v>
          </cell>
          <cell r="I2586" t="str">
            <v>--</v>
          </cell>
          <cell r="J2586">
            <v>2</v>
          </cell>
          <cell r="K2586">
            <v>2</v>
          </cell>
        </row>
        <row r="2587">
          <cell r="A2587" t="str">
            <v>M2</v>
          </cell>
          <cell r="B2587" t="str">
            <v>A5C</v>
          </cell>
          <cell r="C2587" t="str">
            <v>P</v>
          </cell>
          <cell r="D2587" t="str">
            <v>23054</v>
          </cell>
          <cell r="E2587" t="str">
            <v>CAP</v>
          </cell>
          <cell r="F2587">
            <v>2</v>
          </cell>
          <cell r="G2587" t="str">
            <v>CB520700000T00</v>
          </cell>
          <cell r="H2587">
            <v>0.75</v>
          </cell>
          <cell r="I2587" t="str">
            <v>--</v>
          </cell>
          <cell r="J2587">
            <v>1</v>
          </cell>
          <cell r="K2587">
            <v>1</v>
          </cell>
        </row>
        <row r="2588">
          <cell r="A2588" t="str">
            <v>M2</v>
          </cell>
          <cell r="B2588" t="str">
            <v>A5C</v>
          </cell>
          <cell r="C2588" t="str">
            <v>P</v>
          </cell>
          <cell r="D2588" t="str">
            <v>23074</v>
          </cell>
          <cell r="E2588" t="str">
            <v>CAP</v>
          </cell>
          <cell r="F2588">
            <v>2</v>
          </cell>
          <cell r="G2588" t="str">
            <v>CB520700000T00</v>
          </cell>
          <cell r="H2588">
            <v>0.75</v>
          </cell>
          <cell r="I2588" t="str">
            <v>--</v>
          </cell>
          <cell r="J2588">
            <v>2</v>
          </cell>
          <cell r="K2588">
            <v>2</v>
          </cell>
        </row>
        <row r="2589">
          <cell r="A2589" t="str">
            <v>M2</v>
          </cell>
          <cell r="B2589" t="str">
            <v>A5C</v>
          </cell>
          <cell r="C2589" t="str">
            <v>P</v>
          </cell>
          <cell r="D2589" t="str">
            <v>23079</v>
          </cell>
          <cell r="E2589" t="str">
            <v>CAP</v>
          </cell>
          <cell r="F2589">
            <v>2</v>
          </cell>
          <cell r="G2589" t="str">
            <v>CB520700000T00</v>
          </cell>
          <cell r="H2589">
            <v>0.75</v>
          </cell>
          <cell r="I2589" t="str">
            <v>--</v>
          </cell>
          <cell r="J2589">
            <v>1</v>
          </cell>
          <cell r="K2589">
            <v>1</v>
          </cell>
        </row>
        <row r="2590">
          <cell r="A2590" t="str">
            <v>M2</v>
          </cell>
          <cell r="B2590" t="str">
            <v>A5C</v>
          </cell>
          <cell r="C2590" t="str">
            <v>P</v>
          </cell>
          <cell r="D2590" t="str">
            <v>23223</v>
          </cell>
          <cell r="E2590" t="str">
            <v>CAP</v>
          </cell>
          <cell r="F2590">
            <v>2</v>
          </cell>
          <cell r="G2590" t="str">
            <v>CB520700000T00</v>
          </cell>
          <cell r="H2590">
            <v>0.75</v>
          </cell>
          <cell r="I2590" t="str">
            <v>--</v>
          </cell>
          <cell r="J2590">
            <v>1</v>
          </cell>
          <cell r="K2590">
            <v>1</v>
          </cell>
        </row>
        <row r="2591">
          <cell r="A2591" t="str">
            <v>M2</v>
          </cell>
          <cell r="B2591" t="str">
            <v>A5C</v>
          </cell>
          <cell r="C2591" t="str">
            <v>TRIM</v>
          </cell>
          <cell r="D2591" t="str">
            <v>V-2313</v>
          </cell>
          <cell r="E2591" t="str">
            <v>CAP</v>
          </cell>
          <cell r="F2591">
            <v>2</v>
          </cell>
          <cell r="G2591" t="str">
            <v>CB520700000T00</v>
          </cell>
          <cell r="H2591">
            <v>0.75</v>
          </cell>
          <cell r="I2591" t="str">
            <v>--</v>
          </cell>
          <cell r="J2591">
            <v>2</v>
          </cell>
          <cell r="K2591">
            <v>2</v>
          </cell>
        </row>
        <row r="2592">
          <cell r="A2592" t="str">
            <v>M2</v>
          </cell>
          <cell r="B2592" t="str">
            <v>A5C</v>
          </cell>
          <cell r="C2592" t="str">
            <v>P</v>
          </cell>
          <cell r="D2592" t="str">
            <v>23048</v>
          </cell>
          <cell r="E2592" t="str">
            <v>CPLG</v>
          </cell>
          <cell r="F2592">
            <v>2</v>
          </cell>
          <cell r="G2592" t="str">
            <v>CB400500000T00</v>
          </cell>
          <cell r="H2592">
            <v>0.75</v>
          </cell>
          <cell r="I2592" t="str">
            <v>--</v>
          </cell>
          <cell r="J2592">
            <v>2</v>
          </cell>
          <cell r="K2592">
            <v>2</v>
          </cell>
        </row>
        <row r="2593">
          <cell r="A2593" t="str">
            <v>M2</v>
          </cell>
          <cell r="B2593" t="str">
            <v>A5C</v>
          </cell>
          <cell r="C2593" t="str">
            <v>P</v>
          </cell>
          <cell r="D2593" t="str">
            <v>23080</v>
          </cell>
          <cell r="E2593" t="str">
            <v>CPLG</v>
          </cell>
          <cell r="F2593">
            <v>2</v>
          </cell>
          <cell r="G2593" t="str">
            <v>CB400500000T00</v>
          </cell>
          <cell r="H2593">
            <v>0.75</v>
          </cell>
          <cell r="I2593" t="str">
            <v>--</v>
          </cell>
          <cell r="J2593">
            <v>7</v>
          </cell>
          <cell r="K2593">
            <v>7</v>
          </cell>
        </row>
        <row r="2594">
          <cell r="A2594" t="str">
            <v>M2</v>
          </cell>
          <cell r="B2594" t="str">
            <v>A5C</v>
          </cell>
          <cell r="C2594" t="str">
            <v>P</v>
          </cell>
          <cell r="D2594" t="str">
            <v>23155</v>
          </cell>
          <cell r="E2594" t="str">
            <v>CPLG</v>
          </cell>
          <cell r="F2594">
            <v>2</v>
          </cell>
          <cell r="G2594" t="str">
            <v>CB400500000T00</v>
          </cell>
          <cell r="H2594">
            <v>0.75</v>
          </cell>
          <cell r="I2594" t="str">
            <v>--</v>
          </cell>
          <cell r="J2594">
            <v>2</v>
          </cell>
          <cell r="K2594">
            <v>2</v>
          </cell>
        </row>
        <row r="2595">
          <cell r="A2595" t="str">
            <v>M2</v>
          </cell>
          <cell r="B2595" t="str">
            <v>A5C</v>
          </cell>
          <cell r="C2595" t="str">
            <v>P</v>
          </cell>
          <cell r="D2595" t="str">
            <v>23163</v>
          </cell>
          <cell r="E2595" t="str">
            <v>CPLG</v>
          </cell>
          <cell r="F2595">
            <v>2</v>
          </cell>
          <cell r="G2595" t="str">
            <v>CB400500000T00</v>
          </cell>
          <cell r="H2595">
            <v>0.75</v>
          </cell>
          <cell r="I2595" t="str">
            <v>--</v>
          </cell>
          <cell r="J2595">
            <v>1</v>
          </cell>
          <cell r="K2595">
            <v>1</v>
          </cell>
        </row>
        <row r="2596">
          <cell r="A2596" t="str">
            <v>M2</v>
          </cell>
          <cell r="B2596" t="str">
            <v>A5C</v>
          </cell>
          <cell r="C2596" t="str">
            <v>P</v>
          </cell>
          <cell r="D2596" t="str">
            <v>23193</v>
          </cell>
          <cell r="E2596" t="str">
            <v>CPLG</v>
          </cell>
          <cell r="F2596">
            <v>2</v>
          </cell>
          <cell r="G2596" t="str">
            <v>CB400500000T00</v>
          </cell>
          <cell r="H2596">
            <v>0.75</v>
          </cell>
          <cell r="I2596" t="str">
            <v>--</v>
          </cell>
          <cell r="J2596">
            <v>1</v>
          </cell>
          <cell r="K2596">
            <v>1</v>
          </cell>
        </row>
        <row r="2597">
          <cell r="A2597" t="str">
            <v>M2</v>
          </cell>
          <cell r="B2597" t="str">
            <v>A5C</v>
          </cell>
          <cell r="C2597" t="str">
            <v>P</v>
          </cell>
          <cell r="D2597" t="str">
            <v>23219</v>
          </cell>
          <cell r="E2597" t="str">
            <v>CPLG</v>
          </cell>
          <cell r="F2597">
            <v>2</v>
          </cell>
          <cell r="G2597" t="str">
            <v>CB400500000T00</v>
          </cell>
          <cell r="H2597">
            <v>0.75</v>
          </cell>
          <cell r="I2597" t="str">
            <v>--</v>
          </cell>
          <cell r="J2597">
            <v>2</v>
          </cell>
          <cell r="K2597">
            <v>2</v>
          </cell>
        </row>
        <row r="2598">
          <cell r="A2598" t="str">
            <v>M2</v>
          </cell>
          <cell r="B2598" t="str">
            <v>A5C</v>
          </cell>
          <cell r="C2598" t="str">
            <v>P</v>
          </cell>
          <cell r="D2598" t="str">
            <v>24016</v>
          </cell>
          <cell r="E2598" t="str">
            <v>CPLG</v>
          </cell>
          <cell r="F2598">
            <v>2</v>
          </cell>
          <cell r="G2598" t="str">
            <v>CB400500000T00</v>
          </cell>
          <cell r="H2598">
            <v>0.75</v>
          </cell>
          <cell r="I2598" t="str">
            <v>--</v>
          </cell>
          <cell r="J2598">
            <v>7</v>
          </cell>
          <cell r="K2598">
            <v>7</v>
          </cell>
        </row>
        <row r="2599">
          <cell r="A2599" t="str">
            <v>M2</v>
          </cell>
          <cell r="B2599" t="str">
            <v>A5C</v>
          </cell>
          <cell r="C2599" t="str">
            <v>P</v>
          </cell>
          <cell r="D2599" t="str">
            <v>24017</v>
          </cell>
          <cell r="E2599" t="str">
            <v>CPLG</v>
          </cell>
          <cell r="F2599">
            <v>2</v>
          </cell>
          <cell r="G2599" t="str">
            <v>CB400500000T00</v>
          </cell>
          <cell r="H2599">
            <v>0.75</v>
          </cell>
          <cell r="I2599" t="str">
            <v>--</v>
          </cell>
          <cell r="J2599">
            <v>1</v>
          </cell>
          <cell r="K2599">
            <v>1</v>
          </cell>
        </row>
        <row r="2600">
          <cell r="A2600" t="str">
            <v>M2</v>
          </cell>
          <cell r="B2600" t="str">
            <v>A5C</v>
          </cell>
          <cell r="C2600" t="str">
            <v>P</v>
          </cell>
          <cell r="D2600" t="str">
            <v>24018</v>
          </cell>
          <cell r="E2600" t="str">
            <v>CPLG</v>
          </cell>
          <cell r="F2600">
            <v>2</v>
          </cell>
          <cell r="G2600" t="str">
            <v>CB400500000T00</v>
          </cell>
          <cell r="H2600">
            <v>0.75</v>
          </cell>
          <cell r="I2600" t="str">
            <v>--</v>
          </cell>
          <cell r="J2600">
            <v>8</v>
          </cell>
          <cell r="K2600">
            <v>8</v>
          </cell>
        </row>
        <row r="2601">
          <cell r="A2601" t="str">
            <v>M2</v>
          </cell>
          <cell r="B2601" t="str">
            <v>A5C</v>
          </cell>
          <cell r="C2601" t="str">
            <v>P</v>
          </cell>
          <cell r="D2601" t="str">
            <v>23028</v>
          </cell>
          <cell r="E2601" t="str">
            <v>CPLG</v>
          </cell>
          <cell r="F2601">
            <v>2</v>
          </cell>
          <cell r="G2601" t="str">
            <v>CB400500000T00</v>
          </cell>
          <cell r="H2601">
            <v>0.75</v>
          </cell>
          <cell r="I2601" t="str">
            <v>--</v>
          </cell>
          <cell r="J2601">
            <v>5</v>
          </cell>
          <cell r="K2601">
            <v>5</v>
          </cell>
        </row>
        <row r="2602">
          <cell r="A2602" t="str">
            <v>M2</v>
          </cell>
          <cell r="B2602" t="str">
            <v>A5C</v>
          </cell>
          <cell r="C2602" t="str">
            <v>P</v>
          </cell>
          <cell r="D2602" t="str">
            <v>23079</v>
          </cell>
          <cell r="E2602" t="str">
            <v>CPLG</v>
          </cell>
          <cell r="F2602">
            <v>2</v>
          </cell>
          <cell r="G2602" t="str">
            <v>CB400500000T00</v>
          </cell>
          <cell r="H2602">
            <v>0.75</v>
          </cell>
          <cell r="I2602" t="str">
            <v>--</v>
          </cell>
          <cell r="J2602">
            <v>1</v>
          </cell>
          <cell r="K2602">
            <v>1</v>
          </cell>
        </row>
        <row r="2603">
          <cell r="A2603" t="str">
            <v>M2</v>
          </cell>
          <cell r="B2603" t="str">
            <v>A5C</v>
          </cell>
          <cell r="C2603" t="str">
            <v>P</v>
          </cell>
          <cell r="D2603" t="str">
            <v>23053</v>
          </cell>
          <cell r="E2603" t="str">
            <v>NPL</v>
          </cell>
          <cell r="F2603">
            <v>2</v>
          </cell>
          <cell r="G2603" t="str">
            <v>CB132108000TVR</v>
          </cell>
          <cell r="H2603">
            <v>0.75</v>
          </cell>
          <cell r="I2603" t="str">
            <v>75mm</v>
          </cell>
          <cell r="J2603">
            <v>1</v>
          </cell>
          <cell r="K2603">
            <v>1</v>
          </cell>
        </row>
        <row r="2604">
          <cell r="A2604" t="str">
            <v>M2</v>
          </cell>
          <cell r="B2604" t="str">
            <v>A5C</v>
          </cell>
          <cell r="C2604" t="str">
            <v>P</v>
          </cell>
          <cell r="D2604" t="str">
            <v>23051</v>
          </cell>
          <cell r="E2604" t="str">
            <v>NPL</v>
          </cell>
          <cell r="F2604">
            <v>2</v>
          </cell>
          <cell r="G2604" t="str">
            <v>CB132108000TVR</v>
          </cell>
          <cell r="H2604">
            <v>0.75</v>
          </cell>
          <cell r="I2604" t="str">
            <v>75mm</v>
          </cell>
          <cell r="J2604">
            <v>2</v>
          </cell>
          <cell r="K2604">
            <v>2</v>
          </cell>
        </row>
        <row r="2605">
          <cell r="A2605" t="str">
            <v>M2</v>
          </cell>
          <cell r="B2605" t="str">
            <v>A5C</v>
          </cell>
          <cell r="C2605" t="str">
            <v>P</v>
          </cell>
          <cell r="D2605" t="str">
            <v>23053</v>
          </cell>
          <cell r="E2605" t="str">
            <v>NPL</v>
          </cell>
          <cell r="F2605">
            <v>2</v>
          </cell>
          <cell r="G2605" t="str">
            <v>CB132108000TVR</v>
          </cell>
          <cell r="H2605">
            <v>0.75</v>
          </cell>
          <cell r="I2605" t="str">
            <v>75mm</v>
          </cell>
          <cell r="J2605">
            <v>2</v>
          </cell>
          <cell r="K2605">
            <v>2</v>
          </cell>
        </row>
        <row r="2606">
          <cell r="A2606" t="str">
            <v>M2</v>
          </cell>
          <cell r="B2606" t="str">
            <v>A5C</v>
          </cell>
          <cell r="C2606" t="str">
            <v>TRIM</v>
          </cell>
          <cell r="D2606" t="str">
            <v>C-2302</v>
          </cell>
          <cell r="E2606" t="str">
            <v>NPL</v>
          </cell>
          <cell r="F2606">
            <v>2</v>
          </cell>
          <cell r="G2606" t="str">
            <v>CB132108000TVR</v>
          </cell>
          <cell r="H2606">
            <v>0.75</v>
          </cell>
          <cell r="I2606" t="str">
            <v>75mm</v>
          </cell>
          <cell r="J2606">
            <v>2</v>
          </cell>
          <cell r="K2606">
            <v>2</v>
          </cell>
        </row>
        <row r="2607">
          <cell r="A2607" t="str">
            <v>M2</v>
          </cell>
          <cell r="B2607" t="str">
            <v>A5C</v>
          </cell>
          <cell r="C2607" t="str">
            <v>TRIM</v>
          </cell>
          <cell r="D2607" t="str">
            <v>C-2303</v>
          </cell>
          <cell r="E2607" t="str">
            <v>NPL</v>
          </cell>
          <cell r="F2607">
            <v>2</v>
          </cell>
          <cell r="G2607" t="str">
            <v>CB132108000TVR</v>
          </cell>
          <cell r="H2607">
            <v>0.75</v>
          </cell>
          <cell r="I2607" t="str">
            <v>75mm</v>
          </cell>
          <cell r="J2607">
            <v>2</v>
          </cell>
          <cell r="K2607">
            <v>2</v>
          </cell>
        </row>
        <row r="2608">
          <cell r="A2608" t="str">
            <v>M2</v>
          </cell>
          <cell r="B2608" t="str">
            <v>A5C</v>
          </cell>
          <cell r="C2608" t="str">
            <v>TRIM</v>
          </cell>
          <cell r="D2608" t="str">
            <v>C-2304</v>
          </cell>
          <cell r="E2608" t="str">
            <v>NPL</v>
          </cell>
          <cell r="F2608">
            <v>2</v>
          </cell>
          <cell r="G2608" t="str">
            <v>CB132108000TVR</v>
          </cell>
          <cell r="H2608">
            <v>0.75</v>
          </cell>
          <cell r="I2608" t="str">
            <v>75mm</v>
          </cell>
          <cell r="J2608">
            <v>2</v>
          </cell>
          <cell r="K2608">
            <v>2</v>
          </cell>
        </row>
        <row r="2609">
          <cell r="A2609" t="str">
            <v>M2</v>
          </cell>
          <cell r="B2609" t="str">
            <v>A5C</v>
          </cell>
          <cell r="C2609" t="str">
            <v>TRIM</v>
          </cell>
          <cell r="D2609" t="str">
            <v>C-2305</v>
          </cell>
          <cell r="E2609" t="str">
            <v>NPL</v>
          </cell>
          <cell r="F2609">
            <v>2</v>
          </cell>
          <cell r="G2609" t="str">
            <v>CB132108000TVR</v>
          </cell>
          <cell r="H2609">
            <v>0.75</v>
          </cell>
          <cell r="I2609" t="str">
            <v>75mm</v>
          </cell>
          <cell r="J2609">
            <v>2</v>
          </cell>
          <cell r="K2609">
            <v>2</v>
          </cell>
        </row>
        <row r="2610">
          <cell r="A2610" t="str">
            <v>M2</v>
          </cell>
          <cell r="B2610" t="str">
            <v>A5C</v>
          </cell>
          <cell r="C2610" t="str">
            <v>TRIM</v>
          </cell>
          <cell r="D2610" t="str">
            <v>C-2306</v>
          </cell>
          <cell r="E2610" t="str">
            <v>NPL</v>
          </cell>
          <cell r="F2610">
            <v>2</v>
          </cell>
          <cell r="G2610" t="str">
            <v>CB132108000TVR</v>
          </cell>
          <cell r="H2610">
            <v>0.75</v>
          </cell>
          <cell r="I2610" t="str">
            <v>75mm</v>
          </cell>
          <cell r="J2610">
            <v>2</v>
          </cell>
          <cell r="K2610">
            <v>2</v>
          </cell>
        </row>
        <row r="2611">
          <cell r="A2611" t="str">
            <v>M2</v>
          </cell>
          <cell r="B2611" t="str">
            <v>A5C</v>
          </cell>
          <cell r="C2611" t="str">
            <v>TRIM</v>
          </cell>
          <cell r="D2611" t="str">
            <v>V-2306</v>
          </cell>
          <cell r="E2611" t="str">
            <v>NPL</v>
          </cell>
          <cell r="F2611">
            <v>2</v>
          </cell>
          <cell r="G2611" t="str">
            <v>CB132108000TVR</v>
          </cell>
          <cell r="H2611">
            <v>0.75</v>
          </cell>
          <cell r="I2611" t="str">
            <v>75mm</v>
          </cell>
          <cell r="J2611">
            <v>2</v>
          </cell>
          <cell r="K2611">
            <v>2</v>
          </cell>
        </row>
        <row r="2612">
          <cell r="A2612" t="str">
            <v>M2</v>
          </cell>
          <cell r="B2612" t="str">
            <v>A5C</v>
          </cell>
          <cell r="C2612" t="str">
            <v>TRIM</v>
          </cell>
          <cell r="D2612" t="str">
            <v>V-2308</v>
          </cell>
          <cell r="E2612" t="str">
            <v>NPL</v>
          </cell>
          <cell r="F2612">
            <v>2</v>
          </cell>
          <cell r="G2612" t="str">
            <v>CB132108000TVR</v>
          </cell>
          <cell r="H2612">
            <v>0.75</v>
          </cell>
          <cell r="I2612" t="str">
            <v>75mm</v>
          </cell>
          <cell r="J2612">
            <v>2</v>
          </cell>
          <cell r="K2612">
            <v>2</v>
          </cell>
        </row>
        <row r="2613">
          <cell r="A2613" t="str">
            <v>M2</v>
          </cell>
          <cell r="B2613" t="str">
            <v>A5C</v>
          </cell>
          <cell r="C2613" t="str">
            <v>TRIM</v>
          </cell>
          <cell r="D2613" t="str">
            <v>V-2310</v>
          </cell>
          <cell r="E2613" t="str">
            <v>NPL</v>
          </cell>
          <cell r="F2613">
            <v>2</v>
          </cell>
          <cell r="G2613" t="str">
            <v>CB132108000TVR</v>
          </cell>
          <cell r="H2613">
            <v>0.75</v>
          </cell>
          <cell r="I2613" t="str">
            <v>75mm</v>
          </cell>
          <cell r="J2613">
            <v>2</v>
          </cell>
          <cell r="K2613">
            <v>2</v>
          </cell>
        </row>
        <row r="2614">
          <cell r="A2614" t="str">
            <v>M2</v>
          </cell>
          <cell r="B2614" t="str">
            <v>A5C</v>
          </cell>
          <cell r="C2614" t="str">
            <v>TRIM</v>
          </cell>
          <cell r="D2614" t="str">
            <v>V-2313</v>
          </cell>
          <cell r="E2614" t="str">
            <v>NPL</v>
          </cell>
          <cell r="F2614">
            <v>2</v>
          </cell>
          <cell r="G2614" t="str">
            <v>CB132108000TVR</v>
          </cell>
          <cell r="H2614">
            <v>0.75</v>
          </cell>
          <cell r="I2614" t="str">
            <v>75mm</v>
          </cell>
          <cell r="J2614">
            <v>2</v>
          </cell>
          <cell r="K2614">
            <v>2</v>
          </cell>
        </row>
        <row r="2615">
          <cell r="A2615" t="str">
            <v>M2</v>
          </cell>
          <cell r="B2615" t="str">
            <v>A5C</v>
          </cell>
          <cell r="C2615" t="str">
            <v>TRIM</v>
          </cell>
          <cell r="D2615" t="str">
            <v>V-2302</v>
          </cell>
          <cell r="E2615" t="str">
            <v>NPL</v>
          </cell>
          <cell r="F2615">
            <v>2</v>
          </cell>
          <cell r="G2615" t="str">
            <v>CB132108000TVR</v>
          </cell>
          <cell r="H2615">
            <v>0.75</v>
          </cell>
          <cell r="I2615" t="str">
            <v>75mm</v>
          </cell>
          <cell r="J2615">
            <v>2</v>
          </cell>
          <cell r="K2615">
            <v>2</v>
          </cell>
        </row>
        <row r="2616">
          <cell r="A2616" t="str">
            <v>M2</v>
          </cell>
          <cell r="B2616" t="str">
            <v>A5C</v>
          </cell>
          <cell r="C2616" t="str">
            <v>TRIM</v>
          </cell>
          <cell r="D2616" t="str">
            <v>V-2304</v>
          </cell>
          <cell r="E2616" t="str">
            <v>NPL</v>
          </cell>
          <cell r="F2616">
            <v>2</v>
          </cell>
          <cell r="G2616" t="str">
            <v>CB132108000TVR</v>
          </cell>
          <cell r="H2616">
            <v>0.75</v>
          </cell>
          <cell r="I2616" t="str">
            <v>75mm</v>
          </cell>
          <cell r="J2616">
            <v>2</v>
          </cell>
          <cell r="K2616">
            <v>2</v>
          </cell>
        </row>
        <row r="2617">
          <cell r="A2617" t="str">
            <v>M2</v>
          </cell>
          <cell r="B2617" t="str">
            <v>A5C</v>
          </cell>
          <cell r="C2617" t="str">
            <v>TRIM</v>
          </cell>
          <cell r="D2617" t="str">
            <v>V-2325</v>
          </cell>
          <cell r="E2617" t="str">
            <v>NPL</v>
          </cell>
          <cell r="F2617">
            <v>2</v>
          </cell>
          <cell r="G2617" t="str">
            <v>CB132108000TVR</v>
          </cell>
          <cell r="H2617">
            <v>0.75</v>
          </cell>
          <cell r="I2617" t="str">
            <v>75mm</v>
          </cell>
          <cell r="J2617">
            <v>2</v>
          </cell>
          <cell r="K2617">
            <v>2</v>
          </cell>
        </row>
        <row r="2618">
          <cell r="A2618" t="str">
            <v>M2</v>
          </cell>
          <cell r="B2618" t="str">
            <v>A5C</v>
          </cell>
          <cell r="C2618" t="str">
            <v>P</v>
          </cell>
          <cell r="D2618" t="str">
            <v>23028</v>
          </cell>
          <cell r="E2618" t="str">
            <v>TEE</v>
          </cell>
          <cell r="F2618">
            <v>2</v>
          </cell>
          <cell r="G2618" t="str">
            <v>CB400300000T00</v>
          </cell>
          <cell r="H2618">
            <v>0.75</v>
          </cell>
          <cell r="I2618" t="str">
            <v>--</v>
          </cell>
          <cell r="J2618">
            <v>4</v>
          </cell>
          <cell r="K2618">
            <v>4</v>
          </cell>
        </row>
        <row r="2619">
          <cell r="A2619" t="str">
            <v>M2</v>
          </cell>
          <cell r="B2619" t="str">
            <v>A5C</v>
          </cell>
          <cell r="C2619" t="str">
            <v>P</v>
          </cell>
          <cell r="D2619" t="str">
            <v>23048</v>
          </cell>
          <cell r="E2619" t="str">
            <v>TEE</v>
          </cell>
          <cell r="F2619">
            <v>2</v>
          </cell>
          <cell r="G2619" t="str">
            <v>CB400300000T00</v>
          </cell>
          <cell r="H2619">
            <v>0.75</v>
          </cell>
          <cell r="I2619" t="str">
            <v>--</v>
          </cell>
          <cell r="J2619">
            <v>3</v>
          </cell>
          <cell r="K2619">
            <v>3</v>
          </cell>
        </row>
        <row r="2620">
          <cell r="A2620" t="str">
            <v>M2</v>
          </cell>
          <cell r="B2620" t="str">
            <v>A5C</v>
          </cell>
          <cell r="C2620" t="str">
            <v>P</v>
          </cell>
          <cell r="D2620" t="str">
            <v>23080</v>
          </cell>
          <cell r="E2620" t="str">
            <v>TEE</v>
          </cell>
          <cell r="F2620">
            <v>2</v>
          </cell>
          <cell r="G2620" t="str">
            <v>CB400300000T00</v>
          </cell>
          <cell r="H2620">
            <v>0.75</v>
          </cell>
          <cell r="I2620" t="str">
            <v>--</v>
          </cell>
          <cell r="J2620">
            <v>3</v>
          </cell>
          <cell r="K2620">
            <v>3</v>
          </cell>
        </row>
        <row r="2621">
          <cell r="A2621" t="str">
            <v>M2</v>
          </cell>
          <cell r="B2621" t="str">
            <v>A5C</v>
          </cell>
          <cell r="C2621" t="str">
            <v>P</v>
          </cell>
          <cell r="D2621" t="str">
            <v>23079</v>
          </cell>
          <cell r="E2621" t="str">
            <v>TEE</v>
          </cell>
          <cell r="F2621">
            <v>2</v>
          </cell>
          <cell r="G2621" t="str">
            <v>CB400300000T00</v>
          </cell>
          <cell r="H2621">
            <v>0.75</v>
          </cell>
          <cell r="I2621" t="str">
            <v>--</v>
          </cell>
          <cell r="J2621">
            <v>2</v>
          </cell>
          <cell r="K2621">
            <v>2</v>
          </cell>
        </row>
        <row r="2622">
          <cell r="A2622" t="str">
            <v>M2</v>
          </cell>
          <cell r="B2622" t="str">
            <v>A5C</v>
          </cell>
          <cell r="C2622" t="str">
            <v>P</v>
          </cell>
          <cell r="D2622" t="str">
            <v>23091</v>
          </cell>
          <cell r="E2622" t="str">
            <v>TEE</v>
          </cell>
          <cell r="F2622">
            <v>2</v>
          </cell>
          <cell r="G2622" t="str">
            <v>CB400300000T00</v>
          </cell>
          <cell r="H2622">
            <v>0.75</v>
          </cell>
          <cell r="I2622" t="str">
            <v>--</v>
          </cell>
          <cell r="J2622">
            <v>2</v>
          </cell>
          <cell r="K2622">
            <v>2</v>
          </cell>
        </row>
        <row r="2623">
          <cell r="A2623" t="str">
            <v>M2</v>
          </cell>
          <cell r="B2623" t="str">
            <v>A5C</v>
          </cell>
          <cell r="C2623" t="str">
            <v>P</v>
          </cell>
          <cell r="D2623" t="str">
            <v>23173</v>
          </cell>
          <cell r="E2623" t="str">
            <v>TEE</v>
          </cell>
          <cell r="F2623">
            <v>2</v>
          </cell>
          <cell r="G2623" t="str">
            <v>CB400300000T00</v>
          </cell>
          <cell r="H2623">
            <v>0.75</v>
          </cell>
          <cell r="I2623" t="str">
            <v>--</v>
          </cell>
          <cell r="J2623">
            <v>2</v>
          </cell>
          <cell r="K2623">
            <v>2</v>
          </cell>
        </row>
        <row r="2624">
          <cell r="A2624" t="str">
            <v>M2</v>
          </cell>
          <cell r="B2624" t="str">
            <v>A5C</v>
          </cell>
          <cell r="C2624" t="str">
            <v>P</v>
          </cell>
          <cell r="D2624" t="str">
            <v>23191</v>
          </cell>
          <cell r="E2624" t="str">
            <v>TEE</v>
          </cell>
          <cell r="F2624">
            <v>2</v>
          </cell>
          <cell r="G2624" t="str">
            <v>CB400300000T00</v>
          </cell>
          <cell r="H2624">
            <v>0.75</v>
          </cell>
          <cell r="I2624" t="str">
            <v>--</v>
          </cell>
          <cell r="J2624">
            <v>2</v>
          </cell>
          <cell r="K2624">
            <v>2</v>
          </cell>
        </row>
        <row r="2625">
          <cell r="A2625" t="str">
            <v>M2</v>
          </cell>
          <cell r="B2625" t="str">
            <v>A5C</v>
          </cell>
          <cell r="C2625" t="str">
            <v>P</v>
          </cell>
          <cell r="D2625" t="str">
            <v>24016</v>
          </cell>
          <cell r="E2625" t="str">
            <v>TEE</v>
          </cell>
          <cell r="F2625">
            <v>2</v>
          </cell>
          <cell r="G2625" t="str">
            <v>CB400300000T00</v>
          </cell>
          <cell r="H2625">
            <v>0.75</v>
          </cell>
          <cell r="I2625" t="str">
            <v>--</v>
          </cell>
          <cell r="J2625">
            <v>4</v>
          </cell>
          <cell r="K2625">
            <v>4</v>
          </cell>
        </row>
        <row r="2626">
          <cell r="A2626" t="str">
            <v>M2</v>
          </cell>
          <cell r="B2626" t="str">
            <v>A5C</v>
          </cell>
          <cell r="C2626" t="str">
            <v>P</v>
          </cell>
          <cell r="D2626" t="str">
            <v>24018</v>
          </cell>
          <cell r="E2626" t="str">
            <v>TEE</v>
          </cell>
          <cell r="F2626">
            <v>2</v>
          </cell>
          <cell r="G2626" t="str">
            <v>CB400300000T00</v>
          </cell>
          <cell r="H2626">
            <v>0.75</v>
          </cell>
          <cell r="I2626" t="str">
            <v>--</v>
          </cell>
          <cell r="J2626">
            <v>4</v>
          </cell>
          <cell r="K2626">
            <v>4</v>
          </cell>
        </row>
        <row r="2627">
          <cell r="A2627" t="str">
            <v>M2</v>
          </cell>
          <cell r="B2627" t="str">
            <v>A5C</v>
          </cell>
          <cell r="C2627" t="str">
            <v>TRIM</v>
          </cell>
          <cell r="D2627" t="str">
            <v>C-2303</v>
          </cell>
          <cell r="E2627" t="str">
            <v>TEE</v>
          </cell>
          <cell r="F2627">
            <v>2</v>
          </cell>
          <cell r="G2627" t="str">
            <v>CB400300000T00</v>
          </cell>
          <cell r="H2627">
            <v>0.75</v>
          </cell>
          <cell r="I2627" t="str">
            <v>--</v>
          </cell>
          <cell r="J2627">
            <v>1</v>
          </cell>
          <cell r="K2627">
            <v>1</v>
          </cell>
        </row>
        <row r="2628">
          <cell r="A2628" t="str">
            <v>M2</v>
          </cell>
          <cell r="B2628" t="str">
            <v>A5C</v>
          </cell>
          <cell r="C2628" t="str">
            <v>TRIM</v>
          </cell>
          <cell r="D2628" t="str">
            <v>C-2304</v>
          </cell>
          <cell r="E2628" t="str">
            <v>TEE</v>
          </cell>
          <cell r="F2628">
            <v>2</v>
          </cell>
          <cell r="G2628" t="str">
            <v>CB400300000T00</v>
          </cell>
          <cell r="H2628">
            <v>0.75</v>
          </cell>
          <cell r="I2628" t="str">
            <v>--</v>
          </cell>
          <cell r="J2628">
            <v>1</v>
          </cell>
          <cell r="K2628">
            <v>1</v>
          </cell>
        </row>
        <row r="2629">
          <cell r="A2629" t="str">
            <v>M2</v>
          </cell>
          <cell r="B2629" t="str">
            <v>A5C</v>
          </cell>
          <cell r="C2629" t="str">
            <v>TRIM</v>
          </cell>
          <cell r="D2629" t="str">
            <v>C-2305</v>
          </cell>
          <cell r="E2629" t="str">
            <v>TEE</v>
          </cell>
          <cell r="F2629">
            <v>2</v>
          </cell>
          <cell r="G2629" t="str">
            <v>CB400300000T00</v>
          </cell>
          <cell r="H2629">
            <v>0.75</v>
          </cell>
          <cell r="I2629" t="str">
            <v>--</v>
          </cell>
          <cell r="J2629">
            <v>1</v>
          </cell>
          <cell r="K2629">
            <v>1</v>
          </cell>
        </row>
        <row r="2630">
          <cell r="A2630" t="str">
            <v>M2</v>
          </cell>
          <cell r="B2630" t="str">
            <v>A5C</v>
          </cell>
          <cell r="C2630" t="str">
            <v>TRIM</v>
          </cell>
          <cell r="D2630" t="str">
            <v>C-2306</v>
          </cell>
          <cell r="E2630" t="str">
            <v>TEE</v>
          </cell>
          <cell r="F2630">
            <v>2</v>
          </cell>
          <cell r="G2630" t="str">
            <v>CB400300000T00</v>
          </cell>
          <cell r="H2630">
            <v>0.75</v>
          </cell>
          <cell r="I2630" t="str">
            <v>--</v>
          </cell>
          <cell r="J2630">
            <v>1</v>
          </cell>
          <cell r="K2630">
            <v>1</v>
          </cell>
        </row>
        <row r="2631">
          <cell r="A2631" t="str">
            <v>M2</v>
          </cell>
          <cell r="B2631" t="str">
            <v>A5C</v>
          </cell>
          <cell r="C2631" t="str">
            <v>P</v>
          </cell>
          <cell r="D2631" t="str">
            <v>23053</v>
          </cell>
          <cell r="E2631" t="str">
            <v>TEE</v>
          </cell>
          <cell r="F2631">
            <v>2</v>
          </cell>
          <cell r="G2631" t="str">
            <v>CB400300000T00</v>
          </cell>
          <cell r="H2631">
            <v>0.75</v>
          </cell>
          <cell r="I2631" t="str">
            <v>--</v>
          </cell>
          <cell r="J2631">
            <v>4</v>
          </cell>
          <cell r="K2631">
            <v>4</v>
          </cell>
        </row>
        <row r="2632">
          <cell r="A2632" t="str">
            <v>M2</v>
          </cell>
          <cell r="B2632" t="str">
            <v>A5C</v>
          </cell>
          <cell r="C2632" t="str">
            <v>P</v>
          </cell>
          <cell r="D2632" t="str">
            <v>23130</v>
          </cell>
          <cell r="E2632" t="str">
            <v>TEE</v>
          </cell>
          <cell r="F2632">
            <v>2</v>
          </cell>
          <cell r="G2632" t="str">
            <v>CB400300000T00</v>
          </cell>
          <cell r="H2632">
            <v>0.75</v>
          </cell>
          <cell r="I2632" t="str">
            <v>--</v>
          </cell>
          <cell r="J2632">
            <v>2</v>
          </cell>
          <cell r="K2632">
            <v>2</v>
          </cell>
        </row>
        <row r="2633">
          <cell r="A2633" t="str">
            <v>M2</v>
          </cell>
          <cell r="B2633" t="str">
            <v>A5C</v>
          </cell>
          <cell r="C2633" t="str">
            <v>P</v>
          </cell>
          <cell r="D2633" t="str">
            <v>23180</v>
          </cell>
          <cell r="E2633" t="str">
            <v>TEE</v>
          </cell>
          <cell r="F2633">
            <v>2</v>
          </cell>
          <cell r="G2633" t="str">
            <v>CB400300000T00</v>
          </cell>
          <cell r="H2633">
            <v>0.75</v>
          </cell>
          <cell r="I2633" t="str">
            <v>--</v>
          </cell>
          <cell r="J2633">
            <v>2</v>
          </cell>
          <cell r="K2633">
            <v>2</v>
          </cell>
        </row>
        <row r="2634">
          <cell r="A2634" t="str">
            <v>M2</v>
          </cell>
          <cell r="B2634" t="str">
            <v>A5C</v>
          </cell>
          <cell r="C2634" t="str">
            <v>P</v>
          </cell>
          <cell r="D2634" t="str">
            <v>24017</v>
          </cell>
          <cell r="E2634" t="str">
            <v>TEE</v>
          </cell>
          <cell r="F2634">
            <v>2</v>
          </cell>
          <cell r="G2634" t="str">
            <v>CB400300000T00</v>
          </cell>
          <cell r="H2634">
            <v>0.75</v>
          </cell>
          <cell r="I2634" t="str">
            <v>--</v>
          </cell>
          <cell r="J2634">
            <v>5</v>
          </cell>
          <cell r="K2634">
            <v>5</v>
          </cell>
        </row>
        <row r="2635">
          <cell r="A2635" t="str">
            <v>M2</v>
          </cell>
          <cell r="B2635" t="str">
            <v>A5C</v>
          </cell>
          <cell r="C2635" t="str">
            <v>TRIM</v>
          </cell>
          <cell r="D2635" t="str">
            <v>C-2302</v>
          </cell>
          <cell r="E2635" t="str">
            <v>TEE</v>
          </cell>
          <cell r="F2635">
            <v>2</v>
          </cell>
          <cell r="G2635" t="str">
            <v>CB400300000T00</v>
          </cell>
          <cell r="H2635">
            <v>0.75</v>
          </cell>
          <cell r="I2635" t="str">
            <v>--</v>
          </cell>
          <cell r="J2635">
            <v>1</v>
          </cell>
          <cell r="K2635">
            <v>1</v>
          </cell>
        </row>
        <row r="2636">
          <cell r="A2636" t="str">
            <v>M2</v>
          </cell>
          <cell r="B2636" t="str">
            <v>A5C</v>
          </cell>
          <cell r="C2636" t="str">
            <v>P</v>
          </cell>
          <cell r="D2636" t="str">
            <v>23014</v>
          </cell>
          <cell r="E2636" t="str">
            <v>90 ELL</v>
          </cell>
          <cell r="F2636">
            <v>2</v>
          </cell>
          <cell r="G2636" t="str">
            <v>CB400100000T00</v>
          </cell>
          <cell r="H2636">
            <v>0.75</v>
          </cell>
          <cell r="I2636" t="str">
            <v>--</v>
          </cell>
          <cell r="J2636">
            <v>4</v>
          </cell>
          <cell r="K2636">
            <v>4</v>
          </cell>
        </row>
        <row r="2637">
          <cell r="A2637" t="str">
            <v>M2</v>
          </cell>
          <cell r="B2637" t="str">
            <v>A5C</v>
          </cell>
          <cell r="C2637" t="str">
            <v>P</v>
          </cell>
          <cell r="D2637" t="str">
            <v>23156</v>
          </cell>
          <cell r="E2637" t="str">
            <v>90 ELL</v>
          </cell>
          <cell r="F2637">
            <v>2</v>
          </cell>
          <cell r="G2637" t="str">
            <v>CB400100000T00</v>
          </cell>
          <cell r="H2637">
            <v>0.75</v>
          </cell>
          <cell r="I2637" t="str">
            <v>--</v>
          </cell>
          <cell r="J2637">
            <v>12</v>
          </cell>
          <cell r="K2637">
            <v>12</v>
          </cell>
        </row>
        <row r="2638">
          <cell r="A2638" t="str">
            <v>M2</v>
          </cell>
          <cell r="B2638" t="str">
            <v>A5C</v>
          </cell>
          <cell r="C2638" t="str">
            <v>P</v>
          </cell>
          <cell r="D2638" t="str">
            <v>24027</v>
          </cell>
          <cell r="E2638" t="str">
            <v>90 ELL</v>
          </cell>
          <cell r="F2638">
            <v>2</v>
          </cell>
          <cell r="G2638" t="str">
            <v>CB400100000T00</v>
          </cell>
          <cell r="H2638">
            <v>0.75</v>
          </cell>
          <cell r="I2638" t="str">
            <v>--</v>
          </cell>
          <cell r="J2638">
            <v>2</v>
          </cell>
          <cell r="K2638">
            <v>2</v>
          </cell>
        </row>
        <row r="2639">
          <cell r="A2639" t="str">
            <v>M2</v>
          </cell>
          <cell r="B2639" t="str">
            <v>A5C</v>
          </cell>
          <cell r="C2639" t="str">
            <v>P</v>
          </cell>
          <cell r="D2639" t="str">
            <v>24029</v>
          </cell>
          <cell r="E2639" t="str">
            <v>90 ELL</v>
          </cell>
          <cell r="F2639">
            <v>2</v>
          </cell>
          <cell r="G2639" t="str">
            <v>CB400100000T00</v>
          </cell>
          <cell r="H2639">
            <v>0.75</v>
          </cell>
          <cell r="I2639" t="str">
            <v>--</v>
          </cell>
          <cell r="J2639">
            <v>8</v>
          </cell>
          <cell r="K2639">
            <v>8</v>
          </cell>
        </row>
        <row r="2640">
          <cell r="A2640" t="str">
            <v>M2</v>
          </cell>
          <cell r="B2640" t="str">
            <v>A5C</v>
          </cell>
          <cell r="C2640" t="str">
            <v>P</v>
          </cell>
          <cell r="D2640" t="str">
            <v>24031</v>
          </cell>
          <cell r="E2640" t="str">
            <v>90 ELL</v>
          </cell>
          <cell r="F2640">
            <v>2</v>
          </cell>
          <cell r="G2640" t="str">
            <v>CB400100000T00</v>
          </cell>
          <cell r="H2640">
            <v>0.75</v>
          </cell>
          <cell r="I2640" t="str">
            <v>--</v>
          </cell>
          <cell r="J2640">
            <v>3</v>
          </cell>
          <cell r="K2640">
            <v>3</v>
          </cell>
        </row>
        <row r="2641">
          <cell r="A2641" t="str">
            <v>M2</v>
          </cell>
          <cell r="B2641" t="str">
            <v>A5C</v>
          </cell>
          <cell r="C2641" t="str">
            <v>P</v>
          </cell>
          <cell r="D2641" t="str">
            <v>24033</v>
          </cell>
          <cell r="E2641" t="str">
            <v>90 ELL</v>
          </cell>
          <cell r="F2641">
            <v>2</v>
          </cell>
          <cell r="G2641" t="str">
            <v>CB400100000T00</v>
          </cell>
          <cell r="H2641">
            <v>0.75</v>
          </cell>
          <cell r="I2641" t="str">
            <v>--</v>
          </cell>
          <cell r="J2641">
            <v>2</v>
          </cell>
          <cell r="K2641">
            <v>2</v>
          </cell>
        </row>
        <row r="2642">
          <cell r="A2642" t="str">
            <v>M2</v>
          </cell>
          <cell r="B2642" t="str">
            <v>A5C</v>
          </cell>
          <cell r="C2642" t="str">
            <v>P</v>
          </cell>
          <cell r="D2642" t="str">
            <v>99004</v>
          </cell>
          <cell r="E2642" t="str">
            <v>90 ELL</v>
          </cell>
          <cell r="F2642">
            <v>2</v>
          </cell>
          <cell r="G2642" t="str">
            <v>CB400100000T00</v>
          </cell>
          <cell r="H2642">
            <v>0.75</v>
          </cell>
          <cell r="I2642" t="str">
            <v>--</v>
          </cell>
          <cell r="J2642">
            <v>6</v>
          </cell>
          <cell r="K2642">
            <v>6</v>
          </cell>
        </row>
        <row r="2643">
          <cell r="A2643" t="str">
            <v>M2</v>
          </cell>
          <cell r="B2643" t="str">
            <v>A5C</v>
          </cell>
          <cell r="C2643" t="str">
            <v>TRIM</v>
          </cell>
          <cell r="D2643" t="str">
            <v>C-2301</v>
          </cell>
          <cell r="E2643" t="str">
            <v>90 ELL</v>
          </cell>
          <cell r="F2643">
            <v>2</v>
          </cell>
          <cell r="G2643" t="str">
            <v>CB400100000T00</v>
          </cell>
          <cell r="H2643">
            <v>0.75</v>
          </cell>
          <cell r="I2643" t="str">
            <v>--</v>
          </cell>
          <cell r="J2643">
            <v>1</v>
          </cell>
          <cell r="K2643">
            <v>1</v>
          </cell>
        </row>
        <row r="2644">
          <cell r="A2644" t="str">
            <v>M2</v>
          </cell>
          <cell r="B2644" t="str">
            <v>A5C</v>
          </cell>
          <cell r="C2644" t="str">
            <v>P</v>
          </cell>
          <cell r="D2644" t="str">
            <v>24003</v>
          </cell>
          <cell r="E2644" t="str">
            <v>90 ELL</v>
          </cell>
          <cell r="F2644">
            <v>2</v>
          </cell>
          <cell r="G2644" t="str">
            <v>CB400100000T00</v>
          </cell>
          <cell r="H2644">
            <v>0.75</v>
          </cell>
          <cell r="I2644" t="str">
            <v>--</v>
          </cell>
          <cell r="J2644">
            <v>2</v>
          </cell>
          <cell r="K2644">
            <v>2</v>
          </cell>
        </row>
        <row r="2645">
          <cell r="A2645" t="str">
            <v>M2</v>
          </cell>
          <cell r="B2645" t="str">
            <v>A5C</v>
          </cell>
          <cell r="C2645" t="str">
            <v>P</v>
          </cell>
          <cell r="D2645" t="str">
            <v>23156</v>
          </cell>
          <cell r="E2645" t="str">
            <v>CAP</v>
          </cell>
          <cell r="F2645">
            <v>2</v>
          </cell>
          <cell r="G2645" t="str">
            <v>CB520700000T00</v>
          </cell>
          <cell r="H2645">
            <v>0.75</v>
          </cell>
          <cell r="I2645" t="str">
            <v>--</v>
          </cell>
          <cell r="J2645">
            <v>1</v>
          </cell>
          <cell r="K2645">
            <v>1</v>
          </cell>
        </row>
        <row r="2646">
          <cell r="A2646" t="str">
            <v>M2</v>
          </cell>
          <cell r="B2646" t="str">
            <v>A5C</v>
          </cell>
          <cell r="C2646" t="str">
            <v>P</v>
          </cell>
          <cell r="D2646" t="str">
            <v>24001</v>
          </cell>
          <cell r="E2646" t="str">
            <v>CAP</v>
          </cell>
          <cell r="F2646">
            <v>2</v>
          </cell>
          <cell r="G2646" t="str">
            <v>CB520700000T00</v>
          </cell>
          <cell r="H2646">
            <v>0.75</v>
          </cell>
          <cell r="I2646" t="str">
            <v>--</v>
          </cell>
          <cell r="J2646">
            <v>2</v>
          </cell>
          <cell r="K2646">
            <v>2</v>
          </cell>
        </row>
        <row r="2647">
          <cell r="A2647" t="str">
            <v>M2</v>
          </cell>
          <cell r="B2647" t="str">
            <v>A5C</v>
          </cell>
          <cell r="C2647" t="str">
            <v>P</v>
          </cell>
          <cell r="D2647" t="str">
            <v>24002</v>
          </cell>
          <cell r="E2647" t="str">
            <v>CAP</v>
          </cell>
          <cell r="F2647">
            <v>2</v>
          </cell>
          <cell r="G2647" t="str">
            <v>CB520700000T00</v>
          </cell>
          <cell r="H2647">
            <v>0.75</v>
          </cell>
          <cell r="I2647" t="str">
            <v>--</v>
          </cell>
          <cell r="J2647">
            <v>1</v>
          </cell>
          <cell r="K2647">
            <v>1</v>
          </cell>
        </row>
        <row r="2648">
          <cell r="A2648" t="str">
            <v>M2</v>
          </cell>
          <cell r="B2648" t="str">
            <v>A5C</v>
          </cell>
          <cell r="C2648" t="str">
            <v>P</v>
          </cell>
          <cell r="D2648" t="str">
            <v>24004</v>
          </cell>
          <cell r="E2648" t="str">
            <v>CAP</v>
          </cell>
          <cell r="F2648">
            <v>2</v>
          </cell>
          <cell r="G2648" t="str">
            <v>CB520700000T00</v>
          </cell>
          <cell r="H2648">
            <v>0.75</v>
          </cell>
          <cell r="I2648" t="str">
            <v>--</v>
          </cell>
          <cell r="J2648">
            <v>3</v>
          </cell>
          <cell r="K2648">
            <v>3</v>
          </cell>
        </row>
        <row r="2649">
          <cell r="A2649" t="str">
            <v>M2</v>
          </cell>
          <cell r="B2649" t="str">
            <v>A5C</v>
          </cell>
          <cell r="C2649" t="str">
            <v>P</v>
          </cell>
          <cell r="D2649" t="str">
            <v>24026</v>
          </cell>
          <cell r="E2649" t="str">
            <v>CAP</v>
          </cell>
          <cell r="F2649">
            <v>2</v>
          </cell>
          <cell r="G2649" t="str">
            <v>CB520700000T00</v>
          </cell>
          <cell r="H2649">
            <v>0.75</v>
          </cell>
          <cell r="I2649" t="str">
            <v>--</v>
          </cell>
          <cell r="J2649">
            <v>1</v>
          </cell>
          <cell r="K2649">
            <v>1</v>
          </cell>
        </row>
        <row r="2650">
          <cell r="A2650" t="str">
            <v>M2</v>
          </cell>
          <cell r="B2650" t="str">
            <v>A5C</v>
          </cell>
          <cell r="C2650" t="str">
            <v>P</v>
          </cell>
          <cell r="D2650" t="str">
            <v>24029</v>
          </cell>
          <cell r="E2650" t="str">
            <v>CAP</v>
          </cell>
          <cell r="F2650">
            <v>2</v>
          </cell>
          <cell r="G2650" t="str">
            <v>CB520700000T00</v>
          </cell>
          <cell r="H2650">
            <v>0.75</v>
          </cell>
          <cell r="I2650" t="str">
            <v>--</v>
          </cell>
          <cell r="J2650">
            <v>2</v>
          </cell>
          <cell r="K2650">
            <v>2</v>
          </cell>
        </row>
        <row r="2651">
          <cell r="A2651" t="str">
            <v>M2</v>
          </cell>
          <cell r="B2651" t="str">
            <v>A5C</v>
          </cell>
          <cell r="C2651" t="str">
            <v>P</v>
          </cell>
          <cell r="D2651" t="str">
            <v>99004</v>
          </cell>
          <cell r="E2651" t="str">
            <v>CAP</v>
          </cell>
          <cell r="F2651">
            <v>2</v>
          </cell>
          <cell r="G2651" t="str">
            <v>CB520700000T00</v>
          </cell>
          <cell r="H2651">
            <v>0.75</v>
          </cell>
          <cell r="I2651" t="str">
            <v>--</v>
          </cell>
          <cell r="J2651">
            <v>1</v>
          </cell>
          <cell r="K2651">
            <v>1</v>
          </cell>
        </row>
        <row r="2652">
          <cell r="A2652" t="str">
            <v>M2</v>
          </cell>
          <cell r="B2652" t="str">
            <v>A5C</v>
          </cell>
          <cell r="C2652" t="str">
            <v>TRIM</v>
          </cell>
          <cell r="D2652" t="str">
            <v>C-2301</v>
          </cell>
          <cell r="E2652" t="str">
            <v>CAP</v>
          </cell>
          <cell r="F2652">
            <v>2</v>
          </cell>
          <cell r="G2652" t="str">
            <v>CB520700000T00</v>
          </cell>
          <cell r="H2652">
            <v>0.75</v>
          </cell>
          <cell r="I2652" t="str">
            <v>--</v>
          </cell>
          <cell r="J2652">
            <v>2</v>
          </cell>
          <cell r="K2652">
            <v>2</v>
          </cell>
        </row>
        <row r="2653">
          <cell r="A2653" t="str">
            <v>M2</v>
          </cell>
          <cell r="B2653" t="str">
            <v>A5C</v>
          </cell>
          <cell r="C2653" t="str">
            <v>TRIM</v>
          </cell>
          <cell r="D2653" t="str">
            <v>R-2401</v>
          </cell>
          <cell r="E2653" t="str">
            <v>CAP</v>
          </cell>
          <cell r="F2653">
            <v>2</v>
          </cell>
          <cell r="G2653" t="str">
            <v>CB520700000T00</v>
          </cell>
          <cell r="H2653">
            <v>0.75</v>
          </cell>
          <cell r="I2653" t="str">
            <v>--</v>
          </cell>
          <cell r="J2653">
            <v>2</v>
          </cell>
          <cell r="K2653">
            <v>2</v>
          </cell>
        </row>
        <row r="2654">
          <cell r="A2654" t="str">
            <v>M2</v>
          </cell>
          <cell r="B2654" t="str">
            <v>A5C</v>
          </cell>
          <cell r="C2654" t="str">
            <v>TRIM</v>
          </cell>
          <cell r="D2654" t="str">
            <v>V-2404</v>
          </cell>
          <cell r="E2654" t="str">
            <v>CAP</v>
          </cell>
          <cell r="F2654">
            <v>2</v>
          </cell>
          <cell r="G2654" t="str">
            <v>CB520700000T00</v>
          </cell>
          <cell r="H2654">
            <v>0.75</v>
          </cell>
          <cell r="I2654" t="str">
            <v>--</v>
          </cell>
          <cell r="J2654">
            <v>2</v>
          </cell>
          <cell r="K2654">
            <v>2</v>
          </cell>
        </row>
        <row r="2655">
          <cell r="A2655" t="str">
            <v>M2</v>
          </cell>
          <cell r="B2655" t="str">
            <v>A5C</v>
          </cell>
          <cell r="C2655" t="str">
            <v>TRIM</v>
          </cell>
          <cell r="D2655" t="str">
            <v>V-2401</v>
          </cell>
          <cell r="E2655" t="str">
            <v>CAP</v>
          </cell>
          <cell r="F2655">
            <v>2</v>
          </cell>
          <cell r="G2655" t="str">
            <v>CB520700000T00</v>
          </cell>
          <cell r="H2655">
            <v>0.75</v>
          </cell>
          <cell r="I2655" t="str">
            <v>--</v>
          </cell>
          <cell r="J2655">
            <v>2</v>
          </cell>
          <cell r="K2655">
            <v>2</v>
          </cell>
        </row>
        <row r="2656">
          <cell r="A2656" t="str">
            <v>M2</v>
          </cell>
          <cell r="B2656" t="str">
            <v>A5C</v>
          </cell>
          <cell r="C2656" t="str">
            <v>P</v>
          </cell>
          <cell r="D2656" t="str">
            <v>23013</v>
          </cell>
          <cell r="E2656" t="str">
            <v>CAP</v>
          </cell>
          <cell r="F2656">
            <v>2</v>
          </cell>
          <cell r="G2656" t="str">
            <v>CB520700000T00</v>
          </cell>
          <cell r="H2656">
            <v>0.75</v>
          </cell>
          <cell r="I2656" t="str">
            <v>--</v>
          </cell>
          <cell r="J2656">
            <v>2</v>
          </cell>
          <cell r="K2656">
            <v>2</v>
          </cell>
        </row>
        <row r="2657">
          <cell r="A2657" t="str">
            <v>M2</v>
          </cell>
          <cell r="B2657" t="str">
            <v>A5C</v>
          </cell>
          <cell r="C2657" t="str">
            <v>P</v>
          </cell>
          <cell r="D2657" t="str">
            <v>24025</v>
          </cell>
          <cell r="E2657" t="str">
            <v>CAP</v>
          </cell>
          <cell r="F2657">
            <v>2</v>
          </cell>
          <cell r="G2657" t="str">
            <v>CB520700000T00</v>
          </cell>
          <cell r="H2657">
            <v>0.75</v>
          </cell>
          <cell r="I2657" t="str">
            <v>--</v>
          </cell>
          <cell r="J2657">
            <v>2</v>
          </cell>
          <cell r="K2657">
            <v>2</v>
          </cell>
        </row>
        <row r="2658">
          <cell r="A2658" t="str">
            <v>M2</v>
          </cell>
          <cell r="B2658" t="str">
            <v>A5C</v>
          </cell>
          <cell r="C2658" t="str">
            <v>P</v>
          </cell>
          <cell r="D2658" t="str">
            <v>24004</v>
          </cell>
          <cell r="E2658" t="str">
            <v>CPLG</v>
          </cell>
          <cell r="F2658">
            <v>2</v>
          </cell>
          <cell r="G2658" t="str">
            <v>CB400500000T00</v>
          </cell>
          <cell r="H2658">
            <v>0.75</v>
          </cell>
          <cell r="I2658" t="str">
            <v>--</v>
          </cell>
          <cell r="J2658">
            <v>2</v>
          </cell>
          <cell r="K2658">
            <v>2</v>
          </cell>
        </row>
        <row r="2659">
          <cell r="A2659" t="str">
            <v>M2</v>
          </cell>
          <cell r="B2659" t="str">
            <v>A5C</v>
          </cell>
          <cell r="C2659" t="str">
            <v>P</v>
          </cell>
          <cell r="D2659" t="str">
            <v>24031</v>
          </cell>
          <cell r="E2659" t="str">
            <v>CPLG</v>
          </cell>
          <cell r="F2659">
            <v>2</v>
          </cell>
          <cell r="G2659" t="str">
            <v>CB400500000T00</v>
          </cell>
          <cell r="H2659">
            <v>0.75</v>
          </cell>
          <cell r="I2659" t="str">
            <v>--</v>
          </cell>
          <cell r="J2659">
            <v>1</v>
          </cell>
          <cell r="K2659">
            <v>1</v>
          </cell>
        </row>
        <row r="2660">
          <cell r="A2660" t="str">
            <v>M2</v>
          </cell>
          <cell r="B2660" t="str">
            <v>A5C</v>
          </cell>
          <cell r="C2660" t="str">
            <v>P</v>
          </cell>
          <cell r="D2660" t="str">
            <v>99004</v>
          </cell>
          <cell r="E2660" t="str">
            <v>CPLG</v>
          </cell>
          <cell r="F2660">
            <v>2</v>
          </cell>
          <cell r="G2660" t="str">
            <v>CB400500000T00</v>
          </cell>
          <cell r="H2660">
            <v>0.75</v>
          </cell>
          <cell r="I2660" t="str">
            <v>--</v>
          </cell>
          <cell r="J2660">
            <v>1</v>
          </cell>
          <cell r="K2660">
            <v>1</v>
          </cell>
        </row>
        <row r="2661">
          <cell r="A2661" t="str">
            <v>M2</v>
          </cell>
          <cell r="B2661" t="str">
            <v>A5C</v>
          </cell>
          <cell r="C2661" t="str">
            <v>P</v>
          </cell>
          <cell r="D2661" t="str">
            <v>23156</v>
          </cell>
          <cell r="E2661" t="str">
            <v>CPLG</v>
          </cell>
          <cell r="F2661">
            <v>2</v>
          </cell>
          <cell r="G2661" t="str">
            <v>CB400500000T00</v>
          </cell>
          <cell r="H2661">
            <v>0.75</v>
          </cell>
          <cell r="I2661" t="str">
            <v>--</v>
          </cell>
          <cell r="J2661">
            <v>6</v>
          </cell>
          <cell r="K2661">
            <v>6</v>
          </cell>
        </row>
        <row r="2662">
          <cell r="A2662" t="str">
            <v>M2</v>
          </cell>
          <cell r="B2662" t="str">
            <v>A5C</v>
          </cell>
          <cell r="C2662" t="str">
            <v>P</v>
          </cell>
          <cell r="D2662" t="str">
            <v>24029</v>
          </cell>
          <cell r="E2662" t="str">
            <v>CPLG</v>
          </cell>
          <cell r="F2662">
            <v>2</v>
          </cell>
          <cell r="G2662" t="str">
            <v>CB400500000T00</v>
          </cell>
          <cell r="H2662">
            <v>0.75</v>
          </cell>
          <cell r="I2662" t="str">
            <v>--</v>
          </cell>
          <cell r="J2662">
            <v>1</v>
          </cell>
          <cell r="K2662">
            <v>1</v>
          </cell>
        </row>
        <row r="2663">
          <cell r="A2663" t="str">
            <v>M2</v>
          </cell>
          <cell r="B2663" t="str">
            <v>A5C</v>
          </cell>
          <cell r="C2663" t="str">
            <v>P</v>
          </cell>
          <cell r="D2663" t="str">
            <v>24033</v>
          </cell>
          <cell r="E2663" t="str">
            <v>CPLG</v>
          </cell>
          <cell r="F2663">
            <v>2</v>
          </cell>
          <cell r="G2663" t="str">
            <v>CB400500000T00</v>
          </cell>
          <cell r="H2663">
            <v>0.75</v>
          </cell>
          <cell r="I2663" t="str">
            <v>--</v>
          </cell>
          <cell r="J2663">
            <v>1</v>
          </cell>
          <cell r="K2663">
            <v>1</v>
          </cell>
        </row>
        <row r="2664">
          <cell r="A2664" t="str">
            <v>M2</v>
          </cell>
          <cell r="B2664" t="str">
            <v>A5C</v>
          </cell>
          <cell r="C2664" t="str">
            <v>TRIM</v>
          </cell>
          <cell r="D2664" t="str">
            <v>C-2301</v>
          </cell>
          <cell r="E2664" t="str">
            <v>NPL</v>
          </cell>
          <cell r="F2664">
            <v>2</v>
          </cell>
          <cell r="G2664" t="str">
            <v>CB132108000TVR</v>
          </cell>
          <cell r="H2664">
            <v>0.75</v>
          </cell>
          <cell r="I2664" t="str">
            <v>75mm</v>
          </cell>
          <cell r="J2664">
            <v>2</v>
          </cell>
          <cell r="K2664">
            <v>2</v>
          </cell>
        </row>
        <row r="2665">
          <cell r="A2665" t="str">
            <v>M2</v>
          </cell>
          <cell r="B2665" t="str">
            <v>A5C</v>
          </cell>
          <cell r="C2665" t="str">
            <v>P</v>
          </cell>
          <cell r="D2665" t="str">
            <v>23156</v>
          </cell>
          <cell r="E2665" t="str">
            <v>TEE</v>
          </cell>
          <cell r="F2665">
            <v>2</v>
          </cell>
          <cell r="G2665" t="str">
            <v>CB400300000T00</v>
          </cell>
          <cell r="H2665">
            <v>0.75</v>
          </cell>
          <cell r="I2665" t="str">
            <v>--</v>
          </cell>
          <cell r="J2665">
            <v>4</v>
          </cell>
          <cell r="K2665">
            <v>4</v>
          </cell>
        </row>
        <row r="2666">
          <cell r="A2666" t="str">
            <v>M2</v>
          </cell>
          <cell r="B2666" t="str">
            <v>A5C</v>
          </cell>
          <cell r="C2666" t="str">
            <v>P</v>
          </cell>
          <cell r="D2666" t="str">
            <v>24029</v>
          </cell>
          <cell r="E2666" t="str">
            <v>TEE</v>
          </cell>
          <cell r="F2666">
            <v>2</v>
          </cell>
          <cell r="G2666" t="str">
            <v>CB400300000T00</v>
          </cell>
          <cell r="H2666">
            <v>0.75</v>
          </cell>
          <cell r="I2666" t="str">
            <v>--</v>
          </cell>
          <cell r="J2666">
            <v>5</v>
          </cell>
          <cell r="K2666">
            <v>5</v>
          </cell>
        </row>
        <row r="2667">
          <cell r="A2667" t="str">
            <v>M2</v>
          </cell>
          <cell r="B2667" t="str">
            <v>A5C</v>
          </cell>
          <cell r="C2667" t="str">
            <v>P</v>
          </cell>
          <cell r="D2667" t="str">
            <v>99004</v>
          </cell>
          <cell r="E2667" t="str">
            <v>TEE</v>
          </cell>
          <cell r="F2667">
            <v>2</v>
          </cell>
          <cell r="G2667" t="str">
            <v>CB400300000T00</v>
          </cell>
          <cell r="H2667">
            <v>0.75</v>
          </cell>
          <cell r="I2667" t="str">
            <v>--</v>
          </cell>
          <cell r="J2667">
            <v>4</v>
          </cell>
          <cell r="K2667">
            <v>4</v>
          </cell>
        </row>
        <row r="2668">
          <cell r="A2668" t="str">
            <v>M2</v>
          </cell>
          <cell r="B2668" t="str">
            <v>A5C</v>
          </cell>
          <cell r="C2668" t="str">
            <v>TRIM</v>
          </cell>
          <cell r="D2668" t="str">
            <v>C-2301</v>
          </cell>
          <cell r="E2668" t="str">
            <v>TEE</v>
          </cell>
          <cell r="F2668">
            <v>2</v>
          </cell>
          <cell r="G2668" t="str">
            <v>CB400300000T00</v>
          </cell>
          <cell r="H2668">
            <v>0.75</v>
          </cell>
          <cell r="I2668" t="str">
            <v>--</v>
          </cell>
          <cell r="J2668">
            <v>1</v>
          </cell>
          <cell r="K2668">
            <v>1</v>
          </cell>
        </row>
        <row r="2669">
          <cell r="A2669" t="str">
            <v>M2</v>
          </cell>
          <cell r="B2669" t="str">
            <v>B2C</v>
          </cell>
          <cell r="C2669" t="str">
            <v>SH</v>
          </cell>
          <cell r="D2669" t="str">
            <v>23613</v>
          </cell>
          <cell r="E2669" t="str">
            <v>90 ELL</v>
          </cell>
          <cell r="F2669">
            <v>2</v>
          </cell>
          <cell r="G2669" t="str">
            <v>CB400100000100</v>
          </cell>
          <cell r="H2669">
            <v>1</v>
          </cell>
          <cell r="I2669" t="str">
            <v>--</v>
          </cell>
          <cell r="J2669">
            <v>2</v>
          </cell>
          <cell r="K2669">
            <v>2</v>
          </cell>
        </row>
        <row r="2670">
          <cell r="A2670" t="str">
            <v>M2</v>
          </cell>
          <cell r="B2670" t="str">
            <v>B2C</v>
          </cell>
          <cell r="C2670" t="str">
            <v>SH</v>
          </cell>
          <cell r="D2670" t="str">
            <v>24612</v>
          </cell>
          <cell r="E2670" t="str">
            <v>C SWG</v>
          </cell>
          <cell r="F2670">
            <v>2</v>
          </cell>
          <cell r="G2670" t="str">
            <v>CB16110808010T</v>
          </cell>
          <cell r="H2670">
            <v>1</v>
          </cell>
          <cell r="I2670">
            <v>0.75</v>
          </cell>
          <cell r="J2670">
            <v>1</v>
          </cell>
          <cell r="K2670">
            <v>1</v>
          </cell>
        </row>
        <row r="2671">
          <cell r="A2671" t="str">
            <v>M2</v>
          </cell>
          <cell r="B2671" t="str">
            <v>A5C</v>
          </cell>
          <cell r="C2671" t="str">
            <v>N</v>
          </cell>
          <cell r="D2671" t="str">
            <v>23631</v>
          </cell>
          <cell r="E2671" t="str">
            <v>90 ELL</v>
          </cell>
          <cell r="F2671">
            <v>2</v>
          </cell>
          <cell r="G2671" t="str">
            <v>CB400100000100</v>
          </cell>
          <cell r="H2671">
            <v>1</v>
          </cell>
          <cell r="I2671" t="str">
            <v>--</v>
          </cell>
          <cell r="J2671">
            <v>2</v>
          </cell>
          <cell r="K2671">
            <v>2</v>
          </cell>
        </row>
        <row r="2672">
          <cell r="A2672" t="str">
            <v>M2</v>
          </cell>
          <cell r="B2672" t="str">
            <v>A5C</v>
          </cell>
          <cell r="C2672" t="str">
            <v>N</v>
          </cell>
          <cell r="D2672" t="str">
            <v>23632</v>
          </cell>
          <cell r="E2672" t="str">
            <v>90 ELL</v>
          </cell>
          <cell r="F2672">
            <v>2</v>
          </cell>
          <cell r="G2672" t="str">
            <v>CB400100000100</v>
          </cell>
          <cell r="H2672">
            <v>1</v>
          </cell>
          <cell r="I2672" t="str">
            <v>--</v>
          </cell>
          <cell r="J2672">
            <v>3</v>
          </cell>
          <cell r="K2672">
            <v>3</v>
          </cell>
        </row>
        <row r="2673">
          <cell r="A2673" t="str">
            <v>M2</v>
          </cell>
          <cell r="B2673" t="str">
            <v>A5C</v>
          </cell>
          <cell r="C2673" t="str">
            <v>N</v>
          </cell>
          <cell r="D2673" t="str">
            <v>23634</v>
          </cell>
          <cell r="E2673" t="str">
            <v>90 ELL</v>
          </cell>
          <cell r="F2673">
            <v>2</v>
          </cell>
          <cell r="G2673" t="str">
            <v>CB400100000100</v>
          </cell>
          <cell r="H2673">
            <v>1</v>
          </cell>
          <cell r="I2673" t="str">
            <v>--</v>
          </cell>
          <cell r="J2673">
            <v>3</v>
          </cell>
          <cell r="K2673">
            <v>3</v>
          </cell>
        </row>
        <row r="2674">
          <cell r="A2674" t="str">
            <v>M2</v>
          </cell>
          <cell r="B2674" t="str">
            <v>A5C</v>
          </cell>
          <cell r="C2674" t="str">
            <v>N</v>
          </cell>
          <cell r="D2674" t="str">
            <v>23640</v>
          </cell>
          <cell r="E2674" t="str">
            <v>90 ELL</v>
          </cell>
          <cell r="F2674">
            <v>2</v>
          </cell>
          <cell r="G2674" t="str">
            <v>CB400100000100</v>
          </cell>
          <cell r="H2674">
            <v>1</v>
          </cell>
          <cell r="I2674" t="str">
            <v>--</v>
          </cell>
          <cell r="J2674">
            <v>3</v>
          </cell>
          <cell r="K2674">
            <v>3</v>
          </cell>
        </row>
        <row r="2675">
          <cell r="A2675" t="str">
            <v>M2</v>
          </cell>
          <cell r="B2675" t="str">
            <v>A5C</v>
          </cell>
          <cell r="C2675" t="str">
            <v>N</v>
          </cell>
          <cell r="D2675" t="str">
            <v>23633</v>
          </cell>
          <cell r="E2675" t="str">
            <v>90 ELL</v>
          </cell>
          <cell r="F2675">
            <v>2</v>
          </cell>
          <cell r="G2675" t="str">
            <v>CB400100000100</v>
          </cell>
          <cell r="H2675">
            <v>1</v>
          </cell>
          <cell r="I2675" t="str">
            <v>--</v>
          </cell>
          <cell r="J2675">
            <v>3</v>
          </cell>
          <cell r="K2675">
            <v>3</v>
          </cell>
        </row>
        <row r="2676">
          <cell r="A2676" t="str">
            <v>M2</v>
          </cell>
          <cell r="B2676" t="str">
            <v>A5C</v>
          </cell>
          <cell r="C2676" t="str">
            <v>N</v>
          </cell>
          <cell r="D2676" t="str">
            <v>23636</v>
          </cell>
          <cell r="E2676" t="str">
            <v>90 ELL</v>
          </cell>
          <cell r="F2676">
            <v>2</v>
          </cell>
          <cell r="G2676" t="str">
            <v>CB400100000100</v>
          </cell>
          <cell r="H2676">
            <v>1</v>
          </cell>
          <cell r="I2676" t="str">
            <v>--</v>
          </cell>
          <cell r="J2676">
            <v>3</v>
          </cell>
          <cell r="K2676">
            <v>3</v>
          </cell>
        </row>
        <row r="2677">
          <cell r="A2677" t="str">
            <v>M2</v>
          </cell>
          <cell r="B2677" t="str">
            <v>A5C</v>
          </cell>
          <cell r="C2677" t="str">
            <v>N</v>
          </cell>
          <cell r="D2677" t="str">
            <v>23639</v>
          </cell>
          <cell r="E2677" t="str">
            <v>90 ELL</v>
          </cell>
          <cell r="F2677">
            <v>2</v>
          </cell>
          <cell r="G2677" t="str">
            <v>CB400100000100</v>
          </cell>
          <cell r="H2677">
            <v>1</v>
          </cell>
          <cell r="I2677" t="str">
            <v>--</v>
          </cell>
          <cell r="J2677">
            <v>2</v>
          </cell>
          <cell r="K2677">
            <v>2</v>
          </cell>
        </row>
        <row r="2678">
          <cell r="A2678" t="str">
            <v>M2</v>
          </cell>
          <cell r="B2678" t="str">
            <v>A5C</v>
          </cell>
          <cell r="C2678" t="str">
            <v>P</v>
          </cell>
          <cell r="D2678" t="str">
            <v>23006</v>
          </cell>
          <cell r="E2678" t="str">
            <v>90 ELL</v>
          </cell>
          <cell r="F2678">
            <v>2</v>
          </cell>
          <cell r="G2678" t="str">
            <v>CB400100000100</v>
          </cell>
          <cell r="H2678">
            <v>1</v>
          </cell>
          <cell r="I2678" t="str">
            <v>--</v>
          </cell>
          <cell r="J2678">
            <v>2</v>
          </cell>
          <cell r="K2678">
            <v>2</v>
          </cell>
        </row>
        <row r="2679">
          <cell r="A2679" t="str">
            <v>M2</v>
          </cell>
          <cell r="B2679" t="str">
            <v>A5C</v>
          </cell>
          <cell r="C2679" t="str">
            <v>P</v>
          </cell>
          <cell r="D2679" t="str">
            <v>23037</v>
          </cell>
          <cell r="E2679" t="str">
            <v>90 ELL</v>
          </cell>
          <cell r="F2679">
            <v>2</v>
          </cell>
          <cell r="G2679" t="str">
            <v>CB400100000100</v>
          </cell>
          <cell r="H2679">
            <v>1</v>
          </cell>
          <cell r="I2679" t="str">
            <v>--</v>
          </cell>
          <cell r="J2679">
            <v>2</v>
          </cell>
          <cell r="K2679">
            <v>2</v>
          </cell>
        </row>
        <row r="2680">
          <cell r="A2680" t="str">
            <v>M2</v>
          </cell>
          <cell r="B2680" t="str">
            <v>A5C</v>
          </cell>
          <cell r="C2680" t="str">
            <v>P</v>
          </cell>
          <cell r="D2680" t="str">
            <v>23052</v>
          </cell>
          <cell r="E2680" t="str">
            <v>90 ELL</v>
          </cell>
          <cell r="F2680">
            <v>2</v>
          </cell>
          <cell r="G2680" t="str">
            <v>CB400100000100</v>
          </cell>
          <cell r="H2680">
            <v>1</v>
          </cell>
          <cell r="I2680" t="str">
            <v>--</v>
          </cell>
          <cell r="J2680">
            <v>2</v>
          </cell>
          <cell r="K2680">
            <v>2</v>
          </cell>
        </row>
        <row r="2681">
          <cell r="A2681" t="str">
            <v>M2</v>
          </cell>
          <cell r="B2681" t="str">
            <v>A5C</v>
          </cell>
          <cell r="C2681" t="str">
            <v>P</v>
          </cell>
          <cell r="D2681" t="str">
            <v>23063</v>
          </cell>
          <cell r="E2681" t="str">
            <v>90 ELL</v>
          </cell>
          <cell r="F2681">
            <v>2</v>
          </cell>
          <cell r="G2681" t="str">
            <v>CB400100000100</v>
          </cell>
          <cell r="H2681">
            <v>1</v>
          </cell>
          <cell r="I2681" t="str">
            <v>--</v>
          </cell>
          <cell r="J2681">
            <v>2</v>
          </cell>
          <cell r="K2681">
            <v>2</v>
          </cell>
        </row>
        <row r="2682">
          <cell r="A2682" t="str">
            <v>M2</v>
          </cell>
          <cell r="B2682" t="str">
            <v>A5C</v>
          </cell>
          <cell r="C2682" t="str">
            <v>P</v>
          </cell>
          <cell r="D2682" t="str">
            <v>23078</v>
          </cell>
          <cell r="E2682" t="str">
            <v>90 ELL</v>
          </cell>
          <cell r="F2682">
            <v>2</v>
          </cell>
          <cell r="G2682" t="str">
            <v>CB400100000100</v>
          </cell>
          <cell r="H2682">
            <v>1</v>
          </cell>
          <cell r="I2682" t="str">
            <v>--</v>
          </cell>
          <cell r="J2682">
            <v>2</v>
          </cell>
          <cell r="K2682">
            <v>2</v>
          </cell>
        </row>
        <row r="2683">
          <cell r="A2683" t="str">
            <v>M2</v>
          </cell>
          <cell r="B2683" t="str">
            <v>A5C</v>
          </cell>
          <cell r="C2683" t="str">
            <v>P</v>
          </cell>
          <cell r="D2683" t="str">
            <v>23083</v>
          </cell>
          <cell r="E2683" t="str">
            <v>90 ELL</v>
          </cell>
          <cell r="F2683">
            <v>2</v>
          </cell>
          <cell r="G2683" t="str">
            <v>CB400100000100</v>
          </cell>
          <cell r="H2683">
            <v>1</v>
          </cell>
          <cell r="I2683" t="str">
            <v>--</v>
          </cell>
          <cell r="J2683">
            <v>6</v>
          </cell>
          <cell r="K2683">
            <v>6</v>
          </cell>
        </row>
        <row r="2684">
          <cell r="A2684" t="str">
            <v>M2</v>
          </cell>
          <cell r="B2684" t="str">
            <v>A5C</v>
          </cell>
          <cell r="C2684" t="str">
            <v>P</v>
          </cell>
          <cell r="D2684" t="str">
            <v>23104</v>
          </cell>
          <cell r="E2684" t="str">
            <v>90 ELL</v>
          </cell>
          <cell r="F2684">
            <v>2</v>
          </cell>
          <cell r="G2684" t="str">
            <v>CB400100000100</v>
          </cell>
          <cell r="H2684">
            <v>1</v>
          </cell>
          <cell r="I2684" t="str">
            <v>--</v>
          </cell>
          <cell r="J2684">
            <v>3</v>
          </cell>
          <cell r="K2684">
            <v>3</v>
          </cell>
        </row>
        <row r="2685">
          <cell r="A2685" t="str">
            <v>M2</v>
          </cell>
          <cell r="B2685" t="str">
            <v>A5C</v>
          </cell>
          <cell r="C2685" t="str">
            <v>P</v>
          </cell>
          <cell r="D2685" t="str">
            <v>23104</v>
          </cell>
          <cell r="E2685" t="str">
            <v>90 ELL</v>
          </cell>
          <cell r="F2685">
            <v>2</v>
          </cell>
          <cell r="G2685" t="str">
            <v>CB400100000100</v>
          </cell>
          <cell r="H2685">
            <v>1</v>
          </cell>
          <cell r="I2685" t="str">
            <v>--</v>
          </cell>
          <cell r="J2685">
            <v>2</v>
          </cell>
          <cell r="K2685">
            <v>2</v>
          </cell>
        </row>
        <row r="2686">
          <cell r="A2686" t="str">
            <v>M2</v>
          </cell>
          <cell r="B2686" t="str">
            <v>A5C</v>
          </cell>
          <cell r="C2686" t="str">
            <v>P</v>
          </cell>
          <cell r="D2686" t="str">
            <v>23108</v>
          </cell>
          <cell r="E2686" t="str">
            <v>90 ELL</v>
          </cell>
          <cell r="F2686">
            <v>2</v>
          </cell>
          <cell r="G2686" t="str">
            <v>CB400100000100</v>
          </cell>
          <cell r="H2686">
            <v>1</v>
          </cell>
          <cell r="I2686" t="str">
            <v>--</v>
          </cell>
          <cell r="J2686">
            <v>3</v>
          </cell>
          <cell r="K2686">
            <v>3</v>
          </cell>
        </row>
        <row r="2687">
          <cell r="A2687" t="str">
            <v>M2</v>
          </cell>
          <cell r="B2687" t="str">
            <v>A5C</v>
          </cell>
          <cell r="C2687" t="str">
            <v>P</v>
          </cell>
          <cell r="D2687" t="str">
            <v>23112</v>
          </cell>
          <cell r="E2687" t="str">
            <v>90 ELL</v>
          </cell>
          <cell r="F2687">
            <v>2</v>
          </cell>
          <cell r="G2687" t="str">
            <v>CB400100000100</v>
          </cell>
          <cell r="H2687">
            <v>1</v>
          </cell>
          <cell r="I2687" t="str">
            <v>--</v>
          </cell>
          <cell r="J2687">
            <v>2</v>
          </cell>
          <cell r="K2687">
            <v>2</v>
          </cell>
        </row>
        <row r="2688">
          <cell r="A2688" t="str">
            <v>M2</v>
          </cell>
          <cell r="B2688" t="str">
            <v>A5C</v>
          </cell>
          <cell r="C2688" t="str">
            <v>P</v>
          </cell>
          <cell r="D2688" t="str">
            <v>23122</v>
          </cell>
          <cell r="E2688" t="str">
            <v>90 ELL</v>
          </cell>
          <cell r="F2688">
            <v>2</v>
          </cell>
          <cell r="G2688" t="str">
            <v>CB400100000100</v>
          </cell>
          <cell r="H2688">
            <v>1</v>
          </cell>
          <cell r="I2688" t="str">
            <v>--</v>
          </cell>
          <cell r="J2688">
            <v>6</v>
          </cell>
          <cell r="K2688">
            <v>6</v>
          </cell>
        </row>
        <row r="2689">
          <cell r="A2689" t="str">
            <v>M2</v>
          </cell>
          <cell r="B2689" t="str">
            <v>A5C</v>
          </cell>
          <cell r="C2689" t="str">
            <v>P</v>
          </cell>
          <cell r="D2689" t="str">
            <v>23144</v>
          </cell>
          <cell r="E2689" t="str">
            <v>90 ELL</v>
          </cell>
          <cell r="F2689">
            <v>2</v>
          </cell>
          <cell r="G2689" t="str">
            <v>CB400100000100</v>
          </cell>
          <cell r="H2689">
            <v>1</v>
          </cell>
          <cell r="I2689" t="str">
            <v>--</v>
          </cell>
          <cell r="J2689">
            <v>7</v>
          </cell>
          <cell r="K2689">
            <v>7</v>
          </cell>
        </row>
        <row r="2690">
          <cell r="A2690" t="str">
            <v>M2</v>
          </cell>
          <cell r="B2690" t="str">
            <v>A5C</v>
          </cell>
          <cell r="C2690" t="str">
            <v>P</v>
          </cell>
          <cell r="D2690" t="str">
            <v>23148</v>
          </cell>
          <cell r="E2690" t="str">
            <v>90 ELL</v>
          </cell>
          <cell r="F2690">
            <v>2</v>
          </cell>
          <cell r="G2690" t="str">
            <v>CB400100000100</v>
          </cell>
          <cell r="H2690">
            <v>1</v>
          </cell>
          <cell r="I2690" t="str">
            <v>--</v>
          </cell>
          <cell r="J2690">
            <v>10</v>
          </cell>
          <cell r="K2690">
            <v>10</v>
          </cell>
        </row>
        <row r="2691">
          <cell r="A2691" t="str">
            <v>M2</v>
          </cell>
          <cell r="B2691" t="str">
            <v>A5C</v>
          </cell>
          <cell r="C2691" t="str">
            <v>P</v>
          </cell>
          <cell r="D2691" t="str">
            <v>23149</v>
          </cell>
          <cell r="E2691" t="str">
            <v>90 ELL</v>
          </cell>
          <cell r="F2691">
            <v>2</v>
          </cell>
          <cell r="G2691" t="str">
            <v>CB400100000100</v>
          </cell>
          <cell r="H2691">
            <v>1</v>
          </cell>
          <cell r="I2691" t="str">
            <v>--</v>
          </cell>
          <cell r="J2691">
            <v>1</v>
          </cell>
          <cell r="K2691">
            <v>1</v>
          </cell>
        </row>
        <row r="2692">
          <cell r="A2692" t="str">
            <v>M2</v>
          </cell>
          <cell r="B2692" t="str">
            <v>A5C</v>
          </cell>
          <cell r="C2692" t="str">
            <v>P</v>
          </cell>
          <cell r="D2692" t="str">
            <v>23212</v>
          </cell>
          <cell r="E2692" t="str">
            <v>90 ELL</v>
          </cell>
          <cell r="F2692">
            <v>2</v>
          </cell>
          <cell r="G2692" t="str">
            <v>CB400100000100</v>
          </cell>
          <cell r="H2692">
            <v>1</v>
          </cell>
          <cell r="I2692" t="str">
            <v>--</v>
          </cell>
          <cell r="J2692">
            <v>3</v>
          </cell>
          <cell r="K2692">
            <v>3</v>
          </cell>
        </row>
        <row r="2693">
          <cell r="A2693" t="str">
            <v>M2</v>
          </cell>
          <cell r="B2693" t="str">
            <v>A5C</v>
          </cell>
          <cell r="C2693" t="str">
            <v>P</v>
          </cell>
          <cell r="D2693" t="str">
            <v>23214</v>
          </cell>
          <cell r="E2693" t="str">
            <v>90 ELL</v>
          </cell>
          <cell r="F2693">
            <v>2</v>
          </cell>
          <cell r="G2693" t="str">
            <v>CB400100000100</v>
          </cell>
          <cell r="H2693">
            <v>1</v>
          </cell>
          <cell r="I2693" t="str">
            <v>--</v>
          </cell>
          <cell r="J2693">
            <v>3</v>
          </cell>
          <cell r="K2693">
            <v>3</v>
          </cell>
        </row>
        <row r="2694">
          <cell r="A2694" t="str">
            <v>M2</v>
          </cell>
          <cell r="B2694" t="str">
            <v>A5C</v>
          </cell>
          <cell r="C2694" t="str">
            <v>P</v>
          </cell>
          <cell r="D2694" t="str">
            <v>23230</v>
          </cell>
          <cell r="E2694" t="str">
            <v>90 ELL</v>
          </cell>
          <cell r="F2694">
            <v>2</v>
          </cell>
          <cell r="G2694" t="str">
            <v>CB400100000100</v>
          </cell>
          <cell r="H2694">
            <v>1</v>
          </cell>
          <cell r="I2694" t="str">
            <v>--</v>
          </cell>
          <cell r="J2694">
            <v>3</v>
          </cell>
          <cell r="K2694">
            <v>3</v>
          </cell>
        </row>
        <row r="2695">
          <cell r="A2695" t="str">
            <v>M2</v>
          </cell>
          <cell r="B2695" t="str">
            <v>A5C</v>
          </cell>
          <cell r="C2695" t="str">
            <v>P</v>
          </cell>
          <cell r="D2695" t="str">
            <v>23252</v>
          </cell>
          <cell r="E2695" t="str">
            <v>90 ELL</v>
          </cell>
          <cell r="F2695">
            <v>2</v>
          </cell>
          <cell r="G2695" t="str">
            <v>CB400100000100</v>
          </cell>
          <cell r="H2695">
            <v>1</v>
          </cell>
          <cell r="I2695" t="str">
            <v>--</v>
          </cell>
          <cell r="J2695">
            <v>6</v>
          </cell>
          <cell r="K2695">
            <v>6</v>
          </cell>
        </row>
        <row r="2696">
          <cell r="A2696" t="str">
            <v>M2</v>
          </cell>
          <cell r="B2696" t="str">
            <v>A5C</v>
          </cell>
          <cell r="C2696" t="str">
            <v>P</v>
          </cell>
          <cell r="D2696" t="str">
            <v>24007</v>
          </cell>
          <cell r="E2696" t="str">
            <v>90 ELL</v>
          </cell>
          <cell r="F2696">
            <v>2</v>
          </cell>
          <cell r="G2696" t="str">
            <v>CB400100000100</v>
          </cell>
          <cell r="H2696">
            <v>1</v>
          </cell>
          <cell r="I2696" t="str">
            <v>--</v>
          </cell>
          <cell r="J2696">
            <v>1</v>
          </cell>
          <cell r="K2696">
            <v>1</v>
          </cell>
        </row>
        <row r="2697">
          <cell r="A2697" t="str">
            <v>M2</v>
          </cell>
          <cell r="B2697" t="str">
            <v>A5C</v>
          </cell>
          <cell r="C2697" t="str">
            <v>P</v>
          </cell>
          <cell r="D2697" t="str">
            <v>24013</v>
          </cell>
          <cell r="E2697" t="str">
            <v>90 ELL</v>
          </cell>
          <cell r="F2697">
            <v>2</v>
          </cell>
          <cell r="G2697" t="str">
            <v>CB400100000100</v>
          </cell>
          <cell r="H2697">
            <v>1</v>
          </cell>
          <cell r="I2697" t="str">
            <v>--</v>
          </cell>
          <cell r="J2697">
            <v>5</v>
          </cell>
          <cell r="K2697">
            <v>5</v>
          </cell>
        </row>
        <row r="2698">
          <cell r="A2698" t="str">
            <v>M2</v>
          </cell>
          <cell r="B2698" t="str">
            <v>A5C</v>
          </cell>
          <cell r="C2698" t="str">
            <v>P</v>
          </cell>
          <cell r="D2698" t="str">
            <v>24020</v>
          </cell>
          <cell r="E2698" t="str">
            <v>90 ELL</v>
          </cell>
          <cell r="F2698">
            <v>2</v>
          </cell>
          <cell r="G2698" t="str">
            <v>CB400100000100</v>
          </cell>
          <cell r="H2698">
            <v>1</v>
          </cell>
          <cell r="I2698" t="str">
            <v>--</v>
          </cell>
          <cell r="J2698">
            <v>3</v>
          </cell>
          <cell r="K2698">
            <v>3</v>
          </cell>
        </row>
        <row r="2699">
          <cell r="A2699" t="str">
            <v>M2</v>
          </cell>
          <cell r="B2699" t="str">
            <v>A5C</v>
          </cell>
          <cell r="C2699" t="str">
            <v>N</v>
          </cell>
          <cell r="D2699" t="str">
            <v>23635</v>
          </cell>
          <cell r="E2699" t="str">
            <v>90 ELL</v>
          </cell>
          <cell r="F2699">
            <v>2</v>
          </cell>
          <cell r="G2699" t="str">
            <v>CB400100000100</v>
          </cell>
          <cell r="H2699">
            <v>1</v>
          </cell>
          <cell r="I2699" t="str">
            <v>--</v>
          </cell>
          <cell r="J2699">
            <v>3</v>
          </cell>
          <cell r="K2699">
            <v>3</v>
          </cell>
        </row>
        <row r="2700">
          <cell r="A2700" t="str">
            <v>M2</v>
          </cell>
          <cell r="B2700" t="str">
            <v>A5C</v>
          </cell>
          <cell r="C2700" t="str">
            <v>N</v>
          </cell>
          <cell r="D2700" t="str">
            <v>23637</v>
          </cell>
          <cell r="E2700" t="str">
            <v>90 ELL</v>
          </cell>
          <cell r="F2700">
            <v>2</v>
          </cell>
          <cell r="G2700" t="str">
            <v>CB400100000100</v>
          </cell>
          <cell r="H2700">
            <v>1</v>
          </cell>
          <cell r="I2700" t="str">
            <v>--</v>
          </cell>
          <cell r="J2700">
            <v>2</v>
          </cell>
          <cell r="K2700">
            <v>2</v>
          </cell>
        </row>
        <row r="2701">
          <cell r="A2701" t="str">
            <v>M2</v>
          </cell>
          <cell r="B2701" t="str">
            <v>A5C</v>
          </cell>
          <cell r="C2701" t="str">
            <v>N</v>
          </cell>
          <cell r="D2701" t="str">
            <v>23638</v>
          </cell>
          <cell r="E2701" t="str">
            <v>90 ELL</v>
          </cell>
          <cell r="F2701">
            <v>2</v>
          </cell>
          <cell r="G2701" t="str">
            <v>CB400100000100</v>
          </cell>
          <cell r="H2701">
            <v>1</v>
          </cell>
          <cell r="I2701" t="str">
            <v>--</v>
          </cell>
          <cell r="J2701">
            <v>3</v>
          </cell>
          <cell r="K2701">
            <v>3</v>
          </cell>
        </row>
        <row r="2702">
          <cell r="A2702" t="str">
            <v>M2</v>
          </cell>
          <cell r="B2702" t="str">
            <v>A5C</v>
          </cell>
          <cell r="C2702" t="str">
            <v>P</v>
          </cell>
          <cell r="D2702" t="str">
            <v>23035</v>
          </cell>
          <cell r="E2702" t="str">
            <v>90 ELL</v>
          </cell>
          <cell r="F2702">
            <v>2</v>
          </cell>
          <cell r="G2702" t="str">
            <v>CB400100000100</v>
          </cell>
          <cell r="H2702">
            <v>1</v>
          </cell>
          <cell r="I2702" t="str">
            <v>--</v>
          </cell>
          <cell r="J2702">
            <v>2</v>
          </cell>
          <cell r="K2702">
            <v>2</v>
          </cell>
        </row>
        <row r="2703">
          <cell r="A2703" t="str">
            <v>M2</v>
          </cell>
          <cell r="B2703" t="str">
            <v>A5C</v>
          </cell>
          <cell r="C2703" t="str">
            <v>P</v>
          </cell>
          <cell r="D2703" t="str">
            <v>23108</v>
          </cell>
          <cell r="E2703" t="str">
            <v>90 ELL</v>
          </cell>
          <cell r="F2703">
            <v>2</v>
          </cell>
          <cell r="G2703" t="str">
            <v>CB400100000100</v>
          </cell>
          <cell r="H2703">
            <v>1</v>
          </cell>
          <cell r="I2703" t="str">
            <v>--</v>
          </cell>
          <cell r="J2703">
            <v>2</v>
          </cell>
          <cell r="K2703">
            <v>2</v>
          </cell>
        </row>
        <row r="2704">
          <cell r="A2704" t="str">
            <v>M2</v>
          </cell>
          <cell r="B2704" t="str">
            <v>A5C</v>
          </cell>
          <cell r="C2704" t="str">
            <v>P</v>
          </cell>
          <cell r="D2704" t="str">
            <v>23112</v>
          </cell>
          <cell r="E2704" t="str">
            <v>90 ELL</v>
          </cell>
          <cell r="F2704">
            <v>2</v>
          </cell>
          <cell r="G2704" t="str">
            <v>CB400100000100</v>
          </cell>
          <cell r="H2704">
            <v>1</v>
          </cell>
          <cell r="I2704" t="str">
            <v>--</v>
          </cell>
          <cell r="J2704">
            <v>3</v>
          </cell>
          <cell r="K2704">
            <v>3</v>
          </cell>
        </row>
        <row r="2705">
          <cell r="A2705" t="str">
            <v>M2</v>
          </cell>
          <cell r="B2705" t="str">
            <v>A5C</v>
          </cell>
          <cell r="C2705" t="str">
            <v>P</v>
          </cell>
          <cell r="D2705" t="str">
            <v>23164</v>
          </cell>
          <cell r="E2705" t="str">
            <v>90 ELL</v>
          </cell>
          <cell r="F2705">
            <v>2</v>
          </cell>
          <cell r="G2705" t="str">
            <v>CB400100000100</v>
          </cell>
          <cell r="H2705">
            <v>1</v>
          </cell>
          <cell r="I2705" t="str">
            <v>--</v>
          </cell>
          <cell r="J2705">
            <v>2</v>
          </cell>
          <cell r="K2705">
            <v>2</v>
          </cell>
        </row>
        <row r="2706">
          <cell r="A2706" t="str">
            <v>M2</v>
          </cell>
          <cell r="B2706" t="str">
            <v>A5C</v>
          </cell>
          <cell r="C2706" t="str">
            <v>P</v>
          </cell>
          <cell r="D2706" t="str">
            <v>23213</v>
          </cell>
          <cell r="E2706" t="str">
            <v>90 ELL</v>
          </cell>
          <cell r="F2706">
            <v>2</v>
          </cell>
          <cell r="G2706" t="str">
            <v>CB400100000100</v>
          </cell>
          <cell r="H2706">
            <v>1</v>
          </cell>
          <cell r="I2706" t="str">
            <v>--</v>
          </cell>
          <cell r="J2706">
            <v>3</v>
          </cell>
          <cell r="K2706">
            <v>3</v>
          </cell>
        </row>
        <row r="2707">
          <cell r="A2707" t="str">
            <v>M2</v>
          </cell>
          <cell r="B2707" t="str">
            <v>A5C</v>
          </cell>
          <cell r="C2707" t="str">
            <v>P</v>
          </cell>
          <cell r="D2707" t="str">
            <v>23245</v>
          </cell>
          <cell r="E2707" t="str">
            <v>90 ELL</v>
          </cell>
          <cell r="F2707">
            <v>2</v>
          </cell>
          <cell r="G2707" t="str">
            <v>CB400100000100</v>
          </cell>
          <cell r="H2707">
            <v>1</v>
          </cell>
          <cell r="I2707" t="str">
            <v>--</v>
          </cell>
          <cell r="J2707">
            <v>6</v>
          </cell>
          <cell r="K2707">
            <v>6</v>
          </cell>
        </row>
        <row r="2708">
          <cell r="A2708" t="str">
            <v>M2</v>
          </cell>
          <cell r="B2708" t="str">
            <v>A5C</v>
          </cell>
          <cell r="C2708" t="str">
            <v>P</v>
          </cell>
          <cell r="D2708" t="str">
            <v>24008</v>
          </cell>
          <cell r="E2708" t="str">
            <v>90 ELL</v>
          </cell>
          <cell r="F2708">
            <v>2</v>
          </cell>
          <cell r="G2708" t="str">
            <v>CB400100000100</v>
          </cell>
          <cell r="H2708">
            <v>1</v>
          </cell>
          <cell r="I2708" t="str">
            <v>--</v>
          </cell>
          <cell r="J2708">
            <v>10</v>
          </cell>
          <cell r="K2708">
            <v>10</v>
          </cell>
        </row>
        <row r="2709">
          <cell r="A2709" t="str">
            <v>M2</v>
          </cell>
          <cell r="B2709" t="str">
            <v>A5C</v>
          </cell>
          <cell r="C2709" t="str">
            <v>P</v>
          </cell>
          <cell r="D2709" t="str">
            <v>99003</v>
          </cell>
          <cell r="E2709" t="str">
            <v>90 ELL</v>
          </cell>
          <cell r="F2709">
            <v>2</v>
          </cell>
          <cell r="G2709" t="str">
            <v>CB400100000100</v>
          </cell>
          <cell r="H2709">
            <v>1</v>
          </cell>
          <cell r="I2709" t="str">
            <v>--</v>
          </cell>
          <cell r="J2709">
            <v>2</v>
          </cell>
          <cell r="K2709">
            <v>2</v>
          </cell>
        </row>
        <row r="2710">
          <cell r="A2710" t="str">
            <v>M2</v>
          </cell>
          <cell r="B2710" t="str">
            <v>A5C</v>
          </cell>
          <cell r="C2710" t="str">
            <v>P</v>
          </cell>
          <cell r="D2710" t="str">
            <v>23081</v>
          </cell>
          <cell r="E2710" t="str">
            <v>C SWG</v>
          </cell>
          <cell r="F2710">
            <v>2</v>
          </cell>
          <cell r="G2710" t="str">
            <v>CB16110808010T</v>
          </cell>
          <cell r="H2710">
            <v>1</v>
          </cell>
          <cell r="I2710">
            <v>0.75</v>
          </cell>
          <cell r="J2710">
            <v>1</v>
          </cell>
          <cell r="K2710">
            <v>1</v>
          </cell>
        </row>
        <row r="2711">
          <cell r="A2711" t="str">
            <v>M2</v>
          </cell>
          <cell r="B2711" t="str">
            <v>A5C</v>
          </cell>
          <cell r="C2711" t="str">
            <v>P</v>
          </cell>
          <cell r="D2711" t="str">
            <v>23101</v>
          </cell>
          <cell r="E2711" t="str">
            <v>C SWG</v>
          </cell>
          <cell r="F2711">
            <v>2</v>
          </cell>
          <cell r="G2711" t="str">
            <v>CB16110808010T</v>
          </cell>
          <cell r="H2711">
            <v>1</v>
          </cell>
          <cell r="I2711">
            <v>0.75</v>
          </cell>
          <cell r="J2711">
            <v>1</v>
          </cell>
          <cell r="K2711">
            <v>1</v>
          </cell>
        </row>
        <row r="2712">
          <cell r="A2712" t="str">
            <v>M2</v>
          </cell>
          <cell r="B2712" t="str">
            <v>A5C</v>
          </cell>
          <cell r="C2712" t="str">
            <v>P</v>
          </cell>
          <cell r="D2712" t="str">
            <v>23104</v>
          </cell>
          <cell r="E2712" t="str">
            <v>C SWG</v>
          </cell>
          <cell r="F2712">
            <v>2</v>
          </cell>
          <cell r="G2712" t="str">
            <v>CB16110808010T</v>
          </cell>
          <cell r="H2712">
            <v>1</v>
          </cell>
          <cell r="I2712">
            <v>0.75</v>
          </cell>
          <cell r="J2712">
            <v>3</v>
          </cell>
          <cell r="K2712">
            <v>3</v>
          </cell>
        </row>
        <row r="2713">
          <cell r="A2713" t="str">
            <v>M2</v>
          </cell>
          <cell r="B2713" t="str">
            <v>A5C</v>
          </cell>
          <cell r="C2713" t="str">
            <v>P</v>
          </cell>
          <cell r="D2713" t="str">
            <v>23104</v>
          </cell>
          <cell r="E2713" t="str">
            <v>C SWG</v>
          </cell>
          <cell r="F2713">
            <v>2</v>
          </cell>
          <cell r="G2713" t="str">
            <v>CB16110808010T</v>
          </cell>
          <cell r="H2713">
            <v>1</v>
          </cell>
          <cell r="I2713">
            <v>0.75</v>
          </cell>
          <cell r="J2713">
            <v>3</v>
          </cell>
          <cell r="K2713">
            <v>3</v>
          </cell>
        </row>
        <row r="2714">
          <cell r="A2714" t="str">
            <v>M2</v>
          </cell>
          <cell r="B2714" t="str">
            <v>A5C</v>
          </cell>
          <cell r="C2714" t="str">
            <v>P</v>
          </cell>
          <cell r="D2714" t="str">
            <v>23105</v>
          </cell>
          <cell r="E2714" t="str">
            <v>C SWG</v>
          </cell>
          <cell r="F2714">
            <v>2</v>
          </cell>
          <cell r="G2714" t="str">
            <v>CB16110808010T</v>
          </cell>
          <cell r="H2714">
            <v>1</v>
          </cell>
          <cell r="I2714">
            <v>0.75</v>
          </cell>
          <cell r="J2714">
            <v>1</v>
          </cell>
          <cell r="K2714">
            <v>1</v>
          </cell>
        </row>
        <row r="2715">
          <cell r="A2715" t="str">
            <v>M2</v>
          </cell>
          <cell r="B2715" t="str">
            <v>A5C</v>
          </cell>
          <cell r="C2715" t="str">
            <v>P</v>
          </cell>
          <cell r="D2715" t="str">
            <v>23112</v>
          </cell>
          <cell r="E2715" t="str">
            <v>C SWG</v>
          </cell>
          <cell r="F2715">
            <v>2</v>
          </cell>
          <cell r="G2715" t="str">
            <v>CB16110808010T</v>
          </cell>
          <cell r="H2715">
            <v>1</v>
          </cell>
          <cell r="I2715">
            <v>0.75</v>
          </cell>
          <cell r="J2715">
            <v>3</v>
          </cell>
          <cell r="K2715">
            <v>3</v>
          </cell>
        </row>
        <row r="2716">
          <cell r="A2716" t="str">
            <v>M2</v>
          </cell>
          <cell r="B2716" t="str">
            <v>A5C</v>
          </cell>
          <cell r="C2716" t="str">
            <v>P</v>
          </cell>
          <cell r="D2716" t="str">
            <v>23113</v>
          </cell>
          <cell r="E2716" t="str">
            <v>C SWG</v>
          </cell>
          <cell r="F2716">
            <v>2</v>
          </cell>
          <cell r="G2716" t="str">
            <v>CB16110808010T</v>
          </cell>
          <cell r="H2716">
            <v>1</v>
          </cell>
          <cell r="I2716">
            <v>0.75</v>
          </cell>
          <cell r="J2716">
            <v>1</v>
          </cell>
          <cell r="K2716">
            <v>1</v>
          </cell>
        </row>
        <row r="2717">
          <cell r="A2717" t="str">
            <v>M2</v>
          </cell>
          <cell r="B2717" t="str">
            <v>A5C</v>
          </cell>
          <cell r="C2717" t="str">
            <v>P</v>
          </cell>
          <cell r="D2717" t="str">
            <v>23144</v>
          </cell>
          <cell r="E2717" t="str">
            <v>C SWG</v>
          </cell>
          <cell r="F2717">
            <v>2</v>
          </cell>
          <cell r="G2717" t="str">
            <v>CB16110808010T</v>
          </cell>
          <cell r="H2717">
            <v>1</v>
          </cell>
          <cell r="I2717">
            <v>0.75</v>
          </cell>
          <cell r="J2717">
            <v>2</v>
          </cell>
          <cell r="K2717">
            <v>2</v>
          </cell>
        </row>
        <row r="2718">
          <cell r="A2718" t="str">
            <v>M2</v>
          </cell>
          <cell r="B2718" t="str">
            <v>A5C</v>
          </cell>
          <cell r="C2718" t="str">
            <v>P</v>
          </cell>
          <cell r="D2718" t="str">
            <v>23145</v>
          </cell>
          <cell r="E2718" t="str">
            <v>C SWG</v>
          </cell>
          <cell r="F2718">
            <v>2</v>
          </cell>
          <cell r="G2718" t="str">
            <v>CB16110808010T</v>
          </cell>
          <cell r="H2718">
            <v>1</v>
          </cell>
          <cell r="I2718">
            <v>0.75</v>
          </cell>
          <cell r="J2718">
            <v>1</v>
          </cell>
          <cell r="K2718">
            <v>1</v>
          </cell>
        </row>
        <row r="2719">
          <cell r="A2719" t="str">
            <v>M2</v>
          </cell>
          <cell r="B2719" t="str">
            <v>A5C</v>
          </cell>
          <cell r="C2719" t="str">
            <v>P</v>
          </cell>
          <cell r="D2719" t="str">
            <v>23164</v>
          </cell>
          <cell r="E2719" t="str">
            <v>C SWG</v>
          </cell>
          <cell r="F2719">
            <v>2</v>
          </cell>
          <cell r="G2719" t="str">
            <v>CB16110808010T</v>
          </cell>
          <cell r="H2719">
            <v>1</v>
          </cell>
          <cell r="I2719">
            <v>0.75</v>
          </cell>
          <cell r="J2719">
            <v>2</v>
          </cell>
          <cell r="K2719">
            <v>2</v>
          </cell>
        </row>
        <row r="2720">
          <cell r="A2720" t="str">
            <v>M2</v>
          </cell>
          <cell r="B2720" t="str">
            <v>A5C</v>
          </cell>
          <cell r="C2720" t="str">
            <v>P</v>
          </cell>
          <cell r="D2720" t="str">
            <v>23225</v>
          </cell>
          <cell r="E2720" t="str">
            <v>C SWG</v>
          </cell>
          <cell r="F2720">
            <v>2</v>
          </cell>
          <cell r="G2720" t="str">
            <v>CB16110808010T</v>
          </cell>
          <cell r="H2720">
            <v>1</v>
          </cell>
          <cell r="I2720">
            <v>0.75</v>
          </cell>
          <cell r="J2720">
            <v>1</v>
          </cell>
          <cell r="K2720">
            <v>1</v>
          </cell>
        </row>
        <row r="2721">
          <cell r="A2721" t="str">
            <v>M2</v>
          </cell>
          <cell r="B2721" t="str">
            <v>A5C</v>
          </cell>
          <cell r="C2721" t="str">
            <v>P</v>
          </cell>
          <cell r="D2721" t="str">
            <v>23234</v>
          </cell>
          <cell r="E2721" t="str">
            <v>C SWG</v>
          </cell>
          <cell r="F2721">
            <v>2</v>
          </cell>
          <cell r="G2721" t="str">
            <v>CB16110808010T</v>
          </cell>
          <cell r="H2721">
            <v>1</v>
          </cell>
          <cell r="I2721">
            <v>0.75</v>
          </cell>
          <cell r="J2721">
            <v>1</v>
          </cell>
          <cell r="K2721">
            <v>1</v>
          </cell>
        </row>
        <row r="2722">
          <cell r="A2722" t="str">
            <v>M2</v>
          </cell>
          <cell r="B2722" t="str">
            <v>A5C</v>
          </cell>
          <cell r="C2722" t="str">
            <v>P</v>
          </cell>
          <cell r="D2722" t="str">
            <v>23238</v>
          </cell>
          <cell r="E2722" t="str">
            <v>C SWG</v>
          </cell>
          <cell r="F2722">
            <v>2</v>
          </cell>
          <cell r="G2722" t="str">
            <v>CB16110808010T</v>
          </cell>
          <cell r="H2722">
            <v>1</v>
          </cell>
          <cell r="I2722">
            <v>0.75</v>
          </cell>
          <cell r="J2722">
            <v>1</v>
          </cell>
          <cell r="K2722">
            <v>1</v>
          </cell>
        </row>
        <row r="2723">
          <cell r="A2723" t="str">
            <v>M2</v>
          </cell>
          <cell r="B2723" t="str">
            <v>A5C</v>
          </cell>
          <cell r="C2723" t="str">
            <v>P</v>
          </cell>
          <cell r="D2723" t="str">
            <v>23247</v>
          </cell>
          <cell r="E2723" t="str">
            <v>C SWG</v>
          </cell>
          <cell r="F2723">
            <v>2</v>
          </cell>
          <cell r="G2723" t="str">
            <v>CB16110808010T</v>
          </cell>
          <cell r="H2723">
            <v>1</v>
          </cell>
          <cell r="I2723">
            <v>0.75</v>
          </cell>
          <cell r="J2723">
            <v>1</v>
          </cell>
          <cell r="K2723">
            <v>1</v>
          </cell>
        </row>
        <row r="2724">
          <cell r="A2724" t="str">
            <v>M2</v>
          </cell>
          <cell r="B2724" t="str">
            <v>A5C</v>
          </cell>
          <cell r="C2724" t="str">
            <v>P</v>
          </cell>
          <cell r="D2724" t="str">
            <v>24024</v>
          </cell>
          <cell r="E2724" t="str">
            <v>C SWG</v>
          </cell>
          <cell r="F2724">
            <v>2</v>
          </cell>
          <cell r="G2724" t="str">
            <v>CB16110808010T</v>
          </cell>
          <cell r="H2724">
            <v>1</v>
          </cell>
          <cell r="I2724">
            <v>0.75</v>
          </cell>
          <cell r="J2724">
            <v>1</v>
          </cell>
          <cell r="K2724">
            <v>1</v>
          </cell>
        </row>
        <row r="2725">
          <cell r="A2725" t="str">
            <v>M2</v>
          </cell>
          <cell r="B2725" t="str">
            <v>A5C</v>
          </cell>
          <cell r="C2725" t="str">
            <v>TRIM</v>
          </cell>
          <cell r="D2725" t="str">
            <v>V-2316</v>
          </cell>
          <cell r="E2725" t="str">
            <v>C SWG</v>
          </cell>
          <cell r="F2725">
            <v>2</v>
          </cell>
          <cell r="G2725" t="str">
            <v>CB16110808010T</v>
          </cell>
          <cell r="H2725">
            <v>1</v>
          </cell>
          <cell r="I2725">
            <v>0.75</v>
          </cell>
          <cell r="J2725">
            <v>1</v>
          </cell>
          <cell r="K2725">
            <v>1</v>
          </cell>
        </row>
        <row r="2726">
          <cell r="A2726" t="str">
            <v>M2</v>
          </cell>
          <cell r="B2726" t="str">
            <v>A5C</v>
          </cell>
          <cell r="C2726" t="str">
            <v>P</v>
          </cell>
          <cell r="D2726" t="str">
            <v>23094</v>
          </cell>
          <cell r="E2726" t="str">
            <v>C SWG</v>
          </cell>
          <cell r="F2726">
            <v>2</v>
          </cell>
          <cell r="G2726" t="str">
            <v>CB16110808010T</v>
          </cell>
          <cell r="H2726">
            <v>1</v>
          </cell>
          <cell r="I2726">
            <v>0.75</v>
          </cell>
          <cell r="J2726">
            <v>1</v>
          </cell>
          <cell r="K2726">
            <v>1</v>
          </cell>
        </row>
        <row r="2727">
          <cell r="A2727" t="str">
            <v>M2</v>
          </cell>
          <cell r="B2727" t="str">
            <v>A5C</v>
          </cell>
          <cell r="C2727" t="str">
            <v>P</v>
          </cell>
          <cell r="D2727" t="str">
            <v>23108</v>
          </cell>
          <cell r="E2727" t="str">
            <v>C SWG</v>
          </cell>
          <cell r="F2727">
            <v>2</v>
          </cell>
          <cell r="G2727" t="str">
            <v>CB16110808010T</v>
          </cell>
          <cell r="H2727">
            <v>1</v>
          </cell>
          <cell r="I2727">
            <v>0.75</v>
          </cell>
          <cell r="J2727">
            <v>3</v>
          </cell>
          <cell r="K2727">
            <v>3</v>
          </cell>
        </row>
        <row r="2728">
          <cell r="A2728" t="str">
            <v>M2</v>
          </cell>
          <cell r="B2728" t="str">
            <v>A5C</v>
          </cell>
          <cell r="C2728" t="str">
            <v>P</v>
          </cell>
          <cell r="D2728" t="str">
            <v>23108</v>
          </cell>
          <cell r="E2728" t="str">
            <v>C SWG</v>
          </cell>
          <cell r="F2728">
            <v>2</v>
          </cell>
          <cell r="G2728" t="str">
            <v>CB16110808010T</v>
          </cell>
          <cell r="H2728">
            <v>1</v>
          </cell>
          <cell r="I2728">
            <v>0.75</v>
          </cell>
          <cell r="J2728">
            <v>3</v>
          </cell>
          <cell r="K2728">
            <v>3</v>
          </cell>
        </row>
        <row r="2729">
          <cell r="A2729" t="str">
            <v>M2</v>
          </cell>
          <cell r="B2729" t="str">
            <v>A5C</v>
          </cell>
          <cell r="C2729" t="str">
            <v>P</v>
          </cell>
          <cell r="D2729" t="str">
            <v>23109</v>
          </cell>
          <cell r="E2729" t="str">
            <v>C SWG</v>
          </cell>
          <cell r="F2729">
            <v>2</v>
          </cell>
          <cell r="G2729" t="str">
            <v>CB16110808010T</v>
          </cell>
          <cell r="H2729">
            <v>1</v>
          </cell>
          <cell r="I2729">
            <v>0.75</v>
          </cell>
          <cell r="J2729">
            <v>1</v>
          </cell>
          <cell r="K2729">
            <v>1</v>
          </cell>
        </row>
        <row r="2730">
          <cell r="A2730" t="str">
            <v>M2</v>
          </cell>
          <cell r="B2730" t="str">
            <v>A5C</v>
          </cell>
          <cell r="C2730" t="str">
            <v>P</v>
          </cell>
          <cell r="D2730" t="str">
            <v>23112</v>
          </cell>
          <cell r="E2730" t="str">
            <v>C SWG</v>
          </cell>
          <cell r="F2730">
            <v>2</v>
          </cell>
          <cell r="G2730" t="str">
            <v>CB16110808010T</v>
          </cell>
          <cell r="H2730">
            <v>1</v>
          </cell>
          <cell r="I2730">
            <v>0.75</v>
          </cell>
          <cell r="J2730">
            <v>3</v>
          </cell>
          <cell r="K2730">
            <v>3</v>
          </cell>
        </row>
        <row r="2731">
          <cell r="A2731" t="str">
            <v>M2</v>
          </cell>
          <cell r="B2731" t="str">
            <v>A5C</v>
          </cell>
          <cell r="C2731" t="str">
            <v>P</v>
          </cell>
          <cell r="D2731" t="str">
            <v>23133</v>
          </cell>
          <cell r="E2731" t="str">
            <v>C SWG</v>
          </cell>
          <cell r="F2731">
            <v>2</v>
          </cell>
          <cell r="G2731" t="str">
            <v>CB16110808010T</v>
          </cell>
          <cell r="H2731">
            <v>1</v>
          </cell>
          <cell r="I2731">
            <v>0.75</v>
          </cell>
          <cell r="J2731">
            <v>1</v>
          </cell>
          <cell r="K2731">
            <v>1</v>
          </cell>
        </row>
        <row r="2732">
          <cell r="A2732" t="str">
            <v>M2</v>
          </cell>
          <cell r="B2732" t="str">
            <v>A5C</v>
          </cell>
          <cell r="C2732" t="str">
            <v>P</v>
          </cell>
          <cell r="D2732" t="str">
            <v>23141</v>
          </cell>
          <cell r="E2732" t="str">
            <v>C SWG</v>
          </cell>
          <cell r="F2732">
            <v>2</v>
          </cell>
          <cell r="G2732" t="str">
            <v>CB16110808010T</v>
          </cell>
          <cell r="H2732">
            <v>1</v>
          </cell>
          <cell r="I2732">
            <v>0.75</v>
          </cell>
          <cell r="J2732">
            <v>1</v>
          </cell>
          <cell r="K2732">
            <v>1</v>
          </cell>
        </row>
        <row r="2733">
          <cell r="A2733" t="str">
            <v>M2</v>
          </cell>
          <cell r="B2733" t="str">
            <v>A5C</v>
          </cell>
          <cell r="C2733" t="str">
            <v>P</v>
          </cell>
          <cell r="D2733" t="str">
            <v>23148</v>
          </cell>
          <cell r="E2733" t="str">
            <v>C SWG</v>
          </cell>
          <cell r="F2733">
            <v>2</v>
          </cell>
          <cell r="G2733" t="str">
            <v>CB16110808010T</v>
          </cell>
          <cell r="H2733">
            <v>1</v>
          </cell>
          <cell r="I2733">
            <v>0.75</v>
          </cell>
          <cell r="J2733">
            <v>2</v>
          </cell>
          <cell r="K2733">
            <v>2</v>
          </cell>
        </row>
        <row r="2734">
          <cell r="A2734" t="str">
            <v>M2</v>
          </cell>
          <cell r="B2734" t="str">
            <v>A5C</v>
          </cell>
          <cell r="C2734" t="str">
            <v>N</v>
          </cell>
          <cell r="D2734" t="str">
            <v>23631</v>
          </cell>
          <cell r="E2734" t="str">
            <v>CAP</v>
          </cell>
          <cell r="F2734">
            <v>2</v>
          </cell>
          <cell r="G2734" t="str">
            <v>CB520700000100</v>
          </cell>
          <cell r="H2734">
            <v>1</v>
          </cell>
          <cell r="I2734" t="str">
            <v>--</v>
          </cell>
          <cell r="J2734">
            <v>1</v>
          </cell>
          <cell r="K2734">
            <v>1</v>
          </cell>
        </row>
        <row r="2735">
          <cell r="A2735" t="str">
            <v>M2</v>
          </cell>
          <cell r="B2735" t="str">
            <v>A5C</v>
          </cell>
          <cell r="C2735" t="str">
            <v>N</v>
          </cell>
          <cell r="D2735" t="str">
            <v>23633</v>
          </cell>
          <cell r="E2735" t="str">
            <v>CAP</v>
          </cell>
          <cell r="F2735">
            <v>2</v>
          </cell>
          <cell r="G2735" t="str">
            <v>CB520700000100</v>
          </cell>
          <cell r="H2735">
            <v>1</v>
          </cell>
          <cell r="I2735" t="str">
            <v>--</v>
          </cell>
          <cell r="J2735">
            <v>1</v>
          </cell>
          <cell r="K2735">
            <v>1</v>
          </cell>
        </row>
        <row r="2736">
          <cell r="A2736" t="str">
            <v>M2</v>
          </cell>
          <cell r="B2736" t="str">
            <v>A5C</v>
          </cell>
          <cell r="C2736" t="str">
            <v>N</v>
          </cell>
          <cell r="D2736" t="str">
            <v>23635</v>
          </cell>
          <cell r="E2736" t="str">
            <v>CAP</v>
          </cell>
          <cell r="F2736">
            <v>2</v>
          </cell>
          <cell r="G2736" t="str">
            <v>CB520700000100</v>
          </cell>
          <cell r="H2736">
            <v>1</v>
          </cell>
          <cell r="I2736" t="str">
            <v>--</v>
          </cell>
          <cell r="J2736">
            <v>1</v>
          </cell>
          <cell r="K2736">
            <v>1</v>
          </cell>
        </row>
        <row r="2737">
          <cell r="A2737" t="str">
            <v>M2</v>
          </cell>
          <cell r="B2737" t="str">
            <v>A5C</v>
          </cell>
          <cell r="C2737" t="str">
            <v>P</v>
          </cell>
          <cell r="D2737" t="str">
            <v>23143</v>
          </cell>
          <cell r="E2737" t="str">
            <v>CPLG</v>
          </cell>
          <cell r="F2737">
            <v>2</v>
          </cell>
          <cell r="G2737" t="str">
            <v>CB400500000100</v>
          </cell>
          <cell r="H2737">
            <v>1</v>
          </cell>
          <cell r="I2737" t="str">
            <v>--</v>
          </cell>
          <cell r="J2737">
            <v>2</v>
          </cell>
          <cell r="K2737">
            <v>2</v>
          </cell>
        </row>
        <row r="2738">
          <cell r="A2738" t="str">
            <v>M2</v>
          </cell>
          <cell r="B2738" t="str">
            <v>A5C</v>
          </cell>
          <cell r="C2738" t="str">
            <v>P</v>
          </cell>
          <cell r="D2738" t="str">
            <v>23147</v>
          </cell>
          <cell r="E2738" t="str">
            <v>CPLG</v>
          </cell>
          <cell r="F2738">
            <v>2</v>
          </cell>
          <cell r="G2738" t="str">
            <v>CB400500000100</v>
          </cell>
          <cell r="H2738">
            <v>1</v>
          </cell>
          <cell r="I2738" t="str">
            <v>--</v>
          </cell>
          <cell r="J2738">
            <v>2</v>
          </cell>
          <cell r="K2738">
            <v>2</v>
          </cell>
        </row>
        <row r="2739">
          <cell r="A2739" t="str">
            <v>M2</v>
          </cell>
          <cell r="B2739" t="str">
            <v>A5C</v>
          </cell>
          <cell r="C2739" t="str">
            <v>P</v>
          </cell>
          <cell r="D2739" t="str">
            <v>23261</v>
          </cell>
          <cell r="E2739" t="str">
            <v>CPLG</v>
          </cell>
          <cell r="F2739">
            <v>2</v>
          </cell>
          <cell r="G2739" t="str">
            <v>CB400500000100</v>
          </cell>
          <cell r="H2739">
            <v>1</v>
          </cell>
          <cell r="I2739" t="str">
            <v>--</v>
          </cell>
          <cell r="J2739">
            <v>1</v>
          </cell>
          <cell r="K2739">
            <v>1</v>
          </cell>
        </row>
        <row r="2740">
          <cell r="A2740" t="str">
            <v>M2</v>
          </cell>
          <cell r="B2740" t="str">
            <v>A5C</v>
          </cell>
          <cell r="C2740" t="str">
            <v>P</v>
          </cell>
          <cell r="D2740" t="str">
            <v>24007</v>
          </cell>
          <cell r="E2740" t="str">
            <v>CPLG</v>
          </cell>
          <cell r="F2740">
            <v>2</v>
          </cell>
          <cell r="G2740" t="str">
            <v>CB400500000100</v>
          </cell>
          <cell r="H2740">
            <v>1</v>
          </cell>
          <cell r="I2740" t="str">
            <v>--</v>
          </cell>
          <cell r="J2740">
            <v>1</v>
          </cell>
          <cell r="K2740">
            <v>1</v>
          </cell>
        </row>
        <row r="2741">
          <cell r="A2741" t="str">
            <v>M2</v>
          </cell>
          <cell r="B2741" t="str">
            <v>A5C</v>
          </cell>
          <cell r="C2741" t="str">
            <v>P</v>
          </cell>
          <cell r="D2741" t="str">
            <v>24013</v>
          </cell>
          <cell r="E2741" t="str">
            <v>CPLG</v>
          </cell>
          <cell r="F2741">
            <v>2</v>
          </cell>
          <cell r="G2741" t="str">
            <v>CB400500000100</v>
          </cell>
          <cell r="H2741">
            <v>1</v>
          </cell>
          <cell r="I2741" t="str">
            <v>--</v>
          </cell>
          <cell r="J2741">
            <v>2</v>
          </cell>
          <cell r="K2741">
            <v>2</v>
          </cell>
        </row>
        <row r="2742">
          <cell r="A2742" t="str">
            <v>M2</v>
          </cell>
          <cell r="B2742" t="str">
            <v>A5C</v>
          </cell>
          <cell r="C2742" t="str">
            <v>P</v>
          </cell>
          <cell r="D2742" t="str">
            <v>24020</v>
          </cell>
          <cell r="E2742" t="str">
            <v>CPLG</v>
          </cell>
          <cell r="F2742">
            <v>2</v>
          </cell>
          <cell r="G2742" t="str">
            <v>CB400500000100</v>
          </cell>
          <cell r="H2742">
            <v>1</v>
          </cell>
          <cell r="I2742" t="str">
            <v>--</v>
          </cell>
          <cell r="J2742">
            <v>2</v>
          </cell>
          <cell r="K2742">
            <v>2</v>
          </cell>
        </row>
        <row r="2743">
          <cell r="A2743" t="str">
            <v>M2</v>
          </cell>
          <cell r="B2743" t="str">
            <v>A5C</v>
          </cell>
          <cell r="C2743" t="str">
            <v>N</v>
          </cell>
          <cell r="D2743" t="str">
            <v>23613</v>
          </cell>
          <cell r="E2743" t="str">
            <v>E SWG</v>
          </cell>
          <cell r="F2743">
            <v>2</v>
          </cell>
          <cell r="G2743" t="str">
            <v>CB16210808010T</v>
          </cell>
          <cell r="H2743">
            <v>1</v>
          </cell>
          <cell r="I2743">
            <v>0.75</v>
          </cell>
          <cell r="J2743">
            <v>1</v>
          </cell>
          <cell r="K2743">
            <v>1</v>
          </cell>
        </row>
        <row r="2744">
          <cell r="A2744" t="str">
            <v>M2</v>
          </cell>
          <cell r="B2744" t="str">
            <v>A5C</v>
          </cell>
          <cell r="C2744" t="str">
            <v>P</v>
          </cell>
          <cell r="D2744" t="str">
            <v>23052</v>
          </cell>
          <cell r="E2744" t="str">
            <v>E SWG</v>
          </cell>
          <cell r="F2744">
            <v>2</v>
          </cell>
          <cell r="G2744" t="str">
            <v>CB16210808010T</v>
          </cell>
          <cell r="H2744">
            <v>1</v>
          </cell>
          <cell r="I2744">
            <v>0.75</v>
          </cell>
          <cell r="J2744">
            <v>2</v>
          </cell>
          <cell r="K2744">
            <v>2</v>
          </cell>
        </row>
        <row r="2745">
          <cell r="A2745" t="str">
            <v>M2</v>
          </cell>
          <cell r="B2745" t="str">
            <v>A5C</v>
          </cell>
          <cell r="C2745" t="str">
            <v>P</v>
          </cell>
          <cell r="D2745" t="str">
            <v>23037</v>
          </cell>
          <cell r="E2745" t="str">
            <v>E SWG</v>
          </cell>
          <cell r="F2745">
            <v>2</v>
          </cell>
          <cell r="G2745" t="str">
            <v>CB16210808010T</v>
          </cell>
          <cell r="H2745">
            <v>1</v>
          </cell>
          <cell r="I2745">
            <v>0.75</v>
          </cell>
          <cell r="J2745">
            <v>2</v>
          </cell>
          <cell r="K2745">
            <v>2</v>
          </cell>
        </row>
        <row r="2746">
          <cell r="A2746" t="str">
            <v>M2</v>
          </cell>
          <cell r="B2746" t="str">
            <v>A5C</v>
          </cell>
          <cell r="C2746" t="str">
            <v>P</v>
          </cell>
          <cell r="D2746" t="str">
            <v>23149</v>
          </cell>
          <cell r="E2746" t="str">
            <v>E SWG</v>
          </cell>
          <cell r="F2746">
            <v>2</v>
          </cell>
          <cell r="G2746" t="str">
            <v>CB16210808010T</v>
          </cell>
          <cell r="H2746">
            <v>1</v>
          </cell>
          <cell r="I2746">
            <v>0.75</v>
          </cell>
          <cell r="J2746">
            <v>2</v>
          </cell>
          <cell r="K2746">
            <v>2</v>
          </cell>
        </row>
        <row r="2747">
          <cell r="A2747" t="str">
            <v>M2</v>
          </cell>
          <cell r="B2747" t="str">
            <v>A5C</v>
          </cell>
          <cell r="C2747" t="str">
            <v>N</v>
          </cell>
          <cell r="D2747" t="str">
            <v>23631</v>
          </cell>
          <cell r="E2747" t="str">
            <v>NPL</v>
          </cell>
          <cell r="F2747">
            <v>2</v>
          </cell>
          <cell r="G2747" t="str">
            <v>CB1321080001VR</v>
          </cell>
          <cell r="H2747">
            <v>1</v>
          </cell>
          <cell r="I2747" t="str">
            <v>75mm</v>
          </cell>
          <cell r="J2747">
            <v>1</v>
          </cell>
          <cell r="K2747">
            <v>1</v>
          </cell>
        </row>
        <row r="2748">
          <cell r="A2748" t="str">
            <v>M2</v>
          </cell>
          <cell r="B2748" t="str">
            <v>A5C</v>
          </cell>
          <cell r="C2748" t="str">
            <v>N</v>
          </cell>
          <cell r="D2748" t="str">
            <v>23633</v>
          </cell>
          <cell r="E2748" t="str">
            <v>NPL</v>
          </cell>
          <cell r="F2748">
            <v>2</v>
          </cell>
          <cell r="G2748" t="str">
            <v>CB1321080001VR</v>
          </cell>
          <cell r="H2748">
            <v>1</v>
          </cell>
          <cell r="I2748" t="str">
            <v>75mm</v>
          </cell>
          <cell r="J2748">
            <v>1</v>
          </cell>
          <cell r="K2748">
            <v>1</v>
          </cell>
        </row>
        <row r="2749">
          <cell r="A2749" t="str">
            <v>M2</v>
          </cell>
          <cell r="B2749" t="str">
            <v>A5C</v>
          </cell>
          <cell r="C2749" t="str">
            <v>N</v>
          </cell>
          <cell r="D2749" t="str">
            <v>23635</v>
          </cell>
          <cell r="E2749" t="str">
            <v>NPL</v>
          </cell>
          <cell r="F2749">
            <v>2</v>
          </cell>
          <cell r="G2749" t="str">
            <v>CB1321080001VR</v>
          </cell>
          <cell r="H2749">
            <v>1</v>
          </cell>
          <cell r="I2749" t="str">
            <v>75mm</v>
          </cell>
          <cell r="J2749">
            <v>1</v>
          </cell>
          <cell r="K2749">
            <v>1</v>
          </cell>
        </row>
        <row r="2750">
          <cell r="A2750" t="str">
            <v>M2</v>
          </cell>
          <cell r="B2750" t="str">
            <v>A5C</v>
          </cell>
          <cell r="C2750" t="str">
            <v>N</v>
          </cell>
          <cell r="D2750" t="str">
            <v>23632</v>
          </cell>
          <cell r="E2750" t="str">
            <v>R TEE</v>
          </cell>
          <cell r="F2750">
            <v>2</v>
          </cell>
          <cell r="G2750" t="str">
            <v>CB40040000010T</v>
          </cell>
          <cell r="H2750">
            <v>1</v>
          </cell>
          <cell r="I2750">
            <v>0.75</v>
          </cell>
          <cell r="J2750">
            <v>1</v>
          </cell>
          <cell r="K2750">
            <v>1</v>
          </cell>
        </row>
        <row r="2751">
          <cell r="A2751" t="str">
            <v>M2</v>
          </cell>
          <cell r="B2751" t="str">
            <v>A5C</v>
          </cell>
          <cell r="C2751" t="str">
            <v>N</v>
          </cell>
          <cell r="D2751" t="str">
            <v>23634</v>
          </cell>
          <cell r="E2751" t="str">
            <v>R TEE</v>
          </cell>
          <cell r="F2751">
            <v>2</v>
          </cell>
          <cell r="G2751" t="str">
            <v>CB40040000010T</v>
          </cell>
          <cell r="H2751">
            <v>1</v>
          </cell>
          <cell r="I2751">
            <v>0.75</v>
          </cell>
          <cell r="J2751">
            <v>1</v>
          </cell>
          <cell r="K2751">
            <v>1</v>
          </cell>
        </row>
        <row r="2752">
          <cell r="A2752" t="str">
            <v>M2</v>
          </cell>
          <cell r="B2752" t="str">
            <v>A5C</v>
          </cell>
          <cell r="C2752" t="str">
            <v>N</v>
          </cell>
          <cell r="D2752" t="str">
            <v>23638</v>
          </cell>
          <cell r="E2752" t="str">
            <v>R TEE</v>
          </cell>
          <cell r="F2752">
            <v>2</v>
          </cell>
          <cell r="G2752" t="str">
            <v>CB40040000010T</v>
          </cell>
          <cell r="H2752">
            <v>1</v>
          </cell>
          <cell r="I2752">
            <v>0.75</v>
          </cell>
          <cell r="J2752">
            <v>1</v>
          </cell>
          <cell r="K2752">
            <v>1</v>
          </cell>
        </row>
        <row r="2753">
          <cell r="A2753" t="str">
            <v>M2</v>
          </cell>
          <cell r="B2753" t="str">
            <v>A5C</v>
          </cell>
          <cell r="C2753" t="str">
            <v>N</v>
          </cell>
          <cell r="D2753" t="str">
            <v>23640</v>
          </cell>
          <cell r="E2753" t="str">
            <v>R TEE</v>
          </cell>
          <cell r="F2753">
            <v>2</v>
          </cell>
          <cell r="G2753" t="str">
            <v>CB40040000010T</v>
          </cell>
          <cell r="H2753">
            <v>1</v>
          </cell>
          <cell r="I2753">
            <v>0.75</v>
          </cell>
          <cell r="J2753">
            <v>1</v>
          </cell>
          <cell r="K2753">
            <v>1</v>
          </cell>
        </row>
        <row r="2754">
          <cell r="A2754" t="str">
            <v>M2</v>
          </cell>
          <cell r="B2754" t="str">
            <v>A5C</v>
          </cell>
          <cell r="C2754" t="str">
            <v>P</v>
          </cell>
          <cell r="D2754" t="str">
            <v>23052</v>
          </cell>
          <cell r="E2754" t="str">
            <v>R TEE</v>
          </cell>
          <cell r="F2754">
            <v>2</v>
          </cell>
          <cell r="G2754" t="str">
            <v>CB40040000010T</v>
          </cell>
          <cell r="H2754">
            <v>1</v>
          </cell>
          <cell r="I2754">
            <v>0.75</v>
          </cell>
          <cell r="J2754">
            <v>4</v>
          </cell>
          <cell r="K2754">
            <v>4</v>
          </cell>
        </row>
        <row r="2755">
          <cell r="A2755" t="str">
            <v>M2</v>
          </cell>
          <cell r="B2755" t="str">
            <v>A5C</v>
          </cell>
          <cell r="C2755" t="str">
            <v>P</v>
          </cell>
          <cell r="D2755" t="str">
            <v>23063</v>
          </cell>
          <cell r="E2755" t="str">
            <v>R TEE</v>
          </cell>
          <cell r="F2755">
            <v>2</v>
          </cell>
          <cell r="G2755" t="str">
            <v>CB40040000010T</v>
          </cell>
          <cell r="H2755">
            <v>1</v>
          </cell>
          <cell r="I2755">
            <v>0.75</v>
          </cell>
          <cell r="J2755">
            <v>2</v>
          </cell>
          <cell r="K2755">
            <v>2</v>
          </cell>
        </row>
        <row r="2756">
          <cell r="A2756" t="str">
            <v>M2</v>
          </cell>
          <cell r="B2756" t="str">
            <v>A5C</v>
          </cell>
          <cell r="C2756" t="str">
            <v>P</v>
          </cell>
          <cell r="D2756" t="str">
            <v>23078</v>
          </cell>
          <cell r="E2756" t="str">
            <v>R TEE</v>
          </cell>
          <cell r="F2756">
            <v>2</v>
          </cell>
          <cell r="G2756" t="str">
            <v>CB40040000010T</v>
          </cell>
          <cell r="H2756">
            <v>1</v>
          </cell>
          <cell r="I2756">
            <v>0.75</v>
          </cell>
          <cell r="J2756">
            <v>2</v>
          </cell>
          <cell r="K2756">
            <v>2</v>
          </cell>
        </row>
        <row r="2757">
          <cell r="A2757" t="str">
            <v>M2</v>
          </cell>
          <cell r="B2757" t="str">
            <v>A5C</v>
          </cell>
          <cell r="C2757" t="str">
            <v>P</v>
          </cell>
          <cell r="D2757" t="str">
            <v>23083</v>
          </cell>
          <cell r="E2757" t="str">
            <v>R TEE</v>
          </cell>
          <cell r="F2757">
            <v>2</v>
          </cell>
          <cell r="G2757" t="str">
            <v>CB40040000010T</v>
          </cell>
          <cell r="H2757">
            <v>1</v>
          </cell>
          <cell r="I2757">
            <v>0.75</v>
          </cell>
          <cell r="J2757">
            <v>2</v>
          </cell>
          <cell r="K2757">
            <v>2</v>
          </cell>
        </row>
        <row r="2758">
          <cell r="A2758" t="str">
            <v>M2</v>
          </cell>
          <cell r="B2758" t="str">
            <v>A5C</v>
          </cell>
          <cell r="C2758" t="str">
            <v>P</v>
          </cell>
          <cell r="D2758" t="str">
            <v>23122</v>
          </cell>
          <cell r="E2758" t="str">
            <v>R TEE</v>
          </cell>
          <cell r="F2758">
            <v>2</v>
          </cell>
          <cell r="G2758" t="str">
            <v>CB40040000010T</v>
          </cell>
          <cell r="H2758">
            <v>1</v>
          </cell>
          <cell r="I2758">
            <v>0.75</v>
          </cell>
          <cell r="J2758">
            <v>2</v>
          </cell>
          <cell r="K2758">
            <v>2</v>
          </cell>
        </row>
        <row r="2759">
          <cell r="A2759" t="str">
            <v>M2</v>
          </cell>
          <cell r="B2759" t="str">
            <v>A5C</v>
          </cell>
          <cell r="C2759" t="str">
            <v>P</v>
          </cell>
          <cell r="D2759" t="str">
            <v>23144</v>
          </cell>
          <cell r="E2759" t="str">
            <v>R TEE</v>
          </cell>
          <cell r="F2759">
            <v>2</v>
          </cell>
          <cell r="G2759" t="str">
            <v>CB40040000010T</v>
          </cell>
          <cell r="H2759">
            <v>1</v>
          </cell>
          <cell r="I2759">
            <v>0.75</v>
          </cell>
          <cell r="J2759">
            <v>4</v>
          </cell>
          <cell r="K2759">
            <v>4</v>
          </cell>
        </row>
        <row r="2760">
          <cell r="A2760" t="str">
            <v>M2</v>
          </cell>
          <cell r="B2760" t="str">
            <v>A5C</v>
          </cell>
          <cell r="C2760" t="str">
            <v>P</v>
          </cell>
          <cell r="D2760" t="str">
            <v>23148</v>
          </cell>
          <cell r="E2760" t="str">
            <v>R TEE</v>
          </cell>
          <cell r="F2760">
            <v>2</v>
          </cell>
          <cell r="G2760" t="str">
            <v>CB40040000010T</v>
          </cell>
          <cell r="H2760">
            <v>1</v>
          </cell>
          <cell r="I2760">
            <v>0.75</v>
          </cell>
          <cell r="J2760">
            <v>4</v>
          </cell>
          <cell r="K2760">
            <v>4</v>
          </cell>
        </row>
        <row r="2761">
          <cell r="A2761" t="str">
            <v>M2</v>
          </cell>
          <cell r="B2761" t="str">
            <v>A5C</v>
          </cell>
          <cell r="C2761" t="str">
            <v>P</v>
          </cell>
          <cell r="D2761" t="str">
            <v>23149</v>
          </cell>
          <cell r="E2761" t="str">
            <v>R TEE</v>
          </cell>
          <cell r="F2761">
            <v>2</v>
          </cell>
          <cell r="G2761" t="str">
            <v>CB40040000010T</v>
          </cell>
          <cell r="H2761">
            <v>1</v>
          </cell>
          <cell r="I2761">
            <v>0.75</v>
          </cell>
          <cell r="J2761">
            <v>5</v>
          </cell>
          <cell r="K2761">
            <v>5</v>
          </cell>
        </row>
        <row r="2762">
          <cell r="A2762" t="str">
            <v>M2</v>
          </cell>
          <cell r="B2762" t="str">
            <v>A5C</v>
          </cell>
          <cell r="C2762" t="str">
            <v>P</v>
          </cell>
          <cell r="D2762" t="str">
            <v>23164</v>
          </cell>
          <cell r="E2762" t="str">
            <v>R TEE</v>
          </cell>
          <cell r="F2762">
            <v>2</v>
          </cell>
          <cell r="G2762" t="str">
            <v>CB40040000010T</v>
          </cell>
          <cell r="H2762">
            <v>1</v>
          </cell>
          <cell r="I2762">
            <v>0.75</v>
          </cell>
          <cell r="J2762">
            <v>2</v>
          </cell>
          <cell r="K2762">
            <v>2</v>
          </cell>
        </row>
        <row r="2763">
          <cell r="A2763" t="str">
            <v>M2</v>
          </cell>
          <cell r="B2763" t="str">
            <v>A5C</v>
          </cell>
          <cell r="C2763" t="str">
            <v>P</v>
          </cell>
          <cell r="D2763" t="str">
            <v>23205</v>
          </cell>
          <cell r="E2763" t="str">
            <v>R TEE</v>
          </cell>
          <cell r="F2763">
            <v>2</v>
          </cell>
          <cell r="G2763" t="str">
            <v>CB40040000010T</v>
          </cell>
          <cell r="H2763">
            <v>1</v>
          </cell>
          <cell r="I2763">
            <v>0.75</v>
          </cell>
          <cell r="J2763">
            <v>2</v>
          </cell>
          <cell r="K2763">
            <v>2</v>
          </cell>
        </row>
        <row r="2764">
          <cell r="A2764" t="str">
            <v>M2</v>
          </cell>
          <cell r="B2764" t="str">
            <v>A5C</v>
          </cell>
          <cell r="C2764" t="str">
            <v>P</v>
          </cell>
          <cell r="D2764" t="str">
            <v>23214</v>
          </cell>
          <cell r="E2764" t="str">
            <v>R TEE</v>
          </cell>
          <cell r="F2764">
            <v>2</v>
          </cell>
          <cell r="G2764" t="str">
            <v>CB40040000010T</v>
          </cell>
          <cell r="H2764">
            <v>1</v>
          </cell>
          <cell r="I2764">
            <v>0.75</v>
          </cell>
          <cell r="J2764">
            <v>3</v>
          </cell>
          <cell r="K2764">
            <v>3</v>
          </cell>
        </row>
        <row r="2765">
          <cell r="A2765" t="str">
            <v>M2</v>
          </cell>
          <cell r="B2765" t="str">
            <v>A5C</v>
          </cell>
          <cell r="C2765" t="str">
            <v>P</v>
          </cell>
          <cell r="D2765" t="str">
            <v>23207</v>
          </cell>
          <cell r="E2765" t="str">
            <v>R TEE</v>
          </cell>
          <cell r="F2765">
            <v>2</v>
          </cell>
          <cell r="G2765" t="str">
            <v>CB40040000010T</v>
          </cell>
          <cell r="H2765">
            <v>1</v>
          </cell>
          <cell r="I2765">
            <v>0.75</v>
          </cell>
          <cell r="J2765">
            <v>2</v>
          </cell>
          <cell r="K2765">
            <v>2</v>
          </cell>
        </row>
        <row r="2766">
          <cell r="A2766" t="str">
            <v>M2</v>
          </cell>
          <cell r="B2766" t="str">
            <v>A5C</v>
          </cell>
          <cell r="C2766" t="str">
            <v>P</v>
          </cell>
          <cell r="D2766" t="str">
            <v>23208</v>
          </cell>
          <cell r="E2766" t="str">
            <v>R TEE</v>
          </cell>
          <cell r="F2766">
            <v>2</v>
          </cell>
          <cell r="G2766" t="str">
            <v>CB40040000010T</v>
          </cell>
          <cell r="H2766">
            <v>1</v>
          </cell>
          <cell r="I2766">
            <v>0.75</v>
          </cell>
          <cell r="J2766">
            <v>2</v>
          </cell>
          <cell r="K2766">
            <v>2</v>
          </cell>
        </row>
        <row r="2767">
          <cell r="A2767" t="str">
            <v>M2</v>
          </cell>
          <cell r="B2767" t="str">
            <v>A5C</v>
          </cell>
          <cell r="C2767" t="str">
            <v>P</v>
          </cell>
          <cell r="D2767" t="str">
            <v>23212</v>
          </cell>
          <cell r="E2767" t="str">
            <v>R TEE</v>
          </cell>
          <cell r="F2767">
            <v>2</v>
          </cell>
          <cell r="G2767" t="str">
            <v>CB40040000010T</v>
          </cell>
          <cell r="H2767">
            <v>1</v>
          </cell>
          <cell r="I2767">
            <v>0.75</v>
          </cell>
          <cell r="J2767">
            <v>3</v>
          </cell>
          <cell r="K2767">
            <v>3</v>
          </cell>
        </row>
        <row r="2768">
          <cell r="A2768" t="str">
            <v>M2</v>
          </cell>
          <cell r="B2768" t="str">
            <v>A5C</v>
          </cell>
          <cell r="C2768" t="str">
            <v>P</v>
          </cell>
          <cell r="D2768" t="str">
            <v>23213</v>
          </cell>
          <cell r="E2768" t="str">
            <v>R TEE</v>
          </cell>
          <cell r="F2768">
            <v>2</v>
          </cell>
          <cell r="G2768" t="str">
            <v>CB40040000010T</v>
          </cell>
          <cell r="H2768">
            <v>1</v>
          </cell>
          <cell r="I2768">
            <v>0.75</v>
          </cell>
          <cell r="J2768">
            <v>3</v>
          </cell>
          <cell r="K2768">
            <v>3</v>
          </cell>
        </row>
        <row r="2769">
          <cell r="A2769" t="str">
            <v>M2</v>
          </cell>
          <cell r="B2769" t="str">
            <v>A5C</v>
          </cell>
          <cell r="C2769" t="str">
            <v>P</v>
          </cell>
          <cell r="D2769" t="str">
            <v>23230</v>
          </cell>
          <cell r="E2769" t="str">
            <v>R TEE</v>
          </cell>
          <cell r="F2769">
            <v>2</v>
          </cell>
          <cell r="G2769" t="str">
            <v>CB40040000010T</v>
          </cell>
          <cell r="H2769">
            <v>1</v>
          </cell>
          <cell r="I2769">
            <v>0.75</v>
          </cell>
          <cell r="J2769">
            <v>3</v>
          </cell>
          <cell r="K2769">
            <v>3</v>
          </cell>
        </row>
        <row r="2770">
          <cell r="A2770" t="str">
            <v>M2</v>
          </cell>
          <cell r="B2770" t="str">
            <v>A5C</v>
          </cell>
          <cell r="C2770" t="str">
            <v>P</v>
          </cell>
          <cell r="D2770" t="str">
            <v>23239</v>
          </cell>
          <cell r="E2770" t="str">
            <v>R TEE</v>
          </cell>
          <cell r="F2770">
            <v>2</v>
          </cell>
          <cell r="G2770" t="str">
            <v>CB40040000010T</v>
          </cell>
          <cell r="H2770">
            <v>1</v>
          </cell>
          <cell r="I2770">
            <v>0.75</v>
          </cell>
          <cell r="J2770">
            <v>2</v>
          </cell>
          <cell r="K2770">
            <v>2</v>
          </cell>
        </row>
        <row r="2771">
          <cell r="A2771" t="str">
            <v>M2</v>
          </cell>
          <cell r="B2771" t="str">
            <v>A5C</v>
          </cell>
          <cell r="C2771" t="str">
            <v>P</v>
          </cell>
          <cell r="D2771" t="str">
            <v>23252</v>
          </cell>
          <cell r="E2771" t="str">
            <v>R TEE</v>
          </cell>
          <cell r="F2771">
            <v>2</v>
          </cell>
          <cell r="G2771" t="str">
            <v>CB40040000010T</v>
          </cell>
          <cell r="H2771">
            <v>1</v>
          </cell>
          <cell r="I2771">
            <v>0.75</v>
          </cell>
          <cell r="J2771">
            <v>3</v>
          </cell>
          <cell r="K2771">
            <v>3</v>
          </cell>
        </row>
        <row r="2772">
          <cell r="A2772" t="str">
            <v>M2</v>
          </cell>
          <cell r="B2772" t="str">
            <v>A5C</v>
          </cell>
          <cell r="C2772" t="str">
            <v>P</v>
          </cell>
          <cell r="D2772" t="str">
            <v>24007</v>
          </cell>
          <cell r="E2772" t="str">
            <v>R TEE</v>
          </cell>
          <cell r="F2772">
            <v>2</v>
          </cell>
          <cell r="G2772" t="str">
            <v>CB40040000010T</v>
          </cell>
          <cell r="H2772">
            <v>1</v>
          </cell>
          <cell r="I2772">
            <v>0.75</v>
          </cell>
          <cell r="J2772">
            <v>1</v>
          </cell>
          <cell r="K2772">
            <v>1</v>
          </cell>
        </row>
        <row r="2773">
          <cell r="A2773" t="str">
            <v>M2</v>
          </cell>
          <cell r="B2773" t="str">
            <v>A5C</v>
          </cell>
          <cell r="C2773" t="str">
            <v>P</v>
          </cell>
          <cell r="D2773" t="str">
            <v>24008</v>
          </cell>
          <cell r="E2773" t="str">
            <v>R TEE</v>
          </cell>
          <cell r="F2773">
            <v>2</v>
          </cell>
          <cell r="G2773" t="str">
            <v>CB40040000010T</v>
          </cell>
          <cell r="H2773">
            <v>1</v>
          </cell>
          <cell r="I2773">
            <v>0.75</v>
          </cell>
          <cell r="J2773">
            <v>3</v>
          </cell>
          <cell r="K2773">
            <v>3</v>
          </cell>
        </row>
        <row r="2774">
          <cell r="A2774" t="str">
            <v>M2</v>
          </cell>
          <cell r="B2774" t="str">
            <v>A5C</v>
          </cell>
          <cell r="C2774" t="str">
            <v>P</v>
          </cell>
          <cell r="D2774" t="str">
            <v>24020</v>
          </cell>
          <cell r="E2774" t="str">
            <v>R TEE</v>
          </cell>
          <cell r="F2774">
            <v>2</v>
          </cell>
          <cell r="G2774" t="str">
            <v>CB40040000010T</v>
          </cell>
          <cell r="H2774">
            <v>1</v>
          </cell>
          <cell r="I2774">
            <v>0.75</v>
          </cell>
          <cell r="J2774">
            <v>2</v>
          </cell>
          <cell r="K2774">
            <v>2</v>
          </cell>
        </row>
        <row r="2775">
          <cell r="A2775" t="str">
            <v>M2</v>
          </cell>
          <cell r="B2775" t="str">
            <v>A5C</v>
          </cell>
          <cell r="C2775" t="str">
            <v>N</v>
          </cell>
          <cell r="D2775" t="str">
            <v>23636</v>
          </cell>
          <cell r="E2775" t="str">
            <v>R TEE</v>
          </cell>
          <cell r="F2775">
            <v>2</v>
          </cell>
          <cell r="G2775" t="str">
            <v>CB40040000010T</v>
          </cell>
          <cell r="H2775">
            <v>1</v>
          </cell>
          <cell r="I2775">
            <v>0.75</v>
          </cell>
          <cell r="J2775">
            <v>1</v>
          </cell>
          <cell r="K2775">
            <v>1</v>
          </cell>
        </row>
        <row r="2776">
          <cell r="A2776" t="str">
            <v>M2</v>
          </cell>
          <cell r="B2776" t="str">
            <v>A5C</v>
          </cell>
          <cell r="C2776" t="str">
            <v>N</v>
          </cell>
          <cell r="D2776" t="str">
            <v>23637</v>
          </cell>
          <cell r="E2776" t="str">
            <v>R TEE</v>
          </cell>
          <cell r="F2776">
            <v>2</v>
          </cell>
          <cell r="G2776" t="str">
            <v>CB40040000010T</v>
          </cell>
          <cell r="H2776">
            <v>1</v>
          </cell>
          <cell r="I2776">
            <v>0.75</v>
          </cell>
          <cell r="J2776">
            <v>1</v>
          </cell>
          <cell r="K2776">
            <v>1</v>
          </cell>
        </row>
        <row r="2777">
          <cell r="A2777" t="str">
            <v>M2</v>
          </cell>
          <cell r="B2777" t="str">
            <v>A5C</v>
          </cell>
          <cell r="C2777" t="str">
            <v>N</v>
          </cell>
          <cell r="D2777" t="str">
            <v>23639</v>
          </cell>
          <cell r="E2777" t="str">
            <v>R TEE</v>
          </cell>
          <cell r="F2777">
            <v>2</v>
          </cell>
          <cell r="G2777" t="str">
            <v>CB40040000010T</v>
          </cell>
          <cell r="H2777">
            <v>1</v>
          </cell>
          <cell r="I2777">
            <v>0.75</v>
          </cell>
          <cell r="J2777">
            <v>1</v>
          </cell>
          <cell r="K2777">
            <v>1</v>
          </cell>
        </row>
        <row r="2778">
          <cell r="A2778" t="str">
            <v>M2</v>
          </cell>
          <cell r="B2778" t="str">
            <v>A5C</v>
          </cell>
          <cell r="C2778" t="str">
            <v>P</v>
          </cell>
          <cell r="D2778" t="str">
            <v>23037</v>
          </cell>
          <cell r="E2778" t="str">
            <v>R TEE</v>
          </cell>
          <cell r="F2778">
            <v>2</v>
          </cell>
          <cell r="G2778" t="str">
            <v>CB40040000010T</v>
          </cell>
          <cell r="H2778">
            <v>1</v>
          </cell>
          <cell r="I2778">
            <v>0.75</v>
          </cell>
          <cell r="J2778">
            <v>5</v>
          </cell>
          <cell r="K2778">
            <v>5</v>
          </cell>
        </row>
        <row r="2779">
          <cell r="A2779" t="str">
            <v>M2</v>
          </cell>
          <cell r="B2779" t="str">
            <v>A5C</v>
          </cell>
          <cell r="C2779" t="str">
            <v>P</v>
          </cell>
          <cell r="D2779" t="str">
            <v>23204</v>
          </cell>
          <cell r="E2779" t="str">
            <v>R TEE</v>
          </cell>
          <cell r="F2779">
            <v>2</v>
          </cell>
          <cell r="G2779" t="str">
            <v>CB40040000010T</v>
          </cell>
          <cell r="H2779">
            <v>1</v>
          </cell>
          <cell r="I2779">
            <v>0.75</v>
          </cell>
          <cell r="J2779">
            <v>2</v>
          </cell>
          <cell r="K2779">
            <v>2</v>
          </cell>
        </row>
        <row r="2780">
          <cell r="A2780" t="str">
            <v>M2</v>
          </cell>
          <cell r="B2780" t="str">
            <v>A5C</v>
          </cell>
          <cell r="C2780" t="str">
            <v>P</v>
          </cell>
          <cell r="D2780" t="str">
            <v>23206</v>
          </cell>
          <cell r="E2780" t="str">
            <v>R TEE</v>
          </cell>
          <cell r="F2780">
            <v>2</v>
          </cell>
          <cell r="G2780" t="str">
            <v>CB40040000010T</v>
          </cell>
          <cell r="H2780">
            <v>1</v>
          </cell>
          <cell r="I2780">
            <v>0.75</v>
          </cell>
          <cell r="J2780">
            <v>2</v>
          </cell>
          <cell r="K2780">
            <v>2</v>
          </cell>
        </row>
        <row r="2781">
          <cell r="A2781" t="str">
            <v>M2</v>
          </cell>
          <cell r="B2781" t="str">
            <v>A5C</v>
          </cell>
          <cell r="C2781" t="str">
            <v>P</v>
          </cell>
          <cell r="D2781" t="str">
            <v>23235</v>
          </cell>
          <cell r="E2781" t="str">
            <v>R TEE</v>
          </cell>
          <cell r="F2781">
            <v>2</v>
          </cell>
          <cell r="G2781" t="str">
            <v>CB40040000010T</v>
          </cell>
          <cell r="H2781">
            <v>1</v>
          </cell>
          <cell r="I2781">
            <v>0.75</v>
          </cell>
          <cell r="J2781">
            <v>2</v>
          </cell>
          <cell r="K2781">
            <v>2</v>
          </cell>
        </row>
        <row r="2782">
          <cell r="A2782" t="str">
            <v>M2</v>
          </cell>
          <cell r="B2782" t="str">
            <v>A5C</v>
          </cell>
          <cell r="C2782" t="str">
            <v>P</v>
          </cell>
          <cell r="D2782" t="str">
            <v>23245</v>
          </cell>
          <cell r="E2782" t="str">
            <v>R TEE</v>
          </cell>
          <cell r="F2782">
            <v>2</v>
          </cell>
          <cell r="G2782" t="str">
            <v>CB40040000010T</v>
          </cell>
          <cell r="H2782">
            <v>1</v>
          </cell>
          <cell r="I2782">
            <v>0.75</v>
          </cell>
          <cell r="J2782">
            <v>3</v>
          </cell>
          <cell r="K2782">
            <v>3</v>
          </cell>
        </row>
        <row r="2783">
          <cell r="A2783" t="str">
            <v>M2</v>
          </cell>
          <cell r="B2783" t="str">
            <v>A5C</v>
          </cell>
          <cell r="C2783" t="str">
            <v>P</v>
          </cell>
          <cell r="D2783" t="str">
            <v>24013</v>
          </cell>
          <cell r="E2783" t="str">
            <v>R TEE</v>
          </cell>
          <cell r="F2783">
            <v>2</v>
          </cell>
          <cell r="G2783" t="str">
            <v>CB40040000010T</v>
          </cell>
          <cell r="H2783">
            <v>1</v>
          </cell>
          <cell r="I2783">
            <v>0.75</v>
          </cell>
          <cell r="J2783">
            <v>3</v>
          </cell>
          <cell r="K2783">
            <v>3</v>
          </cell>
        </row>
        <row r="2784">
          <cell r="A2784" t="str">
            <v>M2</v>
          </cell>
          <cell r="B2784" t="str">
            <v>A5C</v>
          </cell>
          <cell r="C2784" t="str">
            <v>N</v>
          </cell>
          <cell r="D2784" t="str">
            <v>23631</v>
          </cell>
          <cell r="E2784" t="str">
            <v>TEE</v>
          </cell>
          <cell r="F2784">
            <v>2</v>
          </cell>
          <cell r="G2784" t="str">
            <v>CB400300000100</v>
          </cell>
          <cell r="H2784">
            <v>1</v>
          </cell>
          <cell r="I2784" t="str">
            <v>--</v>
          </cell>
          <cell r="J2784">
            <v>1</v>
          </cell>
          <cell r="K2784">
            <v>1</v>
          </cell>
        </row>
        <row r="2785">
          <cell r="A2785" t="str">
            <v>M2</v>
          </cell>
          <cell r="B2785" t="str">
            <v>A5C</v>
          </cell>
          <cell r="C2785" t="str">
            <v>N</v>
          </cell>
          <cell r="D2785" t="str">
            <v>23633</v>
          </cell>
          <cell r="E2785" t="str">
            <v>TEE</v>
          </cell>
          <cell r="F2785">
            <v>2</v>
          </cell>
          <cell r="G2785" t="str">
            <v>CB400300000100</v>
          </cell>
          <cell r="H2785">
            <v>1</v>
          </cell>
          <cell r="I2785" t="str">
            <v>--</v>
          </cell>
          <cell r="J2785">
            <v>1</v>
          </cell>
          <cell r="K2785">
            <v>1</v>
          </cell>
        </row>
        <row r="2786">
          <cell r="A2786" t="str">
            <v>M2</v>
          </cell>
          <cell r="B2786" t="str">
            <v>A5C</v>
          </cell>
          <cell r="C2786" t="str">
            <v>N</v>
          </cell>
          <cell r="D2786" t="str">
            <v>23635</v>
          </cell>
          <cell r="E2786" t="str">
            <v>TEE</v>
          </cell>
          <cell r="F2786">
            <v>2</v>
          </cell>
          <cell r="G2786" t="str">
            <v>CB400300000100</v>
          </cell>
          <cell r="H2786">
            <v>1</v>
          </cell>
          <cell r="I2786" t="str">
            <v>--</v>
          </cell>
          <cell r="J2786">
            <v>1</v>
          </cell>
          <cell r="K2786">
            <v>1</v>
          </cell>
        </row>
        <row r="2787">
          <cell r="A2787" t="str">
            <v>M2</v>
          </cell>
          <cell r="B2787" t="str">
            <v>A5C</v>
          </cell>
          <cell r="C2787" t="str">
            <v>P</v>
          </cell>
          <cell r="D2787" t="str">
            <v>23063</v>
          </cell>
          <cell r="E2787" t="str">
            <v>TEE</v>
          </cell>
          <cell r="F2787">
            <v>2</v>
          </cell>
          <cell r="G2787" t="str">
            <v>CB400300000100</v>
          </cell>
          <cell r="H2787">
            <v>1</v>
          </cell>
          <cell r="I2787" t="str">
            <v>--</v>
          </cell>
          <cell r="J2787">
            <v>2</v>
          </cell>
          <cell r="K2787">
            <v>2</v>
          </cell>
        </row>
        <row r="2788">
          <cell r="A2788" t="str">
            <v>M2</v>
          </cell>
          <cell r="B2788" t="str">
            <v>A5C</v>
          </cell>
          <cell r="C2788" t="str">
            <v>P</v>
          </cell>
          <cell r="D2788" t="str">
            <v>23078</v>
          </cell>
          <cell r="E2788" t="str">
            <v>TEE</v>
          </cell>
          <cell r="F2788">
            <v>2</v>
          </cell>
          <cell r="G2788" t="str">
            <v>CB400300000100</v>
          </cell>
          <cell r="H2788">
            <v>1</v>
          </cell>
          <cell r="I2788" t="str">
            <v>--</v>
          </cell>
          <cell r="J2788">
            <v>2</v>
          </cell>
          <cell r="K2788">
            <v>2</v>
          </cell>
        </row>
        <row r="2789">
          <cell r="A2789" t="str">
            <v>M2</v>
          </cell>
          <cell r="B2789" t="str">
            <v>A5C</v>
          </cell>
          <cell r="C2789" t="str">
            <v>P</v>
          </cell>
          <cell r="D2789" t="str">
            <v>23083</v>
          </cell>
          <cell r="E2789" t="str">
            <v>TEE</v>
          </cell>
          <cell r="F2789">
            <v>2</v>
          </cell>
          <cell r="G2789" t="str">
            <v>CB400300000100</v>
          </cell>
          <cell r="H2789">
            <v>1</v>
          </cell>
          <cell r="I2789" t="str">
            <v>--</v>
          </cell>
          <cell r="J2789">
            <v>3</v>
          </cell>
          <cell r="K2789">
            <v>3</v>
          </cell>
        </row>
        <row r="2790">
          <cell r="A2790" t="str">
            <v>M2</v>
          </cell>
          <cell r="B2790" t="str">
            <v>A5C</v>
          </cell>
          <cell r="C2790" t="str">
            <v>P</v>
          </cell>
          <cell r="D2790" t="str">
            <v>23104</v>
          </cell>
          <cell r="E2790" t="str">
            <v>TEE</v>
          </cell>
          <cell r="F2790">
            <v>2</v>
          </cell>
          <cell r="G2790" t="str">
            <v>CB400300000100</v>
          </cell>
          <cell r="H2790">
            <v>1</v>
          </cell>
          <cell r="I2790" t="str">
            <v>--</v>
          </cell>
          <cell r="J2790">
            <v>3</v>
          </cell>
          <cell r="K2790">
            <v>3</v>
          </cell>
        </row>
        <row r="2791">
          <cell r="A2791" t="str">
            <v>M2</v>
          </cell>
          <cell r="B2791" t="str">
            <v>A5C</v>
          </cell>
          <cell r="C2791" t="str">
            <v>P</v>
          </cell>
          <cell r="D2791" t="str">
            <v>23104</v>
          </cell>
          <cell r="E2791" t="str">
            <v>TEE</v>
          </cell>
          <cell r="F2791">
            <v>2</v>
          </cell>
          <cell r="G2791" t="str">
            <v>CB400300000100</v>
          </cell>
          <cell r="H2791">
            <v>1</v>
          </cell>
          <cell r="I2791" t="str">
            <v>--</v>
          </cell>
          <cell r="J2791">
            <v>2</v>
          </cell>
          <cell r="K2791">
            <v>2</v>
          </cell>
        </row>
        <row r="2792">
          <cell r="A2792" t="str">
            <v>M2</v>
          </cell>
          <cell r="B2792" t="str">
            <v>A5C</v>
          </cell>
          <cell r="C2792" t="str">
            <v>P</v>
          </cell>
          <cell r="D2792" t="str">
            <v>23108</v>
          </cell>
          <cell r="E2792" t="str">
            <v>TEE</v>
          </cell>
          <cell r="F2792">
            <v>2</v>
          </cell>
          <cell r="G2792" t="str">
            <v>CB400300000100</v>
          </cell>
          <cell r="H2792">
            <v>1</v>
          </cell>
          <cell r="I2792" t="str">
            <v>--</v>
          </cell>
          <cell r="J2792">
            <v>2</v>
          </cell>
          <cell r="K2792">
            <v>2</v>
          </cell>
        </row>
        <row r="2793">
          <cell r="A2793" t="str">
            <v>M2</v>
          </cell>
          <cell r="B2793" t="str">
            <v>A5C</v>
          </cell>
          <cell r="C2793" t="str">
            <v>P</v>
          </cell>
          <cell r="D2793" t="str">
            <v>23112</v>
          </cell>
          <cell r="E2793" t="str">
            <v>TEE</v>
          </cell>
          <cell r="F2793">
            <v>2</v>
          </cell>
          <cell r="G2793" t="str">
            <v>CB400300000100</v>
          </cell>
          <cell r="H2793">
            <v>1</v>
          </cell>
          <cell r="I2793" t="str">
            <v>--</v>
          </cell>
          <cell r="J2793">
            <v>3</v>
          </cell>
          <cell r="K2793">
            <v>3</v>
          </cell>
        </row>
        <row r="2794">
          <cell r="A2794" t="str">
            <v>M2</v>
          </cell>
          <cell r="B2794" t="str">
            <v>A5C</v>
          </cell>
          <cell r="C2794" t="str">
            <v>P</v>
          </cell>
          <cell r="D2794" t="str">
            <v>23144</v>
          </cell>
          <cell r="E2794" t="str">
            <v>TEE</v>
          </cell>
          <cell r="F2794">
            <v>2</v>
          </cell>
          <cell r="G2794" t="str">
            <v>CB400300000100</v>
          </cell>
          <cell r="H2794">
            <v>1</v>
          </cell>
          <cell r="I2794" t="str">
            <v>--</v>
          </cell>
          <cell r="J2794">
            <v>1</v>
          </cell>
          <cell r="K2794">
            <v>1</v>
          </cell>
        </row>
        <row r="2795">
          <cell r="A2795" t="str">
            <v>M2</v>
          </cell>
          <cell r="B2795" t="str">
            <v>A5C</v>
          </cell>
          <cell r="C2795" t="str">
            <v>P</v>
          </cell>
          <cell r="D2795" t="str">
            <v>23148</v>
          </cell>
          <cell r="E2795" t="str">
            <v>TEE</v>
          </cell>
          <cell r="F2795">
            <v>2</v>
          </cell>
          <cell r="G2795" t="str">
            <v>CB400300000100</v>
          </cell>
          <cell r="H2795">
            <v>1</v>
          </cell>
          <cell r="I2795" t="str">
            <v>--</v>
          </cell>
          <cell r="J2795">
            <v>1</v>
          </cell>
          <cell r="K2795">
            <v>1</v>
          </cell>
        </row>
        <row r="2796">
          <cell r="A2796" t="str">
            <v>M2</v>
          </cell>
          <cell r="B2796" t="str">
            <v>A5C</v>
          </cell>
          <cell r="C2796" t="str">
            <v>P</v>
          </cell>
          <cell r="D2796" t="str">
            <v>23164</v>
          </cell>
          <cell r="E2796" t="str">
            <v>TEE</v>
          </cell>
          <cell r="F2796">
            <v>2</v>
          </cell>
          <cell r="G2796" t="str">
            <v>CB400300000100</v>
          </cell>
          <cell r="H2796">
            <v>1</v>
          </cell>
          <cell r="I2796" t="str">
            <v>--</v>
          </cell>
          <cell r="J2796">
            <v>1</v>
          </cell>
          <cell r="K2796">
            <v>1</v>
          </cell>
        </row>
        <row r="2797">
          <cell r="A2797" t="str">
            <v>M2</v>
          </cell>
          <cell r="B2797" t="str">
            <v>A5C</v>
          </cell>
          <cell r="C2797" t="str">
            <v>P</v>
          </cell>
          <cell r="D2797" t="str">
            <v>23230</v>
          </cell>
          <cell r="E2797" t="str">
            <v>TEE</v>
          </cell>
          <cell r="F2797">
            <v>2</v>
          </cell>
          <cell r="G2797" t="str">
            <v>CB400300000100</v>
          </cell>
          <cell r="H2797">
            <v>1</v>
          </cell>
          <cell r="I2797" t="str">
            <v>--</v>
          </cell>
          <cell r="J2797">
            <v>1</v>
          </cell>
          <cell r="K2797">
            <v>1</v>
          </cell>
        </row>
        <row r="2798">
          <cell r="A2798" t="str">
            <v>M2</v>
          </cell>
          <cell r="B2798" t="str">
            <v>A5C</v>
          </cell>
          <cell r="C2798" t="str">
            <v>P</v>
          </cell>
          <cell r="D2798" t="str">
            <v>23252</v>
          </cell>
          <cell r="E2798" t="str">
            <v>TEE</v>
          </cell>
          <cell r="F2798">
            <v>2</v>
          </cell>
          <cell r="G2798" t="str">
            <v>CB400300000100</v>
          </cell>
          <cell r="H2798">
            <v>1</v>
          </cell>
          <cell r="I2798" t="str">
            <v>--</v>
          </cell>
          <cell r="J2798">
            <v>2</v>
          </cell>
          <cell r="K2798">
            <v>2</v>
          </cell>
        </row>
        <row r="2799">
          <cell r="A2799" t="str">
            <v>M2</v>
          </cell>
          <cell r="B2799" t="str">
            <v>A5C</v>
          </cell>
          <cell r="C2799" t="str">
            <v>P</v>
          </cell>
          <cell r="D2799" t="str">
            <v>24013</v>
          </cell>
          <cell r="E2799" t="str">
            <v>TEE</v>
          </cell>
          <cell r="F2799">
            <v>2</v>
          </cell>
          <cell r="G2799" t="str">
            <v>CB400300000100</v>
          </cell>
          <cell r="H2799">
            <v>1</v>
          </cell>
          <cell r="I2799" t="str">
            <v>--</v>
          </cell>
          <cell r="J2799">
            <v>1</v>
          </cell>
          <cell r="K2799">
            <v>1</v>
          </cell>
        </row>
        <row r="2800">
          <cell r="A2800" t="str">
            <v>M2</v>
          </cell>
          <cell r="B2800" t="str">
            <v>A5C</v>
          </cell>
          <cell r="C2800" t="str">
            <v>P</v>
          </cell>
          <cell r="D2800" t="str">
            <v>24008</v>
          </cell>
          <cell r="E2800" t="str">
            <v>TEE</v>
          </cell>
          <cell r="F2800">
            <v>2</v>
          </cell>
          <cell r="G2800" t="str">
            <v>CB400300000100</v>
          </cell>
          <cell r="H2800">
            <v>1</v>
          </cell>
          <cell r="I2800" t="str">
            <v>--</v>
          </cell>
          <cell r="J2800">
            <v>2</v>
          </cell>
          <cell r="K2800">
            <v>2</v>
          </cell>
        </row>
        <row r="2801">
          <cell r="A2801" t="str">
            <v>M2</v>
          </cell>
          <cell r="B2801" t="str">
            <v>A5C</v>
          </cell>
          <cell r="C2801" t="str">
            <v>P</v>
          </cell>
          <cell r="D2801" t="str">
            <v>23038</v>
          </cell>
          <cell r="E2801" t="str">
            <v>TEE</v>
          </cell>
          <cell r="F2801">
            <v>2</v>
          </cell>
          <cell r="G2801" t="str">
            <v>CB400300000100</v>
          </cell>
          <cell r="H2801">
            <v>1</v>
          </cell>
          <cell r="I2801" t="str">
            <v>--</v>
          </cell>
          <cell r="J2801">
            <v>1</v>
          </cell>
          <cell r="K2801">
            <v>1</v>
          </cell>
        </row>
        <row r="2802">
          <cell r="A2802" t="str">
            <v>M2</v>
          </cell>
          <cell r="B2802" t="str">
            <v>A5C</v>
          </cell>
          <cell r="C2802" t="str">
            <v>P</v>
          </cell>
          <cell r="D2802" t="str">
            <v>23108</v>
          </cell>
          <cell r="E2802" t="str">
            <v>TEE</v>
          </cell>
          <cell r="F2802">
            <v>2</v>
          </cell>
          <cell r="G2802" t="str">
            <v>CB400300000100</v>
          </cell>
          <cell r="H2802">
            <v>1</v>
          </cell>
          <cell r="I2802" t="str">
            <v>--</v>
          </cell>
          <cell r="J2802">
            <v>3</v>
          </cell>
          <cell r="K2802">
            <v>3</v>
          </cell>
        </row>
        <row r="2803">
          <cell r="A2803" t="str">
            <v>M2</v>
          </cell>
          <cell r="B2803" t="str">
            <v>A5C</v>
          </cell>
          <cell r="C2803" t="str">
            <v>P</v>
          </cell>
          <cell r="D2803" t="str">
            <v>23112</v>
          </cell>
          <cell r="E2803" t="str">
            <v>TEE</v>
          </cell>
          <cell r="F2803">
            <v>2</v>
          </cell>
          <cell r="G2803" t="str">
            <v>CB400300000100</v>
          </cell>
          <cell r="H2803">
            <v>1</v>
          </cell>
          <cell r="I2803" t="str">
            <v>--</v>
          </cell>
          <cell r="J2803">
            <v>2</v>
          </cell>
          <cell r="K2803">
            <v>2</v>
          </cell>
        </row>
        <row r="2804">
          <cell r="A2804" t="str">
            <v>M2</v>
          </cell>
          <cell r="B2804" t="str">
            <v>A5C</v>
          </cell>
          <cell r="C2804" t="str">
            <v>P</v>
          </cell>
          <cell r="D2804" t="str">
            <v>23122</v>
          </cell>
          <cell r="E2804" t="str">
            <v>TEE</v>
          </cell>
          <cell r="F2804">
            <v>2</v>
          </cell>
          <cell r="G2804" t="str">
            <v>CB400300000100</v>
          </cell>
          <cell r="H2804">
            <v>1</v>
          </cell>
          <cell r="I2804" t="str">
            <v>--</v>
          </cell>
          <cell r="J2804">
            <v>2</v>
          </cell>
          <cell r="K2804">
            <v>2</v>
          </cell>
        </row>
        <row r="2805">
          <cell r="A2805" t="str">
            <v>M2</v>
          </cell>
          <cell r="B2805" t="str">
            <v>A5C</v>
          </cell>
          <cell r="C2805" t="str">
            <v>P</v>
          </cell>
          <cell r="D2805" t="str">
            <v>24020</v>
          </cell>
          <cell r="E2805" t="str">
            <v>TEE</v>
          </cell>
          <cell r="F2805">
            <v>2</v>
          </cell>
          <cell r="G2805" t="str">
            <v>CB400300000100</v>
          </cell>
          <cell r="H2805">
            <v>1</v>
          </cell>
          <cell r="I2805" t="str">
            <v>--</v>
          </cell>
          <cell r="J2805">
            <v>2</v>
          </cell>
          <cell r="K2805">
            <v>2</v>
          </cell>
        </row>
        <row r="2806">
          <cell r="A2806" t="str">
            <v>M2</v>
          </cell>
          <cell r="B2806" t="str">
            <v>A5C</v>
          </cell>
          <cell r="C2806" t="str">
            <v>P</v>
          </cell>
          <cell r="D2806" t="str">
            <v>23059</v>
          </cell>
          <cell r="E2806" t="str">
            <v>90 ELL</v>
          </cell>
          <cell r="F2806">
            <v>2</v>
          </cell>
          <cell r="G2806" t="str">
            <v>CB400100000100</v>
          </cell>
          <cell r="H2806">
            <v>1</v>
          </cell>
          <cell r="I2806" t="str">
            <v>--</v>
          </cell>
          <cell r="J2806">
            <v>10</v>
          </cell>
          <cell r="K2806">
            <v>10</v>
          </cell>
        </row>
        <row r="2807">
          <cell r="A2807" t="str">
            <v>M2</v>
          </cell>
          <cell r="B2807" t="str">
            <v>A5C</v>
          </cell>
          <cell r="C2807" t="str">
            <v>TRIM</v>
          </cell>
          <cell r="D2807" t="str">
            <v>V-2352</v>
          </cell>
          <cell r="E2807" t="str">
            <v>90 ELL</v>
          </cell>
          <cell r="F2807">
            <v>2</v>
          </cell>
          <cell r="G2807" t="str">
            <v>CB400100000100</v>
          </cell>
          <cell r="H2807">
            <v>1</v>
          </cell>
          <cell r="I2807" t="str">
            <v>--</v>
          </cell>
          <cell r="J2807">
            <v>2</v>
          </cell>
          <cell r="K2807">
            <v>2</v>
          </cell>
        </row>
        <row r="2808">
          <cell r="A2808" t="str">
            <v>M2</v>
          </cell>
          <cell r="B2808" t="str">
            <v>A5C</v>
          </cell>
          <cell r="C2808" t="str">
            <v>P</v>
          </cell>
          <cell r="D2808" t="str">
            <v>23059</v>
          </cell>
          <cell r="E2808" t="str">
            <v>C SWG</v>
          </cell>
          <cell r="F2808">
            <v>2</v>
          </cell>
          <cell r="G2808" t="str">
            <v>CB16110808010T</v>
          </cell>
          <cell r="H2808">
            <v>1</v>
          </cell>
          <cell r="I2808">
            <v>0.75</v>
          </cell>
          <cell r="J2808">
            <v>2</v>
          </cell>
          <cell r="K2808">
            <v>2</v>
          </cell>
        </row>
        <row r="2809">
          <cell r="A2809" t="str">
            <v>M2</v>
          </cell>
          <cell r="B2809" t="str">
            <v>A5C</v>
          </cell>
          <cell r="C2809" t="str">
            <v>P</v>
          </cell>
          <cell r="D2809" t="str">
            <v>23059</v>
          </cell>
          <cell r="E2809" t="str">
            <v>C SWG</v>
          </cell>
          <cell r="F2809">
            <v>2</v>
          </cell>
          <cell r="G2809" t="str">
            <v>CB16110808010T</v>
          </cell>
          <cell r="H2809">
            <v>1</v>
          </cell>
          <cell r="I2809">
            <v>0.75</v>
          </cell>
          <cell r="J2809">
            <v>1</v>
          </cell>
          <cell r="K2809">
            <v>1</v>
          </cell>
        </row>
        <row r="2810">
          <cell r="A2810" t="str">
            <v>M2</v>
          </cell>
          <cell r="B2810" t="str">
            <v>A5C</v>
          </cell>
          <cell r="C2810" t="str">
            <v>P</v>
          </cell>
          <cell r="D2810" t="str">
            <v>23183</v>
          </cell>
          <cell r="E2810" t="str">
            <v>C SWG</v>
          </cell>
          <cell r="F2810">
            <v>2</v>
          </cell>
          <cell r="G2810" t="str">
            <v>CB16110808010T</v>
          </cell>
          <cell r="H2810">
            <v>1</v>
          </cell>
          <cell r="I2810">
            <v>0.75</v>
          </cell>
          <cell r="J2810">
            <v>1</v>
          </cell>
          <cell r="K2810">
            <v>1</v>
          </cell>
        </row>
        <row r="2811">
          <cell r="A2811" t="str">
            <v>M2</v>
          </cell>
          <cell r="B2811" t="str">
            <v>A5C</v>
          </cell>
          <cell r="C2811" t="str">
            <v>TRIM</v>
          </cell>
          <cell r="D2811" t="str">
            <v>V-2352</v>
          </cell>
          <cell r="E2811" t="str">
            <v>C SWG</v>
          </cell>
          <cell r="F2811">
            <v>2</v>
          </cell>
          <cell r="G2811" t="str">
            <v>CB16110808010T</v>
          </cell>
          <cell r="H2811">
            <v>1</v>
          </cell>
          <cell r="I2811">
            <v>0.75</v>
          </cell>
          <cell r="J2811">
            <v>1</v>
          </cell>
          <cell r="K2811">
            <v>1</v>
          </cell>
        </row>
        <row r="2812">
          <cell r="A2812" t="str">
            <v>M2</v>
          </cell>
          <cell r="B2812" t="str">
            <v>A5C</v>
          </cell>
          <cell r="C2812" t="str">
            <v>P</v>
          </cell>
          <cell r="D2812" t="str">
            <v>23059</v>
          </cell>
          <cell r="E2812" t="str">
            <v>CPLG</v>
          </cell>
          <cell r="F2812">
            <v>2</v>
          </cell>
          <cell r="G2812" t="str">
            <v>CB400500000100</v>
          </cell>
          <cell r="H2812">
            <v>1</v>
          </cell>
          <cell r="I2812" t="str">
            <v>--</v>
          </cell>
          <cell r="J2812">
            <v>2</v>
          </cell>
          <cell r="K2812">
            <v>2</v>
          </cell>
        </row>
        <row r="2813">
          <cell r="A2813" t="str">
            <v>M2</v>
          </cell>
          <cell r="B2813" t="str">
            <v>A5C</v>
          </cell>
          <cell r="C2813" t="str">
            <v>P</v>
          </cell>
          <cell r="D2813" t="str">
            <v>23059</v>
          </cell>
          <cell r="E2813" t="str">
            <v>R TEE</v>
          </cell>
          <cell r="F2813">
            <v>2</v>
          </cell>
          <cell r="G2813" t="str">
            <v>CB40040000010T</v>
          </cell>
          <cell r="H2813">
            <v>1</v>
          </cell>
          <cell r="I2813">
            <v>0.75</v>
          </cell>
          <cell r="J2813">
            <v>3</v>
          </cell>
          <cell r="K2813">
            <v>3</v>
          </cell>
        </row>
        <row r="2814">
          <cell r="A2814" t="str">
            <v>M2</v>
          </cell>
          <cell r="B2814" t="str">
            <v>A5C</v>
          </cell>
          <cell r="C2814" t="str">
            <v>P</v>
          </cell>
          <cell r="D2814" t="str">
            <v>23059</v>
          </cell>
          <cell r="E2814" t="str">
            <v>TEE</v>
          </cell>
          <cell r="F2814">
            <v>2</v>
          </cell>
          <cell r="G2814" t="str">
            <v>CB400300000100</v>
          </cell>
          <cell r="H2814">
            <v>1</v>
          </cell>
          <cell r="I2814" t="str">
            <v>--</v>
          </cell>
          <cell r="J2814">
            <v>1</v>
          </cell>
          <cell r="K2814">
            <v>1</v>
          </cell>
        </row>
        <row r="2815">
          <cell r="A2815" t="str">
            <v>M2</v>
          </cell>
          <cell r="B2815" t="str">
            <v>A5C</v>
          </cell>
          <cell r="C2815" t="str">
            <v>P</v>
          </cell>
          <cell r="D2815" t="str">
            <v>23018</v>
          </cell>
          <cell r="E2815" t="str">
            <v>45 ELL</v>
          </cell>
          <cell r="F2815">
            <v>2</v>
          </cell>
          <cell r="G2815" t="str">
            <v>CB400200000100</v>
          </cell>
          <cell r="H2815">
            <v>1</v>
          </cell>
          <cell r="I2815" t="str">
            <v>--</v>
          </cell>
          <cell r="J2815">
            <v>1</v>
          </cell>
          <cell r="K2815">
            <v>1</v>
          </cell>
        </row>
        <row r="2816">
          <cell r="A2816" t="str">
            <v>M2</v>
          </cell>
          <cell r="B2816" t="str">
            <v>A5C</v>
          </cell>
          <cell r="C2816" t="str">
            <v>P</v>
          </cell>
          <cell r="D2816" t="str">
            <v>23018</v>
          </cell>
          <cell r="E2816" t="str">
            <v>90 ELL</v>
          </cell>
          <cell r="F2816">
            <v>2</v>
          </cell>
          <cell r="G2816" t="str">
            <v>CB400100000100</v>
          </cell>
          <cell r="H2816">
            <v>1</v>
          </cell>
          <cell r="I2816" t="str">
            <v>--</v>
          </cell>
          <cell r="J2816">
            <v>6</v>
          </cell>
          <cell r="K2816">
            <v>6</v>
          </cell>
        </row>
        <row r="2817">
          <cell r="A2817" t="str">
            <v>M2</v>
          </cell>
          <cell r="B2817" t="str">
            <v>A5C</v>
          </cell>
          <cell r="C2817" t="str">
            <v>P</v>
          </cell>
          <cell r="D2817" t="str">
            <v>23019</v>
          </cell>
          <cell r="E2817" t="str">
            <v>90 ELL</v>
          </cell>
          <cell r="F2817">
            <v>2</v>
          </cell>
          <cell r="G2817" t="str">
            <v>CB400100000100</v>
          </cell>
          <cell r="H2817">
            <v>1</v>
          </cell>
          <cell r="I2817" t="str">
            <v>--</v>
          </cell>
          <cell r="J2817">
            <v>1</v>
          </cell>
          <cell r="K2817">
            <v>1</v>
          </cell>
        </row>
        <row r="2818">
          <cell r="A2818" t="str">
            <v>M2</v>
          </cell>
          <cell r="B2818" t="str">
            <v>A5C</v>
          </cell>
          <cell r="C2818" t="str">
            <v>P</v>
          </cell>
          <cell r="D2818" t="str">
            <v>23027</v>
          </cell>
          <cell r="E2818" t="str">
            <v>90 ELL</v>
          </cell>
          <cell r="F2818">
            <v>2</v>
          </cell>
          <cell r="G2818" t="str">
            <v>CB400100000100</v>
          </cell>
          <cell r="H2818">
            <v>1</v>
          </cell>
          <cell r="I2818" t="str">
            <v>--</v>
          </cell>
          <cell r="J2818">
            <v>2</v>
          </cell>
          <cell r="K2818">
            <v>2</v>
          </cell>
        </row>
        <row r="2819">
          <cell r="A2819" t="str">
            <v>M2</v>
          </cell>
          <cell r="B2819" t="str">
            <v>A5C</v>
          </cell>
          <cell r="C2819" t="str">
            <v>P</v>
          </cell>
          <cell r="D2819" t="str">
            <v>23039</v>
          </cell>
          <cell r="E2819" t="str">
            <v>90 ELL</v>
          </cell>
          <cell r="F2819">
            <v>2</v>
          </cell>
          <cell r="G2819" t="str">
            <v>CB400100000100</v>
          </cell>
          <cell r="H2819">
            <v>1</v>
          </cell>
          <cell r="I2819" t="str">
            <v>--</v>
          </cell>
          <cell r="J2819">
            <v>1</v>
          </cell>
          <cell r="K2819">
            <v>1</v>
          </cell>
        </row>
        <row r="2820">
          <cell r="A2820" t="str">
            <v>M2</v>
          </cell>
          <cell r="B2820" t="str">
            <v>A5C</v>
          </cell>
          <cell r="C2820" t="str">
            <v>P</v>
          </cell>
          <cell r="D2820" t="str">
            <v>23048</v>
          </cell>
          <cell r="E2820" t="str">
            <v>90 ELL</v>
          </cell>
          <cell r="F2820">
            <v>2</v>
          </cell>
          <cell r="G2820" t="str">
            <v>CB400100000100</v>
          </cell>
          <cell r="H2820">
            <v>1</v>
          </cell>
          <cell r="I2820" t="str">
            <v>--</v>
          </cell>
          <cell r="J2820">
            <v>6</v>
          </cell>
          <cell r="K2820">
            <v>6</v>
          </cell>
        </row>
        <row r="2821">
          <cell r="A2821" t="str">
            <v>M2</v>
          </cell>
          <cell r="B2821" t="str">
            <v>A5C</v>
          </cell>
          <cell r="C2821" t="str">
            <v>P</v>
          </cell>
          <cell r="D2821" t="str">
            <v>23223</v>
          </cell>
          <cell r="E2821" t="str">
            <v>90 ELL</v>
          </cell>
          <cell r="F2821">
            <v>2</v>
          </cell>
          <cell r="G2821" t="str">
            <v>CB400100000100</v>
          </cell>
          <cell r="H2821">
            <v>1</v>
          </cell>
          <cell r="I2821" t="str">
            <v>--</v>
          </cell>
          <cell r="J2821">
            <v>3</v>
          </cell>
          <cell r="K2821">
            <v>3</v>
          </cell>
        </row>
        <row r="2822">
          <cell r="A2822" t="str">
            <v>M2</v>
          </cell>
          <cell r="B2822" t="str">
            <v>A5C</v>
          </cell>
          <cell r="C2822" t="str">
            <v>P</v>
          </cell>
          <cell r="D2822" t="str">
            <v>24015</v>
          </cell>
          <cell r="E2822" t="str">
            <v>90 ELL</v>
          </cell>
          <cell r="F2822">
            <v>2</v>
          </cell>
          <cell r="G2822" t="str">
            <v>CB400100000100</v>
          </cell>
          <cell r="H2822">
            <v>1</v>
          </cell>
          <cell r="I2822" t="str">
            <v>--</v>
          </cell>
          <cell r="J2822">
            <v>2</v>
          </cell>
          <cell r="K2822">
            <v>2</v>
          </cell>
        </row>
        <row r="2823">
          <cell r="A2823" t="str">
            <v>M2</v>
          </cell>
          <cell r="B2823" t="str">
            <v>A5C</v>
          </cell>
          <cell r="C2823" t="str">
            <v>P</v>
          </cell>
          <cell r="D2823" t="str">
            <v>23074</v>
          </cell>
          <cell r="E2823" t="str">
            <v>90 ELL</v>
          </cell>
          <cell r="F2823">
            <v>2</v>
          </cell>
          <cell r="G2823" t="str">
            <v>CB400100000100</v>
          </cell>
          <cell r="H2823">
            <v>1</v>
          </cell>
          <cell r="I2823" t="str">
            <v>--</v>
          </cell>
          <cell r="J2823">
            <v>14</v>
          </cell>
          <cell r="K2823">
            <v>14</v>
          </cell>
        </row>
        <row r="2824">
          <cell r="A2824" t="str">
            <v>M2</v>
          </cell>
          <cell r="B2824" t="str">
            <v>A5C</v>
          </cell>
          <cell r="C2824" t="str">
            <v>P</v>
          </cell>
          <cell r="D2824" t="str">
            <v>23079</v>
          </cell>
          <cell r="E2824" t="str">
            <v>90 ELL</v>
          </cell>
          <cell r="F2824">
            <v>2</v>
          </cell>
          <cell r="G2824" t="str">
            <v>CB400100000100</v>
          </cell>
          <cell r="H2824">
            <v>1</v>
          </cell>
          <cell r="I2824" t="str">
            <v>--</v>
          </cell>
          <cell r="J2824">
            <v>9</v>
          </cell>
          <cell r="K2824">
            <v>9</v>
          </cell>
        </row>
        <row r="2825">
          <cell r="A2825" t="str">
            <v>M2</v>
          </cell>
          <cell r="B2825" t="str">
            <v>A5C</v>
          </cell>
          <cell r="C2825" t="str">
            <v>P</v>
          </cell>
          <cell r="D2825" t="str">
            <v>23194</v>
          </cell>
          <cell r="E2825" t="str">
            <v>90 ELL</v>
          </cell>
          <cell r="F2825">
            <v>2</v>
          </cell>
          <cell r="G2825" t="str">
            <v>CB400100000100</v>
          </cell>
          <cell r="H2825">
            <v>1</v>
          </cell>
          <cell r="I2825" t="str">
            <v>--</v>
          </cell>
          <cell r="J2825">
            <v>5</v>
          </cell>
          <cell r="K2825">
            <v>5</v>
          </cell>
        </row>
        <row r="2826">
          <cell r="A2826" t="str">
            <v>M2</v>
          </cell>
          <cell r="B2826" t="str">
            <v>A5C</v>
          </cell>
          <cell r="C2826" t="str">
            <v>P</v>
          </cell>
          <cell r="D2826" t="str">
            <v>23048</v>
          </cell>
          <cell r="E2826" t="str">
            <v>C SWG</v>
          </cell>
          <cell r="F2826">
            <v>2</v>
          </cell>
          <cell r="G2826" t="str">
            <v>CB16110808010T</v>
          </cell>
          <cell r="H2826">
            <v>1</v>
          </cell>
          <cell r="I2826">
            <v>0.75</v>
          </cell>
          <cell r="J2826">
            <v>2</v>
          </cell>
          <cell r="K2826">
            <v>2</v>
          </cell>
        </row>
        <row r="2827">
          <cell r="A2827" t="str">
            <v>M2</v>
          </cell>
          <cell r="B2827" t="str">
            <v>A5C</v>
          </cell>
          <cell r="C2827" t="str">
            <v>P</v>
          </cell>
          <cell r="D2827" t="str">
            <v>23074</v>
          </cell>
          <cell r="E2827" t="str">
            <v>C SWG</v>
          </cell>
          <cell r="F2827">
            <v>2</v>
          </cell>
          <cell r="G2827" t="str">
            <v>CB16110808010T</v>
          </cell>
          <cell r="H2827">
            <v>1</v>
          </cell>
          <cell r="I2827">
            <v>0.75</v>
          </cell>
          <cell r="J2827">
            <v>2</v>
          </cell>
          <cell r="K2827">
            <v>2</v>
          </cell>
        </row>
        <row r="2828">
          <cell r="A2828" t="str">
            <v>M2</v>
          </cell>
          <cell r="B2828" t="str">
            <v>A5C</v>
          </cell>
          <cell r="C2828" t="str">
            <v>P</v>
          </cell>
          <cell r="D2828" t="str">
            <v>23079</v>
          </cell>
          <cell r="E2828" t="str">
            <v>C SWG</v>
          </cell>
          <cell r="F2828">
            <v>2</v>
          </cell>
          <cell r="G2828" t="str">
            <v>CB16110808010T</v>
          </cell>
          <cell r="H2828">
            <v>1</v>
          </cell>
          <cell r="I2828">
            <v>0.75</v>
          </cell>
          <cell r="J2828">
            <v>2</v>
          </cell>
          <cell r="K2828">
            <v>2</v>
          </cell>
        </row>
        <row r="2829">
          <cell r="A2829" t="str">
            <v>M2</v>
          </cell>
          <cell r="B2829" t="str">
            <v>A5C</v>
          </cell>
          <cell r="C2829" t="str">
            <v>P</v>
          </cell>
          <cell r="D2829" t="str">
            <v>23219</v>
          </cell>
          <cell r="E2829" t="str">
            <v>C SWG</v>
          </cell>
          <cell r="F2829">
            <v>2</v>
          </cell>
          <cell r="G2829" t="str">
            <v>CB16110808010T</v>
          </cell>
          <cell r="H2829">
            <v>1</v>
          </cell>
          <cell r="I2829">
            <v>0.75</v>
          </cell>
          <cell r="J2829">
            <v>1</v>
          </cell>
          <cell r="K2829">
            <v>1</v>
          </cell>
        </row>
        <row r="2830">
          <cell r="A2830" t="str">
            <v>M2</v>
          </cell>
          <cell r="B2830" t="str">
            <v>A5C</v>
          </cell>
          <cell r="C2830" t="str">
            <v>P</v>
          </cell>
          <cell r="D2830" t="str">
            <v>24016</v>
          </cell>
          <cell r="E2830" t="str">
            <v>C SWG</v>
          </cell>
          <cell r="F2830">
            <v>2</v>
          </cell>
          <cell r="G2830" t="str">
            <v>CB16110808010T</v>
          </cell>
          <cell r="H2830">
            <v>1</v>
          </cell>
          <cell r="I2830">
            <v>0.75</v>
          </cell>
          <cell r="J2830">
            <v>2</v>
          </cell>
          <cell r="K2830">
            <v>2</v>
          </cell>
        </row>
        <row r="2831">
          <cell r="A2831" t="str">
            <v>M2</v>
          </cell>
          <cell r="B2831" t="str">
            <v>A5C</v>
          </cell>
          <cell r="C2831" t="str">
            <v>P</v>
          </cell>
          <cell r="D2831" t="str">
            <v>24017</v>
          </cell>
          <cell r="E2831" t="str">
            <v>C SWG</v>
          </cell>
          <cell r="F2831">
            <v>2</v>
          </cell>
          <cell r="G2831" t="str">
            <v>CB16110808010T</v>
          </cell>
          <cell r="H2831">
            <v>1</v>
          </cell>
          <cell r="I2831">
            <v>0.75</v>
          </cell>
          <cell r="J2831">
            <v>1</v>
          </cell>
          <cell r="K2831">
            <v>1</v>
          </cell>
        </row>
        <row r="2832">
          <cell r="A2832" t="str">
            <v>M2</v>
          </cell>
          <cell r="B2832" t="str">
            <v>A5C</v>
          </cell>
          <cell r="C2832" t="str">
            <v>P</v>
          </cell>
          <cell r="D2832" t="str">
            <v>24018</v>
          </cell>
          <cell r="E2832" t="str">
            <v>C SWG</v>
          </cell>
          <cell r="F2832">
            <v>2</v>
          </cell>
          <cell r="G2832" t="str">
            <v>CB16110808010T</v>
          </cell>
          <cell r="H2832">
            <v>1</v>
          </cell>
          <cell r="I2832">
            <v>0.75</v>
          </cell>
          <cell r="J2832">
            <v>1</v>
          </cell>
          <cell r="K2832">
            <v>1</v>
          </cell>
        </row>
        <row r="2833">
          <cell r="A2833" t="str">
            <v>M2</v>
          </cell>
          <cell r="B2833" t="str">
            <v>A5C</v>
          </cell>
          <cell r="C2833" t="str">
            <v>TRIM</v>
          </cell>
          <cell r="D2833" t="str">
            <v>C-2302</v>
          </cell>
          <cell r="E2833" t="str">
            <v>C SWG</v>
          </cell>
          <cell r="F2833">
            <v>2</v>
          </cell>
          <cell r="G2833" t="str">
            <v>CB16110808010T</v>
          </cell>
          <cell r="H2833">
            <v>1</v>
          </cell>
          <cell r="I2833">
            <v>0.75</v>
          </cell>
          <cell r="J2833">
            <v>1</v>
          </cell>
          <cell r="K2833">
            <v>1</v>
          </cell>
        </row>
        <row r="2834">
          <cell r="A2834" t="str">
            <v>M2</v>
          </cell>
          <cell r="B2834" t="str">
            <v>A5C</v>
          </cell>
          <cell r="C2834" t="str">
            <v>TRIM</v>
          </cell>
          <cell r="D2834" t="str">
            <v>C-2303</v>
          </cell>
          <cell r="E2834" t="str">
            <v>C SWG</v>
          </cell>
          <cell r="F2834">
            <v>2</v>
          </cell>
          <cell r="G2834" t="str">
            <v>CB16110808010T</v>
          </cell>
          <cell r="H2834">
            <v>1</v>
          </cell>
          <cell r="I2834">
            <v>0.75</v>
          </cell>
          <cell r="J2834">
            <v>1</v>
          </cell>
          <cell r="K2834">
            <v>1</v>
          </cell>
        </row>
        <row r="2835">
          <cell r="A2835" t="str">
            <v>M2</v>
          </cell>
          <cell r="B2835" t="str">
            <v>A5C</v>
          </cell>
          <cell r="C2835" t="str">
            <v>TRIM</v>
          </cell>
          <cell r="D2835" t="str">
            <v>C-2304</v>
          </cell>
          <cell r="E2835" t="str">
            <v>C SWG</v>
          </cell>
          <cell r="F2835">
            <v>2</v>
          </cell>
          <cell r="G2835" t="str">
            <v>CB16110808010T</v>
          </cell>
          <cell r="H2835">
            <v>1</v>
          </cell>
          <cell r="I2835">
            <v>0.75</v>
          </cell>
          <cell r="J2835">
            <v>1</v>
          </cell>
          <cell r="K2835">
            <v>1</v>
          </cell>
        </row>
        <row r="2836">
          <cell r="A2836" t="str">
            <v>M2</v>
          </cell>
          <cell r="B2836" t="str">
            <v>A5C</v>
          </cell>
          <cell r="C2836" t="str">
            <v>TRIM</v>
          </cell>
          <cell r="D2836" t="str">
            <v>C-2305</v>
          </cell>
          <cell r="E2836" t="str">
            <v>C SWG</v>
          </cell>
          <cell r="F2836">
            <v>2</v>
          </cell>
          <cell r="G2836" t="str">
            <v>CB16110808010T</v>
          </cell>
          <cell r="H2836">
            <v>1</v>
          </cell>
          <cell r="I2836">
            <v>0.75</v>
          </cell>
          <cell r="J2836">
            <v>1</v>
          </cell>
          <cell r="K2836">
            <v>1</v>
          </cell>
        </row>
        <row r="2837">
          <cell r="A2837" t="str">
            <v>M2</v>
          </cell>
          <cell r="B2837" t="str">
            <v>A5C</v>
          </cell>
          <cell r="C2837" t="str">
            <v>TRIM</v>
          </cell>
          <cell r="D2837" t="str">
            <v>C-2306</v>
          </cell>
          <cell r="E2837" t="str">
            <v>C SWG</v>
          </cell>
          <cell r="F2837">
            <v>2</v>
          </cell>
          <cell r="G2837" t="str">
            <v>CB16110808010T</v>
          </cell>
          <cell r="H2837">
            <v>1</v>
          </cell>
          <cell r="I2837">
            <v>0.75</v>
          </cell>
          <cell r="J2837">
            <v>1</v>
          </cell>
          <cell r="K2837">
            <v>1</v>
          </cell>
        </row>
        <row r="2838">
          <cell r="A2838" t="str">
            <v>M2</v>
          </cell>
          <cell r="B2838" t="str">
            <v>A5C</v>
          </cell>
          <cell r="C2838" t="str">
            <v>TRIM</v>
          </cell>
          <cell r="D2838" t="str">
            <v>V-2325</v>
          </cell>
          <cell r="E2838" t="str">
            <v>C SWG</v>
          </cell>
          <cell r="F2838">
            <v>2</v>
          </cell>
          <cell r="G2838" t="str">
            <v>CB16110808010T</v>
          </cell>
          <cell r="H2838">
            <v>1</v>
          </cell>
          <cell r="I2838">
            <v>0.75</v>
          </cell>
          <cell r="J2838">
            <v>1</v>
          </cell>
          <cell r="K2838">
            <v>1</v>
          </cell>
        </row>
        <row r="2839">
          <cell r="A2839" t="str">
            <v>M2</v>
          </cell>
          <cell r="B2839" t="str">
            <v>A5C</v>
          </cell>
          <cell r="C2839" t="str">
            <v>P</v>
          </cell>
          <cell r="D2839" t="str">
            <v>23079</v>
          </cell>
          <cell r="E2839" t="str">
            <v>C SWG</v>
          </cell>
          <cell r="F2839">
            <v>2</v>
          </cell>
          <cell r="G2839" t="str">
            <v>CB16110808010T</v>
          </cell>
          <cell r="H2839">
            <v>1</v>
          </cell>
          <cell r="I2839">
            <v>0.75</v>
          </cell>
          <cell r="J2839">
            <v>1</v>
          </cell>
          <cell r="K2839">
            <v>1</v>
          </cell>
        </row>
        <row r="2840">
          <cell r="A2840" t="str">
            <v>M2</v>
          </cell>
          <cell r="B2840" t="str">
            <v>A5C</v>
          </cell>
          <cell r="C2840" t="str">
            <v>P</v>
          </cell>
          <cell r="D2840" t="str">
            <v>23018</v>
          </cell>
          <cell r="E2840" t="str">
            <v>CPLG</v>
          </cell>
          <cell r="F2840">
            <v>2</v>
          </cell>
          <cell r="G2840" t="str">
            <v>CB400500000100</v>
          </cell>
          <cell r="H2840">
            <v>1</v>
          </cell>
          <cell r="I2840" t="str">
            <v>--</v>
          </cell>
          <cell r="J2840">
            <v>2</v>
          </cell>
          <cell r="K2840">
            <v>2</v>
          </cell>
        </row>
        <row r="2841">
          <cell r="A2841" t="str">
            <v>M2</v>
          </cell>
          <cell r="B2841" t="str">
            <v>A5C</v>
          </cell>
          <cell r="C2841" t="str">
            <v>P</v>
          </cell>
          <cell r="D2841" t="str">
            <v>23074</v>
          </cell>
          <cell r="E2841" t="str">
            <v>CPLG</v>
          </cell>
          <cell r="F2841">
            <v>2</v>
          </cell>
          <cell r="G2841" t="str">
            <v>CB400500000100</v>
          </cell>
          <cell r="H2841">
            <v>1</v>
          </cell>
          <cell r="I2841" t="str">
            <v>--</v>
          </cell>
          <cell r="J2841">
            <v>2</v>
          </cell>
          <cell r="K2841">
            <v>2</v>
          </cell>
        </row>
        <row r="2842">
          <cell r="A2842" t="str">
            <v>M2</v>
          </cell>
          <cell r="B2842" t="str">
            <v>A5C</v>
          </cell>
          <cell r="C2842" t="str">
            <v>P</v>
          </cell>
          <cell r="D2842" t="str">
            <v>23079</v>
          </cell>
          <cell r="E2842" t="str">
            <v>CPLG</v>
          </cell>
          <cell r="F2842">
            <v>2</v>
          </cell>
          <cell r="G2842" t="str">
            <v>CB400500000100</v>
          </cell>
          <cell r="H2842">
            <v>1</v>
          </cell>
          <cell r="I2842" t="str">
            <v>--</v>
          </cell>
          <cell r="J2842">
            <v>2</v>
          </cell>
          <cell r="K2842">
            <v>2</v>
          </cell>
        </row>
        <row r="2843">
          <cell r="A2843" t="str">
            <v>M2</v>
          </cell>
          <cell r="B2843" t="str">
            <v>A5C</v>
          </cell>
          <cell r="C2843" t="str">
            <v>P</v>
          </cell>
          <cell r="D2843" t="str">
            <v>23048</v>
          </cell>
          <cell r="E2843" t="str">
            <v>CPLG</v>
          </cell>
          <cell r="F2843">
            <v>2</v>
          </cell>
          <cell r="G2843" t="str">
            <v>CB400500000100</v>
          </cell>
          <cell r="H2843">
            <v>1</v>
          </cell>
          <cell r="I2843" t="str">
            <v>--</v>
          </cell>
          <cell r="J2843">
            <v>3</v>
          </cell>
          <cell r="K2843">
            <v>3</v>
          </cell>
        </row>
        <row r="2844">
          <cell r="A2844" t="str">
            <v>M2</v>
          </cell>
          <cell r="B2844" t="str">
            <v>A5C</v>
          </cell>
          <cell r="C2844" t="str">
            <v>P</v>
          </cell>
          <cell r="D2844" t="str">
            <v>23018</v>
          </cell>
          <cell r="E2844" t="str">
            <v>E SWG</v>
          </cell>
          <cell r="F2844">
            <v>2</v>
          </cell>
          <cell r="G2844" t="str">
            <v>CB16210808010T</v>
          </cell>
          <cell r="H2844">
            <v>1</v>
          </cell>
          <cell r="I2844">
            <v>0.75</v>
          </cell>
          <cell r="J2844">
            <v>2</v>
          </cell>
          <cell r="K2844">
            <v>2</v>
          </cell>
        </row>
        <row r="2845">
          <cell r="A2845" t="str">
            <v>M2</v>
          </cell>
          <cell r="B2845" t="str">
            <v>A5C</v>
          </cell>
          <cell r="C2845" t="str">
            <v>P</v>
          </cell>
          <cell r="D2845" t="str">
            <v>23027</v>
          </cell>
          <cell r="E2845" t="str">
            <v>E SWG</v>
          </cell>
          <cell r="F2845">
            <v>2</v>
          </cell>
          <cell r="G2845" t="str">
            <v>CB16210808010T</v>
          </cell>
          <cell r="H2845">
            <v>1</v>
          </cell>
          <cell r="I2845">
            <v>0.75</v>
          </cell>
          <cell r="J2845">
            <v>2</v>
          </cell>
          <cell r="K2845">
            <v>2</v>
          </cell>
        </row>
        <row r="2846">
          <cell r="A2846" t="str">
            <v>M2</v>
          </cell>
          <cell r="B2846" t="str">
            <v>A5C</v>
          </cell>
          <cell r="C2846" t="str">
            <v>P</v>
          </cell>
          <cell r="D2846" t="str">
            <v>23018</v>
          </cell>
          <cell r="E2846" t="str">
            <v>R TEE</v>
          </cell>
          <cell r="F2846">
            <v>2</v>
          </cell>
          <cell r="G2846" t="str">
            <v>CB40040000010T</v>
          </cell>
          <cell r="H2846">
            <v>1</v>
          </cell>
          <cell r="I2846">
            <v>0.75</v>
          </cell>
          <cell r="J2846">
            <v>2</v>
          </cell>
          <cell r="K2846">
            <v>2</v>
          </cell>
        </row>
        <row r="2847">
          <cell r="A2847" t="str">
            <v>M2</v>
          </cell>
          <cell r="B2847" t="str">
            <v>A5C</v>
          </cell>
          <cell r="C2847" t="str">
            <v>P</v>
          </cell>
          <cell r="D2847" t="str">
            <v>23018</v>
          </cell>
          <cell r="E2847" t="str">
            <v>R TEE</v>
          </cell>
          <cell r="F2847">
            <v>2</v>
          </cell>
          <cell r="G2847" t="str">
            <v>CB40040000010T</v>
          </cell>
          <cell r="H2847">
            <v>1</v>
          </cell>
          <cell r="I2847">
            <v>0.75</v>
          </cell>
          <cell r="J2847">
            <v>3</v>
          </cell>
          <cell r="K2847">
            <v>3</v>
          </cell>
        </row>
        <row r="2848">
          <cell r="A2848" t="str">
            <v>M2</v>
          </cell>
          <cell r="B2848" t="str">
            <v>A5C</v>
          </cell>
          <cell r="C2848" t="str">
            <v>P</v>
          </cell>
          <cell r="D2848" t="str">
            <v>23027</v>
          </cell>
          <cell r="E2848" t="str">
            <v>R TEE</v>
          </cell>
          <cell r="F2848">
            <v>2</v>
          </cell>
          <cell r="G2848" t="str">
            <v>CB40040000010T</v>
          </cell>
          <cell r="H2848">
            <v>1</v>
          </cell>
          <cell r="I2848">
            <v>0.75</v>
          </cell>
          <cell r="J2848">
            <v>2</v>
          </cell>
          <cell r="K2848">
            <v>2</v>
          </cell>
        </row>
        <row r="2849">
          <cell r="A2849" t="str">
            <v>M2</v>
          </cell>
          <cell r="B2849" t="str">
            <v>A5C</v>
          </cell>
          <cell r="C2849" t="str">
            <v>P</v>
          </cell>
          <cell r="D2849" t="str">
            <v>23048</v>
          </cell>
          <cell r="E2849" t="str">
            <v>R TEE</v>
          </cell>
          <cell r="F2849">
            <v>2</v>
          </cell>
          <cell r="G2849" t="str">
            <v>CB40040000010T</v>
          </cell>
          <cell r="H2849">
            <v>1</v>
          </cell>
          <cell r="I2849">
            <v>0.75</v>
          </cell>
          <cell r="J2849">
            <v>6</v>
          </cell>
          <cell r="K2849">
            <v>6</v>
          </cell>
        </row>
        <row r="2850">
          <cell r="A2850" t="str">
            <v>M2</v>
          </cell>
          <cell r="B2850" t="str">
            <v>A5C</v>
          </cell>
          <cell r="C2850" t="str">
            <v>P</v>
          </cell>
          <cell r="D2850" t="str">
            <v>23074</v>
          </cell>
          <cell r="E2850" t="str">
            <v>R TEE</v>
          </cell>
          <cell r="F2850">
            <v>2</v>
          </cell>
          <cell r="G2850" t="str">
            <v>CB40040000010T</v>
          </cell>
          <cell r="H2850">
            <v>1</v>
          </cell>
          <cell r="I2850">
            <v>0.75</v>
          </cell>
          <cell r="J2850">
            <v>2</v>
          </cell>
          <cell r="K2850">
            <v>2</v>
          </cell>
        </row>
        <row r="2851">
          <cell r="A2851" t="str">
            <v>M2</v>
          </cell>
          <cell r="B2851" t="str">
            <v>A5C</v>
          </cell>
          <cell r="C2851" t="str">
            <v>P</v>
          </cell>
          <cell r="D2851" t="str">
            <v>23223</v>
          </cell>
          <cell r="E2851" t="str">
            <v>R TEE</v>
          </cell>
          <cell r="F2851">
            <v>2</v>
          </cell>
          <cell r="G2851" t="str">
            <v>CB40040000010T</v>
          </cell>
          <cell r="H2851">
            <v>1</v>
          </cell>
          <cell r="I2851">
            <v>0.75</v>
          </cell>
          <cell r="J2851">
            <v>3</v>
          </cell>
          <cell r="K2851">
            <v>3</v>
          </cell>
        </row>
        <row r="2852">
          <cell r="A2852" t="str">
            <v>M2</v>
          </cell>
          <cell r="B2852" t="str">
            <v>A5C</v>
          </cell>
          <cell r="C2852" t="str">
            <v>P</v>
          </cell>
          <cell r="D2852" t="str">
            <v>23079</v>
          </cell>
          <cell r="E2852" t="str">
            <v>R TEE</v>
          </cell>
          <cell r="F2852">
            <v>2</v>
          </cell>
          <cell r="G2852" t="str">
            <v>CB40040000010T</v>
          </cell>
          <cell r="H2852">
            <v>1</v>
          </cell>
          <cell r="I2852">
            <v>0.75</v>
          </cell>
          <cell r="J2852">
            <v>2</v>
          </cell>
          <cell r="K2852">
            <v>2</v>
          </cell>
        </row>
        <row r="2853">
          <cell r="A2853" t="str">
            <v>M2</v>
          </cell>
          <cell r="B2853" t="str">
            <v>A5C</v>
          </cell>
          <cell r="C2853" t="str">
            <v>P</v>
          </cell>
          <cell r="D2853" t="str">
            <v>23018</v>
          </cell>
          <cell r="E2853" t="str">
            <v>TEE</v>
          </cell>
          <cell r="F2853">
            <v>2</v>
          </cell>
          <cell r="G2853" t="str">
            <v>CB400300000100</v>
          </cell>
          <cell r="H2853">
            <v>1</v>
          </cell>
          <cell r="I2853" t="str">
            <v>--</v>
          </cell>
          <cell r="J2853">
            <v>1</v>
          </cell>
          <cell r="K2853">
            <v>1</v>
          </cell>
        </row>
        <row r="2854">
          <cell r="A2854" t="str">
            <v>M2</v>
          </cell>
          <cell r="B2854" t="str">
            <v>A5C</v>
          </cell>
          <cell r="C2854" t="str">
            <v>P</v>
          </cell>
          <cell r="D2854" t="str">
            <v>23018</v>
          </cell>
          <cell r="E2854" t="str">
            <v>TEE</v>
          </cell>
          <cell r="F2854">
            <v>2</v>
          </cell>
          <cell r="G2854" t="str">
            <v>CB400300000100</v>
          </cell>
          <cell r="H2854">
            <v>1</v>
          </cell>
          <cell r="I2854" t="str">
            <v>--</v>
          </cell>
          <cell r="J2854">
            <v>2</v>
          </cell>
          <cell r="K2854">
            <v>2</v>
          </cell>
        </row>
        <row r="2855">
          <cell r="A2855" t="str">
            <v>M2</v>
          </cell>
          <cell r="B2855" t="str">
            <v>A5C</v>
          </cell>
          <cell r="C2855" t="str">
            <v>P</v>
          </cell>
          <cell r="D2855" t="str">
            <v>23027</v>
          </cell>
          <cell r="E2855" t="str">
            <v>TEE</v>
          </cell>
          <cell r="F2855">
            <v>2</v>
          </cell>
          <cell r="G2855" t="str">
            <v>CB400300000100</v>
          </cell>
          <cell r="H2855">
            <v>1</v>
          </cell>
          <cell r="I2855" t="str">
            <v>--</v>
          </cell>
          <cell r="J2855">
            <v>2</v>
          </cell>
          <cell r="K2855">
            <v>2</v>
          </cell>
        </row>
        <row r="2856">
          <cell r="A2856" t="str">
            <v>M2</v>
          </cell>
          <cell r="B2856" t="str">
            <v>A5C</v>
          </cell>
          <cell r="C2856" t="str">
            <v>P</v>
          </cell>
          <cell r="D2856" t="str">
            <v>23074</v>
          </cell>
          <cell r="E2856" t="str">
            <v>TEE</v>
          </cell>
          <cell r="F2856">
            <v>2</v>
          </cell>
          <cell r="G2856" t="str">
            <v>CB400300000100</v>
          </cell>
          <cell r="H2856">
            <v>1</v>
          </cell>
          <cell r="I2856" t="str">
            <v>--</v>
          </cell>
          <cell r="J2856">
            <v>2</v>
          </cell>
          <cell r="K2856">
            <v>2</v>
          </cell>
        </row>
        <row r="2857">
          <cell r="A2857" t="str">
            <v>M2</v>
          </cell>
          <cell r="B2857" t="str">
            <v>A5C</v>
          </cell>
          <cell r="C2857" t="str">
            <v>P</v>
          </cell>
          <cell r="D2857" t="str">
            <v>23079</v>
          </cell>
          <cell r="E2857" t="str">
            <v>TEE</v>
          </cell>
          <cell r="F2857">
            <v>2</v>
          </cell>
          <cell r="G2857" t="str">
            <v>CB400300000100</v>
          </cell>
          <cell r="H2857">
            <v>1</v>
          </cell>
          <cell r="I2857" t="str">
            <v>--</v>
          </cell>
          <cell r="J2857">
            <v>1</v>
          </cell>
          <cell r="K2857">
            <v>1</v>
          </cell>
        </row>
        <row r="2858">
          <cell r="A2858" t="str">
            <v>M2</v>
          </cell>
          <cell r="B2858" t="str">
            <v>A5C</v>
          </cell>
          <cell r="C2858" t="str">
            <v>P</v>
          </cell>
          <cell r="D2858" t="str">
            <v>23013</v>
          </cell>
          <cell r="E2858" t="str">
            <v>90 ELL</v>
          </cell>
          <cell r="F2858">
            <v>2</v>
          </cell>
          <cell r="G2858" t="str">
            <v>CB400100000100</v>
          </cell>
          <cell r="H2858">
            <v>1</v>
          </cell>
          <cell r="I2858" t="str">
            <v>--</v>
          </cell>
          <cell r="J2858">
            <v>13</v>
          </cell>
          <cell r="K2858">
            <v>13</v>
          </cell>
        </row>
        <row r="2859">
          <cell r="A2859" t="str">
            <v>M2</v>
          </cell>
          <cell r="B2859" t="str">
            <v>A5C</v>
          </cell>
          <cell r="C2859" t="str">
            <v>P</v>
          </cell>
          <cell r="D2859" t="str">
            <v>23154</v>
          </cell>
          <cell r="E2859" t="str">
            <v>90 ELL</v>
          </cell>
          <cell r="F2859">
            <v>2</v>
          </cell>
          <cell r="G2859" t="str">
            <v>CB400100000100</v>
          </cell>
          <cell r="H2859">
            <v>1</v>
          </cell>
          <cell r="I2859" t="str">
            <v>--</v>
          </cell>
          <cell r="J2859">
            <v>7</v>
          </cell>
          <cell r="K2859">
            <v>7</v>
          </cell>
        </row>
        <row r="2860">
          <cell r="A2860" t="str">
            <v>M2</v>
          </cell>
          <cell r="B2860" t="str">
            <v>A5C</v>
          </cell>
          <cell r="C2860" t="str">
            <v>P</v>
          </cell>
          <cell r="D2860" t="str">
            <v>24002</v>
          </cell>
          <cell r="E2860" t="str">
            <v>90 ELL</v>
          </cell>
          <cell r="F2860">
            <v>2</v>
          </cell>
          <cell r="G2860" t="str">
            <v>CB400100000100</v>
          </cell>
          <cell r="H2860">
            <v>1</v>
          </cell>
          <cell r="I2860" t="str">
            <v>--</v>
          </cell>
          <cell r="J2860">
            <v>4</v>
          </cell>
          <cell r="K2860">
            <v>4</v>
          </cell>
        </row>
        <row r="2861">
          <cell r="A2861" t="str">
            <v>M2</v>
          </cell>
          <cell r="B2861" t="str">
            <v>A5C</v>
          </cell>
          <cell r="C2861" t="str">
            <v>P</v>
          </cell>
          <cell r="D2861" t="str">
            <v>24010</v>
          </cell>
          <cell r="E2861" t="str">
            <v>90 ELL</v>
          </cell>
          <cell r="F2861">
            <v>2</v>
          </cell>
          <cell r="G2861" t="str">
            <v>CB400100000100</v>
          </cell>
          <cell r="H2861">
            <v>1</v>
          </cell>
          <cell r="I2861" t="str">
            <v>--</v>
          </cell>
          <cell r="J2861">
            <v>3</v>
          </cell>
          <cell r="K2861">
            <v>3</v>
          </cell>
        </row>
        <row r="2862">
          <cell r="A2862" t="str">
            <v>M2</v>
          </cell>
          <cell r="B2862" t="str">
            <v>A5C</v>
          </cell>
          <cell r="C2862" t="str">
            <v>P</v>
          </cell>
          <cell r="D2862" t="str">
            <v>24004</v>
          </cell>
          <cell r="E2862" t="str">
            <v>90 ELL</v>
          </cell>
          <cell r="F2862">
            <v>2</v>
          </cell>
          <cell r="G2862" t="str">
            <v>CB400100000100</v>
          </cell>
          <cell r="H2862">
            <v>1</v>
          </cell>
          <cell r="I2862" t="str">
            <v>--</v>
          </cell>
          <cell r="J2862">
            <v>13</v>
          </cell>
          <cell r="K2862">
            <v>13</v>
          </cell>
        </row>
        <row r="2863">
          <cell r="A2863" t="str">
            <v>M2</v>
          </cell>
          <cell r="B2863" t="str">
            <v>A5C</v>
          </cell>
          <cell r="C2863" t="str">
            <v>P</v>
          </cell>
          <cell r="D2863" t="str">
            <v>24032</v>
          </cell>
          <cell r="E2863" t="str">
            <v>90 ELL</v>
          </cell>
          <cell r="F2863">
            <v>2</v>
          </cell>
          <cell r="G2863" t="str">
            <v>CB400100000100</v>
          </cell>
          <cell r="H2863">
            <v>1</v>
          </cell>
          <cell r="I2863" t="str">
            <v>--</v>
          </cell>
          <cell r="J2863">
            <v>6</v>
          </cell>
          <cell r="K2863">
            <v>6</v>
          </cell>
        </row>
        <row r="2864">
          <cell r="A2864" t="str">
            <v>M2</v>
          </cell>
          <cell r="B2864" t="str">
            <v>A5C</v>
          </cell>
          <cell r="C2864" t="str">
            <v>P</v>
          </cell>
          <cell r="D2864" t="str">
            <v>24025</v>
          </cell>
          <cell r="E2864" t="str">
            <v>90 ELL</v>
          </cell>
          <cell r="F2864">
            <v>2</v>
          </cell>
          <cell r="G2864" t="str">
            <v>CB400100000100</v>
          </cell>
          <cell r="H2864">
            <v>1</v>
          </cell>
          <cell r="I2864" t="str">
            <v>--</v>
          </cell>
          <cell r="J2864">
            <v>4</v>
          </cell>
          <cell r="K2864">
            <v>4</v>
          </cell>
        </row>
        <row r="2865">
          <cell r="A2865" t="str">
            <v>M2</v>
          </cell>
          <cell r="B2865" t="str">
            <v>A5C</v>
          </cell>
          <cell r="C2865" t="str">
            <v>P</v>
          </cell>
          <cell r="D2865" t="str">
            <v>24026</v>
          </cell>
          <cell r="E2865" t="str">
            <v>90 ELL</v>
          </cell>
          <cell r="F2865">
            <v>2</v>
          </cell>
          <cell r="G2865" t="str">
            <v>CB400100000100</v>
          </cell>
          <cell r="H2865">
            <v>1</v>
          </cell>
          <cell r="I2865" t="str">
            <v>--</v>
          </cell>
          <cell r="J2865">
            <v>3</v>
          </cell>
          <cell r="K2865">
            <v>3</v>
          </cell>
        </row>
        <row r="2866">
          <cell r="A2866" t="str">
            <v>M2</v>
          </cell>
          <cell r="B2866" t="str">
            <v>A5C</v>
          </cell>
          <cell r="C2866" t="str">
            <v>P</v>
          </cell>
          <cell r="D2866" t="str">
            <v>23013</v>
          </cell>
          <cell r="E2866" t="str">
            <v>C SWG</v>
          </cell>
          <cell r="F2866">
            <v>2</v>
          </cell>
          <cell r="G2866" t="str">
            <v>CB16110808010T</v>
          </cell>
          <cell r="H2866">
            <v>1</v>
          </cell>
          <cell r="I2866">
            <v>0.75</v>
          </cell>
          <cell r="J2866">
            <v>3</v>
          </cell>
          <cell r="K2866">
            <v>3</v>
          </cell>
        </row>
        <row r="2867">
          <cell r="A2867" t="str">
            <v>M2</v>
          </cell>
          <cell r="B2867" t="str">
            <v>A5C</v>
          </cell>
          <cell r="C2867" t="str">
            <v>P</v>
          </cell>
          <cell r="D2867" t="str">
            <v>23156</v>
          </cell>
          <cell r="E2867" t="str">
            <v>C SWG</v>
          </cell>
          <cell r="F2867">
            <v>2</v>
          </cell>
          <cell r="G2867" t="str">
            <v>CB16110808010T</v>
          </cell>
          <cell r="H2867">
            <v>1</v>
          </cell>
          <cell r="I2867">
            <v>0.75</v>
          </cell>
          <cell r="J2867">
            <v>1</v>
          </cell>
          <cell r="K2867">
            <v>1</v>
          </cell>
        </row>
        <row r="2868">
          <cell r="A2868" t="str">
            <v>M2</v>
          </cell>
          <cell r="B2868" t="str">
            <v>A5C</v>
          </cell>
          <cell r="C2868" t="str">
            <v>P</v>
          </cell>
          <cell r="D2868" t="str">
            <v>24004</v>
          </cell>
          <cell r="E2868" t="str">
            <v>C SWG</v>
          </cell>
          <cell r="F2868">
            <v>2</v>
          </cell>
          <cell r="G2868" t="str">
            <v>CB16110808010T</v>
          </cell>
          <cell r="H2868">
            <v>1</v>
          </cell>
          <cell r="I2868">
            <v>0.75</v>
          </cell>
          <cell r="J2868">
            <v>2</v>
          </cell>
          <cell r="K2868">
            <v>2</v>
          </cell>
        </row>
        <row r="2869">
          <cell r="A2869" t="str">
            <v>M2</v>
          </cell>
          <cell r="B2869" t="str">
            <v>A5C</v>
          </cell>
          <cell r="C2869" t="str">
            <v>P</v>
          </cell>
          <cell r="D2869" t="str">
            <v>24029</v>
          </cell>
          <cell r="E2869" t="str">
            <v>C SWG</v>
          </cell>
          <cell r="F2869">
            <v>2</v>
          </cell>
          <cell r="G2869" t="str">
            <v>CB16110808010T</v>
          </cell>
          <cell r="H2869">
            <v>1</v>
          </cell>
          <cell r="I2869">
            <v>0.75</v>
          </cell>
          <cell r="J2869">
            <v>1</v>
          </cell>
          <cell r="K2869">
            <v>1</v>
          </cell>
        </row>
        <row r="2870">
          <cell r="A2870" t="str">
            <v>M2</v>
          </cell>
          <cell r="B2870" t="str">
            <v>A5C</v>
          </cell>
          <cell r="C2870" t="str">
            <v>P</v>
          </cell>
          <cell r="D2870" t="str">
            <v>24031</v>
          </cell>
          <cell r="E2870" t="str">
            <v>C SWG</v>
          </cell>
          <cell r="F2870">
            <v>2</v>
          </cell>
          <cell r="G2870" t="str">
            <v>CB16110808010T</v>
          </cell>
          <cell r="H2870">
            <v>1</v>
          </cell>
          <cell r="I2870">
            <v>0.75</v>
          </cell>
          <cell r="J2870">
            <v>1</v>
          </cell>
          <cell r="K2870">
            <v>1</v>
          </cell>
        </row>
        <row r="2871">
          <cell r="A2871" t="str">
            <v>M2</v>
          </cell>
          <cell r="B2871" t="str">
            <v>A5C</v>
          </cell>
          <cell r="C2871" t="str">
            <v>P</v>
          </cell>
          <cell r="D2871" t="str">
            <v>24033</v>
          </cell>
          <cell r="E2871" t="str">
            <v>C SWG</v>
          </cell>
          <cell r="F2871">
            <v>2</v>
          </cell>
          <cell r="G2871" t="str">
            <v>CB16110808010T</v>
          </cell>
          <cell r="H2871">
            <v>1</v>
          </cell>
          <cell r="I2871">
            <v>0.75</v>
          </cell>
          <cell r="J2871">
            <v>1</v>
          </cell>
          <cell r="K2871">
            <v>1</v>
          </cell>
        </row>
        <row r="2872">
          <cell r="A2872" t="str">
            <v>M2</v>
          </cell>
          <cell r="B2872" t="str">
            <v>A5C</v>
          </cell>
          <cell r="C2872" t="str">
            <v>TRIM</v>
          </cell>
          <cell r="D2872" t="str">
            <v>C-2301</v>
          </cell>
          <cell r="E2872" t="str">
            <v>C SWG</v>
          </cell>
          <cell r="F2872">
            <v>2</v>
          </cell>
          <cell r="G2872" t="str">
            <v>CB16110808010T</v>
          </cell>
          <cell r="H2872">
            <v>1</v>
          </cell>
          <cell r="I2872">
            <v>0.75</v>
          </cell>
          <cell r="J2872">
            <v>1</v>
          </cell>
          <cell r="K2872">
            <v>1</v>
          </cell>
        </row>
        <row r="2873">
          <cell r="A2873" t="str">
            <v>M2</v>
          </cell>
          <cell r="B2873" t="str">
            <v>A5C</v>
          </cell>
          <cell r="C2873" t="str">
            <v>TRIM</v>
          </cell>
          <cell r="D2873" t="str">
            <v>R-2401</v>
          </cell>
          <cell r="E2873" t="str">
            <v>C SWG</v>
          </cell>
          <cell r="F2873">
            <v>2</v>
          </cell>
          <cell r="G2873" t="str">
            <v>CB16110808010T</v>
          </cell>
          <cell r="H2873">
            <v>1</v>
          </cell>
          <cell r="I2873">
            <v>0.75</v>
          </cell>
          <cell r="J2873">
            <v>1</v>
          </cell>
          <cell r="K2873">
            <v>1</v>
          </cell>
        </row>
        <row r="2874">
          <cell r="A2874" t="str">
            <v>M2</v>
          </cell>
          <cell r="B2874" t="str">
            <v>A5C</v>
          </cell>
          <cell r="C2874" t="str">
            <v>P</v>
          </cell>
          <cell r="D2874" t="str">
            <v>23154</v>
          </cell>
          <cell r="E2874" t="str">
            <v>CPLG</v>
          </cell>
          <cell r="F2874">
            <v>2</v>
          </cell>
          <cell r="G2874" t="str">
            <v>CB400500000100</v>
          </cell>
          <cell r="H2874">
            <v>1</v>
          </cell>
          <cell r="I2874" t="str">
            <v>--</v>
          </cell>
          <cell r="J2874">
            <v>1</v>
          </cell>
          <cell r="K2874">
            <v>1</v>
          </cell>
        </row>
        <row r="2875">
          <cell r="A2875" t="str">
            <v>M2</v>
          </cell>
          <cell r="B2875" t="str">
            <v>A5C</v>
          </cell>
          <cell r="C2875" t="str">
            <v>P</v>
          </cell>
          <cell r="D2875" t="str">
            <v>24001</v>
          </cell>
          <cell r="E2875" t="str">
            <v>CPLG</v>
          </cell>
          <cell r="F2875">
            <v>2</v>
          </cell>
          <cell r="G2875" t="str">
            <v>CB400500000100</v>
          </cell>
          <cell r="H2875">
            <v>1</v>
          </cell>
          <cell r="I2875" t="str">
            <v>--</v>
          </cell>
          <cell r="J2875">
            <v>2</v>
          </cell>
          <cell r="K2875">
            <v>2</v>
          </cell>
        </row>
        <row r="2876">
          <cell r="A2876" t="str">
            <v>M2</v>
          </cell>
          <cell r="B2876" t="str">
            <v>A5C</v>
          </cell>
          <cell r="C2876" t="str">
            <v>P</v>
          </cell>
          <cell r="D2876" t="str">
            <v>23013</v>
          </cell>
          <cell r="E2876" t="str">
            <v>CPLG</v>
          </cell>
          <cell r="F2876">
            <v>2</v>
          </cell>
          <cell r="G2876" t="str">
            <v>CB400500000100</v>
          </cell>
          <cell r="H2876">
            <v>1</v>
          </cell>
          <cell r="I2876" t="str">
            <v>--</v>
          </cell>
          <cell r="J2876">
            <v>3</v>
          </cell>
          <cell r="K2876">
            <v>3</v>
          </cell>
        </row>
        <row r="2877">
          <cell r="A2877" t="str">
            <v>M2</v>
          </cell>
          <cell r="B2877" t="str">
            <v>A5C</v>
          </cell>
          <cell r="C2877" t="str">
            <v>P</v>
          </cell>
          <cell r="D2877" t="str">
            <v>99004</v>
          </cell>
          <cell r="E2877" t="str">
            <v>E SWG</v>
          </cell>
          <cell r="F2877">
            <v>2</v>
          </cell>
          <cell r="G2877" t="str">
            <v>CB16210808010T</v>
          </cell>
          <cell r="H2877">
            <v>1</v>
          </cell>
          <cell r="I2877">
            <v>0.75</v>
          </cell>
          <cell r="J2877">
            <v>1</v>
          </cell>
          <cell r="K2877">
            <v>1</v>
          </cell>
        </row>
        <row r="2878">
          <cell r="A2878" t="str">
            <v>M2</v>
          </cell>
          <cell r="B2878" t="str">
            <v>A5C</v>
          </cell>
          <cell r="C2878" t="str">
            <v>P</v>
          </cell>
          <cell r="D2878" t="str">
            <v>23013</v>
          </cell>
          <cell r="E2878" t="str">
            <v>R TEE</v>
          </cell>
          <cell r="F2878">
            <v>2</v>
          </cell>
          <cell r="G2878" t="str">
            <v>CB40040000010T</v>
          </cell>
          <cell r="H2878">
            <v>1</v>
          </cell>
          <cell r="I2878">
            <v>0.75</v>
          </cell>
          <cell r="J2878">
            <v>4</v>
          </cell>
          <cell r="K2878">
            <v>4</v>
          </cell>
        </row>
        <row r="2879">
          <cell r="A2879" t="str">
            <v>M2</v>
          </cell>
          <cell r="B2879" t="str">
            <v>A5C</v>
          </cell>
          <cell r="C2879" t="str">
            <v>P</v>
          </cell>
          <cell r="D2879" t="str">
            <v>24004</v>
          </cell>
          <cell r="E2879" t="str">
            <v>R TEE</v>
          </cell>
          <cell r="F2879">
            <v>2</v>
          </cell>
          <cell r="G2879" t="str">
            <v>CB40040000010T</v>
          </cell>
          <cell r="H2879">
            <v>1</v>
          </cell>
          <cell r="I2879">
            <v>0.75</v>
          </cell>
          <cell r="J2879">
            <v>5</v>
          </cell>
          <cell r="K2879">
            <v>5</v>
          </cell>
        </row>
        <row r="2880">
          <cell r="A2880" t="str">
            <v>M2</v>
          </cell>
          <cell r="B2880" t="str">
            <v>A5C</v>
          </cell>
          <cell r="C2880" t="str">
            <v>P</v>
          </cell>
          <cell r="D2880" t="str">
            <v>24025</v>
          </cell>
          <cell r="E2880" t="str">
            <v>R TEE</v>
          </cell>
          <cell r="F2880">
            <v>2</v>
          </cell>
          <cell r="G2880" t="str">
            <v>CB40040000010T</v>
          </cell>
          <cell r="H2880">
            <v>1</v>
          </cell>
          <cell r="I2880">
            <v>0.75</v>
          </cell>
          <cell r="J2880">
            <v>2</v>
          </cell>
          <cell r="K2880">
            <v>2</v>
          </cell>
        </row>
        <row r="2881">
          <cell r="A2881" t="str">
            <v>M2</v>
          </cell>
          <cell r="B2881" t="str">
            <v>A5C</v>
          </cell>
          <cell r="C2881" t="str">
            <v>P</v>
          </cell>
          <cell r="D2881" t="str">
            <v>24026</v>
          </cell>
          <cell r="E2881" t="str">
            <v>R TEE</v>
          </cell>
          <cell r="F2881">
            <v>2</v>
          </cell>
          <cell r="G2881" t="str">
            <v>CB40040000010T</v>
          </cell>
          <cell r="H2881">
            <v>1</v>
          </cell>
          <cell r="I2881">
            <v>0.75</v>
          </cell>
          <cell r="J2881">
            <v>2</v>
          </cell>
          <cell r="K2881">
            <v>2</v>
          </cell>
        </row>
        <row r="2882">
          <cell r="A2882" t="str">
            <v>M2</v>
          </cell>
          <cell r="B2882" t="str">
            <v>A5C</v>
          </cell>
          <cell r="C2882" t="str">
            <v>P</v>
          </cell>
          <cell r="D2882" t="str">
            <v>24002</v>
          </cell>
          <cell r="E2882" t="str">
            <v>R TEE</v>
          </cell>
          <cell r="F2882">
            <v>2</v>
          </cell>
          <cell r="G2882" t="str">
            <v>CB40040000010T</v>
          </cell>
          <cell r="H2882">
            <v>1</v>
          </cell>
          <cell r="I2882">
            <v>0.75</v>
          </cell>
          <cell r="J2882">
            <v>2</v>
          </cell>
          <cell r="K2882">
            <v>2</v>
          </cell>
        </row>
        <row r="2883">
          <cell r="A2883" t="str">
            <v>M2</v>
          </cell>
          <cell r="B2883" t="str">
            <v>A5C</v>
          </cell>
          <cell r="C2883" t="str">
            <v>P</v>
          </cell>
          <cell r="D2883" t="str">
            <v>23013</v>
          </cell>
          <cell r="E2883" t="str">
            <v>TEE</v>
          </cell>
          <cell r="F2883">
            <v>2</v>
          </cell>
          <cell r="G2883" t="str">
            <v>CB400300000100</v>
          </cell>
          <cell r="H2883">
            <v>1</v>
          </cell>
          <cell r="I2883" t="str">
            <v>--</v>
          </cell>
          <cell r="J2883">
            <v>2</v>
          </cell>
          <cell r="K2883">
            <v>2</v>
          </cell>
        </row>
        <row r="2884">
          <cell r="A2884" t="str">
            <v>M2</v>
          </cell>
          <cell r="B2884" t="str">
            <v>A5C</v>
          </cell>
          <cell r="C2884" t="str">
            <v>P</v>
          </cell>
          <cell r="D2884" t="str">
            <v>24002</v>
          </cell>
          <cell r="E2884" t="str">
            <v>TEE</v>
          </cell>
          <cell r="F2884">
            <v>2</v>
          </cell>
          <cell r="G2884" t="str">
            <v>CB400300000100</v>
          </cell>
          <cell r="H2884">
            <v>1</v>
          </cell>
          <cell r="I2884" t="str">
            <v>--</v>
          </cell>
          <cell r="J2884">
            <v>3</v>
          </cell>
          <cell r="K2884">
            <v>3</v>
          </cell>
        </row>
        <row r="2885">
          <cell r="A2885" t="str">
            <v>M2</v>
          </cell>
          <cell r="B2885" t="str">
            <v>A5C</v>
          </cell>
          <cell r="C2885" t="str">
            <v>P</v>
          </cell>
          <cell r="D2885" t="str">
            <v>24004</v>
          </cell>
          <cell r="E2885" t="str">
            <v>TEE</v>
          </cell>
          <cell r="F2885">
            <v>2</v>
          </cell>
          <cell r="G2885" t="str">
            <v>CB400300000100</v>
          </cell>
          <cell r="H2885">
            <v>1</v>
          </cell>
          <cell r="I2885" t="str">
            <v>--</v>
          </cell>
          <cell r="J2885">
            <v>4</v>
          </cell>
          <cell r="K2885">
            <v>4</v>
          </cell>
        </row>
        <row r="2886">
          <cell r="A2886" t="str">
            <v>M2</v>
          </cell>
          <cell r="B2886" t="str">
            <v>A5C</v>
          </cell>
          <cell r="C2886" t="str">
            <v>P</v>
          </cell>
          <cell r="D2886" t="str">
            <v>24025</v>
          </cell>
          <cell r="E2886" t="str">
            <v>TEE</v>
          </cell>
          <cell r="F2886">
            <v>2</v>
          </cell>
          <cell r="G2886" t="str">
            <v>CB400300000100</v>
          </cell>
          <cell r="H2886">
            <v>1</v>
          </cell>
          <cell r="I2886" t="str">
            <v>--</v>
          </cell>
          <cell r="J2886">
            <v>1</v>
          </cell>
          <cell r="K2886">
            <v>1</v>
          </cell>
        </row>
        <row r="2887">
          <cell r="A2887" t="str">
            <v>M2</v>
          </cell>
          <cell r="B2887" t="str">
            <v>A5C</v>
          </cell>
          <cell r="C2887" t="str">
            <v>P</v>
          </cell>
          <cell r="D2887" t="str">
            <v>24026</v>
          </cell>
          <cell r="E2887" t="str">
            <v>TEE</v>
          </cell>
          <cell r="F2887">
            <v>2</v>
          </cell>
          <cell r="G2887" t="str">
            <v>CB400300000100</v>
          </cell>
          <cell r="H2887">
            <v>1</v>
          </cell>
          <cell r="I2887" t="str">
            <v>--</v>
          </cell>
          <cell r="J2887">
            <v>2</v>
          </cell>
          <cell r="K2887">
            <v>2</v>
          </cell>
        </row>
        <row r="2888">
          <cell r="A2888" t="str">
            <v>M2</v>
          </cell>
          <cell r="B2888" t="str">
            <v>A5C</v>
          </cell>
          <cell r="C2888" t="str">
            <v>P</v>
          </cell>
          <cell r="D2888" t="str">
            <v>23147</v>
          </cell>
          <cell r="E2888" t="str">
            <v>45 ELL</v>
          </cell>
          <cell r="F2888">
            <v>2</v>
          </cell>
          <cell r="G2888" t="str">
            <v>CB400200001H00</v>
          </cell>
          <cell r="H2888">
            <v>1.5</v>
          </cell>
          <cell r="I2888" t="str">
            <v>--</v>
          </cell>
          <cell r="J2888">
            <v>1</v>
          </cell>
          <cell r="K2888">
            <v>1</v>
          </cell>
        </row>
        <row r="2889">
          <cell r="A2889" t="str">
            <v>M2</v>
          </cell>
          <cell r="B2889" t="str">
            <v>A5C</v>
          </cell>
          <cell r="C2889" t="str">
            <v>P</v>
          </cell>
          <cell r="D2889" t="str">
            <v>23215</v>
          </cell>
          <cell r="E2889" t="str">
            <v>90 ELL</v>
          </cell>
          <cell r="F2889">
            <v>2</v>
          </cell>
          <cell r="G2889" t="str">
            <v>CB400100001H00</v>
          </cell>
          <cell r="H2889">
            <v>1.5</v>
          </cell>
          <cell r="I2889" t="str">
            <v>--</v>
          </cell>
          <cell r="J2889">
            <v>3</v>
          </cell>
          <cell r="K2889">
            <v>3</v>
          </cell>
        </row>
        <row r="2890">
          <cell r="A2890" t="str">
            <v>M2</v>
          </cell>
          <cell r="B2890" t="str">
            <v>A5C</v>
          </cell>
          <cell r="C2890" t="str">
            <v>P</v>
          </cell>
          <cell r="D2890" t="str">
            <v>23253</v>
          </cell>
          <cell r="E2890" t="str">
            <v>90 ELL</v>
          </cell>
          <cell r="F2890">
            <v>2</v>
          </cell>
          <cell r="G2890" t="str">
            <v>CB400100001H00</v>
          </cell>
          <cell r="H2890">
            <v>1.5</v>
          </cell>
          <cell r="I2890" t="str">
            <v>--</v>
          </cell>
          <cell r="J2890">
            <v>2</v>
          </cell>
          <cell r="K2890">
            <v>2</v>
          </cell>
        </row>
        <row r="2891">
          <cell r="A2891" t="str">
            <v>M2</v>
          </cell>
          <cell r="B2891" t="str">
            <v>A5C</v>
          </cell>
          <cell r="C2891" t="str">
            <v>P</v>
          </cell>
          <cell r="D2891" t="str">
            <v>23006</v>
          </cell>
          <cell r="E2891" t="str">
            <v>90 ELL</v>
          </cell>
          <cell r="F2891">
            <v>2</v>
          </cell>
          <cell r="G2891" t="str">
            <v>CB400100001H00</v>
          </cell>
          <cell r="H2891">
            <v>1.5</v>
          </cell>
          <cell r="I2891" t="str">
            <v>--</v>
          </cell>
          <cell r="J2891">
            <v>6</v>
          </cell>
          <cell r="K2891">
            <v>6</v>
          </cell>
        </row>
        <row r="2892">
          <cell r="A2892" t="str">
            <v>M2</v>
          </cell>
          <cell r="B2892" t="str">
            <v>A5C</v>
          </cell>
          <cell r="C2892" t="str">
            <v>P</v>
          </cell>
          <cell r="D2892" t="str">
            <v>23007</v>
          </cell>
          <cell r="E2892" t="str">
            <v>90 ELL</v>
          </cell>
          <cell r="F2892">
            <v>2</v>
          </cell>
          <cell r="G2892" t="str">
            <v>CB400100001H00</v>
          </cell>
          <cell r="H2892">
            <v>1.5</v>
          </cell>
          <cell r="I2892" t="str">
            <v>--</v>
          </cell>
          <cell r="J2892">
            <v>5</v>
          </cell>
          <cell r="K2892">
            <v>5</v>
          </cell>
        </row>
        <row r="2893">
          <cell r="A2893" t="str">
            <v>M2</v>
          </cell>
          <cell r="B2893" t="str">
            <v>A5C</v>
          </cell>
          <cell r="C2893" t="str">
            <v>P</v>
          </cell>
          <cell r="D2893" t="str">
            <v>23035</v>
          </cell>
          <cell r="E2893" t="str">
            <v>90 ELL</v>
          </cell>
          <cell r="F2893">
            <v>2</v>
          </cell>
          <cell r="G2893" t="str">
            <v>CB400100001H00</v>
          </cell>
          <cell r="H2893">
            <v>1.5</v>
          </cell>
          <cell r="I2893" t="str">
            <v>--</v>
          </cell>
          <cell r="J2893">
            <v>4</v>
          </cell>
          <cell r="K2893">
            <v>4</v>
          </cell>
        </row>
        <row r="2894">
          <cell r="A2894" t="str">
            <v>M2</v>
          </cell>
          <cell r="B2894" t="str">
            <v>A5C</v>
          </cell>
          <cell r="C2894" t="str">
            <v>P</v>
          </cell>
          <cell r="D2894" t="str">
            <v>23037</v>
          </cell>
          <cell r="E2894" t="str">
            <v>90 ELL</v>
          </cell>
          <cell r="F2894">
            <v>2</v>
          </cell>
          <cell r="G2894" t="str">
            <v>CB400100001H00</v>
          </cell>
          <cell r="H2894">
            <v>1.5</v>
          </cell>
          <cell r="I2894" t="str">
            <v>--</v>
          </cell>
          <cell r="J2894">
            <v>4</v>
          </cell>
          <cell r="K2894">
            <v>4</v>
          </cell>
        </row>
        <row r="2895">
          <cell r="A2895" t="str">
            <v>M2</v>
          </cell>
          <cell r="B2895" t="str">
            <v>A5C</v>
          </cell>
          <cell r="C2895" t="str">
            <v>P</v>
          </cell>
          <cell r="D2895" t="str">
            <v>23038</v>
          </cell>
          <cell r="E2895" t="str">
            <v>90 ELL</v>
          </cell>
          <cell r="F2895">
            <v>2</v>
          </cell>
          <cell r="G2895" t="str">
            <v>CB400100001H00</v>
          </cell>
          <cell r="H2895">
            <v>1.5</v>
          </cell>
          <cell r="I2895" t="str">
            <v>--</v>
          </cell>
          <cell r="J2895">
            <v>2</v>
          </cell>
          <cell r="K2895">
            <v>2</v>
          </cell>
        </row>
        <row r="2896">
          <cell r="A2896" t="str">
            <v>M2</v>
          </cell>
          <cell r="B2896" t="str">
            <v>A5C</v>
          </cell>
          <cell r="C2896" t="str">
            <v>P</v>
          </cell>
          <cell r="D2896" t="str">
            <v>23052</v>
          </cell>
          <cell r="E2896" t="str">
            <v>90 ELL</v>
          </cell>
          <cell r="F2896">
            <v>2</v>
          </cell>
          <cell r="G2896" t="str">
            <v>CB400100001H00</v>
          </cell>
          <cell r="H2896">
            <v>1.5</v>
          </cell>
          <cell r="I2896" t="str">
            <v>--</v>
          </cell>
          <cell r="J2896">
            <v>4</v>
          </cell>
          <cell r="K2896">
            <v>4</v>
          </cell>
        </row>
        <row r="2897">
          <cell r="A2897" t="str">
            <v>M2</v>
          </cell>
          <cell r="B2897" t="str">
            <v>A5C</v>
          </cell>
          <cell r="C2897" t="str">
            <v>P</v>
          </cell>
          <cell r="D2897" t="str">
            <v>23063</v>
          </cell>
          <cell r="E2897" t="str">
            <v>90 ELL</v>
          </cell>
          <cell r="F2897">
            <v>2</v>
          </cell>
          <cell r="G2897" t="str">
            <v>CB400100001H00</v>
          </cell>
          <cell r="H2897">
            <v>1.5</v>
          </cell>
          <cell r="I2897" t="str">
            <v>--</v>
          </cell>
          <cell r="J2897">
            <v>4</v>
          </cell>
          <cell r="K2897">
            <v>4</v>
          </cell>
        </row>
        <row r="2898">
          <cell r="A2898" t="str">
            <v>M2</v>
          </cell>
          <cell r="B2898" t="str">
            <v>A5C</v>
          </cell>
          <cell r="C2898" t="str">
            <v>P</v>
          </cell>
          <cell r="D2898" t="str">
            <v>23070</v>
          </cell>
          <cell r="E2898" t="str">
            <v>90 ELL</v>
          </cell>
          <cell r="F2898">
            <v>2</v>
          </cell>
          <cell r="G2898" t="str">
            <v>CB400100001H00</v>
          </cell>
          <cell r="H2898">
            <v>1.5</v>
          </cell>
          <cell r="I2898" t="str">
            <v>--</v>
          </cell>
          <cell r="J2898">
            <v>6</v>
          </cell>
          <cell r="K2898">
            <v>6</v>
          </cell>
        </row>
        <row r="2899">
          <cell r="A2899" t="str">
            <v>M2</v>
          </cell>
          <cell r="B2899" t="str">
            <v>A5C</v>
          </cell>
          <cell r="C2899" t="str">
            <v>P</v>
          </cell>
          <cell r="D2899" t="str">
            <v>23072</v>
          </cell>
          <cell r="E2899" t="str">
            <v>90 ELL</v>
          </cell>
          <cell r="F2899">
            <v>2</v>
          </cell>
          <cell r="G2899" t="str">
            <v>CB400100001H00</v>
          </cell>
          <cell r="H2899">
            <v>1.5</v>
          </cell>
          <cell r="I2899" t="str">
            <v>--</v>
          </cell>
          <cell r="J2899">
            <v>1</v>
          </cell>
          <cell r="K2899">
            <v>1</v>
          </cell>
        </row>
        <row r="2900">
          <cell r="A2900" t="str">
            <v>M2</v>
          </cell>
          <cell r="B2900" t="str">
            <v>A5C</v>
          </cell>
          <cell r="C2900" t="str">
            <v>P</v>
          </cell>
          <cell r="D2900" t="str">
            <v>23078</v>
          </cell>
          <cell r="E2900" t="str">
            <v>90 ELL</v>
          </cell>
          <cell r="F2900">
            <v>2</v>
          </cell>
          <cell r="G2900" t="str">
            <v>CB400100001H00</v>
          </cell>
          <cell r="H2900">
            <v>1.5</v>
          </cell>
          <cell r="I2900" t="str">
            <v>--</v>
          </cell>
          <cell r="J2900">
            <v>4</v>
          </cell>
          <cell r="K2900">
            <v>4</v>
          </cell>
        </row>
        <row r="2901">
          <cell r="A2901" t="str">
            <v>M2</v>
          </cell>
          <cell r="B2901" t="str">
            <v>A5C</v>
          </cell>
          <cell r="C2901" t="str">
            <v>P</v>
          </cell>
          <cell r="D2901" t="str">
            <v>23103</v>
          </cell>
          <cell r="E2901" t="str">
            <v>90 ELL</v>
          </cell>
          <cell r="F2901">
            <v>2</v>
          </cell>
          <cell r="G2901" t="str">
            <v>CB400100001H00</v>
          </cell>
          <cell r="H2901">
            <v>1.5</v>
          </cell>
          <cell r="I2901" t="str">
            <v>--</v>
          </cell>
          <cell r="J2901">
            <v>6</v>
          </cell>
          <cell r="K2901">
            <v>6</v>
          </cell>
        </row>
        <row r="2902">
          <cell r="A2902" t="str">
            <v>M2</v>
          </cell>
          <cell r="B2902" t="str">
            <v>A5C</v>
          </cell>
          <cell r="C2902" t="str">
            <v>P</v>
          </cell>
          <cell r="D2902" t="str">
            <v>23107</v>
          </cell>
          <cell r="E2902" t="str">
            <v>90 ELL</v>
          </cell>
          <cell r="F2902">
            <v>2</v>
          </cell>
          <cell r="G2902" t="str">
            <v>CB400100001H00</v>
          </cell>
          <cell r="H2902">
            <v>1.5</v>
          </cell>
          <cell r="I2902" t="str">
            <v>--</v>
          </cell>
          <cell r="J2902">
            <v>6</v>
          </cell>
          <cell r="K2902">
            <v>6</v>
          </cell>
        </row>
        <row r="2903">
          <cell r="A2903" t="str">
            <v>M2</v>
          </cell>
          <cell r="B2903" t="str">
            <v>A5C</v>
          </cell>
          <cell r="C2903" t="str">
            <v>P</v>
          </cell>
          <cell r="D2903" t="str">
            <v>23111</v>
          </cell>
          <cell r="E2903" t="str">
            <v>90 ELL</v>
          </cell>
          <cell r="F2903">
            <v>2</v>
          </cell>
          <cell r="G2903" t="str">
            <v>CB400100001H00</v>
          </cell>
          <cell r="H2903">
            <v>1.5</v>
          </cell>
          <cell r="I2903" t="str">
            <v>--</v>
          </cell>
          <cell r="J2903">
            <v>6</v>
          </cell>
          <cell r="K2903">
            <v>6</v>
          </cell>
        </row>
        <row r="2904">
          <cell r="A2904" t="str">
            <v>M2</v>
          </cell>
          <cell r="B2904" t="str">
            <v>A5C</v>
          </cell>
          <cell r="C2904" t="str">
            <v>P</v>
          </cell>
          <cell r="D2904" t="str">
            <v>23116</v>
          </cell>
          <cell r="E2904" t="str">
            <v>90 ELL</v>
          </cell>
          <cell r="F2904">
            <v>2</v>
          </cell>
          <cell r="G2904" t="str">
            <v>CB400100001H00</v>
          </cell>
          <cell r="H2904">
            <v>1.5</v>
          </cell>
          <cell r="I2904" t="str">
            <v>--</v>
          </cell>
          <cell r="J2904">
            <v>4</v>
          </cell>
          <cell r="K2904">
            <v>4</v>
          </cell>
        </row>
        <row r="2905">
          <cell r="A2905" t="str">
            <v>M2</v>
          </cell>
          <cell r="B2905" t="str">
            <v>A5C</v>
          </cell>
          <cell r="C2905" t="str">
            <v>P</v>
          </cell>
          <cell r="D2905" t="str">
            <v>23117</v>
          </cell>
          <cell r="E2905" t="str">
            <v>90 ELL</v>
          </cell>
          <cell r="F2905">
            <v>2</v>
          </cell>
          <cell r="G2905" t="str">
            <v>CB400100001H00</v>
          </cell>
          <cell r="H2905">
            <v>1.5</v>
          </cell>
          <cell r="I2905" t="str">
            <v>--</v>
          </cell>
          <cell r="J2905">
            <v>2</v>
          </cell>
          <cell r="K2905">
            <v>2</v>
          </cell>
        </row>
        <row r="2906">
          <cell r="A2906" t="str">
            <v>M2</v>
          </cell>
          <cell r="B2906" t="str">
            <v>A5C</v>
          </cell>
          <cell r="C2906" t="str">
            <v>P</v>
          </cell>
          <cell r="D2906" t="str">
            <v>23116</v>
          </cell>
          <cell r="E2906" t="str">
            <v>90 ELL</v>
          </cell>
          <cell r="F2906">
            <v>2</v>
          </cell>
          <cell r="G2906" t="str">
            <v>CB400100001H00</v>
          </cell>
          <cell r="H2906">
            <v>1.5</v>
          </cell>
          <cell r="I2906" t="str">
            <v>--</v>
          </cell>
          <cell r="J2906">
            <v>4</v>
          </cell>
          <cell r="K2906">
            <v>4</v>
          </cell>
        </row>
        <row r="2907">
          <cell r="A2907" t="str">
            <v>M2</v>
          </cell>
          <cell r="B2907" t="str">
            <v>A5C</v>
          </cell>
          <cell r="C2907" t="str">
            <v>P</v>
          </cell>
          <cell r="D2907" t="str">
            <v>23143</v>
          </cell>
          <cell r="E2907" t="str">
            <v>90 ELL</v>
          </cell>
          <cell r="F2907">
            <v>2</v>
          </cell>
          <cell r="G2907" t="str">
            <v>CB400100001H00</v>
          </cell>
          <cell r="H2907">
            <v>1.5</v>
          </cell>
          <cell r="I2907" t="str">
            <v>--</v>
          </cell>
          <cell r="J2907">
            <v>4</v>
          </cell>
          <cell r="K2907">
            <v>4</v>
          </cell>
        </row>
        <row r="2908">
          <cell r="A2908" t="str">
            <v>M2</v>
          </cell>
          <cell r="B2908" t="str">
            <v>A5C</v>
          </cell>
          <cell r="C2908" t="str">
            <v>P</v>
          </cell>
          <cell r="D2908" t="str">
            <v>23147</v>
          </cell>
          <cell r="E2908" t="str">
            <v>90 ELL</v>
          </cell>
          <cell r="F2908">
            <v>2</v>
          </cell>
          <cell r="G2908" t="str">
            <v>CB400100001H00</v>
          </cell>
          <cell r="H2908">
            <v>1.5</v>
          </cell>
          <cell r="I2908" t="str">
            <v>--</v>
          </cell>
          <cell r="J2908">
            <v>1</v>
          </cell>
          <cell r="K2908">
            <v>1</v>
          </cell>
        </row>
        <row r="2909">
          <cell r="A2909" t="str">
            <v>M2</v>
          </cell>
          <cell r="B2909" t="str">
            <v>A5C</v>
          </cell>
          <cell r="C2909" t="str">
            <v>P</v>
          </cell>
          <cell r="D2909" t="str">
            <v>23157</v>
          </cell>
          <cell r="E2909" t="str">
            <v>90 ELL</v>
          </cell>
          <cell r="F2909">
            <v>2</v>
          </cell>
          <cell r="G2909" t="str">
            <v>CB400100001H00</v>
          </cell>
          <cell r="H2909">
            <v>1.5</v>
          </cell>
          <cell r="I2909" t="str">
            <v>--</v>
          </cell>
          <cell r="J2909">
            <v>2</v>
          </cell>
          <cell r="K2909">
            <v>2</v>
          </cell>
        </row>
        <row r="2910">
          <cell r="A2910" t="str">
            <v>M2</v>
          </cell>
          <cell r="B2910" t="str">
            <v>A5C</v>
          </cell>
          <cell r="C2910" t="str">
            <v>P</v>
          </cell>
          <cell r="D2910" t="str">
            <v>23185</v>
          </cell>
          <cell r="E2910" t="str">
            <v>90 ELL</v>
          </cell>
          <cell r="F2910">
            <v>2</v>
          </cell>
          <cell r="G2910" t="str">
            <v>CB400100001H00</v>
          </cell>
          <cell r="H2910">
            <v>1.5</v>
          </cell>
          <cell r="I2910" t="str">
            <v>--</v>
          </cell>
          <cell r="J2910">
            <v>2</v>
          </cell>
          <cell r="K2910">
            <v>2</v>
          </cell>
        </row>
        <row r="2911">
          <cell r="A2911" t="str">
            <v>M2</v>
          </cell>
          <cell r="B2911" t="str">
            <v>A5C</v>
          </cell>
          <cell r="C2911" t="str">
            <v>P</v>
          </cell>
          <cell r="D2911" t="str">
            <v>23192</v>
          </cell>
          <cell r="E2911" t="str">
            <v>90 ELL</v>
          </cell>
          <cell r="F2911">
            <v>2</v>
          </cell>
          <cell r="G2911" t="str">
            <v>CB400100001H00</v>
          </cell>
          <cell r="H2911">
            <v>1.5</v>
          </cell>
          <cell r="I2911" t="str">
            <v>--</v>
          </cell>
          <cell r="J2911">
            <v>2</v>
          </cell>
          <cell r="K2911">
            <v>2</v>
          </cell>
        </row>
        <row r="2912">
          <cell r="A2912" t="str">
            <v>M2</v>
          </cell>
          <cell r="B2912" t="str">
            <v>A5C</v>
          </cell>
          <cell r="C2912" t="str">
            <v>P</v>
          </cell>
          <cell r="D2912" t="str">
            <v>23196</v>
          </cell>
          <cell r="E2912" t="str">
            <v>90 ELL</v>
          </cell>
          <cell r="F2912">
            <v>2</v>
          </cell>
          <cell r="G2912" t="str">
            <v>CB400100001H00</v>
          </cell>
          <cell r="H2912">
            <v>1.5</v>
          </cell>
          <cell r="I2912" t="str">
            <v>--</v>
          </cell>
          <cell r="J2912">
            <v>2</v>
          </cell>
          <cell r="K2912">
            <v>2</v>
          </cell>
        </row>
        <row r="2913">
          <cell r="A2913" t="str">
            <v>M2</v>
          </cell>
          <cell r="B2913" t="str">
            <v>A5C</v>
          </cell>
          <cell r="C2913" t="str">
            <v>P</v>
          </cell>
          <cell r="D2913" t="str">
            <v>23226</v>
          </cell>
          <cell r="E2913" t="str">
            <v>90 ELL</v>
          </cell>
          <cell r="F2913">
            <v>2</v>
          </cell>
          <cell r="G2913" t="str">
            <v>CB400100001H00</v>
          </cell>
          <cell r="H2913">
            <v>1.5</v>
          </cell>
          <cell r="I2913" t="str">
            <v>--</v>
          </cell>
          <cell r="J2913">
            <v>10</v>
          </cell>
          <cell r="K2913">
            <v>10</v>
          </cell>
        </row>
        <row r="2914">
          <cell r="A2914" t="str">
            <v>M2</v>
          </cell>
          <cell r="B2914" t="str">
            <v>A5C</v>
          </cell>
          <cell r="C2914" t="str">
            <v>P</v>
          </cell>
          <cell r="D2914" t="str">
            <v>23248</v>
          </cell>
          <cell r="E2914" t="str">
            <v>90 ELL</v>
          </cell>
          <cell r="F2914">
            <v>2</v>
          </cell>
          <cell r="G2914" t="str">
            <v>CB400100001H00</v>
          </cell>
          <cell r="H2914">
            <v>1.5</v>
          </cell>
          <cell r="I2914" t="str">
            <v>--</v>
          </cell>
          <cell r="J2914">
            <v>10</v>
          </cell>
          <cell r="K2914">
            <v>10</v>
          </cell>
        </row>
        <row r="2915">
          <cell r="A2915" t="str">
            <v>M2</v>
          </cell>
          <cell r="B2915" t="str">
            <v>A5C</v>
          </cell>
          <cell r="C2915" t="str">
            <v>P</v>
          </cell>
          <cell r="D2915" t="str">
            <v>23259</v>
          </cell>
          <cell r="E2915" t="str">
            <v>90 ELL</v>
          </cell>
          <cell r="F2915">
            <v>2</v>
          </cell>
          <cell r="G2915" t="str">
            <v>CB400100001H00</v>
          </cell>
          <cell r="H2915">
            <v>1.5</v>
          </cell>
          <cell r="I2915" t="str">
            <v>--</v>
          </cell>
          <cell r="J2915">
            <v>2</v>
          </cell>
          <cell r="K2915">
            <v>2</v>
          </cell>
        </row>
        <row r="2916">
          <cell r="A2916" t="str">
            <v>M2</v>
          </cell>
          <cell r="B2916" t="str">
            <v>A5C</v>
          </cell>
          <cell r="C2916" t="str">
            <v>P</v>
          </cell>
          <cell r="D2916" t="str">
            <v>24014</v>
          </cell>
          <cell r="E2916" t="str">
            <v>90 ELL</v>
          </cell>
          <cell r="F2916">
            <v>2</v>
          </cell>
          <cell r="G2916" t="str">
            <v>CB400100001H00</v>
          </cell>
          <cell r="H2916">
            <v>1.5</v>
          </cell>
          <cell r="I2916" t="str">
            <v>--</v>
          </cell>
          <cell r="J2916">
            <v>4</v>
          </cell>
          <cell r="K2916">
            <v>4</v>
          </cell>
        </row>
        <row r="2917">
          <cell r="A2917" t="str">
            <v>M2</v>
          </cell>
          <cell r="B2917" t="str">
            <v>A5C</v>
          </cell>
          <cell r="C2917" t="str">
            <v>P</v>
          </cell>
          <cell r="D2917" t="str">
            <v>99003</v>
          </cell>
          <cell r="E2917" t="str">
            <v>90 ELL</v>
          </cell>
          <cell r="F2917">
            <v>2</v>
          </cell>
          <cell r="G2917" t="str">
            <v>CB400100001H00</v>
          </cell>
          <cell r="H2917">
            <v>1.5</v>
          </cell>
          <cell r="I2917" t="str">
            <v>--</v>
          </cell>
          <cell r="J2917">
            <v>6</v>
          </cell>
          <cell r="K2917">
            <v>6</v>
          </cell>
        </row>
        <row r="2918">
          <cell r="A2918" t="str">
            <v>M2</v>
          </cell>
          <cell r="B2918" t="str">
            <v>A5C</v>
          </cell>
          <cell r="C2918" t="str">
            <v>P</v>
          </cell>
          <cell r="D2918" t="str">
            <v>99003</v>
          </cell>
          <cell r="E2918" t="str">
            <v>90 ELL</v>
          </cell>
          <cell r="F2918">
            <v>2</v>
          </cell>
          <cell r="G2918" t="str">
            <v>CB400100001H00</v>
          </cell>
          <cell r="H2918">
            <v>1.5</v>
          </cell>
          <cell r="I2918" t="str">
            <v>--</v>
          </cell>
          <cell r="J2918">
            <v>4</v>
          </cell>
          <cell r="K2918">
            <v>4</v>
          </cell>
        </row>
        <row r="2919">
          <cell r="A2919" t="str">
            <v>M2</v>
          </cell>
          <cell r="B2919" t="str">
            <v>A5C</v>
          </cell>
          <cell r="C2919" t="str">
            <v>P</v>
          </cell>
          <cell r="D2919" t="str">
            <v>22102</v>
          </cell>
          <cell r="E2919" t="str">
            <v>90 ELL</v>
          </cell>
          <cell r="F2919">
            <v>2</v>
          </cell>
          <cell r="G2919" t="str">
            <v>CB400100001H00</v>
          </cell>
          <cell r="H2919">
            <v>1.5</v>
          </cell>
          <cell r="I2919" t="str">
            <v>--</v>
          </cell>
          <cell r="J2919">
            <v>5</v>
          </cell>
          <cell r="K2919">
            <v>5</v>
          </cell>
        </row>
        <row r="2920">
          <cell r="A2920" t="str">
            <v>M2</v>
          </cell>
          <cell r="B2920" t="str">
            <v>A5C</v>
          </cell>
          <cell r="C2920" t="str">
            <v>P</v>
          </cell>
          <cell r="D2920" t="str">
            <v>23006</v>
          </cell>
          <cell r="E2920" t="str">
            <v>90 ELL</v>
          </cell>
          <cell r="F2920">
            <v>2</v>
          </cell>
          <cell r="G2920" t="str">
            <v>CB400100001H00</v>
          </cell>
          <cell r="H2920">
            <v>1.5</v>
          </cell>
          <cell r="I2920" t="str">
            <v>--</v>
          </cell>
          <cell r="J2920">
            <v>10</v>
          </cell>
          <cell r="K2920">
            <v>10</v>
          </cell>
        </row>
        <row r="2921">
          <cell r="A2921" t="str">
            <v>M2</v>
          </cell>
          <cell r="B2921" t="str">
            <v>A5C</v>
          </cell>
          <cell r="C2921" t="str">
            <v>P</v>
          </cell>
          <cell r="D2921" t="str">
            <v>23035</v>
          </cell>
          <cell r="E2921" t="str">
            <v>90 ELL</v>
          </cell>
          <cell r="F2921">
            <v>2</v>
          </cell>
          <cell r="G2921" t="str">
            <v>CB400100001H00</v>
          </cell>
          <cell r="H2921">
            <v>1.5</v>
          </cell>
          <cell r="I2921" t="str">
            <v>--</v>
          </cell>
          <cell r="J2921">
            <v>4</v>
          </cell>
          <cell r="K2921">
            <v>4</v>
          </cell>
        </row>
        <row r="2922">
          <cell r="A2922" t="str">
            <v>M2</v>
          </cell>
          <cell r="B2922" t="str">
            <v>A5C</v>
          </cell>
          <cell r="C2922" t="str">
            <v>P</v>
          </cell>
          <cell r="D2922" t="str">
            <v>23164</v>
          </cell>
          <cell r="E2922" t="str">
            <v>90 ELL</v>
          </cell>
          <cell r="F2922">
            <v>2</v>
          </cell>
          <cell r="G2922" t="str">
            <v>CB400100001H00</v>
          </cell>
          <cell r="H2922">
            <v>1.5</v>
          </cell>
          <cell r="I2922" t="str">
            <v>--</v>
          </cell>
          <cell r="J2922">
            <v>2</v>
          </cell>
          <cell r="K2922">
            <v>2</v>
          </cell>
        </row>
        <row r="2923">
          <cell r="A2923" t="str">
            <v>M2</v>
          </cell>
          <cell r="B2923" t="str">
            <v>A5C</v>
          </cell>
          <cell r="C2923" t="str">
            <v>P</v>
          </cell>
          <cell r="D2923" t="str">
            <v>23217</v>
          </cell>
          <cell r="E2923" t="str">
            <v>90 ELL</v>
          </cell>
          <cell r="F2923">
            <v>2</v>
          </cell>
          <cell r="G2923" t="str">
            <v>CB400100001H00</v>
          </cell>
          <cell r="H2923">
            <v>1.5</v>
          </cell>
          <cell r="I2923" t="str">
            <v>--</v>
          </cell>
          <cell r="J2923">
            <v>7</v>
          </cell>
          <cell r="K2923">
            <v>7</v>
          </cell>
        </row>
        <row r="2924">
          <cell r="A2924" t="str">
            <v>M2</v>
          </cell>
          <cell r="B2924" t="str">
            <v>A5C</v>
          </cell>
          <cell r="C2924" t="str">
            <v>P</v>
          </cell>
          <cell r="D2924" t="str">
            <v>23231</v>
          </cell>
          <cell r="E2924" t="str">
            <v>90 ELL</v>
          </cell>
          <cell r="F2924">
            <v>2</v>
          </cell>
          <cell r="G2924" t="str">
            <v>CB400100001H00</v>
          </cell>
          <cell r="H2924">
            <v>1.5</v>
          </cell>
          <cell r="I2924" t="str">
            <v>--</v>
          </cell>
          <cell r="J2924">
            <v>2</v>
          </cell>
          <cell r="K2924">
            <v>2</v>
          </cell>
        </row>
        <row r="2925">
          <cell r="A2925" t="str">
            <v>M2</v>
          </cell>
          <cell r="B2925" t="str">
            <v>A5C</v>
          </cell>
          <cell r="C2925" t="str">
            <v>P</v>
          </cell>
          <cell r="D2925" t="str">
            <v>23006</v>
          </cell>
          <cell r="E2925" t="str">
            <v>C SWG</v>
          </cell>
          <cell r="F2925">
            <v>2</v>
          </cell>
          <cell r="G2925" t="str">
            <v>CB161108081H01</v>
          </cell>
          <cell r="H2925">
            <v>1.5</v>
          </cell>
          <cell r="I2925">
            <v>1</v>
          </cell>
          <cell r="J2925">
            <v>2</v>
          </cell>
          <cell r="K2925">
            <v>2</v>
          </cell>
        </row>
        <row r="2926">
          <cell r="A2926" t="str">
            <v>M2</v>
          </cell>
          <cell r="B2926" t="str">
            <v>A5C</v>
          </cell>
          <cell r="C2926" t="str">
            <v>P</v>
          </cell>
          <cell r="D2926" t="str">
            <v>23038</v>
          </cell>
          <cell r="E2926" t="str">
            <v>C SWG</v>
          </cell>
          <cell r="F2926">
            <v>2</v>
          </cell>
          <cell r="G2926" t="str">
            <v>CB161108081H01</v>
          </cell>
          <cell r="H2926">
            <v>1.5</v>
          </cell>
          <cell r="I2926">
            <v>1</v>
          </cell>
          <cell r="J2926">
            <v>2</v>
          </cell>
          <cell r="K2926">
            <v>2</v>
          </cell>
        </row>
        <row r="2927">
          <cell r="A2927" t="str">
            <v>M2</v>
          </cell>
          <cell r="B2927" t="str">
            <v>A5C</v>
          </cell>
          <cell r="C2927" t="str">
            <v>P</v>
          </cell>
          <cell r="D2927" t="str">
            <v>23116</v>
          </cell>
          <cell r="E2927" t="str">
            <v>C SWG</v>
          </cell>
          <cell r="F2927">
            <v>2</v>
          </cell>
          <cell r="G2927" t="str">
            <v>CB161108081H01</v>
          </cell>
          <cell r="H2927">
            <v>1.5</v>
          </cell>
          <cell r="I2927">
            <v>1</v>
          </cell>
          <cell r="J2927">
            <v>2</v>
          </cell>
          <cell r="K2927">
            <v>2</v>
          </cell>
        </row>
        <row r="2928">
          <cell r="A2928" t="str">
            <v>M2</v>
          </cell>
          <cell r="B2928" t="str">
            <v>A5C</v>
          </cell>
          <cell r="C2928" t="str">
            <v>P</v>
          </cell>
          <cell r="D2928" t="str">
            <v>23116</v>
          </cell>
          <cell r="E2928" t="str">
            <v>C SWG</v>
          </cell>
          <cell r="F2928">
            <v>2</v>
          </cell>
          <cell r="G2928" t="str">
            <v>CB161108081H0T</v>
          </cell>
          <cell r="H2928">
            <v>1.5</v>
          </cell>
          <cell r="I2928">
            <v>0.75</v>
          </cell>
          <cell r="J2928">
            <v>4</v>
          </cell>
          <cell r="K2928">
            <v>4</v>
          </cell>
        </row>
        <row r="2929">
          <cell r="A2929" t="str">
            <v>M2</v>
          </cell>
          <cell r="B2929" t="str">
            <v>A5C</v>
          </cell>
          <cell r="C2929" t="str">
            <v>P</v>
          </cell>
          <cell r="D2929" t="str">
            <v>23117</v>
          </cell>
          <cell r="E2929" t="str">
            <v>C SWG</v>
          </cell>
          <cell r="F2929">
            <v>2</v>
          </cell>
          <cell r="G2929" t="str">
            <v>CB161108081H01</v>
          </cell>
          <cell r="H2929">
            <v>1.5</v>
          </cell>
          <cell r="I2929">
            <v>1</v>
          </cell>
          <cell r="J2929">
            <v>2</v>
          </cell>
          <cell r="K2929">
            <v>2</v>
          </cell>
        </row>
        <row r="2930">
          <cell r="A2930" t="str">
            <v>M2</v>
          </cell>
          <cell r="B2930" t="str">
            <v>A5C</v>
          </cell>
          <cell r="C2930" t="str">
            <v>P</v>
          </cell>
          <cell r="D2930" t="str">
            <v>23185</v>
          </cell>
          <cell r="E2930" t="str">
            <v>C SWG</v>
          </cell>
          <cell r="F2930">
            <v>2</v>
          </cell>
          <cell r="G2930" t="str">
            <v>CB161108081H01</v>
          </cell>
          <cell r="H2930">
            <v>1.5</v>
          </cell>
          <cell r="I2930">
            <v>1</v>
          </cell>
          <cell r="J2930">
            <v>2</v>
          </cell>
          <cell r="K2930">
            <v>2</v>
          </cell>
        </row>
        <row r="2931">
          <cell r="A2931" t="str">
            <v>M2</v>
          </cell>
          <cell r="B2931" t="str">
            <v>A5C</v>
          </cell>
          <cell r="C2931" t="str">
            <v>P</v>
          </cell>
          <cell r="D2931" t="str">
            <v>23196</v>
          </cell>
          <cell r="E2931" t="str">
            <v>C SWG</v>
          </cell>
          <cell r="F2931">
            <v>2</v>
          </cell>
          <cell r="G2931" t="str">
            <v>CB161108081H01</v>
          </cell>
          <cell r="H2931">
            <v>1.5</v>
          </cell>
          <cell r="I2931">
            <v>1</v>
          </cell>
          <cell r="J2931">
            <v>2</v>
          </cell>
          <cell r="K2931">
            <v>2</v>
          </cell>
        </row>
        <row r="2932">
          <cell r="A2932" t="str">
            <v>M2</v>
          </cell>
          <cell r="B2932" t="str">
            <v>A5C</v>
          </cell>
          <cell r="C2932" t="str">
            <v>P</v>
          </cell>
          <cell r="D2932" t="str">
            <v>23157</v>
          </cell>
          <cell r="E2932" t="str">
            <v>C SWG</v>
          </cell>
          <cell r="F2932">
            <v>2</v>
          </cell>
          <cell r="G2932" t="str">
            <v>CB161108081H01</v>
          </cell>
          <cell r="H2932">
            <v>1.5</v>
          </cell>
          <cell r="I2932">
            <v>1</v>
          </cell>
          <cell r="J2932">
            <v>2</v>
          </cell>
          <cell r="K2932">
            <v>2</v>
          </cell>
        </row>
        <row r="2933">
          <cell r="A2933" t="str">
            <v>M2</v>
          </cell>
          <cell r="B2933" t="str">
            <v>A5C</v>
          </cell>
          <cell r="C2933" t="str">
            <v>P</v>
          </cell>
          <cell r="D2933" t="str">
            <v>23006</v>
          </cell>
          <cell r="E2933" t="str">
            <v>CPLG</v>
          </cell>
          <cell r="F2933">
            <v>2</v>
          </cell>
          <cell r="G2933" t="str">
            <v>CB400500001H00</v>
          </cell>
          <cell r="H2933">
            <v>1.5</v>
          </cell>
          <cell r="I2933" t="str">
            <v>--</v>
          </cell>
          <cell r="J2933">
            <v>2</v>
          </cell>
          <cell r="K2933">
            <v>2</v>
          </cell>
        </row>
        <row r="2934">
          <cell r="A2934" t="str">
            <v>M2</v>
          </cell>
          <cell r="B2934" t="str">
            <v>A5C</v>
          </cell>
          <cell r="C2934" t="str">
            <v>P</v>
          </cell>
          <cell r="D2934" t="str">
            <v>23035</v>
          </cell>
          <cell r="E2934" t="str">
            <v>CPLG</v>
          </cell>
          <cell r="F2934">
            <v>2</v>
          </cell>
          <cell r="G2934" t="str">
            <v>CB400500001H00</v>
          </cell>
          <cell r="H2934">
            <v>1.5</v>
          </cell>
          <cell r="I2934" t="str">
            <v>--</v>
          </cell>
          <cell r="J2934">
            <v>3</v>
          </cell>
          <cell r="K2934">
            <v>3</v>
          </cell>
        </row>
        <row r="2935">
          <cell r="A2935" t="str">
            <v>M2</v>
          </cell>
          <cell r="B2935" t="str">
            <v>A5C</v>
          </cell>
          <cell r="C2935" t="str">
            <v>P</v>
          </cell>
          <cell r="D2935" t="str">
            <v>23116</v>
          </cell>
          <cell r="E2935" t="str">
            <v>CPLG</v>
          </cell>
          <cell r="F2935">
            <v>2</v>
          </cell>
          <cell r="G2935" t="str">
            <v>CB400500001H00</v>
          </cell>
          <cell r="H2935">
            <v>1.5</v>
          </cell>
          <cell r="I2935" t="str">
            <v>--</v>
          </cell>
          <cell r="J2935">
            <v>1</v>
          </cell>
          <cell r="K2935">
            <v>1</v>
          </cell>
        </row>
        <row r="2936">
          <cell r="A2936" t="str">
            <v>M2</v>
          </cell>
          <cell r="B2936" t="str">
            <v>A5C</v>
          </cell>
          <cell r="C2936" t="str">
            <v>P</v>
          </cell>
          <cell r="D2936" t="str">
            <v>23116</v>
          </cell>
          <cell r="E2936" t="str">
            <v>CPLG</v>
          </cell>
          <cell r="F2936">
            <v>2</v>
          </cell>
          <cell r="G2936" t="str">
            <v>CB400500001H00</v>
          </cell>
          <cell r="H2936">
            <v>1.5</v>
          </cell>
          <cell r="I2936" t="str">
            <v>--</v>
          </cell>
          <cell r="J2936">
            <v>3</v>
          </cell>
          <cell r="K2936">
            <v>3</v>
          </cell>
        </row>
        <row r="2937">
          <cell r="A2937" t="str">
            <v>M2</v>
          </cell>
          <cell r="B2937" t="str">
            <v>A5C</v>
          </cell>
          <cell r="C2937" t="str">
            <v>P</v>
          </cell>
          <cell r="D2937" t="str">
            <v>23215</v>
          </cell>
          <cell r="E2937" t="str">
            <v>CPLG</v>
          </cell>
          <cell r="F2937">
            <v>2</v>
          </cell>
          <cell r="G2937" t="str">
            <v>CB400500001H00</v>
          </cell>
          <cell r="H2937">
            <v>1.5</v>
          </cell>
          <cell r="I2937" t="str">
            <v>--</v>
          </cell>
          <cell r="J2937">
            <v>1</v>
          </cell>
          <cell r="K2937">
            <v>1</v>
          </cell>
        </row>
        <row r="2938">
          <cell r="A2938" t="str">
            <v>M2</v>
          </cell>
          <cell r="B2938" t="str">
            <v>A5C</v>
          </cell>
          <cell r="C2938" t="str">
            <v>P</v>
          </cell>
          <cell r="D2938" t="str">
            <v>99003</v>
          </cell>
          <cell r="E2938" t="str">
            <v>CPLG</v>
          </cell>
          <cell r="F2938">
            <v>2</v>
          </cell>
          <cell r="G2938" t="str">
            <v>CB400500001H00</v>
          </cell>
          <cell r="H2938">
            <v>1.5</v>
          </cell>
          <cell r="I2938" t="str">
            <v>--</v>
          </cell>
          <cell r="J2938">
            <v>2</v>
          </cell>
          <cell r="K2938">
            <v>2</v>
          </cell>
        </row>
        <row r="2939">
          <cell r="A2939" t="str">
            <v>M2</v>
          </cell>
          <cell r="B2939" t="str">
            <v>A5C</v>
          </cell>
          <cell r="C2939" t="str">
            <v>P</v>
          </cell>
          <cell r="D2939" t="str">
            <v>22102</v>
          </cell>
          <cell r="E2939" t="str">
            <v>CPLG</v>
          </cell>
          <cell r="F2939">
            <v>2</v>
          </cell>
          <cell r="G2939" t="str">
            <v>CB400500001H00</v>
          </cell>
          <cell r="H2939">
            <v>1.5</v>
          </cell>
          <cell r="I2939" t="str">
            <v>--</v>
          </cell>
          <cell r="J2939">
            <v>8</v>
          </cell>
          <cell r="K2939">
            <v>8</v>
          </cell>
        </row>
        <row r="2940">
          <cell r="A2940" t="str">
            <v>M2</v>
          </cell>
          <cell r="B2940" t="str">
            <v>A5C</v>
          </cell>
          <cell r="C2940" t="str">
            <v>P</v>
          </cell>
          <cell r="D2940" t="str">
            <v>23157</v>
          </cell>
          <cell r="E2940" t="str">
            <v>CPLG</v>
          </cell>
          <cell r="F2940">
            <v>2</v>
          </cell>
          <cell r="G2940" t="str">
            <v>CB400500001H00</v>
          </cell>
          <cell r="H2940">
            <v>1.5</v>
          </cell>
          <cell r="I2940" t="str">
            <v>--</v>
          </cell>
          <cell r="J2940">
            <v>2</v>
          </cell>
          <cell r="K2940">
            <v>2</v>
          </cell>
        </row>
        <row r="2941">
          <cell r="A2941" t="str">
            <v>M2</v>
          </cell>
          <cell r="B2941" t="str">
            <v>A5C</v>
          </cell>
          <cell r="C2941" t="str">
            <v>P</v>
          </cell>
          <cell r="D2941" t="str">
            <v>23217</v>
          </cell>
          <cell r="E2941" t="str">
            <v>CPLG</v>
          </cell>
          <cell r="F2941">
            <v>2</v>
          </cell>
          <cell r="G2941" t="str">
            <v>CB400500001H00</v>
          </cell>
          <cell r="H2941">
            <v>1.5</v>
          </cell>
          <cell r="I2941" t="str">
            <v>--</v>
          </cell>
          <cell r="J2941">
            <v>3</v>
          </cell>
          <cell r="K2941">
            <v>3</v>
          </cell>
        </row>
        <row r="2942">
          <cell r="A2942" t="str">
            <v>M2</v>
          </cell>
          <cell r="B2942" t="str">
            <v>A5C</v>
          </cell>
          <cell r="C2942" t="str">
            <v>P</v>
          </cell>
          <cell r="D2942" t="str">
            <v>23006</v>
          </cell>
          <cell r="E2942" t="str">
            <v>E SWG</v>
          </cell>
          <cell r="F2942">
            <v>2</v>
          </cell>
          <cell r="G2942" t="str">
            <v>CB162108081H01</v>
          </cell>
          <cell r="H2942">
            <v>1.5</v>
          </cell>
          <cell r="I2942">
            <v>1</v>
          </cell>
          <cell r="J2942">
            <v>2</v>
          </cell>
          <cell r="K2942">
            <v>2</v>
          </cell>
        </row>
        <row r="2943">
          <cell r="A2943" t="str">
            <v>M2</v>
          </cell>
          <cell r="B2943" t="str">
            <v>A5C</v>
          </cell>
          <cell r="C2943" t="str">
            <v>P</v>
          </cell>
          <cell r="D2943" t="str">
            <v>23052</v>
          </cell>
          <cell r="E2943" t="str">
            <v>E SWG</v>
          </cell>
          <cell r="F2943">
            <v>2</v>
          </cell>
          <cell r="G2943" t="str">
            <v>CB162108081H01</v>
          </cell>
          <cell r="H2943">
            <v>1.5</v>
          </cell>
          <cell r="I2943">
            <v>1</v>
          </cell>
          <cell r="J2943">
            <v>1</v>
          </cell>
          <cell r="K2943">
            <v>1</v>
          </cell>
        </row>
        <row r="2944">
          <cell r="A2944" t="str">
            <v>M2</v>
          </cell>
          <cell r="B2944" t="str">
            <v>A5C</v>
          </cell>
          <cell r="C2944" t="str">
            <v>P</v>
          </cell>
          <cell r="D2944" t="str">
            <v>23063</v>
          </cell>
          <cell r="E2944" t="str">
            <v>E SWG</v>
          </cell>
          <cell r="F2944">
            <v>2</v>
          </cell>
          <cell r="G2944" t="str">
            <v>CB162108081H01</v>
          </cell>
          <cell r="H2944">
            <v>1.5</v>
          </cell>
          <cell r="I2944">
            <v>1</v>
          </cell>
          <cell r="J2944">
            <v>1</v>
          </cell>
          <cell r="K2944">
            <v>1</v>
          </cell>
        </row>
        <row r="2945">
          <cell r="A2945" t="str">
            <v>M2</v>
          </cell>
          <cell r="B2945" t="str">
            <v>A5C</v>
          </cell>
          <cell r="C2945" t="str">
            <v>P</v>
          </cell>
          <cell r="D2945" t="str">
            <v>23070</v>
          </cell>
          <cell r="E2945" t="str">
            <v>E SWG</v>
          </cell>
          <cell r="F2945">
            <v>2</v>
          </cell>
          <cell r="G2945" t="str">
            <v>CB162108081H01</v>
          </cell>
          <cell r="H2945">
            <v>1.5</v>
          </cell>
          <cell r="I2945">
            <v>1</v>
          </cell>
          <cell r="J2945">
            <v>2</v>
          </cell>
          <cell r="K2945">
            <v>2</v>
          </cell>
        </row>
        <row r="2946">
          <cell r="A2946" t="str">
            <v>M2</v>
          </cell>
          <cell r="B2946" t="str">
            <v>A5C</v>
          </cell>
          <cell r="C2946" t="str">
            <v>P</v>
          </cell>
          <cell r="D2946" t="str">
            <v>23078</v>
          </cell>
          <cell r="E2946" t="str">
            <v>E SWG</v>
          </cell>
          <cell r="F2946">
            <v>2</v>
          </cell>
          <cell r="G2946" t="str">
            <v>CB162108081H01</v>
          </cell>
          <cell r="H2946">
            <v>1.5</v>
          </cell>
          <cell r="I2946">
            <v>1</v>
          </cell>
          <cell r="J2946">
            <v>1</v>
          </cell>
          <cell r="K2946">
            <v>1</v>
          </cell>
        </row>
        <row r="2947">
          <cell r="A2947" t="str">
            <v>M2</v>
          </cell>
          <cell r="B2947" t="str">
            <v>A5C</v>
          </cell>
          <cell r="C2947" t="str">
            <v>P</v>
          </cell>
          <cell r="D2947" t="str">
            <v>23103</v>
          </cell>
          <cell r="E2947" t="str">
            <v>E SWG</v>
          </cell>
          <cell r="F2947">
            <v>2</v>
          </cell>
          <cell r="G2947" t="str">
            <v>CB162108081H01</v>
          </cell>
          <cell r="H2947">
            <v>1.5</v>
          </cell>
          <cell r="I2947">
            <v>1</v>
          </cell>
          <cell r="J2947">
            <v>2</v>
          </cell>
          <cell r="K2947">
            <v>2</v>
          </cell>
        </row>
        <row r="2948">
          <cell r="A2948" t="str">
            <v>M2</v>
          </cell>
          <cell r="B2948" t="str">
            <v>A5C</v>
          </cell>
          <cell r="C2948" t="str">
            <v>P</v>
          </cell>
          <cell r="D2948" t="str">
            <v>23111</v>
          </cell>
          <cell r="E2948" t="str">
            <v>E SWG</v>
          </cell>
          <cell r="F2948">
            <v>2</v>
          </cell>
          <cell r="G2948" t="str">
            <v>CB162108081H01</v>
          </cell>
          <cell r="H2948">
            <v>1.5</v>
          </cell>
          <cell r="I2948">
            <v>1</v>
          </cell>
          <cell r="J2948">
            <v>2</v>
          </cell>
          <cell r="K2948">
            <v>2</v>
          </cell>
        </row>
        <row r="2949">
          <cell r="A2949" t="str">
            <v>M2</v>
          </cell>
          <cell r="B2949" t="str">
            <v>A5C</v>
          </cell>
          <cell r="C2949" t="str">
            <v>P</v>
          </cell>
          <cell r="D2949" t="str">
            <v>23143</v>
          </cell>
          <cell r="E2949" t="str">
            <v>E SWG</v>
          </cell>
          <cell r="F2949">
            <v>2</v>
          </cell>
          <cell r="G2949" t="str">
            <v>CB162108081H01</v>
          </cell>
          <cell r="H2949">
            <v>1.5</v>
          </cell>
          <cell r="I2949">
            <v>1</v>
          </cell>
          <cell r="J2949">
            <v>2</v>
          </cell>
          <cell r="K2949">
            <v>2</v>
          </cell>
        </row>
        <row r="2950">
          <cell r="A2950" t="str">
            <v>M2</v>
          </cell>
          <cell r="B2950" t="str">
            <v>A5C</v>
          </cell>
          <cell r="C2950" t="str">
            <v>P</v>
          </cell>
          <cell r="D2950" t="str">
            <v>23147</v>
          </cell>
          <cell r="E2950" t="str">
            <v>E SWG</v>
          </cell>
          <cell r="F2950">
            <v>2</v>
          </cell>
          <cell r="G2950" t="str">
            <v>CB162108081H01</v>
          </cell>
          <cell r="H2950">
            <v>1.5</v>
          </cell>
          <cell r="I2950">
            <v>1</v>
          </cell>
          <cell r="J2950">
            <v>2</v>
          </cell>
          <cell r="K2950">
            <v>2</v>
          </cell>
        </row>
        <row r="2951">
          <cell r="A2951" t="str">
            <v>M2</v>
          </cell>
          <cell r="B2951" t="str">
            <v>A5C</v>
          </cell>
          <cell r="C2951" t="str">
            <v>P</v>
          </cell>
          <cell r="D2951" t="str">
            <v>23164</v>
          </cell>
          <cell r="E2951" t="str">
            <v>E SWG</v>
          </cell>
          <cell r="F2951">
            <v>2</v>
          </cell>
          <cell r="G2951" t="str">
            <v>CB162108081H01</v>
          </cell>
          <cell r="H2951">
            <v>1.5</v>
          </cell>
          <cell r="I2951">
            <v>1</v>
          </cell>
          <cell r="J2951">
            <v>2</v>
          </cell>
          <cell r="K2951">
            <v>2</v>
          </cell>
        </row>
        <row r="2952">
          <cell r="A2952" t="str">
            <v>M2</v>
          </cell>
          <cell r="B2952" t="str">
            <v>A5C</v>
          </cell>
          <cell r="C2952" t="str">
            <v>P</v>
          </cell>
          <cell r="D2952" t="str">
            <v>99003</v>
          </cell>
          <cell r="E2952" t="str">
            <v>E SWG</v>
          </cell>
          <cell r="F2952">
            <v>2</v>
          </cell>
          <cell r="G2952" t="str">
            <v>CB162108081H01</v>
          </cell>
          <cell r="H2952">
            <v>1.5</v>
          </cell>
          <cell r="I2952">
            <v>1</v>
          </cell>
          <cell r="J2952">
            <v>2</v>
          </cell>
          <cell r="K2952">
            <v>2</v>
          </cell>
        </row>
        <row r="2953">
          <cell r="A2953" t="str">
            <v>M2</v>
          </cell>
          <cell r="B2953" t="str">
            <v>A5C</v>
          </cell>
          <cell r="C2953" t="str">
            <v>P</v>
          </cell>
          <cell r="D2953" t="str">
            <v>23035</v>
          </cell>
          <cell r="E2953" t="str">
            <v>E SWG</v>
          </cell>
          <cell r="F2953">
            <v>2</v>
          </cell>
          <cell r="G2953" t="str">
            <v>CB162108081H01</v>
          </cell>
          <cell r="H2953">
            <v>1.5</v>
          </cell>
          <cell r="I2953">
            <v>1</v>
          </cell>
          <cell r="J2953">
            <v>2</v>
          </cell>
          <cell r="K2953">
            <v>2</v>
          </cell>
        </row>
        <row r="2954">
          <cell r="A2954" t="str">
            <v>M2</v>
          </cell>
          <cell r="B2954" t="str">
            <v>A5C</v>
          </cell>
          <cell r="C2954" t="str">
            <v>P</v>
          </cell>
          <cell r="D2954" t="str">
            <v>23037</v>
          </cell>
          <cell r="E2954" t="str">
            <v>E SWG</v>
          </cell>
          <cell r="F2954">
            <v>2</v>
          </cell>
          <cell r="G2954" t="str">
            <v>CB162108081H01</v>
          </cell>
          <cell r="H2954">
            <v>1.5</v>
          </cell>
          <cell r="I2954">
            <v>1</v>
          </cell>
          <cell r="J2954">
            <v>1</v>
          </cell>
          <cell r="K2954">
            <v>1</v>
          </cell>
        </row>
        <row r="2955">
          <cell r="A2955" t="str">
            <v>M2</v>
          </cell>
          <cell r="B2955" t="str">
            <v>A5C</v>
          </cell>
          <cell r="C2955" t="str">
            <v>P</v>
          </cell>
          <cell r="D2955" t="str">
            <v>23107</v>
          </cell>
          <cell r="E2955" t="str">
            <v>E SWG</v>
          </cell>
          <cell r="F2955">
            <v>2</v>
          </cell>
          <cell r="G2955" t="str">
            <v>CB162108081H01</v>
          </cell>
          <cell r="H2955">
            <v>1.5</v>
          </cell>
          <cell r="I2955">
            <v>1</v>
          </cell>
          <cell r="J2955">
            <v>2</v>
          </cell>
          <cell r="K2955">
            <v>2</v>
          </cell>
        </row>
        <row r="2956">
          <cell r="A2956" t="str">
            <v>M2</v>
          </cell>
          <cell r="B2956" t="str">
            <v>A5C</v>
          </cell>
          <cell r="C2956" t="str">
            <v>P</v>
          </cell>
          <cell r="D2956" t="str">
            <v>23006</v>
          </cell>
          <cell r="E2956" t="str">
            <v>R TEE</v>
          </cell>
          <cell r="F2956">
            <v>2</v>
          </cell>
          <cell r="G2956" t="str">
            <v>CB400400001H0T</v>
          </cell>
          <cell r="H2956">
            <v>1.5</v>
          </cell>
          <cell r="I2956">
            <v>0.75</v>
          </cell>
          <cell r="J2956">
            <v>4</v>
          </cell>
          <cell r="K2956">
            <v>4</v>
          </cell>
        </row>
        <row r="2957">
          <cell r="A2957" t="str">
            <v>M2</v>
          </cell>
          <cell r="B2957" t="str">
            <v>A5C</v>
          </cell>
          <cell r="C2957" t="str">
            <v>P</v>
          </cell>
          <cell r="D2957" t="str">
            <v>23006</v>
          </cell>
          <cell r="E2957" t="str">
            <v>R TEE</v>
          </cell>
          <cell r="F2957">
            <v>2</v>
          </cell>
          <cell r="G2957" t="str">
            <v>CB400400001H01</v>
          </cell>
          <cell r="H2957">
            <v>1.5</v>
          </cell>
          <cell r="I2957">
            <v>1</v>
          </cell>
          <cell r="J2957">
            <v>2</v>
          </cell>
          <cell r="K2957">
            <v>2</v>
          </cell>
        </row>
        <row r="2958">
          <cell r="A2958" t="str">
            <v>M2</v>
          </cell>
          <cell r="B2958" t="str">
            <v>A5C</v>
          </cell>
          <cell r="C2958" t="str">
            <v>P</v>
          </cell>
          <cell r="D2958" t="str">
            <v>23006</v>
          </cell>
          <cell r="E2958" t="str">
            <v>R TEE</v>
          </cell>
          <cell r="F2958">
            <v>2</v>
          </cell>
          <cell r="G2958" t="str">
            <v>CB400400001H0T</v>
          </cell>
          <cell r="H2958">
            <v>1.5</v>
          </cell>
          <cell r="I2958">
            <v>0.75</v>
          </cell>
          <cell r="J2958">
            <v>2</v>
          </cell>
          <cell r="K2958">
            <v>2</v>
          </cell>
        </row>
        <row r="2959">
          <cell r="A2959" t="str">
            <v>M2</v>
          </cell>
          <cell r="B2959" t="str">
            <v>A5C</v>
          </cell>
          <cell r="C2959" t="str">
            <v>P</v>
          </cell>
          <cell r="D2959" t="str">
            <v>23035</v>
          </cell>
          <cell r="E2959" t="str">
            <v>R TEE</v>
          </cell>
          <cell r="F2959">
            <v>2</v>
          </cell>
          <cell r="G2959" t="str">
            <v>CB400400001H0T</v>
          </cell>
          <cell r="H2959">
            <v>1.5</v>
          </cell>
          <cell r="I2959">
            <v>0.75</v>
          </cell>
          <cell r="J2959">
            <v>3</v>
          </cell>
          <cell r="K2959">
            <v>3</v>
          </cell>
        </row>
        <row r="2960">
          <cell r="A2960" t="str">
            <v>M2</v>
          </cell>
          <cell r="B2960" t="str">
            <v>A5C</v>
          </cell>
          <cell r="C2960" t="str">
            <v>P</v>
          </cell>
          <cell r="D2960" t="str">
            <v>23035</v>
          </cell>
          <cell r="E2960" t="str">
            <v>R TEE</v>
          </cell>
          <cell r="F2960">
            <v>2</v>
          </cell>
          <cell r="G2960" t="str">
            <v>CB400400001H01</v>
          </cell>
          <cell r="H2960">
            <v>1.5</v>
          </cell>
          <cell r="I2960">
            <v>1</v>
          </cell>
          <cell r="J2960">
            <v>2</v>
          </cell>
          <cell r="K2960">
            <v>2</v>
          </cell>
        </row>
        <row r="2961">
          <cell r="A2961" t="str">
            <v>M2</v>
          </cell>
          <cell r="B2961" t="str">
            <v>A5C</v>
          </cell>
          <cell r="C2961" t="str">
            <v>P</v>
          </cell>
          <cell r="D2961" t="str">
            <v>23035</v>
          </cell>
          <cell r="E2961" t="str">
            <v>R TEE</v>
          </cell>
          <cell r="F2961">
            <v>2</v>
          </cell>
          <cell r="G2961" t="str">
            <v>CB400400001H0T</v>
          </cell>
          <cell r="H2961">
            <v>1.5</v>
          </cell>
          <cell r="I2961">
            <v>0.75</v>
          </cell>
          <cell r="J2961">
            <v>1</v>
          </cell>
          <cell r="K2961">
            <v>1</v>
          </cell>
        </row>
        <row r="2962">
          <cell r="A2962" t="str">
            <v>M2</v>
          </cell>
          <cell r="B2962" t="str">
            <v>A5C</v>
          </cell>
          <cell r="C2962" t="str">
            <v>P</v>
          </cell>
          <cell r="D2962" t="str">
            <v>23038</v>
          </cell>
          <cell r="E2962" t="str">
            <v>R TEE</v>
          </cell>
          <cell r="F2962">
            <v>2</v>
          </cell>
          <cell r="G2962" t="str">
            <v>CB400400001H0T</v>
          </cell>
          <cell r="H2962">
            <v>1.5</v>
          </cell>
          <cell r="I2962">
            <v>0.75</v>
          </cell>
          <cell r="J2962">
            <v>2</v>
          </cell>
          <cell r="K2962">
            <v>2</v>
          </cell>
        </row>
        <row r="2963">
          <cell r="A2963" t="str">
            <v>M2</v>
          </cell>
          <cell r="B2963" t="str">
            <v>A5C</v>
          </cell>
          <cell r="C2963" t="str">
            <v>P</v>
          </cell>
          <cell r="D2963" t="str">
            <v>23052</v>
          </cell>
          <cell r="E2963" t="str">
            <v>R TEE</v>
          </cell>
          <cell r="F2963">
            <v>2</v>
          </cell>
          <cell r="G2963" t="str">
            <v>CB400400001H01</v>
          </cell>
          <cell r="H2963">
            <v>1.5</v>
          </cell>
          <cell r="I2963">
            <v>1</v>
          </cell>
          <cell r="J2963">
            <v>1</v>
          </cell>
          <cell r="K2963">
            <v>1</v>
          </cell>
        </row>
        <row r="2964">
          <cell r="A2964" t="str">
            <v>M2</v>
          </cell>
          <cell r="B2964" t="str">
            <v>A5C</v>
          </cell>
          <cell r="C2964" t="str">
            <v>P</v>
          </cell>
          <cell r="D2964" t="str">
            <v>23052</v>
          </cell>
          <cell r="E2964" t="str">
            <v>R TEE</v>
          </cell>
          <cell r="F2964">
            <v>2</v>
          </cell>
          <cell r="G2964" t="str">
            <v>CB400400001H0T</v>
          </cell>
          <cell r="H2964">
            <v>1.5</v>
          </cell>
          <cell r="I2964">
            <v>0.75</v>
          </cell>
          <cell r="J2964">
            <v>1</v>
          </cell>
          <cell r="K2964">
            <v>1</v>
          </cell>
        </row>
        <row r="2965">
          <cell r="A2965" t="str">
            <v>M2</v>
          </cell>
          <cell r="B2965" t="str">
            <v>A5C</v>
          </cell>
          <cell r="C2965" t="str">
            <v>P</v>
          </cell>
          <cell r="D2965" t="str">
            <v>23063</v>
          </cell>
          <cell r="E2965" t="str">
            <v>R TEE</v>
          </cell>
          <cell r="F2965">
            <v>2</v>
          </cell>
          <cell r="G2965" t="str">
            <v>CB400400001H0T</v>
          </cell>
          <cell r="H2965">
            <v>1.5</v>
          </cell>
          <cell r="I2965">
            <v>0.75</v>
          </cell>
          <cell r="J2965">
            <v>1</v>
          </cell>
          <cell r="K2965">
            <v>1</v>
          </cell>
        </row>
        <row r="2966">
          <cell r="A2966" t="str">
            <v>M2</v>
          </cell>
          <cell r="B2966" t="str">
            <v>A5C</v>
          </cell>
          <cell r="C2966" t="str">
            <v>P</v>
          </cell>
          <cell r="D2966" t="str">
            <v>23063</v>
          </cell>
          <cell r="E2966" t="str">
            <v>R TEE</v>
          </cell>
          <cell r="F2966">
            <v>2</v>
          </cell>
          <cell r="G2966" t="str">
            <v>CB400400001H01</v>
          </cell>
          <cell r="H2966">
            <v>1.5</v>
          </cell>
          <cell r="I2966">
            <v>1</v>
          </cell>
          <cell r="J2966">
            <v>1</v>
          </cell>
          <cell r="K2966">
            <v>1</v>
          </cell>
        </row>
        <row r="2967">
          <cell r="A2967" t="str">
            <v>M2</v>
          </cell>
          <cell r="B2967" t="str">
            <v>A5C</v>
          </cell>
          <cell r="C2967" t="str">
            <v>P</v>
          </cell>
          <cell r="D2967" t="str">
            <v>23078</v>
          </cell>
          <cell r="E2967" t="str">
            <v>R TEE</v>
          </cell>
          <cell r="F2967">
            <v>2</v>
          </cell>
          <cell r="G2967" t="str">
            <v>CB400400001H0T</v>
          </cell>
          <cell r="H2967">
            <v>1.5</v>
          </cell>
          <cell r="I2967">
            <v>0.75</v>
          </cell>
          <cell r="J2967">
            <v>1</v>
          </cell>
          <cell r="K2967">
            <v>1</v>
          </cell>
        </row>
        <row r="2968">
          <cell r="A2968" t="str">
            <v>M2</v>
          </cell>
          <cell r="B2968" t="str">
            <v>A5C</v>
          </cell>
          <cell r="C2968" t="str">
            <v>P</v>
          </cell>
          <cell r="D2968" t="str">
            <v>23078</v>
          </cell>
          <cell r="E2968" t="str">
            <v>R TEE</v>
          </cell>
          <cell r="F2968">
            <v>2</v>
          </cell>
          <cell r="G2968" t="str">
            <v>CB400400001H01</v>
          </cell>
          <cell r="H2968">
            <v>1.5</v>
          </cell>
          <cell r="I2968">
            <v>1</v>
          </cell>
          <cell r="J2968">
            <v>1</v>
          </cell>
          <cell r="K2968">
            <v>1</v>
          </cell>
        </row>
        <row r="2969">
          <cell r="A2969" t="str">
            <v>M2</v>
          </cell>
          <cell r="B2969" t="str">
            <v>A5C</v>
          </cell>
          <cell r="C2969" t="str">
            <v>P</v>
          </cell>
          <cell r="D2969" t="str">
            <v>23107</v>
          </cell>
          <cell r="E2969" t="str">
            <v>R TEE</v>
          </cell>
          <cell r="F2969">
            <v>2</v>
          </cell>
          <cell r="G2969" t="str">
            <v>CB400400001H0T</v>
          </cell>
          <cell r="H2969">
            <v>1.5</v>
          </cell>
          <cell r="I2969">
            <v>0.75</v>
          </cell>
          <cell r="J2969">
            <v>2</v>
          </cell>
          <cell r="K2969">
            <v>2</v>
          </cell>
        </row>
        <row r="2970">
          <cell r="A2970" t="str">
            <v>M2</v>
          </cell>
          <cell r="B2970" t="str">
            <v>A5C</v>
          </cell>
          <cell r="C2970" t="str">
            <v>P</v>
          </cell>
          <cell r="D2970" t="str">
            <v>23111</v>
          </cell>
          <cell r="E2970" t="str">
            <v>R TEE</v>
          </cell>
          <cell r="F2970">
            <v>2</v>
          </cell>
          <cell r="G2970" t="str">
            <v>CB400400001H0T</v>
          </cell>
          <cell r="H2970">
            <v>1.5</v>
          </cell>
          <cell r="I2970">
            <v>0.75</v>
          </cell>
          <cell r="J2970">
            <v>2</v>
          </cell>
          <cell r="K2970">
            <v>2</v>
          </cell>
        </row>
        <row r="2971">
          <cell r="A2971" t="str">
            <v>M2</v>
          </cell>
          <cell r="B2971" t="str">
            <v>A5C</v>
          </cell>
          <cell r="C2971" t="str">
            <v>P</v>
          </cell>
          <cell r="D2971" t="str">
            <v>23117</v>
          </cell>
          <cell r="E2971" t="str">
            <v>R TEE</v>
          </cell>
          <cell r="F2971">
            <v>2</v>
          </cell>
          <cell r="G2971" t="str">
            <v>CB400400001H0T</v>
          </cell>
          <cell r="H2971">
            <v>1.5</v>
          </cell>
          <cell r="I2971">
            <v>0.75</v>
          </cell>
          <cell r="J2971">
            <v>2</v>
          </cell>
          <cell r="K2971">
            <v>2</v>
          </cell>
        </row>
        <row r="2972">
          <cell r="A2972" t="str">
            <v>M2</v>
          </cell>
          <cell r="B2972" t="str">
            <v>A5C</v>
          </cell>
          <cell r="C2972" t="str">
            <v>P</v>
          </cell>
          <cell r="D2972" t="str">
            <v>23143</v>
          </cell>
          <cell r="E2972" t="str">
            <v>R TEE</v>
          </cell>
          <cell r="F2972">
            <v>2</v>
          </cell>
          <cell r="G2972" t="str">
            <v>CB400400001H0T</v>
          </cell>
          <cell r="H2972">
            <v>1.5</v>
          </cell>
          <cell r="I2972">
            <v>0.75</v>
          </cell>
          <cell r="J2972">
            <v>2</v>
          </cell>
          <cell r="K2972">
            <v>2</v>
          </cell>
        </row>
        <row r="2973">
          <cell r="A2973" t="str">
            <v>M2</v>
          </cell>
          <cell r="B2973" t="str">
            <v>A5C</v>
          </cell>
          <cell r="C2973" t="str">
            <v>P</v>
          </cell>
          <cell r="D2973" t="str">
            <v>23147</v>
          </cell>
          <cell r="E2973" t="str">
            <v>R TEE</v>
          </cell>
          <cell r="F2973">
            <v>2</v>
          </cell>
          <cell r="G2973" t="str">
            <v>CB400400001H0T</v>
          </cell>
          <cell r="H2973">
            <v>1.5</v>
          </cell>
          <cell r="I2973">
            <v>0.75</v>
          </cell>
          <cell r="J2973">
            <v>2</v>
          </cell>
          <cell r="K2973">
            <v>2</v>
          </cell>
        </row>
        <row r="2974">
          <cell r="A2974" t="str">
            <v>M2</v>
          </cell>
          <cell r="B2974" t="str">
            <v>A5C</v>
          </cell>
          <cell r="C2974" t="str">
            <v>P</v>
          </cell>
          <cell r="D2974" t="str">
            <v>23157</v>
          </cell>
          <cell r="E2974" t="str">
            <v>R TEE</v>
          </cell>
          <cell r="F2974">
            <v>2</v>
          </cell>
          <cell r="G2974" t="str">
            <v>CB400400001H0T</v>
          </cell>
          <cell r="H2974">
            <v>1.5</v>
          </cell>
          <cell r="I2974">
            <v>0.75</v>
          </cell>
          <cell r="J2974">
            <v>2</v>
          </cell>
          <cell r="K2974">
            <v>2</v>
          </cell>
        </row>
        <row r="2975">
          <cell r="A2975" t="str">
            <v>M2</v>
          </cell>
          <cell r="B2975" t="str">
            <v>A5C</v>
          </cell>
          <cell r="C2975" t="str">
            <v>P</v>
          </cell>
          <cell r="D2975" t="str">
            <v>23196</v>
          </cell>
          <cell r="E2975" t="str">
            <v>R TEE</v>
          </cell>
          <cell r="F2975">
            <v>2</v>
          </cell>
          <cell r="G2975" t="str">
            <v>CB400400001H0T</v>
          </cell>
          <cell r="H2975">
            <v>1.5</v>
          </cell>
          <cell r="I2975">
            <v>0.75</v>
          </cell>
          <cell r="J2975">
            <v>2</v>
          </cell>
          <cell r="K2975">
            <v>2</v>
          </cell>
        </row>
        <row r="2976">
          <cell r="A2976" t="str">
            <v>M2</v>
          </cell>
          <cell r="B2976" t="str">
            <v>A5C</v>
          </cell>
          <cell r="C2976" t="str">
            <v>P</v>
          </cell>
          <cell r="D2976" t="str">
            <v>23231</v>
          </cell>
          <cell r="E2976" t="str">
            <v>R TEE</v>
          </cell>
          <cell r="F2976">
            <v>2</v>
          </cell>
          <cell r="G2976" t="str">
            <v>CB400400001H0T</v>
          </cell>
          <cell r="H2976">
            <v>1.5</v>
          </cell>
          <cell r="I2976">
            <v>0.75</v>
          </cell>
          <cell r="J2976">
            <v>1</v>
          </cell>
          <cell r="K2976">
            <v>1</v>
          </cell>
        </row>
        <row r="2977">
          <cell r="A2977" t="str">
            <v>M2</v>
          </cell>
          <cell r="B2977" t="str">
            <v>A5C</v>
          </cell>
          <cell r="C2977" t="str">
            <v>P</v>
          </cell>
          <cell r="D2977" t="str">
            <v>23226</v>
          </cell>
          <cell r="E2977" t="str">
            <v>R TEE</v>
          </cell>
          <cell r="F2977">
            <v>2</v>
          </cell>
          <cell r="G2977" t="str">
            <v>CB400400001H0T</v>
          </cell>
          <cell r="H2977">
            <v>1.5</v>
          </cell>
          <cell r="I2977">
            <v>0.75</v>
          </cell>
          <cell r="J2977">
            <v>1</v>
          </cell>
          <cell r="K2977">
            <v>1</v>
          </cell>
        </row>
        <row r="2978">
          <cell r="A2978" t="str">
            <v>M2</v>
          </cell>
          <cell r="B2978" t="str">
            <v>A5C</v>
          </cell>
          <cell r="C2978" t="str">
            <v>P</v>
          </cell>
          <cell r="D2978" t="str">
            <v>23248</v>
          </cell>
          <cell r="E2978" t="str">
            <v>R TEE</v>
          </cell>
          <cell r="F2978">
            <v>2</v>
          </cell>
          <cell r="G2978" t="str">
            <v>CB400400001H0T</v>
          </cell>
          <cell r="H2978">
            <v>1.5</v>
          </cell>
          <cell r="I2978">
            <v>0.75</v>
          </cell>
          <cell r="J2978">
            <v>1</v>
          </cell>
          <cell r="K2978">
            <v>1</v>
          </cell>
        </row>
        <row r="2979">
          <cell r="A2979" t="str">
            <v>M2</v>
          </cell>
          <cell r="B2979" t="str">
            <v>A5C</v>
          </cell>
          <cell r="C2979" t="str">
            <v>P</v>
          </cell>
          <cell r="D2979" t="str">
            <v>23259</v>
          </cell>
          <cell r="E2979" t="str">
            <v>R TEE</v>
          </cell>
          <cell r="F2979">
            <v>2</v>
          </cell>
          <cell r="G2979" t="str">
            <v>CB400400001H0T</v>
          </cell>
          <cell r="H2979">
            <v>1.5</v>
          </cell>
          <cell r="I2979">
            <v>0.75</v>
          </cell>
          <cell r="J2979">
            <v>2</v>
          </cell>
          <cell r="K2979">
            <v>2</v>
          </cell>
        </row>
        <row r="2980">
          <cell r="A2980" t="str">
            <v>M2</v>
          </cell>
          <cell r="B2980" t="str">
            <v>A5C</v>
          </cell>
          <cell r="C2980" t="str">
            <v>P</v>
          </cell>
          <cell r="D2980" t="str">
            <v>99003</v>
          </cell>
          <cell r="E2980" t="str">
            <v>R TEE</v>
          </cell>
          <cell r="F2980">
            <v>2</v>
          </cell>
          <cell r="G2980" t="str">
            <v>CB400400001H0T</v>
          </cell>
          <cell r="H2980">
            <v>1.5</v>
          </cell>
          <cell r="I2980">
            <v>0.75</v>
          </cell>
          <cell r="J2980">
            <v>2</v>
          </cell>
          <cell r="K2980">
            <v>2</v>
          </cell>
        </row>
        <row r="2981">
          <cell r="A2981" t="str">
            <v>M2</v>
          </cell>
          <cell r="B2981" t="str">
            <v>A5C</v>
          </cell>
          <cell r="C2981" t="str">
            <v>P</v>
          </cell>
          <cell r="D2981" t="str">
            <v>99003</v>
          </cell>
          <cell r="E2981" t="str">
            <v>R TEE</v>
          </cell>
          <cell r="F2981">
            <v>2</v>
          </cell>
          <cell r="G2981" t="str">
            <v>CB400400001H0T</v>
          </cell>
          <cell r="H2981">
            <v>1.5</v>
          </cell>
          <cell r="I2981">
            <v>0.75</v>
          </cell>
          <cell r="J2981">
            <v>1</v>
          </cell>
          <cell r="K2981">
            <v>1</v>
          </cell>
        </row>
        <row r="2982">
          <cell r="A2982" t="str">
            <v>M2</v>
          </cell>
          <cell r="B2982" t="str">
            <v>A5C</v>
          </cell>
          <cell r="C2982" t="str">
            <v>P</v>
          </cell>
          <cell r="D2982" t="str">
            <v>99003</v>
          </cell>
          <cell r="E2982" t="str">
            <v>R TEE</v>
          </cell>
          <cell r="F2982">
            <v>2</v>
          </cell>
          <cell r="G2982" t="str">
            <v>CB400400001H01</v>
          </cell>
          <cell r="H2982">
            <v>1.5</v>
          </cell>
          <cell r="I2982">
            <v>1</v>
          </cell>
          <cell r="J2982">
            <v>2</v>
          </cell>
          <cell r="K2982">
            <v>2</v>
          </cell>
        </row>
        <row r="2983">
          <cell r="A2983" t="str">
            <v>M2</v>
          </cell>
          <cell r="B2983" t="str">
            <v>A5C</v>
          </cell>
          <cell r="C2983" t="str">
            <v>P</v>
          </cell>
          <cell r="D2983" t="str">
            <v>23103</v>
          </cell>
          <cell r="E2983" t="str">
            <v>R TEE</v>
          </cell>
          <cell r="F2983">
            <v>2</v>
          </cell>
          <cell r="G2983" t="str">
            <v>CB400400001H0T</v>
          </cell>
          <cell r="H2983">
            <v>1.5</v>
          </cell>
          <cell r="I2983">
            <v>0.75</v>
          </cell>
          <cell r="J2983">
            <v>2</v>
          </cell>
          <cell r="K2983">
            <v>2</v>
          </cell>
        </row>
        <row r="2984">
          <cell r="A2984" t="str">
            <v>M2</v>
          </cell>
          <cell r="B2984" t="str">
            <v>A5C</v>
          </cell>
          <cell r="C2984" t="str">
            <v>P</v>
          </cell>
          <cell r="D2984" t="str">
            <v>23185</v>
          </cell>
          <cell r="E2984" t="str">
            <v>R TEE</v>
          </cell>
          <cell r="F2984">
            <v>2</v>
          </cell>
          <cell r="G2984" t="str">
            <v>CB400400001H0T</v>
          </cell>
          <cell r="H2984">
            <v>1.5</v>
          </cell>
          <cell r="I2984">
            <v>0.75</v>
          </cell>
          <cell r="J2984">
            <v>2</v>
          </cell>
          <cell r="K2984">
            <v>2</v>
          </cell>
        </row>
        <row r="2985">
          <cell r="A2985" t="str">
            <v>M2</v>
          </cell>
          <cell r="B2985" t="str">
            <v>A5C</v>
          </cell>
          <cell r="C2985" t="str">
            <v>P</v>
          </cell>
          <cell r="D2985" t="str">
            <v>23253</v>
          </cell>
          <cell r="E2985" t="str">
            <v>R TEE</v>
          </cell>
          <cell r="F2985">
            <v>2</v>
          </cell>
          <cell r="G2985" t="str">
            <v>CB400400001H0T</v>
          </cell>
          <cell r="H2985">
            <v>1.5</v>
          </cell>
          <cell r="I2985">
            <v>0.75</v>
          </cell>
          <cell r="J2985">
            <v>1</v>
          </cell>
          <cell r="K2985">
            <v>1</v>
          </cell>
        </row>
        <row r="2986">
          <cell r="A2986" t="str">
            <v>M2</v>
          </cell>
          <cell r="B2986" t="str">
            <v>A5C</v>
          </cell>
          <cell r="C2986" t="str">
            <v>P</v>
          </cell>
          <cell r="D2986" t="str">
            <v>22102</v>
          </cell>
          <cell r="E2986" t="str">
            <v>TEE</v>
          </cell>
          <cell r="F2986">
            <v>2</v>
          </cell>
          <cell r="G2986" t="str">
            <v>CB400300001H00</v>
          </cell>
          <cell r="H2986">
            <v>1.5</v>
          </cell>
          <cell r="I2986" t="str">
            <v>--</v>
          </cell>
          <cell r="J2986">
            <v>1</v>
          </cell>
          <cell r="K2986">
            <v>1</v>
          </cell>
        </row>
        <row r="2987">
          <cell r="A2987" t="str">
            <v>M2</v>
          </cell>
          <cell r="B2987" t="str">
            <v>A5C</v>
          </cell>
          <cell r="C2987" t="str">
            <v>P</v>
          </cell>
          <cell r="D2987" t="str">
            <v>23006</v>
          </cell>
          <cell r="E2987" t="str">
            <v>TEE</v>
          </cell>
          <cell r="F2987">
            <v>2</v>
          </cell>
          <cell r="G2987" t="str">
            <v>CB400300001H00</v>
          </cell>
          <cell r="H2987">
            <v>1.5</v>
          </cell>
          <cell r="I2987" t="str">
            <v>--</v>
          </cell>
          <cell r="J2987">
            <v>1</v>
          </cell>
          <cell r="K2987">
            <v>1</v>
          </cell>
        </row>
        <row r="2988">
          <cell r="A2988" t="str">
            <v>M2</v>
          </cell>
          <cell r="B2988" t="str">
            <v>A5C</v>
          </cell>
          <cell r="C2988" t="str">
            <v>P</v>
          </cell>
          <cell r="D2988" t="str">
            <v>23006</v>
          </cell>
          <cell r="E2988" t="str">
            <v>TEE</v>
          </cell>
          <cell r="F2988">
            <v>2</v>
          </cell>
          <cell r="G2988" t="str">
            <v>CB400300001H00</v>
          </cell>
          <cell r="H2988">
            <v>1.5</v>
          </cell>
          <cell r="I2988" t="str">
            <v>--</v>
          </cell>
          <cell r="J2988">
            <v>2</v>
          </cell>
          <cell r="K2988">
            <v>2</v>
          </cell>
        </row>
        <row r="2989">
          <cell r="A2989" t="str">
            <v>M2</v>
          </cell>
          <cell r="B2989" t="str">
            <v>A5C</v>
          </cell>
          <cell r="C2989" t="str">
            <v>P</v>
          </cell>
          <cell r="D2989" t="str">
            <v>23035</v>
          </cell>
          <cell r="E2989" t="str">
            <v>TEE</v>
          </cell>
          <cell r="F2989">
            <v>2</v>
          </cell>
          <cell r="G2989" t="str">
            <v>CB400300001H00</v>
          </cell>
          <cell r="H2989">
            <v>1.5</v>
          </cell>
          <cell r="I2989" t="str">
            <v>--</v>
          </cell>
          <cell r="J2989">
            <v>2</v>
          </cell>
          <cell r="K2989">
            <v>2</v>
          </cell>
        </row>
        <row r="2990">
          <cell r="A2990" t="str">
            <v>M2</v>
          </cell>
          <cell r="B2990" t="str">
            <v>A5C</v>
          </cell>
          <cell r="C2990" t="str">
            <v>P</v>
          </cell>
          <cell r="D2990" t="str">
            <v>23037</v>
          </cell>
          <cell r="E2990" t="str">
            <v>TEE</v>
          </cell>
          <cell r="F2990">
            <v>2</v>
          </cell>
          <cell r="G2990" t="str">
            <v>CB400300001H00</v>
          </cell>
          <cell r="H2990">
            <v>1.5</v>
          </cell>
          <cell r="I2990" t="str">
            <v>--</v>
          </cell>
          <cell r="J2990">
            <v>2</v>
          </cell>
          <cell r="K2990">
            <v>2</v>
          </cell>
        </row>
        <row r="2991">
          <cell r="A2991" t="str">
            <v>M2</v>
          </cell>
          <cell r="B2991" t="str">
            <v>A5C</v>
          </cell>
          <cell r="C2991" t="str">
            <v>P</v>
          </cell>
          <cell r="D2991" t="str">
            <v>23052</v>
          </cell>
          <cell r="E2991" t="str">
            <v>TEE</v>
          </cell>
          <cell r="F2991">
            <v>2</v>
          </cell>
          <cell r="G2991" t="str">
            <v>CB400300001H00</v>
          </cell>
          <cell r="H2991">
            <v>1.5</v>
          </cell>
          <cell r="I2991" t="str">
            <v>--</v>
          </cell>
          <cell r="J2991">
            <v>2</v>
          </cell>
          <cell r="K2991">
            <v>2</v>
          </cell>
        </row>
        <row r="2992">
          <cell r="A2992" t="str">
            <v>M2</v>
          </cell>
          <cell r="B2992" t="str">
            <v>A5C</v>
          </cell>
          <cell r="C2992" t="str">
            <v>P</v>
          </cell>
          <cell r="D2992" t="str">
            <v>23063</v>
          </cell>
          <cell r="E2992" t="str">
            <v>TEE</v>
          </cell>
          <cell r="F2992">
            <v>2</v>
          </cell>
          <cell r="G2992" t="str">
            <v>CB400300001H00</v>
          </cell>
          <cell r="H2992">
            <v>1.5</v>
          </cell>
          <cell r="I2992" t="str">
            <v>--</v>
          </cell>
          <cell r="J2992">
            <v>1</v>
          </cell>
          <cell r="K2992">
            <v>1</v>
          </cell>
        </row>
        <row r="2993">
          <cell r="A2993" t="str">
            <v>M2</v>
          </cell>
          <cell r="B2993" t="str">
            <v>A5C</v>
          </cell>
          <cell r="C2993" t="str">
            <v>P</v>
          </cell>
          <cell r="D2993" t="str">
            <v>23070</v>
          </cell>
          <cell r="E2993" t="str">
            <v>TEE</v>
          </cell>
          <cell r="F2993">
            <v>2</v>
          </cell>
          <cell r="G2993" t="str">
            <v>CB400300001H00</v>
          </cell>
          <cell r="H2993">
            <v>1.5</v>
          </cell>
          <cell r="I2993" t="str">
            <v>--</v>
          </cell>
          <cell r="J2993">
            <v>1</v>
          </cell>
          <cell r="K2993">
            <v>1</v>
          </cell>
        </row>
        <row r="2994">
          <cell r="A2994" t="str">
            <v>M2</v>
          </cell>
          <cell r="B2994" t="str">
            <v>A5C</v>
          </cell>
          <cell r="C2994" t="str">
            <v>P</v>
          </cell>
          <cell r="D2994" t="str">
            <v>23078</v>
          </cell>
          <cell r="E2994" t="str">
            <v>TEE</v>
          </cell>
          <cell r="F2994">
            <v>2</v>
          </cell>
          <cell r="G2994" t="str">
            <v>CB400300001H00</v>
          </cell>
          <cell r="H2994">
            <v>1.5</v>
          </cell>
          <cell r="I2994" t="str">
            <v>--</v>
          </cell>
          <cell r="J2994">
            <v>1</v>
          </cell>
          <cell r="K2994">
            <v>1</v>
          </cell>
        </row>
        <row r="2995">
          <cell r="A2995" t="str">
            <v>M2</v>
          </cell>
          <cell r="B2995" t="str">
            <v>A5C</v>
          </cell>
          <cell r="C2995" t="str">
            <v>P</v>
          </cell>
          <cell r="D2995" t="str">
            <v>23111</v>
          </cell>
          <cell r="E2995" t="str">
            <v>TEE</v>
          </cell>
          <cell r="F2995">
            <v>2</v>
          </cell>
          <cell r="G2995" t="str">
            <v>CB400300001H00</v>
          </cell>
          <cell r="H2995">
            <v>1.5</v>
          </cell>
          <cell r="I2995" t="str">
            <v>--</v>
          </cell>
          <cell r="J2995">
            <v>1</v>
          </cell>
          <cell r="K2995">
            <v>1</v>
          </cell>
        </row>
        <row r="2996">
          <cell r="A2996" t="str">
            <v>M2</v>
          </cell>
          <cell r="B2996" t="str">
            <v>A5C</v>
          </cell>
          <cell r="C2996" t="str">
            <v>P</v>
          </cell>
          <cell r="D2996" t="str">
            <v>23116</v>
          </cell>
          <cell r="E2996" t="str">
            <v>TEE</v>
          </cell>
          <cell r="F2996">
            <v>2</v>
          </cell>
          <cell r="G2996" t="str">
            <v>CB400300001H00</v>
          </cell>
          <cell r="H2996">
            <v>1.5</v>
          </cell>
          <cell r="I2996" t="str">
            <v>--</v>
          </cell>
          <cell r="J2996">
            <v>5</v>
          </cell>
          <cell r="K2996">
            <v>5</v>
          </cell>
        </row>
        <row r="2997">
          <cell r="A2997" t="str">
            <v>M2</v>
          </cell>
          <cell r="B2997" t="str">
            <v>A5C</v>
          </cell>
          <cell r="C2997" t="str">
            <v>P</v>
          </cell>
          <cell r="D2997" t="str">
            <v>23117</v>
          </cell>
          <cell r="E2997" t="str">
            <v>TEE</v>
          </cell>
          <cell r="F2997">
            <v>2</v>
          </cell>
          <cell r="G2997" t="str">
            <v>CB400300001H00</v>
          </cell>
          <cell r="H2997">
            <v>1.5</v>
          </cell>
          <cell r="I2997" t="str">
            <v>--</v>
          </cell>
          <cell r="J2997">
            <v>1</v>
          </cell>
          <cell r="K2997">
            <v>1</v>
          </cell>
        </row>
        <row r="2998">
          <cell r="A2998" t="str">
            <v>M2</v>
          </cell>
          <cell r="B2998" t="str">
            <v>A5C</v>
          </cell>
          <cell r="C2998" t="str">
            <v>P</v>
          </cell>
          <cell r="D2998" t="str">
            <v>23143</v>
          </cell>
          <cell r="E2998" t="str">
            <v>TEE</v>
          </cell>
          <cell r="F2998">
            <v>2</v>
          </cell>
          <cell r="G2998" t="str">
            <v>CB400300001H00</v>
          </cell>
          <cell r="H2998">
            <v>1.5</v>
          </cell>
          <cell r="I2998" t="str">
            <v>--</v>
          </cell>
          <cell r="J2998">
            <v>1</v>
          </cell>
          <cell r="K2998">
            <v>1</v>
          </cell>
        </row>
        <row r="2999">
          <cell r="A2999" t="str">
            <v>M2</v>
          </cell>
          <cell r="B2999" t="str">
            <v>A5C</v>
          </cell>
          <cell r="C2999" t="str">
            <v>P</v>
          </cell>
          <cell r="D2999" t="str">
            <v>23157</v>
          </cell>
          <cell r="E2999" t="str">
            <v>TEE</v>
          </cell>
          <cell r="F2999">
            <v>2</v>
          </cell>
          <cell r="G2999" t="str">
            <v>CB400300001H00</v>
          </cell>
          <cell r="H2999">
            <v>1.5</v>
          </cell>
          <cell r="I2999" t="str">
            <v>--</v>
          </cell>
          <cell r="J2999">
            <v>1</v>
          </cell>
          <cell r="K2999">
            <v>1</v>
          </cell>
        </row>
        <row r="3000">
          <cell r="A3000" t="str">
            <v>M2</v>
          </cell>
          <cell r="B3000" t="str">
            <v>A5C</v>
          </cell>
          <cell r="C3000" t="str">
            <v>P</v>
          </cell>
          <cell r="D3000" t="str">
            <v>23185</v>
          </cell>
          <cell r="E3000" t="str">
            <v>TEE</v>
          </cell>
          <cell r="F3000">
            <v>2</v>
          </cell>
          <cell r="G3000" t="str">
            <v>CB400300001H00</v>
          </cell>
          <cell r="H3000">
            <v>1.5</v>
          </cell>
          <cell r="I3000" t="str">
            <v>--</v>
          </cell>
          <cell r="J3000">
            <v>1</v>
          </cell>
          <cell r="K3000">
            <v>1</v>
          </cell>
        </row>
        <row r="3001">
          <cell r="A3001" t="str">
            <v>M2</v>
          </cell>
          <cell r="B3001" t="str">
            <v>A5C</v>
          </cell>
          <cell r="C3001" t="str">
            <v>P</v>
          </cell>
          <cell r="D3001" t="str">
            <v>23196</v>
          </cell>
          <cell r="E3001" t="str">
            <v>TEE</v>
          </cell>
          <cell r="F3001">
            <v>2</v>
          </cell>
          <cell r="G3001" t="str">
            <v>CB400300001H00</v>
          </cell>
          <cell r="H3001">
            <v>1.5</v>
          </cell>
          <cell r="I3001" t="str">
            <v>--</v>
          </cell>
          <cell r="J3001">
            <v>1</v>
          </cell>
          <cell r="K3001">
            <v>1</v>
          </cell>
        </row>
        <row r="3002">
          <cell r="A3002" t="str">
            <v>M2</v>
          </cell>
          <cell r="B3002" t="str">
            <v>A5C</v>
          </cell>
          <cell r="C3002" t="str">
            <v>P</v>
          </cell>
          <cell r="D3002" t="str">
            <v>23217</v>
          </cell>
          <cell r="E3002" t="str">
            <v>TEE</v>
          </cell>
          <cell r="F3002">
            <v>2</v>
          </cell>
          <cell r="G3002" t="str">
            <v>CB400300001H00</v>
          </cell>
          <cell r="H3002">
            <v>1.5</v>
          </cell>
          <cell r="I3002" t="str">
            <v>--</v>
          </cell>
          <cell r="J3002">
            <v>1</v>
          </cell>
          <cell r="K3002">
            <v>1</v>
          </cell>
        </row>
        <row r="3003">
          <cell r="A3003" t="str">
            <v>M2</v>
          </cell>
          <cell r="B3003" t="str">
            <v>A5C</v>
          </cell>
          <cell r="C3003" t="str">
            <v>P</v>
          </cell>
          <cell r="D3003" t="str">
            <v>23259</v>
          </cell>
          <cell r="E3003" t="str">
            <v>TEE</v>
          </cell>
          <cell r="F3003">
            <v>2</v>
          </cell>
          <cell r="G3003" t="str">
            <v>CB400300001H00</v>
          </cell>
          <cell r="H3003">
            <v>1.5</v>
          </cell>
          <cell r="I3003" t="str">
            <v>--</v>
          </cell>
          <cell r="J3003">
            <v>1</v>
          </cell>
          <cell r="K3003">
            <v>1</v>
          </cell>
        </row>
        <row r="3004">
          <cell r="A3004" t="str">
            <v>M2</v>
          </cell>
          <cell r="B3004" t="str">
            <v>A5C</v>
          </cell>
          <cell r="C3004" t="str">
            <v>P</v>
          </cell>
          <cell r="D3004" t="str">
            <v>24014</v>
          </cell>
          <cell r="E3004" t="str">
            <v>TEE</v>
          </cell>
          <cell r="F3004">
            <v>2</v>
          </cell>
          <cell r="G3004" t="str">
            <v>CB400300001H00</v>
          </cell>
          <cell r="H3004">
            <v>1.5</v>
          </cell>
          <cell r="I3004" t="str">
            <v>--</v>
          </cell>
          <cell r="J3004">
            <v>1</v>
          </cell>
          <cell r="K3004">
            <v>1</v>
          </cell>
        </row>
        <row r="3005">
          <cell r="A3005" t="str">
            <v>M2</v>
          </cell>
          <cell r="B3005" t="str">
            <v>A5C</v>
          </cell>
          <cell r="C3005" t="str">
            <v>P</v>
          </cell>
          <cell r="D3005" t="str">
            <v>99003</v>
          </cell>
          <cell r="E3005" t="str">
            <v>TEE</v>
          </cell>
          <cell r="F3005">
            <v>2</v>
          </cell>
          <cell r="G3005" t="str">
            <v>CB400300001H00</v>
          </cell>
          <cell r="H3005">
            <v>1.5</v>
          </cell>
          <cell r="I3005" t="str">
            <v>--</v>
          </cell>
          <cell r="J3005">
            <v>2</v>
          </cell>
          <cell r="K3005">
            <v>2</v>
          </cell>
        </row>
        <row r="3006">
          <cell r="A3006" t="str">
            <v>M2</v>
          </cell>
          <cell r="B3006" t="str">
            <v>A5C</v>
          </cell>
          <cell r="C3006" t="str">
            <v>P</v>
          </cell>
          <cell r="D3006" t="str">
            <v>23103</v>
          </cell>
          <cell r="E3006" t="str">
            <v>TEE</v>
          </cell>
          <cell r="F3006">
            <v>2</v>
          </cell>
          <cell r="G3006" t="str">
            <v>CB400300001H00</v>
          </cell>
          <cell r="H3006">
            <v>1.5</v>
          </cell>
          <cell r="I3006" t="str">
            <v>--</v>
          </cell>
          <cell r="J3006">
            <v>1</v>
          </cell>
          <cell r="K3006">
            <v>1</v>
          </cell>
        </row>
        <row r="3007">
          <cell r="A3007" t="str">
            <v>M2</v>
          </cell>
          <cell r="B3007" t="str">
            <v>A5C</v>
          </cell>
          <cell r="C3007" t="str">
            <v>P</v>
          </cell>
          <cell r="D3007" t="str">
            <v>23107</v>
          </cell>
          <cell r="E3007" t="str">
            <v>TEE</v>
          </cell>
          <cell r="F3007">
            <v>2</v>
          </cell>
          <cell r="G3007" t="str">
            <v>CB400300001H00</v>
          </cell>
          <cell r="H3007">
            <v>1.5</v>
          </cell>
          <cell r="I3007" t="str">
            <v>--</v>
          </cell>
          <cell r="J3007">
            <v>1</v>
          </cell>
          <cell r="K3007">
            <v>1</v>
          </cell>
        </row>
        <row r="3008">
          <cell r="A3008" t="str">
            <v>M2</v>
          </cell>
          <cell r="B3008" t="str">
            <v>A5C</v>
          </cell>
          <cell r="C3008" t="str">
            <v>P</v>
          </cell>
          <cell r="D3008" t="str">
            <v>23147</v>
          </cell>
          <cell r="E3008" t="str">
            <v>TEE</v>
          </cell>
          <cell r="F3008">
            <v>2</v>
          </cell>
          <cell r="G3008" t="str">
            <v>CB400300001H00</v>
          </cell>
          <cell r="H3008">
            <v>1.5</v>
          </cell>
          <cell r="I3008" t="str">
            <v>--</v>
          </cell>
          <cell r="J3008">
            <v>1</v>
          </cell>
          <cell r="K3008">
            <v>1</v>
          </cell>
        </row>
        <row r="3009">
          <cell r="A3009" t="str">
            <v>M2</v>
          </cell>
          <cell r="B3009" t="str">
            <v>A5C</v>
          </cell>
          <cell r="C3009" t="str">
            <v>P</v>
          </cell>
          <cell r="D3009" t="str">
            <v>23055</v>
          </cell>
          <cell r="E3009" t="str">
            <v>90 ELL</v>
          </cell>
          <cell r="F3009">
            <v>2</v>
          </cell>
          <cell r="G3009" t="str">
            <v>CB400100001H00</v>
          </cell>
          <cell r="H3009">
            <v>1.5</v>
          </cell>
          <cell r="I3009" t="str">
            <v>--</v>
          </cell>
          <cell r="J3009">
            <v>6</v>
          </cell>
          <cell r="K3009">
            <v>6</v>
          </cell>
        </row>
        <row r="3010">
          <cell r="A3010" t="str">
            <v>M2</v>
          </cell>
          <cell r="B3010" t="str">
            <v>A5C</v>
          </cell>
          <cell r="C3010" t="str">
            <v>P</v>
          </cell>
          <cell r="D3010" t="str">
            <v>23055</v>
          </cell>
          <cell r="E3010" t="str">
            <v>E SWG</v>
          </cell>
          <cell r="F3010">
            <v>2</v>
          </cell>
          <cell r="G3010" t="str">
            <v>CB162108081H01</v>
          </cell>
          <cell r="H3010">
            <v>1.5</v>
          </cell>
          <cell r="I3010">
            <v>1</v>
          </cell>
          <cell r="J3010">
            <v>2</v>
          </cell>
          <cell r="K3010">
            <v>2</v>
          </cell>
        </row>
        <row r="3011">
          <cell r="A3011" t="str">
            <v>M2</v>
          </cell>
          <cell r="B3011" t="str">
            <v>A5C</v>
          </cell>
          <cell r="C3011" t="str">
            <v>P</v>
          </cell>
          <cell r="D3011" t="str">
            <v>23055</v>
          </cell>
          <cell r="E3011" t="str">
            <v>TEE</v>
          </cell>
          <cell r="F3011">
            <v>2</v>
          </cell>
          <cell r="G3011" t="str">
            <v>CB400300001H00</v>
          </cell>
          <cell r="H3011">
            <v>1.5</v>
          </cell>
          <cell r="I3011" t="str">
            <v>--</v>
          </cell>
          <cell r="J3011">
            <v>1</v>
          </cell>
          <cell r="K3011">
            <v>1</v>
          </cell>
        </row>
        <row r="3012">
          <cell r="A3012" t="str">
            <v>M2</v>
          </cell>
          <cell r="B3012" t="str">
            <v>A5C</v>
          </cell>
          <cell r="C3012" t="str">
            <v>P</v>
          </cell>
          <cell r="D3012" t="str">
            <v>23039</v>
          </cell>
          <cell r="E3012" t="str">
            <v>45 ELL</v>
          </cell>
          <cell r="F3012">
            <v>2</v>
          </cell>
          <cell r="G3012" t="str">
            <v>CB400200001H00</v>
          </cell>
          <cell r="H3012">
            <v>1.5</v>
          </cell>
          <cell r="I3012" t="str">
            <v>--</v>
          </cell>
          <cell r="J3012">
            <v>1</v>
          </cell>
          <cell r="K3012">
            <v>1</v>
          </cell>
        </row>
        <row r="3013">
          <cell r="A3013" t="str">
            <v>M2</v>
          </cell>
          <cell r="B3013" t="str">
            <v>A5C</v>
          </cell>
          <cell r="C3013" t="str">
            <v>P</v>
          </cell>
          <cell r="D3013" t="str">
            <v>23039</v>
          </cell>
          <cell r="E3013" t="str">
            <v>45 ELL</v>
          </cell>
          <cell r="F3013">
            <v>2</v>
          </cell>
          <cell r="G3013" t="str">
            <v>CB400200001H00</v>
          </cell>
          <cell r="H3013">
            <v>1.5</v>
          </cell>
          <cell r="I3013" t="str">
            <v>--</v>
          </cell>
          <cell r="J3013">
            <v>1</v>
          </cell>
          <cell r="K3013">
            <v>1</v>
          </cell>
        </row>
        <row r="3014">
          <cell r="A3014" t="str">
            <v>M2</v>
          </cell>
          <cell r="B3014" t="str">
            <v>A5C</v>
          </cell>
          <cell r="C3014" t="str">
            <v>P</v>
          </cell>
          <cell r="D3014" t="str">
            <v>23008</v>
          </cell>
          <cell r="E3014" t="str">
            <v>90 ELL</v>
          </cell>
          <cell r="F3014">
            <v>2</v>
          </cell>
          <cell r="G3014" t="str">
            <v>CB400100001H00</v>
          </cell>
          <cell r="H3014">
            <v>1.5</v>
          </cell>
          <cell r="I3014" t="str">
            <v>--</v>
          </cell>
          <cell r="J3014">
            <v>10</v>
          </cell>
          <cell r="K3014">
            <v>10</v>
          </cell>
        </row>
        <row r="3015">
          <cell r="A3015" t="str">
            <v>M2</v>
          </cell>
          <cell r="B3015" t="str">
            <v>A5C</v>
          </cell>
          <cell r="C3015" t="str">
            <v>P</v>
          </cell>
          <cell r="D3015" t="str">
            <v>23019</v>
          </cell>
          <cell r="E3015" t="str">
            <v>90 ELL</v>
          </cell>
          <cell r="F3015">
            <v>2</v>
          </cell>
          <cell r="G3015" t="str">
            <v>CB400100001H00</v>
          </cell>
          <cell r="H3015">
            <v>1.5</v>
          </cell>
          <cell r="I3015" t="str">
            <v>--</v>
          </cell>
          <cell r="J3015">
            <v>1</v>
          </cell>
          <cell r="K3015">
            <v>1</v>
          </cell>
        </row>
        <row r="3016">
          <cell r="A3016" t="str">
            <v>M2</v>
          </cell>
          <cell r="B3016" t="str">
            <v>A5C</v>
          </cell>
          <cell r="C3016" t="str">
            <v>P</v>
          </cell>
          <cell r="D3016" t="str">
            <v>23027</v>
          </cell>
          <cell r="E3016" t="str">
            <v>90 ELL</v>
          </cell>
          <cell r="F3016">
            <v>2</v>
          </cell>
          <cell r="G3016" t="str">
            <v>CB400100001H00</v>
          </cell>
          <cell r="H3016">
            <v>1.5</v>
          </cell>
          <cell r="I3016" t="str">
            <v>--</v>
          </cell>
          <cell r="J3016">
            <v>4</v>
          </cell>
          <cell r="K3016">
            <v>4</v>
          </cell>
        </row>
        <row r="3017">
          <cell r="A3017" t="str">
            <v>M2</v>
          </cell>
          <cell r="B3017" t="str">
            <v>A5C</v>
          </cell>
          <cell r="C3017" t="str">
            <v>P</v>
          </cell>
          <cell r="D3017" t="str">
            <v>23039</v>
          </cell>
          <cell r="E3017" t="str">
            <v>90 ELL</v>
          </cell>
          <cell r="F3017">
            <v>2</v>
          </cell>
          <cell r="G3017" t="str">
            <v>CB400100001H00</v>
          </cell>
          <cell r="H3017">
            <v>1.5</v>
          </cell>
          <cell r="I3017" t="str">
            <v>--</v>
          </cell>
          <cell r="J3017">
            <v>8</v>
          </cell>
          <cell r="K3017">
            <v>8</v>
          </cell>
        </row>
        <row r="3018">
          <cell r="A3018" t="str">
            <v>M2</v>
          </cell>
          <cell r="B3018" t="str">
            <v>A5C</v>
          </cell>
          <cell r="C3018" t="str">
            <v>P</v>
          </cell>
          <cell r="D3018" t="str">
            <v>23039</v>
          </cell>
          <cell r="E3018" t="str">
            <v>90 ELL</v>
          </cell>
          <cell r="F3018">
            <v>2</v>
          </cell>
          <cell r="G3018" t="str">
            <v>CB400100001H00</v>
          </cell>
          <cell r="H3018">
            <v>1.5</v>
          </cell>
          <cell r="I3018" t="str">
            <v>--</v>
          </cell>
          <cell r="J3018">
            <v>2</v>
          </cell>
          <cell r="K3018">
            <v>2</v>
          </cell>
        </row>
        <row r="3019">
          <cell r="A3019" t="str">
            <v>M2</v>
          </cell>
          <cell r="B3019" t="str">
            <v>A5C</v>
          </cell>
          <cell r="C3019" t="str">
            <v>P</v>
          </cell>
          <cell r="D3019" t="str">
            <v>23077</v>
          </cell>
          <cell r="E3019" t="str">
            <v>90 ELL</v>
          </cell>
          <cell r="F3019">
            <v>2</v>
          </cell>
          <cell r="G3019" t="str">
            <v>CB400100001H00</v>
          </cell>
          <cell r="H3019">
            <v>1.5</v>
          </cell>
          <cell r="I3019" t="str">
            <v>--</v>
          </cell>
          <cell r="J3019">
            <v>8</v>
          </cell>
          <cell r="K3019">
            <v>8</v>
          </cell>
        </row>
        <row r="3020">
          <cell r="A3020" t="str">
            <v>M2</v>
          </cell>
          <cell r="B3020" t="str">
            <v>A5C</v>
          </cell>
          <cell r="C3020" t="str">
            <v>P</v>
          </cell>
          <cell r="D3020" t="str">
            <v>23170</v>
          </cell>
          <cell r="E3020" t="str">
            <v>90 ELL</v>
          </cell>
          <cell r="F3020">
            <v>2</v>
          </cell>
          <cell r="G3020" t="str">
            <v>CB400100001H00</v>
          </cell>
          <cell r="H3020">
            <v>1.5</v>
          </cell>
          <cell r="I3020" t="str">
            <v>--</v>
          </cell>
          <cell r="J3020">
            <v>9</v>
          </cell>
          <cell r="K3020">
            <v>9</v>
          </cell>
        </row>
        <row r="3021">
          <cell r="A3021" t="str">
            <v>M2</v>
          </cell>
          <cell r="B3021" t="str">
            <v>A5C</v>
          </cell>
          <cell r="C3021" t="str">
            <v>P</v>
          </cell>
          <cell r="D3021" t="str">
            <v>23216</v>
          </cell>
          <cell r="E3021" t="str">
            <v>90 ELL</v>
          </cell>
          <cell r="F3021">
            <v>2</v>
          </cell>
          <cell r="G3021" t="str">
            <v>CB400100001H00</v>
          </cell>
          <cell r="H3021">
            <v>1.5</v>
          </cell>
          <cell r="I3021" t="str">
            <v>--</v>
          </cell>
          <cell r="J3021">
            <v>4</v>
          </cell>
          <cell r="K3021">
            <v>4</v>
          </cell>
        </row>
        <row r="3022">
          <cell r="A3022" t="str">
            <v>M2</v>
          </cell>
          <cell r="B3022" t="str">
            <v>A5C</v>
          </cell>
          <cell r="C3022" t="str">
            <v>P</v>
          </cell>
          <cell r="D3022" t="str">
            <v>23218</v>
          </cell>
          <cell r="E3022" t="str">
            <v>90 ELL</v>
          </cell>
          <cell r="F3022">
            <v>2</v>
          </cell>
          <cell r="G3022" t="str">
            <v>CB400100001H00</v>
          </cell>
          <cell r="H3022">
            <v>1.5</v>
          </cell>
          <cell r="I3022" t="str">
            <v>--</v>
          </cell>
          <cell r="J3022">
            <v>5</v>
          </cell>
          <cell r="K3022">
            <v>5</v>
          </cell>
        </row>
        <row r="3023">
          <cell r="A3023" t="str">
            <v>M2</v>
          </cell>
          <cell r="B3023" t="str">
            <v>A5C</v>
          </cell>
          <cell r="C3023" t="str">
            <v>P</v>
          </cell>
          <cell r="D3023" t="str">
            <v>23220</v>
          </cell>
          <cell r="E3023" t="str">
            <v>90 ELL</v>
          </cell>
          <cell r="F3023">
            <v>2</v>
          </cell>
          <cell r="G3023" t="str">
            <v>CB400100001H00</v>
          </cell>
          <cell r="H3023">
            <v>1.5</v>
          </cell>
          <cell r="I3023" t="str">
            <v>--</v>
          </cell>
          <cell r="J3023">
            <v>4</v>
          </cell>
          <cell r="K3023">
            <v>4</v>
          </cell>
        </row>
        <row r="3024">
          <cell r="A3024" t="str">
            <v>M2</v>
          </cell>
          <cell r="B3024" t="str">
            <v>A5C</v>
          </cell>
          <cell r="C3024" t="str">
            <v>P</v>
          </cell>
          <cell r="D3024" t="str">
            <v>23222</v>
          </cell>
          <cell r="E3024" t="str">
            <v>90 ELL</v>
          </cell>
          <cell r="F3024">
            <v>2</v>
          </cell>
          <cell r="G3024" t="str">
            <v>CB400100001H00</v>
          </cell>
          <cell r="H3024">
            <v>1.5</v>
          </cell>
          <cell r="I3024" t="str">
            <v>--</v>
          </cell>
          <cell r="J3024">
            <v>5</v>
          </cell>
          <cell r="K3024">
            <v>5</v>
          </cell>
        </row>
        <row r="3025">
          <cell r="A3025" t="str">
            <v>M2</v>
          </cell>
          <cell r="B3025" t="str">
            <v>A5C</v>
          </cell>
          <cell r="C3025" t="str">
            <v>P</v>
          </cell>
          <cell r="D3025" t="str">
            <v>23242</v>
          </cell>
          <cell r="E3025" t="str">
            <v>90 ELL</v>
          </cell>
          <cell r="F3025">
            <v>2</v>
          </cell>
          <cell r="G3025" t="str">
            <v>CB400100001H00</v>
          </cell>
          <cell r="H3025">
            <v>1.5</v>
          </cell>
          <cell r="I3025" t="str">
            <v>--</v>
          </cell>
          <cell r="J3025">
            <v>5</v>
          </cell>
          <cell r="K3025">
            <v>5</v>
          </cell>
        </row>
        <row r="3026">
          <cell r="A3026" t="str">
            <v>M2</v>
          </cell>
          <cell r="B3026" t="str">
            <v>A5C</v>
          </cell>
          <cell r="C3026" t="str">
            <v>P</v>
          </cell>
          <cell r="D3026" t="str">
            <v>23243</v>
          </cell>
          <cell r="E3026" t="str">
            <v>90 ELL</v>
          </cell>
          <cell r="F3026">
            <v>2</v>
          </cell>
          <cell r="G3026" t="str">
            <v>CB400100001H00</v>
          </cell>
          <cell r="H3026">
            <v>1.5</v>
          </cell>
          <cell r="I3026" t="str">
            <v>--</v>
          </cell>
          <cell r="J3026">
            <v>4</v>
          </cell>
          <cell r="K3026">
            <v>4</v>
          </cell>
        </row>
        <row r="3027">
          <cell r="A3027" t="str">
            <v>M2</v>
          </cell>
          <cell r="B3027" t="str">
            <v>A5C</v>
          </cell>
          <cell r="C3027" t="str">
            <v>P</v>
          </cell>
          <cell r="D3027" t="str">
            <v>23019</v>
          </cell>
          <cell r="E3027" t="str">
            <v>90 ELL</v>
          </cell>
          <cell r="F3027">
            <v>2</v>
          </cell>
          <cell r="G3027" t="str">
            <v>CB400100001H00</v>
          </cell>
          <cell r="H3027">
            <v>1.5</v>
          </cell>
          <cell r="I3027" t="str">
            <v>--</v>
          </cell>
          <cell r="J3027">
            <v>6</v>
          </cell>
          <cell r="K3027">
            <v>6</v>
          </cell>
        </row>
        <row r="3028">
          <cell r="A3028" t="str">
            <v>M2</v>
          </cell>
          <cell r="B3028" t="str">
            <v>A5C</v>
          </cell>
          <cell r="C3028" t="str">
            <v>P</v>
          </cell>
          <cell r="D3028" t="str">
            <v>23033</v>
          </cell>
          <cell r="E3028" t="str">
            <v>90 ELL</v>
          </cell>
          <cell r="F3028">
            <v>2</v>
          </cell>
          <cell r="G3028" t="str">
            <v>CB400100001H00</v>
          </cell>
          <cell r="H3028">
            <v>1.5</v>
          </cell>
          <cell r="I3028" t="str">
            <v>--</v>
          </cell>
          <cell r="J3028">
            <v>6</v>
          </cell>
          <cell r="K3028">
            <v>6</v>
          </cell>
        </row>
        <row r="3029">
          <cell r="A3029" t="str">
            <v>M2</v>
          </cell>
          <cell r="B3029" t="str">
            <v>A5C</v>
          </cell>
          <cell r="C3029" t="str">
            <v>P</v>
          </cell>
          <cell r="D3029" t="str">
            <v>23033</v>
          </cell>
          <cell r="E3029" t="str">
            <v>90 ELL</v>
          </cell>
          <cell r="F3029">
            <v>2</v>
          </cell>
          <cell r="G3029" t="str">
            <v>CB400100001H00</v>
          </cell>
          <cell r="H3029">
            <v>1.5</v>
          </cell>
          <cell r="I3029" t="str">
            <v>--</v>
          </cell>
          <cell r="J3029">
            <v>5</v>
          </cell>
          <cell r="K3029">
            <v>5</v>
          </cell>
        </row>
        <row r="3030">
          <cell r="A3030" t="str">
            <v>M2</v>
          </cell>
          <cell r="B3030" t="str">
            <v>A5C</v>
          </cell>
          <cell r="C3030" t="str">
            <v>P</v>
          </cell>
          <cell r="D3030" t="str">
            <v>23044</v>
          </cell>
          <cell r="E3030" t="str">
            <v>90 ELL</v>
          </cell>
          <cell r="F3030">
            <v>2</v>
          </cell>
          <cell r="G3030" t="str">
            <v>CB400100001H00</v>
          </cell>
          <cell r="H3030">
            <v>1.5</v>
          </cell>
          <cell r="I3030" t="str">
            <v>--</v>
          </cell>
          <cell r="J3030">
            <v>6</v>
          </cell>
          <cell r="K3030">
            <v>6</v>
          </cell>
        </row>
        <row r="3031">
          <cell r="A3031" t="str">
            <v>M2</v>
          </cell>
          <cell r="B3031" t="str">
            <v>A5C</v>
          </cell>
          <cell r="C3031" t="str">
            <v>P</v>
          </cell>
          <cell r="D3031" t="str">
            <v>23076</v>
          </cell>
          <cell r="E3031" t="str">
            <v>90 ELL</v>
          </cell>
          <cell r="F3031">
            <v>2</v>
          </cell>
          <cell r="G3031" t="str">
            <v>CB400100001H00</v>
          </cell>
          <cell r="H3031">
            <v>1.5</v>
          </cell>
          <cell r="I3031" t="str">
            <v>--</v>
          </cell>
          <cell r="J3031">
            <v>2</v>
          </cell>
          <cell r="K3031">
            <v>2</v>
          </cell>
        </row>
        <row r="3032">
          <cell r="A3032" t="str">
            <v>M2</v>
          </cell>
          <cell r="B3032" t="str">
            <v>A5C</v>
          </cell>
          <cell r="C3032" t="str">
            <v>P</v>
          </cell>
          <cell r="D3032" t="str">
            <v>23019</v>
          </cell>
          <cell r="E3032" t="str">
            <v>C SWG</v>
          </cell>
          <cell r="F3032">
            <v>2</v>
          </cell>
          <cell r="G3032" t="str">
            <v>CB161108081H01</v>
          </cell>
          <cell r="H3032">
            <v>1.5</v>
          </cell>
          <cell r="I3032">
            <v>1</v>
          </cell>
          <cell r="J3032">
            <v>1</v>
          </cell>
          <cell r="K3032">
            <v>1</v>
          </cell>
        </row>
        <row r="3033">
          <cell r="A3033" t="str">
            <v>M2</v>
          </cell>
          <cell r="B3033" t="str">
            <v>A5C</v>
          </cell>
          <cell r="C3033" t="str">
            <v>P</v>
          </cell>
          <cell r="D3033" t="str">
            <v>23039</v>
          </cell>
          <cell r="E3033" t="str">
            <v>C SWG</v>
          </cell>
          <cell r="F3033">
            <v>2</v>
          </cell>
          <cell r="G3033" t="str">
            <v>CB161108081H01</v>
          </cell>
          <cell r="H3033">
            <v>1.5</v>
          </cell>
          <cell r="I3033">
            <v>1</v>
          </cell>
          <cell r="J3033">
            <v>2</v>
          </cell>
          <cell r="K3033">
            <v>2</v>
          </cell>
        </row>
        <row r="3034">
          <cell r="A3034" t="str">
            <v>M2</v>
          </cell>
          <cell r="B3034" t="str">
            <v>A5C</v>
          </cell>
          <cell r="C3034" t="str">
            <v>P</v>
          </cell>
          <cell r="D3034" t="str">
            <v>23044</v>
          </cell>
          <cell r="E3034" t="str">
            <v>C SWG</v>
          </cell>
          <cell r="F3034">
            <v>2</v>
          </cell>
          <cell r="G3034" t="str">
            <v>CB161108081H01</v>
          </cell>
          <cell r="H3034">
            <v>1.5</v>
          </cell>
          <cell r="I3034">
            <v>1</v>
          </cell>
          <cell r="J3034">
            <v>2</v>
          </cell>
          <cell r="K3034">
            <v>2</v>
          </cell>
        </row>
        <row r="3035">
          <cell r="A3035" t="str">
            <v>M2</v>
          </cell>
          <cell r="B3035" t="str">
            <v>A5C</v>
          </cell>
          <cell r="C3035" t="str">
            <v>P</v>
          </cell>
          <cell r="D3035" t="str">
            <v>23033</v>
          </cell>
          <cell r="E3035" t="str">
            <v>C SWG</v>
          </cell>
          <cell r="F3035">
            <v>2</v>
          </cell>
          <cell r="G3035" t="str">
            <v>CB161108081H01</v>
          </cell>
          <cell r="H3035">
            <v>1.5</v>
          </cell>
          <cell r="I3035">
            <v>1</v>
          </cell>
          <cell r="J3035">
            <v>2</v>
          </cell>
          <cell r="K3035">
            <v>2</v>
          </cell>
        </row>
        <row r="3036">
          <cell r="A3036" t="str">
            <v>M2</v>
          </cell>
          <cell r="B3036" t="str">
            <v>A5C</v>
          </cell>
          <cell r="C3036" t="str">
            <v>P</v>
          </cell>
          <cell r="D3036" t="str">
            <v>23008</v>
          </cell>
          <cell r="E3036" t="str">
            <v>CPLG</v>
          </cell>
          <cell r="F3036">
            <v>2</v>
          </cell>
          <cell r="G3036" t="str">
            <v>CB400500001H00</v>
          </cell>
          <cell r="H3036">
            <v>1.5</v>
          </cell>
          <cell r="I3036" t="str">
            <v>--</v>
          </cell>
          <cell r="J3036">
            <v>4</v>
          </cell>
          <cell r="K3036">
            <v>4</v>
          </cell>
        </row>
        <row r="3037">
          <cell r="A3037" t="str">
            <v>M2</v>
          </cell>
          <cell r="B3037" t="str">
            <v>A5C</v>
          </cell>
          <cell r="C3037" t="str">
            <v>P</v>
          </cell>
          <cell r="D3037" t="str">
            <v>23019</v>
          </cell>
          <cell r="E3037" t="str">
            <v>CPLG</v>
          </cell>
          <cell r="F3037">
            <v>2</v>
          </cell>
          <cell r="G3037" t="str">
            <v>CB400500001H00</v>
          </cell>
          <cell r="H3037">
            <v>1.5</v>
          </cell>
          <cell r="I3037" t="str">
            <v>--</v>
          </cell>
          <cell r="J3037">
            <v>1</v>
          </cell>
          <cell r="K3037">
            <v>1</v>
          </cell>
        </row>
        <row r="3038">
          <cell r="A3038" t="str">
            <v>M2</v>
          </cell>
          <cell r="B3038" t="str">
            <v>A5C</v>
          </cell>
          <cell r="C3038" t="str">
            <v>P</v>
          </cell>
          <cell r="D3038" t="str">
            <v>23039</v>
          </cell>
          <cell r="E3038" t="str">
            <v>CPLG</v>
          </cell>
          <cell r="F3038">
            <v>2</v>
          </cell>
          <cell r="G3038" t="str">
            <v>CB400500001H00</v>
          </cell>
          <cell r="H3038">
            <v>1.5</v>
          </cell>
          <cell r="I3038" t="str">
            <v>--</v>
          </cell>
          <cell r="J3038">
            <v>2</v>
          </cell>
          <cell r="K3038">
            <v>2</v>
          </cell>
        </row>
        <row r="3039">
          <cell r="A3039" t="str">
            <v>M2</v>
          </cell>
          <cell r="B3039" t="str">
            <v>A5C</v>
          </cell>
          <cell r="C3039" t="str">
            <v>P</v>
          </cell>
          <cell r="D3039" t="str">
            <v>23044</v>
          </cell>
          <cell r="E3039" t="str">
            <v>CPLG</v>
          </cell>
          <cell r="F3039">
            <v>2</v>
          </cell>
          <cell r="G3039" t="str">
            <v>CB400500001H00</v>
          </cell>
          <cell r="H3039">
            <v>1.5</v>
          </cell>
          <cell r="I3039" t="str">
            <v>--</v>
          </cell>
          <cell r="J3039">
            <v>2</v>
          </cell>
          <cell r="K3039">
            <v>2</v>
          </cell>
        </row>
        <row r="3040">
          <cell r="A3040" t="str">
            <v>M2</v>
          </cell>
          <cell r="B3040" t="str">
            <v>A5C</v>
          </cell>
          <cell r="C3040" t="str">
            <v>P</v>
          </cell>
          <cell r="D3040" t="str">
            <v>23216</v>
          </cell>
          <cell r="E3040" t="str">
            <v>CPLG</v>
          </cell>
          <cell r="F3040">
            <v>2</v>
          </cell>
          <cell r="G3040" t="str">
            <v>CB400500001H00</v>
          </cell>
          <cell r="H3040">
            <v>1.5</v>
          </cell>
          <cell r="I3040" t="str">
            <v>--</v>
          </cell>
          <cell r="J3040">
            <v>1</v>
          </cell>
          <cell r="K3040">
            <v>1</v>
          </cell>
        </row>
        <row r="3041">
          <cell r="A3041" t="str">
            <v>M2</v>
          </cell>
          <cell r="B3041" t="str">
            <v>A5C</v>
          </cell>
          <cell r="C3041" t="str">
            <v>P</v>
          </cell>
          <cell r="D3041" t="str">
            <v>23218</v>
          </cell>
          <cell r="E3041" t="str">
            <v>CPLG</v>
          </cell>
          <cell r="F3041">
            <v>2</v>
          </cell>
          <cell r="G3041" t="str">
            <v>CB400500001H00</v>
          </cell>
          <cell r="H3041">
            <v>1.5</v>
          </cell>
          <cell r="I3041" t="str">
            <v>--</v>
          </cell>
          <cell r="J3041">
            <v>3</v>
          </cell>
          <cell r="K3041">
            <v>3</v>
          </cell>
        </row>
        <row r="3042">
          <cell r="A3042" t="str">
            <v>M2</v>
          </cell>
          <cell r="B3042" t="str">
            <v>A5C</v>
          </cell>
          <cell r="C3042" t="str">
            <v>P</v>
          </cell>
          <cell r="D3042" t="str">
            <v>23033</v>
          </cell>
          <cell r="E3042" t="str">
            <v>CPLG</v>
          </cell>
          <cell r="F3042">
            <v>2</v>
          </cell>
          <cell r="G3042" t="str">
            <v>CB400500001H00</v>
          </cell>
          <cell r="H3042">
            <v>1.5</v>
          </cell>
          <cell r="I3042" t="str">
            <v>--</v>
          </cell>
          <cell r="J3042">
            <v>2</v>
          </cell>
          <cell r="K3042">
            <v>2</v>
          </cell>
        </row>
        <row r="3043">
          <cell r="A3043" t="str">
            <v>M2</v>
          </cell>
          <cell r="B3043" t="str">
            <v>A5C</v>
          </cell>
          <cell r="C3043" t="str">
            <v>P</v>
          </cell>
          <cell r="D3043" t="str">
            <v>23170</v>
          </cell>
          <cell r="E3043" t="str">
            <v>CPLG</v>
          </cell>
          <cell r="F3043">
            <v>2</v>
          </cell>
          <cell r="G3043" t="str">
            <v>CB400500001H00</v>
          </cell>
          <cell r="H3043">
            <v>1.5</v>
          </cell>
          <cell r="I3043" t="str">
            <v>--</v>
          </cell>
          <cell r="J3043">
            <v>12</v>
          </cell>
          <cell r="K3043">
            <v>12</v>
          </cell>
        </row>
        <row r="3044">
          <cell r="A3044" t="str">
            <v>M2</v>
          </cell>
          <cell r="B3044" t="str">
            <v>A5C</v>
          </cell>
          <cell r="C3044" t="str">
            <v>P</v>
          </cell>
          <cell r="D3044" t="str">
            <v>23019</v>
          </cell>
          <cell r="E3044" t="str">
            <v>E SWG</v>
          </cell>
          <cell r="F3044">
            <v>2</v>
          </cell>
          <cell r="G3044" t="str">
            <v>CB162108081H01</v>
          </cell>
          <cell r="H3044">
            <v>1.5</v>
          </cell>
          <cell r="I3044">
            <v>1</v>
          </cell>
          <cell r="J3044">
            <v>2</v>
          </cell>
          <cell r="K3044">
            <v>2</v>
          </cell>
        </row>
        <row r="3045">
          <cell r="A3045" t="str">
            <v>M2</v>
          </cell>
          <cell r="B3045" t="str">
            <v>A5C</v>
          </cell>
          <cell r="C3045" t="str">
            <v>P</v>
          </cell>
          <cell r="D3045" t="str">
            <v>23039</v>
          </cell>
          <cell r="E3045" t="str">
            <v>E SWG</v>
          </cell>
          <cell r="F3045">
            <v>2</v>
          </cell>
          <cell r="G3045" t="str">
            <v>CB162108081H01</v>
          </cell>
          <cell r="H3045">
            <v>1.5</v>
          </cell>
          <cell r="I3045">
            <v>1</v>
          </cell>
          <cell r="J3045">
            <v>2</v>
          </cell>
          <cell r="K3045">
            <v>2</v>
          </cell>
        </row>
        <row r="3046">
          <cell r="A3046" t="str">
            <v>M2</v>
          </cell>
          <cell r="B3046" t="str">
            <v>A5C</v>
          </cell>
          <cell r="C3046" t="str">
            <v>P</v>
          </cell>
          <cell r="D3046" t="str">
            <v>23027</v>
          </cell>
          <cell r="E3046" t="str">
            <v>E SWG</v>
          </cell>
          <cell r="F3046">
            <v>2</v>
          </cell>
          <cell r="G3046" t="str">
            <v>CB162108081H01</v>
          </cell>
          <cell r="H3046">
            <v>1.5</v>
          </cell>
          <cell r="I3046">
            <v>1</v>
          </cell>
          <cell r="J3046">
            <v>1</v>
          </cell>
          <cell r="K3046">
            <v>1</v>
          </cell>
        </row>
        <row r="3047">
          <cell r="A3047" t="str">
            <v>M2</v>
          </cell>
          <cell r="B3047" t="str">
            <v>A5C</v>
          </cell>
          <cell r="C3047" t="str">
            <v>P</v>
          </cell>
          <cell r="D3047" t="str">
            <v>23077</v>
          </cell>
          <cell r="E3047" t="str">
            <v>E SWG</v>
          </cell>
          <cell r="F3047">
            <v>2</v>
          </cell>
          <cell r="G3047" t="str">
            <v>CB162108081H01</v>
          </cell>
          <cell r="H3047">
            <v>1.5</v>
          </cell>
          <cell r="I3047">
            <v>1</v>
          </cell>
          <cell r="J3047">
            <v>2</v>
          </cell>
          <cell r="K3047">
            <v>2</v>
          </cell>
        </row>
        <row r="3048">
          <cell r="A3048" t="str">
            <v>M2</v>
          </cell>
          <cell r="B3048" t="str">
            <v>A5C</v>
          </cell>
          <cell r="C3048" t="str">
            <v>P</v>
          </cell>
          <cell r="D3048" t="str">
            <v>23019</v>
          </cell>
          <cell r="E3048" t="str">
            <v>R TEE</v>
          </cell>
          <cell r="F3048">
            <v>2</v>
          </cell>
          <cell r="G3048" t="str">
            <v>CB400400001H01</v>
          </cell>
          <cell r="H3048">
            <v>1.5</v>
          </cell>
          <cell r="I3048">
            <v>1</v>
          </cell>
          <cell r="J3048">
            <v>1</v>
          </cell>
          <cell r="K3048">
            <v>1</v>
          </cell>
        </row>
        <row r="3049">
          <cell r="A3049" t="str">
            <v>M2</v>
          </cell>
          <cell r="B3049" t="str">
            <v>A5C</v>
          </cell>
          <cell r="C3049" t="str">
            <v>P</v>
          </cell>
          <cell r="D3049" t="str">
            <v>23019</v>
          </cell>
          <cell r="E3049" t="str">
            <v>R TEE</v>
          </cell>
          <cell r="F3049">
            <v>2</v>
          </cell>
          <cell r="G3049" t="str">
            <v>CB400400001H0T</v>
          </cell>
          <cell r="H3049">
            <v>1.5</v>
          </cell>
          <cell r="I3049">
            <v>0.75</v>
          </cell>
          <cell r="J3049">
            <v>1</v>
          </cell>
          <cell r="K3049">
            <v>1</v>
          </cell>
        </row>
        <row r="3050">
          <cell r="A3050" t="str">
            <v>M2</v>
          </cell>
          <cell r="B3050" t="str">
            <v>A5C</v>
          </cell>
          <cell r="C3050" t="str">
            <v>P</v>
          </cell>
          <cell r="D3050" t="str">
            <v>23027</v>
          </cell>
          <cell r="E3050" t="str">
            <v>R TEE</v>
          </cell>
          <cell r="F3050">
            <v>2</v>
          </cell>
          <cell r="G3050" t="str">
            <v>CB400400001H01</v>
          </cell>
          <cell r="H3050">
            <v>1.5</v>
          </cell>
          <cell r="I3050">
            <v>1</v>
          </cell>
          <cell r="J3050">
            <v>1</v>
          </cell>
          <cell r="K3050">
            <v>1</v>
          </cell>
        </row>
        <row r="3051">
          <cell r="A3051" t="str">
            <v>M2</v>
          </cell>
          <cell r="B3051" t="str">
            <v>A5C</v>
          </cell>
          <cell r="C3051" t="str">
            <v>P</v>
          </cell>
          <cell r="D3051" t="str">
            <v>23027</v>
          </cell>
          <cell r="E3051" t="str">
            <v>R TEE</v>
          </cell>
          <cell r="F3051">
            <v>2</v>
          </cell>
          <cell r="G3051" t="str">
            <v>CB400400001H0T</v>
          </cell>
          <cell r="H3051">
            <v>1.5</v>
          </cell>
          <cell r="I3051">
            <v>0.75</v>
          </cell>
          <cell r="J3051">
            <v>1</v>
          </cell>
          <cell r="K3051">
            <v>1</v>
          </cell>
        </row>
        <row r="3052">
          <cell r="A3052" t="str">
            <v>M2</v>
          </cell>
          <cell r="B3052" t="str">
            <v>A5C</v>
          </cell>
          <cell r="C3052" t="str">
            <v>P</v>
          </cell>
          <cell r="D3052" t="str">
            <v>23033</v>
          </cell>
          <cell r="E3052" t="str">
            <v>R TEE</v>
          </cell>
          <cell r="F3052">
            <v>2</v>
          </cell>
          <cell r="G3052" t="str">
            <v>CB400400001H0T</v>
          </cell>
          <cell r="H3052">
            <v>1.5</v>
          </cell>
          <cell r="I3052">
            <v>0.75</v>
          </cell>
          <cell r="J3052">
            <v>4</v>
          </cell>
          <cell r="K3052">
            <v>4</v>
          </cell>
        </row>
        <row r="3053">
          <cell r="A3053" t="str">
            <v>M2</v>
          </cell>
          <cell r="B3053" t="str">
            <v>A5C</v>
          </cell>
          <cell r="C3053" t="str">
            <v>P</v>
          </cell>
          <cell r="D3053" t="str">
            <v>23039</v>
          </cell>
          <cell r="E3053" t="str">
            <v>R TEE</v>
          </cell>
          <cell r="F3053">
            <v>2</v>
          </cell>
          <cell r="G3053" t="str">
            <v>CB400400001H0T</v>
          </cell>
          <cell r="H3053">
            <v>1.5</v>
          </cell>
          <cell r="I3053">
            <v>0.75</v>
          </cell>
          <cell r="J3053">
            <v>4</v>
          </cell>
          <cell r="K3053">
            <v>4</v>
          </cell>
        </row>
        <row r="3054">
          <cell r="A3054" t="str">
            <v>M2</v>
          </cell>
          <cell r="B3054" t="str">
            <v>A5C</v>
          </cell>
          <cell r="C3054" t="str">
            <v>P</v>
          </cell>
          <cell r="D3054" t="str">
            <v>23039</v>
          </cell>
          <cell r="E3054" t="str">
            <v>R TEE</v>
          </cell>
          <cell r="F3054">
            <v>2</v>
          </cell>
          <cell r="G3054" t="str">
            <v>CB400400001H0T</v>
          </cell>
          <cell r="H3054">
            <v>1.5</v>
          </cell>
          <cell r="I3054">
            <v>0.75</v>
          </cell>
          <cell r="J3054">
            <v>1</v>
          </cell>
          <cell r="K3054">
            <v>1</v>
          </cell>
        </row>
        <row r="3055">
          <cell r="A3055" t="str">
            <v>M2</v>
          </cell>
          <cell r="B3055" t="str">
            <v>A5C</v>
          </cell>
          <cell r="C3055" t="str">
            <v>P</v>
          </cell>
          <cell r="D3055" t="str">
            <v>23039</v>
          </cell>
          <cell r="E3055" t="str">
            <v>R TEE</v>
          </cell>
          <cell r="F3055">
            <v>2</v>
          </cell>
          <cell r="G3055" t="str">
            <v>CB400400001H01</v>
          </cell>
          <cell r="H3055">
            <v>1.5</v>
          </cell>
          <cell r="I3055">
            <v>1</v>
          </cell>
          <cell r="J3055">
            <v>2</v>
          </cell>
          <cell r="K3055">
            <v>2</v>
          </cell>
        </row>
        <row r="3056">
          <cell r="A3056" t="str">
            <v>M2</v>
          </cell>
          <cell r="B3056" t="str">
            <v>A5C</v>
          </cell>
          <cell r="C3056" t="str">
            <v>P</v>
          </cell>
          <cell r="D3056" t="str">
            <v>23008</v>
          </cell>
          <cell r="E3056" t="str">
            <v>TEE</v>
          </cell>
          <cell r="F3056">
            <v>2</v>
          </cell>
          <cell r="G3056" t="str">
            <v>CB400300001H00</v>
          </cell>
          <cell r="H3056">
            <v>1.5</v>
          </cell>
          <cell r="I3056" t="str">
            <v>--</v>
          </cell>
          <cell r="J3056">
            <v>2</v>
          </cell>
          <cell r="K3056">
            <v>2</v>
          </cell>
        </row>
        <row r="3057">
          <cell r="A3057" t="str">
            <v>M2</v>
          </cell>
          <cell r="B3057" t="str">
            <v>A5C</v>
          </cell>
          <cell r="C3057" t="str">
            <v>P</v>
          </cell>
          <cell r="D3057" t="str">
            <v>23019</v>
          </cell>
          <cell r="E3057" t="str">
            <v>TEE</v>
          </cell>
          <cell r="F3057">
            <v>2</v>
          </cell>
          <cell r="G3057" t="str">
            <v>CB400300001H00</v>
          </cell>
          <cell r="H3057">
            <v>1.5</v>
          </cell>
          <cell r="I3057" t="str">
            <v>--</v>
          </cell>
          <cell r="J3057">
            <v>1</v>
          </cell>
          <cell r="K3057">
            <v>1</v>
          </cell>
        </row>
        <row r="3058">
          <cell r="A3058" t="str">
            <v>M2</v>
          </cell>
          <cell r="B3058" t="str">
            <v>A5C</v>
          </cell>
          <cell r="C3058" t="str">
            <v>P</v>
          </cell>
          <cell r="D3058" t="str">
            <v>23027</v>
          </cell>
          <cell r="E3058" t="str">
            <v>TEE</v>
          </cell>
          <cell r="F3058">
            <v>2</v>
          </cell>
          <cell r="G3058" t="str">
            <v>CB400300001H00</v>
          </cell>
          <cell r="H3058">
            <v>1.5</v>
          </cell>
          <cell r="I3058" t="str">
            <v>--</v>
          </cell>
          <cell r="J3058">
            <v>1</v>
          </cell>
          <cell r="K3058">
            <v>1</v>
          </cell>
        </row>
        <row r="3059">
          <cell r="A3059" t="str">
            <v>M2</v>
          </cell>
          <cell r="B3059" t="str">
            <v>A5C</v>
          </cell>
          <cell r="C3059" t="str">
            <v>P</v>
          </cell>
          <cell r="D3059" t="str">
            <v>23033</v>
          </cell>
          <cell r="E3059" t="str">
            <v>TEE</v>
          </cell>
          <cell r="F3059">
            <v>2</v>
          </cell>
          <cell r="G3059" t="str">
            <v>CB400300001H00</v>
          </cell>
          <cell r="H3059">
            <v>1.5</v>
          </cell>
          <cell r="I3059" t="str">
            <v>--</v>
          </cell>
          <cell r="J3059">
            <v>2</v>
          </cell>
          <cell r="K3059">
            <v>2</v>
          </cell>
        </row>
        <row r="3060">
          <cell r="A3060" t="str">
            <v>M2</v>
          </cell>
          <cell r="B3060" t="str">
            <v>A5C</v>
          </cell>
          <cell r="C3060" t="str">
            <v>P</v>
          </cell>
          <cell r="D3060" t="str">
            <v>23044</v>
          </cell>
          <cell r="E3060" t="str">
            <v>TEE</v>
          </cell>
          <cell r="F3060">
            <v>2</v>
          </cell>
          <cell r="G3060" t="str">
            <v>CB400300001H00</v>
          </cell>
          <cell r="H3060">
            <v>1.5</v>
          </cell>
          <cell r="I3060" t="str">
            <v>--</v>
          </cell>
          <cell r="J3060">
            <v>1</v>
          </cell>
          <cell r="K3060">
            <v>1</v>
          </cell>
        </row>
        <row r="3061">
          <cell r="A3061" t="str">
            <v>M2</v>
          </cell>
          <cell r="B3061" t="str">
            <v>A5C</v>
          </cell>
          <cell r="C3061" t="str">
            <v>P</v>
          </cell>
          <cell r="D3061" t="str">
            <v>23077</v>
          </cell>
          <cell r="E3061" t="str">
            <v>TEE</v>
          </cell>
          <cell r="F3061">
            <v>2</v>
          </cell>
          <cell r="G3061" t="str">
            <v>CB400300001H00</v>
          </cell>
          <cell r="H3061">
            <v>1.5</v>
          </cell>
          <cell r="I3061" t="str">
            <v>--</v>
          </cell>
          <cell r="J3061">
            <v>1</v>
          </cell>
          <cell r="K3061">
            <v>1</v>
          </cell>
        </row>
        <row r="3062">
          <cell r="A3062" t="str">
            <v>M2</v>
          </cell>
          <cell r="B3062" t="str">
            <v>A5C</v>
          </cell>
          <cell r="C3062" t="str">
            <v>P</v>
          </cell>
          <cell r="D3062" t="str">
            <v>23170</v>
          </cell>
          <cell r="E3062" t="str">
            <v>TEE</v>
          </cell>
          <cell r="F3062">
            <v>2</v>
          </cell>
          <cell r="G3062" t="str">
            <v>CB400300001H00</v>
          </cell>
          <cell r="H3062">
            <v>1.5</v>
          </cell>
          <cell r="I3062" t="str">
            <v>--</v>
          </cell>
          <cell r="J3062">
            <v>2</v>
          </cell>
          <cell r="K3062">
            <v>2</v>
          </cell>
        </row>
        <row r="3063">
          <cell r="A3063" t="str">
            <v>M2</v>
          </cell>
          <cell r="B3063" t="str">
            <v>A5C</v>
          </cell>
          <cell r="C3063" t="str">
            <v>P</v>
          </cell>
          <cell r="D3063" t="str">
            <v>23216</v>
          </cell>
          <cell r="E3063" t="str">
            <v>TEE</v>
          </cell>
          <cell r="F3063">
            <v>2</v>
          </cell>
          <cell r="G3063" t="str">
            <v>CB400300001H00</v>
          </cell>
          <cell r="H3063">
            <v>1.5</v>
          </cell>
          <cell r="I3063" t="str">
            <v>--</v>
          </cell>
          <cell r="J3063">
            <v>1</v>
          </cell>
          <cell r="K3063">
            <v>1</v>
          </cell>
        </row>
        <row r="3064">
          <cell r="A3064" t="str">
            <v>M2</v>
          </cell>
          <cell r="B3064" t="str">
            <v>A5C</v>
          </cell>
          <cell r="C3064" t="str">
            <v>P</v>
          </cell>
          <cell r="D3064" t="str">
            <v>23039</v>
          </cell>
          <cell r="E3064" t="str">
            <v>TEE</v>
          </cell>
          <cell r="F3064">
            <v>2</v>
          </cell>
          <cell r="G3064" t="str">
            <v>CB400300001H00</v>
          </cell>
          <cell r="H3064">
            <v>1.5</v>
          </cell>
          <cell r="I3064" t="str">
            <v>--</v>
          </cell>
          <cell r="J3064">
            <v>1</v>
          </cell>
          <cell r="K3064">
            <v>1</v>
          </cell>
        </row>
        <row r="3065">
          <cell r="A3065" t="str">
            <v>M2</v>
          </cell>
          <cell r="B3065" t="str">
            <v>A5C</v>
          </cell>
          <cell r="C3065" t="str">
            <v>P</v>
          </cell>
          <cell r="D3065" t="str">
            <v>23009</v>
          </cell>
          <cell r="E3065" t="str">
            <v>45 ELL</v>
          </cell>
          <cell r="F3065">
            <v>2</v>
          </cell>
          <cell r="G3065" t="str">
            <v>CB400200001H00</v>
          </cell>
          <cell r="H3065">
            <v>1.5</v>
          </cell>
          <cell r="I3065" t="str">
            <v>--</v>
          </cell>
          <cell r="J3065">
            <v>1</v>
          </cell>
          <cell r="K3065">
            <v>1</v>
          </cell>
        </row>
        <row r="3066">
          <cell r="A3066" t="str">
            <v>M2</v>
          </cell>
          <cell r="B3066" t="str">
            <v>A5C</v>
          </cell>
          <cell r="C3066" t="str">
            <v>P</v>
          </cell>
          <cell r="D3066" t="str">
            <v>23009</v>
          </cell>
          <cell r="E3066" t="str">
            <v>90 ELL</v>
          </cell>
          <cell r="F3066">
            <v>2</v>
          </cell>
          <cell r="G3066" t="str">
            <v>CB400100001H00</v>
          </cell>
          <cell r="H3066">
            <v>1.5</v>
          </cell>
          <cell r="I3066" t="str">
            <v>--</v>
          </cell>
          <cell r="J3066">
            <v>6</v>
          </cell>
          <cell r="K3066">
            <v>6</v>
          </cell>
        </row>
        <row r="3067">
          <cell r="A3067" t="str">
            <v>M2</v>
          </cell>
          <cell r="B3067" t="str">
            <v>A5C</v>
          </cell>
          <cell r="C3067" t="str">
            <v>P</v>
          </cell>
          <cell r="D3067" t="str">
            <v>24001</v>
          </cell>
          <cell r="E3067" t="str">
            <v>90 ELL</v>
          </cell>
          <cell r="F3067">
            <v>2</v>
          </cell>
          <cell r="G3067" t="str">
            <v>CB400100001H00</v>
          </cell>
          <cell r="H3067">
            <v>1.5</v>
          </cell>
          <cell r="I3067" t="str">
            <v>--</v>
          </cell>
          <cell r="J3067">
            <v>4</v>
          </cell>
          <cell r="K3067">
            <v>4</v>
          </cell>
        </row>
        <row r="3068">
          <cell r="A3068" t="str">
            <v>M2</v>
          </cell>
          <cell r="B3068" t="str">
            <v>A5C</v>
          </cell>
          <cell r="C3068" t="str">
            <v>P</v>
          </cell>
          <cell r="D3068" t="str">
            <v>24012</v>
          </cell>
          <cell r="E3068" t="str">
            <v>90 ELL</v>
          </cell>
          <cell r="F3068">
            <v>2</v>
          </cell>
          <cell r="G3068" t="str">
            <v>CB400100001H00</v>
          </cell>
          <cell r="H3068">
            <v>1.5</v>
          </cell>
          <cell r="I3068" t="str">
            <v>--</v>
          </cell>
          <cell r="J3068">
            <v>3</v>
          </cell>
          <cell r="K3068">
            <v>3</v>
          </cell>
        </row>
        <row r="3069">
          <cell r="A3069" t="str">
            <v>M2</v>
          </cell>
          <cell r="B3069" t="str">
            <v>A5C</v>
          </cell>
          <cell r="C3069" t="str">
            <v>P</v>
          </cell>
          <cell r="D3069" t="str">
            <v>24001</v>
          </cell>
          <cell r="E3069" t="str">
            <v>C SWG</v>
          </cell>
          <cell r="F3069">
            <v>2</v>
          </cell>
          <cell r="G3069" t="str">
            <v>CB161108081H01</v>
          </cell>
          <cell r="H3069">
            <v>1.5</v>
          </cell>
          <cell r="I3069">
            <v>1</v>
          </cell>
          <cell r="J3069">
            <v>2</v>
          </cell>
          <cell r="K3069">
            <v>2</v>
          </cell>
        </row>
        <row r="3070">
          <cell r="A3070" t="str">
            <v>M2</v>
          </cell>
          <cell r="B3070" t="str">
            <v>A5C</v>
          </cell>
          <cell r="C3070" t="str">
            <v>P</v>
          </cell>
          <cell r="D3070" t="str">
            <v>23009</v>
          </cell>
          <cell r="E3070" t="str">
            <v>CPLG</v>
          </cell>
          <cell r="F3070">
            <v>2</v>
          </cell>
          <cell r="G3070" t="str">
            <v>CB400500001H00</v>
          </cell>
          <cell r="H3070">
            <v>1.5</v>
          </cell>
          <cell r="I3070" t="str">
            <v>--</v>
          </cell>
          <cell r="J3070">
            <v>2</v>
          </cell>
          <cell r="K3070">
            <v>2</v>
          </cell>
        </row>
        <row r="3071">
          <cell r="A3071" t="str">
            <v>M2</v>
          </cell>
          <cell r="B3071" t="str">
            <v>A5C</v>
          </cell>
          <cell r="C3071" t="str">
            <v>P</v>
          </cell>
          <cell r="D3071" t="str">
            <v>23009</v>
          </cell>
          <cell r="E3071" t="str">
            <v>E SWG</v>
          </cell>
          <cell r="F3071">
            <v>2</v>
          </cell>
          <cell r="G3071" t="str">
            <v>CB162108081H01</v>
          </cell>
          <cell r="H3071">
            <v>1.5</v>
          </cell>
          <cell r="I3071">
            <v>1</v>
          </cell>
          <cell r="J3071">
            <v>2</v>
          </cell>
          <cell r="K3071">
            <v>2</v>
          </cell>
        </row>
        <row r="3072">
          <cell r="A3072" t="str">
            <v>M2</v>
          </cell>
          <cell r="B3072" t="str">
            <v>A5C</v>
          </cell>
          <cell r="C3072" t="str">
            <v>P</v>
          </cell>
          <cell r="D3072" t="str">
            <v>24001</v>
          </cell>
          <cell r="E3072" t="str">
            <v>R TEE</v>
          </cell>
          <cell r="F3072">
            <v>2</v>
          </cell>
          <cell r="G3072" t="str">
            <v>CB400400001H0T</v>
          </cell>
          <cell r="H3072">
            <v>1.5</v>
          </cell>
          <cell r="I3072">
            <v>0.75</v>
          </cell>
          <cell r="J3072">
            <v>2</v>
          </cell>
          <cell r="K3072">
            <v>2</v>
          </cell>
        </row>
        <row r="3073">
          <cell r="A3073" t="str">
            <v>M2</v>
          </cell>
          <cell r="B3073" t="str">
            <v>A5C</v>
          </cell>
          <cell r="C3073" t="str">
            <v>P</v>
          </cell>
          <cell r="D3073" t="str">
            <v>23009</v>
          </cell>
          <cell r="E3073" t="str">
            <v>TEE</v>
          </cell>
          <cell r="F3073">
            <v>2</v>
          </cell>
          <cell r="G3073" t="str">
            <v>CB400300001H00</v>
          </cell>
          <cell r="H3073">
            <v>1.5</v>
          </cell>
          <cell r="I3073" t="str">
            <v>--</v>
          </cell>
          <cell r="J3073">
            <v>1</v>
          </cell>
          <cell r="K3073">
            <v>1</v>
          </cell>
        </row>
        <row r="3074">
          <cell r="A3074" t="str">
            <v>M2</v>
          </cell>
          <cell r="B3074" t="str">
            <v>A5C</v>
          </cell>
          <cell r="C3074" t="str">
            <v>P</v>
          </cell>
          <cell r="D3074" t="str">
            <v>24001</v>
          </cell>
          <cell r="E3074" t="str">
            <v>TEE</v>
          </cell>
          <cell r="F3074">
            <v>2</v>
          </cell>
          <cell r="G3074" t="str">
            <v>CB400300001H00</v>
          </cell>
          <cell r="H3074">
            <v>1.5</v>
          </cell>
          <cell r="I3074" t="str">
            <v>--</v>
          </cell>
          <cell r="J3074">
            <v>1</v>
          </cell>
          <cell r="K3074">
            <v>1</v>
          </cell>
        </row>
        <row r="3075">
          <cell r="A3075" t="str">
            <v>M2</v>
          </cell>
          <cell r="B3075" t="str">
            <v>A5C</v>
          </cell>
          <cell r="C3075" t="str">
            <v>P</v>
          </cell>
          <cell r="D3075" t="str">
            <v>24012</v>
          </cell>
          <cell r="E3075" t="str">
            <v>TEE</v>
          </cell>
          <cell r="F3075">
            <v>2</v>
          </cell>
          <cell r="G3075" t="str">
            <v>CB400300001H00</v>
          </cell>
          <cell r="H3075">
            <v>1.5</v>
          </cell>
          <cell r="I3075" t="str">
            <v>--</v>
          </cell>
          <cell r="J3075">
            <v>2</v>
          </cell>
          <cell r="K3075">
            <v>2</v>
          </cell>
        </row>
        <row r="3076">
          <cell r="A3076" t="str">
            <v>M2</v>
          </cell>
          <cell r="B3076" t="str">
            <v>A5C</v>
          </cell>
          <cell r="C3076" t="str">
            <v>P</v>
          </cell>
          <cell r="D3076" t="str">
            <v>HOLD1</v>
          </cell>
          <cell r="E3076" t="str">
            <v>90 ELL</v>
          </cell>
          <cell r="F3076">
            <v>2</v>
          </cell>
          <cell r="G3076" t="str">
            <v>CB300108000200</v>
          </cell>
          <cell r="H3076">
            <v>2</v>
          </cell>
          <cell r="I3076" t="str">
            <v>--</v>
          </cell>
          <cell r="J3076">
            <v>2</v>
          </cell>
          <cell r="K3076">
            <v>3</v>
          </cell>
        </row>
        <row r="3077">
          <cell r="A3077" t="str">
            <v>M2</v>
          </cell>
          <cell r="B3077" t="str">
            <v>A5C</v>
          </cell>
          <cell r="C3077" t="str">
            <v>P</v>
          </cell>
          <cell r="D3077" t="str">
            <v>23001</v>
          </cell>
          <cell r="E3077" t="str">
            <v>90 ELL</v>
          </cell>
          <cell r="F3077">
            <v>2</v>
          </cell>
          <cell r="G3077" t="str">
            <v>CB300108000200</v>
          </cell>
          <cell r="H3077">
            <v>2</v>
          </cell>
          <cell r="I3077" t="str">
            <v>--</v>
          </cell>
          <cell r="J3077">
            <v>8</v>
          </cell>
          <cell r="K3077">
            <v>9</v>
          </cell>
        </row>
        <row r="3078">
          <cell r="A3078" t="str">
            <v>M2</v>
          </cell>
          <cell r="B3078" t="str">
            <v>A5C</v>
          </cell>
          <cell r="C3078" t="str">
            <v>P</v>
          </cell>
          <cell r="D3078" t="str">
            <v>23011</v>
          </cell>
          <cell r="E3078" t="str">
            <v>90 ELL</v>
          </cell>
          <cell r="F3078">
            <v>2</v>
          </cell>
          <cell r="G3078" t="str">
            <v>CB300108000200</v>
          </cell>
          <cell r="H3078">
            <v>2</v>
          </cell>
          <cell r="I3078" t="str">
            <v>--</v>
          </cell>
          <cell r="J3078">
            <v>1</v>
          </cell>
          <cell r="K3078">
            <v>2</v>
          </cell>
        </row>
        <row r="3079">
          <cell r="A3079" t="str">
            <v>M2</v>
          </cell>
          <cell r="B3079" t="str">
            <v>A5C</v>
          </cell>
          <cell r="C3079" t="str">
            <v>P</v>
          </cell>
          <cell r="D3079" t="str">
            <v>23022</v>
          </cell>
          <cell r="E3079" t="str">
            <v>90 ELL</v>
          </cell>
          <cell r="F3079">
            <v>2</v>
          </cell>
          <cell r="G3079" t="str">
            <v>CB300108000200</v>
          </cell>
          <cell r="H3079">
            <v>2</v>
          </cell>
          <cell r="I3079" t="str">
            <v>--</v>
          </cell>
          <cell r="J3079">
            <v>1</v>
          </cell>
          <cell r="K3079">
            <v>2</v>
          </cell>
        </row>
        <row r="3080">
          <cell r="A3080" t="str">
            <v>M2</v>
          </cell>
          <cell r="B3080" t="str">
            <v>A5C</v>
          </cell>
          <cell r="C3080" t="str">
            <v>P</v>
          </cell>
          <cell r="D3080" t="str">
            <v>23046</v>
          </cell>
          <cell r="E3080" t="str">
            <v>90 ELL</v>
          </cell>
          <cell r="F3080">
            <v>2</v>
          </cell>
          <cell r="G3080" t="str">
            <v>CB300108000200</v>
          </cell>
          <cell r="H3080">
            <v>2</v>
          </cell>
          <cell r="I3080" t="str">
            <v>--</v>
          </cell>
          <cell r="J3080">
            <v>1</v>
          </cell>
          <cell r="K3080">
            <v>2</v>
          </cell>
        </row>
        <row r="3081">
          <cell r="A3081" t="str">
            <v>M2</v>
          </cell>
          <cell r="B3081" t="str">
            <v>A5C</v>
          </cell>
          <cell r="C3081" t="str">
            <v>P</v>
          </cell>
          <cell r="D3081" t="str">
            <v>23057</v>
          </cell>
          <cell r="E3081" t="str">
            <v>90 ELL</v>
          </cell>
          <cell r="F3081">
            <v>2</v>
          </cell>
          <cell r="G3081" t="str">
            <v>CB300108000200</v>
          </cell>
          <cell r="H3081">
            <v>2</v>
          </cell>
          <cell r="I3081" t="str">
            <v>--</v>
          </cell>
          <cell r="J3081">
            <v>1</v>
          </cell>
          <cell r="K3081">
            <v>2</v>
          </cell>
        </row>
        <row r="3082">
          <cell r="A3082" t="str">
            <v>M2</v>
          </cell>
          <cell r="B3082" t="str">
            <v>A5C</v>
          </cell>
          <cell r="C3082" t="str">
            <v>P</v>
          </cell>
          <cell r="D3082" t="str">
            <v>23073</v>
          </cell>
          <cell r="E3082" t="str">
            <v>90 ELL</v>
          </cell>
          <cell r="F3082">
            <v>2</v>
          </cell>
          <cell r="G3082" t="str">
            <v>CB300108000200</v>
          </cell>
          <cell r="H3082">
            <v>2</v>
          </cell>
          <cell r="I3082" t="str">
            <v>--</v>
          </cell>
          <cell r="J3082">
            <v>3</v>
          </cell>
          <cell r="K3082">
            <v>4</v>
          </cell>
        </row>
        <row r="3083">
          <cell r="A3083" t="str">
            <v>M2</v>
          </cell>
          <cell r="B3083" t="str">
            <v>A5C</v>
          </cell>
          <cell r="C3083" t="str">
            <v>P</v>
          </cell>
          <cell r="D3083" t="str">
            <v>23085</v>
          </cell>
          <cell r="E3083" t="str">
            <v>90 ELL</v>
          </cell>
          <cell r="F3083">
            <v>2</v>
          </cell>
          <cell r="G3083" t="str">
            <v>CB300108000200</v>
          </cell>
          <cell r="H3083">
            <v>2</v>
          </cell>
          <cell r="I3083" t="str">
            <v>--</v>
          </cell>
          <cell r="J3083">
            <v>8</v>
          </cell>
          <cell r="K3083">
            <v>9</v>
          </cell>
        </row>
        <row r="3084">
          <cell r="A3084" t="str">
            <v>M2</v>
          </cell>
          <cell r="B3084" t="str">
            <v>A5C</v>
          </cell>
          <cell r="C3084" t="str">
            <v>P</v>
          </cell>
          <cell r="D3084" t="str">
            <v>23102</v>
          </cell>
          <cell r="E3084" t="str">
            <v>90 ELL</v>
          </cell>
          <cell r="F3084">
            <v>2</v>
          </cell>
          <cell r="G3084" t="str">
            <v>CB300108000200</v>
          </cell>
          <cell r="H3084">
            <v>2</v>
          </cell>
          <cell r="I3084" t="str">
            <v>--</v>
          </cell>
          <cell r="J3084">
            <v>3</v>
          </cell>
          <cell r="K3084">
            <v>4</v>
          </cell>
        </row>
        <row r="3085">
          <cell r="A3085" t="str">
            <v>M2</v>
          </cell>
          <cell r="B3085" t="str">
            <v>A5C</v>
          </cell>
          <cell r="C3085" t="str">
            <v>P</v>
          </cell>
          <cell r="D3085" t="str">
            <v>23096</v>
          </cell>
          <cell r="E3085" t="str">
            <v>90 ELL</v>
          </cell>
          <cell r="F3085">
            <v>2</v>
          </cell>
          <cell r="G3085" t="str">
            <v>CB300108000200</v>
          </cell>
          <cell r="H3085">
            <v>2</v>
          </cell>
          <cell r="I3085" t="str">
            <v>--</v>
          </cell>
          <cell r="J3085">
            <v>11</v>
          </cell>
          <cell r="K3085">
            <v>13</v>
          </cell>
        </row>
        <row r="3086">
          <cell r="A3086" t="str">
            <v>M2</v>
          </cell>
          <cell r="B3086" t="str">
            <v>A5C</v>
          </cell>
          <cell r="C3086" t="str">
            <v>P</v>
          </cell>
          <cell r="D3086" t="str">
            <v>23115</v>
          </cell>
          <cell r="E3086" t="str">
            <v>90 ELL</v>
          </cell>
          <cell r="F3086">
            <v>2</v>
          </cell>
          <cell r="G3086" t="str">
            <v>CB300108000200</v>
          </cell>
          <cell r="H3086">
            <v>2</v>
          </cell>
          <cell r="I3086" t="str">
            <v>--</v>
          </cell>
          <cell r="J3086">
            <v>9</v>
          </cell>
          <cell r="K3086">
            <v>10</v>
          </cell>
        </row>
        <row r="3087">
          <cell r="A3087" t="str">
            <v>M2</v>
          </cell>
          <cell r="B3087" t="str">
            <v>A5C</v>
          </cell>
          <cell r="C3087" t="str">
            <v>P</v>
          </cell>
          <cell r="D3087" t="str">
            <v>23135</v>
          </cell>
          <cell r="E3087" t="str">
            <v>90 ELL</v>
          </cell>
          <cell r="F3087">
            <v>2</v>
          </cell>
          <cell r="G3087" t="str">
            <v>CB300108000200</v>
          </cell>
          <cell r="H3087">
            <v>2</v>
          </cell>
          <cell r="I3087" t="str">
            <v>--</v>
          </cell>
          <cell r="J3087">
            <v>11</v>
          </cell>
          <cell r="K3087">
            <v>13</v>
          </cell>
        </row>
        <row r="3088">
          <cell r="A3088" t="str">
            <v>M2</v>
          </cell>
          <cell r="B3088" t="str">
            <v>A5C</v>
          </cell>
          <cell r="C3088" t="str">
            <v>P</v>
          </cell>
          <cell r="D3088" t="str">
            <v>23192</v>
          </cell>
          <cell r="E3088" t="str">
            <v>90 ELL</v>
          </cell>
          <cell r="F3088">
            <v>2</v>
          </cell>
          <cell r="G3088" t="str">
            <v>CB300108000200</v>
          </cell>
          <cell r="H3088">
            <v>2</v>
          </cell>
          <cell r="I3088" t="str">
            <v>--</v>
          </cell>
          <cell r="J3088">
            <v>5</v>
          </cell>
          <cell r="K3088">
            <v>6</v>
          </cell>
        </row>
        <row r="3089">
          <cell r="A3089" t="str">
            <v>M2</v>
          </cell>
          <cell r="B3089" t="str">
            <v>A5C</v>
          </cell>
          <cell r="C3089" t="str">
            <v>P</v>
          </cell>
          <cell r="D3089" t="str">
            <v>23233</v>
          </cell>
          <cell r="E3089" t="str">
            <v>90 ELL</v>
          </cell>
          <cell r="F3089">
            <v>2</v>
          </cell>
          <cell r="G3089" t="str">
            <v>CB300108000200</v>
          </cell>
          <cell r="H3089">
            <v>2</v>
          </cell>
          <cell r="I3089" t="str">
            <v>--</v>
          </cell>
          <cell r="J3089">
            <v>5</v>
          </cell>
          <cell r="K3089">
            <v>6</v>
          </cell>
        </row>
        <row r="3090">
          <cell r="A3090" t="str">
            <v>M2</v>
          </cell>
          <cell r="B3090" t="str">
            <v>A5C</v>
          </cell>
          <cell r="C3090" t="str">
            <v>P</v>
          </cell>
          <cell r="D3090" t="str">
            <v>23251</v>
          </cell>
          <cell r="E3090" t="str">
            <v>90 ELL</v>
          </cell>
          <cell r="F3090">
            <v>2</v>
          </cell>
          <cell r="G3090" t="str">
            <v>CB300108000200</v>
          </cell>
          <cell r="H3090">
            <v>2</v>
          </cell>
          <cell r="I3090" t="str">
            <v>--</v>
          </cell>
          <cell r="J3090">
            <v>4</v>
          </cell>
          <cell r="K3090">
            <v>5</v>
          </cell>
        </row>
        <row r="3091">
          <cell r="A3091" t="str">
            <v>M2</v>
          </cell>
          <cell r="B3091" t="str">
            <v>A5C</v>
          </cell>
          <cell r="C3091" t="str">
            <v>P</v>
          </cell>
          <cell r="D3091" t="str">
            <v>23253</v>
          </cell>
          <cell r="E3091" t="str">
            <v>90 ELL</v>
          </cell>
          <cell r="F3091">
            <v>2</v>
          </cell>
          <cell r="G3091" t="str">
            <v>CB300108000200</v>
          </cell>
          <cell r="H3091">
            <v>2</v>
          </cell>
          <cell r="I3091" t="str">
            <v>--</v>
          </cell>
          <cell r="J3091">
            <v>1</v>
          </cell>
          <cell r="K3091">
            <v>2</v>
          </cell>
        </row>
        <row r="3092">
          <cell r="A3092" t="str">
            <v>M2</v>
          </cell>
          <cell r="B3092" t="str">
            <v>A5C</v>
          </cell>
          <cell r="C3092" t="str">
            <v>P</v>
          </cell>
          <cell r="D3092" t="str">
            <v>23255</v>
          </cell>
          <cell r="E3092" t="str">
            <v>90 ELL</v>
          </cell>
          <cell r="F3092">
            <v>2</v>
          </cell>
          <cell r="G3092" t="str">
            <v>CB300108000200</v>
          </cell>
          <cell r="H3092">
            <v>2</v>
          </cell>
          <cell r="I3092" t="str">
            <v>--</v>
          </cell>
          <cell r="J3092">
            <v>5</v>
          </cell>
          <cell r="K3092">
            <v>6</v>
          </cell>
        </row>
        <row r="3093">
          <cell r="A3093" t="str">
            <v>M2</v>
          </cell>
          <cell r="B3093" t="str">
            <v>A5C</v>
          </cell>
          <cell r="C3093" t="str">
            <v>P</v>
          </cell>
          <cell r="D3093" t="str">
            <v>23261</v>
          </cell>
          <cell r="E3093" t="str">
            <v>90 ELL</v>
          </cell>
          <cell r="F3093">
            <v>2</v>
          </cell>
          <cell r="G3093" t="str">
            <v>CB300108000200</v>
          </cell>
          <cell r="H3093">
            <v>2</v>
          </cell>
          <cell r="I3093" t="str">
            <v>--</v>
          </cell>
          <cell r="J3093">
            <v>4</v>
          </cell>
          <cell r="K3093">
            <v>5</v>
          </cell>
        </row>
        <row r="3094">
          <cell r="A3094" t="str">
            <v>M2</v>
          </cell>
          <cell r="B3094" t="str">
            <v>A5C</v>
          </cell>
          <cell r="C3094" t="str">
            <v>P</v>
          </cell>
          <cell r="D3094" t="str">
            <v>24006</v>
          </cell>
          <cell r="E3094" t="str">
            <v>90 ELL</v>
          </cell>
          <cell r="F3094">
            <v>2</v>
          </cell>
          <cell r="G3094" t="str">
            <v>CB300108000200</v>
          </cell>
          <cell r="H3094">
            <v>2</v>
          </cell>
          <cell r="I3094" t="str">
            <v>--</v>
          </cell>
          <cell r="J3094">
            <v>2</v>
          </cell>
          <cell r="K3094">
            <v>3</v>
          </cell>
        </row>
        <row r="3095">
          <cell r="A3095" t="str">
            <v>M2</v>
          </cell>
          <cell r="B3095" t="str">
            <v>A5C</v>
          </cell>
          <cell r="C3095" t="str">
            <v>TRIM</v>
          </cell>
          <cell r="D3095" t="str">
            <v>V-2316</v>
          </cell>
          <cell r="E3095" t="str">
            <v>90 ELL</v>
          </cell>
          <cell r="F3095">
            <v>2</v>
          </cell>
          <cell r="G3095" t="str">
            <v>CB300108000200</v>
          </cell>
          <cell r="H3095">
            <v>2</v>
          </cell>
          <cell r="I3095" t="str">
            <v>--</v>
          </cell>
          <cell r="J3095">
            <v>2</v>
          </cell>
          <cell r="K3095">
            <v>3</v>
          </cell>
        </row>
        <row r="3096">
          <cell r="A3096" t="str">
            <v>M2</v>
          </cell>
          <cell r="B3096" t="str">
            <v>A5C</v>
          </cell>
          <cell r="C3096" t="str">
            <v>P</v>
          </cell>
          <cell r="D3096" t="str">
            <v>23102</v>
          </cell>
          <cell r="E3096" t="str">
            <v>90 ELL</v>
          </cell>
          <cell r="F3096">
            <v>2</v>
          </cell>
          <cell r="G3096" t="str">
            <v>CB300108000200</v>
          </cell>
          <cell r="H3096">
            <v>2</v>
          </cell>
          <cell r="I3096" t="str">
            <v>--</v>
          </cell>
          <cell r="J3096">
            <v>2</v>
          </cell>
          <cell r="K3096">
            <v>3</v>
          </cell>
        </row>
        <row r="3097">
          <cell r="A3097" t="str">
            <v>M2</v>
          </cell>
          <cell r="B3097" t="str">
            <v>A5C</v>
          </cell>
          <cell r="C3097" t="str">
            <v>P</v>
          </cell>
          <cell r="D3097" t="str">
            <v>23131</v>
          </cell>
          <cell r="E3097" t="str">
            <v>90 ELL</v>
          </cell>
          <cell r="F3097">
            <v>2</v>
          </cell>
          <cell r="G3097" t="str">
            <v>CB300108000200</v>
          </cell>
          <cell r="H3097">
            <v>2</v>
          </cell>
          <cell r="I3097" t="str">
            <v>--</v>
          </cell>
          <cell r="J3097">
            <v>9</v>
          </cell>
          <cell r="K3097">
            <v>10</v>
          </cell>
        </row>
        <row r="3098">
          <cell r="A3098" t="str">
            <v>M2</v>
          </cell>
          <cell r="B3098" t="str">
            <v>A5C</v>
          </cell>
          <cell r="C3098" t="str">
            <v>P</v>
          </cell>
          <cell r="D3098" t="str">
            <v>23192</v>
          </cell>
          <cell r="E3098" t="str">
            <v>90 ELL</v>
          </cell>
          <cell r="F3098">
            <v>2</v>
          </cell>
          <cell r="G3098" t="str">
            <v>CB300108000200</v>
          </cell>
          <cell r="H3098">
            <v>2</v>
          </cell>
          <cell r="I3098" t="str">
            <v>--</v>
          </cell>
          <cell r="J3098">
            <v>5</v>
          </cell>
          <cell r="K3098">
            <v>6</v>
          </cell>
        </row>
        <row r="3099">
          <cell r="A3099" t="str">
            <v>M2</v>
          </cell>
          <cell r="B3099" t="str">
            <v>A5C</v>
          </cell>
          <cell r="C3099" t="str">
            <v>P</v>
          </cell>
          <cell r="D3099" t="str">
            <v>23229</v>
          </cell>
          <cell r="E3099" t="str">
            <v>90 ELL</v>
          </cell>
          <cell r="F3099">
            <v>2</v>
          </cell>
          <cell r="G3099" t="str">
            <v>CB300108000200</v>
          </cell>
          <cell r="H3099">
            <v>2</v>
          </cell>
          <cell r="I3099" t="str">
            <v>--</v>
          </cell>
          <cell r="J3099">
            <v>4</v>
          </cell>
          <cell r="K3099">
            <v>5</v>
          </cell>
        </row>
        <row r="3100">
          <cell r="A3100" t="str">
            <v>M2</v>
          </cell>
          <cell r="B3100" t="str">
            <v>A5C</v>
          </cell>
          <cell r="C3100" t="str">
            <v>P</v>
          </cell>
          <cell r="D3100" t="str">
            <v>23231</v>
          </cell>
          <cell r="E3100" t="str">
            <v>90 ELL</v>
          </cell>
          <cell r="F3100">
            <v>2</v>
          </cell>
          <cell r="G3100" t="str">
            <v>CB300108000200</v>
          </cell>
          <cell r="H3100">
            <v>2</v>
          </cell>
          <cell r="I3100" t="str">
            <v>--</v>
          </cell>
          <cell r="J3100">
            <v>1</v>
          </cell>
          <cell r="K3100">
            <v>2</v>
          </cell>
        </row>
        <row r="3101">
          <cell r="A3101" t="str">
            <v>M2</v>
          </cell>
          <cell r="B3101" t="str">
            <v>A5C</v>
          </cell>
          <cell r="C3101" t="str">
            <v>P</v>
          </cell>
          <cell r="D3101" t="str">
            <v>24021</v>
          </cell>
          <cell r="E3101" t="str">
            <v>90 ELL</v>
          </cell>
          <cell r="F3101">
            <v>2</v>
          </cell>
          <cell r="G3101" t="str">
            <v>CB300108000200</v>
          </cell>
          <cell r="H3101">
            <v>2</v>
          </cell>
          <cell r="I3101" t="str">
            <v>--</v>
          </cell>
          <cell r="J3101">
            <v>4</v>
          </cell>
          <cell r="K3101">
            <v>5</v>
          </cell>
        </row>
        <row r="3102">
          <cell r="A3102" t="str">
            <v>M2</v>
          </cell>
          <cell r="B3102" t="str">
            <v>A5C</v>
          </cell>
          <cell r="C3102" t="str">
            <v>P</v>
          </cell>
          <cell r="D3102" t="str">
            <v>23073</v>
          </cell>
          <cell r="E3102" t="str">
            <v>C SWG</v>
          </cell>
          <cell r="F3102">
            <v>2</v>
          </cell>
          <cell r="G3102" t="str">
            <v>CB1614080802IH</v>
          </cell>
          <cell r="H3102">
            <v>2</v>
          </cell>
          <cell r="I3102">
            <v>1.5</v>
          </cell>
          <cell r="J3102">
            <v>2</v>
          </cell>
          <cell r="K3102">
            <v>3</v>
          </cell>
        </row>
        <row r="3103">
          <cell r="A3103" t="str">
            <v>M2</v>
          </cell>
          <cell r="B3103" t="str">
            <v>A5C</v>
          </cell>
          <cell r="C3103" t="str">
            <v>P</v>
          </cell>
          <cell r="D3103" t="str">
            <v>23085</v>
          </cell>
          <cell r="E3103" t="str">
            <v>C SWG</v>
          </cell>
          <cell r="F3103">
            <v>2</v>
          </cell>
          <cell r="G3103" t="str">
            <v>CB1614080802IH</v>
          </cell>
          <cell r="H3103">
            <v>2</v>
          </cell>
          <cell r="I3103">
            <v>1.5</v>
          </cell>
          <cell r="J3103">
            <v>2</v>
          </cell>
          <cell r="K3103">
            <v>3</v>
          </cell>
        </row>
        <row r="3104">
          <cell r="A3104" t="str">
            <v>M2</v>
          </cell>
          <cell r="B3104" t="str">
            <v>A5C</v>
          </cell>
          <cell r="C3104" t="str">
            <v>P</v>
          </cell>
          <cell r="D3104" t="str">
            <v>23096</v>
          </cell>
          <cell r="E3104" t="str">
            <v>C SWG</v>
          </cell>
          <cell r="F3104">
            <v>2</v>
          </cell>
          <cell r="G3104" t="str">
            <v>CB1614080802IH</v>
          </cell>
          <cell r="H3104">
            <v>2</v>
          </cell>
          <cell r="I3104">
            <v>1.5</v>
          </cell>
          <cell r="J3104">
            <v>2</v>
          </cell>
          <cell r="K3104">
            <v>3</v>
          </cell>
        </row>
        <row r="3105">
          <cell r="A3105" t="str">
            <v>M2</v>
          </cell>
          <cell r="B3105" t="str">
            <v>A5C</v>
          </cell>
          <cell r="C3105" t="str">
            <v>P</v>
          </cell>
          <cell r="D3105" t="str">
            <v>23135</v>
          </cell>
          <cell r="E3105" t="str">
            <v>C SWG</v>
          </cell>
          <cell r="F3105">
            <v>2</v>
          </cell>
          <cell r="G3105" t="str">
            <v>CB1614080802IH</v>
          </cell>
          <cell r="H3105">
            <v>2</v>
          </cell>
          <cell r="I3105">
            <v>1.5</v>
          </cell>
          <cell r="J3105">
            <v>2</v>
          </cell>
          <cell r="K3105">
            <v>3</v>
          </cell>
        </row>
        <row r="3106">
          <cell r="A3106" t="str">
            <v>M2</v>
          </cell>
          <cell r="B3106" t="str">
            <v>A5C</v>
          </cell>
          <cell r="C3106" t="str">
            <v>P</v>
          </cell>
          <cell r="D3106" t="str">
            <v>23230</v>
          </cell>
          <cell r="E3106" t="str">
            <v>C SWG</v>
          </cell>
          <cell r="F3106">
            <v>2</v>
          </cell>
          <cell r="G3106" t="str">
            <v>CB161408080201</v>
          </cell>
          <cell r="H3106">
            <v>2</v>
          </cell>
          <cell r="I3106">
            <v>1</v>
          </cell>
          <cell r="J3106">
            <v>2</v>
          </cell>
          <cell r="K3106">
            <v>3</v>
          </cell>
        </row>
        <row r="3107">
          <cell r="A3107" t="str">
            <v>M2</v>
          </cell>
          <cell r="B3107" t="str">
            <v>A5C</v>
          </cell>
          <cell r="C3107" t="str">
            <v>P</v>
          </cell>
          <cell r="D3107" t="str">
            <v>23252</v>
          </cell>
          <cell r="E3107" t="str">
            <v>C SWG</v>
          </cell>
          <cell r="F3107">
            <v>2</v>
          </cell>
          <cell r="G3107" t="str">
            <v>CB161408080201</v>
          </cell>
          <cell r="H3107">
            <v>2</v>
          </cell>
          <cell r="I3107">
            <v>1</v>
          </cell>
          <cell r="J3107">
            <v>2</v>
          </cell>
          <cell r="K3107">
            <v>3</v>
          </cell>
        </row>
        <row r="3108">
          <cell r="A3108" t="str">
            <v>M2</v>
          </cell>
          <cell r="B3108" t="str">
            <v>A5C</v>
          </cell>
          <cell r="C3108" t="str">
            <v>P</v>
          </cell>
          <cell r="D3108" t="str">
            <v>23261</v>
          </cell>
          <cell r="E3108" t="str">
            <v>C SWG</v>
          </cell>
          <cell r="F3108">
            <v>2</v>
          </cell>
          <cell r="G3108" t="str">
            <v>CB161408080201</v>
          </cell>
          <cell r="H3108">
            <v>2</v>
          </cell>
          <cell r="I3108">
            <v>1</v>
          </cell>
          <cell r="J3108">
            <v>1</v>
          </cell>
          <cell r="K3108">
            <v>2</v>
          </cell>
        </row>
        <row r="3109">
          <cell r="A3109" t="str">
            <v>M2</v>
          </cell>
          <cell r="B3109" t="str">
            <v>A5C</v>
          </cell>
          <cell r="C3109" t="str">
            <v>P</v>
          </cell>
          <cell r="D3109" t="str">
            <v>24021</v>
          </cell>
          <cell r="E3109" t="str">
            <v>C SWG</v>
          </cell>
          <cell r="F3109">
            <v>2</v>
          </cell>
          <cell r="G3109" t="str">
            <v>CB1614080802IH</v>
          </cell>
          <cell r="H3109">
            <v>2</v>
          </cell>
          <cell r="I3109">
            <v>1.5</v>
          </cell>
          <cell r="J3109">
            <v>2</v>
          </cell>
          <cell r="K3109">
            <v>3</v>
          </cell>
        </row>
        <row r="3110">
          <cell r="A3110" t="str">
            <v>M2</v>
          </cell>
          <cell r="B3110" t="str">
            <v>A5C</v>
          </cell>
          <cell r="C3110" t="str">
            <v>P</v>
          </cell>
          <cell r="D3110" t="str">
            <v>23102</v>
          </cell>
          <cell r="E3110" t="str">
            <v>C SWG</v>
          </cell>
          <cell r="F3110">
            <v>2</v>
          </cell>
          <cell r="G3110" t="str">
            <v>CB1614080802IH</v>
          </cell>
          <cell r="H3110">
            <v>2</v>
          </cell>
          <cell r="I3110">
            <v>1.5</v>
          </cell>
          <cell r="J3110">
            <v>2</v>
          </cell>
          <cell r="K3110">
            <v>3</v>
          </cell>
        </row>
        <row r="3111">
          <cell r="A3111" t="str">
            <v>M2</v>
          </cell>
          <cell r="B3111" t="str">
            <v>A5C</v>
          </cell>
          <cell r="C3111" t="str">
            <v>P</v>
          </cell>
          <cell r="D3111" t="str">
            <v>24007</v>
          </cell>
          <cell r="E3111" t="str">
            <v>C SWG</v>
          </cell>
          <cell r="F3111">
            <v>2</v>
          </cell>
          <cell r="G3111" t="str">
            <v>CB161408080201</v>
          </cell>
          <cell r="H3111">
            <v>2</v>
          </cell>
          <cell r="I3111">
            <v>1</v>
          </cell>
          <cell r="J3111">
            <v>1</v>
          </cell>
          <cell r="K3111">
            <v>2</v>
          </cell>
        </row>
        <row r="3112">
          <cell r="A3112" t="str">
            <v>M2</v>
          </cell>
          <cell r="B3112" t="str">
            <v>A5C</v>
          </cell>
          <cell r="C3112" t="str">
            <v>P</v>
          </cell>
          <cell r="D3112" t="str">
            <v>24013</v>
          </cell>
          <cell r="E3112" t="str">
            <v>C SWG</v>
          </cell>
          <cell r="F3112">
            <v>2</v>
          </cell>
          <cell r="G3112" t="str">
            <v>CB161408080201</v>
          </cell>
          <cell r="H3112">
            <v>2</v>
          </cell>
          <cell r="I3112">
            <v>1</v>
          </cell>
          <cell r="J3112">
            <v>2</v>
          </cell>
          <cell r="K3112">
            <v>3</v>
          </cell>
        </row>
        <row r="3113">
          <cell r="A3113" t="str">
            <v>M2</v>
          </cell>
          <cell r="B3113" t="str">
            <v>A5C</v>
          </cell>
          <cell r="C3113" t="str">
            <v>P</v>
          </cell>
          <cell r="D3113" t="str">
            <v>23115</v>
          </cell>
          <cell r="E3113" t="str">
            <v>E SWG</v>
          </cell>
          <cell r="F3113">
            <v>2</v>
          </cell>
          <cell r="G3113" t="str">
            <v>CB1624080802IH</v>
          </cell>
          <cell r="H3113">
            <v>2</v>
          </cell>
          <cell r="I3113">
            <v>1.5</v>
          </cell>
          <cell r="J3113">
            <v>2</v>
          </cell>
          <cell r="K3113">
            <v>3</v>
          </cell>
        </row>
        <row r="3114">
          <cell r="A3114" t="str">
            <v>M2</v>
          </cell>
          <cell r="B3114" t="str">
            <v>A5C</v>
          </cell>
          <cell r="C3114" t="str">
            <v>P</v>
          </cell>
          <cell r="D3114" t="str">
            <v>23188</v>
          </cell>
          <cell r="E3114" t="str">
            <v>E SWG</v>
          </cell>
          <cell r="F3114">
            <v>2</v>
          </cell>
          <cell r="G3114" t="str">
            <v>CB16240808020T</v>
          </cell>
          <cell r="H3114">
            <v>2</v>
          </cell>
          <cell r="I3114">
            <v>0.75</v>
          </cell>
          <cell r="J3114">
            <v>2</v>
          </cell>
          <cell r="K3114">
            <v>3</v>
          </cell>
        </row>
        <row r="3115">
          <cell r="A3115" t="str">
            <v>M2</v>
          </cell>
          <cell r="B3115" t="str">
            <v>A5C</v>
          </cell>
          <cell r="C3115" t="str">
            <v>P</v>
          </cell>
          <cell r="D3115" t="str">
            <v>23192</v>
          </cell>
          <cell r="E3115" t="str">
            <v>E SWG</v>
          </cell>
          <cell r="F3115">
            <v>2</v>
          </cell>
          <cell r="G3115" t="str">
            <v>CB1624080802IH</v>
          </cell>
          <cell r="H3115">
            <v>2</v>
          </cell>
          <cell r="I3115">
            <v>1.5</v>
          </cell>
          <cell r="J3115">
            <v>2</v>
          </cell>
          <cell r="K3115">
            <v>3</v>
          </cell>
        </row>
        <row r="3116">
          <cell r="A3116" t="str">
            <v>M2</v>
          </cell>
          <cell r="B3116" t="str">
            <v>A5C</v>
          </cell>
          <cell r="C3116" t="str">
            <v>P</v>
          </cell>
          <cell r="D3116" t="str">
            <v>23001</v>
          </cell>
          <cell r="E3116" t="str">
            <v>E SWG</v>
          </cell>
          <cell r="F3116">
            <v>2</v>
          </cell>
          <cell r="G3116" t="str">
            <v>CB1624080802IH</v>
          </cell>
          <cell r="H3116">
            <v>2</v>
          </cell>
          <cell r="I3116">
            <v>1.5</v>
          </cell>
          <cell r="J3116">
            <v>2</v>
          </cell>
          <cell r="K3116">
            <v>3</v>
          </cell>
        </row>
        <row r="3117">
          <cell r="A3117" t="str">
            <v>M2</v>
          </cell>
          <cell r="B3117" t="str">
            <v>A5C</v>
          </cell>
          <cell r="C3117" t="str">
            <v>P</v>
          </cell>
          <cell r="D3117" t="str">
            <v>23035</v>
          </cell>
          <cell r="E3117" t="str">
            <v>E SWG</v>
          </cell>
          <cell r="F3117">
            <v>2</v>
          </cell>
          <cell r="G3117" t="str">
            <v>CB1624080802IH</v>
          </cell>
          <cell r="H3117">
            <v>2</v>
          </cell>
          <cell r="I3117">
            <v>1.5</v>
          </cell>
          <cell r="J3117">
            <v>2</v>
          </cell>
          <cell r="K3117">
            <v>3</v>
          </cell>
        </row>
        <row r="3118">
          <cell r="A3118" t="str">
            <v>M2</v>
          </cell>
          <cell r="B3118" t="str">
            <v>A5C</v>
          </cell>
          <cell r="C3118" t="str">
            <v>P</v>
          </cell>
          <cell r="D3118" t="str">
            <v>23073</v>
          </cell>
          <cell r="E3118" t="str">
            <v>SOL</v>
          </cell>
          <cell r="F3118">
            <v>2</v>
          </cell>
          <cell r="G3118" t="str">
            <v>CB39020000020T</v>
          </cell>
          <cell r="H3118">
            <v>2</v>
          </cell>
          <cell r="I3118">
            <v>0.75</v>
          </cell>
          <cell r="J3118">
            <v>2</v>
          </cell>
          <cell r="K3118">
            <v>3</v>
          </cell>
        </row>
        <row r="3119">
          <cell r="A3119" t="str">
            <v>M2</v>
          </cell>
          <cell r="B3119" t="str">
            <v>A5C</v>
          </cell>
          <cell r="C3119" t="str">
            <v>P</v>
          </cell>
          <cell r="D3119" t="str">
            <v>23085</v>
          </cell>
          <cell r="E3119" t="str">
            <v>SOL</v>
          </cell>
          <cell r="F3119">
            <v>2</v>
          </cell>
          <cell r="G3119" t="str">
            <v>CB39020000020T</v>
          </cell>
          <cell r="H3119">
            <v>2</v>
          </cell>
          <cell r="I3119">
            <v>0.75</v>
          </cell>
          <cell r="J3119">
            <v>3</v>
          </cell>
          <cell r="K3119">
            <v>4</v>
          </cell>
        </row>
        <row r="3120">
          <cell r="A3120" t="str">
            <v>M2</v>
          </cell>
          <cell r="B3120" t="str">
            <v>A5C</v>
          </cell>
          <cell r="C3120" t="str">
            <v>P</v>
          </cell>
          <cell r="D3120" t="str">
            <v>23102</v>
          </cell>
          <cell r="E3120" t="str">
            <v>SOL</v>
          </cell>
          <cell r="F3120">
            <v>2</v>
          </cell>
          <cell r="G3120" t="str">
            <v>CB390200000201</v>
          </cell>
          <cell r="H3120">
            <v>2</v>
          </cell>
          <cell r="I3120">
            <v>1</v>
          </cell>
          <cell r="J3120">
            <v>1</v>
          </cell>
          <cell r="K3120">
            <v>2</v>
          </cell>
        </row>
        <row r="3121">
          <cell r="A3121" t="str">
            <v>M2</v>
          </cell>
          <cell r="B3121" t="str">
            <v>A5C</v>
          </cell>
          <cell r="C3121" t="str">
            <v>P</v>
          </cell>
          <cell r="D3121" t="str">
            <v>23192</v>
          </cell>
          <cell r="E3121" t="str">
            <v>SOL</v>
          </cell>
          <cell r="F3121">
            <v>2</v>
          </cell>
          <cell r="G3121" t="str">
            <v>CB39020000020T</v>
          </cell>
          <cell r="H3121">
            <v>2</v>
          </cell>
          <cell r="I3121">
            <v>0.75</v>
          </cell>
          <cell r="J3121">
            <v>3</v>
          </cell>
          <cell r="K3121">
            <v>4</v>
          </cell>
        </row>
        <row r="3122">
          <cell r="A3122" t="str">
            <v>M2</v>
          </cell>
          <cell r="B3122" t="str">
            <v>A5C</v>
          </cell>
          <cell r="C3122" t="str">
            <v>P</v>
          </cell>
          <cell r="D3122" t="str">
            <v>23192</v>
          </cell>
          <cell r="E3122" t="str">
            <v>SOL</v>
          </cell>
          <cell r="F3122">
            <v>2</v>
          </cell>
          <cell r="G3122" t="str">
            <v>CB3902000002IH</v>
          </cell>
          <cell r="H3122">
            <v>2</v>
          </cell>
          <cell r="I3122">
            <v>1.5</v>
          </cell>
          <cell r="J3122">
            <v>2</v>
          </cell>
          <cell r="K3122">
            <v>3</v>
          </cell>
        </row>
        <row r="3123">
          <cell r="A3123" t="str">
            <v>M2</v>
          </cell>
          <cell r="B3123" t="str">
            <v>A5C</v>
          </cell>
          <cell r="C3123" t="str">
            <v>P</v>
          </cell>
          <cell r="D3123" t="str">
            <v>23229</v>
          </cell>
          <cell r="E3123" t="str">
            <v>SOL</v>
          </cell>
          <cell r="F3123">
            <v>2</v>
          </cell>
          <cell r="G3123" t="str">
            <v>CB39020000020T</v>
          </cell>
          <cell r="H3123">
            <v>2</v>
          </cell>
          <cell r="I3123">
            <v>0.75</v>
          </cell>
          <cell r="J3123">
            <v>1</v>
          </cell>
          <cell r="K3123">
            <v>2</v>
          </cell>
        </row>
        <row r="3124">
          <cell r="A3124" t="str">
            <v>M2</v>
          </cell>
          <cell r="B3124" t="str">
            <v>A5C</v>
          </cell>
          <cell r="C3124" t="str">
            <v>P</v>
          </cell>
          <cell r="D3124" t="str">
            <v>23251</v>
          </cell>
          <cell r="E3124" t="str">
            <v>SOL</v>
          </cell>
          <cell r="F3124">
            <v>2</v>
          </cell>
          <cell r="G3124" t="str">
            <v>CB39020000020T</v>
          </cell>
          <cell r="H3124">
            <v>2</v>
          </cell>
          <cell r="I3124">
            <v>0.75</v>
          </cell>
          <cell r="J3124">
            <v>1</v>
          </cell>
          <cell r="K3124">
            <v>2</v>
          </cell>
        </row>
        <row r="3125">
          <cell r="A3125" t="str">
            <v>M2</v>
          </cell>
          <cell r="B3125" t="str">
            <v>A5C</v>
          </cell>
          <cell r="C3125" t="str">
            <v>P</v>
          </cell>
          <cell r="D3125" t="str">
            <v>23253</v>
          </cell>
          <cell r="E3125" t="str">
            <v>SOL</v>
          </cell>
          <cell r="F3125">
            <v>2</v>
          </cell>
          <cell r="G3125" t="str">
            <v>CB3902000002IH</v>
          </cell>
          <cell r="H3125">
            <v>2</v>
          </cell>
          <cell r="I3125">
            <v>1.5</v>
          </cell>
          <cell r="J3125">
            <v>1</v>
          </cell>
          <cell r="K3125">
            <v>2</v>
          </cell>
        </row>
        <row r="3126">
          <cell r="A3126" t="str">
            <v>M2</v>
          </cell>
          <cell r="B3126" t="str">
            <v>A5C</v>
          </cell>
          <cell r="C3126" t="str">
            <v>P</v>
          </cell>
          <cell r="D3126" t="str">
            <v>23261</v>
          </cell>
          <cell r="E3126" t="str">
            <v>SOL</v>
          </cell>
          <cell r="F3126">
            <v>2</v>
          </cell>
          <cell r="G3126" t="str">
            <v>CB390200000201</v>
          </cell>
          <cell r="H3126">
            <v>2</v>
          </cell>
          <cell r="I3126">
            <v>1</v>
          </cell>
          <cell r="J3126">
            <v>1</v>
          </cell>
          <cell r="K3126">
            <v>2</v>
          </cell>
        </row>
        <row r="3127">
          <cell r="A3127" t="str">
            <v>M2</v>
          </cell>
          <cell r="B3127" t="str">
            <v>A5C</v>
          </cell>
          <cell r="C3127" t="str">
            <v>P</v>
          </cell>
          <cell r="D3127" t="str">
            <v>24006</v>
          </cell>
          <cell r="E3127" t="str">
            <v>SOL</v>
          </cell>
          <cell r="F3127">
            <v>2</v>
          </cell>
          <cell r="G3127" t="str">
            <v>CB39020000020T</v>
          </cell>
          <cell r="H3127">
            <v>2</v>
          </cell>
          <cell r="I3127">
            <v>0.75</v>
          </cell>
          <cell r="J3127">
            <v>1</v>
          </cell>
          <cell r="K3127">
            <v>2</v>
          </cell>
        </row>
        <row r="3128">
          <cell r="A3128" t="str">
            <v>M2</v>
          </cell>
          <cell r="B3128" t="str">
            <v>A5C</v>
          </cell>
          <cell r="C3128" t="str">
            <v>P</v>
          </cell>
          <cell r="D3128" t="str">
            <v>24021</v>
          </cell>
          <cell r="E3128" t="str">
            <v>SOL</v>
          </cell>
          <cell r="F3128">
            <v>2</v>
          </cell>
          <cell r="G3128" t="str">
            <v>CB39020000020T</v>
          </cell>
          <cell r="H3128">
            <v>2</v>
          </cell>
          <cell r="I3128">
            <v>0.75</v>
          </cell>
          <cell r="J3128">
            <v>2</v>
          </cell>
          <cell r="K3128">
            <v>3</v>
          </cell>
        </row>
        <row r="3129">
          <cell r="A3129" t="str">
            <v>M2</v>
          </cell>
          <cell r="B3129" t="str">
            <v>A5C</v>
          </cell>
          <cell r="C3129" t="str">
            <v>P</v>
          </cell>
          <cell r="D3129" t="str">
            <v>24020</v>
          </cell>
          <cell r="E3129" t="str">
            <v>SOL</v>
          </cell>
          <cell r="F3129">
            <v>2</v>
          </cell>
          <cell r="G3129" t="str">
            <v>CB390200000201</v>
          </cell>
          <cell r="H3129">
            <v>2</v>
          </cell>
          <cell r="I3129">
            <v>1</v>
          </cell>
          <cell r="J3129">
            <v>1</v>
          </cell>
          <cell r="K3129">
            <v>2</v>
          </cell>
        </row>
        <row r="3130">
          <cell r="A3130" t="str">
            <v>M2</v>
          </cell>
          <cell r="B3130" t="str">
            <v>A5C</v>
          </cell>
          <cell r="C3130" t="str">
            <v>P</v>
          </cell>
          <cell r="D3130" t="str">
            <v>23096</v>
          </cell>
          <cell r="E3130" t="str">
            <v>SOL</v>
          </cell>
          <cell r="F3130">
            <v>2</v>
          </cell>
          <cell r="G3130" t="str">
            <v>CB39020000020T</v>
          </cell>
          <cell r="H3130">
            <v>2</v>
          </cell>
          <cell r="I3130">
            <v>0.75</v>
          </cell>
          <cell r="J3130">
            <v>4</v>
          </cell>
          <cell r="K3130">
            <v>5</v>
          </cell>
        </row>
        <row r="3131">
          <cell r="A3131" t="str">
            <v>M2</v>
          </cell>
          <cell r="B3131" t="str">
            <v>A5C</v>
          </cell>
          <cell r="C3131" t="str">
            <v>P</v>
          </cell>
          <cell r="D3131" t="str">
            <v>23102</v>
          </cell>
          <cell r="E3131" t="str">
            <v>SOL</v>
          </cell>
          <cell r="F3131">
            <v>2</v>
          </cell>
          <cell r="G3131" t="str">
            <v>CB39020000020T</v>
          </cell>
          <cell r="H3131">
            <v>2</v>
          </cell>
          <cell r="I3131">
            <v>0.75</v>
          </cell>
          <cell r="J3131">
            <v>2</v>
          </cell>
          <cell r="K3131">
            <v>3</v>
          </cell>
        </row>
        <row r="3132">
          <cell r="A3132" t="str">
            <v>M2</v>
          </cell>
          <cell r="B3132" t="str">
            <v>A5C</v>
          </cell>
          <cell r="C3132" t="str">
            <v>P</v>
          </cell>
          <cell r="D3132" t="str">
            <v>23135</v>
          </cell>
          <cell r="E3132" t="str">
            <v>SOL</v>
          </cell>
          <cell r="F3132">
            <v>2</v>
          </cell>
          <cell r="G3132" t="str">
            <v>CB39020000020T</v>
          </cell>
          <cell r="H3132">
            <v>2</v>
          </cell>
          <cell r="I3132">
            <v>0.75</v>
          </cell>
          <cell r="J3132">
            <v>4</v>
          </cell>
          <cell r="K3132">
            <v>5</v>
          </cell>
        </row>
        <row r="3133">
          <cell r="A3133" t="str">
            <v>M2</v>
          </cell>
          <cell r="B3133" t="str">
            <v>A5C</v>
          </cell>
          <cell r="C3133" t="str">
            <v>P</v>
          </cell>
          <cell r="D3133" t="str">
            <v>23192</v>
          </cell>
          <cell r="E3133" t="str">
            <v>SOL</v>
          </cell>
          <cell r="F3133">
            <v>2</v>
          </cell>
          <cell r="G3133" t="str">
            <v>CB39020000020T</v>
          </cell>
          <cell r="H3133">
            <v>2</v>
          </cell>
          <cell r="I3133">
            <v>0.75</v>
          </cell>
          <cell r="J3133">
            <v>1</v>
          </cell>
          <cell r="K3133">
            <v>2</v>
          </cell>
        </row>
        <row r="3134">
          <cell r="A3134" t="str">
            <v>M2</v>
          </cell>
          <cell r="B3134" t="str">
            <v>A5C</v>
          </cell>
          <cell r="C3134" t="str">
            <v>P</v>
          </cell>
          <cell r="D3134" t="str">
            <v>23231</v>
          </cell>
          <cell r="E3134" t="str">
            <v>SOL</v>
          </cell>
          <cell r="F3134">
            <v>2</v>
          </cell>
          <cell r="G3134" t="str">
            <v>CB3902000002IH</v>
          </cell>
          <cell r="H3134">
            <v>2</v>
          </cell>
          <cell r="I3134">
            <v>1.5</v>
          </cell>
          <cell r="J3134">
            <v>1</v>
          </cell>
          <cell r="K3134">
            <v>2</v>
          </cell>
        </row>
        <row r="3135">
          <cell r="A3135" t="str">
            <v>M2</v>
          </cell>
          <cell r="B3135" t="str">
            <v>A5C</v>
          </cell>
          <cell r="C3135" t="str">
            <v>P</v>
          </cell>
          <cell r="D3135" t="str">
            <v>23001</v>
          </cell>
          <cell r="E3135" t="str">
            <v>TEE</v>
          </cell>
          <cell r="F3135">
            <v>2</v>
          </cell>
          <cell r="G3135" t="str">
            <v>CB300308000200</v>
          </cell>
          <cell r="H3135">
            <v>2</v>
          </cell>
          <cell r="I3135" t="str">
            <v>--</v>
          </cell>
          <cell r="J3135">
            <v>1</v>
          </cell>
          <cell r="K3135">
            <v>2</v>
          </cell>
        </row>
        <row r="3136">
          <cell r="A3136" t="str">
            <v>M2</v>
          </cell>
          <cell r="B3136" t="str">
            <v>A5C</v>
          </cell>
          <cell r="C3136" t="str">
            <v>P</v>
          </cell>
          <cell r="D3136" t="str">
            <v>23073</v>
          </cell>
          <cell r="E3136" t="str">
            <v>TEE</v>
          </cell>
          <cell r="F3136">
            <v>2</v>
          </cell>
          <cell r="G3136" t="str">
            <v>CB300308000200</v>
          </cell>
          <cell r="H3136">
            <v>2</v>
          </cell>
          <cell r="I3136" t="str">
            <v>--</v>
          </cell>
          <cell r="J3136">
            <v>1</v>
          </cell>
          <cell r="K3136">
            <v>2</v>
          </cell>
        </row>
        <row r="3137">
          <cell r="A3137" t="str">
            <v>M2</v>
          </cell>
          <cell r="B3137" t="str">
            <v>A5C</v>
          </cell>
          <cell r="C3137" t="str">
            <v>P</v>
          </cell>
          <cell r="D3137" t="str">
            <v>23085</v>
          </cell>
          <cell r="E3137" t="str">
            <v>TEE</v>
          </cell>
          <cell r="F3137">
            <v>2</v>
          </cell>
          <cell r="G3137" t="str">
            <v>CB300308000200</v>
          </cell>
          <cell r="H3137">
            <v>2</v>
          </cell>
          <cell r="I3137" t="str">
            <v>--</v>
          </cell>
          <cell r="J3137">
            <v>1</v>
          </cell>
          <cell r="K3137">
            <v>2</v>
          </cell>
        </row>
        <row r="3138">
          <cell r="A3138" t="str">
            <v>M2</v>
          </cell>
          <cell r="B3138" t="str">
            <v>A5C</v>
          </cell>
          <cell r="C3138" t="str">
            <v>P</v>
          </cell>
          <cell r="D3138" t="str">
            <v>23096</v>
          </cell>
          <cell r="E3138" t="str">
            <v>TEE</v>
          </cell>
          <cell r="F3138">
            <v>2</v>
          </cell>
          <cell r="G3138" t="str">
            <v>CB300308000200</v>
          </cell>
          <cell r="H3138">
            <v>2</v>
          </cell>
          <cell r="I3138" t="str">
            <v>--</v>
          </cell>
          <cell r="J3138">
            <v>3</v>
          </cell>
          <cell r="K3138">
            <v>4</v>
          </cell>
        </row>
        <row r="3139">
          <cell r="A3139" t="str">
            <v>M2</v>
          </cell>
          <cell r="B3139" t="str">
            <v>A5C</v>
          </cell>
          <cell r="C3139" t="str">
            <v>P</v>
          </cell>
          <cell r="D3139" t="str">
            <v>23102</v>
          </cell>
          <cell r="E3139" t="str">
            <v>TEE</v>
          </cell>
          <cell r="F3139">
            <v>2</v>
          </cell>
          <cell r="G3139" t="str">
            <v>CB300308000200</v>
          </cell>
          <cell r="H3139">
            <v>2</v>
          </cell>
          <cell r="I3139" t="str">
            <v>--</v>
          </cell>
          <cell r="J3139">
            <v>1</v>
          </cell>
          <cell r="K3139">
            <v>2</v>
          </cell>
        </row>
        <row r="3140">
          <cell r="A3140" t="str">
            <v>M2</v>
          </cell>
          <cell r="B3140" t="str">
            <v>A5C</v>
          </cell>
          <cell r="C3140" t="str">
            <v>P</v>
          </cell>
          <cell r="D3140" t="str">
            <v>23115</v>
          </cell>
          <cell r="E3140" t="str">
            <v>TEE</v>
          </cell>
          <cell r="F3140">
            <v>2</v>
          </cell>
          <cell r="G3140" t="str">
            <v>CB300308000200</v>
          </cell>
          <cell r="H3140">
            <v>2</v>
          </cell>
          <cell r="I3140" t="str">
            <v>--</v>
          </cell>
          <cell r="J3140">
            <v>1</v>
          </cell>
          <cell r="K3140">
            <v>2</v>
          </cell>
        </row>
        <row r="3141">
          <cell r="A3141" t="str">
            <v>M2</v>
          </cell>
          <cell r="B3141" t="str">
            <v>A5C</v>
          </cell>
          <cell r="C3141" t="str">
            <v>P</v>
          </cell>
          <cell r="D3141" t="str">
            <v>23261</v>
          </cell>
          <cell r="E3141" t="str">
            <v>TEE</v>
          </cell>
          <cell r="F3141">
            <v>2</v>
          </cell>
          <cell r="G3141" t="str">
            <v>CB300308000200</v>
          </cell>
          <cell r="H3141">
            <v>2</v>
          </cell>
          <cell r="I3141" t="str">
            <v>--</v>
          </cell>
          <cell r="J3141">
            <v>2</v>
          </cell>
          <cell r="K3141">
            <v>3</v>
          </cell>
        </row>
        <row r="3142">
          <cell r="A3142" t="str">
            <v>M2</v>
          </cell>
          <cell r="B3142" t="str">
            <v>A5C</v>
          </cell>
          <cell r="C3142" t="str">
            <v>P</v>
          </cell>
          <cell r="D3142" t="str">
            <v>24021</v>
          </cell>
          <cell r="E3142" t="str">
            <v>TEE</v>
          </cell>
          <cell r="F3142">
            <v>2</v>
          </cell>
          <cell r="G3142" t="str">
            <v>CB300308000200</v>
          </cell>
          <cell r="H3142">
            <v>2</v>
          </cell>
          <cell r="I3142" t="str">
            <v>--</v>
          </cell>
          <cell r="J3142">
            <v>1</v>
          </cell>
          <cell r="K3142">
            <v>2</v>
          </cell>
        </row>
        <row r="3143">
          <cell r="A3143" t="str">
            <v>M2</v>
          </cell>
          <cell r="B3143" t="str">
            <v>A5C</v>
          </cell>
          <cell r="C3143" t="str">
            <v>P</v>
          </cell>
          <cell r="D3143" t="str">
            <v>23135</v>
          </cell>
          <cell r="E3143" t="str">
            <v>TEE</v>
          </cell>
          <cell r="F3143">
            <v>2</v>
          </cell>
          <cell r="G3143" t="str">
            <v>CB300308000200</v>
          </cell>
          <cell r="H3143">
            <v>2</v>
          </cell>
          <cell r="I3143" t="str">
            <v>--</v>
          </cell>
          <cell r="J3143">
            <v>3</v>
          </cell>
          <cell r="K3143">
            <v>4</v>
          </cell>
        </row>
        <row r="3144">
          <cell r="A3144" t="str">
            <v>M2</v>
          </cell>
          <cell r="B3144" t="str">
            <v>A5C</v>
          </cell>
          <cell r="C3144" t="str">
            <v>P</v>
          </cell>
          <cell r="D3144" t="str">
            <v>HOLD1</v>
          </cell>
          <cell r="E3144" t="str">
            <v>TOL</v>
          </cell>
          <cell r="F3144">
            <v>2</v>
          </cell>
          <cell r="G3144" t="str">
            <v>CB39030000020T</v>
          </cell>
          <cell r="H3144">
            <v>2</v>
          </cell>
          <cell r="I3144">
            <v>0.75</v>
          </cell>
          <cell r="J3144">
            <v>1</v>
          </cell>
          <cell r="K3144">
            <v>2</v>
          </cell>
        </row>
        <row r="3145">
          <cell r="A3145" t="str">
            <v>M2</v>
          </cell>
          <cell r="B3145" t="str">
            <v>A5C</v>
          </cell>
          <cell r="C3145" t="str">
            <v>P</v>
          </cell>
          <cell r="D3145" t="str">
            <v>23263</v>
          </cell>
          <cell r="E3145" t="str">
            <v>90 ELL</v>
          </cell>
          <cell r="F3145">
            <v>2</v>
          </cell>
          <cell r="G3145" t="str">
            <v>CB300108000200</v>
          </cell>
          <cell r="H3145">
            <v>2</v>
          </cell>
          <cell r="I3145" t="str">
            <v>--</v>
          </cell>
          <cell r="J3145">
            <v>4</v>
          </cell>
          <cell r="K3145">
            <v>5</v>
          </cell>
        </row>
        <row r="3146">
          <cell r="A3146" t="str">
            <v>M2</v>
          </cell>
          <cell r="B3146" t="str">
            <v>A5C</v>
          </cell>
          <cell r="C3146" t="str">
            <v>P</v>
          </cell>
          <cell r="D3146" t="str">
            <v>23264</v>
          </cell>
          <cell r="E3146" t="str">
            <v>90 ELL</v>
          </cell>
          <cell r="F3146">
            <v>2</v>
          </cell>
          <cell r="G3146" t="str">
            <v>CB300108000200</v>
          </cell>
          <cell r="H3146">
            <v>2</v>
          </cell>
          <cell r="I3146" t="str">
            <v>--</v>
          </cell>
          <cell r="J3146">
            <v>5</v>
          </cell>
          <cell r="K3146">
            <v>6</v>
          </cell>
        </row>
        <row r="3147">
          <cell r="A3147" t="str">
            <v>M2</v>
          </cell>
          <cell r="B3147" t="str">
            <v>A5C</v>
          </cell>
          <cell r="C3147" t="str">
            <v>P</v>
          </cell>
          <cell r="D3147" t="str">
            <v>24009</v>
          </cell>
          <cell r="E3147" t="str">
            <v>90 ELL</v>
          </cell>
          <cell r="F3147">
            <v>2</v>
          </cell>
          <cell r="G3147" t="str">
            <v>CB300108000200</v>
          </cell>
          <cell r="H3147">
            <v>2</v>
          </cell>
          <cell r="I3147" t="str">
            <v>--</v>
          </cell>
          <cell r="J3147">
            <v>4</v>
          </cell>
          <cell r="K3147">
            <v>5</v>
          </cell>
        </row>
        <row r="3148">
          <cell r="A3148" t="str">
            <v>M2</v>
          </cell>
          <cell r="B3148" t="str">
            <v>A5C</v>
          </cell>
          <cell r="C3148" t="str">
            <v>TRIM</v>
          </cell>
          <cell r="D3148" t="str">
            <v>V-2352</v>
          </cell>
          <cell r="E3148" t="str">
            <v>90 ELL</v>
          </cell>
          <cell r="F3148">
            <v>2</v>
          </cell>
          <cell r="G3148" t="str">
            <v>CB300108000200</v>
          </cell>
          <cell r="H3148">
            <v>2</v>
          </cell>
          <cell r="I3148" t="str">
            <v>--</v>
          </cell>
          <cell r="J3148">
            <v>2</v>
          </cell>
          <cell r="K3148">
            <v>3</v>
          </cell>
        </row>
        <row r="3149">
          <cell r="A3149" t="str">
            <v>M2</v>
          </cell>
          <cell r="B3149" t="str">
            <v>A5C</v>
          </cell>
          <cell r="C3149" t="str">
            <v>TRIM</v>
          </cell>
          <cell r="D3149" t="str">
            <v>V-2352</v>
          </cell>
          <cell r="E3149" t="str">
            <v>CAP</v>
          </cell>
          <cell r="F3149">
            <v>2</v>
          </cell>
          <cell r="G3149" t="str">
            <v>CB300708000200</v>
          </cell>
          <cell r="H3149">
            <v>2</v>
          </cell>
          <cell r="I3149" t="str">
            <v>--</v>
          </cell>
          <cell r="J3149">
            <v>2</v>
          </cell>
          <cell r="K3149">
            <v>3</v>
          </cell>
        </row>
        <row r="3150">
          <cell r="A3150" t="str">
            <v>M2</v>
          </cell>
          <cell r="B3150" t="str">
            <v>A5C</v>
          </cell>
          <cell r="C3150" t="str">
            <v>P</v>
          </cell>
          <cell r="D3150" t="str">
            <v>23264</v>
          </cell>
          <cell r="E3150" t="str">
            <v>SOL</v>
          </cell>
          <cell r="F3150">
            <v>2</v>
          </cell>
          <cell r="G3150" t="str">
            <v>CB39020000020T</v>
          </cell>
          <cell r="H3150">
            <v>2</v>
          </cell>
          <cell r="I3150">
            <v>0.75</v>
          </cell>
          <cell r="J3150">
            <v>2</v>
          </cell>
          <cell r="K3150">
            <v>3</v>
          </cell>
        </row>
        <row r="3151">
          <cell r="A3151" t="str">
            <v>M2</v>
          </cell>
          <cell r="B3151" t="str">
            <v>A5C</v>
          </cell>
          <cell r="C3151" t="str">
            <v>TRIM</v>
          </cell>
          <cell r="D3151" t="str">
            <v>V-2352</v>
          </cell>
          <cell r="E3151" t="str">
            <v>SOL</v>
          </cell>
          <cell r="F3151">
            <v>2</v>
          </cell>
          <cell r="G3151" t="str">
            <v>CB39020000020T</v>
          </cell>
          <cell r="H3151">
            <v>2</v>
          </cell>
          <cell r="I3151">
            <v>0.75</v>
          </cell>
          <cell r="J3151">
            <v>5</v>
          </cell>
          <cell r="K3151">
            <v>6</v>
          </cell>
        </row>
        <row r="3152">
          <cell r="A3152" t="str">
            <v>M2</v>
          </cell>
          <cell r="B3152" t="str">
            <v>A5C</v>
          </cell>
          <cell r="C3152" t="str">
            <v>P</v>
          </cell>
          <cell r="D3152" t="str">
            <v>24009</v>
          </cell>
          <cell r="E3152" t="str">
            <v>TEE</v>
          </cell>
          <cell r="F3152">
            <v>2</v>
          </cell>
          <cell r="G3152" t="str">
            <v>CB300308000200</v>
          </cell>
          <cell r="H3152">
            <v>2</v>
          </cell>
          <cell r="I3152" t="str">
            <v>--</v>
          </cell>
          <cell r="J3152">
            <v>1</v>
          </cell>
          <cell r="K3152">
            <v>2</v>
          </cell>
        </row>
        <row r="3153">
          <cell r="A3153" t="str">
            <v>M2</v>
          </cell>
          <cell r="B3153" t="str">
            <v>A5C</v>
          </cell>
          <cell r="C3153" t="str">
            <v>TRIM</v>
          </cell>
          <cell r="D3153" t="str">
            <v>V-2352</v>
          </cell>
          <cell r="E3153" t="str">
            <v>TEE</v>
          </cell>
          <cell r="F3153">
            <v>2</v>
          </cell>
          <cell r="G3153" t="str">
            <v>CB300308000200</v>
          </cell>
          <cell r="H3153">
            <v>2</v>
          </cell>
          <cell r="I3153" t="str">
            <v>--</v>
          </cell>
          <cell r="J3153">
            <v>2</v>
          </cell>
          <cell r="K3153">
            <v>3</v>
          </cell>
        </row>
        <row r="3154">
          <cell r="A3154" t="str">
            <v>M2</v>
          </cell>
          <cell r="B3154" t="str">
            <v>A5C</v>
          </cell>
          <cell r="C3154" t="str">
            <v>P</v>
          </cell>
          <cell r="D3154" t="str">
            <v>23030</v>
          </cell>
          <cell r="E3154" t="str">
            <v>45 ELL</v>
          </cell>
          <cell r="F3154">
            <v>2</v>
          </cell>
          <cell r="G3154" t="str">
            <v>CB300208000200</v>
          </cell>
          <cell r="H3154">
            <v>2</v>
          </cell>
          <cell r="I3154" t="str">
            <v>--</v>
          </cell>
          <cell r="J3154">
            <v>1</v>
          </cell>
          <cell r="K3154">
            <v>2</v>
          </cell>
        </row>
        <row r="3155">
          <cell r="A3155" t="str">
            <v>M2</v>
          </cell>
          <cell r="B3155" t="str">
            <v>A5C</v>
          </cell>
          <cell r="C3155" t="str">
            <v>P</v>
          </cell>
          <cell r="D3155" t="str">
            <v>23019</v>
          </cell>
          <cell r="E3155" t="str">
            <v>90 ELL</v>
          </cell>
          <cell r="F3155">
            <v>2</v>
          </cell>
          <cell r="G3155" t="str">
            <v>CB300108000200</v>
          </cell>
          <cell r="H3155">
            <v>2</v>
          </cell>
          <cell r="I3155" t="str">
            <v>--</v>
          </cell>
          <cell r="J3155">
            <v>6</v>
          </cell>
          <cell r="K3155">
            <v>7</v>
          </cell>
        </row>
        <row r="3156">
          <cell r="A3156" t="str">
            <v>M2</v>
          </cell>
          <cell r="B3156" t="str">
            <v>A5C</v>
          </cell>
          <cell r="C3156" t="str">
            <v>P</v>
          </cell>
          <cell r="D3156" t="str">
            <v>23020</v>
          </cell>
          <cell r="E3156" t="str">
            <v>90 ELL</v>
          </cell>
          <cell r="F3156">
            <v>2</v>
          </cell>
          <cell r="G3156" t="str">
            <v>CB300108000200</v>
          </cell>
          <cell r="H3156">
            <v>2</v>
          </cell>
          <cell r="I3156" t="str">
            <v>--</v>
          </cell>
          <cell r="J3156">
            <v>6</v>
          </cell>
          <cell r="K3156">
            <v>7</v>
          </cell>
        </row>
        <row r="3157">
          <cell r="A3157" t="str">
            <v>M2</v>
          </cell>
          <cell r="B3157" t="str">
            <v>A5C</v>
          </cell>
          <cell r="C3157" t="str">
            <v>P</v>
          </cell>
          <cell r="D3157" t="str">
            <v>23030</v>
          </cell>
          <cell r="E3157" t="str">
            <v>90 ELL</v>
          </cell>
          <cell r="F3157">
            <v>2</v>
          </cell>
          <cell r="G3157" t="str">
            <v>CB300108000200</v>
          </cell>
          <cell r="H3157">
            <v>2</v>
          </cell>
          <cell r="I3157" t="str">
            <v>--</v>
          </cell>
          <cell r="J3157">
            <v>6</v>
          </cell>
          <cell r="K3157">
            <v>7</v>
          </cell>
        </row>
        <row r="3158">
          <cell r="A3158" t="str">
            <v>M2</v>
          </cell>
          <cell r="B3158" t="str">
            <v>A5C</v>
          </cell>
          <cell r="C3158" t="str">
            <v>P</v>
          </cell>
          <cell r="D3158" t="str">
            <v>23032</v>
          </cell>
          <cell r="E3158" t="str">
            <v>90 ELL</v>
          </cell>
          <cell r="F3158">
            <v>2</v>
          </cell>
          <cell r="G3158" t="str">
            <v>CB300108000200</v>
          </cell>
          <cell r="H3158">
            <v>2</v>
          </cell>
          <cell r="I3158" t="str">
            <v>--</v>
          </cell>
          <cell r="J3158">
            <v>1</v>
          </cell>
          <cell r="K3158">
            <v>2</v>
          </cell>
        </row>
        <row r="3159">
          <cell r="A3159" t="str">
            <v>M2</v>
          </cell>
          <cell r="B3159" t="str">
            <v>A5C</v>
          </cell>
          <cell r="C3159" t="str">
            <v>P</v>
          </cell>
          <cell r="D3159" t="str">
            <v>23036</v>
          </cell>
          <cell r="E3159" t="str">
            <v>90 ELL</v>
          </cell>
          <cell r="F3159">
            <v>2</v>
          </cell>
          <cell r="G3159" t="str">
            <v>CB300108000200</v>
          </cell>
          <cell r="H3159">
            <v>2</v>
          </cell>
          <cell r="I3159" t="str">
            <v>--</v>
          </cell>
          <cell r="J3159">
            <v>8</v>
          </cell>
          <cell r="K3159">
            <v>9</v>
          </cell>
        </row>
        <row r="3160">
          <cell r="A3160" t="str">
            <v>M2</v>
          </cell>
          <cell r="B3160" t="str">
            <v>A5C</v>
          </cell>
          <cell r="C3160" t="str">
            <v>P</v>
          </cell>
          <cell r="D3160" t="str">
            <v>23054</v>
          </cell>
          <cell r="E3160" t="str">
            <v>90 ELL</v>
          </cell>
          <cell r="F3160">
            <v>2</v>
          </cell>
          <cell r="G3160" t="str">
            <v>CB300108000200</v>
          </cell>
          <cell r="H3160">
            <v>2</v>
          </cell>
          <cell r="I3160" t="str">
            <v>--</v>
          </cell>
          <cell r="J3160">
            <v>6</v>
          </cell>
          <cell r="K3160">
            <v>7</v>
          </cell>
        </row>
        <row r="3161">
          <cell r="A3161" t="str">
            <v>M2</v>
          </cell>
          <cell r="B3161" t="str">
            <v>A5C</v>
          </cell>
          <cell r="C3161" t="str">
            <v>P</v>
          </cell>
          <cell r="D3161" t="str">
            <v>23054</v>
          </cell>
          <cell r="E3161" t="str">
            <v>90 ELL</v>
          </cell>
          <cell r="F3161">
            <v>2</v>
          </cell>
          <cell r="G3161" t="str">
            <v>CB300108000200</v>
          </cell>
          <cell r="H3161">
            <v>2</v>
          </cell>
          <cell r="I3161" t="str">
            <v>--</v>
          </cell>
          <cell r="J3161">
            <v>4</v>
          </cell>
          <cell r="K3161">
            <v>5</v>
          </cell>
        </row>
        <row r="3162">
          <cell r="A3162" t="str">
            <v>M2</v>
          </cell>
          <cell r="B3162" t="str">
            <v>A5C</v>
          </cell>
          <cell r="C3162" t="str">
            <v>P</v>
          </cell>
          <cell r="D3162" t="str">
            <v>23092</v>
          </cell>
          <cell r="E3162" t="str">
            <v>90 ELL</v>
          </cell>
          <cell r="F3162">
            <v>2</v>
          </cell>
          <cell r="G3162" t="str">
            <v>CB300108000200</v>
          </cell>
          <cell r="H3162">
            <v>2</v>
          </cell>
          <cell r="I3162" t="str">
            <v>--</v>
          </cell>
          <cell r="J3162">
            <v>9</v>
          </cell>
          <cell r="K3162">
            <v>10</v>
          </cell>
        </row>
        <row r="3163">
          <cell r="A3163" t="str">
            <v>M2</v>
          </cell>
          <cell r="B3163" t="str">
            <v>A5C</v>
          </cell>
          <cell r="C3163" t="str">
            <v>P</v>
          </cell>
          <cell r="D3163" t="str">
            <v>23224</v>
          </cell>
          <cell r="E3163" t="str">
            <v>90 ELL</v>
          </cell>
          <cell r="F3163">
            <v>2</v>
          </cell>
          <cell r="G3163" t="str">
            <v>CB300108000200</v>
          </cell>
          <cell r="H3163">
            <v>2</v>
          </cell>
          <cell r="I3163" t="str">
            <v>--</v>
          </cell>
          <cell r="J3163">
            <v>4</v>
          </cell>
          <cell r="K3163">
            <v>5</v>
          </cell>
        </row>
        <row r="3164">
          <cell r="A3164" t="str">
            <v>M2</v>
          </cell>
          <cell r="B3164" t="str">
            <v>A5C</v>
          </cell>
          <cell r="C3164" t="str">
            <v>TRIM</v>
          </cell>
          <cell r="D3164" t="str">
            <v>V-2302</v>
          </cell>
          <cell r="E3164" t="str">
            <v>90 ELL</v>
          </cell>
          <cell r="F3164">
            <v>2</v>
          </cell>
          <cell r="G3164" t="str">
            <v>CB300108000200</v>
          </cell>
          <cell r="H3164">
            <v>2</v>
          </cell>
          <cell r="I3164" t="str">
            <v>--</v>
          </cell>
          <cell r="J3164">
            <v>2</v>
          </cell>
          <cell r="K3164">
            <v>3</v>
          </cell>
        </row>
        <row r="3165">
          <cell r="A3165" t="str">
            <v>M2</v>
          </cell>
          <cell r="B3165" t="str">
            <v>A5C</v>
          </cell>
          <cell r="C3165" t="str">
            <v>TRIM</v>
          </cell>
          <cell r="D3165" t="str">
            <v>V-2304</v>
          </cell>
          <cell r="E3165" t="str">
            <v>90 ELL</v>
          </cell>
          <cell r="F3165">
            <v>2</v>
          </cell>
          <cell r="G3165" t="str">
            <v>CB300108000200</v>
          </cell>
          <cell r="H3165">
            <v>2</v>
          </cell>
          <cell r="I3165" t="str">
            <v>--</v>
          </cell>
          <cell r="J3165">
            <v>2</v>
          </cell>
          <cell r="K3165">
            <v>3</v>
          </cell>
        </row>
        <row r="3166">
          <cell r="A3166" t="str">
            <v>M2</v>
          </cell>
          <cell r="B3166" t="str">
            <v>A5C</v>
          </cell>
          <cell r="C3166" t="str">
            <v>TRIM</v>
          </cell>
          <cell r="D3166" t="str">
            <v>V-2306</v>
          </cell>
          <cell r="E3166" t="str">
            <v>90 ELL</v>
          </cell>
          <cell r="F3166">
            <v>2</v>
          </cell>
          <cell r="G3166" t="str">
            <v>CB300108000200</v>
          </cell>
          <cell r="H3166">
            <v>2</v>
          </cell>
          <cell r="I3166" t="str">
            <v>--</v>
          </cell>
          <cell r="J3166">
            <v>2</v>
          </cell>
          <cell r="K3166">
            <v>3</v>
          </cell>
        </row>
        <row r="3167">
          <cell r="A3167" t="str">
            <v>M2</v>
          </cell>
          <cell r="B3167" t="str">
            <v>A5C</v>
          </cell>
          <cell r="C3167" t="str">
            <v>TRIM</v>
          </cell>
          <cell r="D3167" t="str">
            <v>V-2308</v>
          </cell>
          <cell r="E3167" t="str">
            <v>90 ELL</v>
          </cell>
          <cell r="F3167">
            <v>2</v>
          </cell>
          <cell r="G3167" t="str">
            <v>CB300108000200</v>
          </cell>
          <cell r="H3167">
            <v>2</v>
          </cell>
          <cell r="I3167" t="str">
            <v>--</v>
          </cell>
          <cell r="J3167">
            <v>2</v>
          </cell>
          <cell r="K3167">
            <v>3</v>
          </cell>
        </row>
        <row r="3168">
          <cell r="A3168" t="str">
            <v>M2</v>
          </cell>
          <cell r="B3168" t="str">
            <v>A5C</v>
          </cell>
          <cell r="C3168" t="str">
            <v>TRIM</v>
          </cell>
          <cell r="D3168" t="str">
            <v>V-2313</v>
          </cell>
          <cell r="E3168" t="str">
            <v>90 ELL</v>
          </cell>
          <cell r="F3168">
            <v>2</v>
          </cell>
          <cell r="G3168" t="str">
            <v>CB300108000200</v>
          </cell>
          <cell r="H3168">
            <v>2</v>
          </cell>
          <cell r="I3168" t="str">
            <v>--</v>
          </cell>
          <cell r="J3168">
            <v>2</v>
          </cell>
          <cell r="K3168">
            <v>3</v>
          </cell>
        </row>
        <row r="3169">
          <cell r="A3169" t="str">
            <v>M2</v>
          </cell>
          <cell r="B3169" t="str">
            <v>A5C</v>
          </cell>
          <cell r="C3169" t="str">
            <v>TRIM</v>
          </cell>
          <cell r="D3169" t="str">
            <v>V-2325</v>
          </cell>
          <cell r="E3169" t="str">
            <v>90 ELL</v>
          </cell>
          <cell r="F3169">
            <v>2</v>
          </cell>
          <cell r="G3169" t="str">
            <v>CB300108000200</v>
          </cell>
          <cell r="H3169">
            <v>2</v>
          </cell>
          <cell r="I3169" t="str">
            <v>--</v>
          </cell>
          <cell r="J3169">
            <v>2</v>
          </cell>
          <cell r="K3169">
            <v>3</v>
          </cell>
        </row>
        <row r="3170">
          <cell r="A3170" t="str">
            <v>M2</v>
          </cell>
          <cell r="B3170" t="str">
            <v>A5C</v>
          </cell>
          <cell r="C3170" t="str">
            <v>TRIM</v>
          </cell>
          <cell r="D3170" t="str">
            <v>V-2403</v>
          </cell>
          <cell r="E3170" t="str">
            <v>90 ELL</v>
          </cell>
          <cell r="F3170">
            <v>2</v>
          </cell>
          <cell r="G3170" t="str">
            <v>CB300108000200</v>
          </cell>
          <cell r="H3170">
            <v>2</v>
          </cell>
          <cell r="I3170" t="str">
            <v>--</v>
          </cell>
          <cell r="J3170">
            <v>2</v>
          </cell>
          <cell r="K3170">
            <v>3</v>
          </cell>
        </row>
        <row r="3171">
          <cell r="A3171" t="str">
            <v>M2</v>
          </cell>
          <cell r="B3171" t="str">
            <v>A5C</v>
          </cell>
          <cell r="C3171" t="str">
            <v>P</v>
          </cell>
          <cell r="D3171" t="str">
            <v>23020</v>
          </cell>
          <cell r="E3171" t="str">
            <v>90 ELL</v>
          </cell>
          <cell r="F3171">
            <v>2</v>
          </cell>
          <cell r="G3171" t="str">
            <v>CB300108000200</v>
          </cell>
          <cell r="H3171">
            <v>2</v>
          </cell>
          <cell r="I3171" t="str">
            <v>--</v>
          </cell>
          <cell r="J3171">
            <v>4</v>
          </cell>
          <cell r="K3171">
            <v>5</v>
          </cell>
        </row>
        <row r="3172">
          <cell r="A3172" t="str">
            <v>M2</v>
          </cell>
          <cell r="B3172" t="str">
            <v>A5C</v>
          </cell>
          <cell r="C3172" t="str">
            <v>P</v>
          </cell>
          <cell r="D3172" t="str">
            <v>23053</v>
          </cell>
          <cell r="E3172" t="str">
            <v>90 ELL</v>
          </cell>
          <cell r="F3172">
            <v>2</v>
          </cell>
          <cell r="G3172" t="str">
            <v>CB300108000200</v>
          </cell>
          <cell r="H3172">
            <v>2</v>
          </cell>
          <cell r="I3172" t="str">
            <v>--</v>
          </cell>
          <cell r="J3172">
            <v>6</v>
          </cell>
          <cell r="K3172">
            <v>7</v>
          </cell>
        </row>
        <row r="3173">
          <cell r="A3173" t="str">
            <v>M2</v>
          </cell>
          <cell r="B3173" t="str">
            <v>A5C</v>
          </cell>
          <cell r="C3173" t="str">
            <v>TRIM</v>
          </cell>
          <cell r="D3173" t="str">
            <v>V-2310</v>
          </cell>
          <cell r="E3173" t="str">
            <v>90 ELL</v>
          </cell>
          <cell r="F3173">
            <v>2</v>
          </cell>
          <cell r="G3173" t="str">
            <v>CB300108000200</v>
          </cell>
          <cell r="H3173">
            <v>2</v>
          </cell>
          <cell r="I3173" t="str">
            <v>--</v>
          </cell>
          <cell r="J3173">
            <v>2</v>
          </cell>
          <cell r="K3173">
            <v>3</v>
          </cell>
        </row>
        <row r="3174">
          <cell r="A3174" t="str">
            <v>M2</v>
          </cell>
          <cell r="B3174" t="str">
            <v>A5C</v>
          </cell>
          <cell r="C3174" t="str">
            <v>P</v>
          </cell>
          <cell r="D3174" t="str">
            <v>23019</v>
          </cell>
          <cell r="E3174" t="str">
            <v>C SWG</v>
          </cell>
          <cell r="F3174">
            <v>2</v>
          </cell>
          <cell r="G3174" t="str">
            <v>CB1614080802IH</v>
          </cell>
          <cell r="H3174">
            <v>2</v>
          </cell>
          <cell r="I3174">
            <v>1.5</v>
          </cell>
          <cell r="J3174">
            <v>2</v>
          </cell>
          <cell r="K3174">
            <v>3</v>
          </cell>
        </row>
        <row r="3175">
          <cell r="A3175" t="str">
            <v>M2</v>
          </cell>
          <cell r="B3175" t="str">
            <v>A5C</v>
          </cell>
          <cell r="C3175" t="str">
            <v>P</v>
          </cell>
          <cell r="D3175" t="str">
            <v>23053</v>
          </cell>
          <cell r="E3175" t="str">
            <v>C SWG</v>
          </cell>
          <cell r="F3175">
            <v>2</v>
          </cell>
          <cell r="G3175" t="str">
            <v>CB1614080802IH</v>
          </cell>
          <cell r="H3175">
            <v>2</v>
          </cell>
          <cell r="I3175">
            <v>1.5</v>
          </cell>
          <cell r="J3175">
            <v>2</v>
          </cell>
          <cell r="K3175">
            <v>3</v>
          </cell>
        </row>
        <row r="3176">
          <cell r="A3176" t="str">
            <v>M2</v>
          </cell>
          <cell r="B3176" t="str">
            <v>A5C</v>
          </cell>
          <cell r="C3176" t="str">
            <v>P</v>
          </cell>
          <cell r="D3176" t="str">
            <v>23224</v>
          </cell>
          <cell r="E3176" t="str">
            <v>C SWG</v>
          </cell>
          <cell r="F3176">
            <v>2</v>
          </cell>
          <cell r="G3176" t="str">
            <v>CB1614080802IH</v>
          </cell>
          <cell r="H3176">
            <v>2</v>
          </cell>
          <cell r="I3176">
            <v>1.5</v>
          </cell>
          <cell r="J3176">
            <v>2</v>
          </cell>
          <cell r="K3176">
            <v>3</v>
          </cell>
        </row>
        <row r="3177">
          <cell r="A3177" t="str">
            <v>M2</v>
          </cell>
          <cell r="B3177" t="str">
            <v>A5C</v>
          </cell>
          <cell r="C3177" t="str">
            <v>P</v>
          </cell>
          <cell r="D3177" t="str">
            <v>24016</v>
          </cell>
          <cell r="E3177" t="str">
            <v>C SWG</v>
          </cell>
          <cell r="F3177">
            <v>2</v>
          </cell>
          <cell r="G3177" t="str">
            <v>CB16140808020T</v>
          </cell>
          <cell r="H3177">
            <v>2</v>
          </cell>
          <cell r="I3177">
            <v>0.75</v>
          </cell>
          <cell r="J3177">
            <v>2</v>
          </cell>
          <cell r="K3177">
            <v>3</v>
          </cell>
        </row>
        <row r="3178">
          <cell r="A3178" t="str">
            <v>M2</v>
          </cell>
          <cell r="B3178" t="str">
            <v>A5C</v>
          </cell>
          <cell r="C3178" t="str">
            <v>P</v>
          </cell>
          <cell r="D3178" t="str">
            <v>23020</v>
          </cell>
          <cell r="E3178" t="str">
            <v>E SWG</v>
          </cell>
          <cell r="F3178">
            <v>2</v>
          </cell>
          <cell r="G3178" t="str">
            <v>CB1624080802IH</v>
          </cell>
          <cell r="H3178">
            <v>2</v>
          </cell>
          <cell r="I3178">
            <v>1.5</v>
          </cell>
          <cell r="J3178">
            <v>2</v>
          </cell>
          <cell r="K3178">
            <v>3</v>
          </cell>
        </row>
        <row r="3179">
          <cell r="A3179" t="str">
            <v>M2</v>
          </cell>
          <cell r="B3179" t="str">
            <v>A5C</v>
          </cell>
          <cell r="C3179" t="str">
            <v>P</v>
          </cell>
          <cell r="D3179" t="str">
            <v>23030</v>
          </cell>
          <cell r="E3179" t="str">
            <v>E SWG</v>
          </cell>
          <cell r="F3179">
            <v>2</v>
          </cell>
          <cell r="G3179" t="str">
            <v>CB1624080802IH</v>
          </cell>
          <cell r="H3179">
            <v>2</v>
          </cell>
          <cell r="I3179">
            <v>1.5</v>
          </cell>
          <cell r="J3179">
            <v>2</v>
          </cell>
          <cell r="K3179">
            <v>3</v>
          </cell>
        </row>
        <row r="3180">
          <cell r="A3180" t="str">
            <v>M2</v>
          </cell>
          <cell r="B3180" t="str">
            <v>A5C</v>
          </cell>
          <cell r="C3180" t="str">
            <v>P</v>
          </cell>
          <cell r="D3180" t="str">
            <v>23054</v>
          </cell>
          <cell r="E3180" t="str">
            <v>E SWG</v>
          </cell>
          <cell r="F3180">
            <v>2</v>
          </cell>
          <cell r="G3180" t="str">
            <v>CB1624080802IH</v>
          </cell>
          <cell r="H3180">
            <v>2</v>
          </cell>
          <cell r="I3180">
            <v>1.5</v>
          </cell>
          <cell r="J3180">
            <v>2</v>
          </cell>
          <cell r="K3180">
            <v>3</v>
          </cell>
        </row>
        <row r="3181">
          <cell r="A3181" t="str">
            <v>M2</v>
          </cell>
          <cell r="B3181" t="str">
            <v>A5C</v>
          </cell>
          <cell r="C3181" t="str">
            <v>P</v>
          </cell>
          <cell r="D3181" t="str">
            <v>24018</v>
          </cell>
          <cell r="E3181" t="str">
            <v>E SWG</v>
          </cell>
          <cell r="F3181">
            <v>2</v>
          </cell>
          <cell r="G3181" t="str">
            <v>CB16240808020T</v>
          </cell>
          <cell r="H3181">
            <v>2</v>
          </cell>
          <cell r="I3181">
            <v>0.75</v>
          </cell>
          <cell r="J3181">
            <v>2</v>
          </cell>
          <cell r="K3181">
            <v>3</v>
          </cell>
        </row>
        <row r="3182">
          <cell r="A3182" t="str">
            <v>M2</v>
          </cell>
          <cell r="B3182" t="str">
            <v>A5C</v>
          </cell>
          <cell r="C3182" t="str">
            <v>P</v>
          </cell>
          <cell r="D3182" t="str">
            <v>23036</v>
          </cell>
          <cell r="E3182" t="str">
            <v>E SWG</v>
          </cell>
          <cell r="F3182">
            <v>2</v>
          </cell>
          <cell r="G3182" t="str">
            <v>CB1624080802IH</v>
          </cell>
          <cell r="H3182">
            <v>2</v>
          </cell>
          <cell r="I3182">
            <v>1.5</v>
          </cell>
          <cell r="J3182">
            <v>2</v>
          </cell>
          <cell r="K3182">
            <v>3</v>
          </cell>
        </row>
        <row r="3183">
          <cell r="A3183" t="str">
            <v>M2</v>
          </cell>
          <cell r="B3183" t="str">
            <v>A5C</v>
          </cell>
          <cell r="C3183" t="str">
            <v>P</v>
          </cell>
          <cell r="D3183" t="str">
            <v>23020</v>
          </cell>
          <cell r="E3183" t="str">
            <v>SOL</v>
          </cell>
          <cell r="F3183">
            <v>2</v>
          </cell>
          <cell r="G3183" t="str">
            <v>CB39020000020T</v>
          </cell>
          <cell r="H3183">
            <v>2</v>
          </cell>
          <cell r="I3183">
            <v>0.75</v>
          </cell>
          <cell r="J3183">
            <v>1</v>
          </cell>
          <cell r="K3183">
            <v>2</v>
          </cell>
        </row>
        <row r="3184">
          <cell r="A3184" t="str">
            <v>M2</v>
          </cell>
          <cell r="B3184" t="str">
            <v>A5C</v>
          </cell>
          <cell r="C3184" t="str">
            <v>P</v>
          </cell>
          <cell r="D3184" t="str">
            <v>23020</v>
          </cell>
          <cell r="E3184" t="str">
            <v>SOL</v>
          </cell>
          <cell r="F3184">
            <v>2</v>
          </cell>
          <cell r="G3184" t="str">
            <v>CB3902000002IH</v>
          </cell>
          <cell r="H3184">
            <v>2</v>
          </cell>
          <cell r="I3184">
            <v>1.5</v>
          </cell>
          <cell r="J3184">
            <v>2</v>
          </cell>
          <cell r="K3184">
            <v>3</v>
          </cell>
        </row>
        <row r="3185">
          <cell r="A3185" t="str">
            <v>M2</v>
          </cell>
          <cell r="B3185" t="str">
            <v>A5C</v>
          </cell>
          <cell r="C3185" t="str">
            <v>P</v>
          </cell>
          <cell r="D3185" t="str">
            <v>23054</v>
          </cell>
          <cell r="E3185" t="str">
            <v>SOL</v>
          </cell>
          <cell r="F3185">
            <v>2</v>
          </cell>
          <cell r="G3185" t="str">
            <v>CB39020000020T</v>
          </cell>
          <cell r="H3185">
            <v>2</v>
          </cell>
          <cell r="I3185">
            <v>0.75</v>
          </cell>
          <cell r="J3185">
            <v>1</v>
          </cell>
          <cell r="K3185">
            <v>2</v>
          </cell>
        </row>
        <row r="3186">
          <cell r="A3186" t="str">
            <v>M2</v>
          </cell>
          <cell r="B3186" t="str">
            <v>A5C</v>
          </cell>
          <cell r="C3186" t="str">
            <v>P</v>
          </cell>
          <cell r="D3186" t="str">
            <v>23054</v>
          </cell>
          <cell r="E3186" t="str">
            <v>SOL</v>
          </cell>
          <cell r="F3186">
            <v>2</v>
          </cell>
          <cell r="G3186" t="str">
            <v>CB3902000002IH</v>
          </cell>
          <cell r="H3186">
            <v>2</v>
          </cell>
          <cell r="I3186">
            <v>1.5</v>
          </cell>
          <cell r="J3186">
            <v>2</v>
          </cell>
          <cell r="K3186">
            <v>3</v>
          </cell>
        </row>
        <row r="3187">
          <cell r="A3187" t="str">
            <v>M2</v>
          </cell>
          <cell r="B3187" t="str">
            <v>A5C</v>
          </cell>
          <cell r="C3187" t="str">
            <v>P</v>
          </cell>
          <cell r="D3187" t="str">
            <v>23053</v>
          </cell>
          <cell r="E3187" t="str">
            <v>SOL</v>
          </cell>
          <cell r="F3187">
            <v>2</v>
          </cell>
          <cell r="G3187" t="str">
            <v>CB39020000020T</v>
          </cell>
          <cell r="H3187">
            <v>2</v>
          </cell>
          <cell r="I3187">
            <v>0.75</v>
          </cell>
          <cell r="J3187">
            <v>5</v>
          </cell>
          <cell r="K3187">
            <v>6</v>
          </cell>
        </row>
        <row r="3188">
          <cell r="A3188" t="str">
            <v>M2</v>
          </cell>
          <cell r="B3188" t="str">
            <v>A5C</v>
          </cell>
          <cell r="C3188" t="str">
            <v>P</v>
          </cell>
          <cell r="D3188" t="str">
            <v>23019</v>
          </cell>
          <cell r="E3188" t="str">
            <v>SOL</v>
          </cell>
          <cell r="F3188">
            <v>2</v>
          </cell>
          <cell r="G3188" t="str">
            <v>CB3902000002IH</v>
          </cell>
          <cell r="H3188">
            <v>2</v>
          </cell>
          <cell r="I3188">
            <v>1.5</v>
          </cell>
          <cell r="J3188">
            <v>1</v>
          </cell>
          <cell r="K3188">
            <v>2</v>
          </cell>
        </row>
        <row r="3189">
          <cell r="A3189" t="str">
            <v>M2</v>
          </cell>
          <cell r="B3189" t="str">
            <v>A5C</v>
          </cell>
          <cell r="C3189" t="str">
            <v>P</v>
          </cell>
          <cell r="D3189" t="str">
            <v>23019</v>
          </cell>
          <cell r="E3189" t="str">
            <v>SOL</v>
          </cell>
          <cell r="F3189">
            <v>2</v>
          </cell>
          <cell r="G3189" t="str">
            <v>CB39020000020T</v>
          </cell>
          <cell r="H3189">
            <v>2</v>
          </cell>
          <cell r="I3189">
            <v>0.75</v>
          </cell>
          <cell r="J3189">
            <v>4</v>
          </cell>
          <cell r="K3189">
            <v>5</v>
          </cell>
        </row>
        <row r="3190">
          <cell r="A3190" t="str">
            <v>M2</v>
          </cell>
          <cell r="B3190" t="str">
            <v>A5C</v>
          </cell>
          <cell r="C3190" t="str">
            <v>P</v>
          </cell>
          <cell r="D3190" t="str">
            <v>23224</v>
          </cell>
          <cell r="E3190" t="str">
            <v>SOL</v>
          </cell>
          <cell r="F3190">
            <v>2</v>
          </cell>
          <cell r="G3190" t="str">
            <v>CB39020000020T</v>
          </cell>
          <cell r="H3190">
            <v>2</v>
          </cell>
          <cell r="I3190">
            <v>0.75</v>
          </cell>
          <cell r="J3190">
            <v>2</v>
          </cell>
          <cell r="K3190">
            <v>3</v>
          </cell>
        </row>
        <row r="3191">
          <cell r="A3191" t="str">
            <v>M2</v>
          </cell>
          <cell r="B3191" t="str">
            <v>A5C</v>
          </cell>
          <cell r="C3191" t="str">
            <v>P</v>
          </cell>
          <cell r="D3191" t="str">
            <v>23224</v>
          </cell>
          <cell r="E3191" t="str">
            <v>SOL</v>
          </cell>
          <cell r="F3191">
            <v>2</v>
          </cell>
          <cell r="G3191" t="str">
            <v>CB390200000201</v>
          </cell>
          <cell r="H3191">
            <v>2</v>
          </cell>
          <cell r="I3191">
            <v>1</v>
          </cell>
          <cell r="J3191">
            <v>1</v>
          </cell>
          <cell r="K3191">
            <v>2</v>
          </cell>
        </row>
        <row r="3192">
          <cell r="A3192" t="str">
            <v>M2</v>
          </cell>
          <cell r="B3192" t="str">
            <v>A5C</v>
          </cell>
          <cell r="C3192" t="str">
            <v>P</v>
          </cell>
          <cell r="D3192" t="str">
            <v>23036</v>
          </cell>
          <cell r="E3192" t="str">
            <v>TEE</v>
          </cell>
          <cell r="F3192">
            <v>2</v>
          </cell>
          <cell r="G3192" t="str">
            <v>CB300308000200</v>
          </cell>
          <cell r="H3192">
            <v>2</v>
          </cell>
          <cell r="I3192" t="str">
            <v>--</v>
          </cell>
          <cell r="J3192">
            <v>1</v>
          </cell>
          <cell r="K3192">
            <v>2</v>
          </cell>
        </row>
        <row r="3193">
          <cell r="A3193" t="str">
            <v>M2</v>
          </cell>
          <cell r="B3193" t="str">
            <v>A5C</v>
          </cell>
          <cell r="C3193" t="str">
            <v>P</v>
          </cell>
          <cell r="D3193" t="str">
            <v>23224</v>
          </cell>
          <cell r="E3193" t="str">
            <v>TEE</v>
          </cell>
          <cell r="F3193">
            <v>2</v>
          </cell>
          <cell r="G3193" t="str">
            <v>CB300308000200</v>
          </cell>
          <cell r="H3193">
            <v>2</v>
          </cell>
          <cell r="I3193" t="str">
            <v>--</v>
          </cell>
          <cell r="J3193">
            <v>1</v>
          </cell>
          <cell r="K3193">
            <v>2</v>
          </cell>
        </row>
        <row r="3194">
          <cell r="A3194" t="str">
            <v>M2</v>
          </cell>
          <cell r="B3194" t="str">
            <v>A5C</v>
          </cell>
          <cell r="C3194" t="str">
            <v>P</v>
          </cell>
          <cell r="D3194" t="str">
            <v>23019</v>
          </cell>
          <cell r="E3194" t="str">
            <v>TEE</v>
          </cell>
          <cell r="F3194">
            <v>2</v>
          </cell>
          <cell r="G3194" t="str">
            <v>CB300308000200</v>
          </cell>
          <cell r="H3194">
            <v>2</v>
          </cell>
          <cell r="I3194" t="str">
            <v>--</v>
          </cell>
          <cell r="J3194">
            <v>1</v>
          </cell>
          <cell r="K3194">
            <v>2</v>
          </cell>
        </row>
        <row r="3195">
          <cell r="A3195" t="str">
            <v>M2</v>
          </cell>
          <cell r="B3195" t="str">
            <v>A5C</v>
          </cell>
          <cell r="C3195" t="str">
            <v>P</v>
          </cell>
          <cell r="D3195" t="str">
            <v>23030</v>
          </cell>
          <cell r="E3195" t="str">
            <v>TEE</v>
          </cell>
          <cell r="F3195">
            <v>2</v>
          </cell>
          <cell r="G3195" t="str">
            <v>CB300308000200</v>
          </cell>
          <cell r="H3195">
            <v>2</v>
          </cell>
          <cell r="I3195" t="str">
            <v>--</v>
          </cell>
          <cell r="J3195">
            <v>1</v>
          </cell>
          <cell r="K3195">
            <v>2</v>
          </cell>
        </row>
        <row r="3196">
          <cell r="A3196" t="str">
            <v>M2</v>
          </cell>
          <cell r="B3196" t="str">
            <v>A5C</v>
          </cell>
          <cell r="C3196" t="str">
            <v>P</v>
          </cell>
          <cell r="D3196" t="str">
            <v>23053</v>
          </cell>
          <cell r="E3196" t="str">
            <v>TEE</v>
          </cell>
          <cell r="F3196">
            <v>2</v>
          </cell>
          <cell r="G3196" t="str">
            <v>CB300308000200</v>
          </cell>
          <cell r="H3196">
            <v>2</v>
          </cell>
          <cell r="I3196" t="str">
            <v>--</v>
          </cell>
          <cell r="J3196">
            <v>1</v>
          </cell>
          <cell r="K3196">
            <v>2</v>
          </cell>
        </row>
        <row r="3197">
          <cell r="A3197" t="str">
            <v>M2</v>
          </cell>
          <cell r="B3197" t="str">
            <v>A5C</v>
          </cell>
          <cell r="C3197" t="str">
            <v>TRIM</v>
          </cell>
          <cell r="D3197" t="str">
            <v>V-2401</v>
          </cell>
          <cell r="E3197" t="str">
            <v>90 ELL</v>
          </cell>
          <cell r="F3197">
            <v>2</v>
          </cell>
          <cell r="G3197" t="str">
            <v>CB300108000200</v>
          </cell>
          <cell r="H3197">
            <v>2</v>
          </cell>
          <cell r="I3197" t="str">
            <v>--</v>
          </cell>
          <cell r="J3197">
            <v>2</v>
          </cell>
          <cell r="K3197">
            <v>3</v>
          </cell>
        </row>
        <row r="3198">
          <cell r="A3198" t="str">
            <v>M2</v>
          </cell>
          <cell r="B3198" t="str">
            <v>A5C</v>
          </cell>
          <cell r="C3198" t="str">
            <v>TRIM</v>
          </cell>
          <cell r="D3198" t="str">
            <v>R-2401</v>
          </cell>
          <cell r="E3198" t="str">
            <v>90 ELL</v>
          </cell>
          <cell r="F3198">
            <v>2</v>
          </cell>
          <cell r="G3198" t="str">
            <v>CB300108000200</v>
          </cell>
          <cell r="H3198">
            <v>2</v>
          </cell>
          <cell r="I3198" t="str">
            <v>--</v>
          </cell>
          <cell r="J3198">
            <v>1</v>
          </cell>
          <cell r="K3198">
            <v>2</v>
          </cell>
        </row>
        <row r="3199">
          <cell r="A3199" t="str">
            <v>M2</v>
          </cell>
          <cell r="B3199" t="str">
            <v>A5C</v>
          </cell>
          <cell r="C3199" t="str">
            <v>TRIM</v>
          </cell>
          <cell r="D3199" t="str">
            <v>V-2404</v>
          </cell>
          <cell r="E3199" t="str">
            <v>90 ELL</v>
          </cell>
          <cell r="F3199">
            <v>2</v>
          </cell>
          <cell r="G3199" t="str">
            <v>CB300108000200</v>
          </cell>
          <cell r="H3199">
            <v>2</v>
          </cell>
          <cell r="I3199" t="str">
            <v>--</v>
          </cell>
          <cell r="J3199">
            <v>2</v>
          </cell>
          <cell r="K3199">
            <v>3</v>
          </cell>
        </row>
        <row r="3200">
          <cell r="A3200" t="str">
            <v>M2</v>
          </cell>
          <cell r="B3200" t="str">
            <v>B2C</v>
          </cell>
          <cell r="C3200" t="str">
            <v>SH</v>
          </cell>
          <cell r="D3200" t="str">
            <v>23601</v>
          </cell>
          <cell r="E3200" t="str">
            <v>90 ELL</v>
          </cell>
          <cell r="F3200">
            <v>2</v>
          </cell>
          <cell r="G3200" t="str">
            <v>CB300104000300</v>
          </cell>
          <cell r="H3200">
            <v>3</v>
          </cell>
          <cell r="I3200" t="str">
            <v>--</v>
          </cell>
          <cell r="J3200">
            <v>6</v>
          </cell>
          <cell r="K3200">
            <v>7</v>
          </cell>
        </row>
        <row r="3201">
          <cell r="A3201" t="str">
            <v>M2</v>
          </cell>
          <cell r="B3201" t="str">
            <v>B2C</v>
          </cell>
          <cell r="C3201" t="str">
            <v>SH</v>
          </cell>
          <cell r="D3201" t="str">
            <v>23612</v>
          </cell>
          <cell r="E3201" t="str">
            <v>90 ELL</v>
          </cell>
          <cell r="F3201">
            <v>2</v>
          </cell>
          <cell r="G3201" t="str">
            <v>CB300104000300</v>
          </cell>
          <cell r="H3201">
            <v>3</v>
          </cell>
          <cell r="I3201" t="str">
            <v>--</v>
          </cell>
          <cell r="J3201">
            <v>8</v>
          </cell>
          <cell r="K3201">
            <v>9</v>
          </cell>
        </row>
        <row r="3202">
          <cell r="A3202" t="str">
            <v>M2</v>
          </cell>
          <cell r="B3202" t="str">
            <v>B2C</v>
          </cell>
          <cell r="C3202" t="str">
            <v>SH</v>
          </cell>
          <cell r="D3202" t="str">
            <v>23601</v>
          </cell>
          <cell r="E3202" t="str">
            <v>CAP</v>
          </cell>
          <cell r="F3202">
            <v>2</v>
          </cell>
          <cell r="G3202" t="str">
            <v>CB300704000300</v>
          </cell>
          <cell r="H3202">
            <v>3</v>
          </cell>
          <cell r="I3202" t="str">
            <v>--</v>
          </cell>
          <cell r="J3202">
            <v>2</v>
          </cell>
          <cell r="K3202">
            <v>3</v>
          </cell>
        </row>
        <row r="3203">
          <cell r="A3203" t="str">
            <v>M2</v>
          </cell>
          <cell r="B3203" t="str">
            <v>B2C</v>
          </cell>
          <cell r="C3203" t="str">
            <v>SH</v>
          </cell>
          <cell r="D3203" t="str">
            <v>23612</v>
          </cell>
          <cell r="E3203" t="str">
            <v>E RED</v>
          </cell>
          <cell r="F3203">
            <v>2</v>
          </cell>
          <cell r="G3203" t="str">
            <v>CB300604080302</v>
          </cell>
          <cell r="H3203">
            <v>3</v>
          </cell>
          <cell r="I3203">
            <v>2</v>
          </cell>
          <cell r="J3203">
            <v>2</v>
          </cell>
          <cell r="K3203">
            <v>3</v>
          </cell>
        </row>
        <row r="3204">
          <cell r="A3204" t="str">
            <v>M2</v>
          </cell>
          <cell r="B3204" t="str">
            <v>B2C</v>
          </cell>
          <cell r="C3204" t="str">
            <v>SH</v>
          </cell>
          <cell r="D3204" t="str">
            <v>23601</v>
          </cell>
          <cell r="E3204" t="str">
            <v>SOL</v>
          </cell>
          <cell r="F3204">
            <v>2</v>
          </cell>
          <cell r="G3204" t="str">
            <v>CB390200000301</v>
          </cell>
          <cell r="H3204">
            <v>3</v>
          </cell>
          <cell r="I3204">
            <v>1</v>
          </cell>
          <cell r="J3204">
            <v>1</v>
          </cell>
          <cell r="K3204">
            <v>2</v>
          </cell>
        </row>
        <row r="3205">
          <cell r="A3205" t="str">
            <v>M2</v>
          </cell>
          <cell r="B3205" t="str">
            <v>B2C</v>
          </cell>
          <cell r="C3205" t="str">
            <v>SH</v>
          </cell>
          <cell r="D3205" t="str">
            <v>23601</v>
          </cell>
          <cell r="E3205" t="str">
            <v>SOL</v>
          </cell>
          <cell r="F3205">
            <v>2</v>
          </cell>
          <cell r="G3205" t="str">
            <v>CB39020000030T</v>
          </cell>
          <cell r="H3205">
            <v>3</v>
          </cell>
          <cell r="I3205">
            <v>0.75</v>
          </cell>
          <cell r="J3205">
            <v>5</v>
          </cell>
          <cell r="K3205">
            <v>6</v>
          </cell>
        </row>
        <row r="3206">
          <cell r="A3206" t="str">
            <v>M2</v>
          </cell>
          <cell r="B3206" t="str">
            <v>B2C</v>
          </cell>
          <cell r="C3206" t="str">
            <v>SH</v>
          </cell>
          <cell r="D3206" t="str">
            <v>23612</v>
          </cell>
          <cell r="E3206" t="str">
            <v>SOL</v>
          </cell>
          <cell r="F3206">
            <v>2</v>
          </cell>
          <cell r="G3206" t="str">
            <v>CB390200000301</v>
          </cell>
          <cell r="H3206">
            <v>3</v>
          </cell>
          <cell r="I3206">
            <v>1</v>
          </cell>
          <cell r="J3206">
            <v>1</v>
          </cell>
          <cell r="K3206">
            <v>2</v>
          </cell>
        </row>
        <row r="3207">
          <cell r="A3207" t="str">
            <v>M2</v>
          </cell>
          <cell r="B3207" t="str">
            <v>B2C</v>
          </cell>
          <cell r="C3207" t="str">
            <v>SH</v>
          </cell>
          <cell r="D3207" t="str">
            <v>23612</v>
          </cell>
          <cell r="E3207" t="str">
            <v>SOL</v>
          </cell>
          <cell r="F3207">
            <v>2</v>
          </cell>
          <cell r="G3207" t="str">
            <v>CB39020000030T</v>
          </cell>
          <cell r="H3207">
            <v>3</v>
          </cell>
          <cell r="I3207">
            <v>0.75</v>
          </cell>
          <cell r="J3207">
            <v>2</v>
          </cell>
          <cell r="K3207">
            <v>3</v>
          </cell>
        </row>
        <row r="3208">
          <cell r="A3208" t="str">
            <v>M2</v>
          </cell>
          <cell r="B3208" t="str">
            <v>B2C</v>
          </cell>
          <cell r="C3208" t="str">
            <v>SH</v>
          </cell>
          <cell r="D3208" t="str">
            <v>23601</v>
          </cell>
          <cell r="E3208" t="str">
            <v>TEE</v>
          </cell>
          <cell r="F3208">
            <v>2</v>
          </cell>
          <cell r="G3208" t="str">
            <v>CB300304000300</v>
          </cell>
          <cell r="H3208">
            <v>3</v>
          </cell>
          <cell r="I3208" t="str">
            <v>--</v>
          </cell>
          <cell r="J3208">
            <v>3</v>
          </cell>
          <cell r="K3208">
            <v>4</v>
          </cell>
        </row>
        <row r="3209">
          <cell r="A3209" t="str">
            <v>M2</v>
          </cell>
          <cell r="B3209" t="str">
            <v>B2C</v>
          </cell>
          <cell r="C3209" t="str">
            <v>SH</v>
          </cell>
          <cell r="D3209" t="str">
            <v>23601</v>
          </cell>
          <cell r="E3209" t="str">
            <v>TOL</v>
          </cell>
          <cell r="F3209">
            <v>2</v>
          </cell>
          <cell r="G3209" t="str">
            <v>CB39030000030T</v>
          </cell>
          <cell r="H3209">
            <v>3</v>
          </cell>
          <cell r="I3209">
            <v>0.75</v>
          </cell>
          <cell r="J3209">
            <v>1</v>
          </cell>
          <cell r="K3209">
            <v>2</v>
          </cell>
        </row>
        <row r="3210">
          <cell r="A3210" t="str">
            <v>M2</v>
          </cell>
          <cell r="B3210" t="str">
            <v>A5C</v>
          </cell>
          <cell r="C3210" t="str">
            <v>P</v>
          </cell>
          <cell r="D3210" t="str">
            <v>23258</v>
          </cell>
          <cell r="E3210" t="str">
            <v>45 ELL</v>
          </cell>
          <cell r="F3210">
            <v>2</v>
          </cell>
          <cell r="G3210" t="str">
            <v>CB300204000300</v>
          </cell>
          <cell r="H3210">
            <v>3</v>
          </cell>
          <cell r="I3210" t="str">
            <v>--</v>
          </cell>
          <cell r="J3210">
            <v>1</v>
          </cell>
          <cell r="K3210">
            <v>2</v>
          </cell>
        </row>
        <row r="3211">
          <cell r="A3211" t="str">
            <v>M2</v>
          </cell>
          <cell r="B3211" t="str">
            <v>A5C</v>
          </cell>
          <cell r="C3211" t="str">
            <v>P</v>
          </cell>
          <cell r="D3211" t="str">
            <v>23005</v>
          </cell>
          <cell r="E3211" t="str">
            <v>90 ELL</v>
          </cell>
          <cell r="F3211">
            <v>2</v>
          </cell>
          <cell r="G3211" t="str">
            <v>CB300104000300</v>
          </cell>
          <cell r="H3211">
            <v>3</v>
          </cell>
          <cell r="I3211" t="str">
            <v>--</v>
          </cell>
          <cell r="J3211">
            <v>4</v>
          </cell>
          <cell r="K3211">
            <v>5</v>
          </cell>
        </row>
        <row r="3212">
          <cell r="A3212" t="str">
            <v>M2</v>
          </cell>
          <cell r="B3212" t="str">
            <v>A5C</v>
          </cell>
          <cell r="C3212" t="str">
            <v>P</v>
          </cell>
          <cell r="D3212" t="str">
            <v>23047</v>
          </cell>
          <cell r="E3212" t="str">
            <v>90 ELL</v>
          </cell>
          <cell r="F3212">
            <v>2</v>
          </cell>
          <cell r="G3212" t="str">
            <v>CB300104000300</v>
          </cell>
          <cell r="H3212">
            <v>3</v>
          </cell>
          <cell r="I3212" t="str">
            <v>--</v>
          </cell>
          <cell r="J3212">
            <v>3</v>
          </cell>
          <cell r="K3212">
            <v>4</v>
          </cell>
        </row>
        <row r="3213">
          <cell r="A3213" t="str">
            <v>M2</v>
          </cell>
          <cell r="B3213" t="str">
            <v>A5C</v>
          </cell>
          <cell r="C3213" t="str">
            <v>P</v>
          </cell>
          <cell r="D3213" t="str">
            <v>23106</v>
          </cell>
          <cell r="E3213" t="str">
            <v>90 ELL</v>
          </cell>
          <cell r="F3213">
            <v>2</v>
          </cell>
          <cell r="G3213" t="str">
            <v>CB300104000300</v>
          </cell>
          <cell r="H3213">
            <v>3</v>
          </cell>
          <cell r="I3213" t="str">
            <v>--</v>
          </cell>
          <cell r="J3213">
            <v>3</v>
          </cell>
          <cell r="K3213">
            <v>4</v>
          </cell>
        </row>
        <row r="3214">
          <cell r="A3214" t="str">
            <v>M2</v>
          </cell>
          <cell r="B3214" t="str">
            <v>A5C</v>
          </cell>
          <cell r="C3214" t="str">
            <v>P</v>
          </cell>
          <cell r="D3214" t="str">
            <v>23106</v>
          </cell>
          <cell r="E3214" t="str">
            <v>90 ELL</v>
          </cell>
          <cell r="F3214">
            <v>2</v>
          </cell>
          <cell r="G3214" t="str">
            <v>CB300104000300</v>
          </cell>
          <cell r="H3214">
            <v>3</v>
          </cell>
          <cell r="I3214" t="str">
            <v>--</v>
          </cell>
          <cell r="J3214">
            <v>2</v>
          </cell>
          <cell r="K3214">
            <v>3</v>
          </cell>
        </row>
        <row r="3215">
          <cell r="A3215" t="str">
            <v>M2</v>
          </cell>
          <cell r="B3215" t="str">
            <v>A5C</v>
          </cell>
          <cell r="C3215" t="str">
            <v>P</v>
          </cell>
          <cell r="D3215" t="str">
            <v>23124</v>
          </cell>
          <cell r="E3215" t="str">
            <v>90 ELL</v>
          </cell>
          <cell r="F3215">
            <v>2</v>
          </cell>
          <cell r="G3215" t="str">
            <v>CB300104000300</v>
          </cell>
          <cell r="H3215">
            <v>3</v>
          </cell>
          <cell r="I3215" t="str">
            <v>--</v>
          </cell>
          <cell r="J3215">
            <v>8</v>
          </cell>
          <cell r="K3215">
            <v>9</v>
          </cell>
        </row>
        <row r="3216">
          <cell r="A3216" t="str">
            <v>M2</v>
          </cell>
          <cell r="B3216" t="str">
            <v>A5C</v>
          </cell>
          <cell r="C3216" t="str">
            <v>P</v>
          </cell>
          <cell r="D3216" t="str">
            <v>23142</v>
          </cell>
          <cell r="E3216" t="str">
            <v>90 ELL</v>
          </cell>
          <cell r="F3216">
            <v>2</v>
          </cell>
          <cell r="G3216" t="str">
            <v>CB300104000300</v>
          </cell>
          <cell r="H3216">
            <v>3</v>
          </cell>
          <cell r="I3216" t="str">
            <v>--</v>
          </cell>
          <cell r="J3216">
            <v>4</v>
          </cell>
          <cell r="K3216">
            <v>5</v>
          </cell>
        </row>
        <row r="3217">
          <cell r="A3217" t="str">
            <v>M2</v>
          </cell>
          <cell r="B3217" t="str">
            <v>A5C</v>
          </cell>
          <cell r="C3217" t="str">
            <v>P</v>
          </cell>
          <cell r="D3217" t="str">
            <v>23232</v>
          </cell>
          <cell r="E3217" t="str">
            <v>90 ELL</v>
          </cell>
          <cell r="F3217">
            <v>2</v>
          </cell>
          <cell r="G3217" t="str">
            <v>CB300104000300</v>
          </cell>
          <cell r="H3217">
            <v>3</v>
          </cell>
          <cell r="I3217" t="str">
            <v>--</v>
          </cell>
          <cell r="J3217">
            <v>4</v>
          </cell>
          <cell r="K3217">
            <v>5</v>
          </cell>
        </row>
        <row r="3218">
          <cell r="A3218" t="str">
            <v>M2</v>
          </cell>
          <cell r="B3218" t="str">
            <v>A5C</v>
          </cell>
          <cell r="C3218" t="str">
            <v>P</v>
          </cell>
          <cell r="D3218" t="str">
            <v>23240</v>
          </cell>
          <cell r="E3218" t="str">
            <v>90 ELL</v>
          </cell>
          <cell r="F3218">
            <v>2</v>
          </cell>
          <cell r="G3218" t="str">
            <v>CB300104000300</v>
          </cell>
          <cell r="H3218">
            <v>3</v>
          </cell>
          <cell r="I3218" t="str">
            <v>--</v>
          </cell>
          <cell r="J3218">
            <v>2</v>
          </cell>
          <cell r="K3218">
            <v>3</v>
          </cell>
        </row>
        <row r="3219">
          <cell r="A3219" t="str">
            <v>M2</v>
          </cell>
          <cell r="B3219" t="str">
            <v>A5C</v>
          </cell>
          <cell r="C3219" t="str">
            <v>P</v>
          </cell>
          <cell r="D3219" t="str">
            <v>23236</v>
          </cell>
          <cell r="E3219" t="str">
            <v>90 ELL</v>
          </cell>
          <cell r="F3219">
            <v>2</v>
          </cell>
          <cell r="G3219" t="str">
            <v>CB300104000300</v>
          </cell>
          <cell r="H3219">
            <v>3</v>
          </cell>
          <cell r="I3219" t="str">
            <v>--</v>
          </cell>
          <cell r="J3219">
            <v>3</v>
          </cell>
          <cell r="K3219">
            <v>4</v>
          </cell>
        </row>
        <row r="3220">
          <cell r="A3220" t="str">
            <v>M2</v>
          </cell>
          <cell r="B3220" t="str">
            <v>A5C</v>
          </cell>
          <cell r="C3220" t="str">
            <v>P</v>
          </cell>
          <cell r="D3220" t="str">
            <v>23240</v>
          </cell>
          <cell r="E3220" t="str">
            <v>90 ELL</v>
          </cell>
          <cell r="F3220">
            <v>2</v>
          </cell>
          <cell r="G3220" t="str">
            <v>CB300104000300</v>
          </cell>
          <cell r="H3220">
            <v>3</v>
          </cell>
          <cell r="I3220" t="str">
            <v>--</v>
          </cell>
          <cell r="J3220">
            <v>3</v>
          </cell>
          <cell r="K3220">
            <v>4</v>
          </cell>
        </row>
        <row r="3221">
          <cell r="A3221" t="str">
            <v>M2</v>
          </cell>
          <cell r="B3221" t="str">
            <v>A5C</v>
          </cell>
          <cell r="C3221" t="str">
            <v>P</v>
          </cell>
          <cell r="D3221" t="str">
            <v>23246</v>
          </cell>
          <cell r="E3221" t="str">
            <v>90 ELL</v>
          </cell>
          <cell r="F3221">
            <v>2</v>
          </cell>
          <cell r="G3221" t="str">
            <v>CB300104000300</v>
          </cell>
          <cell r="H3221">
            <v>3</v>
          </cell>
          <cell r="I3221" t="str">
            <v>--</v>
          </cell>
          <cell r="J3221">
            <v>4</v>
          </cell>
          <cell r="K3221">
            <v>5</v>
          </cell>
        </row>
        <row r="3222">
          <cell r="A3222" t="str">
            <v>M2</v>
          </cell>
          <cell r="B3222" t="str">
            <v>A5C</v>
          </cell>
          <cell r="C3222" t="str">
            <v>P</v>
          </cell>
          <cell r="D3222" t="str">
            <v>23256</v>
          </cell>
          <cell r="E3222" t="str">
            <v>90 ELL</v>
          </cell>
          <cell r="F3222">
            <v>2</v>
          </cell>
          <cell r="G3222" t="str">
            <v>CB300104000300</v>
          </cell>
          <cell r="H3222">
            <v>3</v>
          </cell>
          <cell r="I3222" t="str">
            <v>--</v>
          </cell>
          <cell r="J3222">
            <v>2</v>
          </cell>
          <cell r="K3222">
            <v>3</v>
          </cell>
        </row>
        <row r="3223">
          <cell r="A3223" t="str">
            <v>M2</v>
          </cell>
          <cell r="B3223" t="str">
            <v>A5C</v>
          </cell>
          <cell r="C3223" t="str">
            <v>P</v>
          </cell>
          <cell r="D3223" t="str">
            <v>23257</v>
          </cell>
          <cell r="E3223" t="str">
            <v>90 ELL</v>
          </cell>
          <cell r="F3223">
            <v>2</v>
          </cell>
          <cell r="G3223" t="str">
            <v>CB300104000300</v>
          </cell>
          <cell r="H3223">
            <v>3</v>
          </cell>
          <cell r="I3223" t="str">
            <v>--</v>
          </cell>
          <cell r="J3223">
            <v>4</v>
          </cell>
          <cell r="K3223">
            <v>5</v>
          </cell>
        </row>
        <row r="3224">
          <cell r="A3224" t="str">
            <v>M2</v>
          </cell>
          <cell r="B3224" t="str">
            <v>A5C</v>
          </cell>
          <cell r="C3224" t="str">
            <v>P</v>
          </cell>
          <cell r="D3224" t="str">
            <v>23254</v>
          </cell>
          <cell r="E3224" t="str">
            <v>90 ELL</v>
          </cell>
          <cell r="F3224">
            <v>2</v>
          </cell>
          <cell r="G3224" t="str">
            <v>CB300104000300</v>
          </cell>
          <cell r="H3224">
            <v>3</v>
          </cell>
          <cell r="I3224" t="str">
            <v>--</v>
          </cell>
          <cell r="J3224">
            <v>4</v>
          </cell>
          <cell r="K3224">
            <v>5</v>
          </cell>
        </row>
        <row r="3225">
          <cell r="A3225" t="str">
            <v>M2</v>
          </cell>
          <cell r="B3225" t="str">
            <v>A5C</v>
          </cell>
          <cell r="C3225" t="str">
            <v>P</v>
          </cell>
          <cell r="D3225" t="str">
            <v>23258</v>
          </cell>
          <cell r="E3225" t="str">
            <v>90 ELL</v>
          </cell>
          <cell r="F3225">
            <v>2</v>
          </cell>
          <cell r="G3225" t="str">
            <v>CB300104000300</v>
          </cell>
          <cell r="H3225">
            <v>3</v>
          </cell>
          <cell r="I3225" t="str">
            <v>--</v>
          </cell>
          <cell r="J3225">
            <v>2</v>
          </cell>
          <cell r="K3225">
            <v>3</v>
          </cell>
        </row>
        <row r="3226">
          <cell r="A3226" t="str">
            <v>M2</v>
          </cell>
          <cell r="B3226" t="str">
            <v>A5C</v>
          </cell>
          <cell r="C3226" t="str">
            <v>P</v>
          </cell>
          <cell r="D3226" t="str">
            <v>23082</v>
          </cell>
          <cell r="E3226" t="str">
            <v>90 ELL</v>
          </cell>
          <cell r="F3226">
            <v>2</v>
          </cell>
          <cell r="G3226" t="str">
            <v>CB300104000300</v>
          </cell>
          <cell r="H3226">
            <v>3</v>
          </cell>
          <cell r="I3226" t="str">
            <v>--</v>
          </cell>
          <cell r="J3226">
            <v>4</v>
          </cell>
          <cell r="K3226">
            <v>5</v>
          </cell>
        </row>
        <row r="3227">
          <cell r="A3227" t="str">
            <v>M2</v>
          </cell>
          <cell r="B3227" t="str">
            <v>A5C</v>
          </cell>
          <cell r="C3227" t="str">
            <v>P</v>
          </cell>
          <cell r="D3227" t="str">
            <v>23236</v>
          </cell>
          <cell r="E3227" t="str">
            <v>90 ELL</v>
          </cell>
          <cell r="F3227">
            <v>2</v>
          </cell>
          <cell r="G3227" t="str">
            <v>CB300104000300</v>
          </cell>
          <cell r="H3227">
            <v>3</v>
          </cell>
          <cell r="I3227" t="str">
            <v>--</v>
          </cell>
          <cell r="J3227">
            <v>2</v>
          </cell>
          <cell r="K3227">
            <v>3</v>
          </cell>
        </row>
        <row r="3228">
          <cell r="A3228" t="str">
            <v>M2</v>
          </cell>
          <cell r="B3228" t="str">
            <v>A5C</v>
          </cell>
          <cell r="C3228" t="str">
            <v>P</v>
          </cell>
          <cell r="D3228" t="str">
            <v>23047</v>
          </cell>
          <cell r="E3228" t="str">
            <v>C RED</v>
          </cell>
          <cell r="F3228">
            <v>2</v>
          </cell>
          <cell r="G3228" t="str">
            <v>CB300504080302</v>
          </cell>
          <cell r="H3228">
            <v>3</v>
          </cell>
          <cell r="I3228">
            <v>2</v>
          </cell>
          <cell r="J3228">
            <v>2</v>
          </cell>
          <cell r="K3228">
            <v>3</v>
          </cell>
        </row>
        <row r="3229">
          <cell r="A3229" t="str">
            <v>M2</v>
          </cell>
          <cell r="B3229" t="str">
            <v>A5C</v>
          </cell>
          <cell r="C3229" t="str">
            <v>P</v>
          </cell>
          <cell r="D3229" t="str">
            <v>23142</v>
          </cell>
          <cell r="E3229" t="str">
            <v>C RED</v>
          </cell>
          <cell r="F3229">
            <v>2</v>
          </cell>
          <cell r="G3229" t="str">
            <v>CB300504080302</v>
          </cell>
          <cell r="H3229">
            <v>3</v>
          </cell>
          <cell r="I3229">
            <v>2</v>
          </cell>
          <cell r="J3229">
            <v>2</v>
          </cell>
          <cell r="K3229">
            <v>3</v>
          </cell>
        </row>
        <row r="3230">
          <cell r="A3230" t="str">
            <v>M2</v>
          </cell>
          <cell r="B3230" t="str">
            <v>A5C</v>
          </cell>
          <cell r="C3230" t="str">
            <v>P</v>
          </cell>
          <cell r="D3230" t="str">
            <v>23236</v>
          </cell>
          <cell r="E3230" t="str">
            <v>C RED</v>
          </cell>
          <cell r="F3230">
            <v>2</v>
          </cell>
          <cell r="G3230" t="str">
            <v>CB300504080302</v>
          </cell>
          <cell r="H3230">
            <v>3</v>
          </cell>
          <cell r="I3230">
            <v>2</v>
          </cell>
          <cell r="J3230">
            <v>2</v>
          </cell>
          <cell r="K3230">
            <v>3</v>
          </cell>
        </row>
        <row r="3231">
          <cell r="A3231" t="str">
            <v>M2</v>
          </cell>
          <cell r="B3231" t="str">
            <v>A5C</v>
          </cell>
          <cell r="C3231" t="str">
            <v>P</v>
          </cell>
          <cell r="D3231" t="str">
            <v>23240</v>
          </cell>
          <cell r="E3231" t="str">
            <v>C RED</v>
          </cell>
          <cell r="F3231">
            <v>2</v>
          </cell>
          <cell r="G3231" t="str">
            <v>CB300504080302</v>
          </cell>
          <cell r="H3231">
            <v>3</v>
          </cell>
          <cell r="I3231">
            <v>2</v>
          </cell>
          <cell r="J3231">
            <v>2</v>
          </cell>
          <cell r="K3231">
            <v>3</v>
          </cell>
        </row>
        <row r="3232">
          <cell r="A3232" t="str">
            <v>M2</v>
          </cell>
          <cell r="B3232" t="str">
            <v>A5C</v>
          </cell>
          <cell r="C3232" t="str">
            <v>P</v>
          </cell>
          <cell r="D3232" t="str">
            <v>23124</v>
          </cell>
          <cell r="E3232" t="str">
            <v>C RED</v>
          </cell>
          <cell r="F3232">
            <v>2</v>
          </cell>
          <cell r="G3232" t="str">
            <v>CB300504080302</v>
          </cell>
          <cell r="H3232">
            <v>3</v>
          </cell>
          <cell r="I3232">
            <v>2</v>
          </cell>
          <cell r="J3232">
            <v>2</v>
          </cell>
          <cell r="K3232">
            <v>3</v>
          </cell>
        </row>
        <row r="3233">
          <cell r="A3233" t="str">
            <v>M2</v>
          </cell>
          <cell r="B3233" t="str">
            <v>A5C</v>
          </cell>
          <cell r="C3233" t="str">
            <v>P</v>
          </cell>
          <cell r="D3233" t="str">
            <v>23106</v>
          </cell>
          <cell r="E3233" t="str">
            <v>C SWG</v>
          </cell>
          <cell r="F3233">
            <v>2</v>
          </cell>
          <cell r="G3233" t="str">
            <v>CB1614040803IH</v>
          </cell>
          <cell r="H3233">
            <v>3</v>
          </cell>
          <cell r="I3233">
            <v>1.5</v>
          </cell>
          <cell r="J3233">
            <v>2</v>
          </cell>
          <cell r="K3233">
            <v>3</v>
          </cell>
        </row>
        <row r="3234">
          <cell r="A3234" t="str">
            <v>M2</v>
          </cell>
          <cell r="B3234" t="str">
            <v>A5C</v>
          </cell>
          <cell r="C3234" t="str">
            <v>P</v>
          </cell>
          <cell r="D3234" t="str">
            <v>23005</v>
          </cell>
          <cell r="E3234" t="str">
            <v>C SWG</v>
          </cell>
          <cell r="F3234">
            <v>2</v>
          </cell>
          <cell r="G3234" t="str">
            <v>CB1614040803IH</v>
          </cell>
          <cell r="H3234">
            <v>3</v>
          </cell>
          <cell r="I3234">
            <v>1.5</v>
          </cell>
          <cell r="J3234">
            <v>2</v>
          </cell>
          <cell r="K3234">
            <v>3</v>
          </cell>
        </row>
        <row r="3235">
          <cell r="A3235" t="str">
            <v>M2</v>
          </cell>
          <cell r="B3235" t="str">
            <v>A5C</v>
          </cell>
          <cell r="C3235" t="str">
            <v>P</v>
          </cell>
          <cell r="D3235" t="str">
            <v>23246</v>
          </cell>
          <cell r="E3235" t="str">
            <v>C SWG</v>
          </cell>
          <cell r="F3235">
            <v>2</v>
          </cell>
          <cell r="G3235" t="str">
            <v>CB1614040803IH</v>
          </cell>
          <cell r="H3235">
            <v>3</v>
          </cell>
          <cell r="I3235">
            <v>1.5</v>
          </cell>
          <cell r="J3235">
            <v>2</v>
          </cell>
          <cell r="K3235">
            <v>3</v>
          </cell>
        </row>
        <row r="3236">
          <cell r="A3236" t="str">
            <v>M2</v>
          </cell>
          <cell r="B3236" t="str">
            <v>A5C</v>
          </cell>
          <cell r="C3236" t="str">
            <v>P</v>
          </cell>
          <cell r="D3236" t="str">
            <v>23101</v>
          </cell>
          <cell r="E3236" t="str">
            <v>CAP</v>
          </cell>
          <cell r="F3236">
            <v>2</v>
          </cell>
          <cell r="G3236" t="str">
            <v>CB300704000300</v>
          </cell>
          <cell r="H3236">
            <v>3</v>
          </cell>
          <cell r="I3236" t="str">
            <v>--</v>
          </cell>
          <cell r="J3236">
            <v>2</v>
          </cell>
          <cell r="K3236">
            <v>3</v>
          </cell>
        </row>
        <row r="3237">
          <cell r="A3237" t="str">
            <v>M2</v>
          </cell>
          <cell r="B3237" t="str">
            <v>A5C</v>
          </cell>
          <cell r="C3237" t="str">
            <v>P</v>
          </cell>
          <cell r="D3237" t="str">
            <v>23105</v>
          </cell>
          <cell r="E3237" t="str">
            <v>CAP</v>
          </cell>
          <cell r="F3237">
            <v>2</v>
          </cell>
          <cell r="G3237" t="str">
            <v>CB300704000300</v>
          </cell>
          <cell r="H3237">
            <v>3</v>
          </cell>
          <cell r="I3237" t="str">
            <v>--</v>
          </cell>
          <cell r="J3237">
            <v>2</v>
          </cell>
          <cell r="K3237">
            <v>3</v>
          </cell>
        </row>
        <row r="3238">
          <cell r="A3238" t="str">
            <v>M2</v>
          </cell>
          <cell r="B3238" t="str">
            <v>A5C</v>
          </cell>
          <cell r="C3238" t="str">
            <v>P</v>
          </cell>
          <cell r="D3238" t="str">
            <v>23109</v>
          </cell>
          <cell r="E3238" t="str">
            <v>CAP</v>
          </cell>
          <cell r="F3238">
            <v>2</v>
          </cell>
          <cell r="G3238" t="str">
            <v>CB300704000300</v>
          </cell>
          <cell r="H3238">
            <v>3</v>
          </cell>
          <cell r="I3238" t="str">
            <v>--</v>
          </cell>
          <cell r="J3238">
            <v>2</v>
          </cell>
          <cell r="K3238">
            <v>3</v>
          </cell>
        </row>
        <row r="3239">
          <cell r="A3239" t="str">
            <v>M2</v>
          </cell>
          <cell r="B3239" t="str">
            <v>A5C</v>
          </cell>
          <cell r="C3239" t="str">
            <v>P</v>
          </cell>
          <cell r="D3239" t="str">
            <v>23113</v>
          </cell>
          <cell r="E3239" t="str">
            <v>CAP</v>
          </cell>
          <cell r="F3239">
            <v>2</v>
          </cell>
          <cell r="G3239" t="str">
            <v>CB300704000300</v>
          </cell>
          <cell r="H3239">
            <v>3</v>
          </cell>
          <cell r="I3239" t="str">
            <v>--</v>
          </cell>
          <cell r="J3239">
            <v>2</v>
          </cell>
          <cell r="K3239">
            <v>3</v>
          </cell>
        </row>
        <row r="3240">
          <cell r="A3240" t="str">
            <v>M2</v>
          </cell>
          <cell r="B3240" t="str">
            <v>A5C</v>
          </cell>
          <cell r="C3240" t="str">
            <v>P</v>
          </cell>
          <cell r="D3240" t="str">
            <v>23234</v>
          </cell>
          <cell r="E3240" t="str">
            <v>CAP</v>
          </cell>
          <cell r="F3240">
            <v>2</v>
          </cell>
          <cell r="G3240" t="str">
            <v>CB300704000300</v>
          </cell>
          <cell r="H3240">
            <v>3</v>
          </cell>
          <cell r="I3240" t="str">
            <v>--</v>
          </cell>
          <cell r="J3240">
            <v>2</v>
          </cell>
          <cell r="K3240">
            <v>3</v>
          </cell>
        </row>
        <row r="3241">
          <cell r="A3241" t="str">
            <v>M2</v>
          </cell>
          <cell r="B3241" t="str">
            <v>A5C</v>
          </cell>
          <cell r="C3241" t="str">
            <v>P</v>
          </cell>
          <cell r="D3241" t="str">
            <v>23238</v>
          </cell>
          <cell r="E3241" t="str">
            <v>CAP</v>
          </cell>
          <cell r="F3241">
            <v>2</v>
          </cell>
          <cell r="G3241" t="str">
            <v>CB300704000300</v>
          </cell>
          <cell r="H3241">
            <v>3</v>
          </cell>
          <cell r="I3241" t="str">
            <v>--</v>
          </cell>
          <cell r="J3241">
            <v>2</v>
          </cell>
          <cell r="K3241">
            <v>3</v>
          </cell>
        </row>
        <row r="3242">
          <cell r="A3242" t="str">
            <v>M2</v>
          </cell>
          <cell r="B3242" t="str">
            <v>A5C</v>
          </cell>
          <cell r="C3242" t="str">
            <v>TRIM</v>
          </cell>
          <cell r="D3242" t="str">
            <v>V-2316</v>
          </cell>
          <cell r="E3242" t="str">
            <v>CAP</v>
          </cell>
          <cell r="F3242">
            <v>2</v>
          </cell>
          <cell r="G3242" t="str">
            <v>CB300704000300</v>
          </cell>
          <cell r="H3242">
            <v>3</v>
          </cell>
          <cell r="I3242" t="str">
            <v>--</v>
          </cell>
          <cell r="J3242">
            <v>2</v>
          </cell>
          <cell r="K3242">
            <v>3</v>
          </cell>
        </row>
        <row r="3243">
          <cell r="A3243" t="str">
            <v>M2</v>
          </cell>
          <cell r="B3243" t="str">
            <v>A5C</v>
          </cell>
          <cell r="C3243" t="str">
            <v>TRIM</v>
          </cell>
          <cell r="D3243" t="str">
            <v>V-2320</v>
          </cell>
          <cell r="E3243" t="str">
            <v>CAP</v>
          </cell>
          <cell r="F3243">
            <v>2</v>
          </cell>
          <cell r="G3243" t="str">
            <v>CB300704000300</v>
          </cell>
          <cell r="H3243">
            <v>3</v>
          </cell>
          <cell r="I3243" t="str">
            <v>--</v>
          </cell>
          <cell r="J3243">
            <v>2</v>
          </cell>
          <cell r="K3243">
            <v>3</v>
          </cell>
        </row>
        <row r="3244">
          <cell r="A3244" t="str">
            <v>M2</v>
          </cell>
          <cell r="B3244" t="str">
            <v>A5C</v>
          </cell>
          <cell r="C3244" t="str">
            <v>TRIM</v>
          </cell>
          <cell r="D3244" t="str">
            <v>V-2321</v>
          </cell>
          <cell r="E3244" t="str">
            <v>CAP</v>
          </cell>
          <cell r="F3244">
            <v>2</v>
          </cell>
          <cell r="G3244" t="str">
            <v>CB300704000300</v>
          </cell>
          <cell r="H3244">
            <v>3</v>
          </cell>
          <cell r="I3244" t="str">
            <v>--</v>
          </cell>
          <cell r="J3244">
            <v>2</v>
          </cell>
          <cell r="K3244">
            <v>3</v>
          </cell>
        </row>
        <row r="3245">
          <cell r="A3245" t="str">
            <v>M2</v>
          </cell>
          <cell r="B3245" t="str">
            <v>A5C</v>
          </cell>
          <cell r="C3245" t="str">
            <v>TRIM</v>
          </cell>
          <cell r="D3245" t="str">
            <v>V-2317</v>
          </cell>
          <cell r="E3245" t="str">
            <v>CAP</v>
          </cell>
          <cell r="F3245">
            <v>2</v>
          </cell>
          <cell r="G3245" t="str">
            <v>CB300704000300</v>
          </cell>
          <cell r="H3245">
            <v>3</v>
          </cell>
          <cell r="I3245" t="str">
            <v>--</v>
          </cell>
          <cell r="J3245">
            <v>2</v>
          </cell>
          <cell r="K3245">
            <v>3</v>
          </cell>
        </row>
        <row r="3246">
          <cell r="A3246" t="str">
            <v>M2</v>
          </cell>
          <cell r="B3246" t="str">
            <v>A5C</v>
          </cell>
          <cell r="C3246" t="str">
            <v>TRIM</v>
          </cell>
          <cell r="D3246" t="str">
            <v>V-2323</v>
          </cell>
          <cell r="E3246" t="str">
            <v>CAP</v>
          </cell>
          <cell r="F3246">
            <v>2</v>
          </cell>
          <cell r="G3246" t="str">
            <v>CB300704000300</v>
          </cell>
          <cell r="H3246">
            <v>3</v>
          </cell>
          <cell r="I3246" t="str">
            <v>--</v>
          </cell>
          <cell r="J3246">
            <v>2</v>
          </cell>
          <cell r="K3246">
            <v>3</v>
          </cell>
        </row>
        <row r="3247">
          <cell r="A3247" t="str">
            <v>M2</v>
          </cell>
          <cell r="B3247" t="str">
            <v>A5C</v>
          </cell>
          <cell r="C3247" t="str">
            <v>TRIM</v>
          </cell>
          <cell r="D3247" t="str">
            <v>V-2326</v>
          </cell>
          <cell r="E3247" t="str">
            <v>CAP</v>
          </cell>
          <cell r="F3247">
            <v>2</v>
          </cell>
          <cell r="G3247" t="str">
            <v>CB300704000300</v>
          </cell>
          <cell r="H3247">
            <v>3</v>
          </cell>
          <cell r="I3247" t="str">
            <v>--</v>
          </cell>
          <cell r="J3247">
            <v>2</v>
          </cell>
          <cell r="K3247">
            <v>3</v>
          </cell>
        </row>
        <row r="3248">
          <cell r="A3248" t="str">
            <v>M2</v>
          </cell>
          <cell r="B3248" t="str">
            <v>A5C</v>
          </cell>
          <cell r="C3248" t="str">
            <v>TRIM</v>
          </cell>
          <cell r="D3248" t="str">
            <v>V-2329</v>
          </cell>
          <cell r="E3248" t="str">
            <v>CAP</v>
          </cell>
          <cell r="F3248">
            <v>2</v>
          </cell>
          <cell r="G3248" t="str">
            <v>CB300704000300</v>
          </cell>
          <cell r="H3248">
            <v>3</v>
          </cell>
          <cell r="I3248" t="str">
            <v>--</v>
          </cell>
          <cell r="J3248">
            <v>2</v>
          </cell>
          <cell r="K3248">
            <v>3</v>
          </cell>
        </row>
        <row r="3249">
          <cell r="A3249" t="str">
            <v>M2</v>
          </cell>
          <cell r="B3249" t="str">
            <v>A5C</v>
          </cell>
          <cell r="C3249" t="str">
            <v>TRIM</v>
          </cell>
          <cell r="D3249" t="str">
            <v>V-2330</v>
          </cell>
          <cell r="E3249" t="str">
            <v>CAP</v>
          </cell>
          <cell r="F3249">
            <v>2</v>
          </cell>
          <cell r="G3249" t="str">
            <v>CB300704000300</v>
          </cell>
          <cell r="H3249">
            <v>3</v>
          </cell>
          <cell r="I3249" t="str">
            <v>--</v>
          </cell>
          <cell r="J3249">
            <v>2</v>
          </cell>
          <cell r="K3249">
            <v>3</v>
          </cell>
        </row>
        <row r="3250">
          <cell r="A3250" t="str">
            <v>M2</v>
          </cell>
          <cell r="B3250" t="str">
            <v>A5C</v>
          </cell>
          <cell r="C3250" t="str">
            <v>TRIM</v>
          </cell>
          <cell r="D3250" t="str">
            <v>V-2333</v>
          </cell>
          <cell r="E3250" t="str">
            <v>CAP</v>
          </cell>
          <cell r="F3250">
            <v>2</v>
          </cell>
          <cell r="G3250" t="str">
            <v>CB300704000300</v>
          </cell>
          <cell r="H3250">
            <v>3</v>
          </cell>
          <cell r="I3250" t="str">
            <v>--</v>
          </cell>
          <cell r="J3250">
            <v>2</v>
          </cell>
          <cell r="K3250">
            <v>3</v>
          </cell>
        </row>
        <row r="3251">
          <cell r="A3251" t="str">
            <v>M2</v>
          </cell>
          <cell r="B3251" t="str">
            <v>A5C</v>
          </cell>
          <cell r="C3251" t="str">
            <v>TRIM</v>
          </cell>
          <cell r="D3251" t="str">
            <v>V-2328</v>
          </cell>
          <cell r="E3251" t="str">
            <v>CAP</v>
          </cell>
          <cell r="F3251">
            <v>2</v>
          </cell>
          <cell r="G3251" t="str">
            <v>CB300704000300</v>
          </cell>
          <cell r="H3251">
            <v>3</v>
          </cell>
          <cell r="I3251" t="str">
            <v>--</v>
          </cell>
          <cell r="J3251">
            <v>2</v>
          </cell>
          <cell r="K3251">
            <v>3</v>
          </cell>
        </row>
        <row r="3252">
          <cell r="A3252" t="str">
            <v>M2</v>
          </cell>
          <cell r="B3252" t="str">
            <v>A5C</v>
          </cell>
          <cell r="C3252" t="str">
            <v>TRIM</v>
          </cell>
          <cell r="D3252" t="str">
            <v>V-2331</v>
          </cell>
          <cell r="E3252" t="str">
            <v>CAP</v>
          </cell>
          <cell r="F3252">
            <v>2</v>
          </cell>
          <cell r="G3252" t="str">
            <v>CB300704000300</v>
          </cell>
          <cell r="H3252">
            <v>3</v>
          </cell>
          <cell r="I3252" t="str">
            <v>--</v>
          </cell>
          <cell r="J3252">
            <v>2</v>
          </cell>
          <cell r="K3252">
            <v>3</v>
          </cell>
        </row>
        <row r="3253">
          <cell r="A3253" t="str">
            <v>M2</v>
          </cell>
          <cell r="B3253" t="str">
            <v>A5C</v>
          </cell>
          <cell r="C3253" t="str">
            <v>P</v>
          </cell>
          <cell r="D3253" t="str">
            <v>23094</v>
          </cell>
          <cell r="E3253" t="str">
            <v>CAP</v>
          </cell>
          <cell r="F3253">
            <v>2</v>
          </cell>
          <cell r="G3253" t="str">
            <v>CB300704000300</v>
          </cell>
          <cell r="H3253">
            <v>3</v>
          </cell>
          <cell r="I3253" t="str">
            <v>--</v>
          </cell>
          <cell r="J3253">
            <v>2</v>
          </cell>
          <cell r="K3253">
            <v>3</v>
          </cell>
        </row>
        <row r="3254">
          <cell r="A3254" t="str">
            <v>M2</v>
          </cell>
          <cell r="B3254" t="str">
            <v>A5C</v>
          </cell>
          <cell r="C3254" t="str">
            <v>P</v>
          </cell>
          <cell r="D3254" t="str">
            <v>23133</v>
          </cell>
          <cell r="E3254" t="str">
            <v>CAP</v>
          </cell>
          <cell r="F3254">
            <v>2</v>
          </cell>
          <cell r="G3254" t="str">
            <v>CB300704000300</v>
          </cell>
          <cell r="H3254">
            <v>3</v>
          </cell>
          <cell r="I3254" t="str">
            <v>--</v>
          </cell>
          <cell r="J3254">
            <v>2</v>
          </cell>
          <cell r="K3254">
            <v>3</v>
          </cell>
        </row>
        <row r="3255">
          <cell r="A3255" t="str">
            <v>M2</v>
          </cell>
          <cell r="B3255" t="str">
            <v>A5C</v>
          </cell>
          <cell r="C3255" t="str">
            <v>P</v>
          </cell>
          <cell r="D3255" t="str">
            <v>23141</v>
          </cell>
          <cell r="E3255" t="str">
            <v>CAP</v>
          </cell>
          <cell r="F3255">
            <v>2</v>
          </cell>
          <cell r="G3255" t="str">
            <v>CB300704000300</v>
          </cell>
          <cell r="H3255">
            <v>3</v>
          </cell>
          <cell r="I3255" t="str">
            <v>--</v>
          </cell>
          <cell r="J3255">
            <v>2</v>
          </cell>
          <cell r="K3255">
            <v>3</v>
          </cell>
        </row>
        <row r="3256">
          <cell r="A3256" t="str">
            <v>M2</v>
          </cell>
          <cell r="B3256" t="str">
            <v>A5C</v>
          </cell>
          <cell r="C3256" t="str">
            <v>P</v>
          </cell>
          <cell r="D3256" t="str">
            <v>23145</v>
          </cell>
          <cell r="E3256" t="str">
            <v>CAP</v>
          </cell>
          <cell r="F3256">
            <v>2</v>
          </cell>
          <cell r="G3256" t="str">
            <v>CB300704000300</v>
          </cell>
          <cell r="H3256">
            <v>3</v>
          </cell>
          <cell r="I3256" t="str">
            <v>--</v>
          </cell>
          <cell r="J3256">
            <v>2</v>
          </cell>
          <cell r="K3256">
            <v>3</v>
          </cell>
        </row>
        <row r="3257">
          <cell r="A3257" t="str">
            <v>M2</v>
          </cell>
          <cell r="B3257" t="str">
            <v>A5C</v>
          </cell>
          <cell r="C3257" t="str">
            <v>TRIM</v>
          </cell>
          <cell r="D3257" t="str">
            <v>V-2301</v>
          </cell>
          <cell r="E3257" t="str">
            <v>CAP</v>
          </cell>
          <cell r="F3257">
            <v>2</v>
          </cell>
          <cell r="G3257" t="str">
            <v>CB300704000300</v>
          </cell>
          <cell r="H3257">
            <v>3</v>
          </cell>
          <cell r="I3257" t="str">
            <v>--</v>
          </cell>
          <cell r="J3257">
            <v>2</v>
          </cell>
          <cell r="K3257">
            <v>3</v>
          </cell>
        </row>
        <row r="3258">
          <cell r="A3258" t="str">
            <v>M2</v>
          </cell>
          <cell r="B3258" t="str">
            <v>A5C</v>
          </cell>
          <cell r="C3258" t="str">
            <v>TRIM</v>
          </cell>
          <cell r="D3258" t="str">
            <v>V-2315</v>
          </cell>
          <cell r="E3258" t="str">
            <v>CAP</v>
          </cell>
          <cell r="F3258">
            <v>2</v>
          </cell>
          <cell r="G3258" t="str">
            <v>CB300704000300</v>
          </cell>
          <cell r="H3258">
            <v>3</v>
          </cell>
          <cell r="I3258" t="str">
            <v>--</v>
          </cell>
          <cell r="J3258">
            <v>2</v>
          </cell>
          <cell r="K3258">
            <v>3</v>
          </cell>
        </row>
        <row r="3259">
          <cell r="A3259" t="str">
            <v>M2</v>
          </cell>
          <cell r="B3259" t="str">
            <v>A5C</v>
          </cell>
          <cell r="C3259" t="str">
            <v>TRIM</v>
          </cell>
          <cell r="D3259" t="str">
            <v>V-2318</v>
          </cell>
          <cell r="E3259" t="str">
            <v>CAP</v>
          </cell>
          <cell r="F3259">
            <v>2</v>
          </cell>
          <cell r="G3259" t="str">
            <v>CB300704000300</v>
          </cell>
          <cell r="H3259">
            <v>3</v>
          </cell>
          <cell r="I3259" t="str">
            <v>--</v>
          </cell>
          <cell r="J3259">
            <v>2</v>
          </cell>
          <cell r="K3259">
            <v>3</v>
          </cell>
        </row>
        <row r="3260">
          <cell r="A3260" t="str">
            <v>M2</v>
          </cell>
          <cell r="B3260" t="str">
            <v>A5C</v>
          </cell>
          <cell r="C3260" t="str">
            <v>TRIM</v>
          </cell>
          <cell r="D3260" t="str">
            <v>V-2319</v>
          </cell>
          <cell r="E3260" t="str">
            <v>CAP</v>
          </cell>
          <cell r="F3260">
            <v>2</v>
          </cell>
          <cell r="G3260" t="str">
            <v>CB300704000300</v>
          </cell>
          <cell r="H3260">
            <v>3</v>
          </cell>
          <cell r="I3260" t="str">
            <v>--</v>
          </cell>
          <cell r="J3260">
            <v>2</v>
          </cell>
          <cell r="K3260">
            <v>3</v>
          </cell>
        </row>
        <row r="3261">
          <cell r="A3261" t="str">
            <v>M2</v>
          </cell>
          <cell r="B3261" t="str">
            <v>A5C</v>
          </cell>
          <cell r="C3261" t="str">
            <v>TRIM</v>
          </cell>
          <cell r="D3261" t="str">
            <v>V-2324</v>
          </cell>
          <cell r="E3261" t="str">
            <v>CAP</v>
          </cell>
          <cell r="F3261">
            <v>2</v>
          </cell>
          <cell r="G3261" t="str">
            <v>CB300704000300</v>
          </cell>
          <cell r="H3261">
            <v>3</v>
          </cell>
          <cell r="I3261" t="str">
            <v>--</v>
          </cell>
          <cell r="J3261">
            <v>2</v>
          </cell>
          <cell r="K3261">
            <v>3</v>
          </cell>
        </row>
        <row r="3262">
          <cell r="A3262" t="str">
            <v>M2</v>
          </cell>
          <cell r="B3262" t="str">
            <v>A5C</v>
          </cell>
          <cell r="C3262" t="str">
            <v>TRIM</v>
          </cell>
          <cell r="D3262" t="str">
            <v>V-2327</v>
          </cell>
          <cell r="E3262" t="str">
            <v>CAP</v>
          </cell>
          <cell r="F3262">
            <v>2</v>
          </cell>
          <cell r="G3262" t="str">
            <v>CB300704000300</v>
          </cell>
          <cell r="H3262">
            <v>3</v>
          </cell>
          <cell r="I3262" t="str">
            <v>--</v>
          </cell>
          <cell r="J3262">
            <v>2</v>
          </cell>
          <cell r="K3262">
            <v>3</v>
          </cell>
        </row>
        <row r="3263">
          <cell r="A3263" t="str">
            <v>M2</v>
          </cell>
          <cell r="B3263" t="str">
            <v>A5C</v>
          </cell>
          <cell r="C3263" t="str">
            <v>TRIM</v>
          </cell>
          <cell r="D3263" t="str">
            <v>V-2332</v>
          </cell>
          <cell r="E3263" t="str">
            <v>CAP</v>
          </cell>
          <cell r="F3263">
            <v>2</v>
          </cell>
          <cell r="G3263" t="str">
            <v>CB300704000300</v>
          </cell>
          <cell r="H3263">
            <v>3</v>
          </cell>
          <cell r="I3263" t="str">
            <v>--</v>
          </cell>
          <cell r="J3263">
            <v>2</v>
          </cell>
          <cell r="K3263">
            <v>3</v>
          </cell>
        </row>
        <row r="3264">
          <cell r="A3264" t="str">
            <v>M2</v>
          </cell>
          <cell r="B3264" t="str">
            <v>A5C</v>
          </cell>
          <cell r="C3264" t="str">
            <v>TRIM</v>
          </cell>
          <cell r="D3264" t="str">
            <v>V-2351</v>
          </cell>
          <cell r="E3264" t="str">
            <v>CAP</v>
          </cell>
          <cell r="F3264">
            <v>2</v>
          </cell>
          <cell r="G3264" t="str">
            <v>CB300704000300</v>
          </cell>
          <cell r="H3264">
            <v>3</v>
          </cell>
          <cell r="I3264" t="str">
            <v>--</v>
          </cell>
          <cell r="J3264">
            <v>2</v>
          </cell>
          <cell r="K3264">
            <v>3</v>
          </cell>
        </row>
        <row r="3265">
          <cell r="A3265" t="str">
            <v>M2</v>
          </cell>
          <cell r="B3265" t="str">
            <v>A5C</v>
          </cell>
          <cell r="C3265" t="str">
            <v>P</v>
          </cell>
          <cell r="D3265" t="str">
            <v>23082</v>
          </cell>
          <cell r="E3265" t="str">
            <v>E RED</v>
          </cell>
          <cell r="F3265">
            <v>2</v>
          </cell>
          <cell r="G3265" t="str">
            <v>CB300604080302</v>
          </cell>
          <cell r="H3265">
            <v>3</v>
          </cell>
          <cell r="I3265">
            <v>2</v>
          </cell>
          <cell r="J3265">
            <v>2</v>
          </cell>
          <cell r="K3265">
            <v>3</v>
          </cell>
        </row>
        <row r="3266">
          <cell r="A3266" t="str">
            <v>M2</v>
          </cell>
          <cell r="B3266" t="str">
            <v>A5C</v>
          </cell>
          <cell r="C3266" t="str">
            <v>P</v>
          </cell>
          <cell r="D3266" t="str">
            <v>23232</v>
          </cell>
          <cell r="E3266" t="str">
            <v>E RED</v>
          </cell>
          <cell r="F3266">
            <v>2</v>
          </cell>
          <cell r="G3266" t="str">
            <v>CB300604080302</v>
          </cell>
          <cell r="H3266">
            <v>3</v>
          </cell>
          <cell r="I3266">
            <v>2</v>
          </cell>
          <cell r="J3266">
            <v>2</v>
          </cell>
          <cell r="K3266">
            <v>3</v>
          </cell>
        </row>
        <row r="3267">
          <cell r="A3267" t="str">
            <v>M2</v>
          </cell>
          <cell r="B3267" t="str">
            <v>A5C</v>
          </cell>
          <cell r="C3267" t="str">
            <v>P</v>
          </cell>
          <cell r="D3267" t="str">
            <v>23254</v>
          </cell>
          <cell r="E3267" t="str">
            <v>E RED</v>
          </cell>
          <cell r="F3267">
            <v>2</v>
          </cell>
          <cell r="G3267" t="str">
            <v>CB300604080302</v>
          </cell>
          <cell r="H3267">
            <v>3</v>
          </cell>
          <cell r="I3267">
            <v>2</v>
          </cell>
          <cell r="J3267">
            <v>2</v>
          </cell>
          <cell r="K3267">
            <v>3</v>
          </cell>
        </row>
        <row r="3268">
          <cell r="A3268" t="str">
            <v>M2</v>
          </cell>
          <cell r="B3268" t="str">
            <v>A5C</v>
          </cell>
          <cell r="C3268" t="str">
            <v>P</v>
          </cell>
          <cell r="D3268" t="str">
            <v>23005</v>
          </cell>
          <cell r="E3268" t="str">
            <v>SOL</v>
          </cell>
          <cell r="F3268">
            <v>2</v>
          </cell>
          <cell r="G3268" t="str">
            <v>CB39020000030H</v>
          </cell>
          <cell r="H3268">
            <v>3</v>
          </cell>
          <cell r="I3268">
            <v>0.5</v>
          </cell>
          <cell r="J3268">
            <v>2</v>
          </cell>
          <cell r="K3268">
            <v>3</v>
          </cell>
        </row>
        <row r="3269">
          <cell r="A3269" t="str">
            <v>M2</v>
          </cell>
          <cell r="B3269" t="str">
            <v>A5C</v>
          </cell>
          <cell r="C3269" t="str">
            <v>P</v>
          </cell>
          <cell r="D3269" t="str">
            <v>23005</v>
          </cell>
          <cell r="E3269" t="str">
            <v>SOL</v>
          </cell>
          <cell r="F3269">
            <v>2</v>
          </cell>
          <cell r="G3269" t="str">
            <v>CB390200000301</v>
          </cell>
          <cell r="H3269">
            <v>3</v>
          </cell>
          <cell r="I3269">
            <v>1</v>
          </cell>
          <cell r="J3269">
            <v>1</v>
          </cell>
          <cell r="K3269">
            <v>2</v>
          </cell>
        </row>
        <row r="3270">
          <cell r="A3270" t="str">
            <v>M2</v>
          </cell>
          <cell r="B3270" t="str">
            <v>A5C</v>
          </cell>
          <cell r="C3270" t="str">
            <v>P</v>
          </cell>
          <cell r="D3270" t="str">
            <v>23047</v>
          </cell>
          <cell r="E3270" t="str">
            <v>SOL</v>
          </cell>
          <cell r="F3270">
            <v>2</v>
          </cell>
          <cell r="G3270" t="str">
            <v>CB39020000030T</v>
          </cell>
          <cell r="H3270">
            <v>3</v>
          </cell>
          <cell r="I3270">
            <v>0.75</v>
          </cell>
          <cell r="J3270">
            <v>2</v>
          </cell>
          <cell r="K3270">
            <v>3</v>
          </cell>
        </row>
        <row r="3271">
          <cell r="A3271" t="str">
            <v>M2</v>
          </cell>
          <cell r="B3271" t="str">
            <v>A5C</v>
          </cell>
          <cell r="C3271" t="str">
            <v>P</v>
          </cell>
          <cell r="D3271" t="str">
            <v>23083</v>
          </cell>
          <cell r="E3271" t="str">
            <v>SOL</v>
          </cell>
          <cell r="F3271">
            <v>2</v>
          </cell>
          <cell r="G3271" t="str">
            <v>CB390200000301</v>
          </cell>
          <cell r="H3271">
            <v>3</v>
          </cell>
          <cell r="I3271">
            <v>1</v>
          </cell>
          <cell r="J3271">
            <v>1</v>
          </cell>
          <cell r="K3271">
            <v>2</v>
          </cell>
        </row>
        <row r="3272">
          <cell r="A3272" t="str">
            <v>M2</v>
          </cell>
          <cell r="B3272" t="str">
            <v>A5C</v>
          </cell>
          <cell r="C3272" t="str">
            <v>P</v>
          </cell>
          <cell r="D3272" t="str">
            <v>23094</v>
          </cell>
          <cell r="E3272" t="str">
            <v>SOL</v>
          </cell>
          <cell r="F3272">
            <v>2</v>
          </cell>
          <cell r="G3272" t="str">
            <v>CB39020000030T</v>
          </cell>
          <cell r="H3272">
            <v>3</v>
          </cell>
          <cell r="I3272">
            <v>0.75</v>
          </cell>
          <cell r="J3272">
            <v>4</v>
          </cell>
          <cell r="K3272">
            <v>5</v>
          </cell>
        </row>
        <row r="3273">
          <cell r="A3273" t="str">
            <v>M2</v>
          </cell>
          <cell r="B3273" t="str">
            <v>A5C</v>
          </cell>
          <cell r="C3273" t="str">
            <v>P</v>
          </cell>
          <cell r="D3273" t="str">
            <v>23101</v>
          </cell>
          <cell r="E3273" t="str">
            <v>SOL</v>
          </cell>
          <cell r="F3273">
            <v>2</v>
          </cell>
          <cell r="G3273" t="str">
            <v>CB39020000030T</v>
          </cell>
          <cell r="H3273">
            <v>3</v>
          </cell>
          <cell r="I3273">
            <v>0.75</v>
          </cell>
          <cell r="J3273">
            <v>4</v>
          </cell>
          <cell r="K3273">
            <v>5</v>
          </cell>
        </row>
        <row r="3274">
          <cell r="A3274" t="str">
            <v>M2</v>
          </cell>
          <cell r="B3274" t="str">
            <v>A5C</v>
          </cell>
          <cell r="C3274" t="str">
            <v>P</v>
          </cell>
          <cell r="D3274" t="str">
            <v>23106</v>
          </cell>
          <cell r="E3274" t="str">
            <v>SOL</v>
          </cell>
          <cell r="F3274">
            <v>2</v>
          </cell>
          <cell r="G3274" t="str">
            <v>CB390200000301</v>
          </cell>
          <cell r="H3274">
            <v>3</v>
          </cell>
          <cell r="I3274">
            <v>1</v>
          </cell>
          <cell r="J3274">
            <v>1</v>
          </cell>
          <cell r="K3274">
            <v>2</v>
          </cell>
        </row>
        <row r="3275">
          <cell r="A3275" t="str">
            <v>M2</v>
          </cell>
          <cell r="B3275" t="str">
            <v>A5C</v>
          </cell>
          <cell r="C3275" t="str">
            <v>P</v>
          </cell>
          <cell r="D3275" t="str">
            <v>23106</v>
          </cell>
          <cell r="E3275" t="str">
            <v>SOL</v>
          </cell>
          <cell r="F3275">
            <v>2</v>
          </cell>
          <cell r="G3275" t="str">
            <v>CB39020000030T</v>
          </cell>
          <cell r="H3275">
            <v>3</v>
          </cell>
          <cell r="I3275">
            <v>0.75</v>
          </cell>
          <cell r="J3275">
            <v>2</v>
          </cell>
          <cell r="K3275">
            <v>3</v>
          </cell>
        </row>
        <row r="3276">
          <cell r="A3276" t="str">
            <v>M2</v>
          </cell>
          <cell r="B3276" t="str">
            <v>A5C</v>
          </cell>
          <cell r="C3276" t="str">
            <v>P</v>
          </cell>
          <cell r="D3276" t="str">
            <v>23109</v>
          </cell>
          <cell r="E3276" t="str">
            <v>SOL</v>
          </cell>
          <cell r="F3276">
            <v>2</v>
          </cell>
          <cell r="G3276" t="str">
            <v>CB39020000030T</v>
          </cell>
          <cell r="H3276">
            <v>3</v>
          </cell>
          <cell r="I3276">
            <v>0.75</v>
          </cell>
          <cell r="J3276">
            <v>4</v>
          </cell>
          <cell r="K3276">
            <v>5</v>
          </cell>
        </row>
        <row r="3277">
          <cell r="A3277" t="str">
            <v>M2</v>
          </cell>
          <cell r="B3277" t="str">
            <v>A5C</v>
          </cell>
          <cell r="C3277" t="str">
            <v>P</v>
          </cell>
          <cell r="D3277" t="str">
            <v>23142</v>
          </cell>
          <cell r="E3277" t="str">
            <v>SOL</v>
          </cell>
          <cell r="F3277">
            <v>2</v>
          </cell>
          <cell r="G3277" t="str">
            <v>CB390200000301</v>
          </cell>
          <cell r="H3277">
            <v>3</v>
          </cell>
          <cell r="I3277">
            <v>1</v>
          </cell>
          <cell r="J3277">
            <v>1</v>
          </cell>
          <cell r="K3277">
            <v>2</v>
          </cell>
        </row>
        <row r="3278">
          <cell r="A3278" t="str">
            <v>M2</v>
          </cell>
          <cell r="B3278" t="str">
            <v>A5C</v>
          </cell>
          <cell r="C3278" t="str">
            <v>P</v>
          </cell>
          <cell r="D3278" t="str">
            <v>23142</v>
          </cell>
          <cell r="E3278" t="str">
            <v>SOL</v>
          </cell>
          <cell r="F3278">
            <v>2</v>
          </cell>
          <cell r="G3278" t="str">
            <v>CB39020000030T</v>
          </cell>
          <cell r="H3278">
            <v>3</v>
          </cell>
          <cell r="I3278">
            <v>0.75</v>
          </cell>
          <cell r="J3278">
            <v>2</v>
          </cell>
          <cell r="K3278">
            <v>3</v>
          </cell>
        </row>
        <row r="3279">
          <cell r="A3279" t="str">
            <v>M2</v>
          </cell>
          <cell r="B3279" t="str">
            <v>A5C</v>
          </cell>
          <cell r="C3279" t="str">
            <v>P</v>
          </cell>
          <cell r="D3279" t="str">
            <v>23230</v>
          </cell>
          <cell r="E3279" t="str">
            <v>SOL</v>
          </cell>
          <cell r="F3279">
            <v>2</v>
          </cell>
          <cell r="G3279" t="str">
            <v>CB390200000301</v>
          </cell>
          <cell r="H3279">
            <v>3</v>
          </cell>
          <cell r="I3279">
            <v>1</v>
          </cell>
          <cell r="J3279">
            <v>1</v>
          </cell>
          <cell r="K3279">
            <v>2</v>
          </cell>
        </row>
        <row r="3280">
          <cell r="A3280" t="str">
            <v>M2</v>
          </cell>
          <cell r="B3280" t="str">
            <v>A5C</v>
          </cell>
          <cell r="C3280" t="str">
            <v>P</v>
          </cell>
          <cell r="D3280" t="str">
            <v>23236</v>
          </cell>
          <cell r="E3280" t="str">
            <v>SOL</v>
          </cell>
          <cell r="F3280">
            <v>2</v>
          </cell>
          <cell r="G3280" t="str">
            <v>CB39020000030T</v>
          </cell>
          <cell r="H3280">
            <v>3</v>
          </cell>
          <cell r="I3280">
            <v>0.75</v>
          </cell>
          <cell r="J3280">
            <v>2</v>
          </cell>
          <cell r="K3280">
            <v>3</v>
          </cell>
        </row>
        <row r="3281">
          <cell r="A3281" t="str">
            <v>M2</v>
          </cell>
          <cell r="B3281" t="str">
            <v>A5C</v>
          </cell>
          <cell r="C3281" t="str">
            <v>P</v>
          </cell>
          <cell r="D3281" t="str">
            <v>23234</v>
          </cell>
          <cell r="E3281" t="str">
            <v>SOL</v>
          </cell>
          <cell r="F3281">
            <v>2</v>
          </cell>
          <cell r="G3281" t="str">
            <v>CB39020000030T</v>
          </cell>
          <cell r="H3281">
            <v>3</v>
          </cell>
          <cell r="I3281">
            <v>0.75</v>
          </cell>
          <cell r="J3281">
            <v>4</v>
          </cell>
          <cell r="K3281">
            <v>5</v>
          </cell>
        </row>
        <row r="3282">
          <cell r="A3282" t="str">
            <v>M2</v>
          </cell>
          <cell r="B3282" t="str">
            <v>A5C</v>
          </cell>
          <cell r="C3282" t="str">
            <v>P</v>
          </cell>
          <cell r="D3282" t="str">
            <v>23236</v>
          </cell>
          <cell r="E3282" t="str">
            <v>SOL</v>
          </cell>
          <cell r="F3282">
            <v>2</v>
          </cell>
          <cell r="G3282" t="str">
            <v>CB390200000301</v>
          </cell>
          <cell r="H3282">
            <v>3</v>
          </cell>
          <cell r="I3282">
            <v>1</v>
          </cell>
          <cell r="J3282">
            <v>1</v>
          </cell>
          <cell r="K3282">
            <v>2</v>
          </cell>
        </row>
        <row r="3283">
          <cell r="A3283" t="str">
            <v>M2</v>
          </cell>
          <cell r="B3283" t="str">
            <v>A5C</v>
          </cell>
          <cell r="C3283" t="str">
            <v>P</v>
          </cell>
          <cell r="D3283" t="str">
            <v>23238</v>
          </cell>
          <cell r="E3283" t="str">
            <v>SOL</v>
          </cell>
          <cell r="F3283">
            <v>2</v>
          </cell>
          <cell r="G3283" t="str">
            <v>CB39020000030T</v>
          </cell>
          <cell r="H3283">
            <v>3</v>
          </cell>
          <cell r="I3283">
            <v>0.75</v>
          </cell>
          <cell r="J3283">
            <v>4</v>
          </cell>
          <cell r="K3283">
            <v>5</v>
          </cell>
        </row>
        <row r="3284">
          <cell r="A3284" t="str">
            <v>M2</v>
          </cell>
          <cell r="B3284" t="str">
            <v>A5C</v>
          </cell>
          <cell r="C3284" t="str">
            <v>P</v>
          </cell>
          <cell r="D3284" t="str">
            <v>23240</v>
          </cell>
          <cell r="E3284" t="str">
            <v>SOL</v>
          </cell>
          <cell r="F3284">
            <v>2</v>
          </cell>
          <cell r="G3284" t="str">
            <v>CB390200000301</v>
          </cell>
          <cell r="H3284">
            <v>3</v>
          </cell>
          <cell r="I3284">
            <v>1</v>
          </cell>
          <cell r="J3284">
            <v>1</v>
          </cell>
          <cell r="K3284">
            <v>2</v>
          </cell>
        </row>
        <row r="3285">
          <cell r="A3285" t="str">
            <v>M2</v>
          </cell>
          <cell r="B3285" t="str">
            <v>A5C</v>
          </cell>
          <cell r="C3285" t="str">
            <v>P</v>
          </cell>
          <cell r="D3285" t="str">
            <v>23246</v>
          </cell>
          <cell r="E3285" t="str">
            <v>SOL</v>
          </cell>
          <cell r="F3285">
            <v>2</v>
          </cell>
          <cell r="G3285" t="str">
            <v>CB39020000030T</v>
          </cell>
          <cell r="H3285">
            <v>3</v>
          </cell>
          <cell r="I3285">
            <v>0.75</v>
          </cell>
          <cell r="J3285">
            <v>2</v>
          </cell>
          <cell r="K3285">
            <v>3</v>
          </cell>
        </row>
        <row r="3286">
          <cell r="A3286" t="str">
            <v>M2</v>
          </cell>
          <cell r="B3286" t="str">
            <v>A5C</v>
          </cell>
          <cell r="C3286" t="str">
            <v>P</v>
          </cell>
          <cell r="D3286" t="str">
            <v>23246</v>
          </cell>
          <cell r="E3286" t="str">
            <v>SOL</v>
          </cell>
          <cell r="F3286">
            <v>2</v>
          </cell>
          <cell r="G3286" t="str">
            <v>CB390200000301</v>
          </cell>
          <cell r="H3286">
            <v>3</v>
          </cell>
          <cell r="I3286">
            <v>1</v>
          </cell>
          <cell r="J3286">
            <v>1</v>
          </cell>
          <cell r="K3286">
            <v>2</v>
          </cell>
        </row>
        <row r="3287">
          <cell r="A3287" t="str">
            <v>M2</v>
          </cell>
          <cell r="B3287" t="str">
            <v>A5C</v>
          </cell>
          <cell r="C3287" t="str">
            <v>P</v>
          </cell>
          <cell r="D3287" t="str">
            <v>23252</v>
          </cell>
          <cell r="E3287" t="str">
            <v>SOL</v>
          </cell>
          <cell r="F3287">
            <v>2</v>
          </cell>
          <cell r="G3287" t="str">
            <v>CB390200000301</v>
          </cell>
          <cell r="H3287">
            <v>3</v>
          </cell>
          <cell r="I3287">
            <v>1</v>
          </cell>
          <cell r="J3287">
            <v>1</v>
          </cell>
          <cell r="K3287">
            <v>2</v>
          </cell>
        </row>
        <row r="3288">
          <cell r="A3288" t="str">
            <v>M2</v>
          </cell>
          <cell r="B3288" t="str">
            <v>A5C</v>
          </cell>
          <cell r="C3288" t="str">
            <v>P</v>
          </cell>
          <cell r="D3288" t="str">
            <v>23256</v>
          </cell>
          <cell r="E3288" t="str">
            <v>SOL</v>
          </cell>
          <cell r="F3288">
            <v>2</v>
          </cell>
          <cell r="G3288" t="str">
            <v>CB390200000301</v>
          </cell>
          <cell r="H3288">
            <v>3</v>
          </cell>
          <cell r="I3288">
            <v>1</v>
          </cell>
          <cell r="J3288">
            <v>3</v>
          </cell>
          <cell r="K3288">
            <v>4</v>
          </cell>
        </row>
        <row r="3289">
          <cell r="A3289" t="str">
            <v>M2</v>
          </cell>
          <cell r="B3289" t="str">
            <v>A5C</v>
          </cell>
          <cell r="C3289" t="str">
            <v>P</v>
          </cell>
          <cell r="D3289" t="str">
            <v>23256</v>
          </cell>
          <cell r="E3289" t="str">
            <v>SOL</v>
          </cell>
          <cell r="F3289">
            <v>2</v>
          </cell>
          <cell r="G3289" t="str">
            <v>CB39020000030T</v>
          </cell>
          <cell r="H3289">
            <v>3</v>
          </cell>
          <cell r="I3289">
            <v>0.75</v>
          </cell>
          <cell r="J3289">
            <v>1</v>
          </cell>
          <cell r="K3289">
            <v>2</v>
          </cell>
        </row>
        <row r="3290">
          <cell r="A3290" t="str">
            <v>M2</v>
          </cell>
          <cell r="B3290" t="str">
            <v>A5C</v>
          </cell>
          <cell r="C3290" t="str">
            <v>P</v>
          </cell>
          <cell r="D3290" t="str">
            <v>23258</v>
          </cell>
          <cell r="E3290" t="str">
            <v>SOL</v>
          </cell>
          <cell r="F3290">
            <v>2</v>
          </cell>
          <cell r="G3290" t="str">
            <v>CB39020000030T</v>
          </cell>
          <cell r="H3290">
            <v>3</v>
          </cell>
          <cell r="I3290">
            <v>0.75</v>
          </cell>
          <cell r="J3290">
            <v>1</v>
          </cell>
          <cell r="K3290">
            <v>2</v>
          </cell>
        </row>
        <row r="3291">
          <cell r="A3291" t="str">
            <v>M2</v>
          </cell>
          <cell r="B3291" t="str">
            <v>A5C</v>
          </cell>
          <cell r="C3291" t="str">
            <v>P</v>
          </cell>
          <cell r="D3291" t="str">
            <v>23258</v>
          </cell>
          <cell r="E3291" t="str">
            <v>SOL</v>
          </cell>
          <cell r="F3291">
            <v>2</v>
          </cell>
          <cell r="G3291" t="str">
            <v>CB390200000301</v>
          </cell>
          <cell r="H3291">
            <v>3</v>
          </cell>
          <cell r="I3291">
            <v>1</v>
          </cell>
          <cell r="J3291">
            <v>1</v>
          </cell>
          <cell r="K3291">
            <v>2</v>
          </cell>
        </row>
        <row r="3292">
          <cell r="A3292" t="str">
            <v>M2</v>
          </cell>
          <cell r="B3292" t="str">
            <v>A5C</v>
          </cell>
          <cell r="C3292" t="str">
            <v>TRIM</v>
          </cell>
          <cell r="D3292" t="str">
            <v>V-2301</v>
          </cell>
          <cell r="E3292" t="str">
            <v>SOL</v>
          </cell>
          <cell r="F3292">
            <v>2</v>
          </cell>
          <cell r="G3292" t="str">
            <v>CB39020000030T</v>
          </cell>
          <cell r="H3292">
            <v>3</v>
          </cell>
          <cell r="I3292">
            <v>0.75</v>
          </cell>
          <cell r="J3292">
            <v>4</v>
          </cell>
          <cell r="K3292">
            <v>5</v>
          </cell>
        </row>
        <row r="3293">
          <cell r="A3293" t="str">
            <v>M2</v>
          </cell>
          <cell r="B3293" t="str">
            <v>A5C</v>
          </cell>
          <cell r="C3293" t="str">
            <v>TRIM</v>
          </cell>
          <cell r="D3293" t="str">
            <v>V-2316</v>
          </cell>
          <cell r="E3293" t="str">
            <v>SOL</v>
          </cell>
          <cell r="F3293">
            <v>2</v>
          </cell>
          <cell r="G3293" t="str">
            <v>CB39020000030T</v>
          </cell>
          <cell r="H3293">
            <v>3</v>
          </cell>
          <cell r="I3293">
            <v>0.75</v>
          </cell>
          <cell r="J3293">
            <v>6</v>
          </cell>
          <cell r="K3293">
            <v>7</v>
          </cell>
        </row>
        <row r="3294">
          <cell r="A3294" t="str">
            <v>M2</v>
          </cell>
          <cell r="B3294" t="str">
            <v>A5C</v>
          </cell>
          <cell r="C3294" t="str">
            <v>TRIM</v>
          </cell>
          <cell r="D3294" t="str">
            <v>V-2315</v>
          </cell>
          <cell r="E3294" t="str">
            <v>SOL</v>
          </cell>
          <cell r="F3294">
            <v>2</v>
          </cell>
          <cell r="G3294" t="str">
            <v>CB39020000030T</v>
          </cell>
          <cell r="H3294">
            <v>3</v>
          </cell>
          <cell r="I3294">
            <v>0.75</v>
          </cell>
          <cell r="J3294">
            <v>6</v>
          </cell>
          <cell r="K3294">
            <v>7</v>
          </cell>
        </row>
        <row r="3295">
          <cell r="A3295" t="str">
            <v>M2</v>
          </cell>
          <cell r="B3295" t="str">
            <v>A5C</v>
          </cell>
          <cell r="C3295" t="str">
            <v>TRIM</v>
          </cell>
          <cell r="D3295" t="str">
            <v>V-2317</v>
          </cell>
          <cell r="E3295" t="str">
            <v>SOL</v>
          </cell>
          <cell r="F3295">
            <v>2</v>
          </cell>
          <cell r="G3295" t="str">
            <v>CB39020000030T</v>
          </cell>
          <cell r="H3295">
            <v>3</v>
          </cell>
          <cell r="I3295">
            <v>0.75</v>
          </cell>
          <cell r="J3295">
            <v>6</v>
          </cell>
          <cell r="K3295">
            <v>7</v>
          </cell>
        </row>
        <row r="3296">
          <cell r="A3296" t="str">
            <v>M2</v>
          </cell>
          <cell r="B3296" t="str">
            <v>A5C</v>
          </cell>
          <cell r="C3296" t="str">
            <v>TRIM</v>
          </cell>
          <cell r="D3296" t="str">
            <v>V-2318</v>
          </cell>
          <cell r="E3296" t="str">
            <v>SOL</v>
          </cell>
          <cell r="F3296">
            <v>2</v>
          </cell>
          <cell r="G3296" t="str">
            <v>CB39020000030T</v>
          </cell>
          <cell r="H3296">
            <v>3</v>
          </cell>
          <cell r="I3296">
            <v>0.75</v>
          </cell>
          <cell r="J3296">
            <v>6</v>
          </cell>
          <cell r="K3296">
            <v>7</v>
          </cell>
        </row>
        <row r="3297">
          <cell r="A3297" t="str">
            <v>M2</v>
          </cell>
          <cell r="B3297" t="str">
            <v>A5C</v>
          </cell>
          <cell r="C3297" t="str">
            <v>TRIM</v>
          </cell>
          <cell r="D3297" t="str">
            <v>V-2319</v>
          </cell>
          <cell r="E3297" t="str">
            <v>SOL</v>
          </cell>
          <cell r="F3297">
            <v>2</v>
          </cell>
          <cell r="G3297" t="str">
            <v>CB39020000030T</v>
          </cell>
          <cell r="H3297">
            <v>3</v>
          </cell>
          <cell r="I3297">
            <v>0.75</v>
          </cell>
          <cell r="J3297">
            <v>6</v>
          </cell>
          <cell r="K3297">
            <v>7</v>
          </cell>
        </row>
        <row r="3298">
          <cell r="A3298" t="str">
            <v>M2</v>
          </cell>
          <cell r="B3298" t="str">
            <v>A5C</v>
          </cell>
          <cell r="C3298" t="str">
            <v>TRIM</v>
          </cell>
          <cell r="D3298" t="str">
            <v>V-2320</v>
          </cell>
          <cell r="E3298" t="str">
            <v>SOL</v>
          </cell>
          <cell r="F3298">
            <v>2</v>
          </cell>
          <cell r="G3298" t="str">
            <v>CB39020000030T</v>
          </cell>
          <cell r="H3298">
            <v>3</v>
          </cell>
          <cell r="I3298">
            <v>0.75</v>
          </cell>
          <cell r="J3298">
            <v>6</v>
          </cell>
          <cell r="K3298">
            <v>7</v>
          </cell>
        </row>
        <row r="3299">
          <cell r="A3299" t="str">
            <v>M2</v>
          </cell>
          <cell r="B3299" t="str">
            <v>A5C</v>
          </cell>
          <cell r="C3299" t="str">
            <v>TRIM</v>
          </cell>
          <cell r="D3299" t="str">
            <v>V-2321</v>
          </cell>
          <cell r="E3299" t="str">
            <v>SOL</v>
          </cell>
          <cell r="F3299">
            <v>2</v>
          </cell>
          <cell r="G3299" t="str">
            <v>CB39020000030T</v>
          </cell>
          <cell r="H3299">
            <v>3</v>
          </cell>
          <cell r="I3299">
            <v>0.75</v>
          </cell>
          <cell r="J3299">
            <v>6</v>
          </cell>
          <cell r="K3299">
            <v>7</v>
          </cell>
        </row>
        <row r="3300">
          <cell r="A3300" t="str">
            <v>M2</v>
          </cell>
          <cell r="B3300" t="str">
            <v>A5C</v>
          </cell>
          <cell r="C3300" t="str">
            <v>TRIM</v>
          </cell>
          <cell r="D3300" t="str">
            <v>V-2323</v>
          </cell>
          <cell r="E3300" t="str">
            <v>SOL</v>
          </cell>
          <cell r="F3300">
            <v>2</v>
          </cell>
          <cell r="G3300" t="str">
            <v>CB39020000030T</v>
          </cell>
          <cell r="H3300">
            <v>3</v>
          </cell>
          <cell r="I3300">
            <v>0.75</v>
          </cell>
          <cell r="J3300">
            <v>6</v>
          </cell>
          <cell r="K3300">
            <v>7</v>
          </cell>
        </row>
        <row r="3301">
          <cell r="A3301" t="str">
            <v>M2</v>
          </cell>
          <cell r="B3301" t="str">
            <v>A5C</v>
          </cell>
          <cell r="C3301" t="str">
            <v>TRIM</v>
          </cell>
          <cell r="D3301" t="str">
            <v>V-2324</v>
          </cell>
          <cell r="E3301" t="str">
            <v>SOL</v>
          </cell>
          <cell r="F3301">
            <v>2</v>
          </cell>
          <cell r="G3301" t="str">
            <v>CB39020000030T</v>
          </cell>
          <cell r="H3301">
            <v>3</v>
          </cell>
          <cell r="I3301">
            <v>0.75</v>
          </cell>
          <cell r="J3301">
            <v>6</v>
          </cell>
          <cell r="K3301">
            <v>7</v>
          </cell>
        </row>
        <row r="3302">
          <cell r="A3302" t="str">
            <v>M2</v>
          </cell>
          <cell r="B3302" t="str">
            <v>A5C</v>
          </cell>
          <cell r="C3302" t="str">
            <v>TRIM</v>
          </cell>
          <cell r="D3302" t="str">
            <v>V-2327</v>
          </cell>
          <cell r="E3302" t="str">
            <v>SOL</v>
          </cell>
          <cell r="F3302">
            <v>2</v>
          </cell>
          <cell r="G3302" t="str">
            <v>CB39020000030T</v>
          </cell>
          <cell r="H3302">
            <v>3</v>
          </cell>
          <cell r="I3302">
            <v>0.75</v>
          </cell>
          <cell r="J3302">
            <v>6</v>
          </cell>
          <cell r="K3302">
            <v>7</v>
          </cell>
        </row>
        <row r="3303">
          <cell r="A3303" t="str">
            <v>M2</v>
          </cell>
          <cell r="B3303" t="str">
            <v>A5C</v>
          </cell>
          <cell r="C3303" t="str">
            <v>TRIM</v>
          </cell>
          <cell r="D3303" t="str">
            <v>V-2329</v>
          </cell>
          <cell r="E3303" t="str">
            <v>SOL</v>
          </cell>
          <cell r="F3303">
            <v>2</v>
          </cell>
          <cell r="G3303" t="str">
            <v>CB39020000030T</v>
          </cell>
          <cell r="H3303">
            <v>3</v>
          </cell>
          <cell r="I3303">
            <v>0.75</v>
          </cell>
          <cell r="J3303">
            <v>6</v>
          </cell>
          <cell r="K3303">
            <v>7</v>
          </cell>
        </row>
        <row r="3304">
          <cell r="A3304" t="str">
            <v>M2</v>
          </cell>
          <cell r="B3304" t="str">
            <v>A5C</v>
          </cell>
          <cell r="C3304" t="str">
            <v>TRIM</v>
          </cell>
          <cell r="D3304" t="str">
            <v>V-2330</v>
          </cell>
          <cell r="E3304" t="str">
            <v>SOL</v>
          </cell>
          <cell r="F3304">
            <v>2</v>
          </cell>
          <cell r="G3304" t="str">
            <v>CB39020000030T</v>
          </cell>
          <cell r="H3304">
            <v>3</v>
          </cell>
          <cell r="I3304">
            <v>0.75</v>
          </cell>
          <cell r="J3304">
            <v>6</v>
          </cell>
          <cell r="K3304">
            <v>7</v>
          </cell>
        </row>
        <row r="3305">
          <cell r="A3305" t="str">
            <v>M2</v>
          </cell>
          <cell r="B3305" t="str">
            <v>A5C</v>
          </cell>
          <cell r="C3305" t="str">
            <v>TRIM</v>
          </cell>
          <cell r="D3305" t="str">
            <v>V-2331</v>
          </cell>
          <cell r="E3305" t="str">
            <v>SOL</v>
          </cell>
          <cell r="F3305">
            <v>2</v>
          </cell>
          <cell r="G3305" t="str">
            <v>CB39020000030T</v>
          </cell>
          <cell r="H3305">
            <v>3</v>
          </cell>
          <cell r="I3305">
            <v>0.75</v>
          </cell>
          <cell r="J3305">
            <v>6</v>
          </cell>
          <cell r="K3305">
            <v>7</v>
          </cell>
        </row>
        <row r="3306">
          <cell r="A3306" t="str">
            <v>M2</v>
          </cell>
          <cell r="B3306" t="str">
            <v>A5C</v>
          </cell>
          <cell r="C3306" t="str">
            <v>TRIM</v>
          </cell>
          <cell r="D3306" t="str">
            <v>V-2332</v>
          </cell>
          <cell r="E3306" t="str">
            <v>SOL</v>
          </cell>
          <cell r="F3306">
            <v>2</v>
          </cell>
          <cell r="G3306" t="str">
            <v>CB39020000030T</v>
          </cell>
          <cell r="H3306">
            <v>3</v>
          </cell>
          <cell r="I3306">
            <v>0.75</v>
          </cell>
          <cell r="J3306">
            <v>6</v>
          </cell>
          <cell r="K3306">
            <v>7</v>
          </cell>
        </row>
        <row r="3307">
          <cell r="A3307" t="str">
            <v>M2</v>
          </cell>
          <cell r="B3307" t="str">
            <v>A5C</v>
          </cell>
          <cell r="C3307" t="str">
            <v>P</v>
          </cell>
          <cell r="D3307" t="str">
            <v>23082</v>
          </cell>
          <cell r="E3307" t="str">
            <v>SOL</v>
          </cell>
          <cell r="F3307">
            <v>2</v>
          </cell>
          <cell r="G3307" t="str">
            <v>CB39020000030T</v>
          </cell>
          <cell r="H3307">
            <v>3</v>
          </cell>
          <cell r="I3307">
            <v>0.75</v>
          </cell>
          <cell r="J3307">
            <v>2</v>
          </cell>
          <cell r="K3307">
            <v>3</v>
          </cell>
        </row>
        <row r="3308">
          <cell r="A3308" t="str">
            <v>M2</v>
          </cell>
          <cell r="B3308" t="str">
            <v>A5C</v>
          </cell>
          <cell r="C3308" t="str">
            <v>P</v>
          </cell>
          <cell r="D3308" t="str">
            <v>23105</v>
          </cell>
          <cell r="E3308" t="str">
            <v>SOL</v>
          </cell>
          <cell r="F3308">
            <v>2</v>
          </cell>
          <cell r="G3308" t="str">
            <v>CB39020000030T</v>
          </cell>
          <cell r="H3308">
            <v>3</v>
          </cell>
          <cell r="I3308">
            <v>0.75</v>
          </cell>
          <cell r="J3308">
            <v>4</v>
          </cell>
          <cell r="K3308">
            <v>5</v>
          </cell>
        </row>
        <row r="3309">
          <cell r="A3309" t="str">
            <v>M2</v>
          </cell>
          <cell r="B3309" t="str">
            <v>A5C</v>
          </cell>
          <cell r="C3309" t="str">
            <v>P</v>
          </cell>
          <cell r="D3309" t="str">
            <v>23113</v>
          </cell>
          <cell r="E3309" t="str">
            <v>SOL</v>
          </cell>
          <cell r="F3309">
            <v>2</v>
          </cell>
          <cell r="G3309" t="str">
            <v>CB39020000030T</v>
          </cell>
          <cell r="H3309">
            <v>3</v>
          </cell>
          <cell r="I3309">
            <v>0.75</v>
          </cell>
          <cell r="J3309">
            <v>4</v>
          </cell>
          <cell r="K3309">
            <v>5</v>
          </cell>
        </row>
        <row r="3310">
          <cell r="A3310" t="str">
            <v>M2</v>
          </cell>
          <cell r="B3310" t="str">
            <v>A5C</v>
          </cell>
          <cell r="C3310" t="str">
            <v>P</v>
          </cell>
          <cell r="D3310" t="str">
            <v>23122</v>
          </cell>
          <cell r="E3310" t="str">
            <v>SOL</v>
          </cell>
          <cell r="F3310">
            <v>2</v>
          </cell>
          <cell r="G3310" t="str">
            <v>CB390200000301</v>
          </cell>
          <cell r="H3310">
            <v>3</v>
          </cell>
          <cell r="I3310">
            <v>1</v>
          </cell>
          <cell r="J3310">
            <v>1</v>
          </cell>
          <cell r="K3310">
            <v>2</v>
          </cell>
        </row>
        <row r="3311">
          <cell r="A3311" t="str">
            <v>M2</v>
          </cell>
          <cell r="B3311" t="str">
            <v>A5C</v>
          </cell>
          <cell r="C3311" t="str">
            <v>P</v>
          </cell>
          <cell r="D3311" t="str">
            <v>23124</v>
          </cell>
          <cell r="E3311" t="str">
            <v>SOL</v>
          </cell>
          <cell r="F3311">
            <v>2</v>
          </cell>
          <cell r="G3311" t="str">
            <v>CB39020000030T</v>
          </cell>
          <cell r="H3311">
            <v>3</v>
          </cell>
          <cell r="I3311">
            <v>0.75</v>
          </cell>
          <cell r="J3311">
            <v>3</v>
          </cell>
          <cell r="K3311">
            <v>4</v>
          </cell>
        </row>
        <row r="3312">
          <cell r="A3312" t="str">
            <v>M2</v>
          </cell>
          <cell r="B3312" t="str">
            <v>A5C</v>
          </cell>
          <cell r="C3312" t="str">
            <v>P</v>
          </cell>
          <cell r="D3312" t="str">
            <v>23232</v>
          </cell>
          <cell r="E3312" t="str">
            <v>SOL</v>
          </cell>
          <cell r="F3312">
            <v>2</v>
          </cell>
          <cell r="G3312" t="str">
            <v>CB39020000030T</v>
          </cell>
          <cell r="H3312">
            <v>3</v>
          </cell>
          <cell r="I3312">
            <v>0.75</v>
          </cell>
          <cell r="J3312">
            <v>2</v>
          </cell>
          <cell r="K3312">
            <v>3</v>
          </cell>
        </row>
        <row r="3313">
          <cell r="A3313" t="str">
            <v>M2</v>
          </cell>
          <cell r="B3313" t="str">
            <v>A5C</v>
          </cell>
          <cell r="C3313" t="str">
            <v>P</v>
          </cell>
          <cell r="D3313" t="str">
            <v>23240</v>
          </cell>
          <cell r="E3313" t="str">
            <v>SOL</v>
          </cell>
          <cell r="F3313">
            <v>2</v>
          </cell>
          <cell r="G3313" t="str">
            <v>CB39020000030T</v>
          </cell>
          <cell r="H3313">
            <v>3</v>
          </cell>
          <cell r="I3313">
            <v>0.75</v>
          </cell>
          <cell r="J3313">
            <v>2</v>
          </cell>
          <cell r="K3313">
            <v>3</v>
          </cell>
        </row>
        <row r="3314">
          <cell r="A3314" t="str">
            <v>M2</v>
          </cell>
          <cell r="B3314" t="str">
            <v>A5C</v>
          </cell>
          <cell r="C3314" t="str">
            <v>P</v>
          </cell>
          <cell r="D3314" t="str">
            <v>23254</v>
          </cell>
          <cell r="E3314" t="str">
            <v>SOL</v>
          </cell>
          <cell r="F3314">
            <v>2</v>
          </cell>
          <cell r="G3314" t="str">
            <v>CB39020000030T</v>
          </cell>
          <cell r="H3314">
            <v>3</v>
          </cell>
          <cell r="I3314">
            <v>0.75</v>
          </cell>
          <cell r="J3314">
            <v>2</v>
          </cell>
          <cell r="K3314">
            <v>3</v>
          </cell>
        </row>
        <row r="3315">
          <cell r="A3315" t="str">
            <v>M2</v>
          </cell>
          <cell r="B3315" t="str">
            <v>A5C</v>
          </cell>
          <cell r="C3315" t="str">
            <v>TRIM</v>
          </cell>
          <cell r="D3315" t="str">
            <v>V-2301</v>
          </cell>
          <cell r="E3315" t="str">
            <v>SOL</v>
          </cell>
          <cell r="F3315">
            <v>2</v>
          </cell>
          <cell r="G3315" t="str">
            <v>CB3902000003IH</v>
          </cell>
          <cell r="H3315">
            <v>3</v>
          </cell>
          <cell r="I3315">
            <v>1.5</v>
          </cell>
          <cell r="J3315">
            <v>2</v>
          </cell>
          <cell r="K3315">
            <v>3</v>
          </cell>
        </row>
        <row r="3316">
          <cell r="A3316" t="str">
            <v>M2</v>
          </cell>
          <cell r="B3316" t="str">
            <v>A5C</v>
          </cell>
          <cell r="C3316" t="str">
            <v>TRIM</v>
          </cell>
          <cell r="D3316" t="str">
            <v>V-2326</v>
          </cell>
          <cell r="E3316" t="str">
            <v>SOL</v>
          </cell>
          <cell r="F3316">
            <v>2</v>
          </cell>
          <cell r="G3316" t="str">
            <v>CB39020000030T</v>
          </cell>
          <cell r="H3316">
            <v>3</v>
          </cell>
          <cell r="I3316">
            <v>0.75</v>
          </cell>
          <cell r="J3316">
            <v>6</v>
          </cell>
          <cell r="K3316">
            <v>7</v>
          </cell>
        </row>
        <row r="3317">
          <cell r="A3317" t="str">
            <v>M2</v>
          </cell>
          <cell r="B3317" t="str">
            <v>A5C</v>
          </cell>
          <cell r="C3317" t="str">
            <v>TRIM</v>
          </cell>
          <cell r="D3317" t="str">
            <v>V-2328</v>
          </cell>
          <cell r="E3317" t="str">
            <v>SOL</v>
          </cell>
          <cell r="F3317">
            <v>2</v>
          </cell>
          <cell r="G3317" t="str">
            <v>CB39020000030T</v>
          </cell>
          <cell r="H3317">
            <v>3</v>
          </cell>
          <cell r="I3317">
            <v>0.75</v>
          </cell>
          <cell r="J3317">
            <v>6</v>
          </cell>
          <cell r="K3317">
            <v>7</v>
          </cell>
        </row>
        <row r="3318">
          <cell r="A3318" t="str">
            <v>M2</v>
          </cell>
          <cell r="B3318" t="str">
            <v>A5C</v>
          </cell>
          <cell r="C3318" t="str">
            <v>TRIM</v>
          </cell>
          <cell r="D3318" t="str">
            <v>V-2333</v>
          </cell>
          <cell r="E3318" t="str">
            <v>SOL</v>
          </cell>
          <cell r="F3318">
            <v>2</v>
          </cell>
          <cell r="G3318" t="str">
            <v>CB39020000030T</v>
          </cell>
          <cell r="H3318">
            <v>3</v>
          </cell>
          <cell r="I3318">
            <v>0.75</v>
          </cell>
          <cell r="J3318">
            <v>6</v>
          </cell>
          <cell r="K3318">
            <v>7</v>
          </cell>
        </row>
        <row r="3319">
          <cell r="A3319" t="str">
            <v>M2</v>
          </cell>
          <cell r="B3319" t="str">
            <v>A5C</v>
          </cell>
          <cell r="C3319" t="str">
            <v>TRIM</v>
          </cell>
          <cell r="D3319" t="str">
            <v>V-2351</v>
          </cell>
          <cell r="E3319" t="str">
            <v>SOL</v>
          </cell>
          <cell r="F3319">
            <v>2</v>
          </cell>
          <cell r="G3319" t="str">
            <v>CB39020000030T</v>
          </cell>
          <cell r="H3319">
            <v>3</v>
          </cell>
          <cell r="I3319">
            <v>0.75</v>
          </cell>
          <cell r="J3319">
            <v>4</v>
          </cell>
          <cell r="K3319">
            <v>5</v>
          </cell>
        </row>
        <row r="3320">
          <cell r="A3320" t="str">
            <v>M2</v>
          </cell>
          <cell r="B3320" t="str">
            <v>A5C</v>
          </cell>
          <cell r="C3320" t="str">
            <v>P</v>
          </cell>
          <cell r="D3320" t="str">
            <v>23005</v>
          </cell>
          <cell r="E3320" t="str">
            <v>TEE</v>
          </cell>
          <cell r="F3320">
            <v>2</v>
          </cell>
          <cell r="G3320" t="str">
            <v>CB300304000300</v>
          </cell>
          <cell r="H3320">
            <v>3</v>
          </cell>
          <cell r="I3320" t="str">
            <v>--</v>
          </cell>
          <cell r="J3320">
            <v>1</v>
          </cell>
          <cell r="K3320">
            <v>2</v>
          </cell>
        </row>
        <row r="3321">
          <cell r="A3321" t="str">
            <v>M2</v>
          </cell>
          <cell r="B3321" t="str">
            <v>A5C</v>
          </cell>
          <cell r="C3321" t="str">
            <v>P</v>
          </cell>
          <cell r="D3321" t="str">
            <v>23047</v>
          </cell>
          <cell r="E3321" t="str">
            <v>TEE</v>
          </cell>
          <cell r="F3321">
            <v>2</v>
          </cell>
          <cell r="G3321" t="str">
            <v>CB300304000300</v>
          </cell>
          <cell r="H3321">
            <v>3</v>
          </cell>
          <cell r="I3321" t="str">
            <v>--</v>
          </cell>
          <cell r="J3321">
            <v>1</v>
          </cell>
          <cell r="K3321">
            <v>2</v>
          </cell>
        </row>
        <row r="3322">
          <cell r="A3322" t="str">
            <v>M2</v>
          </cell>
          <cell r="B3322" t="str">
            <v>A5C</v>
          </cell>
          <cell r="C3322" t="str">
            <v>P</v>
          </cell>
          <cell r="D3322" t="str">
            <v>23082</v>
          </cell>
          <cell r="E3322" t="str">
            <v>TEE</v>
          </cell>
          <cell r="F3322">
            <v>2</v>
          </cell>
          <cell r="G3322" t="str">
            <v>CB300304000300</v>
          </cell>
          <cell r="H3322">
            <v>3</v>
          </cell>
          <cell r="I3322" t="str">
            <v>--</v>
          </cell>
          <cell r="J3322">
            <v>1</v>
          </cell>
          <cell r="K3322">
            <v>2</v>
          </cell>
        </row>
        <row r="3323">
          <cell r="A3323" t="str">
            <v>M2</v>
          </cell>
          <cell r="B3323" t="str">
            <v>A5C</v>
          </cell>
          <cell r="C3323" t="str">
            <v>P</v>
          </cell>
          <cell r="D3323" t="str">
            <v>23106</v>
          </cell>
          <cell r="E3323" t="str">
            <v>TEE</v>
          </cell>
          <cell r="F3323">
            <v>2</v>
          </cell>
          <cell r="G3323" t="str">
            <v>CB300304000300</v>
          </cell>
          <cell r="H3323">
            <v>3</v>
          </cell>
          <cell r="I3323" t="str">
            <v>--</v>
          </cell>
          <cell r="J3323">
            <v>1</v>
          </cell>
          <cell r="K3323">
            <v>2</v>
          </cell>
        </row>
        <row r="3324">
          <cell r="A3324" t="str">
            <v>M2</v>
          </cell>
          <cell r="B3324" t="str">
            <v>A5C</v>
          </cell>
          <cell r="C3324" t="str">
            <v>P</v>
          </cell>
          <cell r="D3324" t="str">
            <v>23124</v>
          </cell>
          <cell r="E3324" t="str">
            <v>TEE</v>
          </cell>
          <cell r="F3324">
            <v>2</v>
          </cell>
          <cell r="G3324" t="str">
            <v>CB300304000300</v>
          </cell>
          <cell r="H3324">
            <v>3</v>
          </cell>
          <cell r="I3324" t="str">
            <v>--</v>
          </cell>
          <cell r="J3324">
            <v>1</v>
          </cell>
          <cell r="K3324">
            <v>2</v>
          </cell>
        </row>
        <row r="3325">
          <cell r="A3325" t="str">
            <v>M2</v>
          </cell>
          <cell r="B3325" t="str">
            <v>A5C</v>
          </cell>
          <cell r="C3325" t="str">
            <v>P</v>
          </cell>
          <cell r="D3325" t="str">
            <v>23142</v>
          </cell>
          <cell r="E3325" t="str">
            <v>TEE</v>
          </cell>
          <cell r="F3325">
            <v>2</v>
          </cell>
          <cell r="G3325" t="str">
            <v>CB300304000300</v>
          </cell>
          <cell r="H3325">
            <v>3</v>
          </cell>
          <cell r="I3325" t="str">
            <v>--</v>
          </cell>
          <cell r="J3325">
            <v>1</v>
          </cell>
          <cell r="K3325">
            <v>2</v>
          </cell>
        </row>
        <row r="3326">
          <cell r="A3326" t="str">
            <v>M2</v>
          </cell>
          <cell r="B3326" t="str">
            <v>A5C</v>
          </cell>
          <cell r="C3326" t="str">
            <v>P</v>
          </cell>
          <cell r="D3326" t="str">
            <v>23236</v>
          </cell>
          <cell r="E3326" t="str">
            <v>TEE</v>
          </cell>
          <cell r="F3326">
            <v>2</v>
          </cell>
          <cell r="G3326" t="str">
            <v>CB300304000300</v>
          </cell>
          <cell r="H3326">
            <v>3</v>
          </cell>
          <cell r="I3326" t="str">
            <v>--</v>
          </cell>
          <cell r="J3326">
            <v>1</v>
          </cell>
          <cell r="K3326">
            <v>2</v>
          </cell>
        </row>
        <row r="3327">
          <cell r="A3327" t="str">
            <v>M2</v>
          </cell>
          <cell r="B3327" t="str">
            <v>A5C</v>
          </cell>
          <cell r="C3327" t="str">
            <v>P</v>
          </cell>
          <cell r="D3327" t="str">
            <v>23240</v>
          </cell>
          <cell r="E3327" t="str">
            <v>TEE</v>
          </cell>
          <cell r="F3327">
            <v>2</v>
          </cell>
          <cell r="G3327" t="str">
            <v>CB300304000300</v>
          </cell>
          <cell r="H3327">
            <v>3</v>
          </cell>
          <cell r="I3327" t="str">
            <v>--</v>
          </cell>
          <cell r="J3327">
            <v>1</v>
          </cell>
          <cell r="K3327">
            <v>2</v>
          </cell>
        </row>
        <row r="3328">
          <cell r="A3328" t="str">
            <v>M2</v>
          </cell>
          <cell r="B3328" t="str">
            <v>A5C</v>
          </cell>
          <cell r="C3328" t="str">
            <v>P</v>
          </cell>
          <cell r="D3328" t="str">
            <v>23246</v>
          </cell>
          <cell r="E3328" t="str">
            <v>TEE</v>
          </cell>
          <cell r="F3328">
            <v>2</v>
          </cell>
          <cell r="G3328" t="str">
            <v>CB300304000300</v>
          </cell>
          <cell r="H3328">
            <v>3</v>
          </cell>
          <cell r="I3328" t="str">
            <v>--</v>
          </cell>
          <cell r="J3328">
            <v>1</v>
          </cell>
          <cell r="K3328">
            <v>2</v>
          </cell>
        </row>
        <row r="3329">
          <cell r="A3329" t="str">
            <v>M2</v>
          </cell>
          <cell r="B3329" t="str">
            <v>A5C</v>
          </cell>
          <cell r="C3329" t="str">
            <v>P</v>
          </cell>
          <cell r="D3329" t="str">
            <v>23254</v>
          </cell>
          <cell r="E3329" t="str">
            <v>TEE</v>
          </cell>
          <cell r="F3329">
            <v>2</v>
          </cell>
          <cell r="G3329" t="str">
            <v>CB300304000300</v>
          </cell>
          <cell r="H3329">
            <v>3</v>
          </cell>
          <cell r="I3329" t="str">
            <v>--</v>
          </cell>
          <cell r="J3329">
            <v>1</v>
          </cell>
          <cell r="K3329">
            <v>2</v>
          </cell>
        </row>
        <row r="3330">
          <cell r="A3330" t="str">
            <v>M2</v>
          </cell>
          <cell r="B3330" t="str">
            <v>A5C</v>
          </cell>
          <cell r="C3330" t="str">
            <v>P</v>
          </cell>
          <cell r="D3330" t="str">
            <v>23258</v>
          </cell>
          <cell r="E3330" t="str">
            <v>TEE</v>
          </cell>
          <cell r="F3330">
            <v>2</v>
          </cell>
          <cell r="G3330" t="str">
            <v>CB300304000300</v>
          </cell>
          <cell r="H3330">
            <v>3</v>
          </cell>
          <cell r="I3330" t="str">
            <v>--</v>
          </cell>
          <cell r="J3330">
            <v>1</v>
          </cell>
          <cell r="K3330">
            <v>2</v>
          </cell>
        </row>
        <row r="3331">
          <cell r="A3331" t="str">
            <v>M2</v>
          </cell>
          <cell r="B3331" t="str">
            <v>A5C</v>
          </cell>
          <cell r="C3331" t="str">
            <v>P</v>
          </cell>
          <cell r="D3331" t="str">
            <v>23232</v>
          </cell>
          <cell r="E3331" t="str">
            <v>TEE</v>
          </cell>
          <cell r="F3331">
            <v>2</v>
          </cell>
          <cell r="G3331" t="str">
            <v>CB300304000300</v>
          </cell>
          <cell r="H3331">
            <v>3</v>
          </cell>
          <cell r="I3331" t="str">
            <v>--</v>
          </cell>
          <cell r="J3331">
            <v>1</v>
          </cell>
          <cell r="K3331">
            <v>2</v>
          </cell>
        </row>
        <row r="3332">
          <cell r="A3332" t="str">
            <v>M2</v>
          </cell>
          <cell r="B3332" t="str">
            <v>A5C</v>
          </cell>
          <cell r="C3332" t="str">
            <v>P</v>
          </cell>
          <cell r="D3332" t="str">
            <v>23017</v>
          </cell>
          <cell r="E3332" t="str">
            <v>90 ELL</v>
          </cell>
          <cell r="F3332">
            <v>2</v>
          </cell>
          <cell r="G3332" t="str">
            <v>CB300104000300</v>
          </cell>
          <cell r="H3332">
            <v>3</v>
          </cell>
          <cell r="I3332" t="str">
            <v>--</v>
          </cell>
          <cell r="J3332">
            <v>8</v>
          </cell>
          <cell r="K3332">
            <v>9</v>
          </cell>
        </row>
        <row r="3333">
          <cell r="A3333" t="str">
            <v>M2</v>
          </cell>
          <cell r="B3333" t="str">
            <v>A5C</v>
          </cell>
          <cell r="C3333" t="str">
            <v>P</v>
          </cell>
          <cell r="D3333" t="str">
            <v>23029</v>
          </cell>
          <cell r="E3333" t="str">
            <v>90 ELL</v>
          </cell>
          <cell r="F3333">
            <v>2</v>
          </cell>
          <cell r="G3333" t="str">
            <v>CB300104000300</v>
          </cell>
          <cell r="H3333">
            <v>3</v>
          </cell>
          <cell r="I3333" t="str">
            <v>--</v>
          </cell>
          <cell r="J3333">
            <v>1</v>
          </cell>
          <cell r="K3333">
            <v>2</v>
          </cell>
        </row>
        <row r="3334">
          <cell r="A3334" t="str">
            <v>M2</v>
          </cell>
          <cell r="B3334" t="str">
            <v>A5C</v>
          </cell>
          <cell r="C3334" t="str">
            <v>P</v>
          </cell>
          <cell r="D3334" t="str">
            <v>23050</v>
          </cell>
          <cell r="E3334" t="str">
            <v>90 ELL</v>
          </cell>
          <cell r="F3334">
            <v>2</v>
          </cell>
          <cell r="G3334" t="str">
            <v>CB300104000300</v>
          </cell>
          <cell r="H3334">
            <v>3</v>
          </cell>
          <cell r="I3334" t="str">
            <v>--</v>
          </cell>
          <cell r="J3334">
            <v>2</v>
          </cell>
          <cell r="K3334">
            <v>3</v>
          </cell>
        </row>
        <row r="3335">
          <cell r="A3335" t="str">
            <v>M2</v>
          </cell>
          <cell r="B3335" t="str">
            <v>A5C</v>
          </cell>
          <cell r="C3335" t="str">
            <v>P</v>
          </cell>
          <cell r="D3335" t="str">
            <v>23051</v>
          </cell>
          <cell r="E3335" t="str">
            <v>90 ELL</v>
          </cell>
          <cell r="F3335">
            <v>2</v>
          </cell>
          <cell r="G3335" t="str">
            <v>CB300104000300</v>
          </cell>
          <cell r="H3335">
            <v>3</v>
          </cell>
          <cell r="I3335" t="str">
            <v>--</v>
          </cell>
          <cell r="J3335">
            <v>8</v>
          </cell>
          <cell r="K3335">
            <v>9</v>
          </cell>
        </row>
        <row r="3336">
          <cell r="A3336" t="str">
            <v>M2</v>
          </cell>
          <cell r="B3336" t="str">
            <v>A5C</v>
          </cell>
          <cell r="C3336" t="str">
            <v>P</v>
          </cell>
          <cell r="D3336" t="str">
            <v>23064</v>
          </cell>
          <cell r="E3336" t="str">
            <v>90 ELL</v>
          </cell>
          <cell r="F3336">
            <v>2</v>
          </cell>
          <cell r="G3336" t="str">
            <v>CB300104000300</v>
          </cell>
          <cell r="H3336">
            <v>3</v>
          </cell>
          <cell r="I3336" t="str">
            <v>--</v>
          </cell>
          <cell r="J3336">
            <v>9</v>
          </cell>
          <cell r="K3336">
            <v>10</v>
          </cell>
        </row>
        <row r="3337">
          <cell r="A3337" t="str">
            <v>M2</v>
          </cell>
          <cell r="B3337" t="str">
            <v>A5C</v>
          </cell>
          <cell r="C3337" t="str">
            <v>P</v>
          </cell>
          <cell r="D3337" t="str">
            <v>23071</v>
          </cell>
          <cell r="E3337" t="str">
            <v>90 ELL</v>
          </cell>
          <cell r="F3337">
            <v>2</v>
          </cell>
          <cell r="G3337" t="str">
            <v>CB300104000300</v>
          </cell>
          <cell r="H3337">
            <v>3</v>
          </cell>
          <cell r="I3337" t="str">
            <v>--</v>
          </cell>
          <cell r="J3337">
            <v>1</v>
          </cell>
          <cell r="K3337">
            <v>2</v>
          </cell>
        </row>
        <row r="3338">
          <cell r="A3338" t="str">
            <v>M2</v>
          </cell>
          <cell r="B3338" t="str">
            <v>A5C</v>
          </cell>
          <cell r="C3338" t="str">
            <v>P</v>
          </cell>
          <cell r="D3338" t="str">
            <v>23086</v>
          </cell>
          <cell r="E3338" t="str">
            <v>90 ELL</v>
          </cell>
          <cell r="F3338">
            <v>2</v>
          </cell>
          <cell r="G3338" t="str">
            <v>CB300104000300</v>
          </cell>
          <cell r="H3338">
            <v>3</v>
          </cell>
          <cell r="I3338" t="str">
            <v>--</v>
          </cell>
          <cell r="J3338">
            <v>5</v>
          </cell>
          <cell r="K3338">
            <v>6</v>
          </cell>
        </row>
        <row r="3339">
          <cell r="A3339" t="str">
            <v>M2</v>
          </cell>
          <cell r="B3339" t="str">
            <v>A5C</v>
          </cell>
          <cell r="C3339" t="str">
            <v>P</v>
          </cell>
          <cell r="D3339" t="str">
            <v>23016</v>
          </cell>
          <cell r="E3339" t="str">
            <v>90 ELL</v>
          </cell>
          <cell r="F3339">
            <v>2</v>
          </cell>
          <cell r="G3339" t="str">
            <v>CB300104000300</v>
          </cell>
          <cell r="H3339">
            <v>3</v>
          </cell>
          <cell r="I3339" t="str">
            <v>--</v>
          </cell>
          <cell r="J3339">
            <v>4</v>
          </cell>
          <cell r="K3339">
            <v>5</v>
          </cell>
        </row>
        <row r="3340">
          <cell r="A3340" t="str">
            <v>M2</v>
          </cell>
          <cell r="B3340" t="str">
            <v>A5C</v>
          </cell>
          <cell r="C3340" t="str">
            <v>P</v>
          </cell>
          <cell r="D3340" t="str">
            <v>23061</v>
          </cell>
          <cell r="E3340" t="str">
            <v>90 ELL</v>
          </cell>
          <cell r="F3340">
            <v>2</v>
          </cell>
          <cell r="G3340" t="str">
            <v>CB300104000300</v>
          </cell>
          <cell r="H3340">
            <v>3</v>
          </cell>
          <cell r="I3340" t="str">
            <v>--</v>
          </cell>
          <cell r="J3340">
            <v>2</v>
          </cell>
          <cell r="K3340">
            <v>3</v>
          </cell>
        </row>
        <row r="3341">
          <cell r="A3341" t="str">
            <v>M2</v>
          </cell>
          <cell r="B3341" t="str">
            <v>A5C</v>
          </cell>
          <cell r="C3341" t="str">
            <v>P</v>
          </cell>
          <cell r="D3341" t="str">
            <v>23064</v>
          </cell>
          <cell r="E3341" t="str">
            <v>90 ELL</v>
          </cell>
          <cell r="F3341">
            <v>2</v>
          </cell>
          <cell r="G3341" t="str">
            <v>CB300104000300</v>
          </cell>
          <cell r="H3341">
            <v>3</v>
          </cell>
          <cell r="I3341" t="str">
            <v>--</v>
          </cell>
          <cell r="J3341">
            <v>6</v>
          </cell>
          <cell r="K3341">
            <v>7</v>
          </cell>
        </row>
        <row r="3342">
          <cell r="A3342" t="str">
            <v>M2</v>
          </cell>
          <cell r="B3342" t="str">
            <v>A5C</v>
          </cell>
          <cell r="C3342" t="str">
            <v>P</v>
          </cell>
          <cell r="D3342" t="str">
            <v>23125</v>
          </cell>
          <cell r="E3342" t="str">
            <v>90 ELL</v>
          </cell>
          <cell r="F3342">
            <v>2</v>
          </cell>
          <cell r="G3342" t="str">
            <v>CB300104000300</v>
          </cell>
          <cell r="H3342">
            <v>3</v>
          </cell>
          <cell r="I3342" t="str">
            <v>--</v>
          </cell>
          <cell r="J3342">
            <v>5</v>
          </cell>
          <cell r="K3342">
            <v>6</v>
          </cell>
        </row>
        <row r="3343">
          <cell r="A3343" t="str">
            <v>M2</v>
          </cell>
          <cell r="B3343" t="str">
            <v>A5C</v>
          </cell>
          <cell r="C3343" t="str">
            <v>P</v>
          </cell>
          <cell r="D3343" t="str">
            <v>23064</v>
          </cell>
          <cell r="E3343" t="str">
            <v>C RED</v>
          </cell>
          <cell r="F3343">
            <v>2</v>
          </cell>
          <cell r="G3343" t="str">
            <v>CB300504080302</v>
          </cell>
          <cell r="H3343">
            <v>3</v>
          </cell>
          <cell r="I3343">
            <v>2</v>
          </cell>
          <cell r="J3343">
            <v>2</v>
          </cell>
          <cell r="K3343">
            <v>3</v>
          </cell>
        </row>
        <row r="3344">
          <cell r="A3344" t="str">
            <v>M2</v>
          </cell>
          <cell r="B3344" t="str">
            <v>A5C</v>
          </cell>
          <cell r="C3344" t="str">
            <v>TRIM</v>
          </cell>
          <cell r="D3344" t="str">
            <v>C-2302</v>
          </cell>
          <cell r="E3344" t="str">
            <v>CAP</v>
          </cell>
          <cell r="F3344">
            <v>2</v>
          </cell>
          <cell r="G3344" t="str">
            <v>CB300704000300</v>
          </cell>
          <cell r="H3344">
            <v>3</v>
          </cell>
          <cell r="I3344" t="str">
            <v>--</v>
          </cell>
          <cell r="J3344">
            <v>2</v>
          </cell>
          <cell r="K3344">
            <v>3</v>
          </cell>
        </row>
        <row r="3345">
          <cell r="A3345" t="str">
            <v>M2</v>
          </cell>
          <cell r="B3345" t="str">
            <v>A5C</v>
          </cell>
          <cell r="C3345" t="str">
            <v>TRIM</v>
          </cell>
          <cell r="D3345" t="str">
            <v>C-2303</v>
          </cell>
          <cell r="E3345" t="str">
            <v>CAP</v>
          </cell>
          <cell r="F3345">
            <v>2</v>
          </cell>
          <cell r="G3345" t="str">
            <v>CB300704000300</v>
          </cell>
          <cell r="H3345">
            <v>3</v>
          </cell>
          <cell r="I3345" t="str">
            <v>--</v>
          </cell>
          <cell r="J3345">
            <v>2</v>
          </cell>
          <cell r="K3345">
            <v>3</v>
          </cell>
        </row>
        <row r="3346">
          <cell r="A3346" t="str">
            <v>M2</v>
          </cell>
          <cell r="B3346" t="str">
            <v>A5C</v>
          </cell>
          <cell r="C3346" t="str">
            <v>TRIM</v>
          </cell>
          <cell r="D3346" t="str">
            <v>C-2304</v>
          </cell>
          <cell r="E3346" t="str">
            <v>CAP</v>
          </cell>
          <cell r="F3346">
            <v>2</v>
          </cell>
          <cell r="G3346" t="str">
            <v>CB300704000300</v>
          </cell>
          <cell r="H3346">
            <v>3</v>
          </cell>
          <cell r="I3346" t="str">
            <v>--</v>
          </cell>
          <cell r="J3346">
            <v>2</v>
          </cell>
          <cell r="K3346">
            <v>3</v>
          </cell>
        </row>
        <row r="3347">
          <cell r="A3347" t="str">
            <v>M2</v>
          </cell>
          <cell r="B3347" t="str">
            <v>A5C</v>
          </cell>
          <cell r="C3347" t="str">
            <v>TRIM</v>
          </cell>
          <cell r="D3347" t="str">
            <v>C-2305</v>
          </cell>
          <cell r="E3347" t="str">
            <v>CAP</v>
          </cell>
          <cell r="F3347">
            <v>2</v>
          </cell>
          <cell r="G3347" t="str">
            <v>CB300704000300</v>
          </cell>
          <cell r="H3347">
            <v>3</v>
          </cell>
          <cell r="I3347" t="str">
            <v>--</v>
          </cell>
          <cell r="J3347">
            <v>2</v>
          </cell>
          <cell r="K3347">
            <v>3</v>
          </cell>
        </row>
        <row r="3348">
          <cell r="A3348" t="str">
            <v>M2</v>
          </cell>
          <cell r="B3348" t="str">
            <v>A5C</v>
          </cell>
          <cell r="C3348" t="str">
            <v>TRIM</v>
          </cell>
          <cell r="D3348" t="str">
            <v>C-2306</v>
          </cell>
          <cell r="E3348" t="str">
            <v>CAP</v>
          </cell>
          <cell r="F3348">
            <v>2</v>
          </cell>
          <cell r="G3348" t="str">
            <v>CB300704000300</v>
          </cell>
          <cell r="H3348">
            <v>3</v>
          </cell>
          <cell r="I3348" t="str">
            <v>--</v>
          </cell>
          <cell r="J3348">
            <v>2</v>
          </cell>
          <cell r="K3348">
            <v>3</v>
          </cell>
        </row>
        <row r="3349">
          <cell r="A3349" t="str">
            <v>M2</v>
          </cell>
          <cell r="B3349" t="str">
            <v>A5C</v>
          </cell>
          <cell r="C3349" t="str">
            <v>TRIM</v>
          </cell>
          <cell r="D3349" t="str">
            <v>V-2302</v>
          </cell>
          <cell r="E3349" t="str">
            <v>CAP</v>
          </cell>
          <cell r="F3349">
            <v>2</v>
          </cell>
          <cell r="G3349" t="str">
            <v>CB300704000300</v>
          </cell>
          <cell r="H3349">
            <v>3</v>
          </cell>
          <cell r="I3349" t="str">
            <v>--</v>
          </cell>
          <cell r="J3349">
            <v>2</v>
          </cell>
          <cell r="K3349">
            <v>3</v>
          </cell>
        </row>
        <row r="3350">
          <cell r="A3350" t="str">
            <v>M2</v>
          </cell>
          <cell r="B3350" t="str">
            <v>A5C</v>
          </cell>
          <cell r="C3350" t="str">
            <v>TRIM</v>
          </cell>
          <cell r="D3350" t="str">
            <v>V-2304</v>
          </cell>
          <cell r="E3350" t="str">
            <v>CAP</v>
          </cell>
          <cell r="F3350">
            <v>2</v>
          </cell>
          <cell r="G3350" t="str">
            <v>CB300704000300</v>
          </cell>
          <cell r="H3350">
            <v>3</v>
          </cell>
          <cell r="I3350" t="str">
            <v>--</v>
          </cell>
          <cell r="J3350">
            <v>2</v>
          </cell>
          <cell r="K3350">
            <v>3</v>
          </cell>
        </row>
        <row r="3351">
          <cell r="A3351" t="str">
            <v>M2</v>
          </cell>
          <cell r="B3351" t="str">
            <v>A5C</v>
          </cell>
          <cell r="C3351" t="str">
            <v>TRIM</v>
          </cell>
          <cell r="D3351" t="str">
            <v>V-2306</v>
          </cell>
          <cell r="E3351" t="str">
            <v>CAP</v>
          </cell>
          <cell r="F3351">
            <v>2</v>
          </cell>
          <cell r="G3351" t="str">
            <v>CB300704000300</v>
          </cell>
          <cell r="H3351">
            <v>3</v>
          </cell>
          <cell r="I3351" t="str">
            <v>--</v>
          </cell>
          <cell r="J3351">
            <v>2</v>
          </cell>
          <cell r="K3351">
            <v>3</v>
          </cell>
        </row>
        <row r="3352">
          <cell r="A3352" t="str">
            <v>M2</v>
          </cell>
          <cell r="B3352" t="str">
            <v>A5C</v>
          </cell>
          <cell r="C3352" t="str">
            <v>TRIM</v>
          </cell>
          <cell r="D3352" t="str">
            <v>V-2308</v>
          </cell>
          <cell r="E3352" t="str">
            <v>CAP</v>
          </cell>
          <cell r="F3352">
            <v>2</v>
          </cell>
          <cell r="G3352" t="str">
            <v>CB300704000300</v>
          </cell>
          <cell r="H3352">
            <v>3</v>
          </cell>
          <cell r="I3352" t="str">
            <v>--</v>
          </cell>
          <cell r="J3352">
            <v>2</v>
          </cell>
          <cell r="K3352">
            <v>3</v>
          </cell>
        </row>
        <row r="3353">
          <cell r="A3353" t="str">
            <v>M2</v>
          </cell>
          <cell r="B3353" t="str">
            <v>A5C</v>
          </cell>
          <cell r="C3353" t="str">
            <v>TRIM</v>
          </cell>
          <cell r="D3353" t="str">
            <v>V-2325</v>
          </cell>
          <cell r="E3353" t="str">
            <v>CAP</v>
          </cell>
          <cell r="F3353">
            <v>2</v>
          </cell>
          <cell r="G3353" t="str">
            <v>CB300704000300</v>
          </cell>
          <cell r="H3353">
            <v>3</v>
          </cell>
          <cell r="I3353" t="str">
            <v>--</v>
          </cell>
          <cell r="J3353">
            <v>2</v>
          </cell>
          <cell r="K3353">
            <v>3</v>
          </cell>
        </row>
        <row r="3354">
          <cell r="A3354" t="str">
            <v>M2</v>
          </cell>
          <cell r="B3354" t="str">
            <v>A5C</v>
          </cell>
          <cell r="C3354" t="str">
            <v>TRIM</v>
          </cell>
          <cell r="D3354" t="str">
            <v>V-2403</v>
          </cell>
          <cell r="E3354" t="str">
            <v>CAP</v>
          </cell>
          <cell r="F3354">
            <v>2</v>
          </cell>
          <cell r="G3354" t="str">
            <v>CB300704000300</v>
          </cell>
          <cell r="H3354">
            <v>3</v>
          </cell>
          <cell r="I3354" t="str">
            <v>--</v>
          </cell>
          <cell r="J3354">
            <v>2</v>
          </cell>
          <cell r="K3354">
            <v>3</v>
          </cell>
        </row>
        <row r="3355">
          <cell r="A3355" t="str">
            <v>M2</v>
          </cell>
          <cell r="B3355" t="str">
            <v>A5C</v>
          </cell>
          <cell r="C3355" t="str">
            <v>TRIM</v>
          </cell>
          <cell r="D3355" t="str">
            <v>V-2310</v>
          </cell>
          <cell r="E3355" t="str">
            <v>CAP</v>
          </cell>
          <cell r="F3355">
            <v>2</v>
          </cell>
          <cell r="G3355" t="str">
            <v>CB300704000300</v>
          </cell>
          <cell r="H3355">
            <v>3</v>
          </cell>
          <cell r="I3355" t="str">
            <v>--</v>
          </cell>
          <cell r="J3355">
            <v>2</v>
          </cell>
          <cell r="K3355">
            <v>3</v>
          </cell>
        </row>
        <row r="3356">
          <cell r="A3356" t="str">
            <v>M2</v>
          </cell>
          <cell r="B3356" t="str">
            <v>A5C</v>
          </cell>
          <cell r="C3356" t="str">
            <v>TRIM</v>
          </cell>
          <cell r="D3356" t="str">
            <v>V-2313</v>
          </cell>
          <cell r="E3356" t="str">
            <v>CAP</v>
          </cell>
          <cell r="F3356">
            <v>2</v>
          </cell>
          <cell r="G3356" t="str">
            <v>CB300704000300</v>
          </cell>
          <cell r="H3356">
            <v>3</v>
          </cell>
          <cell r="I3356" t="str">
            <v>--</v>
          </cell>
          <cell r="J3356">
            <v>2</v>
          </cell>
          <cell r="K3356">
            <v>3</v>
          </cell>
        </row>
        <row r="3357">
          <cell r="A3357" t="str">
            <v>M2</v>
          </cell>
          <cell r="B3357" t="str">
            <v>A5C</v>
          </cell>
          <cell r="C3357" t="str">
            <v>P</v>
          </cell>
          <cell r="D3357" t="str">
            <v>23017</v>
          </cell>
          <cell r="E3357" t="str">
            <v>E RED</v>
          </cell>
          <cell r="F3357">
            <v>2</v>
          </cell>
          <cell r="G3357" t="str">
            <v>CB300604080302</v>
          </cell>
          <cell r="H3357">
            <v>3</v>
          </cell>
          <cell r="I3357">
            <v>2</v>
          </cell>
          <cell r="J3357">
            <v>2</v>
          </cell>
          <cell r="K3357">
            <v>3</v>
          </cell>
        </row>
        <row r="3358">
          <cell r="A3358" t="str">
            <v>M2</v>
          </cell>
          <cell r="B3358" t="str">
            <v>A5C</v>
          </cell>
          <cell r="C3358" t="str">
            <v>P</v>
          </cell>
          <cell r="D3358" t="str">
            <v>23051</v>
          </cell>
          <cell r="E3358" t="str">
            <v>E RED</v>
          </cell>
          <cell r="F3358">
            <v>2</v>
          </cell>
          <cell r="G3358" t="str">
            <v>CB300604080302</v>
          </cell>
          <cell r="H3358">
            <v>3</v>
          </cell>
          <cell r="I3358">
            <v>2</v>
          </cell>
          <cell r="J3358">
            <v>2</v>
          </cell>
          <cell r="K3358">
            <v>3</v>
          </cell>
        </row>
        <row r="3359">
          <cell r="A3359" t="str">
            <v>M2</v>
          </cell>
          <cell r="B3359" t="str">
            <v>A5C</v>
          </cell>
          <cell r="C3359" t="str">
            <v>P</v>
          </cell>
          <cell r="D3359" t="str">
            <v>23064</v>
          </cell>
          <cell r="E3359" t="str">
            <v>E RED</v>
          </cell>
          <cell r="F3359">
            <v>2</v>
          </cell>
          <cell r="G3359" t="str">
            <v>CB300604080302</v>
          </cell>
          <cell r="H3359">
            <v>3</v>
          </cell>
          <cell r="I3359">
            <v>2</v>
          </cell>
          <cell r="J3359">
            <v>2</v>
          </cell>
          <cell r="K3359">
            <v>3</v>
          </cell>
        </row>
        <row r="3360">
          <cell r="A3360" t="str">
            <v>M2</v>
          </cell>
          <cell r="B3360" t="str">
            <v>A5C</v>
          </cell>
          <cell r="C3360" t="str">
            <v>P</v>
          </cell>
          <cell r="D3360" t="str">
            <v>23064</v>
          </cell>
          <cell r="E3360" t="str">
            <v>SOL</v>
          </cell>
          <cell r="F3360">
            <v>2</v>
          </cell>
          <cell r="G3360" t="str">
            <v>CB39020000030T</v>
          </cell>
          <cell r="H3360">
            <v>3</v>
          </cell>
          <cell r="I3360">
            <v>0.75</v>
          </cell>
          <cell r="J3360">
            <v>4</v>
          </cell>
          <cell r="K3360">
            <v>5</v>
          </cell>
        </row>
        <row r="3361">
          <cell r="A3361" t="str">
            <v>M2</v>
          </cell>
          <cell r="B3361" t="str">
            <v>A5C</v>
          </cell>
          <cell r="C3361" t="str">
            <v>P</v>
          </cell>
          <cell r="D3361" t="str">
            <v>23064</v>
          </cell>
          <cell r="E3361" t="str">
            <v>SOL</v>
          </cell>
          <cell r="F3361">
            <v>2</v>
          </cell>
          <cell r="G3361" t="str">
            <v>CB39020000030T</v>
          </cell>
          <cell r="H3361">
            <v>3</v>
          </cell>
          <cell r="I3361">
            <v>0.75</v>
          </cell>
          <cell r="J3361">
            <v>1</v>
          </cell>
          <cell r="K3361">
            <v>2</v>
          </cell>
        </row>
        <row r="3362">
          <cell r="A3362" t="str">
            <v>M2</v>
          </cell>
          <cell r="B3362" t="str">
            <v>A5C</v>
          </cell>
          <cell r="C3362" t="str">
            <v>P</v>
          </cell>
          <cell r="D3362" t="str">
            <v>23071</v>
          </cell>
          <cell r="E3362" t="str">
            <v>SOL</v>
          </cell>
          <cell r="F3362">
            <v>2</v>
          </cell>
          <cell r="G3362" t="str">
            <v>CB3902000003IH</v>
          </cell>
          <cell r="H3362">
            <v>3</v>
          </cell>
          <cell r="I3362">
            <v>1.5</v>
          </cell>
          <cell r="J3362">
            <v>1</v>
          </cell>
          <cell r="K3362">
            <v>2</v>
          </cell>
        </row>
        <row r="3363">
          <cell r="A3363" t="str">
            <v>M2</v>
          </cell>
          <cell r="B3363" t="str">
            <v>A5C</v>
          </cell>
          <cell r="C3363" t="str">
            <v>TRIM</v>
          </cell>
          <cell r="D3363" t="str">
            <v>C-2302</v>
          </cell>
          <cell r="E3363" t="str">
            <v>SOL</v>
          </cell>
          <cell r="F3363">
            <v>2</v>
          </cell>
          <cell r="G3363" t="str">
            <v>CB39020000030T</v>
          </cell>
          <cell r="H3363">
            <v>3</v>
          </cell>
          <cell r="I3363">
            <v>0.75</v>
          </cell>
          <cell r="J3363">
            <v>6</v>
          </cell>
          <cell r="K3363">
            <v>7</v>
          </cell>
        </row>
        <row r="3364">
          <cell r="A3364" t="str">
            <v>M2</v>
          </cell>
          <cell r="B3364" t="str">
            <v>A5C</v>
          </cell>
          <cell r="C3364" t="str">
            <v>TRIM</v>
          </cell>
          <cell r="D3364" t="str">
            <v>C-2303</v>
          </cell>
          <cell r="E3364" t="str">
            <v>SOL</v>
          </cell>
          <cell r="F3364">
            <v>2</v>
          </cell>
          <cell r="G3364" t="str">
            <v>CB3902000003IH</v>
          </cell>
          <cell r="H3364">
            <v>3</v>
          </cell>
          <cell r="I3364">
            <v>1.5</v>
          </cell>
          <cell r="J3364">
            <v>2</v>
          </cell>
          <cell r="K3364">
            <v>3</v>
          </cell>
        </row>
        <row r="3365">
          <cell r="A3365" t="str">
            <v>M2</v>
          </cell>
          <cell r="B3365" t="str">
            <v>A5C</v>
          </cell>
          <cell r="C3365" t="str">
            <v>TRIM</v>
          </cell>
          <cell r="D3365" t="str">
            <v>C-2305</v>
          </cell>
          <cell r="E3365" t="str">
            <v>SOL</v>
          </cell>
          <cell r="F3365">
            <v>2</v>
          </cell>
          <cell r="G3365" t="str">
            <v>CB39020000030T</v>
          </cell>
          <cell r="H3365">
            <v>3</v>
          </cell>
          <cell r="I3365">
            <v>0.75</v>
          </cell>
          <cell r="J3365">
            <v>4</v>
          </cell>
          <cell r="K3365">
            <v>5</v>
          </cell>
        </row>
        <row r="3366">
          <cell r="A3366" t="str">
            <v>M2</v>
          </cell>
          <cell r="B3366" t="str">
            <v>A5C</v>
          </cell>
          <cell r="C3366" t="str">
            <v>TRIM</v>
          </cell>
          <cell r="D3366" t="str">
            <v>C-2304</v>
          </cell>
          <cell r="E3366" t="str">
            <v>SOL</v>
          </cell>
          <cell r="F3366">
            <v>2</v>
          </cell>
          <cell r="G3366" t="str">
            <v>CB39020000030T</v>
          </cell>
          <cell r="H3366">
            <v>3</v>
          </cell>
          <cell r="I3366">
            <v>0.75</v>
          </cell>
          <cell r="J3366">
            <v>4</v>
          </cell>
          <cell r="K3366">
            <v>5</v>
          </cell>
        </row>
        <row r="3367">
          <cell r="A3367" t="str">
            <v>M2</v>
          </cell>
          <cell r="B3367" t="str">
            <v>A5C</v>
          </cell>
          <cell r="C3367" t="str">
            <v>TRIM</v>
          </cell>
          <cell r="D3367" t="str">
            <v>C-2304</v>
          </cell>
          <cell r="E3367" t="str">
            <v>SOL</v>
          </cell>
          <cell r="F3367">
            <v>2</v>
          </cell>
          <cell r="G3367" t="str">
            <v>CB3902000003IH</v>
          </cell>
          <cell r="H3367">
            <v>3</v>
          </cell>
          <cell r="I3367">
            <v>1.5</v>
          </cell>
          <cell r="J3367">
            <v>2</v>
          </cell>
          <cell r="K3367">
            <v>3</v>
          </cell>
        </row>
        <row r="3368">
          <cell r="A3368" t="str">
            <v>M2</v>
          </cell>
          <cell r="B3368" t="str">
            <v>A5C</v>
          </cell>
          <cell r="C3368" t="str">
            <v>TRIM</v>
          </cell>
          <cell r="D3368" t="str">
            <v>C-2305</v>
          </cell>
          <cell r="E3368" t="str">
            <v>SOL</v>
          </cell>
          <cell r="F3368">
            <v>2</v>
          </cell>
          <cell r="G3368" t="str">
            <v>CB3902000003IH</v>
          </cell>
          <cell r="H3368">
            <v>3</v>
          </cell>
          <cell r="I3368">
            <v>1.5</v>
          </cell>
          <cell r="J3368">
            <v>2</v>
          </cell>
          <cell r="K3368">
            <v>3</v>
          </cell>
        </row>
        <row r="3369">
          <cell r="A3369" t="str">
            <v>M2</v>
          </cell>
          <cell r="B3369" t="str">
            <v>A5C</v>
          </cell>
          <cell r="C3369" t="str">
            <v>TRIM</v>
          </cell>
          <cell r="D3369" t="str">
            <v>V-2302</v>
          </cell>
          <cell r="E3369" t="str">
            <v>SOL</v>
          </cell>
          <cell r="F3369">
            <v>2</v>
          </cell>
          <cell r="G3369" t="str">
            <v>CB3902000003IH</v>
          </cell>
          <cell r="H3369">
            <v>3</v>
          </cell>
          <cell r="I3369">
            <v>1.5</v>
          </cell>
          <cell r="J3369">
            <v>2</v>
          </cell>
          <cell r="K3369">
            <v>3</v>
          </cell>
        </row>
        <row r="3370">
          <cell r="A3370" t="str">
            <v>M2</v>
          </cell>
          <cell r="B3370" t="str">
            <v>A5C</v>
          </cell>
          <cell r="C3370" t="str">
            <v>TRIM</v>
          </cell>
          <cell r="D3370" t="str">
            <v>C-2306</v>
          </cell>
          <cell r="E3370" t="str">
            <v>SOL</v>
          </cell>
          <cell r="F3370">
            <v>2</v>
          </cell>
          <cell r="G3370" t="str">
            <v>CB39020000030T</v>
          </cell>
          <cell r="H3370">
            <v>3</v>
          </cell>
          <cell r="I3370">
            <v>0.75</v>
          </cell>
          <cell r="J3370">
            <v>4</v>
          </cell>
          <cell r="K3370">
            <v>5</v>
          </cell>
        </row>
        <row r="3371">
          <cell r="A3371" t="str">
            <v>M2</v>
          </cell>
          <cell r="B3371" t="str">
            <v>A5C</v>
          </cell>
          <cell r="C3371" t="str">
            <v>TRIM</v>
          </cell>
          <cell r="D3371" t="str">
            <v>C-2306</v>
          </cell>
          <cell r="E3371" t="str">
            <v>SOL</v>
          </cell>
          <cell r="F3371">
            <v>2</v>
          </cell>
          <cell r="G3371" t="str">
            <v>CB3902000003IH</v>
          </cell>
          <cell r="H3371">
            <v>3</v>
          </cell>
          <cell r="I3371">
            <v>1.5</v>
          </cell>
          <cell r="J3371">
            <v>2</v>
          </cell>
          <cell r="K3371">
            <v>3</v>
          </cell>
        </row>
        <row r="3372">
          <cell r="A3372" t="str">
            <v>M2</v>
          </cell>
          <cell r="B3372" t="str">
            <v>A5C</v>
          </cell>
          <cell r="C3372" t="str">
            <v>TRIM</v>
          </cell>
          <cell r="D3372" t="str">
            <v>V-2304</v>
          </cell>
          <cell r="E3372" t="str">
            <v>SOL</v>
          </cell>
          <cell r="F3372">
            <v>2</v>
          </cell>
          <cell r="G3372" t="str">
            <v>CB39020000030T</v>
          </cell>
          <cell r="H3372">
            <v>3</v>
          </cell>
          <cell r="I3372">
            <v>0.75</v>
          </cell>
          <cell r="J3372">
            <v>4</v>
          </cell>
          <cell r="K3372">
            <v>5</v>
          </cell>
        </row>
        <row r="3373">
          <cell r="A3373" t="str">
            <v>M2</v>
          </cell>
          <cell r="B3373" t="str">
            <v>A5C</v>
          </cell>
          <cell r="C3373" t="str">
            <v>TRIM</v>
          </cell>
          <cell r="D3373" t="str">
            <v>V-2304</v>
          </cell>
          <cell r="E3373" t="str">
            <v>SOL</v>
          </cell>
          <cell r="F3373">
            <v>2</v>
          </cell>
          <cell r="G3373" t="str">
            <v>CB3902000003IH</v>
          </cell>
          <cell r="H3373">
            <v>3</v>
          </cell>
          <cell r="I3373">
            <v>1.5</v>
          </cell>
          <cell r="J3373">
            <v>2</v>
          </cell>
          <cell r="K3373">
            <v>3</v>
          </cell>
        </row>
        <row r="3374">
          <cell r="A3374" t="str">
            <v>M2</v>
          </cell>
          <cell r="B3374" t="str">
            <v>A5C</v>
          </cell>
          <cell r="C3374" t="str">
            <v>TRIM</v>
          </cell>
          <cell r="D3374" t="str">
            <v>V-2306</v>
          </cell>
          <cell r="E3374" t="str">
            <v>SOL</v>
          </cell>
          <cell r="F3374">
            <v>2</v>
          </cell>
          <cell r="G3374" t="str">
            <v>CB3902000003IH</v>
          </cell>
          <cell r="H3374">
            <v>3</v>
          </cell>
          <cell r="I3374">
            <v>1.5</v>
          </cell>
          <cell r="J3374">
            <v>2</v>
          </cell>
          <cell r="K3374">
            <v>3</v>
          </cell>
        </row>
        <row r="3375">
          <cell r="A3375" t="str">
            <v>M2</v>
          </cell>
          <cell r="B3375" t="str">
            <v>A5C</v>
          </cell>
          <cell r="C3375" t="str">
            <v>TRIM</v>
          </cell>
          <cell r="D3375" t="str">
            <v>V-2306</v>
          </cell>
          <cell r="E3375" t="str">
            <v>SOL</v>
          </cell>
          <cell r="F3375">
            <v>2</v>
          </cell>
          <cell r="G3375" t="str">
            <v>CB39020000030T</v>
          </cell>
          <cell r="H3375">
            <v>3</v>
          </cell>
          <cell r="I3375">
            <v>0.75</v>
          </cell>
          <cell r="J3375">
            <v>4</v>
          </cell>
          <cell r="K3375">
            <v>5</v>
          </cell>
        </row>
        <row r="3376">
          <cell r="A3376" t="str">
            <v>M2</v>
          </cell>
          <cell r="B3376" t="str">
            <v>A5C</v>
          </cell>
          <cell r="C3376" t="str">
            <v>TRIM</v>
          </cell>
          <cell r="D3376" t="str">
            <v>V-2310</v>
          </cell>
          <cell r="E3376" t="str">
            <v>SOL</v>
          </cell>
          <cell r="F3376">
            <v>2</v>
          </cell>
          <cell r="G3376" t="str">
            <v>CB3902000003IH</v>
          </cell>
          <cell r="H3376">
            <v>3</v>
          </cell>
          <cell r="I3376">
            <v>1.5</v>
          </cell>
          <cell r="J3376">
            <v>2</v>
          </cell>
          <cell r="K3376">
            <v>3</v>
          </cell>
        </row>
        <row r="3377">
          <cell r="A3377" t="str">
            <v>M2</v>
          </cell>
          <cell r="B3377" t="str">
            <v>A5C</v>
          </cell>
          <cell r="C3377" t="str">
            <v>TRIM</v>
          </cell>
          <cell r="D3377" t="str">
            <v>V-2310</v>
          </cell>
          <cell r="E3377" t="str">
            <v>SOL</v>
          </cell>
          <cell r="F3377">
            <v>2</v>
          </cell>
          <cell r="G3377" t="str">
            <v>CB39020000030T</v>
          </cell>
          <cell r="H3377">
            <v>3</v>
          </cell>
          <cell r="I3377">
            <v>0.75</v>
          </cell>
          <cell r="J3377">
            <v>4</v>
          </cell>
          <cell r="K3377">
            <v>5</v>
          </cell>
        </row>
        <row r="3378">
          <cell r="A3378" t="str">
            <v>M2</v>
          </cell>
          <cell r="B3378" t="str">
            <v>A5C</v>
          </cell>
          <cell r="C3378" t="str">
            <v>TRIM</v>
          </cell>
          <cell r="D3378" t="str">
            <v>V-2308</v>
          </cell>
          <cell r="E3378" t="str">
            <v>SOL</v>
          </cell>
          <cell r="F3378">
            <v>2</v>
          </cell>
          <cell r="G3378" t="str">
            <v>CB3902000003IH</v>
          </cell>
          <cell r="H3378">
            <v>3</v>
          </cell>
          <cell r="I3378">
            <v>1.5</v>
          </cell>
          <cell r="J3378">
            <v>2</v>
          </cell>
          <cell r="K3378">
            <v>3</v>
          </cell>
        </row>
        <row r="3379">
          <cell r="A3379" t="str">
            <v>M2</v>
          </cell>
          <cell r="B3379" t="str">
            <v>A5C</v>
          </cell>
          <cell r="C3379" t="str">
            <v>TRIM</v>
          </cell>
          <cell r="D3379" t="str">
            <v>V-2308</v>
          </cell>
          <cell r="E3379" t="str">
            <v>SOL</v>
          </cell>
          <cell r="F3379">
            <v>2</v>
          </cell>
          <cell r="G3379" t="str">
            <v>CB39020000030T</v>
          </cell>
          <cell r="H3379">
            <v>3</v>
          </cell>
          <cell r="I3379">
            <v>0.75</v>
          </cell>
          <cell r="J3379">
            <v>4</v>
          </cell>
          <cell r="K3379">
            <v>5</v>
          </cell>
        </row>
        <row r="3380">
          <cell r="A3380" t="str">
            <v>M2</v>
          </cell>
          <cell r="B3380" t="str">
            <v>A5C</v>
          </cell>
          <cell r="C3380" t="str">
            <v>TRIM</v>
          </cell>
          <cell r="D3380" t="str">
            <v>V-2313</v>
          </cell>
          <cell r="E3380" t="str">
            <v>SOL</v>
          </cell>
          <cell r="F3380">
            <v>2</v>
          </cell>
          <cell r="G3380" t="str">
            <v>CB3902000003IH</v>
          </cell>
          <cell r="H3380">
            <v>3</v>
          </cell>
          <cell r="I3380">
            <v>1.5</v>
          </cell>
          <cell r="J3380">
            <v>2</v>
          </cell>
          <cell r="K3380">
            <v>3</v>
          </cell>
        </row>
        <row r="3381">
          <cell r="A3381" t="str">
            <v>M2</v>
          </cell>
          <cell r="B3381" t="str">
            <v>A5C</v>
          </cell>
          <cell r="C3381" t="str">
            <v>TRIM</v>
          </cell>
          <cell r="D3381" t="str">
            <v>V-2325</v>
          </cell>
          <cell r="E3381" t="str">
            <v>SOL</v>
          </cell>
          <cell r="F3381">
            <v>2</v>
          </cell>
          <cell r="G3381" t="str">
            <v>CB39020000030T</v>
          </cell>
          <cell r="H3381">
            <v>3</v>
          </cell>
          <cell r="I3381">
            <v>0.75</v>
          </cell>
          <cell r="J3381">
            <v>6</v>
          </cell>
          <cell r="K3381">
            <v>7</v>
          </cell>
        </row>
        <row r="3382">
          <cell r="A3382" t="str">
            <v>M2</v>
          </cell>
          <cell r="B3382" t="str">
            <v>A5C</v>
          </cell>
          <cell r="C3382" t="str">
            <v>TRIM</v>
          </cell>
          <cell r="D3382" t="str">
            <v>V-2403</v>
          </cell>
          <cell r="E3382" t="str">
            <v>SOL</v>
          </cell>
          <cell r="F3382">
            <v>2</v>
          </cell>
          <cell r="G3382" t="str">
            <v>CB39020000030T</v>
          </cell>
          <cell r="H3382">
            <v>3</v>
          </cell>
          <cell r="I3382">
            <v>0.75</v>
          </cell>
          <cell r="J3382">
            <v>6</v>
          </cell>
          <cell r="K3382">
            <v>7</v>
          </cell>
        </row>
        <row r="3383">
          <cell r="A3383" t="str">
            <v>M2</v>
          </cell>
          <cell r="B3383" t="str">
            <v>A5C</v>
          </cell>
          <cell r="C3383" t="str">
            <v>P</v>
          </cell>
          <cell r="D3383" t="str">
            <v>23051</v>
          </cell>
          <cell r="E3383" t="str">
            <v>SOL</v>
          </cell>
          <cell r="F3383">
            <v>2</v>
          </cell>
          <cell r="G3383" t="str">
            <v>CB39020000030T</v>
          </cell>
          <cell r="H3383">
            <v>3</v>
          </cell>
          <cell r="I3383">
            <v>0.75</v>
          </cell>
          <cell r="J3383">
            <v>2</v>
          </cell>
          <cell r="K3383">
            <v>3</v>
          </cell>
        </row>
        <row r="3384">
          <cell r="A3384" t="str">
            <v>M2</v>
          </cell>
          <cell r="B3384" t="str">
            <v>A5C</v>
          </cell>
          <cell r="C3384" t="str">
            <v>TRIM</v>
          </cell>
          <cell r="D3384" t="str">
            <v>C-2303</v>
          </cell>
          <cell r="E3384" t="str">
            <v>SOL</v>
          </cell>
          <cell r="F3384">
            <v>2</v>
          </cell>
          <cell r="G3384" t="str">
            <v>CB39020000030T</v>
          </cell>
          <cell r="H3384">
            <v>3</v>
          </cell>
          <cell r="I3384">
            <v>0.75</v>
          </cell>
          <cell r="J3384">
            <v>4</v>
          </cell>
          <cell r="K3384">
            <v>5</v>
          </cell>
        </row>
        <row r="3385">
          <cell r="A3385" t="str">
            <v>M2</v>
          </cell>
          <cell r="B3385" t="str">
            <v>A5C</v>
          </cell>
          <cell r="C3385" t="str">
            <v>TRIM</v>
          </cell>
          <cell r="D3385" t="str">
            <v>V-2302</v>
          </cell>
          <cell r="E3385" t="str">
            <v>SOL</v>
          </cell>
          <cell r="F3385">
            <v>2</v>
          </cell>
          <cell r="G3385" t="str">
            <v>CB39020000030T</v>
          </cell>
          <cell r="H3385">
            <v>3</v>
          </cell>
          <cell r="I3385">
            <v>0.75</v>
          </cell>
          <cell r="J3385">
            <v>4</v>
          </cell>
          <cell r="K3385">
            <v>5</v>
          </cell>
        </row>
        <row r="3386">
          <cell r="A3386" t="str">
            <v>M2</v>
          </cell>
          <cell r="B3386" t="str">
            <v>A5C</v>
          </cell>
          <cell r="C3386" t="str">
            <v>TRIM</v>
          </cell>
          <cell r="D3386" t="str">
            <v>V-2313</v>
          </cell>
          <cell r="E3386" t="str">
            <v>SOL</v>
          </cell>
          <cell r="F3386">
            <v>2</v>
          </cell>
          <cell r="G3386" t="str">
            <v>CB39020000030T</v>
          </cell>
          <cell r="H3386">
            <v>3</v>
          </cell>
          <cell r="I3386">
            <v>0.75</v>
          </cell>
          <cell r="J3386">
            <v>4</v>
          </cell>
          <cell r="K3386">
            <v>5</v>
          </cell>
        </row>
        <row r="3387">
          <cell r="A3387" t="str">
            <v>M2</v>
          </cell>
          <cell r="B3387" t="str">
            <v>A5C</v>
          </cell>
          <cell r="C3387" t="str">
            <v>P</v>
          </cell>
          <cell r="D3387" t="str">
            <v>23017</v>
          </cell>
          <cell r="E3387" t="str">
            <v>TEE</v>
          </cell>
          <cell r="F3387">
            <v>2</v>
          </cell>
          <cell r="G3387" t="str">
            <v>CB300304000300</v>
          </cell>
          <cell r="H3387">
            <v>3</v>
          </cell>
          <cell r="I3387" t="str">
            <v>--</v>
          </cell>
          <cell r="J3387">
            <v>1</v>
          </cell>
          <cell r="K3387">
            <v>2</v>
          </cell>
        </row>
        <row r="3388">
          <cell r="A3388" t="str">
            <v>M2</v>
          </cell>
          <cell r="B3388" t="str">
            <v>A5C</v>
          </cell>
          <cell r="C3388" t="str">
            <v>P</v>
          </cell>
          <cell r="D3388" t="str">
            <v>23064</v>
          </cell>
          <cell r="E3388" t="str">
            <v>TEE</v>
          </cell>
          <cell r="F3388">
            <v>2</v>
          </cell>
          <cell r="G3388" t="str">
            <v>CB300304000300</v>
          </cell>
          <cell r="H3388">
            <v>3</v>
          </cell>
          <cell r="I3388" t="str">
            <v>--</v>
          </cell>
          <cell r="J3388">
            <v>2</v>
          </cell>
          <cell r="K3388">
            <v>3</v>
          </cell>
        </row>
        <row r="3389">
          <cell r="A3389" t="str">
            <v>M2</v>
          </cell>
          <cell r="B3389" t="str">
            <v>A5C</v>
          </cell>
          <cell r="C3389" t="str">
            <v>P</v>
          </cell>
          <cell r="D3389" t="str">
            <v>23064</v>
          </cell>
          <cell r="E3389" t="str">
            <v>TEE</v>
          </cell>
          <cell r="F3389">
            <v>2</v>
          </cell>
          <cell r="G3389" t="str">
            <v>CB300304000300</v>
          </cell>
          <cell r="H3389">
            <v>3</v>
          </cell>
          <cell r="I3389" t="str">
            <v>--</v>
          </cell>
          <cell r="J3389">
            <v>1</v>
          </cell>
          <cell r="K3389">
            <v>2</v>
          </cell>
        </row>
        <row r="3390">
          <cell r="A3390" t="str">
            <v>M2</v>
          </cell>
          <cell r="B3390" t="str">
            <v>A5C</v>
          </cell>
          <cell r="C3390" t="str">
            <v>P</v>
          </cell>
          <cell r="D3390" t="str">
            <v>23086</v>
          </cell>
          <cell r="E3390" t="str">
            <v>TEE</v>
          </cell>
          <cell r="F3390">
            <v>2</v>
          </cell>
          <cell r="G3390" t="str">
            <v>CB300304000300</v>
          </cell>
          <cell r="H3390">
            <v>3</v>
          </cell>
          <cell r="I3390" t="str">
            <v>--</v>
          </cell>
          <cell r="J3390">
            <v>2</v>
          </cell>
          <cell r="K3390">
            <v>3</v>
          </cell>
        </row>
        <row r="3391">
          <cell r="A3391" t="str">
            <v>M2</v>
          </cell>
          <cell r="B3391" t="str">
            <v>A5C</v>
          </cell>
          <cell r="C3391" t="str">
            <v>P</v>
          </cell>
          <cell r="D3391" t="str">
            <v>23125</v>
          </cell>
          <cell r="E3391" t="str">
            <v>TEE</v>
          </cell>
          <cell r="F3391">
            <v>2</v>
          </cell>
          <cell r="G3391" t="str">
            <v>CB300304000300</v>
          </cell>
          <cell r="H3391">
            <v>3</v>
          </cell>
          <cell r="I3391" t="str">
            <v>--</v>
          </cell>
          <cell r="J3391">
            <v>2</v>
          </cell>
          <cell r="K3391">
            <v>3</v>
          </cell>
        </row>
        <row r="3392">
          <cell r="A3392" t="str">
            <v>M2</v>
          </cell>
          <cell r="B3392" t="str">
            <v>A5C</v>
          </cell>
          <cell r="C3392" t="str">
            <v>P</v>
          </cell>
          <cell r="D3392" t="str">
            <v>23051</v>
          </cell>
          <cell r="E3392" t="str">
            <v>TEE</v>
          </cell>
          <cell r="F3392">
            <v>2</v>
          </cell>
          <cell r="G3392" t="str">
            <v>CB300304000300</v>
          </cell>
          <cell r="H3392">
            <v>3</v>
          </cell>
          <cell r="I3392" t="str">
            <v>--</v>
          </cell>
          <cell r="J3392">
            <v>1</v>
          </cell>
          <cell r="K3392">
            <v>2</v>
          </cell>
        </row>
        <row r="3393">
          <cell r="A3393" t="str">
            <v>M2</v>
          </cell>
          <cell r="B3393" t="str">
            <v>A5C</v>
          </cell>
          <cell r="C3393" t="str">
            <v>P</v>
          </cell>
          <cell r="D3393" t="str">
            <v>24003</v>
          </cell>
          <cell r="E3393" t="str">
            <v>90 ELL</v>
          </cell>
          <cell r="F3393">
            <v>2</v>
          </cell>
          <cell r="G3393" t="str">
            <v>CB300104000300</v>
          </cell>
          <cell r="H3393">
            <v>3</v>
          </cell>
          <cell r="I3393" t="str">
            <v>--</v>
          </cell>
          <cell r="J3393">
            <v>4</v>
          </cell>
          <cell r="K3393">
            <v>5</v>
          </cell>
        </row>
        <row r="3394">
          <cell r="A3394" t="str">
            <v>M2</v>
          </cell>
          <cell r="B3394" t="str">
            <v>A5C</v>
          </cell>
          <cell r="C3394" t="str">
            <v>P</v>
          </cell>
          <cell r="D3394" t="str">
            <v>24027</v>
          </cell>
          <cell r="E3394" t="str">
            <v>90 ELL</v>
          </cell>
          <cell r="F3394">
            <v>2</v>
          </cell>
          <cell r="G3394" t="str">
            <v>CB300104000300</v>
          </cell>
          <cell r="H3394">
            <v>3</v>
          </cell>
          <cell r="I3394" t="str">
            <v>--</v>
          </cell>
          <cell r="J3394">
            <v>3</v>
          </cell>
          <cell r="K3394">
            <v>4</v>
          </cell>
        </row>
        <row r="3395">
          <cell r="A3395" t="str">
            <v>M2</v>
          </cell>
          <cell r="B3395" t="str">
            <v>A5C</v>
          </cell>
          <cell r="C3395" t="str">
            <v>P</v>
          </cell>
          <cell r="D3395" t="str">
            <v>24027</v>
          </cell>
          <cell r="E3395" t="str">
            <v>C SWG</v>
          </cell>
          <cell r="F3395">
            <v>2</v>
          </cell>
          <cell r="G3395" t="str">
            <v>CB1614040803IH</v>
          </cell>
          <cell r="H3395">
            <v>3</v>
          </cell>
          <cell r="I3395">
            <v>1.5</v>
          </cell>
          <cell r="J3395">
            <v>2</v>
          </cell>
          <cell r="K3395">
            <v>3</v>
          </cell>
        </row>
        <row r="3396">
          <cell r="A3396" t="str">
            <v>M2</v>
          </cell>
          <cell r="B3396" t="str">
            <v>A5C</v>
          </cell>
          <cell r="C3396" t="str">
            <v>TRIM</v>
          </cell>
          <cell r="D3396" t="str">
            <v>C-2301</v>
          </cell>
          <cell r="E3396" t="str">
            <v>CAP</v>
          </cell>
          <cell r="F3396">
            <v>2</v>
          </cell>
          <cell r="G3396" t="str">
            <v>CB300704000300</v>
          </cell>
          <cell r="H3396">
            <v>3</v>
          </cell>
          <cell r="I3396" t="str">
            <v>--</v>
          </cell>
          <cell r="J3396">
            <v>2</v>
          </cell>
          <cell r="K3396">
            <v>3</v>
          </cell>
        </row>
        <row r="3397">
          <cell r="A3397" t="str">
            <v>M2</v>
          </cell>
          <cell r="B3397" t="str">
            <v>A5C</v>
          </cell>
          <cell r="C3397" t="str">
            <v>TRIM</v>
          </cell>
          <cell r="D3397" t="str">
            <v>R-2401</v>
          </cell>
          <cell r="E3397" t="str">
            <v>CAP</v>
          </cell>
          <cell r="F3397">
            <v>2</v>
          </cell>
          <cell r="G3397" t="str">
            <v>CB300704000300</v>
          </cell>
          <cell r="H3397">
            <v>3</v>
          </cell>
          <cell r="I3397" t="str">
            <v>--</v>
          </cell>
          <cell r="J3397">
            <v>2</v>
          </cell>
          <cell r="K3397">
            <v>3</v>
          </cell>
        </row>
        <row r="3398">
          <cell r="A3398" t="str">
            <v>M2</v>
          </cell>
          <cell r="B3398" t="str">
            <v>A5C</v>
          </cell>
          <cell r="C3398" t="str">
            <v>TRIM</v>
          </cell>
          <cell r="D3398" t="str">
            <v>V-2401</v>
          </cell>
          <cell r="E3398" t="str">
            <v>CAP</v>
          </cell>
          <cell r="F3398">
            <v>2</v>
          </cell>
          <cell r="G3398" t="str">
            <v>CB300704000300</v>
          </cell>
          <cell r="H3398">
            <v>3</v>
          </cell>
          <cell r="I3398" t="str">
            <v>--</v>
          </cell>
          <cell r="J3398">
            <v>2</v>
          </cell>
          <cell r="K3398">
            <v>3</v>
          </cell>
        </row>
        <row r="3399">
          <cell r="A3399" t="str">
            <v>M2</v>
          </cell>
          <cell r="B3399" t="str">
            <v>A5C</v>
          </cell>
          <cell r="C3399" t="str">
            <v>TRIM</v>
          </cell>
          <cell r="D3399" t="str">
            <v>V-2404</v>
          </cell>
          <cell r="E3399" t="str">
            <v>CAP</v>
          </cell>
          <cell r="F3399">
            <v>2</v>
          </cell>
          <cell r="G3399" t="str">
            <v>CB300704000300</v>
          </cell>
          <cell r="H3399">
            <v>3</v>
          </cell>
          <cell r="I3399" t="str">
            <v>--</v>
          </cell>
          <cell r="J3399">
            <v>2</v>
          </cell>
          <cell r="K3399">
            <v>3</v>
          </cell>
        </row>
        <row r="3400">
          <cell r="A3400" t="str">
            <v>M2</v>
          </cell>
          <cell r="B3400" t="str">
            <v>A5C</v>
          </cell>
          <cell r="C3400" t="str">
            <v>P</v>
          </cell>
          <cell r="D3400" t="str">
            <v>24026</v>
          </cell>
          <cell r="E3400" t="str">
            <v>SOL</v>
          </cell>
          <cell r="F3400">
            <v>2</v>
          </cell>
          <cell r="G3400" t="str">
            <v>CB390200000301</v>
          </cell>
          <cell r="H3400">
            <v>3</v>
          </cell>
          <cell r="I3400">
            <v>1</v>
          </cell>
          <cell r="J3400">
            <v>3</v>
          </cell>
          <cell r="K3400">
            <v>4</v>
          </cell>
        </row>
        <row r="3401">
          <cell r="A3401" t="str">
            <v>M2</v>
          </cell>
          <cell r="B3401" t="str">
            <v>A5C</v>
          </cell>
          <cell r="C3401" t="str">
            <v>TRIM</v>
          </cell>
          <cell r="D3401" t="str">
            <v>C-2301</v>
          </cell>
          <cell r="E3401" t="str">
            <v>SOL</v>
          </cell>
          <cell r="F3401">
            <v>2</v>
          </cell>
          <cell r="G3401" t="str">
            <v>CB39020000030T</v>
          </cell>
          <cell r="H3401">
            <v>3</v>
          </cell>
          <cell r="I3401">
            <v>0.75</v>
          </cell>
          <cell r="J3401">
            <v>4</v>
          </cell>
          <cell r="K3401">
            <v>5</v>
          </cell>
        </row>
        <row r="3402">
          <cell r="A3402" t="str">
            <v>M2</v>
          </cell>
          <cell r="B3402" t="str">
            <v>A5C</v>
          </cell>
          <cell r="C3402" t="str">
            <v>TRIM</v>
          </cell>
          <cell r="D3402" t="str">
            <v>C-2301</v>
          </cell>
          <cell r="E3402" t="str">
            <v>SOL</v>
          </cell>
          <cell r="F3402">
            <v>2</v>
          </cell>
          <cell r="G3402" t="str">
            <v>CB3902000003IH</v>
          </cell>
          <cell r="H3402">
            <v>3</v>
          </cell>
          <cell r="I3402">
            <v>1.5</v>
          </cell>
          <cell r="J3402">
            <v>2</v>
          </cell>
          <cell r="K3402">
            <v>3</v>
          </cell>
        </row>
        <row r="3403">
          <cell r="A3403" t="str">
            <v>M2</v>
          </cell>
          <cell r="B3403" t="str">
            <v>A5C</v>
          </cell>
          <cell r="C3403" t="str">
            <v>TRIM</v>
          </cell>
          <cell r="D3403" t="str">
            <v>V-2401</v>
          </cell>
          <cell r="E3403" t="str">
            <v>SOL</v>
          </cell>
          <cell r="F3403">
            <v>2</v>
          </cell>
          <cell r="G3403" t="str">
            <v>CB39020000030T</v>
          </cell>
          <cell r="H3403">
            <v>3</v>
          </cell>
          <cell r="I3403">
            <v>0.75</v>
          </cell>
          <cell r="J3403">
            <v>6</v>
          </cell>
          <cell r="K3403">
            <v>7</v>
          </cell>
        </row>
        <row r="3404">
          <cell r="A3404" t="str">
            <v>M2</v>
          </cell>
          <cell r="B3404" t="str">
            <v>A5C</v>
          </cell>
          <cell r="C3404" t="str">
            <v>TRIM</v>
          </cell>
          <cell r="D3404" t="str">
            <v>V-2404</v>
          </cell>
          <cell r="E3404" t="str">
            <v>SOL</v>
          </cell>
          <cell r="F3404">
            <v>2</v>
          </cell>
          <cell r="G3404" t="str">
            <v>CB39020000030T</v>
          </cell>
          <cell r="H3404">
            <v>3</v>
          </cell>
          <cell r="I3404">
            <v>0.75</v>
          </cell>
          <cell r="J3404">
            <v>6</v>
          </cell>
          <cell r="K3404">
            <v>7</v>
          </cell>
        </row>
        <row r="3405">
          <cell r="A3405" t="str">
            <v>M2</v>
          </cell>
          <cell r="B3405" t="str">
            <v>A5C</v>
          </cell>
          <cell r="C3405" t="str">
            <v>P</v>
          </cell>
          <cell r="D3405" t="str">
            <v>24002</v>
          </cell>
          <cell r="E3405" t="str">
            <v>SOL</v>
          </cell>
          <cell r="F3405">
            <v>2</v>
          </cell>
          <cell r="G3405" t="str">
            <v>CB390200000301</v>
          </cell>
          <cell r="H3405">
            <v>3</v>
          </cell>
          <cell r="I3405">
            <v>1</v>
          </cell>
          <cell r="J3405">
            <v>3</v>
          </cell>
          <cell r="K3405">
            <v>4</v>
          </cell>
        </row>
        <row r="3406">
          <cell r="A3406" t="str">
            <v>M2</v>
          </cell>
          <cell r="B3406" t="str">
            <v>A5C</v>
          </cell>
          <cell r="C3406" t="str">
            <v>P</v>
          </cell>
          <cell r="D3406" t="str">
            <v>24003</v>
          </cell>
          <cell r="E3406" t="str">
            <v>SOL</v>
          </cell>
          <cell r="F3406">
            <v>2</v>
          </cell>
          <cell r="G3406" t="str">
            <v>CB390200000301</v>
          </cell>
          <cell r="H3406">
            <v>3</v>
          </cell>
          <cell r="I3406">
            <v>1</v>
          </cell>
          <cell r="J3406">
            <v>1</v>
          </cell>
          <cell r="K3406">
            <v>2</v>
          </cell>
        </row>
        <row r="3407">
          <cell r="A3407" t="str">
            <v>M2</v>
          </cell>
          <cell r="B3407" t="str">
            <v>A5C</v>
          </cell>
          <cell r="C3407" t="str">
            <v>P</v>
          </cell>
          <cell r="D3407" t="str">
            <v>24027</v>
          </cell>
          <cell r="E3407" t="str">
            <v>SOL</v>
          </cell>
          <cell r="F3407">
            <v>2</v>
          </cell>
          <cell r="G3407" t="str">
            <v>CB39020000030T</v>
          </cell>
          <cell r="H3407">
            <v>3</v>
          </cell>
          <cell r="I3407">
            <v>0.75</v>
          </cell>
          <cell r="J3407">
            <v>2</v>
          </cell>
          <cell r="K3407">
            <v>3</v>
          </cell>
        </row>
        <row r="3408">
          <cell r="A3408" t="str">
            <v>M2</v>
          </cell>
          <cell r="B3408" t="str">
            <v>A5C</v>
          </cell>
          <cell r="C3408" t="str">
            <v>TRIM</v>
          </cell>
          <cell r="D3408" t="str">
            <v>R-2401</v>
          </cell>
          <cell r="E3408" t="str">
            <v>SOL</v>
          </cell>
          <cell r="F3408">
            <v>2</v>
          </cell>
          <cell r="G3408" t="str">
            <v>CB39020000030T</v>
          </cell>
          <cell r="H3408">
            <v>3</v>
          </cell>
          <cell r="I3408">
            <v>0.75</v>
          </cell>
          <cell r="J3408">
            <v>6</v>
          </cell>
          <cell r="K3408">
            <v>7</v>
          </cell>
        </row>
        <row r="3409">
          <cell r="A3409" t="str">
            <v>M2</v>
          </cell>
          <cell r="B3409" t="str">
            <v>A5C</v>
          </cell>
          <cell r="C3409" t="str">
            <v>P</v>
          </cell>
          <cell r="D3409" t="str">
            <v>24027</v>
          </cell>
          <cell r="E3409" t="str">
            <v>TEE</v>
          </cell>
          <cell r="F3409">
            <v>2</v>
          </cell>
          <cell r="G3409" t="str">
            <v>CB300304000300</v>
          </cell>
          <cell r="H3409">
            <v>3</v>
          </cell>
          <cell r="I3409" t="str">
            <v>--</v>
          </cell>
          <cell r="J3409">
            <v>1</v>
          </cell>
          <cell r="K3409">
            <v>2</v>
          </cell>
        </row>
        <row r="3410">
          <cell r="A3410" t="str">
            <v>M2</v>
          </cell>
          <cell r="B3410" t="str">
            <v>A5C</v>
          </cell>
          <cell r="C3410" t="str">
            <v>P</v>
          </cell>
          <cell r="D3410" t="str">
            <v>24003</v>
          </cell>
          <cell r="E3410" t="str">
            <v>TEE</v>
          </cell>
          <cell r="F3410">
            <v>2</v>
          </cell>
          <cell r="G3410" t="str">
            <v>CB300304000300</v>
          </cell>
          <cell r="H3410">
            <v>3</v>
          </cell>
          <cell r="I3410" t="str">
            <v>--</v>
          </cell>
          <cell r="J3410">
            <v>1</v>
          </cell>
          <cell r="K3410">
            <v>2</v>
          </cell>
        </row>
        <row r="3411">
          <cell r="A3411" t="str">
            <v>M2</v>
          </cell>
          <cell r="B3411" t="str">
            <v>A5C</v>
          </cell>
          <cell r="C3411" t="str">
            <v>P</v>
          </cell>
          <cell r="D3411" t="str">
            <v>HOLD2</v>
          </cell>
          <cell r="E3411" t="str">
            <v>90 ELL</v>
          </cell>
          <cell r="F3411">
            <v>2</v>
          </cell>
          <cell r="G3411" t="str">
            <v>CB300104000400</v>
          </cell>
          <cell r="H3411">
            <v>4</v>
          </cell>
          <cell r="I3411" t="str">
            <v>--</v>
          </cell>
          <cell r="J3411">
            <v>15</v>
          </cell>
          <cell r="K3411">
            <v>18</v>
          </cell>
        </row>
        <row r="3412">
          <cell r="A3412" t="str">
            <v>M2</v>
          </cell>
          <cell r="B3412" t="str">
            <v>A5C</v>
          </cell>
          <cell r="C3412" t="str">
            <v>P</v>
          </cell>
          <cell r="D3412" t="str">
            <v>23058</v>
          </cell>
          <cell r="E3412" t="str">
            <v>90 ELL</v>
          </cell>
          <cell r="F3412">
            <v>2</v>
          </cell>
          <cell r="G3412" t="str">
            <v>CB300104000400</v>
          </cell>
          <cell r="H3412">
            <v>4</v>
          </cell>
          <cell r="I3412" t="str">
            <v>--</v>
          </cell>
          <cell r="J3412">
            <v>3</v>
          </cell>
          <cell r="K3412">
            <v>4</v>
          </cell>
        </row>
        <row r="3413">
          <cell r="A3413" t="str">
            <v>M2</v>
          </cell>
          <cell r="B3413" t="str">
            <v>A5C</v>
          </cell>
          <cell r="C3413" t="str">
            <v>P</v>
          </cell>
          <cell r="D3413" t="str">
            <v>23068</v>
          </cell>
          <cell r="E3413" t="str">
            <v>90 ELL</v>
          </cell>
          <cell r="F3413">
            <v>2</v>
          </cell>
          <cell r="G3413" t="str">
            <v>CB300104000400</v>
          </cell>
          <cell r="H3413">
            <v>4</v>
          </cell>
          <cell r="I3413" t="str">
            <v>--</v>
          </cell>
          <cell r="J3413">
            <v>2</v>
          </cell>
          <cell r="K3413">
            <v>3</v>
          </cell>
        </row>
        <row r="3414">
          <cell r="A3414" t="str">
            <v>M2</v>
          </cell>
          <cell r="B3414" t="str">
            <v>A5C</v>
          </cell>
          <cell r="C3414" t="str">
            <v>P</v>
          </cell>
          <cell r="D3414" t="str">
            <v>23072</v>
          </cell>
          <cell r="E3414" t="str">
            <v>90 ELL</v>
          </cell>
          <cell r="F3414">
            <v>2</v>
          </cell>
          <cell r="G3414" t="str">
            <v>CB300104000400</v>
          </cell>
          <cell r="H3414">
            <v>4</v>
          </cell>
          <cell r="I3414" t="str">
            <v>--</v>
          </cell>
          <cell r="J3414">
            <v>9</v>
          </cell>
          <cell r="K3414">
            <v>11</v>
          </cell>
        </row>
        <row r="3415">
          <cell r="A3415" t="str">
            <v>M2</v>
          </cell>
          <cell r="B3415" t="str">
            <v>A5C</v>
          </cell>
          <cell r="C3415" t="str">
            <v>P</v>
          </cell>
          <cell r="D3415" t="str">
            <v>23095</v>
          </cell>
          <cell r="E3415" t="str">
            <v>90 ELL</v>
          </cell>
          <cell r="F3415">
            <v>2</v>
          </cell>
          <cell r="G3415" t="str">
            <v>CB300104000400</v>
          </cell>
          <cell r="H3415">
            <v>4</v>
          </cell>
          <cell r="I3415" t="str">
            <v>--</v>
          </cell>
          <cell r="J3415">
            <v>3</v>
          </cell>
          <cell r="K3415">
            <v>4</v>
          </cell>
        </row>
        <row r="3416">
          <cell r="A3416" t="str">
            <v>M2</v>
          </cell>
          <cell r="B3416" t="str">
            <v>A5C</v>
          </cell>
          <cell r="C3416" t="str">
            <v>P</v>
          </cell>
          <cell r="D3416" t="str">
            <v>23100</v>
          </cell>
          <cell r="E3416" t="str">
            <v>90 ELL</v>
          </cell>
          <cell r="F3416">
            <v>2</v>
          </cell>
          <cell r="G3416" t="str">
            <v>CB300104000400</v>
          </cell>
          <cell r="H3416">
            <v>4</v>
          </cell>
          <cell r="I3416" t="str">
            <v>--</v>
          </cell>
          <cell r="J3416">
            <v>7</v>
          </cell>
          <cell r="K3416">
            <v>9</v>
          </cell>
        </row>
        <row r="3417">
          <cell r="A3417" t="str">
            <v>M2</v>
          </cell>
          <cell r="B3417" t="str">
            <v>A5C</v>
          </cell>
          <cell r="C3417" t="str">
            <v>P</v>
          </cell>
          <cell r="D3417" t="str">
            <v>23095</v>
          </cell>
          <cell r="E3417" t="str">
            <v>90 ELL</v>
          </cell>
          <cell r="F3417">
            <v>2</v>
          </cell>
          <cell r="G3417" t="str">
            <v>CB300104000400</v>
          </cell>
          <cell r="H3417">
            <v>4</v>
          </cell>
          <cell r="I3417" t="str">
            <v>--</v>
          </cell>
          <cell r="J3417">
            <v>2</v>
          </cell>
          <cell r="K3417">
            <v>3</v>
          </cell>
        </row>
        <row r="3418">
          <cell r="A3418" t="str">
            <v>M2</v>
          </cell>
          <cell r="B3418" t="str">
            <v>A5C</v>
          </cell>
          <cell r="C3418" t="str">
            <v>P</v>
          </cell>
          <cell r="D3418" t="str">
            <v>23110</v>
          </cell>
          <cell r="E3418" t="str">
            <v>90 ELL</v>
          </cell>
          <cell r="F3418">
            <v>2</v>
          </cell>
          <cell r="G3418" t="str">
            <v>CB300104000400</v>
          </cell>
          <cell r="H3418">
            <v>4</v>
          </cell>
          <cell r="I3418" t="str">
            <v>--</v>
          </cell>
          <cell r="J3418">
            <v>3</v>
          </cell>
          <cell r="K3418">
            <v>4</v>
          </cell>
        </row>
        <row r="3419">
          <cell r="A3419" t="str">
            <v>M2</v>
          </cell>
          <cell r="B3419" t="str">
            <v>A5C</v>
          </cell>
          <cell r="C3419" t="str">
            <v>P</v>
          </cell>
          <cell r="D3419" t="str">
            <v>23110</v>
          </cell>
          <cell r="E3419" t="str">
            <v>90 ELL</v>
          </cell>
          <cell r="F3419">
            <v>2</v>
          </cell>
          <cell r="G3419" t="str">
            <v>CB300104000400</v>
          </cell>
          <cell r="H3419">
            <v>4</v>
          </cell>
          <cell r="I3419" t="str">
            <v>--</v>
          </cell>
          <cell r="J3419">
            <v>2</v>
          </cell>
          <cell r="K3419">
            <v>3</v>
          </cell>
        </row>
        <row r="3420">
          <cell r="A3420" t="str">
            <v>M2</v>
          </cell>
          <cell r="B3420" t="str">
            <v>A5C</v>
          </cell>
          <cell r="C3420" t="str">
            <v>P</v>
          </cell>
          <cell r="D3420" t="str">
            <v>23114</v>
          </cell>
          <cell r="E3420" t="str">
            <v>90 ELL</v>
          </cell>
          <cell r="F3420">
            <v>2</v>
          </cell>
          <cell r="G3420" t="str">
            <v>CB300104000400</v>
          </cell>
          <cell r="H3420">
            <v>4</v>
          </cell>
          <cell r="I3420" t="str">
            <v>--</v>
          </cell>
          <cell r="J3420">
            <v>2</v>
          </cell>
          <cell r="K3420">
            <v>3</v>
          </cell>
        </row>
        <row r="3421">
          <cell r="A3421" t="str">
            <v>M2</v>
          </cell>
          <cell r="B3421" t="str">
            <v>A5C</v>
          </cell>
          <cell r="C3421" t="str">
            <v>P</v>
          </cell>
          <cell r="D3421" t="str">
            <v>23114</v>
          </cell>
          <cell r="E3421" t="str">
            <v>90 ELL</v>
          </cell>
          <cell r="F3421">
            <v>2</v>
          </cell>
          <cell r="G3421" t="str">
            <v>CB300104000400</v>
          </cell>
          <cell r="H3421">
            <v>4</v>
          </cell>
          <cell r="I3421" t="str">
            <v>--</v>
          </cell>
          <cell r="J3421">
            <v>3</v>
          </cell>
          <cell r="K3421">
            <v>4</v>
          </cell>
        </row>
        <row r="3422">
          <cell r="A3422" t="str">
            <v>M2</v>
          </cell>
          <cell r="B3422" t="str">
            <v>A5C</v>
          </cell>
          <cell r="C3422" t="str">
            <v>P</v>
          </cell>
          <cell r="D3422" t="str">
            <v>23121</v>
          </cell>
          <cell r="E3422" t="str">
            <v>90 ELL</v>
          </cell>
          <cell r="F3422">
            <v>2</v>
          </cell>
          <cell r="G3422" t="str">
            <v>CB300104000400</v>
          </cell>
          <cell r="H3422">
            <v>4</v>
          </cell>
          <cell r="I3422" t="str">
            <v>--</v>
          </cell>
          <cell r="J3422">
            <v>4</v>
          </cell>
          <cell r="K3422">
            <v>5</v>
          </cell>
        </row>
        <row r="3423">
          <cell r="A3423" t="str">
            <v>M2</v>
          </cell>
          <cell r="B3423" t="str">
            <v>A5C</v>
          </cell>
          <cell r="C3423" t="str">
            <v>P</v>
          </cell>
          <cell r="D3423" t="str">
            <v>23123</v>
          </cell>
          <cell r="E3423" t="str">
            <v>90 ELL</v>
          </cell>
          <cell r="F3423">
            <v>2</v>
          </cell>
          <cell r="G3423" t="str">
            <v>CB300104000400</v>
          </cell>
          <cell r="H3423">
            <v>4</v>
          </cell>
          <cell r="I3423" t="str">
            <v>--</v>
          </cell>
          <cell r="J3423">
            <v>2</v>
          </cell>
          <cell r="K3423">
            <v>3</v>
          </cell>
        </row>
        <row r="3424">
          <cell r="A3424" t="str">
            <v>M2</v>
          </cell>
          <cell r="B3424" t="str">
            <v>A5C</v>
          </cell>
          <cell r="C3424" t="str">
            <v>P</v>
          </cell>
          <cell r="D3424" t="str">
            <v>23127</v>
          </cell>
          <cell r="E3424" t="str">
            <v>90 ELL</v>
          </cell>
          <cell r="F3424">
            <v>2</v>
          </cell>
          <cell r="G3424" t="str">
            <v>CB300104000400</v>
          </cell>
          <cell r="H3424">
            <v>4</v>
          </cell>
          <cell r="I3424" t="str">
            <v>--</v>
          </cell>
          <cell r="J3424">
            <v>2</v>
          </cell>
          <cell r="K3424">
            <v>3</v>
          </cell>
        </row>
        <row r="3425">
          <cell r="A3425" t="str">
            <v>M2</v>
          </cell>
          <cell r="B3425" t="str">
            <v>A5C</v>
          </cell>
          <cell r="C3425" t="str">
            <v>P</v>
          </cell>
          <cell r="D3425" t="str">
            <v>23134</v>
          </cell>
          <cell r="E3425" t="str">
            <v>90 ELL</v>
          </cell>
          <cell r="F3425">
            <v>2</v>
          </cell>
          <cell r="G3425" t="str">
            <v>CB300104000400</v>
          </cell>
          <cell r="H3425">
            <v>4</v>
          </cell>
          <cell r="I3425" t="str">
            <v>--</v>
          </cell>
          <cell r="J3425">
            <v>4</v>
          </cell>
          <cell r="K3425">
            <v>5</v>
          </cell>
        </row>
        <row r="3426">
          <cell r="A3426" t="str">
            <v>M2</v>
          </cell>
          <cell r="B3426" t="str">
            <v>A5C</v>
          </cell>
          <cell r="C3426" t="str">
            <v>P</v>
          </cell>
          <cell r="D3426" t="str">
            <v>23139</v>
          </cell>
          <cell r="E3426" t="str">
            <v>90 ELL</v>
          </cell>
          <cell r="F3426">
            <v>2</v>
          </cell>
          <cell r="G3426" t="str">
            <v>CB300104000400</v>
          </cell>
          <cell r="H3426">
            <v>4</v>
          </cell>
          <cell r="I3426" t="str">
            <v>--</v>
          </cell>
          <cell r="J3426">
            <v>5</v>
          </cell>
          <cell r="K3426">
            <v>6</v>
          </cell>
        </row>
        <row r="3427">
          <cell r="A3427" t="str">
            <v>M2</v>
          </cell>
          <cell r="B3427" t="str">
            <v>A5C</v>
          </cell>
          <cell r="C3427" t="str">
            <v>P</v>
          </cell>
          <cell r="D3427" t="str">
            <v>23146</v>
          </cell>
          <cell r="E3427" t="str">
            <v>90 ELL</v>
          </cell>
          <cell r="F3427">
            <v>2</v>
          </cell>
          <cell r="G3427" t="str">
            <v>CB300104000400</v>
          </cell>
          <cell r="H3427">
            <v>4</v>
          </cell>
          <cell r="I3427" t="str">
            <v>--</v>
          </cell>
          <cell r="J3427">
            <v>4</v>
          </cell>
          <cell r="K3427">
            <v>5</v>
          </cell>
        </row>
        <row r="3428">
          <cell r="A3428" t="str">
            <v>M2</v>
          </cell>
          <cell r="B3428" t="str">
            <v>A5C</v>
          </cell>
          <cell r="C3428" t="str">
            <v>P</v>
          </cell>
          <cell r="D3428" t="str">
            <v>23174</v>
          </cell>
          <cell r="E3428" t="str">
            <v>90 ELL</v>
          </cell>
          <cell r="F3428">
            <v>2</v>
          </cell>
          <cell r="G3428" t="str">
            <v>CB300104000400</v>
          </cell>
          <cell r="H3428">
            <v>4</v>
          </cell>
          <cell r="I3428" t="str">
            <v>--</v>
          </cell>
          <cell r="J3428">
            <v>6</v>
          </cell>
          <cell r="K3428">
            <v>7</v>
          </cell>
        </row>
        <row r="3429">
          <cell r="A3429" t="str">
            <v>M2</v>
          </cell>
          <cell r="B3429" t="str">
            <v>A5C</v>
          </cell>
          <cell r="C3429" t="str">
            <v>P</v>
          </cell>
          <cell r="D3429" t="str">
            <v>23174</v>
          </cell>
          <cell r="E3429" t="str">
            <v>90 ELL</v>
          </cell>
          <cell r="F3429">
            <v>2</v>
          </cell>
          <cell r="G3429" t="str">
            <v>CB300104000400</v>
          </cell>
          <cell r="H3429">
            <v>4</v>
          </cell>
          <cell r="I3429" t="str">
            <v>--</v>
          </cell>
          <cell r="J3429">
            <v>6</v>
          </cell>
          <cell r="K3429">
            <v>7</v>
          </cell>
        </row>
        <row r="3430">
          <cell r="A3430" t="str">
            <v>M2</v>
          </cell>
          <cell r="B3430" t="str">
            <v>A5C</v>
          </cell>
          <cell r="C3430" t="str">
            <v>P</v>
          </cell>
          <cell r="D3430" t="str">
            <v>23227</v>
          </cell>
          <cell r="E3430" t="str">
            <v>90 ELL</v>
          </cell>
          <cell r="F3430">
            <v>2</v>
          </cell>
          <cell r="G3430" t="str">
            <v>CB300104000400</v>
          </cell>
          <cell r="H3430">
            <v>4</v>
          </cell>
          <cell r="I3430" t="str">
            <v>--</v>
          </cell>
          <cell r="J3430">
            <v>5</v>
          </cell>
          <cell r="K3430">
            <v>6</v>
          </cell>
        </row>
        <row r="3431">
          <cell r="A3431" t="str">
            <v>M2</v>
          </cell>
          <cell r="B3431" t="str">
            <v>A5C</v>
          </cell>
          <cell r="C3431" t="str">
            <v>P</v>
          </cell>
          <cell r="D3431" t="str">
            <v>23228</v>
          </cell>
          <cell r="E3431" t="str">
            <v>90 ELL</v>
          </cell>
          <cell r="F3431">
            <v>2</v>
          </cell>
          <cell r="G3431" t="str">
            <v>CB300104000400</v>
          </cell>
          <cell r="H3431">
            <v>4</v>
          </cell>
          <cell r="I3431" t="str">
            <v>--</v>
          </cell>
          <cell r="J3431">
            <v>3</v>
          </cell>
          <cell r="K3431">
            <v>4</v>
          </cell>
        </row>
        <row r="3432">
          <cell r="A3432" t="str">
            <v>M2</v>
          </cell>
          <cell r="B3432" t="str">
            <v>A5C</v>
          </cell>
          <cell r="C3432" t="str">
            <v>P</v>
          </cell>
          <cell r="D3432" t="str">
            <v>23237</v>
          </cell>
          <cell r="E3432" t="str">
            <v>90 ELL</v>
          </cell>
          <cell r="F3432">
            <v>2</v>
          </cell>
          <cell r="G3432" t="str">
            <v>CB300104000400</v>
          </cell>
          <cell r="H3432">
            <v>4</v>
          </cell>
          <cell r="I3432" t="str">
            <v>--</v>
          </cell>
          <cell r="J3432">
            <v>1</v>
          </cell>
          <cell r="K3432">
            <v>2</v>
          </cell>
        </row>
        <row r="3433">
          <cell r="A3433" t="str">
            <v>M2</v>
          </cell>
          <cell r="B3433" t="str">
            <v>A5C</v>
          </cell>
          <cell r="C3433" t="str">
            <v>P</v>
          </cell>
          <cell r="D3433" t="str">
            <v>23241</v>
          </cell>
          <cell r="E3433" t="str">
            <v>90 ELL</v>
          </cell>
          <cell r="F3433">
            <v>2</v>
          </cell>
          <cell r="G3433" t="str">
            <v>CB300104000400</v>
          </cell>
          <cell r="H3433">
            <v>4</v>
          </cell>
          <cell r="I3433" t="str">
            <v>--</v>
          </cell>
          <cell r="J3433">
            <v>1</v>
          </cell>
          <cell r="K3433">
            <v>2</v>
          </cell>
        </row>
        <row r="3434">
          <cell r="A3434" t="str">
            <v>M2</v>
          </cell>
          <cell r="B3434" t="str">
            <v>A5C</v>
          </cell>
          <cell r="C3434" t="str">
            <v>P</v>
          </cell>
          <cell r="D3434" t="str">
            <v>23249</v>
          </cell>
          <cell r="E3434" t="str">
            <v>90 ELL</v>
          </cell>
          <cell r="F3434">
            <v>2</v>
          </cell>
          <cell r="G3434" t="str">
            <v>CB300104000400</v>
          </cell>
          <cell r="H3434">
            <v>4</v>
          </cell>
          <cell r="I3434" t="str">
            <v>--</v>
          </cell>
          <cell r="J3434">
            <v>5</v>
          </cell>
          <cell r="K3434">
            <v>6</v>
          </cell>
        </row>
        <row r="3435">
          <cell r="A3435" t="str">
            <v>M2</v>
          </cell>
          <cell r="B3435" t="str">
            <v>A5C</v>
          </cell>
          <cell r="C3435" t="str">
            <v>P</v>
          </cell>
          <cell r="D3435" t="str">
            <v>23012</v>
          </cell>
          <cell r="E3435" t="str">
            <v>90 ELL</v>
          </cell>
          <cell r="F3435">
            <v>2</v>
          </cell>
          <cell r="G3435" t="str">
            <v>CB300104000400</v>
          </cell>
          <cell r="H3435">
            <v>4</v>
          </cell>
          <cell r="I3435" t="str">
            <v>--</v>
          </cell>
          <cell r="J3435">
            <v>3</v>
          </cell>
          <cell r="K3435">
            <v>4</v>
          </cell>
        </row>
        <row r="3436">
          <cell r="A3436" t="str">
            <v>M2</v>
          </cell>
          <cell r="B3436" t="str">
            <v>A5C</v>
          </cell>
          <cell r="C3436" t="str">
            <v>P</v>
          </cell>
          <cell r="D3436" t="str">
            <v>23181</v>
          </cell>
          <cell r="E3436" t="str">
            <v>90 ELL</v>
          </cell>
          <cell r="F3436">
            <v>2</v>
          </cell>
          <cell r="G3436" t="str">
            <v>CB300104000400</v>
          </cell>
          <cell r="H3436">
            <v>4</v>
          </cell>
          <cell r="I3436" t="str">
            <v>--</v>
          </cell>
          <cell r="J3436">
            <v>2</v>
          </cell>
          <cell r="K3436">
            <v>3</v>
          </cell>
        </row>
        <row r="3437">
          <cell r="A3437" t="str">
            <v>M2</v>
          </cell>
          <cell r="B3437" t="str">
            <v>A5C</v>
          </cell>
          <cell r="C3437" t="str">
            <v>P</v>
          </cell>
          <cell r="D3437" t="str">
            <v>23250</v>
          </cell>
          <cell r="E3437" t="str">
            <v>90 ELL</v>
          </cell>
          <cell r="F3437">
            <v>2</v>
          </cell>
          <cell r="G3437" t="str">
            <v>CB300104000400</v>
          </cell>
          <cell r="H3437">
            <v>4</v>
          </cell>
          <cell r="I3437" t="str">
            <v>--</v>
          </cell>
          <cell r="J3437">
            <v>3</v>
          </cell>
          <cell r="K3437">
            <v>4</v>
          </cell>
        </row>
        <row r="3438">
          <cell r="A3438" t="str">
            <v>M2</v>
          </cell>
          <cell r="B3438" t="str">
            <v>A5C</v>
          </cell>
          <cell r="C3438" t="str">
            <v>P</v>
          </cell>
          <cell r="D3438" t="str">
            <v>23012</v>
          </cell>
          <cell r="E3438" t="str">
            <v>C RED</v>
          </cell>
          <cell r="F3438">
            <v>2</v>
          </cell>
          <cell r="G3438" t="str">
            <v>CB300504040403</v>
          </cell>
          <cell r="H3438">
            <v>4</v>
          </cell>
          <cell r="I3438">
            <v>3</v>
          </cell>
          <cell r="J3438">
            <v>2</v>
          </cell>
          <cell r="K3438">
            <v>3</v>
          </cell>
        </row>
        <row r="3439">
          <cell r="A3439" t="str">
            <v>M2</v>
          </cell>
          <cell r="B3439" t="str">
            <v>A5C</v>
          </cell>
          <cell r="C3439" t="str">
            <v>P</v>
          </cell>
          <cell r="D3439" t="str">
            <v>23058</v>
          </cell>
          <cell r="E3439" t="str">
            <v>C RED</v>
          </cell>
          <cell r="F3439">
            <v>2</v>
          </cell>
          <cell r="G3439" t="str">
            <v>CB300504040403</v>
          </cell>
          <cell r="H3439">
            <v>4</v>
          </cell>
          <cell r="I3439">
            <v>3</v>
          </cell>
          <cell r="J3439">
            <v>2</v>
          </cell>
          <cell r="K3439">
            <v>3</v>
          </cell>
        </row>
        <row r="3440">
          <cell r="A3440" t="str">
            <v>M2</v>
          </cell>
          <cell r="B3440" t="str">
            <v>A5C</v>
          </cell>
          <cell r="C3440" t="str">
            <v>P</v>
          </cell>
          <cell r="D3440" t="str">
            <v>23068</v>
          </cell>
          <cell r="E3440" t="str">
            <v>C RED</v>
          </cell>
          <cell r="F3440">
            <v>2</v>
          </cell>
          <cell r="G3440" t="str">
            <v>CB300504040403</v>
          </cell>
          <cell r="H3440">
            <v>4</v>
          </cell>
          <cell r="I3440">
            <v>3</v>
          </cell>
          <cell r="J3440">
            <v>2</v>
          </cell>
          <cell r="K3440">
            <v>3</v>
          </cell>
        </row>
        <row r="3441">
          <cell r="A3441" t="str">
            <v>M2</v>
          </cell>
          <cell r="B3441" t="str">
            <v>A5C</v>
          </cell>
          <cell r="C3441" t="str">
            <v>P</v>
          </cell>
          <cell r="D3441" t="str">
            <v>23095</v>
          </cell>
          <cell r="E3441" t="str">
            <v>C RED</v>
          </cell>
          <cell r="F3441">
            <v>2</v>
          </cell>
          <cell r="G3441" t="str">
            <v>CB300504040403</v>
          </cell>
          <cell r="H3441">
            <v>4</v>
          </cell>
          <cell r="I3441">
            <v>3</v>
          </cell>
          <cell r="J3441">
            <v>2</v>
          </cell>
          <cell r="K3441">
            <v>3</v>
          </cell>
        </row>
        <row r="3442">
          <cell r="A3442" t="str">
            <v>M2</v>
          </cell>
          <cell r="B3442" t="str">
            <v>A5C</v>
          </cell>
          <cell r="C3442" t="str">
            <v>P</v>
          </cell>
          <cell r="D3442" t="str">
            <v>23110</v>
          </cell>
          <cell r="E3442" t="str">
            <v>C RED</v>
          </cell>
          <cell r="F3442">
            <v>2</v>
          </cell>
          <cell r="G3442" t="str">
            <v>CB300504040403</v>
          </cell>
          <cell r="H3442">
            <v>4</v>
          </cell>
          <cell r="I3442">
            <v>3</v>
          </cell>
          <cell r="J3442">
            <v>2</v>
          </cell>
          <cell r="K3442">
            <v>3</v>
          </cell>
        </row>
        <row r="3443">
          <cell r="A3443" t="str">
            <v>M2</v>
          </cell>
          <cell r="B3443" t="str">
            <v>A5C</v>
          </cell>
          <cell r="C3443" t="str">
            <v>P</v>
          </cell>
          <cell r="D3443" t="str">
            <v>23114</v>
          </cell>
          <cell r="E3443" t="str">
            <v>C RED</v>
          </cell>
          <cell r="F3443">
            <v>2</v>
          </cell>
          <cell r="G3443" t="str">
            <v>CB300504040403</v>
          </cell>
          <cell r="H3443">
            <v>4</v>
          </cell>
          <cell r="I3443">
            <v>3</v>
          </cell>
          <cell r="J3443">
            <v>2</v>
          </cell>
          <cell r="K3443">
            <v>3</v>
          </cell>
        </row>
        <row r="3444">
          <cell r="A3444" t="str">
            <v>M2</v>
          </cell>
          <cell r="B3444" t="str">
            <v>A5C</v>
          </cell>
          <cell r="C3444" t="str">
            <v>P</v>
          </cell>
          <cell r="D3444" t="str">
            <v>23127</v>
          </cell>
          <cell r="E3444" t="str">
            <v>C RED</v>
          </cell>
          <cell r="F3444">
            <v>2</v>
          </cell>
          <cell r="G3444" t="str">
            <v>CB300504040403</v>
          </cell>
          <cell r="H3444">
            <v>4</v>
          </cell>
          <cell r="I3444">
            <v>3</v>
          </cell>
          <cell r="J3444">
            <v>2</v>
          </cell>
          <cell r="K3444">
            <v>3</v>
          </cell>
        </row>
        <row r="3445">
          <cell r="A3445" t="str">
            <v>M2</v>
          </cell>
          <cell r="B3445" t="str">
            <v>A5C</v>
          </cell>
          <cell r="C3445" t="str">
            <v>P</v>
          </cell>
          <cell r="D3445" t="str">
            <v>23134</v>
          </cell>
          <cell r="E3445" t="str">
            <v>C RED</v>
          </cell>
          <cell r="F3445">
            <v>2</v>
          </cell>
          <cell r="G3445" t="str">
            <v>CB300504040403</v>
          </cell>
          <cell r="H3445">
            <v>4</v>
          </cell>
          <cell r="I3445">
            <v>3</v>
          </cell>
          <cell r="J3445">
            <v>2</v>
          </cell>
          <cell r="K3445">
            <v>3</v>
          </cell>
        </row>
        <row r="3446">
          <cell r="A3446" t="str">
            <v>M2</v>
          </cell>
          <cell r="B3446" t="str">
            <v>A5C</v>
          </cell>
          <cell r="C3446" t="str">
            <v>P</v>
          </cell>
          <cell r="D3446" t="str">
            <v>23146</v>
          </cell>
          <cell r="E3446" t="str">
            <v>C RED</v>
          </cell>
          <cell r="F3446">
            <v>2</v>
          </cell>
          <cell r="G3446" t="str">
            <v>CB300504040403</v>
          </cell>
          <cell r="H3446">
            <v>4</v>
          </cell>
          <cell r="I3446">
            <v>3</v>
          </cell>
          <cell r="J3446">
            <v>2</v>
          </cell>
          <cell r="K3446">
            <v>3</v>
          </cell>
        </row>
        <row r="3447">
          <cell r="A3447" t="str">
            <v>M2</v>
          </cell>
          <cell r="B3447" t="str">
            <v>A5C</v>
          </cell>
          <cell r="C3447" t="str">
            <v>P</v>
          </cell>
          <cell r="D3447" t="str">
            <v>23230</v>
          </cell>
          <cell r="E3447" t="str">
            <v>C RED</v>
          </cell>
          <cell r="F3447">
            <v>2</v>
          </cell>
          <cell r="G3447" t="str">
            <v>CB300504080402</v>
          </cell>
          <cell r="H3447">
            <v>4</v>
          </cell>
          <cell r="I3447">
            <v>2</v>
          </cell>
          <cell r="J3447">
            <v>2</v>
          </cell>
          <cell r="K3447">
            <v>3</v>
          </cell>
        </row>
        <row r="3448">
          <cell r="A3448" t="str">
            <v>M2</v>
          </cell>
          <cell r="B3448" t="str">
            <v>A5C</v>
          </cell>
          <cell r="C3448" t="str">
            <v>P</v>
          </cell>
          <cell r="D3448" t="str">
            <v>23252</v>
          </cell>
          <cell r="E3448" t="str">
            <v>C RED</v>
          </cell>
          <cell r="F3448">
            <v>2</v>
          </cell>
          <cell r="G3448" t="str">
            <v>CB300504080402</v>
          </cell>
          <cell r="H3448">
            <v>4</v>
          </cell>
          <cell r="I3448">
            <v>2</v>
          </cell>
          <cell r="J3448">
            <v>2</v>
          </cell>
          <cell r="K3448">
            <v>3</v>
          </cell>
        </row>
        <row r="3449">
          <cell r="A3449" t="str">
            <v>M2</v>
          </cell>
          <cell r="B3449" t="str">
            <v>A5C</v>
          </cell>
          <cell r="C3449" t="str">
            <v>P</v>
          </cell>
          <cell r="D3449" t="str">
            <v>24013</v>
          </cell>
          <cell r="E3449" t="str">
            <v>C RED</v>
          </cell>
          <cell r="F3449">
            <v>2</v>
          </cell>
          <cell r="G3449" t="str">
            <v>CB300504080402</v>
          </cell>
          <cell r="H3449">
            <v>4</v>
          </cell>
          <cell r="I3449">
            <v>2</v>
          </cell>
          <cell r="J3449">
            <v>2</v>
          </cell>
          <cell r="K3449">
            <v>3</v>
          </cell>
        </row>
        <row r="3450">
          <cell r="A3450" t="str">
            <v>M2</v>
          </cell>
          <cell r="B3450" t="str">
            <v>A5C</v>
          </cell>
          <cell r="C3450" t="str">
            <v>P</v>
          </cell>
          <cell r="D3450" t="str">
            <v>23035</v>
          </cell>
          <cell r="E3450" t="str">
            <v>E RED</v>
          </cell>
          <cell r="F3450">
            <v>2</v>
          </cell>
          <cell r="G3450" t="str">
            <v>CB300604080402</v>
          </cell>
          <cell r="H3450">
            <v>4</v>
          </cell>
          <cell r="I3450">
            <v>2</v>
          </cell>
          <cell r="J3450">
            <v>2</v>
          </cell>
          <cell r="K3450">
            <v>3</v>
          </cell>
        </row>
        <row r="3451">
          <cell r="A3451" t="str">
            <v>M2</v>
          </cell>
          <cell r="B3451" t="str">
            <v>A5C</v>
          </cell>
          <cell r="C3451" t="str">
            <v>P</v>
          </cell>
          <cell r="D3451" t="str">
            <v>23121</v>
          </cell>
          <cell r="E3451" t="str">
            <v>E RED</v>
          </cell>
          <cell r="F3451">
            <v>2</v>
          </cell>
          <cell r="G3451" t="str">
            <v>CB300604040403</v>
          </cell>
          <cell r="H3451">
            <v>4</v>
          </cell>
          <cell r="I3451">
            <v>3</v>
          </cell>
          <cell r="J3451">
            <v>2</v>
          </cell>
          <cell r="K3451">
            <v>3</v>
          </cell>
        </row>
        <row r="3452">
          <cell r="A3452" t="str">
            <v>M2</v>
          </cell>
          <cell r="B3452" t="str">
            <v>A5C</v>
          </cell>
          <cell r="C3452" t="str">
            <v>P</v>
          </cell>
          <cell r="D3452" t="str">
            <v>23188</v>
          </cell>
          <cell r="E3452" t="str">
            <v>E RED</v>
          </cell>
          <cell r="F3452">
            <v>2</v>
          </cell>
          <cell r="G3452" t="str">
            <v>CB300604080402</v>
          </cell>
          <cell r="H3452">
            <v>4</v>
          </cell>
          <cell r="I3452">
            <v>2</v>
          </cell>
          <cell r="J3452">
            <v>2</v>
          </cell>
          <cell r="K3452">
            <v>3</v>
          </cell>
        </row>
        <row r="3453">
          <cell r="A3453" t="str">
            <v>M2</v>
          </cell>
          <cell r="B3453" t="str">
            <v>A5C</v>
          </cell>
          <cell r="C3453" t="str">
            <v>P</v>
          </cell>
          <cell r="D3453" t="str">
            <v>23174</v>
          </cell>
          <cell r="E3453" t="str">
            <v>E RED</v>
          </cell>
          <cell r="F3453">
            <v>2</v>
          </cell>
          <cell r="G3453" t="str">
            <v>CB300604040403</v>
          </cell>
          <cell r="H3453">
            <v>4</v>
          </cell>
          <cell r="I3453">
            <v>3</v>
          </cell>
          <cell r="J3453">
            <v>2</v>
          </cell>
          <cell r="K3453">
            <v>3</v>
          </cell>
        </row>
        <row r="3454">
          <cell r="A3454" t="str">
            <v>M2</v>
          </cell>
          <cell r="B3454" t="str">
            <v>A5C</v>
          </cell>
          <cell r="C3454" t="str">
            <v>P</v>
          </cell>
          <cell r="D3454" t="str">
            <v>23012</v>
          </cell>
          <cell r="E3454" t="str">
            <v>SOL</v>
          </cell>
          <cell r="F3454">
            <v>2</v>
          </cell>
          <cell r="G3454" t="str">
            <v>CB39020000040T</v>
          </cell>
          <cell r="H3454">
            <v>4</v>
          </cell>
          <cell r="I3454">
            <v>0.75</v>
          </cell>
          <cell r="J3454">
            <v>2</v>
          </cell>
          <cell r="K3454">
            <v>3</v>
          </cell>
        </row>
        <row r="3455">
          <cell r="A3455" t="str">
            <v>M2</v>
          </cell>
          <cell r="B3455" t="str">
            <v>A5C</v>
          </cell>
          <cell r="C3455" t="str">
            <v>P</v>
          </cell>
          <cell r="D3455" t="str">
            <v>23058</v>
          </cell>
          <cell r="E3455" t="str">
            <v>SOL</v>
          </cell>
          <cell r="F3455">
            <v>2</v>
          </cell>
          <cell r="G3455" t="str">
            <v>CB39020000040T</v>
          </cell>
          <cell r="H3455">
            <v>4</v>
          </cell>
          <cell r="I3455">
            <v>0.75</v>
          </cell>
          <cell r="J3455">
            <v>2</v>
          </cell>
          <cell r="K3455">
            <v>3</v>
          </cell>
        </row>
        <row r="3456">
          <cell r="A3456" t="str">
            <v>M2</v>
          </cell>
          <cell r="B3456" t="str">
            <v>A5C</v>
          </cell>
          <cell r="C3456" t="str">
            <v>P</v>
          </cell>
          <cell r="D3456" t="str">
            <v>23068</v>
          </cell>
          <cell r="E3456" t="str">
            <v>SOL</v>
          </cell>
          <cell r="F3456">
            <v>2</v>
          </cell>
          <cell r="G3456" t="str">
            <v>CB39020000040T</v>
          </cell>
          <cell r="H3456">
            <v>4</v>
          </cell>
          <cell r="I3456">
            <v>0.75</v>
          </cell>
          <cell r="J3456">
            <v>2</v>
          </cell>
          <cell r="K3456">
            <v>3</v>
          </cell>
        </row>
        <row r="3457">
          <cell r="A3457" t="str">
            <v>M2</v>
          </cell>
          <cell r="B3457" t="str">
            <v>A5C</v>
          </cell>
          <cell r="C3457" t="str">
            <v>P</v>
          </cell>
          <cell r="D3457" t="str">
            <v>23095</v>
          </cell>
          <cell r="E3457" t="str">
            <v>SOL</v>
          </cell>
          <cell r="F3457">
            <v>2</v>
          </cell>
          <cell r="G3457" t="str">
            <v>CB390200000401</v>
          </cell>
          <cell r="H3457">
            <v>4</v>
          </cell>
          <cell r="I3457">
            <v>1</v>
          </cell>
          <cell r="J3457">
            <v>1</v>
          </cell>
          <cell r="K3457">
            <v>2</v>
          </cell>
        </row>
        <row r="3458">
          <cell r="A3458" t="str">
            <v>M2</v>
          </cell>
          <cell r="B3458" t="str">
            <v>A5C</v>
          </cell>
          <cell r="C3458" t="str">
            <v>P</v>
          </cell>
          <cell r="D3458" t="str">
            <v>23110</v>
          </cell>
          <cell r="E3458" t="str">
            <v>SOL</v>
          </cell>
          <cell r="F3458">
            <v>2</v>
          </cell>
          <cell r="G3458" t="str">
            <v>CB390200000401</v>
          </cell>
          <cell r="H3458">
            <v>4</v>
          </cell>
          <cell r="I3458">
            <v>1</v>
          </cell>
          <cell r="J3458">
            <v>1</v>
          </cell>
          <cell r="K3458">
            <v>2</v>
          </cell>
        </row>
        <row r="3459">
          <cell r="A3459" t="str">
            <v>M2</v>
          </cell>
          <cell r="B3459" t="str">
            <v>A5C</v>
          </cell>
          <cell r="C3459" t="str">
            <v>P</v>
          </cell>
          <cell r="D3459" t="str">
            <v>23110</v>
          </cell>
          <cell r="E3459" t="str">
            <v>SOL</v>
          </cell>
          <cell r="F3459">
            <v>2</v>
          </cell>
          <cell r="G3459" t="str">
            <v>CB39020000040T</v>
          </cell>
          <cell r="H3459">
            <v>4</v>
          </cell>
          <cell r="I3459">
            <v>0.75</v>
          </cell>
          <cell r="J3459">
            <v>2</v>
          </cell>
          <cell r="K3459">
            <v>3</v>
          </cell>
        </row>
        <row r="3460">
          <cell r="A3460" t="str">
            <v>M2</v>
          </cell>
          <cell r="B3460" t="str">
            <v>A5C</v>
          </cell>
          <cell r="C3460" t="str">
            <v>P</v>
          </cell>
          <cell r="D3460" t="str">
            <v>23114</v>
          </cell>
          <cell r="E3460" t="str">
            <v>SOL</v>
          </cell>
          <cell r="F3460">
            <v>2</v>
          </cell>
          <cell r="G3460" t="str">
            <v>CB390200000401</v>
          </cell>
          <cell r="H3460">
            <v>4</v>
          </cell>
          <cell r="I3460">
            <v>1</v>
          </cell>
          <cell r="J3460">
            <v>1</v>
          </cell>
          <cell r="K3460">
            <v>2</v>
          </cell>
        </row>
        <row r="3461">
          <cell r="A3461" t="str">
            <v>M2</v>
          </cell>
          <cell r="B3461" t="str">
            <v>A5C</v>
          </cell>
          <cell r="C3461" t="str">
            <v>P</v>
          </cell>
          <cell r="D3461" t="str">
            <v>23114</v>
          </cell>
          <cell r="E3461" t="str">
            <v>SOL</v>
          </cell>
          <cell r="F3461">
            <v>2</v>
          </cell>
          <cell r="G3461" t="str">
            <v>CB39020000040T</v>
          </cell>
          <cell r="H3461">
            <v>4</v>
          </cell>
          <cell r="I3461">
            <v>0.75</v>
          </cell>
          <cell r="J3461">
            <v>2</v>
          </cell>
          <cell r="K3461">
            <v>3</v>
          </cell>
        </row>
        <row r="3462">
          <cell r="A3462" t="str">
            <v>M2</v>
          </cell>
          <cell r="B3462" t="str">
            <v>A5C</v>
          </cell>
          <cell r="C3462" t="str">
            <v>P</v>
          </cell>
          <cell r="D3462" t="str">
            <v>23121</v>
          </cell>
          <cell r="E3462" t="str">
            <v>SOL</v>
          </cell>
          <cell r="F3462">
            <v>2</v>
          </cell>
          <cell r="G3462" t="str">
            <v>CB39020000040T</v>
          </cell>
          <cell r="H3462">
            <v>4</v>
          </cell>
          <cell r="I3462">
            <v>0.75</v>
          </cell>
          <cell r="J3462">
            <v>2</v>
          </cell>
          <cell r="K3462">
            <v>3</v>
          </cell>
        </row>
        <row r="3463">
          <cell r="A3463" t="str">
            <v>M2</v>
          </cell>
          <cell r="B3463" t="str">
            <v>A5C</v>
          </cell>
          <cell r="C3463" t="str">
            <v>P</v>
          </cell>
          <cell r="D3463" t="str">
            <v>23122</v>
          </cell>
          <cell r="E3463" t="str">
            <v>SOL</v>
          </cell>
          <cell r="F3463">
            <v>2</v>
          </cell>
          <cell r="G3463" t="str">
            <v>CB390200000401</v>
          </cell>
          <cell r="H3463">
            <v>4</v>
          </cell>
          <cell r="I3463">
            <v>1</v>
          </cell>
          <cell r="J3463">
            <v>1</v>
          </cell>
          <cell r="K3463">
            <v>2</v>
          </cell>
        </row>
        <row r="3464">
          <cell r="A3464" t="str">
            <v>M2</v>
          </cell>
          <cell r="B3464" t="str">
            <v>A5C</v>
          </cell>
          <cell r="C3464" t="str">
            <v>P</v>
          </cell>
          <cell r="D3464" t="str">
            <v>23134</v>
          </cell>
          <cell r="E3464" t="str">
            <v>SOL</v>
          </cell>
          <cell r="F3464">
            <v>2</v>
          </cell>
          <cell r="G3464" t="str">
            <v>CB390200000401</v>
          </cell>
          <cell r="H3464">
            <v>4</v>
          </cell>
          <cell r="I3464">
            <v>1</v>
          </cell>
          <cell r="J3464">
            <v>1</v>
          </cell>
          <cell r="K3464">
            <v>2</v>
          </cell>
        </row>
        <row r="3465">
          <cell r="A3465" t="str">
            <v>M2</v>
          </cell>
          <cell r="B3465" t="str">
            <v>A5C</v>
          </cell>
          <cell r="C3465" t="str">
            <v>P</v>
          </cell>
          <cell r="D3465" t="str">
            <v>23146</v>
          </cell>
          <cell r="E3465" t="str">
            <v>SOL</v>
          </cell>
          <cell r="F3465">
            <v>2</v>
          </cell>
          <cell r="G3465" t="str">
            <v>CB39020000040T</v>
          </cell>
          <cell r="H3465">
            <v>4</v>
          </cell>
          <cell r="I3465">
            <v>0.75</v>
          </cell>
          <cell r="J3465">
            <v>2</v>
          </cell>
          <cell r="K3465">
            <v>3</v>
          </cell>
        </row>
        <row r="3466">
          <cell r="A3466" t="str">
            <v>M2</v>
          </cell>
          <cell r="B3466" t="str">
            <v>A5C</v>
          </cell>
          <cell r="C3466" t="str">
            <v>P</v>
          </cell>
          <cell r="D3466" t="str">
            <v>23174</v>
          </cell>
          <cell r="E3466" t="str">
            <v>SOL</v>
          </cell>
          <cell r="F3466">
            <v>2</v>
          </cell>
          <cell r="G3466" t="str">
            <v>CB39020000040T</v>
          </cell>
          <cell r="H3466">
            <v>4</v>
          </cell>
          <cell r="I3466">
            <v>0.75</v>
          </cell>
          <cell r="J3466">
            <v>4</v>
          </cell>
          <cell r="K3466">
            <v>5</v>
          </cell>
        </row>
        <row r="3467">
          <cell r="A3467" t="str">
            <v>M2</v>
          </cell>
          <cell r="B3467" t="str">
            <v>A5C</v>
          </cell>
          <cell r="C3467" t="str">
            <v>P</v>
          </cell>
          <cell r="D3467" t="str">
            <v>23228</v>
          </cell>
          <cell r="E3467" t="str">
            <v>SOL</v>
          </cell>
          <cell r="F3467">
            <v>2</v>
          </cell>
          <cell r="G3467" t="str">
            <v>CB3902000004IH</v>
          </cell>
          <cell r="H3467">
            <v>4</v>
          </cell>
          <cell r="I3467">
            <v>1.5</v>
          </cell>
          <cell r="J3467">
            <v>1</v>
          </cell>
          <cell r="K3467">
            <v>2</v>
          </cell>
        </row>
        <row r="3468">
          <cell r="A3468" t="str">
            <v>M2</v>
          </cell>
          <cell r="B3468" t="str">
            <v>A5C</v>
          </cell>
          <cell r="C3468" t="str">
            <v>P</v>
          </cell>
          <cell r="D3468" t="str">
            <v>23250</v>
          </cell>
          <cell r="E3468" t="str">
            <v>SOL</v>
          </cell>
          <cell r="F3468">
            <v>2</v>
          </cell>
          <cell r="G3468" t="str">
            <v>CB3902000004IH</v>
          </cell>
          <cell r="H3468">
            <v>4</v>
          </cell>
          <cell r="I3468">
            <v>1.5</v>
          </cell>
          <cell r="J3468">
            <v>1</v>
          </cell>
          <cell r="K3468">
            <v>2</v>
          </cell>
        </row>
        <row r="3469">
          <cell r="A3469" t="str">
            <v>M2</v>
          </cell>
          <cell r="B3469" t="str">
            <v>A5C</v>
          </cell>
          <cell r="C3469" t="str">
            <v>P</v>
          </cell>
          <cell r="D3469" t="str">
            <v>23072</v>
          </cell>
          <cell r="E3469" t="str">
            <v>SOL</v>
          </cell>
          <cell r="F3469">
            <v>2</v>
          </cell>
          <cell r="G3469" t="str">
            <v>CB39020000040T</v>
          </cell>
          <cell r="H3469">
            <v>4</v>
          </cell>
          <cell r="I3469">
            <v>0.75</v>
          </cell>
          <cell r="J3469">
            <v>2</v>
          </cell>
          <cell r="K3469">
            <v>3</v>
          </cell>
        </row>
        <row r="3470">
          <cell r="A3470" t="str">
            <v>M2</v>
          </cell>
          <cell r="B3470" t="str">
            <v>A5C</v>
          </cell>
          <cell r="C3470" t="str">
            <v>P</v>
          </cell>
          <cell r="D3470" t="str">
            <v>23072</v>
          </cell>
          <cell r="E3470" t="str">
            <v>SOL</v>
          </cell>
          <cell r="F3470">
            <v>2</v>
          </cell>
          <cell r="G3470" t="str">
            <v>CB3902000004IH</v>
          </cell>
          <cell r="H3470">
            <v>4</v>
          </cell>
          <cell r="I3470">
            <v>1.5</v>
          </cell>
          <cell r="J3470">
            <v>1</v>
          </cell>
          <cell r="K3470">
            <v>2</v>
          </cell>
        </row>
        <row r="3471">
          <cell r="A3471" t="str">
            <v>M2</v>
          </cell>
          <cell r="B3471" t="str">
            <v>A5C</v>
          </cell>
          <cell r="C3471" t="str">
            <v>P</v>
          </cell>
          <cell r="D3471" t="str">
            <v>23095</v>
          </cell>
          <cell r="E3471" t="str">
            <v>SOL</v>
          </cell>
          <cell r="F3471">
            <v>2</v>
          </cell>
          <cell r="G3471" t="str">
            <v>CB39020000040T</v>
          </cell>
          <cell r="H3471">
            <v>4</v>
          </cell>
          <cell r="I3471">
            <v>0.75</v>
          </cell>
          <cell r="J3471">
            <v>2</v>
          </cell>
          <cell r="K3471">
            <v>3</v>
          </cell>
        </row>
        <row r="3472">
          <cell r="A3472" t="str">
            <v>M2</v>
          </cell>
          <cell r="B3472" t="str">
            <v>A5C</v>
          </cell>
          <cell r="C3472" t="str">
            <v>P</v>
          </cell>
          <cell r="D3472" t="str">
            <v>23123</v>
          </cell>
          <cell r="E3472" t="str">
            <v>SOL</v>
          </cell>
          <cell r="F3472">
            <v>2</v>
          </cell>
          <cell r="G3472" t="str">
            <v>CB39020000040T</v>
          </cell>
          <cell r="H3472">
            <v>4</v>
          </cell>
          <cell r="I3472">
            <v>0.75</v>
          </cell>
          <cell r="J3472">
            <v>2</v>
          </cell>
          <cell r="K3472">
            <v>3</v>
          </cell>
        </row>
        <row r="3473">
          <cell r="A3473" t="str">
            <v>M2</v>
          </cell>
          <cell r="B3473" t="str">
            <v>A5C</v>
          </cell>
          <cell r="C3473" t="str">
            <v>P</v>
          </cell>
          <cell r="D3473" t="str">
            <v>23127</v>
          </cell>
          <cell r="E3473" t="str">
            <v>SOL</v>
          </cell>
          <cell r="F3473">
            <v>2</v>
          </cell>
          <cell r="G3473" t="str">
            <v>CB39020000040T</v>
          </cell>
          <cell r="H3473">
            <v>4</v>
          </cell>
          <cell r="I3473">
            <v>0.75</v>
          </cell>
          <cell r="J3473">
            <v>2</v>
          </cell>
          <cell r="K3473">
            <v>3</v>
          </cell>
        </row>
        <row r="3474">
          <cell r="A3474" t="str">
            <v>M2</v>
          </cell>
          <cell r="B3474" t="str">
            <v>A5C</v>
          </cell>
          <cell r="C3474" t="str">
            <v>P</v>
          </cell>
          <cell r="D3474" t="str">
            <v>23134</v>
          </cell>
          <cell r="E3474" t="str">
            <v>SOL</v>
          </cell>
          <cell r="F3474">
            <v>2</v>
          </cell>
          <cell r="G3474" t="str">
            <v>CB39020000040T</v>
          </cell>
          <cell r="H3474">
            <v>4</v>
          </cell>
          <cell r="I3474">
            <v>0.75</v>
          </cell>
          <cell r="J3474">
            <v>2</v>
          </cell>
          <cell r="K3474">
            <v>3</v>
          </cell>
        </row>
        <row r="3475">
          <cell r="A3475" t="str">
            <v>M2</v>
          </cell>
          <cell r="B3475" t="str">
            <v>A5C</v>
          </cell>
          <cell r="C3475" t="str">
            <v>P</v>
          </cell>
          <cell r="D3475" t="str">
            <v>23146</v>
          </cell>
          <cell r="E3475" t="str">
            <v>SOL</v>
          </cell>
          <cell r="F3475">
            <v>2</v>
          </cell>
          <cell r="G3475" t="str">
            <v>CB390200000401</v>
          </cell>
          <cell r="H3475">
            <v>4</v>
          </cell>
          <cell r="I3475">
            <v>1</v>
          </cell>
          <cell r="J3475">
            <v>1</v>
          </cell>
          <cell r="K3475">
            <v>2</v>
          </cell>
        </row>
        <row r="3476">
          <cell r="A3476" t="str">
            <v>M2</v>
          </cell>
          <cell r="B3476" t="str">
            <v>A5C</v>
          </cell>
          <cell r="C3476" t="str">
            <v>P</v>
          </cell>
          <cell r="D3476" t="str">
            <v>23012</v>
          </cell>
          <cell r="E3476" t="str">
            <v>TEE</v>
          </cell>
          <cell r="F3476">
            <v>2</v>
          </cell>
          <cell r="G3476" t="str">
            <v>CB300304000400</v>
          </cell>
          <cell r="H3476">
            <v>4</v>
          </cell>
          <cell r="I3476" t="str">
            <v>--</v>
          </cell>
          <cell r="J3476">
            <v>1</v>
          </cell>
          <cell r="K3476">
            <v>2</v>
          </cell>
        </row>
        <row r="3477">
          <cell r="A3477" t="str">
            <v>M2</v>
          </cell>
          <cell r="B3477" t="str">
            <v>A5C</v>
          </cell>
          <cell r="C3477" t="str">
            <v>P</v>
          </cell>
          <cell r="D3477" t="str">
            <v>23058</v>
          </cell>
          <cell r="E3477" t="str">
            <v>TEE</v>
          </cell>
          <cell r="F3477">
            <v>2</v>
          </cell>
          <cell r="G3477" t="str">
            <v>CB300304000400</v>
          </cell>
          <cell r="H3477">
            <v>4</v>
          </cell>
          <cell r="I3477" t="str">
            <v>--</v>
          </cell>
          <cell r="J3477">
            <v>1</v>
          </cell>
          <cell r="K3477">
            <v>2</v>
          </cell>
        </row>
        <row r="3478">
          <cell r="A3478" t="str">
            <v>M2</v>
          </cell>
          <cell r="B3478" t="str">
            <v>A5C</v>
          </cell>
          <cell r="C3478" t="str">
            <v>P</v>
          </cell>
          <cell r="D3478" t="str">
            <v>23068</v>
          </cell>
          <cell r="E3478" t="str">
            <v>TEE</v>
          </cell>
          <cell r="F3478">
            <v>2</v>
          </cell>
          <cell r="G3478" t="str">
            <v>CB300304000400</v>
          </cell>
          <cell r="H3478">
            <v>4</v>
          </cell>
          <cell r="I3478" t="str">
            <v>--</v>
          </cell>
          <cell r="J3478">
            <v>1</v>
          </cell>
          <cell r="K3478">
            <v>2</v>
          </cell>
        </row>
        <row r="3479">
          <cell r="A3479" t="str">
            <v>M2</v>
          </cell>
          <cell r="B3479" t="str">
            <v>A5C</v>
          </cell>
          <cell r="C3479" t="str">
            <v>P</v>
          </cell>
          <cell r="D3479" t="str">
            <v>23095</v>
          </cell>
          <cell r="E3479" t="str">
            <v>TEE</v>
          </cell>
          <cell r="F3479">
            <v>2</v>
          </cell>
          <cell r="G3479" t="str">
            <v>CB300304000400</v>
          </cell>
          <cell r="H3479">
            <v>4</v>
          </cell>
          <cell r="I3479" t="str">
            <v>--</v>
          </cell>
          <cell r="J3479">
            <v>1</v>
          </cell>
          <cell r="K3479">
            <v>2</v>
          </cell>
        </row>
        <row r="3480">
          <cell r="A3480" t="str">
            <v>M2</v>
          </cell>
          <cell r="B3480" t="str">
            <v>A5C</v>
          </cell>
          <cell r="C3480" t="str">
            <v>P</v>
          </cell>
          <cell r="D3480" t="str">
            <v>23100</v>
          </cell>
          <cell r="E3480" t="str">
            <v>TEE</v>
          </cell>
          <cell r="F3480">
            <v>2</v>
          </cell>
          <cell r="G3480" t="str">
            <v>CB300304000400</v>
          </cell>
          <cell r="H3480">
            <v>4</v>
          </cell>
          <cell r="I3480" t="str">
            <v>--</v>
          </cell>
          <cell r="J3480">
            <v>3</v>
          </cell>
          <cell r="K3480">
            <v>4</v>
          </cell>
        </row>
        <row r="3481">
          <cell r="A3481" t="str">
            <v>M2</v>
          </cell>
          <cell r="B3481" t="str">
            <v>A5C</v>
          </cell>
          <cell r="C3481" t="str">
            <v>P</v>
          </cell>
          <cell r="D3481" t="str">
            <v>23110</v>
          </cell>
          <cell r="E3481" t="str">
            <v>TEE</v>
          </cell>
          <cell r="F3481">
            <v>2</v>
          </cell>
          <cell r="G3481" t="str">
            <v>CB300304000400</v>
          </cell>
          <cell r="H3481">
            <v>4</v>
          </cell>
          <cell r="I3481" t="str">
            <v>--</v>
          </cell>
          <cell r="J3481">
            <v>1</v>
          </cell>
          <cell r="K3481">
            <v>2</v>
          </cell>
        </row>
        <row r="3482">
          <cell r="A3482" t="str">
            <v>M2</v>
          </cell>
          <cell r="B3482" t="str">
            <v>A5C</v>
          </cell>
          <cell r="C3482" t="str">
            <v>P</v>
          </cell>
          <cell r="D3482" t="str">
            <v>23114</v>
          </cell>
          <cell r="E3482" t="str">
            <v>TEE</v>
          </cell>
          <cell r="F3482">
            <v>2</v>
          </cell>
          <cell r="G3482" t="str">
            <v>CB300304000400</v>
          </cell>
          <cell r="H3482">
            <v>4</v>
          </cell>
          <cell r="I3482" t="str">
            <v>--</v>
          </cell>
          <cell r="J3482">
            <v>1</v>
          </cell>
          <cell r="K3482">
            <v>2</v>
          </cell>
        </row>
        <row r="3483">
          <cell r="A3483" t="str">
            <v>M2</v>
          </cell>
          <cell r="B3483" t="str">
            <v>A5C</v>
          </cell>
          <cell r="C3483" t="str">
            <v>P</v>
          </cell>
          <cell r="D3483" t="str">
            <v>23121</v>
          </cell>
          <cell r="E3483" t="str">
            <v>TEE</v>
          </cell>
          <cell r="F3483">
            <v>2</v>
          </cell>
          <cell r="G3483" t="str">
            <v>CB300304000400</v>
          </cell>
          <cell r="H3483">
            <v>4</v>
          </cell>
          <cell r="I3483" t="str">
            <v>--</v>
          </cell>
          <cell r="J3483">
            <v>1</v>
          </cell>
          <cell r="K3483">
            <v>2</v>
          </cell>
        </row>
        <row r="3484">
          <cell r="A3484" t="str">
            <v>M2</v>
          </cell>
          <cell r="B3484" t="str">
            <v>A5C</v>
          </cell>
          <cell r="C3484" t="str">
            <v>P</v>
          </cell>
          <cell r="D3484" t="str">
            <v>23146</v>
          </cell>
          <cell r="E3484" t="str">
            <v>TEE</v>
          </cell>
          <cell r="F3484">
            <v>2</v>
          </cell>
          <cell r="G3484" t="str">
            <v>CB300304000400</v>
          </cell>
          <cell r="H3484">
            <v>4</v>
          </cell>
          <cell r="I3484" t="str">
            <v>--</v>
          </cell>
          <cell r="J3484">
            <v>1</v>
          </cell>
          <cell r="K3484">
            <v>2</v>
          </cell>
        </row>
        <row r="3485">
          <cell r="A3485" t="str">
            <v>M2</v>
          </cell>
          <cell r="B3485" t="str">
            <v>A5C</v>
          </cell>
          <cell r="C3485" t="str">
            <v>P</v>
          </cell>
          <cell r="D3485" t="str">
            <v>23123</v>
          </cell>
          <cell r="E3485" t="str">
            <v>TEE</v>
          </cell>
          <cell r="F3485">
            <v>2</v>
          </cell>
          <cell r="G3485" t="str">
            <v>CB300304000400</v>
          </cell>
          <cell r="H3485">
            <v>4</v>
          </cell>
          <cell r="I3485" t="str">
            <v>--</v>
          </cell>
          <cell r="J3485">
            <v>1</v>
          </cell>
          <cell r="K3485">
            <v>2</v>
          </cell>
        </row>
        <row r="3486">
          <cell r="A3486" t="str">
            <v>M2</v>
          </cell>
          <cell r="B3486" t="str">
            <v>A5C</v>
          </cell>
          <cell r="C3486" t="str">
            <v>P</v>
          </cell>
          <cell r="D3486" t="str">
            <v>23127</v>
          </cell>
          <cell r="E3486" t="str">
            <v>TEE</v>
          </cell>
          <cell r="F3486">
            <v>2</v>
          </cell>
          <cell r="G3486" t="str">
            <v>CB300304000400</v>
          </cell>
          <cell r="H3486">
            <v>4</v>
          </cell>
          <cell r="I3486" t="str">
            <v>--</v>
          </cell>
          <cell r="J3486">
            <v>1</v>
          </cell>
          <cell r="K3486">
            <v>2</v>
          </cell>
        </row>
        <row r="3487">
          <cell r="A3487" t="str">
            <v>M2</v>
          </cell>
          <cell r="B3487" t="str">
            <v>A5C</v>
          </cell>
          <cell r="C3487" t="str">
            <v>P</v>
          </cell>
          <cell r="D3487" t="str">
            <v>23134</v>
          </cell>
          <cell r="E3487" t="str">
            <v>TEE</v>
          </cell>
          <cell r="F3487">
            <v>2</v>
          </cell>
          <cell r="G3487" t="str">
            <v>CB300304000400</v>
          </cell>
          <cell r="H3487">
            <v>4</v>
          </cell>
          <cell r="I3487" t="str">
            <v>--</v>
          </cell>
          <cell r="J3487">
            <v>1</v>
          </cell>
          <cell r="K3487">
            <v>2</v>
          </cell>
        </row>
        <row r="3488">
          <cell r="A3488" t="str">
            <v>M2</v>
          </cell>
          <cell r="B3488" t="str">
            <v>A5C</v>
          </cell>
          <cell r="C3488" t="str">
            <v>P</v>
          </cell>
          <cell r="D3488" t="str">
            <v>HOLD2</v>
          </cell>
          <cell r="E3488" t="str">
            <v>TOL</v>
          </cell>
          <cell r="F3488">
            <v>2</v>
          </cell>
          <cell r="G3488" t="str">
            <v>CB39030000040T</v>
          </cell>
          <cell r="H3488">
            <v>4</v>
          </cell>
          <cell r="I3488">
            <v>0.75</v>
          </cell>
          <cell r="J3488">
            <v>5</v>
          </cell>
          <cell r="K3488">
            <v>6</v>
          </cell>
        </row>
        <row r="3489">
          <cell r="A3489" t="str">
            <v>M2</v>
          </cell>
          <cell r="B3489" t="str">
            <v>A5C</v>
          </cell>
          <cell r="C3489" t="str">
            <v>P</v>
          </cell>
          <cell r="D3489" t="str">
            <v>23267</v>
          </cell>
          <cell r="E3489" t="str">
            <v>90 ELL</v>
          </cell>
          <cell r="F3489">
            <v>2</v>
          </cell>
          <cell r="G3489" t="str">
            <v>CB300104000400</v>
          </cell>
          <cell r="H3489">
            <v>4</v>
          </cell>
          <cell r="I3489" t="str">
            <v>--</v>
          </cell>
          <cell r="J3489">
            <v>4</v>
          </cell>
          <cell r="K3489">
            <v>5</v>
          </cell>
        </row>
        <row r="3490">
          <cell r="A3490" t="str">
            <v>M2</v>
          </cell>
          <cell r="B3490" t="str">
            <v>A5C</v>
          </cell>
          <cell r="C3490" t="str">
            <v>P</v>
          </cell>
          <cell r="D3490" t="str">
            <v>23024</v>
          </cell>
          <cell r="E3490" t="str">
            <v>90 ELL</v>
          </cell>
          <cell r="F3490">
            <v>2</v>
          </cell>
          <cell r="G3490" t="str">
            <v>CB300104000400</v>
          </cell>
          <cell r="H3490">
            <v>4</v>
          </cell>
          <cell r="I3490" t="str">
            <v>--</v>
          </cell>
          <cell r="J3490">
            <v>8</v>
          </cell>
          <cell r="K3490">
            <v>10</v>
          </cell>
        </row>
        <row r="3491">
          <cell r="A3491" t="str">
            <v>M2</v>
          </cell>
          <cell r="B3491" t="str">
            <v>A5C</v>
          </cell>
          <cell r="C3491" t="str">
            <v>P</v>
          </cell>
          <cell r="D3491" t="str">
            <v>23029</v>
          </cell>
          <cell r="E3491" t="str">
            <v>90 ELL</v>
          </cell>
          <cell r="F3491">
            <v>2</v>
          </cell>
          <cell r="G3491" t="str">
            <v>CB300104000400</v>
          </cell>
          <cell r="H3491">
            <v>4</v>
          </cell>
          <cell r="I3491" t="str">
            <v>--</v>
          </cell>
          <cell r="J3491">
            <v>7</v>
          </cell>
          <cell r="K3491">
            <v>9</v>
          </cell>
        </row>
        <row r="3492">
          <cell r="A3492" t="str">
            <v>M2</v>
          </cell>
          <cell r="B3492" t="str">
            <v>A5C</v>
          </cell>
          <cell r="C3492" t="str">
            <v>P</v>
          </cell>
          <cell r="D3492" t="str">
            <v>23045</v>
          </cell>
          <cell r="E3492" t="str">
            <v>90 ELL</v>
          </cell>
          <cell r="F3492">
            <v>2</v>
          </cell>
          <cell r="G3492" t="str">
            <v>CB300104000400</v>
          </cell>
          <cell r="H3492">
            <v>4</v>
          </cell>
          <cell r="I3492" t="str">
            <v>--</v>
          </cell>
          <cell r="J3492">
            <v>1</v>
          </cell>
          <cell r="K3492">
            <v>2</v>
          </cell>
        </row>
        <row r="3493">
          <cell r="A3493" t="str">
            <v>M2</v>
          </cell>
          <cell r="B3493" t="str">
            <v>A5C</v>
          </cell>
          <cell r="C3493" t="str">
            <v>P</v>
          </cell>
          <cell r="D3493" t="str">
            <v>23062</v>
          </cell>
          <cell r="E3493" t="str">
            <v>90 ELL</v>
          </cell>
          <cell r="F3493">
            <v>2</v>
          </cell>
          <cell r="G3493" t="str">
            <v>CB300104000400</v>
          </cell>
          <cell r="H3493">
            <v>4</v>
          </cell>
          <cell r="I3493" t="str">
            <v>--</v>
          </cell>
          <cell r="J3493">
            <v>8</v>
          </cell>
          <cell r="K3493">
            <v>10</v>
          </cell>
        </row>
        <row r="3494">
          <cell r="A3494" t="str">
            <v>M2</v>
          </cell>
          <cell r="B3494" t="str">
            <v>A5C</v>
          </cell>
          <cell r="C3494" t="str">
            <v>P</v>
          </cell>
          <cell r="D3494" t="str">
            <v>23024</v>
          </cell>
          <cell r="E3494" t="str">
            <v>90 ELL</v>
          </cell>
          <cell r="F3494">
            <v>2</v>
          </cell>
          <cell r="G3494" t="str">
            <v>CB300104000400</v>
          </cell>
          <cell r="H3494">
            <v>4</v>
          </cell>
          <cell r="I3494" t="str">
            <v>--</v>
          </cell>
          <cell r="J3494">
            <v>11</v>
          </cell>
          <cell r="K3494">
            <v>13</v>
          </cell>
        </row>
        <row r="3495">
          <cell r="A3495" t="str">
            <v>M2</v>
          </cell>
          <cell r="B3495" t="str">
            <v>A5C</v>
          </cell>
          <cell r="C3495" t="str">
            <v>P</v>
          </cell>
          <cell r="D3495" t="str">
            <v>23029</v>
          </cell>
          <cell r="E3495" t="str">
            <v>90 ELL</v>
          </cell>
          <cell r="F3495">
            <v>2</v>
          </cell>
          <cell r="G3495" t="str">
            <v>CB300104000400</v>
          </cell>
          <cell r="H3495">
            <v>4</v>
          </cell>
          <cell r="I3495" t="str">
            <v>--</v>
          </cell>
          <cell r="J3495">
            <v>9</v>
          </cell>
          <cell r="K3495">
            <v>11</v>
          </cell>
        </row>
        <row r="3496">
          <cell r="A3496" t="str">
            <v>M2</v>
          </cell>
          <cell r="B3496" t="str">
            <v>A5C</v>
          </cell>
          <cell r="C3496" t="str">
            <v>P</v>
          </cell>
          <cell r="D3496" t="str">
            <v>23016</v>
          </cell>
          <cell r="E3496" t="str">
            <v>C RED</v>
          </cell>
          <cell r="F3496">
            <v>2</v>
          </cell>
          <cell r="G3496" t="str">
            <v>CB300504040403</v>
          </cell>
          <cell r="H3496">
            <v>4</v>
          </cell>
          <cell r="I3496">
            <v>3</v>
          </cell>
          <cell r="J3496">
            <v>2</v>
          </cell>
          <cell r="K3496">
            <v>3</v>
          </cell>
        </row>
        <row r="3497">
          <cell r="A3497" t="str">
            <v>M2</v>
          </cell>
          <cell r="B3497" t="str">
            <v>A5C</v>
          </cell>
          <cell r="C3497" t="str">
            <v>P</v>
          </cell>
          <cell r="D3497" t="str">
            <v>23024</v>
          </cell>
          <cell r="E3497" t="str">
            <v>C RED</v>
          </cell>
          <cell r="F3497">
            <v>2</v>
          </cell>
          <cell r="G3497" t="str">
            <v>CB300504040403</v>
          </cell>
          <cell r="H3497">
            <v>4</v>
          </cell>
          <cell r="I3497">
            <v>3</v>
          </cell>
          <cell r="J3497">
            <v>2</v>
          </cell>
          <cell r="K3497">
            <v>3</v>
          </cell>
        </row>
        <row r="3498">
          <cell r="A3498" t="str">
            <v>M2</v>
          </cell>
          <cell r="B3498" t="str">
            <v>A5C</v>
          </cell>
          <cell r="C3498" t="str">
            <v>P</v>
          </cell>
          <cell r="D3498" t="str">
            <v>23029</v>
          </cell>
          <cell r="E3498" t="str">
            <v>C RED</v>
          </cell>
          <cell r="F3498">
            <v>2</v>
          </cell>
          <cell r="G3498" t="str">
            <v>CB300504040403</v>
          </cell>
          <cell r="H3498">
            <v>4</v>
          </cell>
          <cell r="I3498">
            <v>3</v>
          </cell>
          <cell r="J3498">
            <v>2</v>
          </cell>
          <cell r="K3498">
            <v>3</v>
          </cell>
        </row>
        <row r="3499">
          <cell r="A3499" t="str">
            <v>M2</v>
          </cell>
          <cell r="B3499" t="str">
            <v>A5C</v>
          </cell>
          <cell r="C3499" t="str">
            <v>P</v>
          </cell>
          <cell r="D3499" t="str">
            <v>23029</v>
          </cell>
          <cell r="E3499" t="str">
            <v>C RED</v>
          </cell>
          <cell r="F3499">
            <v>2</v>
          </cell>
          <cell r="G3499" t="str">
            <v>CB300504040403</v>
          </cell>
          <cell r="H3499">
            <v>4</v>
          </cell>
          <cell r="I3499">
            <v>3</v>
          </cell>
          <cell r="J3499">
            <v>1</v>
          </cell>
          <cell r="K3499">
            <v>2</v>
          </cell>
        </row>
        <row r="3500">
          <cell r="A3500" t="str">
            <v>M2</v>
          </cell>
          <cell r="B3500" t="str">
            <v>A5C</v>
          </cell>
          <cell r="C3500" t="str">
            <v>P</v>
          </cell>
          <cell r="D3500" t="str">
            <v>23050</v>
          </cell>
          <cell r="E3500" t="str">
            <v>C RED</v>
          </cell>
          <cell r="F3500">
            <v>2</v>
          </cell>
          <cell r="G3500" t="str">
            <v>CB300504040403</v>
          </cell>
          <cell r="H3500">
            <v>4</v>
          </cell>
          <cell r="I3500">
            <v>3</v>
          </cell>
          <cell r="J3500">
            <v>2</v>
          </cell>
          <cell r="K3500">
            <v>3</v>
          </cell>
        </row>
        <row r="3501">
          <cell r="A3501" t="str">
            <v>M2</v>
          </cell>
          <cell r="B3501" t="str">
            <v>A5C</v>
          </cell>
          <cell r="C3501" t="str">
            <v>P</v>
          </cell>
          <cell r="D3501" t="str">
            <v>23061</v>
          </cell>
          <cell r="E3501" t="str">
            <v>C RED</v>
          </cell>
          <cell r="F3501">
            <v>2</v>
          </cell>
          <cell r="G3501" t="str">
            <v>CB300504040403</v>
          </cell>
          <cell r="H3501">
            <v>4</v>
          </cell>
          <cell r="I3501">
            <v>3</v>
          </cell>
          <cell r="J3501">
            <v>2</v>
          </cell>
          <cell r="K3501">
            <v>3</v>
          </cell>
        </row>
        <row r="3502">
          <cell r="A3502" t="str">
            <v>M2</v>
          </cell>
          <cell r="B3502" t="str">
            <v>A5C</v>
          </cell>
          <cell r="C3502" t="str">
            <v>P</v>
          </cell>
          <cell r="D3502" t="str">
            <v>24016</v>
          </cell>
          <cell r="E3502" t="str">
            <v>C RED</v>
          </cell>
          <cell r="F3502">
            <v>2</v>
          </cell>
          <cell r="G3502" t="str">
            <v>CB300504080402</v>
          </cell>
          <cell r="H3502">
            <v>4</v>
          </cell>
          <cell r="I3502">
            <v>2</v>
          </cell>
          <cell r="J3502">
            <v>2</v>
          </cell>
          <cell r="K3502">
            <v>3</v>
          </cell>
        </row>
        <row r="3503">
          <cell r="A3503" t="str">
            <v>M2</v>
          </cell>
          <cell r="B3503" t="str">
            <v>A5C</v>
          </cell>
          <cell r="C3503" t="str">
            <v>P</v>
          </cell>
          <cell r="D3503" t="str">
            <v>23008</v>
          </cell>
          <cell r="E3503" t="str">
            <v>CAP</v>
          </cell>
          <cell r="F3503">
            <v>2</v>
          </cell>
          <cell r="G3503" t="str">
            <v>CB300704000400</v>
          </cell>
          <cell r="H3503">
            <v>4</v>
          </cell>
          <cell r="I3503" t="str">
            <v>--</v>
          </cell>
          <cell r="J3503">
            <v>2</v>
          </cell>
          <cell r="K3503">
            <v>3</v>
          </cell>
        </row>
        <row r="3504">
          <cell r="A3504" t="str">
            <v>M2</v>
          </cell>
          <cell r="B3504" t="str">
            <v>A5C</v>
          </cell>
          <cell r="C3504" t="str">
            <v>P</v>
          </cell>
          <cell r="D3504" t="str">
            <v>23173</v>
          </cell>
          <cell r="E3504" t="str">
            <v>CAP</v>
          </cell>
          <cell r="F3504">
            <v>2</v>
          </cell>
          <cell r="G3504" t="str">
            <v>CB300704000400</v>
          </cell>
          <cell r="H3504">
            <v>4</v>
          </cell>
          <cell r="I3504" t="str">
            <v>--</v>
          </cell>
          <cell r="J3504">
            <v>2</v>
          </cell>
          <cell r="K3504">
            <v>3</v>
          </cell>
        </row>
        <row r="3505">
          <cell r="A3505" t="str">
            <v>M2</v>
          </cell>
          <cell r="B3505" t="str">
            <v>A5C</v>
          </cell>
          <cell r="C3505" t="str">
            <v>P</v>
          </cell>
          <cell r="D3505" t="str">
            <v>23076</v>
          </cell>
          <cell r="E3505" t="str">
            <v>CAP</v>
          </cell>
          <cell r="F3505">
            <v>2</v>
          </cell>
          <cell r="G3505" t="str">
            <v>CB300704000400</v>
          </cell>
          <cell r="H3505">
            <v>4</v>
          </cell>
          <cell r="I3505" t="str">
            <v>--</v>
          </cell>
          <cell r="J3505">
            <v>2</v>
          </cell>
          <cell r="K3505">
            <v>3</v>
          </cell>
        </row>
        <row r="3506">
          <cell r="A3506" t="str">
            <v>M2</v>
          </cell>
          <cell r="B3506" t="str">
            <v>A5C</v>
          </cell>
          <cell r="C3506" t="str">
            <v>P</v>
          </cell>
          <cell r="D3506" t="str">
            <v>23170</v>
          </cell>
          <cell r="E3506" t="str">
            <v>CAP</v>
          </cell>
          <cell r="F3506">
            <v>2</v>
          </cell>
          <cell r="G3506" t="str">
            <v>CB300704000400</v>
          </cell>
          <cell r="H3506">
            <v>4</v>
          </cell>
          <cell r="I3506" t="str">
            <v>--</v>
          </cell>
          <cell r="J3506">
            <v>2</v>
          </cell>
          <cell r="K3506">
            <v>3</v>
          </cell>
        </row>
        <row r="3507">
          <cell r="A3507" t="str">
            <v>M2</v>
          </cell>
          <cell r="B3507" t="str">
            <v>A5C</v>
          </cell>
          <cell r="C3507" t="str">
            <v>P</v>
          </cell>
          <cell r="D3507" t="str">
            <v>23180</v>
          </cell>
          <cell r="E3507" t="str">
            <v>CAP</v>
          </cell>
          <cell r="F3507">
            <v>2</v>
          </cell>
          <cell r="G3507" t="str">
            <v>CB300704000400</v>
          </cell>
          <cell r="H3507">
            <v>4</v>
          </cell>
          <cell r="I3507" t="str">
            <v>--</v>
          </cell>
          <cell r="J3507">
            <v>2</v>
          </cell>
          <cell r="K3507">
            <v>3</v>
          </cell>
        </row>
        <row r="3508">
          <cell r="A3508" t="str">
            <v>M2</v>
          </cell>
          <cell r="B3508" t="str">
            <v>A5C</v>
          </cell>
          <cell r="C3508" t="str">
            <v>P</v>
          </cell>
          <cell r="D3508" t="str">
            <v>23191</v>
          </cell>
          <cell r="E3508" t="str">
            <v>CAP</v>
          </cell>
          <cell r="F3508">
            <v>2</v>
          </cell>
          <cell r="G3508" t="str">
            <v>CB300704000400</v>
          </cell>
          <cell r="H3508">
            <v>4</v>
          </cell>
          <cell r="I3508" t="str">
            <v>--</v>
          </cell>
          <cell r="J3508">
            <v>2</v>
          </cell>
          <cell r="K3508">
            <v>3</v>
          </cell>
        </row>
        <row r="3509">
          <cell r="A3509" t="str">
            <v>M2</v>
          </cell>
          <cell r="B3509" t="str">
            <v>A5C</v>
          </cell>
          <cell r="C3509" t="str">
            <v>P</v>
          </cell>
          <cell r="D3509" t="str">
            <v>23029</v>
          </cell>
          <cell r="E3509" t="str">
            <v>E RED</v>
          </cell>
          <cell r="F3509">
            <v>2</v>
          </cell>
          <cell r="G3509" t="str">
            <v>CB300604040403</v>
          </cell>
          <cell r="H3509">
            <v>4</v>
          </cell>
          <cell r="I3509">
            <v>3</v>
          </cell>
          <cell r="J3509">
            <v>2</v>
          </cell>
          <cell r="K3509">
            <v>3</v>
          </cell>
        </row>
        <row r="3510">
          <cell r="A3510" t="str">
            <v>M2</v>
          </cell>
          <cell r="B3510" t="str">
            <v>A5C</v>
          </cell>
          <cell r="C3510" t="str">
            <v>P</v>
          </cell>
          <cell r="D3510" t="str">
            <v>24018</v>
          </cell>
          <cell r="E3510" t="str">
            <v>E RED</v>
          </cell>
          <cell r="F3510">
            <v>2</v>
          </cell>
          <cell r="G3510" t="str">
            <v>CB300604080402</v>
          </cell>
          <cell r="H3510">
            <v>4</v>
          </cell>
          <cell r="I3510">
            <v>2</v>
          </cell>
          <cell r="J3510">
            <v>2</v>
          </cell>
          <cell r="K3510">
            <v>3</v>
          </cell>
        </row>
        <row r="3511">
          <cell r="A3511" t="str">
            <v>M2</v>
          </cell>
          <cell r="B3511" t="str">
            <v>A5C</v>
          </cell>
          <cell r="C3511" t="str">
            <v>P</v>
          </cell>
          <cell r="D3511" t="str">
            <v>23024</v>
          </cell>
          <cell r="E3511" t="str">
            <v>E RED</v>
          </cell>
          <cell r="F3511">
            <v>2</v>
          </cell>
          <cell r="G3511" t="str">
            <v>CB300604040403</v>
          </cell>
          <cell r="H3511">
            <v>4</v>
          </cell>
          <cell r="I3511">
            <v>3</v>
          </cell>
          <cell r="J3511">
            <v>2</v>
          </cell>
          <cell r="K3511">
            <v>3</v>
          </cell>
        </row>
        <row r="3512">
          <cell r="A3512" t="str">
            <v>M2</v>
          </cell>
          <cell r="B3512" t="str">
            <v>A5C</v>
          </cell>
          <cell r="C3512" t="str">
            <v>P</v>
          </cell>
          <cell r="D3512" t="str">
            <v>23062</v>
          </cell>
          <cell r="E3512" t="str">
            <v>E RED</v>
          </cell>
          <cell r="F3512">
            <v>2</v>
          </cell>
          <cell r="G3512" t="str">
            <v>CB300604040403</v>
          </cell>
          <cell r="H3512">
            <v>4</v>
          </cell>
          <cell r="I3512">
            <v>3</v>
          </cell>
          <cell r="J3512">
            <v>2</v>
          </cell>
          <cell r="K3512">
            <v>3</v>
          </cell>
        </row>
        <row r="3513">
          <cell r="A3513" t="str">
            <v>M2</v>
          </cell>
          <cell r="B3513" t="str">
            <v>A5C</v>
          </cell>
          <cell r="C3513" t="str">
            <v>P</v>
          </cell>
          <cell r="D3513" t="str">
            <v>23008</v>
          </cell>
          <cell r="E3513" t="str">
            <v>SOL</v>
          </cell>
          <cell r="F3513">
            <v>2</v>
          </cell>
          <cell r="G3513" t="str">
            <v>CB3902000004IH</v>
          </cell>
          <cell r="H3513">
            <v>4</v>
          </cell>
          <cell r="I3513">
            <v>1.5</v>
          </cell>
          <cell r="J3513">
            <v>2</v>
          </cell>
          <cell r="K3513">
            <v>3</v>
          </cell>
        </row>
        <row r="3514">
          <cell r="A3514" t="str">
            <v>M2</v>
          </cell>
          <cell r="B3514" t="str">
            <v>A5C</v>
          </cell>
          <cell r="C3514" t="str">
            <v>P</v>
          </cell>
          <cell r="D3514" t="str">
            <v>23024</v>
          </cell>
          <cell r="E3514" t="str">
            <v>SOL</v>
          </cell>
          <cell r="F3514">
            <v>2</v>
          </cell>
          <cell r="G3514" t="str">
            <v>CB39020000040T</v>
          </cell>
          <cell r="H3514">
            <v>4</v>
          </cell>
          <cell r="I3514">
            <v>0.75</v>
          </cell>
          <cell r="J3514">
            <v>4</v>
          </cell>
          <cell r="K3514">
            <v>5</v>
          </cell>
        </row>
        <row r="3515">
          <cell r="A3515" t="str">
            <v>M2</v>
          </cell>
          <cell r="B3515" t="str">
            <v>A5C</v>
          </cell>
          <cell r="C3515" t="str">
            <v>P</v>
          </cell>
          <cell r="D3515" t="str">
            <v>23024</v>
          </cell>
          <cell r="E3515" t="str">
            <v>SOL</v>
          </cell>
          <cell r="F3515">
            <v>2</v>
          </cell>
          <cell r="G3515" t="str">
            <v>CB39020000040T</v>
          </cell>
          <cell r="H3515">
            <v>4</v>
          </cell>
          <cell r="I3515">
            <v>0.75</v>
          </cell>
          <cell r="J3515">
            <v>1</v>
          </cell>
          <cell r="K3515">
            <v>2</v>
          </cell>
        </row>
        <row r="3516">
          <cell r="A3516" t="str">
            <v>M2</v>
          </cell>
          <cell r="B3516" t="str">
            <v>A5C</v>
          </cell>
          <cell r="C3516" t="str">
            <v>P</v>
          </cell>
          <cell r="D3516" t="str">
            <v>23029</v>
          </cell>
          <cell r="E3516" t="str">
            <v>SOL</v>
          </cell>
          <cell r="F3516">
            <v>2</v>
          </cell>
          <cell r="G3516" t="str">
            <v>CB39020000040T</v>
          </cell>
          <cell r="H3516">
            <v>4</v>
          </cell>
          <cell r="I3516">
            <v>0.75</v>
          </cell>
          <cell r="J3516">
            <v>5</v>
          </cell>
          <cell r="K3516">
            <v>6</v>
          </cell>
        </row>
        <row r="3517">
          <cell r="A3517" t="str">
            <v>M2</v>
          </cell>
          <cell r="B3517" t="str">
            <v>A5C</v>
          </cell>
          <cell r="C3517" t="str">
            <v>P</v>
          </cell>
          <cell r="D3517" t="str">
            <v>23045</v>
          </cell>
          <cell r="E3517" t="str">
            <v>SOL</v>
          </cell>
          <cell r="F3517">
            <v>2</v>
          </cell>
          <cell r="G3517" t="str">
            <v>CB3902000004IH</v>
          </cell>
          <cell r="H3517">
            <v>4</v>
          </cell>
          <cell r="I3517">
            <v>1.5</v>
          </cell>
          <cell r="J3517">
            <v>1</v>
          </cell>
          <cell r="K3517">
            <v>2</v>
          </cell>
        </row>
        <row r="3518">
          <cell r="A3518" t="str">
            <v>M2</v>
          </cell>
          <cell r="B3518" t="str">
            <v>A5C</v>
          </cell>
          <cell r="C3518" t="str">
            <v>P</v>
          </cell>
          <cell r="D3518" t="str">
            <v>23076</v>
          </cell>
          <cell r="E3518" t="str">
            <v>SOL</v>
          </cell>
          <cell r="F3518">
            <v>2</v>
          </cell>
          <cell r="G3518" t="str">
            <v>CB3902000004IH</v>
          </cell>
          <cell r="H3518">
            <v>4</v>
          </cell>
          <cell r="I3518">
            <v>1.5</v>
          </cell>
          <cell r="J3518">
            <v>2</v>
          </cell>
          <cell r="K3518">
            <v>3</v>
          </cell>
        </row>
        <row r="3519">
          <cell r="A3519" t="str">
            <v>M2</v>
          </cell>
          <cell r="B3519" t="str">
            <v>A5C</v>
          </cell>
          <cell r="C3519" t="str">
            <v>P</v>
          </cell>
          <cell r="D3519" t="str">
            <v>23170</v>
          </cell>
          <cell r="E3519" t="str">
            <v>SOL</v>
          </cell>
          <cell r="F3519">
            <v>2</v>
          </cell>
          <cell r="G3519" t="str">
            <v>CB3902000004IH</v>
          </cell>
          <cell r="H3519">
            <v>4</v>
          </cell>
          <cell r="I3519">
            <v>1.5</v>
          </cell>
          <cell r="J3519">
            <v>2</v>
          </cell>
          <cell r="K3519">
            <v>3</v>
          </cell>
        </row>
        <row r="3520">
          <cell r="A3520" t="str">
            <v>M2</v>
          </cell>
          <cell r="B3520" t="str">
            <v>A5C</v>
          </cell>
          <cell r="C3520" t="str">
            <v>P</v>
          </cell>
          <cell r="D3520" t="str">
            <v>23173</v>
          </cell>
          <cell r="E3520" t="str">
            <v>SOL</v>
          </cell>
          <cell r="F3520">
            <v>2</v>
          </cell>
          <cell r="G3520" t="str">
            <v>CB3902000004IH</v>
          </cell>
          <cell r="H3520">
            <v>4</v>
          </cell>
          <cell r="I3520">
            <v>1.5</v>
          </cell>
          <cell r="J3520">
            <v>1</v>
          </cell>
          <cell r="K3520">
            <v>2</v>
          </cell>
        </row>
        <row r="3521">
          <cell r="A3521" t="str">
            <v>M2</v>
          </cell>
          <cell r="B3521" t="str">
            <v>A5C</v>
          </cell>
          <cell r="C3521" t="str">
            <v>P</v>
          </cell>
          <cell r="D3521" t="str">
            <v>23173</v>
          </cell>
          <cell r="E3521" t="str">
            <v>SOL</v>
          </cell>
          <cell r="F3521">
            <v>2</v>
          </cell>
          <cell r="G3521" t="str">
            <v>CB39020000040T</v>
          </cell>
          <cell r="H3521">
            <v>4</v>
          </cell>
          <cell r="I3521">
            <v>0.75</v>
          </cell>
          <cell r="J3521">
            <v>2</v>
          </cell>
          <cell r="K3521">
            <v>3</v>
          </cell>
        </row>
        <row r="3522">
          <cell r="A3522" t="str">
            <v>M2</v>
          </cell>
          <cell r="B3522" t="str">
            <v>A5C</v>
          </cell>
          <cell r="C3522" t="str">
            <v>P</v>
          </cell>
          <cell r="D3522" t="str">
            <v>23180</v>
          </cell>
          <cell r="E3522" t="str">
            <v>SOL</v>
          </cell>
          <cell r="F3522">
            <v>2</v>
          </cell>
          <cell r="G3522" t="str">
            <v>CB39020000040T</v>
          </cell>
          <cell r="H3522">
            <v>4</v>
          </cell>
          <cell r="I3522">
            <v>0.75</v>
          </cell>
          <cell r="J3522">
            <v>2</v>
          </cell>
          <cell r="K3522">
            <v>3</v>
          </cell>
        </row>
        <row r="3523">
          <cell r="A3523" t="str">
            <v>M2</v>
          </cell>
          <cell r="B3523" t="str">
            <v>A5C</v>
          </cell>
          <cell r="C3523" t="str">
            <v>P</v>
          </cell>
          <cell r="D3523" t="str">
            <v>23029</v>
          </cell>
          <cell r="E3523" t="str">
            <v>SOL</v>
          </cell>
          <cell r="F3523">
            <v>2</v>
          </cell>
          <cell r="G3523" t="str">
            <v>CB39020000040T</v>
          </cell>
          <cell r="H3523">
            <v>4</v>
          </cell>
          <cell r="I3523">
            <v>0.75</v>
          </cell>
          <cell r="J3523">
            <v>1</v>
          </cell>
          <cell r="K3523">
            <v>2</v>
          </cell>
        </row>
        <row r="3524">
          <cell r="A3524" t="str">
            <v>M2</v>
          </cell>
          <cell r="B3524" t="str">
            <v>A5C</v>
          </cell>
          <cell r="C3524" t="str">
            <v>P</v>
          </cell>
          <cell r="D3524" t="str">
            <v>23191</v>
          </cell>
          <cell r="E3524" t="str">
            <v>SOL</v>
          </cell>
          <cell r="F3524">
            <v>2</v>
          </cell>
          <cell r="G3524" t="str">
            <v>CB39020000040T</v>
          </cell>
          <cell r="H3524">
            <v>4</v>
          </cell>
          <cell r="I3524">
            <v>0.75</v>
          </cell>
          <cell r="J3524">
            <v>2</v>
          </cell>
          <cell r="K3524">
            <v>3</v>
          </cell>
        </row>
        <row r="3525">
          <cell r="A3525" t="str">
            <v>M2</v>
          </cell>
          <cell r="B3525" t="str">
            <v>A5C</v>
          </cell>
          <cell r="C3525" t="str">
            <v>P</v>
          </cell>
          <cell r="D3525" t="str">
            <v>23024</v>
          </cell>
          <cell r="E3525" t="str">
            <v>TEE</v>
          </cell>
          <cell r="F3525">
            <v>2</v>
          </cell>
          <cell r="G3525" t="str">
            <v>CB300304000400</v>
          </cell>
          <cell r="H3525">
            <v>4</v>
          </cell>
          <cell r="I3525" t="str">
            <v>--</v>
          </cell>
          <cell r="J3525">
            <v>1</v>
          </cell>
          <cell r="K3525">
            <v>2</v>
          </cell>
        </row>
        <row r="3526">
          <cell r="A3526" t="str">
            <v>M2</v>
          </cell>
          <cell r="B3526" t="str">
            <v>A5C</v>
          </cell>
          <cell r="C3526" t="str">
            <v>P</v>
          </cell>
          <cell r="D3526" t="str">
            <v>23029</v>
          </cell>
          <cell r="E3526" t="str">
            <v>TEE</v>
          </cell>
          <cell r="F3526">
            <v>2</v>
          </cell>
          <cell r="G3526" t="str">
            <v>CB300304000400</v>
          </cell>
          <cell r="H3526">
            <v>4</v>
          </cell>
          <cell r="I3526" t="str">
            <v>--</v>
          </cell>
          <cell r="J3526">
            <v>1</v>
          </cell>
          <cell r="K3526">
            <v>2</v>
          </cell>
        </row>
        <row r="3527">
          <cell r="A3527" t="str">
            <v>M2</v>
          </cell>
          <cell r="B3527" t="str">
            <v>A5C</v>
          </cell>
          <cell r="C3527" t="str">
            <v>P</v>
          </cell>
          <cell r="D3527" t="str">
            <v>23029</v>
          </cell>
          <cell r="E3527" t="str">
            <v>TEE</v>
          </cell>
          <cell r="F3527">
            <v>2</v>
          </cell>
          <cell r="G3527" t="str">
            <v>CB300304000400</v>
          </cell>
          <cell r="H3527">
            <v>4</v>
          </cell>
          <cell r="I3527" t="str">
            <v>--</v>
          </cell>
          <cell r="J3527">
            <v>1</v>
          </cell>
          <cell r="K3527">
            <v>2</v>
          </cell>
        </row>
        <row r="3528">
          <cell r="A3528" t="str">
            <v>M2</v>
          </cell>
          <cell r="B3528" t="str">
            <v>A5C</v>
          </cell>
          <cell r="C3528" t="str">
            <v>P</v>
          </cell>
          <cell r="D3528" t="str">
            <v>23062</v>
          </cell>
          <cell r="E3528" t="str">
            <v>TEE</v>
          </cell>
          <cell r="F3528">
            <v>2</v>
          </cell>
          <cell r="G3528" t="str">
            <v>CB300304000400</v>
          </cell>
          <cell r="H3528">
            <v>4</v>
          </cell>
          <cell r="I3528" t="str">
            <v>--</v>
          </cell>
          <cell r="J3528">
            <v>1</v>
          </cell>
          <cell r="K3528">
            <v>2</v>
          </cell>
        </row>
        <row r="3529">
          <cell r="A3529" t="str">
            <v>M2</v>
          </cell>
          <cell r="B3529" t="str">
            <v>A5C</v>
          </cell>
          <cell r="C3529" t="str">
            <v>P</v>
          </cell>
          <cell r="D3529" t="str">
            <v>23084</v>
          </cell>
          <cell r="E3529" t="str">
            <v>90 ELL</v>
          </cell>
          <cell r="F3529">
            <v>2</v>
          </cell>
          <cell r="G3529" t="str">
            <v>CB300104000600</v>
          </cell>
          <cell r="H3529">
            <v>6</v>
          </cell>
          <cell r="I3529" t="str">
            <v>--</v>
          </cell>
          <cell r="J3529">
            <v>2</v>
          </cell>
          <cell r="K3529">
            <v>3</v>
          </cell>
        </row>
        <row r="3530">
          <cell r="A3530" t="str">
            <v>M2</v>
          </cell>
          <cell r="B3530" t="str">
            <v>A5C</v>
          </cell>
          <cell r="C3530" t="str">
            <v>P</v>
          </cell>
          <cell r="D3530" t="str">
            <v>23097</v>
          </cell>
          <cell r="E3530" t="str">
            <v>90 ELL</v>
          </cell>
          <cell r="F3530">
            <v>2</v>
          </cell>
          <cell r="G3530" t="str">
            <v>CB300104000600</v>
          </cell>
          <cell r="H3530">
            <v>6</v>
          </cell>
          <cell r="I3530" t="str">
            <v>--</v>
          </cell>
          <cell r="J3530">
            <v>3</v>
          </cell>
          <cell r="K3530">
            <v>4</v>
          </cell>
        </row>
        <row r="3531">
          <cell r="A3531" t="str">
            <v>M2</v>
          </cell>
          <cell r="B3531" t="str">
            <v>A5C</v>
          </cell>
          <cell r="C3531" t="str">
            <v>P</v>
          </cell>
          <cell r="D3531" t="str">
            <v>23136</v>
          </cell>
          <cell r="E3531" t="str">
            <v>90 ELL</v>
          </cell>
          <cell r="F3531">
            <v>2</v>
          </cell>
          <cell r="G3531" t="str">
            <v>CB300104000600</v>
          </cell>
          <cell r="H3531">
            <v>6</v>
          </cell>
          <cell r="I3531" t="str">
            <v>--</v>
          </cell>
          <cell r="J3531">
            <v>3</v>
          </cell>
          <cell r="K3531">
            <v>4</v>
          </cell>
        </row>
        <row r="3532">
          <cell r="A3532" t="str">
            <v>M2</v>
          </cell>
          <cell r="B3532" t="str">
            <v>A5C</v>
          </cell>
          <cell r="C3532" t="str">
            <v>P</v>
          </cell>
          <cell r="D3532" t="str">
            <v>23152</v>
          </cell>
          <cell r="E3532" t="str">
            <v>90 ELL</v>
          </cell>
          <cell r="F3532">
            <v>2</v>
          </cell>
          <cell r="G3532" t="str">
            <v>CB300104000600</v>
          </cell>
          <cell r="H3532">
            <v>6</v>
          </cell>
          <cell r="I3532" t="str">
            <v>--</v>
          </cell>
          <cell r="J3532">
            <v>6</v>
          </cell>
          <cell r="K3532">
            <v>7</v>
          </cell>
        </row>
        <row r="3533">
          <cell r="A3533" t="str">
            <v>M2</v>
          </cell>
          <cell r="B3533" t="str">
            <v>A5C</v>
          </cell>
          <cell r="C3533" t="str">
            <v>P</v>
          </cell>
          <cell r="D3533" t="str">
            <v>23152</v>
          </cell>
          <cell r="E3533" t="str">
            <v>90 ELL</v>
          </cell>
          <cell r="F3533">
            <v>2</v>
          </cell>
          <cell r="G3533" t="str">
            <v>CB300104000600</v>
          </cell>
          <cell r="H3533">
            <v>6</v>
          </cell>
          <cell r="I3533" t="str">
            <v>--</v>
          </cell>
          <cell r="J3533">
            <v>5</v>
          </cell>
          <cell r="K3533">
            <v>6</v>
          </cell>
        </row>
        <row r="3534">
          <cell r="A3534" t="str">
            <v>M2</v>
          </cell>
          <cell r="B3534" t="str">
            <v>A5C</v>
          </cell>
          <cell r="C3534" t="str">
            <v>P</v>
          </cell>
          <cell r="D3534" t="str">
            <v>23181</v>
          </cell>
          <cell r="E3534" t="str">
            <v>90 ELL</v>
          </cell>
          <cell r="F3534">
            <v>2</v>
          </cell>
          <cell r="G3534" t="str">
            <v>CB300104000600</v>
          </cell>
          <cell r="H3534">
            <v>6</v>
          </cell>
          <cell r="I3534" t="str">
            <v>--</v>
          </cell>
          <cell r="J3534">
            <v>6</v>
          </cell>
          <cell r="K3534">
            <v>7</v>
          </cell>
        </row>
        <row r="3535">
          <cell r="A3535" t="str">
            <v>M2</v>
          </cell>
          <cell r="B3535" t="str">
            <v>A5C</v>
          </cell>
          <cell r="C3535" t="str">
            <v>P</v>
          </cell>
          <cell r="D3535" t="str">
            <v>23181</v>
          </cell>
          <cell r="E3535" t="str">
            <v>90 ELL</v>
          </cell>
          <cell r="F3535">
            <v>2</v>
          </cell>
          <cell r="G3535" t="str">
            <v>CB300104000600</v>
          </cell>
          <cell r="H3535">
            <v>6</v>
          </cell>
          <cell r="I3535" t="str">
            <v>--</v>
          </cell>
          <cell r="J3535">
            <v>4</v>
          </cell>
          <cell r="K3535">
            <v>5</v>
          </cell>
        </row>
        <row r="3536">
          <cell r="A3536" t="str">
            <v>M2</v>
          </cell>
          <cell r="B3536" t="str">
            <v>A5C</v>
          </cell>
          <cell r="C3536" t="str">
            <v>P</v>
          </cell>
          <cell r="D3536" t="str">
            <v>23084</v>
          </cell>
          <cell r="E3536" t="str">
            <v>C RED</v>
          </cell>
          <cell r="F3536">
            <v>2</v>
          </cell>
          <cell r="G3536" t="str">
            <v>CB300504040604</v>
          </cell>
          <cell r="H3536">
            <v>6</v>
          </cell>
          <cell r="I3536">
            <v>4</v>
          </cell>
          <cell r="J3536">
            <v>2</v>
          </cell>
          <cell r="K3536">
            <v>3</v>
          </cell>
        </row>
        <row r="3537">
          <cell r="A3537" t="str">
            <v>M2</v>
          </cell>
          <cell r="B3537" t="str">
            <v>A5C</v>
          </cell>
          <cell r="C3537" t="str">
            <v>P</v>
          </cell>
          <cell r="D3537" t="str">
            <v>23152</v>
          </cell>
          <cell r="E3537" t="str">
            <v>E RED</v>
          </cell>
          <cell r="F3537">
            <v>2</v>
          </cell>
          <cell r="G3537" t="str">
            <v>CB300604040604</v>
          </cell>
          <cell r="H3537">
            <v>6</v>
          </cell>
          <cell r="I3537">
            <v>4</v>
          </cell>
          <cell r="J3537">
            <v>2</v>
          </cell>
          <cell r="K3537">
            <v>3</v>
          </cell>
        </row>
        <row r="3538">
          <cell r="A3538" t="str">
            <v>M2</v>
          </cell>
          <cell r="B3538" t="str">
            <v>A5C</v>
          </cell>
          <cell r="C3538" t="str">
            <v>P</v>
          </cell>
          <cell r="D3538" t="str">
            <v>23181</v>
          </cell>
          <cell r="E3538" t="str">
            <v>E RED</v>
          </cell>
          <cell r="F3538">
            <v>2</v>
          </cell>
          <cell r="G3538" t="str">
            <v>CB300604040604</v>
          </cell>
          <cell r="H3538">
            <v>6</v>
          </cell>
          <cell r="I3538">
            <v>4</v>
          </cell>
          <cell r="J3538">
            <v>2</v>
          </cell>
          <cell r="K3538">
            <v>3</v>
          </cell>
        </row>
        <row r="3539">
          <cell r="A3539" t="str">
            <v>M2</v>
          </cell>
          <cell r="B3539" t="str">
            <v>A5C</v>
          </cell>
          <cell r="C3539" t="str">
            <v>P</v>
          </cell>
          <cell r="D3539" t="str">
            <v>23084</v>
          </cell>
          <cell r="E3539" t="str">
            <v>SOL</v>
          </cell>
          <cell r="F3539">
            <v>2</v>
          </cell>
          <cell r="G3539" t="str">
            <v>CB39020000060T</v>
          </cell>
          <cell r="H3539">
            <v>6</v>
          </cell>
          <cell r="I3539">
            <v>0.75</v>
          </cell>
          <cell r="J3539">
            <v>2</v>
          </cell>
          <cell r="K3539">
            <v>3</v>
          </cell>
        </row>
        <row r="3540">
          <cell r="A3540" t="str">
            <v>M2</v>
          </cell>
          <cell r="B3540" t="str">
            <v>A5C</v>
          </cell>
          <cell r="C3540" t="str">
            <v>P</v>
          </cell>
          <cell r="D3540" t="str">
            <v>23083</v>
          </cell>
          <cell r="E3540" t="str">
            <v>SOL</v>
          </cell>
          <cell r="F3540">
            <v>2</v>
          </cell>
          <cell r="G3540" t="str">
            <v>CB390200000601</v>
          </cell>
          <cell r="H3540">
            <v>6</v>
          </cell>
          <cell r="I3540">
            <v>1</v>
          </cell>
          <cell r="J3540">
            <v>2</v>
          </cell>
          <cell r="K3540">
            <v>3</v>
          </cell>
        </row>
        <row r="3541">
          <cell r="A3541" t="str">
            <v>M2</v>
          </cell>
          <cell r="B3541" t="str">
            <v>A5C</v>
          </cell>
          <cell r="C3541" t="str">
            <v>P</v>
          </cell>
          <cell r="D3541" t="str">
            <v>23097</v>
          </cell>
          <cell r="E3541" t="str">
            <v>SOL</v>
          </cell>
          <cell r="F3541">
            <v>2</v>
          </cell>
          <cell r="G3541" t="str">
            <v>CB3902000006IH</v>
          </cell>
          <cell r="H3541">
            <v>6</v>
          </cell>
          <cell r="I3541">
            <v>1.5</v>
          </cell>
          <cell r="J3541">
            <v>1</v>
          </cell>
          <cell r="K3541">
            <v>2</v>
          </cell>
        </row>
        <row r="3542">
          <cell r="A3542" t="str">
            <v>M2</v>
          </cell>
          <cell r="B3542" t="str">
            <v>A5C</v>
          </cell>
          <cell r="C3542" t="str">
            <v>P</v>
          </cell>
          <cell r="D3542" t="str">
            <v>23136</v>
          </cell>
          <cell r="E3542" t="str">
            <v>SOL</v>
          </cell>
          <cell r="F3542">
            <v>2</v>
          </cell>
          <cell r="G3542" t="str">
            <v>CB3902000006IH</v>
          </cell>
          <cell r="H3542">
            <v>6</v>
          </cell>
          <cell r="I3542">
            <v>1.5</v>
          </cell>
          <cell r="J3542">
            <v>1</v>
          </cell>
          <cell r="K3542">
            <v>2</v>
          </cell>
        </row>
        <row r="3543">
          <cell r="A3543" t="str">
            <v>M2</v>
          </cell>
          <cell r="B3543" t="str">
            <v>A5C</v>
          </cell>
          <cell r="C3543" t="str">
            <v>P</v>
          </cell>
          <cell r="D3543" t="str">
            <v>23152</v>
          </cell>
          <cell r="E3543" t="str">
            <v>SOL</v>
          </cell>
          <cell r="F3543">
            <v>2</v>
          </cell>
          <cell r="G3543" t="str">
            <v>CB39020000060T</v>
          </cell>
          <cell r="H3543">
            <v>6</v>
          </cell>
          <cell r="I3543">
            <v>0.75</v>
          </cell>
          <cell r="J3543">
            <v>4</v>
          </cell>
          <cell r="K3543">
            <v>5</v>
          </cell>
        </row>
        <row r="3544">
          <cell r="A3544" t="str">
            <v>M2</v>
          </cell>
          <cell r="B3544" t="str">
            <v>A5C</v>
          </cell>
          <cell r="C3544" t="str">
            <v>P</v>
          </cell>
          <cell r="D3544" t="str">
            <v>23181</v>
          </cell>
          <cell r="E3544" t="str">
            <v>SOL</v>
          </cell>
          <cell r="F3544">
            <v>2</v>
          </cell>
          <cell r="G3544" t="str">
            <v>CB39020000060T</v>
          </cell>
          <cell r="H3544">
            <v>6</v>
          </cell>
          <cell r="I3544">
            <v>0.75</v>
          </cell>
          <cell r="J3544">
            <v>3</v>
          </cell>
          <cell r="K3544">
            <v>4</v>
          </cell>
        </row>
        <row r="3545">
          <cell r="A3545" t="str">
            <v>M2</v>
          </cell>
          <cell r="B3545" t="str">
            <v>A5C</v>
          </cell>
          <cell r="C3545" t="str">
            <v>P</v>
          </cell>
          <cell r="D3545" t="str">
            <v>23181</v>
          </cell>
          <cell r="E3545" t="str">
            <v>SOL</v>
          </cell>
          <cell r="F3545">
            <v>2</v>
          </cell>
          <cell r="G3545" t="str">
            <v>CB39020000060T</v>
          </cell>
          <cell r="H3545">
            <v>6</v>
          </cell>
          <cell r="I3545">
            <v>0.75</v>
          </cell>
          <cell r="J3545">
            <v>1</v>
          </cell>
          <cell r="K3545">
            <v>2</v>
          </cell>
        </row>
        <row r="3546">
          <cell r="A3546" t="str">
            <v>M2</v>
          </cell>
          <cell r="B3546" t="str">
            <v>A5C</v>
          </cell>
          <cell r="C3546" t="str">
            <v>P</v>
          </cell>
          <cell r="D3546" t="str">
            <v>23084</v>
          </cell>
          <cell r="E3546" t="str">
            <v>TEE</v>
          </cell>
          <cell r="F3546">
            <v>2</v>
          </cell>
          <cell r="G3546" t="str">
            <v>CB300304000600</v>
          </cell>
          <cell r="H3546">
            <v>6</v>
          </cell>
          <cell r="I3546" t="str">
            <v>--</v>
          </cell>
          <cell r="J3546">
            <v>1</v>
          </cell>
          <cell r="K3546">
            <v>2</v>
          </cell>
        </row>
        <row r="3547">
          <cell r="A3547" t="str">
            <v>M2</v>
          </cell>
          <cell r="B3547" t="str">
            <v>A5C</v>
          </cell>
          <cell r="C3547" t="str">
            <v>P</v>
          </cell>
          <cell r="D3547" t="str">
            <v>23056</v>
          </cell>
          <cell r="E3547" t="str">
            <v>90 ELL</v>
          </cell>
          <cell r="F3547">
            <v>2</v>
          </cell>
          <cell r="G3547" t="str">
            <v>CB300104000600</v>
          </cell>
          <cell r="H3547">
            <v>6</v>
          </cell>
          <cell r="I3547" t="str">
            <v>--</v>
          </cell>
          <cell r="J3547">
            <v>1</v>
          </cell>
          <cell r="K3547">
            <v>2</v>
          </cell>
        </row>
        <row r="3548">
          <cell r="A3548" t="str">
            <v>M2</v>
          </cell>
          <cell r="B3548" t="str">
            <v>A5C</v>
          </cell>
          <cell r="C3548" t="str">
            <v>P</v>
          </cell>
          <cell r="D3548" t="str">
            <v>23075</v>
          </cell>
          <cell r="E3548" t="str">
            <v>90 ELL</v>
          </cell>
          <cell r="F3548">
            <v>2</v>
          </cell>
          <cell r="G3548" t="str">
            <v>CB300104000600</v>
          </cell>
          <cell r="H3548">
            <v>6</v>
          </cell>
          <cell r="I3548" t="str">
            <v>--</v>
          </cell>
          <cell r="J3548">
            <v>2</v>
          </cell>
          <cell r="K3548">
            <v>3</v>
          </cell>
        </row>
        <row r="3549">
          <cell r="A3549" t="str">
            <v>M2</v>
          </cell>
          <cell r="B3549" t="str">
            <v>A5C</v>
          </cell>
          <cell r="C3549" t="str">
            <v>P</v>
          </cell>
          <cell r="D3549" t="str">
            <v>23090</v>
          </cell>
          <cell r="E3549" t="str">
            <v>90 ELL</v>
          </cell>
          <cell r="F3549">
            <v>2</v>
          </cell>
          <cell r="G3549" t="str">
            <v>CB300104000600</v>
          </cell>
          <cell r="H3549">
            <v>6</v>
          </cell>
          <cell r="I3549" t="str">
            <v>--</v>
          </cell>
          <cell r="J3549">
            <v>3</v>
          </cell>
          <cell r="K3549">
            <v>4</v>
          </cell>
        </row>
        <row r="3550">
          <cell r="A3550" t="str">
            <v>M2</v>
          </cell>
          <cell r="B3550" t="str">
            <v>A5C</v>
          </cell>
          <cell r="C3550" t="str">
            <v>P</v>
          </cell>
          <cell r="D3550" t="str">
            <v>23091</v>
          </cell>
          <cell r="E3550" t="str">
            <v>90 ELL</v>
          </cell>
          <cell r="F3550">
            <v>2</v>
          </cell>
          <cell r="G3550" t="str">
            <v>CB300104000600</v>
          </cell>
          <cell r="H3550">
            <v>6</v>
          </cell>
          <cell r="I3550" t="str">
            <v>--</v>
          </cell>
          <cell r="J3550">
            <v>3</v>
          </cell>
          <cell r="K3550">
            <v>4</v>
          </cell>
        </row>
        <row r="3551">
          <cell r="A3551" t="str">
            <v>M2</v>
          </cell>
          <cell r="B3551" t="str">
            <v>A5C</v>
          </cell>
          <cell r="C3551" t="str">
            <v>P</v>
          </cell>
          <cell r="D3551" t="str">
            <v>23129</v>
          </cell>
          <cell r="E3551" t="str">
            <v>90 ELL</v>
          </cell>
          <cell r="F3551">
            <v>2</v>
          </cell>
          <cell r="G3551" t="str">
            <v>CB300104000600</v>
          </cell>
          <cell r="H3551">
            <v>6</v>
          </cell>
          <cell r="I3551" t="str">
            <v>--</v>
          </cell>
          <cell r="J3551">
            <v>3</v>
          </cell>
          <cell r="K3551">
            <v>4</v>
          </cell>
        </row>
        <row r="3552">
          <cell r="A3552" t="str">
            <v>M2</v>
          </cell>
          <cell r="B3552" t="str">
            <v>A5C</v>
          </cell>
          <cell r="C3552" t="str">
            <v>P</v>
          </cell>
          <cell r="D3552" t="str">
            <v>23130</v>
          </cell>
          <cell r="E3552" t="str">
            <v>90 ELL</v>
          </cell>
          <cell r="F3552">
            <v>2</v>
          </cell>
          <cell r="G3552" t="str">
            <v>CB300104000600</v>
          </cell>
          <cell r="H3552">
            <v>6</v>
          </cell>
          <cell r="I3552" t="str">
            <v>--</v>
          </cell>
          <cell r="J3552">
            <v>3</v>
          </cell>
          <cell r="K3552">
            <v>4</v>
          </cell>
        </row>
        <row r="3553">
          <cell r="A3553" t="str">
            <v>M2</v>
          </cell>
          <cell r="B3553" t="str">
            <v>A5C</v>
          </cell>
          <cell r="C3553" t="str">
            <v>P</v>
          </cell>
          <cell r="D3553" t="str">
            <v>23221</v>
          </cell>
          <cell r="E3553" t="str">
            <v>90 ELL</v>
          </cell>
          <cell r="F3553">
            <v>2</v>
          </cell>
          <cell r="G3553" t="str">
            <v>CB300104000600</v>
          </cell>
          <cell r="H3553">
            <v>6</v>
          </cell>
          <cell r="I3553" t="str">
            <v>--</v>
          </cell>
          <cell r="J3553">
            <v>4</v>
          </cell>
          <cell r="K3553">
            <v>5</v>
          </cell>
        </row>
        <row r="3554">
          <cell r="A3554" t="str">
            <v>M2</v>
          </cell>
          <cell r="B3554" t="str">
            <v>A5C</v>
          </cell>
          <cell r="C3554" t="str">
            <v>P</v>
          </cell>
          <cell r="D3554" t="str">
            <v>23244</v>
          </cell>
          <cell r="E3554" t="str">
            <v>90 ELL</v>
          </cell>
          <cell r="F3554">
            <v>2</v>
          </cell>
          <cell r="G3554" t="str">
            <v>CB300104000600</v>
          </cell>
          <cell r="H3554">
            <v>6</v>
          </cell>
          <cell r="I3554" t="str">
            <v>--</v>
          </cell>
          <cell r="J3554">
            <v>4</v>
          </cell>
          <cell r="K3554">
            <v>5</v>
          </cell>
        </row>
        <row r="3555">
          <cell r="A3555" t="str">
            <v>M2</v>
          </cell>
          <cell r="B3555" t="str">
            <v>A5C</v>
          </cell>
          <cell r="C3555" t="str">
            <v>P</v>
          </cell>
          <cell r="D3555" t="str">
            <v>23021</v>
          </cell>
          <cell r="E3555" t="str">
            <v>90 ELL</v>
          </cell>
          <cell r="F3555">
            <v>2</v>
          </cell>
          <cell r="G3555" t="str">
            <v>CB300104000600</v>
          </cell>
          <cell r="H3555">
            <v>6</v>
          </cell>
          <cell r="I3555" t="str">
            <v>--</v>
          </cell>
          <cell r="J3555">
            <v>5</v>
          </cell>
          <cell r="K3555">
            <v>6</v>
          </cell>
        </row>
        <row r="3556">
          <cell r="A3556" t="str">
            <v>M2</v>
          </cell>
          <cell r="B3556" t="str">
            <v>A5C</v>
          </cell>
          <cell r="C3556" t="str">
            <v>P</v>
          </cell>
          <cell r="D3556" t="str">
            <v>23025</v>
          </cell>
          <cell r="E3556" t="str">
            <v>90 ELL</v>
          </cell>
          <cell r="F3556">
            <v>2</v>
          </cell>
          <cell r="G3556" t="str">
            <v>CB300104000600</v>
          </cell>
          <cell r="H3556">
            <v>6</v>
          </cell>
          <cell r="I3556" t="str">
            <v>--</v>
          </cell>
          <cell r="J3556">
            <v>2</v>
          </cell>
          <cell r="K3556">
            <v>3</v>
          </cell>
        </row>
        <row r="3557">
          <cell r="A3557" t="str">
            <v>M2</v>
          </cell>
          <cell r="B3557" t="str">
            <v>A5C</v>
          </cell>
          <cell r="C3557" t="str">
            <v>P</v>
          </cell>
          <cell r="D3557" t="str">
            <v>23026</v>
          </cell>
          <cell r="E3557" t="str">
            <v>90 ELL</v>
          </cell>
          <cell r="F3557">
            <v>2</v>
          </cell>
          <cell r="G3557" t="str">
            <v>CB300104000600</v>
          </cell>
          <cell r="H3557">
            <v>6</v>
          </cell>
          <cell r="I3557" t="str">
            <v>--</v>
          </cell>
          <cell r="J3557">
            <v>8</v>
          </cell>
          <cell r="K3557">
            <v>10</v>
          </cell>
        </row>
        <row r="3558">
          <cell r="A3558" t="str">
            <v>M2</v>
          </cell>
          <cell r="B3558" t="str">
            <v>A5C</v>
          </cell>
          <cell r="C3558" t="str">
            <v>P</v>
          </cell>
          <cell r="D3558" t="str">
            <v>23091</v>
          </cell>
          <cell r="E3558" t="str">
            <v>C RED</v>
          </cell>
          <cell r="F3558">
            <v>2</v>
          </cell>
          <cell r="G3558" t="str">
            <v>CB300504040604</v>
          </cell>
          <cell r="H3558">
            <v>6</v>
          </cell>
          <cell r="I3558">
            <v>4</v>
          </cell>
          <cell r="J3558">
            <v>2</v>
          </cell>
          <cell r="K3558">
            <v>3</v>
          </cell>
        </row>
        <row r="3559">
          <cell r="A3559" t="str">
            <v>M2</v>
          </cell>
          <cell r="B3559" t="str">
            <v>A5C</v>
          </cell>
          <cell r="C3559" t="str">
            <v>P</v>
          </cell>
          <cell r="D3559" t="str">
            <v>23130</v>
          </cell>
          <cell r="E3559" t="str">
            <v>C RED</v>
          </cell>
          <cell r="F3559">
            <v>2</v>
          </cell>
          <cell r="G3559" t="str">
            <v>CB300504040604</v>
          </cell>
          <cell r="H3559">
            <v>6</v>
          </cell>
          <cell r="I3559">
            <v>4</v>
          </cell>
          <cell r="J3559">
            <v>2</v>
          </cell>
          <cell r="K3559">
            <v>3</v>
          </cell>
        </row>
        <row r="3560">
          <cell r="A3560" t="str">
            <v>M2</v>
          </cell>
          <cell r="B3560" t="str">
            <v>A5C</v>
          </cell>
          <cell r="C3560" t="str">
            <v>P</v>
          </cell>
          <cell r="D3560" t="str">
            <v>23026</v>
          </cell>
          <cell r="E3560" t="str">
            <v>E RED</v>
          </cell>
          <cell r="F3560">
            <v>2</v>
          </cell>
          <cell r="G3560" t="str">
            <v>CB300604040604</v>
          </cell>
          <cell r="H3560">
            <v>6</v>
          </cell>
          <cell r="I3560">
            <v>4</v>
          </cell>
          <cell r="J3560">
            <v>2</v>
          </cell>
          <cell r="K3560">
            <v>3</v>
          </cell>
        </row>
        <row r="3561">
          <cell r="A3561" t="str">
            <v>M2</v>
          </cell>
          <cell r="B3561" t="str">
            <v>A5C</v>
          </cell>
          <cell r="C3561" t="str">
            <v>P</v>
          </cell>
          <cell r="D3561" t="str">
            <v>23021</v>
          </cell>
          <cell r="E3561" t="str">
            <v>E RED</v>
          </cell>
          <cell r="F3561">
            <v>2</v>
          </cell>
          <cell r="G3561" t="str">
            <v>CB300604040604</v>
          </cell>
          <cell r="H3561">
            <v>6</v>
          </cell>
          <cell r="I3561">
            <v>4</v>
          </cell>
          <cell r="J3561">
            <v>2</v>
          </cell>
          <cell r="K3561">
            <v>3</v>
          </cell>
        </row>
        <row r="3562">
          <cell r="A3562" t="str">
            <v>M2</v>
          </cell>
          <cell r="B3562" t="str">
            <v>A5C</v>
          </cell>
          <cell r="C3562" t="str">
            <v>P</v>
          </cell>
          <cell r="D3562" t="str">
            <v>23091</v>
          </cell>
          <cell r="E3562" t="str">
            <v>SOL</v>
          </cell>
          <cell r="F3562">
            <v>2</v>
          </cell>
          <cell r="G3562" t="str">
            <v>CB3902000006IH</v>
          </cell>
          <cell r="H3562">
            <v>6</v>
          </cell>
          <cell r="I3562">
            <v>1.5</v>
          </cell>
          <cell r="J3562">
            <v>1</v>
          </cell>
          <cell r="K3562">
            <v>2</v>
          </cell>
        </row>
        <row r="3563">
          <cell r="A3563" t="str">
            <v>M2</v>
          </cell>
          <cell r="B3563" t="str">
            <v>A5C</v>
          </cell>
          <cell r="C3563" t="str">
            <v>P</v>
          </cell>
          <cell r="D3563" t="str">
            <v>23091</v>
          </cell>
          <cell r="E3563" t="str">
            <v>SOL</v>
          </cell>
          <cell r="F3563">
            <v>2</v>
          </cell>
          <cell r="G3563" t="str">
            <v>CB39020000060T</v>
          </cell>
          <cell r="H3563">
            <v>6</v>
          </cell>
          <cell r="I3563">
            <v>0.75</v>
          </cell>
          <cell r="J3563">
            <v>2</v>
          </cell>
          <cell r="K3563">
            <v>3</v>
          </cell>
        </row>
        <row r="3564">
          <cell r="A3564" t="str">
            <v>M2</v>
          </cell>
          <cell r="B3564" t="str">
            <v>A5C</v>
          </cell>
          <cell r="C3564" t="str">
            <v>P</v>
          </cell>
          <cell r="D3564" t="str">
            <v>23056</v>
          </cell>
          <cell r="E3564" t="str">
            <v>SOL</v>
          </cell>
          <cell r="F3564">
            <v>2</v>
          </cell>
          <cell r="G3564" t="str">
            <v>CB3902000006IH</v>
          </cell>
          <cell r="H3564">
            <v>6</v>
          </cell>
          <cell r="I3564">
            <v>1.5</v>
          </cell>
          <cell r="J3564">
            <v>1</v>
          </cell>
          <cell r="K3564">
            <v>2</v>
          </cell>
        </row>
        <row r="3565">
          <cell r="A3565" t="str">
            <v>M2</v>
          </cell>
          <cell r="B3565" t="str">
            <v>A5C</v>
          </cell>
          <cell r="C3565" t="str">
            <v>P</v>
          </cell>
          <cell r="D3565" t="str">
            <v>23130</v>
          </cell>
          <cell r="E3565" t="str">
            <v>SOL</v>
          </cell>
          <cell r="F3565">
            <v>2</v>
          </cell>
          <cell r="G3565" t="str">
            <v>CB3902000006IH</v>
          </cell>
          <cell r="H3565">
            <v>6</v>
          </cell>
          <cell r="I3565">
            <v>1.5</v>
          </cell>
          <cell r="J3565">
            <v>1</v>
          </cell>
          <cell r="K3565">
            <v>2</v>
          </cell>
        </row>
        <row r="3566">
          <cell r="A3566" t="str">
            <v>M2</v>
          </cell>
          <cell r="B3566" t="str">
            <v>A5C</v>
          </cell>
          <cell r="C3566" t="str">
            <v>P</v>
          </cell>
          <cell r="D3566" t="str">
            <v>23130</v>
          </cell>
          <cell r="E3566" t="str">
            <v>SOL</v>
          </cell>
          <cell r="F3566">
            <v>2</v>
          </cell>
          <cell r="G3566" t="str">
            <v>CB39020000060T</v>
          </cell>
          <cell r="H3566">
            <v>6</v>
          </cell>
          <cell r="I3566">
            <v>0.75</v>
          </cell>
          <cell r="J3566">
            <v>2</v>
          </cell>
          <cell r="K3566">
            <v>3</v>
          </cell>
        </row>
        <row r="3567">
          <cell r="A3567" t="str">
            <v>M2</v>
          </cell>
          <cell r="B3567" t="str">
            <v>A5C</v>
          </cell>
          <cell r="C3567" t="str">
            <v>P</v>
          </cell>
          <cell r="D3567" t="str">
            <v>23221</v>
          </cell>
          <cell r="E3567" t="str">
            <v>SOL</v>
          </cell>
          <cell r="F3567">
            <v>2</v>
          </cell>
          <cell r="G3567" t="str">
            <v>CB3902000006IH</v>
          </cell>
          <cell r="H3567">
            <v>6</v>
          </cell>
          <cell r="I3567">
            <v>1.5</v>
          </cell>
          <cell r="J3567">
            <v>1</v>
          </cell>
          <cell r="K3567">
            <v>2</v>
          </cell>
        </row>
        <row r="3568">
          <cell r="A3568" t="str">
            <v>M2</v>
          </cell>
          <cell r="B3568" t="str">
            <v>A5C</v>
          </cell>
          <cell r="C3568" t="str">
            <v>P</v>
          </cell>
          <cell r="D3568" t="str">
            <v>23244</v>
          </cell>
          <cell r="E3568" t="str">
            <v>SOL</v>
          </cell>
          <cell r="F3568">
            <v>2</v>
          </cell>
          <cell r="G3568" t="str">
            <v>CB3902000006IH</v>
          </cell>
          <cell r="H3568">
            <v>6</v>
          </cell>
          <cell r="I3568">
            <v>1.5</v>
          </cell>
          <cell r="J3568">
            <v>1</v>
          </cell>
          <cell r="K3568">
            <v>2</v>
          </cell>
        </row>
        <row r="3569">
          <cell r="A3569" t="str">
            <v>M2</v>
          </cell>
          <cell r="B3569" t="str">
            <v>A5C</v>
          </cell>
          <cell r="C3569" t="str">
            <v>P</v>
          </cell>
          <cell r="D3569" t="str">
            <v>23091</v>
          </cell>
          <cell r="E3569" t="str">
            <v>TEE</v>
          </cell>
          <cell r="F3569">
            <v>2</v>
          </cell>
          <cell r="G3569" t="str">
            <v>CB300304000600</v>
          </cell>
          <cell r="H3569">
            <v>6</v>
          </cell>
          <cell r="I3569" t="str">
            <v>--</v>
          </cell>
          <cell r="J3569">
            <v>2</v>
          </cell>
          <cell r="K3569">
            <v>3</v>
          </cell>
        </row>
        <row r="3570">
          <cell r="A3570" t="str">
            <v>M2</v>
          </cell>
          <cell r="B3570" t="str">
            <v>A5C</v>
          </cell>
          <cell r="C3570" t="str">
            <v>P</v>
          </cell>
          <cell r="D3570" t="str">
            <v>23130</v>
          </cell>
          <cell r="E3570" t="str">
            <v>TEE</v>
          </cell>
          <cell r="F3570">
            <v>2</v>
          </cell>
          <cell r="G3570" t="str">
            <v>CB300304000600</v>
          </cell>
          <cell r="H3570">
            <v>6</v>
          </cell>
          <cell r="I3570" t="str">
            <v>--</v>
          </cell>
          <cell r="J3570">
            <v>2</v>
          </cell>
          <cell r="K3570">
            <v>3</v>
          </cell>
        </row>
        <row r="3571">
          <cell r="A3571" t="str">
            <v>M2</v>
          </cell>
          <cell r="B3571" t="str">
            <v>A5C</v>
          </cell>
          <cell r="C3571" t="str">
            <v>P</v>
          </cell>
          <cell r="D3571" t="str">
            <v>23021</v>
          </cell>
          <cell r="E3571" t="str">
            <v>TEE</v>
          </cell>
          <cell r="F3571">
            <v>2</v>
          </cell>
          <cell r="G3571" t="str">
            <v>CB300304000600</v>
          </cell>
          <cell r="H3571">
            <v>6</v>
          </cell>
          <cell r="I3571" t="str">
            <v>--</v>
          </cell>
          <cell r="J3571">
            <v>1</v>
          </cell>
          <cell r="K3571">
            <v>2</v>
          </cell>
        </row>
        <row r="3572">
          <cell r="A3572" t="str">
            <v>M2</v>
          </cell>
          <cell r="B3572" t="str">
            <v>A5C</v>
          </cell>
          <cell r="C3572" t="str">
            <v>P</v>
          </cell>
          <cell r="D3572" t="str">
            <v>23026</v>
          </cell>
          <cell r="E3572" t="str">
            <v>TEE</v>
          </cell>
          <cell r="F3572">
            <v>2</v>
          </cell>
          <cell r="G3572" t="str">
            <v>CB300304000600</v>
          </cell>
          <cell r="H3572">
            <v>6</v>
          </cell>
          <cell r="I3572" t="str">
            <v>--</v>
          </cell>
          <cell r="J3572">
            <v>1</v>
          </cell>
          <cell r="K3572">
            <v>2</v>
          </cell>
        </row>
        <row r="3573">
          <cell r="A3573" t="str">
            <v>M2</v>
          </cell>
          <cell r="B3573" t="str">
            <v>A5C</v>
          </cell>
          <cell r="C3573" t="str">
            <v>P</v>
          </cell>
          <cell r="D3573" t="str">
            <v>23046</v>
          </cell>
          <cell r="E3573" t="str">
            <v>45 ELL</v>
          </cell>
          <cell r="F3573">
            <v>2</v>
          </cell>
          <cell r="G3573" t="str">
            <v>CB300204000800</v>
          </cell>
          <cell r="H3573">
            <v>8</v>
          </cell>
          <cell r="I3573" t="str">
            <v>--</v>
          </cell>
          <cell r="J3573">
            <v>1</v>
          </cell>
          <cell r="K3573">
            <v>2</v>
          </cell>
        </row>
        <row r="3574">
          <cell r="A3574" t="str">
            <v>M2</v>
          </cell>
          <cell r="B3574" t="str">
            <v>A5C</v>
          </cell>
          <cell r="C3574" t="str">
            <v>P</v>
          </cell>
          <cell r="D3574" t="str">
            <v>23046</v>
          </cell>
          <cell r="E3574" t="str">
            <v>90 ELL</v>
          </cell>
          <cell r="F3574">
            <v>2</v>
          </cell>
          <cell r="G3574" t="str">
            <v>CB300104000800</v>
          </cell>
          <cell r="H3574">
            <v>8</v>
          </cell>
          <cell r="I3574" t="str">
            <v>--</v>
          </cell>
          <cell r="J3574">
            <v>6</v>
          </cell>
          <cell r="K3574">
            <v>7</v>
          </cell>
        </row>
        <row r="3575">
          <cell r="A3575" t="str">
            <v>M2</v>
          </cell>
          <cell r="B3575" t="str">
            <v>A5C</v>
          </cell>
          <cell r="C3575" t="str">
            <v>P</v>
          </cell>
          <cell r="D3575" t="str">
            <v>23067</v>
          </cell>
          <cell r="E3575" t="str">
            <v>90 ELL</v>
          </cell>
          <cell r="F3575">
            <v>2</v>
          </cell>
          <cell r="G3575" t="str">
            <v>CB300104000800</v>
          </cell>
          <cell r="H3575">
            <v>8</v>
          </cell>
          <cell r="I3575" t="str">
            <v>--</v>
          </cell>
          <cell r="J3575">
            <v>5</v>
          </cell>
          <cell r="K3575">
            <v>6</v>
          </cell>
        </row>
        <row r="3576">
          <cell r="A3576" t="str">
            <v>M2</v>
          </cell>
          <cell r="B3576" t="str">
            <v>A5C</v>
          </cell>
          <cell r="C3576" t="str">
            <v>P</v>
          </cell>
          <cell r="D3576" t="str">
            <v>23126</v>
          </cell>
          <cell r="E3576" t="str">
            <v>90 ELL</v>
          </cell>
          <cell r="F3576">
            <v>2</v>
          </cell>
          <cell r="G3576" t="str">
            <v>CB300104000800</v>
          </cell>
          <cell r="H3576">
            <v>8</v>
          </cell>
          <cell r="I3576" t="str">
            <v>--</v>
          </cell>
          <cell r="J3576">
            <v>5</v>
          </cell>
          <cell r="K3576">
            <v>6</v>
          </cell>
        </row>
        <row r="3577">
          <cell r="A3577" t="str">
            <v>M2</v>
          </cell>
          <cell r="B3577" t="str">
            <v>A5C</v>
          </cell>
          <cell r="C3577" t="str">
            <v>P</v>
          </cell>
          <cell r="D3577" t="str">
            <v>23160</v>
          </cell>
          <cell r="E3577" t="str">
            <v>90 ELL</v>
          </cell>
          <cell r="F3577">
            <v>2</v>
          </cell>
          <cell r="G3577" t="str">
            <v>CB300104000800</v>
          </cell>
          <cell r="H3577">
            <v>8</v>
          </cell>
          <cell r="I3577" t="str">
            <v>--</v>
          </cell>
          <cell r="J3577">
            <v>10</v>
          </cell>
          <cell r="K3577">
            <v>12</v>
          </cell>
        </row>
        <row r="3578">
          <cell r="A3578" t="str">
            <v>M2</v>
          </cell>
          <cell r="B3578" t="str">
            <v>A5C</v>
          </cell>
          <cell r="C3578" t="str">
            <v>P</v>
          </cell>
          <cell r="D3578" t="str">
            <v>23160</v>
          </cell>
          <cell r="E3578" t="str">
            <v>E RED</v>
          </cell>
          <cell r="F3578">
            <v>2</v>
          </cell>
          <cell r="G3578" t="str">
            <v>CB300604040806</v>
          </cell>
          <cell r="H3578">
            <v>8</v>
          </cell>
          <cell r="I3578">
            <v>6</v>
          </cell>
          <cell r="J3578">
            <v>2</v>
          </cell>
          <cell r="K3578">
            <v>3</v>
          </cell>
        </row>
        <row r="3579">
          <cell r="A3579" t="str">
            <v>M2</v>
          </cell>
          <cell r="B3579" t="str">
            <v>A5C</v>
          </cell>
          <cell r="C3579" t="str">
            <v>P</v>
          </cell>
          <cell r="D3579" t="str">
            <v>23046</v>
          </cell>
          <cell r="E3579" t="str">
            <v>SOL</v>
          </cell>
          <cell r="F3579">
            <v>2</v>
          </cell>
          <cell r="G3579" t="str">
            <v>CB39020000080T</v>
          </cell>
          <cell r="H3579">
            <v>8</v>
          </cell>
          <cell r="I3579">
            <v>0.75</v>
          </cell>
          <cell r="J3579">
            <v>2</v>
          </cell>
          <cell r="K3579">
            <v>3</v>
          </cell>
        </row>
        <row r="3580">
          <cell r="A3580" t="str">
            <v>M2</v>
          </cell>
          <cell r="B3580" t="str">
            <v>A5C</v>
          </cell>
          <cell r="C3580" t="str">
            <v>P</v>
          </cell>
          <cell r="D3580" t="str">
            <v>23067</v>
          </cell>
          <cell r="E3580" t="str">
            <v>SOL</v>
          </cell>
          <cell r="F3580">
            <v>2</v>
          </cell>
          <cell r="G3580" t="str">
            <v>CB390200000801</v>
          </cell>
          <cell r="H3580">
            <v>8</v>
          </cell>
          <cell r="I3580">
            <v>1</v>
          </cell>
          <cell r="J3580">
            <v>1</v>
          </cell>
          <cell r="K3580">
            <v>2</v>
          </cell>
        </row>
        <row r="3581">
          <cell r="A3581" t="str">
            <v>M2</v>
          </cell>
          <cell r="B3581" t="str">
            <v>A5C</v>
          </cell>
          <cell r="C3581" t="str">
            <v>P</v>
          </cell>
          <cell r="D3581" t="str">
            <v>23067</v>
          </cell>
          <cell r="E3581" t="str">
            <v>SOL</v>
          </cell>
          <cell r="F3581">
            <v>2</v>
          </cell>
          <cell r="G3581" t="str">
            <v>CB3902000008IH</v>
          </cell>
          <cell r="H3581">
            <v>8</v>
          </cell>
          <cell r="I3581">
            <v>1.5</v>
          </cell>
          <cell r="J3581">
            <v>1</v>
          </cell>
          <cell r="K3581">
            <v>2</v>
          </cell>
        </row>
        <row r="3582">
          <cell r="A3582" t="str">
            <v>M2</v>
          </cell>
          <cell r="B3582" t="str">
            <v>A5C</v>
          </cell>
          <cell r="C3582" t="str">
            <v>P</v>
          </cell>
          <cell r="D3582" t="str">
            <v>23067</v>
          </cell>
          <cell r="E3582" t="str">
            <v>SOL</v>
          </cell>
          <cell r="F3582">
            <v>2</v>
          </cell>
          <cell r="G3582" t="str">
            <v>CB39020000080T</v>
          </cell>
          <cell r="H3582">
            <v>8</v>
          </cell>
          <cell r="I3582">
            <v>0.75</v>
          </cell>
          <cell r="J3582">
            <v>2</v>
          </cell>
          <cell r="K3582">
            <v>3</v>
          </cell>
        </row>
        <row r="3583">
          <cell r="A3583" t="str">
            <v>M2</v>
          </cell>
          <cell r="B3583" t="str">
            <v>A5C</v>
          </cell>
          <cell r="C3583" t="str">
            <v>P</v>
          </cell>
          <cell r="D3583" t="str">
            <v>23046</v>
          </cell>
          <cell r="E3583" t="str">
            <v>SOL</v>
          </cell>
          <cell r="F3583">
            <v>2</v>
          </cell>
          <cell r="G3583" t="str">
            <v>CB390200000801</v>
          </cell>
          <cell r="H3583">
            <v>8</v>
          </cell>
          <cell r="I3583">
            <v>1</v>
          </cell>
          <cell r="J3583">
            <v>1</v>
          </cell>
          <cell r="K3583">
            <v>2</v>
          </cell>
        </row>
        <row r="3584">
          <cell r="A3584" t="str">
            <v>M2</v>
          </cell>
          <cell r="B3584" t="str">
            <v>A5C</v>
          </cell>
          <cell r="C3584" t="str">
            <v>P</v>
          </cell>
          <cell r="D3584" t="str">
            <v>23126</v>
          </cell>
          <cell r="E3584" t="str">
            <v>SOL</v>
          </cell>
          <cell r="F3584">
            <v>2</v>
          </cell>
          <cell r="G3584" t="str">
            <v>CB3902000008IH</v>
          </cell>
          <cell r="H3584">
            <v>8</v>
          </cell>
          <cell r="I3584">
            <v>1.5</v>
          </cell>
          <cell r="J3584">
            <v>1</v>
          </cell>
          <cell r="K3584">
            <v>2</v>
          </cell>
        </row>
        <row r="3585">
          <cell r="A3585" t="str">
            <v>M2</v>
          </cell>
          <cell r="B3585" t="str">
            <v>A5C</v>
          </cell>
          <cell r="C3585" t="str">
            <v>P</v>
          </cell>
          <cell r="D3585" t="str">
            <v>23126</v>
          </cell>
          <cell r="E3585" t="str">
            <v>SOL</v>
          </cell>
          <cell r="F3585">
            <v>2</v>
          </cell>
          <cell r="G3585" t="str">
            <v>CB390200000801</v>
          </cell>
          <cell r="H3585">
            <v>8</v>
          </cell>
          <cell r="I3585">
            <v>1</v>
          </cell>
          <cell r="J3585">
            <v>1</v>
          </cell>
          <cell r="K3585">
            <v>2</v>
          </cell>
        </row>
        <row r="3586">
          <cell r="A3586" t="str">
            <v>M2</v>
          </cell>
          <cell r="B3586" t="str">
            <v>A5C</v>
          </cell>
          <cell r="C3586" t="str">
            <v>P</v>
          </cell>
          <cell r="D3586" t="str">
            <v>23126</v>
          </cell>
          <cell r="E3586" t="str">
            <v>SOL</v>
          </cell>
          <cell r="F3586">
            <v>2</v>
          </cell>
          <cell r="G3586" t="str">
            <v>CB39020000080T</v>
          </cell>
          <cell r="H3586">
            <v>8</v>
          </cell>
          <cell r="I3586">
            <v>0.75</v>
          </cell>
          <cell r="J3586">
            <v>2</v>
          </cell>
          <cell r="K3586">
            <v>3</v>
          </cell>
        </row>
        <row r="3587">
          <cell r="A3587" t="str">
            <v>M2</v>
          </cell>
          <cell r="B3587" t="str">
            <v>A5C</v>
          </cell>
          <cell r="C3587" t="str">
            <v>P</v>
          </cell>
          <cell r="D3587" t="str">
            <v>23160</v>
          </cell>
          <cell r="E3587" t="str">
            <v>SOL</v>
          </cell>
          <cell r="F3587">
            <v>2</v>
          </cell>
          <cell r="G3587" t="str">
            <v>CB39020000080T</v>
          </cell>
          <cell r="H3587">
            <v>8</v>
          </cell>
          <cell r="I3587">
            <v>0.75</v>
          </cell>
          <cell r="J3587">
            <v>3</v>
          </cell>
          <cell r="K3587">
            <v>4</v>
          </cell>
        </row>
        <row r="3588">
          <cell r="A3588" t="str">
            <v>M2</v>
          </cell>
          <cell r="B3588" t="str">
            <v>A5C</v>
          </cell>
          <cell r="C3588" t="str">
            <v>P</v>
          </cell>
          <cell r="D3588" t="str">
            <v>23093</v>
          </cell>
          <cell r="E3588" t="str">
            <v>90 ELL</v>
          </cell>
          <cell r="F3588">
            <v>2</v>
          </cell>
          <cell r="G3588" t="str">
            <v>CB300104000800</v>
          </cell>
          <cell r="H3588">
            <v>8</v>
          </cell>
          <cell r="I3588" t="str">
            <v>--</v>
          </cell>
          <cell r="J3588">
            <v>3</v>
          </cell>
          <cell r="K3588">
            <v>4</v>
          </cell>
        </row>
        <row r="3589">
          <cell r="A3589" t="str">
            <v>M2</v>
          </cell>
          <cell r="B3589" t="str">
            <v>A5C</v>
          </cell>
          <cell r="C3589" t="str">
            <v>P</v>
          </cell>
          <cell r="D3589" t="str">
            <v>23089</v>
          </cell>
          <cell r="E3589" t="str">
            <v>90 ELL</v>
          </cell>
          <cell r="F3589">
            <v>2</v>
          </cell>
          <cell r="G3589" t="str">
            <v>CB300104000800</v>
          </cell>
          <cell r="H3589">
            <v>8</v>
          </cell>
          <cell r="I3589" t="str">
            <v>--</v>
          </cell>
          <cell r="J3589">
            <v>3</v>
          </cell>
          <cell r="K3589">
            <v>4</v>
          </cell>
        </row>
        <row r="3590">
          <cell r="A3590" t="str">
            <v>M2</v>
          </cell>
          <cell r="B3590" t="str">
            <v>A5C</v>
          </cell>
          <cell r="C3590" t="str">
            <v>P</v>
          </cell>
          <cell r="D3590" t="str">
            <v>23128</v>
          </cell>
          <cell r="E3590" t="str">
            <v>90 ELL</v>
          </cell>
          <cell r="F3590">
            <v>2</v>
          </cell>
          <cell r="G3590" t="str">
            <v>CB300104000800</v>
          </cell>
          <cell r="H3590">
            <v>8</v>
          </cell>
          <cell r="I3590" t="str">
            <v>--</v>
          </cell>
          <cell r="J3590">
            <v>3</v>
          </cell>
          <cell r="K3590">
            <v>4</v>
          </cell>
        </row>
        <row r="3591">
          <cell r="A3591" t="str">
            <v>M2</v>
          </cell>
          <cell r="B3591" t="str">
            <v>A5C</v>
          </cell>
          <cell r="C3591" t="str">
            <v>P</v>
          </cell>
          <cell r="D3591" t="str">
            <v>23132</v>
          </cell>
          <cell r="E3591" t="str">
            <v>90 ELL</v>
          </cell>
          <cell r="F3591">
            <v>2</v>
          </cell>
          <cell r="G3591" t="str">
            <v>CB300104000800</v>
          </cell>
          <cell r="H3591">
            <v>8</v>
          </cell>
          <cell r="I3591" t="str">
            <v>--</v>
          </cell>
          <cell r="J3591">
            <v>3</v>
          </cell>
          <cell r="K3591">
            <v>4</v>
          </cell>
        </row>
        <row r="3592">
          <cell r="A3592" t="str">
            <v>M2</v>
          </cell>
          <cell r="B3592" t="str">
            <v>A5C</v>
          </cell>
          <cell r="C3592" t="str">
            <v>P</v>
          </cell>
          <cell r="D3592" t="str">
            <v>23089</v>
          </cell>
          <cell r="E3592" t="str">
            <v>E RED</v>
          </cell>
          <cell r="F3592">
            <v>2</v>
          </cell>
          <cell r="G3592" t="str">
            <v>CB300604040806</v>
          </cell>
          <cell r="H3592">
            <v>8</v>
          </cell>
          <cell r="I3592">
            <v>6</v>
          </cell>
          <cell r="J3592">
            <v>2</v>
          </cell>
          <cell r="K3592">
            <v>3</v>
          </cell>
        </row>
        <row r="3593">
          <cell r="A3593" t="str">
            <v>M2</v>
          </cell>
          <cell r="B3593" t="str">
            <v>A5C</v>
          </cell>
          <cell r="C3593" t="str">
            <v>P</v>
          </cell>
          <cell r="D3593" t="str">
            <v>23128</v>
          </cell>
          <cell r="E3593" t="str">
            <v>E RED</v>
          </cell>
          <cell r="F3593">
            <v>2</v>
          </cell>
          <cell r="G3593" t="str">
            <v>CB300604040806</v>
          </cell>
          <cell r="H3593">
            <v>8</v>
          </cell>
          <cell r="I3593">
            <v>6</v>
          </cell>
          <cell r="J3593">
            <v>2</v>
          </cell>
          <cell r="K3593">
            <v>3</v>
          </cell>
        </row>
        <row r="3594">
          <cell r="A3594" t="str">
            <v>M2</v>
          </cell>
          <cell r="B3594" t="str">
            <v>A5C</v>
          </cell>
          <cell r="C3594" t="str">
            <v>P</v>
          </cell>
          <cell r="D3594" t="str">
            <v>23089</v>
          </cell>
          <cell r="E3594" t="str">
            <v>SOL</v>
          </cell>
          <cell r="F3594">
            <v>2</v>
          </cell>
          <cell r="G3594" t="str">
            <v>CB39020000080T</v>
          </cell>
          <cell r="H3594">
            <v>8</v>
          </cell>
          <cell r="I3594">
            <v>0.75</v>
          </cell>
          <cell r="J3594">
            <v>2</v>
          </cell>
          <cell r="K3594">
            <v>3</v>
          </cell>
        </row>
        <row r="3595">
          <cell r="A3595" t="str">
            <v>M2</v>
          </cell>
          <cell r="B3595" t="str">
            <v>A5C</v>
          </cell>
          <cell r="C3595" t="str">
            <v>P</v>
          </cell>
          <cell r="D3595" t="str">
            <v>23089</v>
          </cell>
          <cell r="E3595" t="str">
            <v>SOL</v>
          </cell>
          <cell r="F3595">
            <v>2</v>
          </cell>
          <cell r="G3595" t="str">
            <v>CB3902000008IH</v>
          </cell>
          <cell r="H3595">
            <v>8</v>
          </cell>
          <cell r="I3595">
            <v>1.5</v>
          </cell>
          <cell r="J3595">
            <v>1</v>
          </cell>
          <cell r="K3595">
            <v>2</v>
          </cell>
        </row>
        <row r="3596">
          <cell r="A3596" t="str">
            <v>M2</v>
          </cell>
          <cell r="B3596" t="str">
            <v>A5C</v>
          </cell>
          <cell r="C3596" t="str">
            <v>P</v>
          </cell>
          <cell r="D3596" t="str">
            <v>23128</v>
          </cell>
          <cell r="E3596" t="str">
            <v>SOL</v>
          </cell>
          <cell r="F3596">
            <v>2</v>
          </cell>
          <cell r="G3596" t="str">
            <v>CB39020000080T</v>
          </cell>
          <cell r="H3596">
            <v>8</v>
          </cell>
          <cell r="I3596">
            <v>0.75</v>
          </cell>
          <cell r="J3596">
            <v>2</v>
          </cell>
          <cell r="K3596">
            <v>3</v>
          </cell>
        </row>
        <row r="3597">
          <cell r="A3597" t="str">
            <v>M2</v>
          </cell>
          <cell r="B3597" t="str">
            <v>A5C</v>
          </cell>
          <cell r="C3597" t="str">
            <v>P</v>
          </cell>
          <cell r="D3597" t="str">
            <v>23128</v>
          </cell>
          <cell r="E3597" t="str">
            <v>SOL</v>
          </cell>
          <cell r="F3597">
            <v>2</v>
          </cell>
          <cell r="G3597" t="str">
            <v>CB3902000008IH</v>
          </cell>
          <cell r="H3597">
            <v>8</v>
          </cell>
          <cell r="I3597">
            <v>1.5</v>
          </cell>
          <cell r="J3597">
            <v>1</v>
          </cell>
          <cell r="K3597">
            <v>2</v>
          </cell>
        </row>
        <row r="3598">
          <cell r="A3598" t="str">
            <v>M2</v>
          </cell>
          <cell r="B3598" t="str">
            <v>A5C</v>
          </cell>
          <cell r="C3598" t="str">
            <v>P</v>
          </cell>
          <cell r="D3598" t="str">
            <v>23089</v>
          </cell>
          <cell r="E3598" t="str">
            <v>TEE</v>
          </cell>
          <cell r="F3598">
            <v>2</v>
          </cell>
          <cell r="G3598" t="str">
            <v>CB300304000800</v>
          </cell>
          <cell r="H3598">
            <v>8</v>
          </cell>
          <cell r="I3598" t="str">
            <v>--</v>
          </cell>
          <cell r="J3598">
            <v>1</v>
          </cell>
          <cell r="K3598">
            <v>2</v>
          </cell>
        </row>
        <row r="3599">
          <cell r="A3599" t="str">
            <v>M2</v>
          </cell>
          <cell r="B3599" t="str">
            <v>A5C</v>
          </cell>
          <cell r="C3599" t="str">
            <v>P</v>
          </cell>
          <cell r="D3599" t="str">
            <v>23128</v>
          </cell>
          <cell r="E3599" t="str">
            <v>TEE</v>
          </cell>
          <cell r="F3599">
            <v>2</v>
          </cell>
          <cell r="G3599" t="str">
            <v>CB300304000800</v>
          </cell>
          <cell r="H3599">
            <v>8</v>
          </cell>
          <cell r="I3599" t="str">
            <v>--</v>
          </cell>
          <cell r="J3599">
            <v>1</v>
          </cell>
          <cell r="K3599">
            <v>2</v>
          </cell>
        </row>
        <row r="3600">
          <cell r="A3600" t="str">
            <v>M2</v>
          </cell>
          <cell r="B3600" t="str">
            <v>A5C</v>
          </cell>
          <cell r="C3600" t="str">
            <v>P</v>
          </cell>
          <cell r="D3600" t="str">
            <v>23010</v>
          </cell>
          <cell r="E3600" t="str">
            <v>90 ELL</v>
          </cell>
          <cell r="F3600">
            <v>2</v>
          </cell>
          <cell r="G3600" t="str">
            <v>CB300104000800</v>
          </cell>
          <cell r="H3600">
            <v>8</v>
          </cell>
          <cell r="I3600" t="str">
            <v>--</v>
          </cell>
          <cell r="J3600">
            <v>1</v>
          </cell>
          <cell r="K3600">
            <v>2</v>
          </cell>
        </row>
        <row r="3601">
          <cell r="A3601" t="str">
            <v>M2</v>
          </cell>
          <cell r="B3601" t="str">
            <v>A5C</v>
          </cell>
          <cell r="C3601" t="str">
            <v>P</v>
          </cell>
          <cell r="D3601" t="str">
            <v>23010</v>
          </cell>
          <cell r="E3601" t="str">
            <v>SOL</v>
          </cell>
          <cell r="F3601">
            <v>2</v>
          </cell>
          <cell r="G3601" t="str">
            <v>CB3902000008IH</v>
          </cell>
          <cell r="H3601">
            <v>8</v>
          </cell>
          <cell r="I3601">
            <v>1.5</v>
          </cell>
          <cell r="J3601">
            <v>1</v>
          </cell>
          <cell r="K3601">
            <v>2</v>
          </cell>
        </row>
        <row r="3602">
          <cell r="A3602" t="str">
            <v>M2</v>
          </cell>
          <cell r="B3602" t="str">
            <v>A5C</v>
          </cell>
          <cell r="C3602" t="str">
            <v>P</v>
          </cell>
          <cell r="D3602" t="str">
            <v>23011</v>
          </cell>
          <cell r="E3602" t="str">
            <v>90 ELL</v>
          </cell>
          <cell r="F3602">
            <v>2</v>
          </cell>
          <cell r="G3602" t="str">
            <v>CB300104001000</v>
          </cell>
          <cell r="H3602">
            <v>10</v>
          </cell>
          <cell r="I3602" t="str">
            <v>--</v>
          </cell>
          <cell r="J3602">
            <v>6</v>
          </cell>
          <cell r="K3602">
            <v>7</v>
          </cell>
        </row>
        <row r="3603">
          <cell r="A3603" t="str">
            <v>M2</v>
          </cell>
          <cell r="B3603" t="str">
            <v>A5C</v>
          </cell>
          <cell r="C3603" t="str">
            <v>P</v>
          </cell>
          <cell r="D3603" t="str">
            <v>23023</v>
          </cell>
          <cell r="E3603" t="str">
            <v>90 ELL</v>
          </cell>
          <cell r="F3603">
            <v>2</v>
          </cell>
          <cell r="G3603" t="str">
            <v>CB300104001000</v>
          </cell>
          <cell r="H3603">
            <v>10</v>
          </cell>
          <cell r="I3603" t="str">
            <v>--</v>
          </cell>
          <cell r="J3603">
            <v>3</v>
          </cell>
          <cell r="K3603">
            <v>4</v>
          </cell>
        </row>
        <row r="3604">
          <cell r="A3604" t="str">
            <v>M2</v>
          </cell>
          <cell r="B3604" t="str">
            <v>A5C</v>
          </cell>
          <cell r="C3604" t="str">
            <v>P</v>
          </cell>
          <cell r="D3604" t="str">
            <v>23057</v>
          </cell>
          <cell r="E3604" t="str">
            <v>90 ELL</v>
          </cell>
          <cell r="F3604">
            <v>2</v>
          </cell>
          <cell r="G3604" t="str">
            <v>CB300104001000</v>
          </cell>
          <cell r="H3604">
            <v>10</v>
          </cell>
          <cell r="I3604" t="str">
            <v>--</v>
          </cell>
          <cell r="J3604">
            <v>8</v>
          </cell>
          <cell r="K3604">
            <v>9</v>
          </cell>
        </row>
        <row r="3605">
          <cell r="A3605" t="str">
            <v>M2</v>
          </cell>
          <cell r="B3605" t="str">
            <v>A5C</v>
          </cell>
          <cell r="C3605" t="str">
            <v>P</v>
          </cell>
          <cell r="D3605" t="str">
            <v>23023</v>
          </cell>
          <cell r="E3605" t="str">
            <v>C RED</v>
          </cell>
          <cell r="F3605">
            <v>2</v>
          </cell>
          <cell r="G3605" t="str">
            <v>CB300504041006</v>
          </cell>
          <cell r="H3605">
            <v>10</v>
          </cell>
          <cell r="I3605">
            <v>6</v>
          </cell>
          <cell r="J3605">
            <v>2</v>
          </cell>
          <cell r="K3605">
            <v>3</v>
          </cell>
        </row>
        <row r="3606">
          <cell r="A3606" t="str">
            <v>M2</v>
          </cell>
          <cell r="B3606" t="str">
            <v>A5C</v>
          </cell>
          <cell r="C3606" t="str">
            <v>P</v>
          </cell>
          <cell r="D3606" t="str">
            <v>23011</v>
          </cell>
          <cell r="E3606" t="str">
            <v>SOL</v>
          </cell>
          <cell r="F3606">
            <v>2</v>
          </cell>
          <cell r="G3606" t="str">
            <v>CB39020000100T</v>
          </cell>
          <cell r="H3606">
            <v>10</v>
          </cell>
          <cell r="I3606">
            <v>0.75</v>
          </cell>
          <cell r="J3606">
            <v>3</v>
          </cell>
          <cell r="K3606">
            <v>4</v>
          </cell>
        </row>
        <row r="3607">
          <cell r="A3607" t="str">
            <v>M2</v>
          </cell>
          <cell r="B3607" t="str">
            <v>A5C</v>
          </cell>
          <cell r="C3607" t="str">
            <v>P</v>
          </cell>
          <cell r="D3607" t="str">
            <v>23011</v>
          </cell>
          <cell r="E3607" t="str">
            <v>SOL</v>
          </cell>
          <cell r="F3607">
            <v>2</v>
          </cell>
          <cell r="G3607" t="str">
            <v>CB390200001001</v>
          </cell>
          <cell r="H3607">
            <v>10</v>
          </cell>
          <cell r="I3607">
            <v>1</v>
          </cell>
          <cell r="J3607">
            <v>1</v>
          </cell>
          <cell r="K3607">
            <v>2</v>
          </cell>
        </row>
        <row r="3608">
          <cell r="A3608" t="str">
            <v>M2</v>
          </cell>
          <cell r="B3608" t="str">
            <v>A5C</v>
          </cell>
          <cell r="C3608" t="str">
            <v>P</v>
          </cell>
          <cell r="D3608" t="str">
            <v>23057</v>
          </cell>
          <cell r="E3608" t="str">
            <v>SOL</v>
          </cell>
          <cell r="F3608">
            <v>2</v>
          </cell>
          <cell r="G3608" t="str">
            <v>CB39020000100T</v>
          </cell>
          <cell r="H3608">
            <v>10</v>
          </cell>
          <cell r="I3608">
            <v>0.75</v>
          </cell>
          <cell r="J3608">
            <v>2</v>
          </cell>
          <cell r="K3608">
            <v>3</v>
          </cell>
        </row>
        <row r="3609">
          <cell r="A3609" t="str">
            <v>M2</v>
          </cell>
          <cell r="B3609" t="str">
            <v>A5C</v>
          </cell>
          <cell r="C3609" t="str">
            <v>P</v>
          </cell>
          <cell r="D3609" t="str">
            <v>23057</v>
          </cell>
          <cell r="E3609" t="str">
            <v>SOL</v>
          </cell>
          <cell r="F3609">
            <v>2</v>
          </cell>
          <cell r="G3609" t="str">
            <v>CB390200001001</v>
          </cell>
          <cell r="H3609">
            <v>10</v>
          </cell>
          <cell r="I3609">
            <v>1</v>
          </cell>
          <cell r="J3609">
            <v>1</v>
          </cell>
          <cell r="K3609">
            <v>2</v>
          </cell>
        </row>
        <row r="3610">
          <cell r="A3610" t="str">
            <v>M2</v>
          </cell>
          <cell r="B3610" t="str">
            <v>A5C</v>
          </cell>
          <cell r="C3610" t="str">
            <v>P</v>
          </cell>
          <cell r="D3610" t="str">
            <v>23023</v>
          </cell>
          <cell r="E3610" t="str">
            <v>TEE</v>
          </cell>
          <cell r="F3610">
            <v>2</v>
          </cell>
          <cell r="G3610" t="str">
            <v>CB300304001000</v>
          </cell>
          <cell r="H3610">
            <v>10</v>
          </cell>
          <cell r="I3610" t="str">
            <v>--</v>
          </cell>
          <cell r="J3610">
            <v>1</v>
          </cell>
          <cell r="K3610">
            <v>2</v>
          </cell>
        </row>
        <row r="3611">
          <cell r="A3611" t="str">
            <v>M2</v>
          </cell>
          <cell r="B3611" t="str">
            <v>A5C</v>
          </cell>
          <cell r="C3611" t="str">
            <v>P</v>
          </cell>
          <cell r="D3611" t="str">
            <v>23049</v>
          </cell>
          <cell r="E3611" t="str">
            <v>90 ELL</v>
          </cell>
          <cell r="F3611">
            <v>2</v>
          </cell>
          <cell r="G3611" t="str">
            <v>CB300104001000</v>
          </cell>
          <cell r="H3611">
            <v>10</v>
          </cell>
          <cell r="I3611" t="str">
            <v>--</v>
          </cell>
          <cell r="J3611">
            <v>1</v>
          </cell>
          <cell r="K3611">
            <v>2</v>
          </cell>
        </row>
        <row r="3612">
          <cell r="A3612" t="str">
            <v>M2</v>
          </cell>
          <cell r="B3612" t="str">
            <v>A5C</v>
          </cell>
          <cell r="C3612" t="str">
            <v>P</v>
          </cell>
          <cell r="D3612" t="str">
            <v>23060</v>
          </cell>
          <cell r="E3612" t="str">
            <v>90 ELL</v>
          </cell>
          <cell r="F3612">
            <v>2</v>
          </cell>
          <cell r="G3612" t="str">
            <v>CB300104001000</v>
          </cell>
          <cell r="H3612">
            <v>10</v>
          </cell>
          <cell r="I3612" t="str">
            <v>--</v>
          </cell>
          <cell r="J3612">
            <v>1</v>
          </cell>
          <cell r="K3612">
            <v>2</v>
          </cell>
        </row>
        <row r="3613">
          <cell r="A3613" t="str">
            <v>M2</v>
          </cell>
          <cell r="B3613" t="str">
            <v>A5C</v>
          </cell>
          <cell r="C3613" t="str">
            <v>P</v>
          </cell>
          <cell r="D3613" t="str">
            <v>23031</v>
          </cell>
          <cell r="E3613" t="str">
            <v>90 ELL</v>
          </cell>
          <cell r="F3613">
            <v>2</v>
          </cell>
          <cell r="G3613" t="str">
            <v>CB300104001200</v>
          </cell>
          <cell r="H3613">
            <v>12</v>
          </cell>
          <cell r="I3613" t="str">
            <v>--</v>
          </cell>
          <cell r="J3613">
            <v>1</v>
          </cell>
          <cell r="K3613">
            <v>2</v>
          </cell>
        </row>
        <row r="3614">
          <cell r="A3614" t="str">
            <v>M2</v>
          </cell>
          <cell r="B3614" t="str">
            <v>A5C</v>
          </cell>
          <cell r="C3614" t="str">
            <v>P</v>
          </cell>
          <cell r="D3614" t="str">
            <v>23015</v>
          </cell>
          <cell r="E3614" t="str">
            <v>90 ELL</v>
          </cell>
          <cell r="F3614">
            <v>2</v>
          </cell>
          <cell r="G3614" t="str">
            <v>CB300104001200</v>
          </cell>
          <cell r="H3614">
            <v>12</v>
          </cell>
          <cell r="I3614" t="str">
            <v>--</v>
          </cell>
          <cell r="J3614">
            <v>1</v>
          </cell>
          <cell r="K3614">
            <v>2</v>
          </cell>
        </row>
        <row r="3615">
          <cell r="A3615" t="str">
            <v>M2</v>
          </cell>
          <cell r="B3615" t="str">
            <v>A5C</v>
          </cell>
          <cell r="C3615" t="str">
            <v>P</v>
          </cell>
          <cell r="D3615" t="str">
            <v>23032</v>
          </cell>
          <cell r="E3615" t="str">
            <v>90 ELL</v>
          </cell>
          <cell r="F3615">
            <v>2</v>
          </cell>
          <cell r="G3615" t="str">
            <v>CB300104001600</v>
          </cell>
          <cell r="H3615">
            <v>16</v>
          </cell>
          <cell r="I3615" t="str">
            <v>--</v>
          </cell>
          <cell r="J3615">
            <v>3</v>
          </cell>
          <cell r="K3615">
            <v>3</v>
          </cell>
        </row>
        <row r="3616">
          <cell r="A3616" t="str">
            <v>M2</v>
          </cell>
          <cell r="B3616" t="str">
            <v>A5C</v>
          </cell>
          <cell r="C3616" t="str">
            <v>P</v>
          </cell>
          <cell r="D3616" t="str">
            <v>23032</v>
          </cell>
          <cell r="E3616" t="str">
            <v>SOL</v>
          </cell>
          <cell r="F3616">
            <v>2</v>
          </cell>
          <cell r="G3616" t="str">
            <v>CB39020000160T</v>
          </cell>
          <cell r="H3616">
            <v>16</v>
          </cell>
          <cell r="I3616">
            <v>0.75</v>
          </cell>
          <cell r="J3616">
            <v>2</v>
          </cell>
          <cell r="K3616">
            <v>2</v>
          </cell>
        </row>
        <row r="3617">
          <cell r="A3617" t="str">
            <v>M2</v>
          </cell>
          <cell r="B3617" t="str">
            <v>A5C</v>
          </cell>
          <cell r="C3617" t="str">
            <v>P</v>
          </cell>
          <cell r="D3617" t="str">
            <v>23022</v>
          </cell>
          <cell r="E3617" t="str">
            <v>90 ELL</v>
          </cell>
          <cell r="F3617">
            <v>2</v>
          </cell>
          <cell r="G3617" t="str">
            <v>CB300104001800</v>
          </cell>
          <cell r="H3617">
            <v>18</v>
          </cell>
          <cell r="I3617" t="str">
            <v>--</v>
          </cell>
          <cell r="J3617">
            <v>6</v>
          </cell>
          <cell r="K3617">
            <v>6</v>
          </cell>
        </row>
        <row r="3618">
          <cell r="A3618" t="str">
            <v>M2</v>
          </cell>
          <cell r="B3618" t="str">
            <v>A5C</v>
          </cell>
          <cell r="C3618" t="str">
            <v>P</v>
          </cell>
          <cell r="D3618" t="str">
            <v>23022</v>
          </cell>
          <cell r="E3618" t="str">
            <v>E RED</v>
          </cell>
          <cell r="F3618">
            <v>2</v>
          </cell>
          <cell r="G3618" t="str">
            <v>CB300604041812</v>
          </cell>
          <cell r="H3618">
            <v>18</v>
          </cell>
          <cell r="I3618" t="str">
            <v>12</v>
          </cell>
          <cell r="J3618">
            <v>2</v>
          </cell>
          <cell r="K3618">
            <v>2</v>
          </cell>
        </row>
        <row r="3619">
          <cell r="A3619" t="str">
            <v>M2</v>
          </cell>
          <cell r="B3619" t="str">
            <v>A5C</v>
          </cell>
          <cell r="C3619" t="str">
            <v>P</v>
          </cell>
          <cell r="D3619" t="str">
            <v>23022</v>
          </cell>
          <cell r="E3619" t="str">
            <v>SOL</v>
          </cell>
          <cell r="F3619">
            <v>2</v>
          </cell>
          <cell r="G3619" t="str">
            <v>CB39020000180T</v>
          </cell>
          <cell r="H3619">
            <v>18</v>
          </cell>
          <cell r="I3619">
            <v>0.75</v>
          </cell>
          <cell r="J3619">
            <v>2</v>
          </cell>
          <cell r="K3619">
            <v>2</v>
          </cell>
        </row>
        <row r="3620">
          <cell r="A3620" t="str">
            <v>M2</v>
          </cell>
          <cell r="B3620" t="str">
            <v>A5C</v>
          </cell>
          <cell r="C3620" t="str">
            <v>P</v>
          </cell>
          <cell r="D3620" t="str">
            <v>23022</v>
          </cell>
          <cell r="E3620" t="str">
            <v>SOL</v>
          </cell>
          <cell r="F3620">
            <v>2</v>
          </cell>
          <cell r="G3620" t="str">
            <v>CB390200001801</v>
          </cell>
          <cell r="H3620">
            <v>18</v>
          </cell>
          <cell r="I3620">
            <v>1</v>
          </cell>
          <cell r="J3620">
            <v>1</v>
          </cell>
          <cell r="K3620">
            <v>1</v>
          </cell>
        </row>
        <row r="3621">
          <cell r="A3621" t="str">
            <v>M2</v>
          </cell>
          <cell r="B3621" t="str">
            <v>A5C</v>
          </cell>
          <cell r="C3621" t="str">
            <v>P</v>
          </cell>
          <cell r="D3621" t="str">
            <v>23022</v>
          </cell>
          <cell r="E3621" t="str">
            <v>C RED</v>
          </cell>
          <cell r="F3621">
            <v>2</v>
          </cell>
          <cell r="G3621" t="str">
            <v>CB300504042018</v>
          </cell>
          <cell r="H3621">
            <v>20</v>
          </cell>
          <cell r="I3621">
            <v>18</v>
          </cell>
          <cell r="J3621">
            <v>1</v>
          </cell>
          <cell r="K3621">
            <v>1</v>
          </cell>
        </row>
        <row r="3622">
          <cell r="A3622" t="str">
            <v>M2</v>
          </cell>
          <cell r="B3622" t="str">
            <v>A5C</v>
          </cell>
          <cell r="C3622" t="str">
            <v>P</v>
          </cell>
          <cell r="D3622" t="str">
            <v>23034</v>
          </cell>
          <cell r="E3622" t="str">
            <v>90 ELL</v>
          </cell>
          <cell r="F3622">
            <v>2</v>
          </cell>
          <cell r="G3622" t="str">
            <v>CB300104002000</v>
          </cell>
          <cell r="H3622">
            <v>20</v>
          </cell>
          <cell r="I3622" t="str">
            <v>--</v>
          </cell>
          <cell r="J3622">
            <v>1</v>
          </cell>
          <cell r="K3622">
            <v>1</v>
          </cell>
        </row>
        <row r="3623">
          <cell r="A3623" t="str">
            <v>M2</v>
          </cell>
          <cell r="B3623" t="str">
            <v>A5C</v>
          </cell>
          <cell r="C3623" t="str">
            <v>P</v>
          </cell>
          <cell r="D3623" t="str">
            <v>23063</v>
          </cell>
          <cell r="E3623" t="str">
            <v>SW FLG</v>
          </cell>
          <cell r="F3623">
            <v>3</v>
          </cell>
          <cell r="G3623" t="str">
            <v>CB240208000H00</v>
          </cell>
          <cell r="H3623">
            <v>0.5</v>
          </cell>
          <cell r="I3623" t="str">
            <v>--</v>
          </cell>
          <cell r="J3623">
            <v>2</v>
          </cell>
          <cell r="K3623">
            <v>2</v>
          </cell>
        </row>
        <row r="3624">
          <cell r="A3624" t="str">
            <v>M2</v>
          </cell>
          <cell r="B3624" t="str">
            <v>A5C</v>
          </cell>
          <cell r="C3624" t="str">
            <v>P</v>
          </cell>
          <cell r="D3624" t="str">
            <v>23078</v>
          </cell>
          <cell r="E3624" t="str">
            <v>SW FLG</v>
          </cell>
          <cell r="F3624">
            <v>3</v>
          </cell>
          <cell r="G3624" t="str">
            <v>CB240208000H00</v>
          </cell>
          <cell r="H3624">
            <v>0.5</v>
          </cell>
          <cell r="I3624" t="str">
            <v>--</v>
          </cell>
          <cell r="J3624">
            <v>2</v>
          </cell>
          <cell r="K3624">
            <v>2</v>
          </cell>
        </row>
        <row r="3625">
          <cell r="A3625" t="str">
            <v>M2</v>
          </cell>
          <cell r="B3625" t="str">
            <v>A5C</v>
          </cell>
          <cell r="C3625" t="str">
            <v>P</v>
          </cell>
          <cell r="D3625" t="str">
            <v>23094</v>
          </cell>
          <cell r="E3625" t="str">
            <v>SW FLG</v>
          </cell>
          <cell r="F3625">
            <v>3</v>
          </cell>
          <cell r="G3625" t="str">
            <v>CB240208000H00</v>
          </cell>
          <cell r="H3625">
            <v>0.5</v>
          </cell>
          <cell r="I3625" t="str">
            <v>--</v>
          </cell>
          <cell r="J3625">
            <v>2</v>
          </cell>
          <cell r="K3625">
            <v>2</v>
          </cell>
        </row>
        <row r="3626">
          <cell r="A3626" t="str">
            <v>M2</v>
          </cell>
          <cell r="B3626" t="str">
            <v>A5C</v>
          </cell>
          <cell r="C3626" t="str">
            <v>P</v>
          </cell>
          <cell r="D3626" t="str">
            <v>23113</v>
          </cell>
          <cell r="E3626" t="str">
            <v>SW FLG</v>
          </cell>
          <cell r="F3626">
            <v>3</v>
          </cell>
          <cell r="G3626" t="str">
            <v>CB240208000H00</v>
          </cell>
          <cell r="H3626">
            <v>0.5</v>
          </cell>
          <cell r="I3626" t="str">
            <v>--</v>
          </cell>
          <cell r="J3626">
            <v>2</v>
          </cell>
          <cell r="K3626">
            <v>2</v>
          </cell>
        </row>
        <row r="3627">
          <cell r="A3627" t="str">
            <v>M2</v>
          </cell>
          <cell r="B3627" t="str">
            <v>B2C</v>
          </cell>
          <cell r="C3627" t="str">
            <v>SCL</v>
          </cell>
          <cell r="D3627" t="str">
            <v>TRAP</v>
          </cell>
          <cell r="E3627" t="str">
            <v>SW FLG</v>
          </cell>
          <cell r="F3627">
            <v>3</v>
          </cell>
          <cell r="G3627" t="str">
            <v>CB240208000T00</v>
          </cell>
          <cell r="H3627">
            <v>0.75</v>
          </cell>
          <cell r="I3627" t="str">
            <v>--</v>
          </cell>
          <cell r="J3627">
            <v>4</v>
          </cell>
          <cell r="K3627">
            <v>4</v>
          </cell>
        </row>
        <row r="3628">
          <cell r="A3628" t="str">
            <v>M2</v>
          </cell>
          <cell r="B3628" t="str">
            <v>B2C</v>
          </cell>
          <cell r="C3628" t="str">
            <v>SH</v>
          </cell>
          <cell r="D3628" t="str">
            <v>24612</v>
          </cell>
          <cell r="E3628" t="str">
            <v>SW FLG</v>
          </cell>
          <cell r="F3628">
            <v>3</v>
          </cell>
          <cell r="G3628" t="str">
            <v>CB240208000T00</v>
          </cell>
          <cell r="H3628">
            <v>0.75</v>
          </cell>
          <cell r="I3628" t="str">
            <v>--</v>
          </cell>
          <cell r="J3628">
            <v>2</v>
          </cell>
          <cell r="K3628">
            <v>2</v>
          </cell>
        </row>
        <row r="3629">
          <cell r="A3629" t="str">
            <v>M2</v>
          </cell>
          <cell r="B3629" t="str">
            <v>B2C</v>
          </cell>
          <cell r="C3629" t="str">
            <v>SCH</v>
          </cell>
          <cell r="D3629" t="str">
            <v>23613</v>
          </cell>
          <cell r="E3629" t="str">
            <v>SW FLG</v>
          </cell>
          <cell r="F3629">
            <v>3</v>
          </cell>
          <cell r="G3629" t="str">
            <v>CB240208000T00</v>
          </cell>
          <cell r="H3629">
            <v>0.75</v>
          </cell>
          <cell r="I3629" t="str">
            <v>--</v>
          </cell>
          <cell r="J3629">
            <v>2</v>
          </cell>
          <cell r="K3629">
            <v>2</v>
          </cell>
        </row>
        <row r="3630">
          <cell r="A3630" t="str">
            <v>M2</v>
          </cell>
          <cell r="B3630" t="str">
            <v>A5C</v>
          </cell>
          <cell r="C3630" t="str">
            <v>P</v>
          </cell>
          <cell r="D3630" t="str">
            <v>23148</v>
          </cell>
          <cell r="E3630" t="str">
            <v>SW FLG</v>
          </cell>
          <cell r="F3630">
            <v>3</v>
          </cell>
          <cell r="G3630" t="str">
            <v>CB240108000T00</v>
          </cell>
          <cell r="H3630">
            <v>0.75</v>
          </cell>
          <cell r="I3630" t="str">
            <v>--</v>
          </cell>
          <cell r="J3630">
            <v>2</v>
          </cell>
          <cell r="K3630">
            <v>2</v>
          </cell>
        </row>
        <row r="3631">
          <cell r="A3631" t="str">
            <v>M2</v>
          </cell>
          <cell r="B3631" t="str">
            <v>A5C</v>
          </cell>
          <cell r="C3631" t="str">
            <v>N</v>
          </cell>
          <cell r="D3631" t="str">
            <v>23613</v>
          </cell>
          <cell r="E3631" t="str">
            <v>SW FLG</v>
          </cell>
          <cell r="F3631">
            <v>3</v>
          </cell>
          <cell r="G3631" t="str">
            <v>CB240208000T00</v>
          </cell>
          <cell r="H3631">
            <v>0.75</v>
          </cell>
          <cell r="I3631" t="str">
            <v>--</v>
          </cell>
          <cell r="J3631">
            <v>2</v>
          </cell>
          <cell r="K3631">
            <v>2</v>
          </cell>
        </row>
        <row r="3632">
          <cell r="A3632" t="str">
            <v>M2</v>
          </cell>
          <cell r="B3632" t="str">
            <v>A5C</v>
          </cell>
          <cell r="C3632" t="str">
            <v>N</v>
          </cell>
          <cell r="D3632" t="str">
            <v>23619</v>
          </cell>
          <cell r="E3632" t="str">
            <v>SW FLG</v>
          </cell>
          <cell r="F3632">
            <v>3</v>
          </cell>
          <cell r="G3632" t="str">
            <v>CB240208000T00</v>
          </cell>
          <cell r="H3632">
            <v>0.75</v>
          </cell>
          <cell r="I3632" t="str">
            <v>--</v>
          </cell>
          <cell r="J3632">
            <v>2</v>
          </cell>
          <cell r="K3632">
            <v>2</v>
          </cell>
        </row>
        <row r="3633">
          <cell r="A3633" t="str">
            <v>M2</v>
          </cell>
          <cell r="B3633" t="str">
            <v>A5C</v>
          </cell>
          <cell r="C3633" t="str">
            <v>N</v>
          </cell>
          <cell r="D3633" t="str">
            <v>23621</v>
          </cell>
          <cell r="E3633" t="str">
            <v>SW FLG</v>
          </cell>
          <cell r="F3633">
            <v>3</v>
          </cell>
          <cell r="G3633" t="str">
            <v>CB240208000T00</v>
          </cell>
          <cell r="H3633">
            <v>0.75</v>
          </cell>
          <cell r="I3633" t="str">
            <v>--</v>
          </cell>
          <cell r="J3633">
            <v>2</v>
          </cell>
          <cell r="K3633">
            <v>2</v>
          </cell>
        </row>
        <row r="3634">
          <cell r="A3634" t="str">
            <v>M2</v>
          </cell>
          <cell r="B3634" t="str">
            <v>A5C</v>
          </cell>
          <cell r="C3634" t="str">
            <v>N</v>
          </cell>
          <cell r="D3634" t="str">
            <v>23646</v>
          </cell>
          <cell r="E3634" t="str">
            <v>SW FLG</v>
          </cell>
          <cell r="F3634">
            <v>3</v>
          </cell>
          <cell r="G3634" t="str">
            <v>CB240208000T00</v>
          </cell>
          <cell r="H3634">
            <v>0.75</v>
          </cell>
          <cell r="I3634" t="str">
            <v>--</v>
          </cell>
          <cell r="J3634">
            <v>2</v>
          </cell>
          <cell r="K3634">
            <v>2</v>
          </cell>
        </row>
        <row r="3635">
          <cell r="A3635" t="str">
            <v>M2</v>
          </cell>
          <cell r="B3635" t="str">
            <v>A5C</v>
          </cell>
          <cell r="C3635" t="str">
            <v>N</v>
          </cell>
          <cell r="D3635" t="str">
            <v>23647</v>
          </cell>
          <cell r="E3635" t="str">
            <v>SW FLG</v>
          </cell>
          <cell r="F3635">
            <v>3</v>
          </cell>
          <cell r="G3635" t="str">
            <v>CB240108000T00</v>
          </cell>
          <cell r="H3635">
            <v>0.75</v>
          </cell>
          <cell r="I3635" t="str">
            <v>--</v>
          </cell>
          <cell r="J3635">
            <v>2</v>
          </cell>
          <cell r="K3635">
            <v>2</v>
          </cell>
        </row>
        <row r="3636">
          <cell r="A3636" t="str">
            <v>M2</v>
          </cell>
          <cell r="B3636" t="str">
            <v>A5C</v>
          </cell>
          <cell r="C3636" t="str">
            <v>N</v>
          </cell>
          <cell r="D3636" t="str">
            <v>24611</v>
          </cell>
          <cell r="E3636" t="str">
            <v>SW FLG</v>
          </cell>
          <cell r="F3636">
            <v>3</v>
          </cell>
          <cell r="G3636" t="str">
            <v>CB240208000T00</v>
          </cell>
          <cell r="H3636">
            <v>0.75</v>
          </cell>
          <cell r="I3636" t="str">
            <v>--</v>
          </cell>
          <cell r="J3636">
            <v>2</v>
          </cell>
          <cell r="K3636">
            <v>2</v>
          </cell>
        </row>
        <row r="3637">
          <cell r="A3637" t="str">
            <v>M2</v>
          </cell>
          <cell r="B3637" t="str">
            <v>A5C</v>
          </cell>
          <cell r="C3637" t="str">
            <v>N</v>
          </cell>
          <cell r="D3637" t="str">
            <v>24612</v>
          </cell>
          <cell r="E3637" t="str">
            <v>SW FLG</v>
          </cell>
          <cell r="F3637">
            <v>3</v>
          </cell>
          <cell r="G3637" t="str">
            <v>CB240208000T00</v>
          </cell>
          <cell r="H3637">
            <v>0.75</v>
          </cell>
          <cell r="I3637" t="str">
            <v>--</v>
          </cell>
          <cell r="J3637">
            <v>2</v>
          </cell>
          <cell r="K3637">
            <v>2</v>
          </cell>
        </row>
        <row r="3638">
          <cell r="A3638" t="str">
            <v>M2</v>
          </cell>
          <cell r="B3638" t="str">
            <v>A5C</v>
          </cell>
          <cell r="C3638" t="str">
            <v>N</v>
          </cell>
          <cell r="D3638" t="str">
            <v>23642</v>
          </cell>
          <cell r="E3638" t="str">
            <v>SW FLG</v>
          </cell>
          <cell r="F3638">
            <v>3</v>
          </cell>
          <cell r="G3638" t="str">
            <v>CB240208000T00</v>
          </cell>
          <cell r="H3638">
            <v>0.75</v>
          </cell>
          <cell r="I3638" t="str">
            <v>--</v>
          </cell>
          <cell r="J3638">
            <v>2</v>
          </cell>
          <cell r="K3638">
            <v>2</v>
          </cell>
        </row>
        <row r="3639">
          <cell r="A3639" t="str">
            <v>M2</v>
          </cell>
          <cell r="B3639" t="str">
            <v>A5C</v>
          </cell>
          <cell r="C3639" t="str">
            <v>N</v>
          </cell>
          <cell r="D3639" t="str">
            <v>24613</v>
          </cell>
          <cell r="E3639" t="str">
            <v>SW FLG</v>
          </cell>
          <cell r="F3639">
            <v>3</v>
          </cell>
          <cell r="G3639" t="str">
            <v>CB240208000T00</v>
          </cell>
          <cell r="H3639">
            <v>0.75</v>
          </cell>
          <cell r="I3639" t="str">
            <v>--</v>
          </cell>
          <cell r="J3639">
            <v>2</v>
          </cell>
          <cell r="K3639">
            <v>2</v>
          </cell>
        </row>
        <row r="3640">
          <cell r="A3640" t="str">
            <v>M2</v>
          </cell>
          <cell r="B3640" t="str">
            <v>A5C</v>
          </cell>
          <cell r="C3640" t="str">
            <v>N</v>
          </cell>
          <cell r="D3640" t="str">
            <v>24614</v>
          </cell>
          <cell r="E3640" t="str">
            <v>SW FLG</v>
          </cell>
          <cell r="F3640">
            <v>3</v>
          </cell>
          <cell r="G3640" t="str">
            <v>CB240208000T00</v>
          </cell>
          <cell r="H3640">
            <v>0.75</v>
          </cell>
          <cell r="I3640" t="str">
            <v>--</v>
          </cell>
          <cell r="J3640">
            <v>2</v>
          </cell>
          <cell r="K3640">
            <v>2</v>
          </cell>
        </row>
        <row r="3641">
          <cell r="A3641" t="str">
            <v>M2</v>
          </cell>
          <cell r="B3641" t="str">
            <v>A5C</v>
          </cell>
          <cell r="C3641" t="str">
            <v>P</v>
          </cell>
          <cell r="D3641" t="str">
            <v>23052</v>
          </cell>
          <cell r="E3641" t="str">
            <v>SW FLG</v>
          </cell>
          <cell r="F3641">
            <v>3</v>
          </cell>
          <cell r="G3641" t="str">
            <v>CB240208000T00</v>
          </cell>
          <cell r="H3641">
            <v>0.75</v>
          </cell>
          <cell r="I3641" t="str">
            <v>--</v>
          </cell>
          <cell r="J3641">
            <v>2</v>
          </cell>
          <cell r="K3641">
            <v>2</v>
          </cell>
        </row>
        <row r="3642">
          <cell r="A3642" t="str">
            <v>M2</v>
          </cell>
          <cell r="B3642" t="str">
            <v>A5C</v>
          </cell>
          <cell r="C3642" t="str">
            <v>P</v>
          </cell>
          <cell r="D3642" t="str">
            <v>23081</v>
          </cell>
          <cell r="E3642" t="str">
            <v>SW FLG</v>
          </cell>
          <cell r="F3642">
            <v>3</v>
          </cell>
          <cell r="G3642" t="str">
            <v>CB240108000T00</v>
          </cell>
          <cell r="H3642">
            <v>0.75</v>
          </cell>
          <cell r="I3642" t="str">
            <v>--</v>
          </cell>
          <cell r="J3642">
            <v>1</v>
          </cell>
          <cell r="K3642">
            <v>1</v>
          </cell>
        </row>
        <row r="3643">
          <cell r="A3643" t="str">
            <v>M2</v>
          </cell>
          <cell r="B3643" t="str">
            <v>A5C</v>
          </cell>
          <cell r="C3643" t="str">
            <v>P</v>
          </cell>
          <cell r="D3643" t="str">
            <v>23094</v>
          </cell>
          <cell r="E3643" t="str">
            <v>SW FLG</v>
          </cell>
          <cell r="F3643">
            <v>3</v>
          </cell>
          <cell r="G3643" t="str">
            <v>CB240208000T00</v>
          </cell>
          <cell r="H3643">
            <v>0.75</v>
          </cell>
          <cell r="I3643" t="str">
            <v>--</v>
          </cell>
          <cell r="J3643">
            <v>2</v>
          </cell>
          <cell r="K3643">
            <v>2</v>
          </cell>
        </row>
        <row r="3644">
          <cell r="A3644" t="str">
            <v>M2</v>
          </cell>
          <cell r="B3644" t="str">
            <v>A5C</v>
          </cell>
          <cell r="C3644" t="str">
            <v>P</v>
          </cell>
          <cell r="D3644" t="str">
            <v>23094</v>
          </cell>
          <cell r="E3644" t="str">
            <v>SW FLG</v>
          </cell>
          <cell r="F3644">
            <v>3</v>
          </cell>
          <cell r="G3644" t="str">
            <v>CB240108000T00</v>
          </cell>
          <cell r="H3644">
            <v>0.75</v>
          </cell>
          <cell r="I3644" t="str">
            <v>--</v>
          </cell>
          <cell r="J3644">
            <v>6</v>
          </cell>
          <cell r="K3644">
            <v>6</v>
          </cell>
        </row>
        <row r="3645">
          <cell r="A3645" t="str">
            <v>M2</v>
          </cell>
          <cell r="B3645" t="str">
            <v>A5C</v>
          </cell>
          <cell r="C3645" t="str">
            <v>P</v>
          </cell>
          <cell r="D3645" t="str">
            <v>23094</v>
          </cell>
          <cell r="E3645" t="str">
            <v>SW FLG</v>
          </cell>
          <cell r="F3645">
            <v>3</v>
          </cell>
          <cell r="G3645" t="str">
            <v>CB240108000T00</v>
          </cell>
          <cell r="H3645">
            <v>0.75</v>
          </cell>
          <cell r="I3645" t="str">
            <v>--</v>
          </cell>
          <cell r="J3645">
            <v>2</v>
          </cell>
          <cell r="K3645">
            <v>2</v>
          </cell>
        </row>
        <row r="3646">
          <cell r="A3646" t="str">
            <v>M2</v>
          </cell>
          <cell r="B3646" t="str">
            <v>A5C</v>
          </cell>
          <cell r="C3646" t="str">
            <v>P</v>
          </cell>
          <cell r="D3646" t="str">
            <v>23101</v>
          </cell>
          <cell r="E3646" t="str">
            <v>SW FLG</v>
          </cell>
          <cell r="F3646">
            <v>3</v>
          </cell>
          <cell r="G3646" t="str">
            <v>CB240208000T00</v>
          </cell>
          <cell r="H3646">
            <v>0.75</v>
          </cell>
          <cell r="I3646" t="str">
            <v>--</v>
          </cell>
          <cell r="J3646">
            <v>2</v>
          </cell>
          <cell r="K3646">
            <v>2</v>
          </cell>
        </row>
        <row r="3647">
          <cell r="A3647" t="str">
            <v>M2</v>
          </cell>
          <cell r="B3647" t="str">
            <v>A5C</v>
          </cell>
          <cell r="C3647" t="str">
            <v>P</v>
          </cell>
          <cell r="D3647" t="str">
            <v>23101</v>
          </cell>
          <cell r="E3647" t="str">
            <v>SW FLG</v>
          </cell>
          <cell r="F3647">
            <v>3</v>
          </cell>
          <cell r="G3647" t="str">
            <v>CB240108000T00</v>
          </cell>
          <cell r="H3647">
            <v>0.75</v>
          </cell>
          <cell r="I3647" t="str">
            <v>--</v>
          </cell>
          <cell r="J3647">
            <v>6</v>
          </cell>
          <cell r="K3647">
            <v>6</v>
          </cell>
        </row>
        <row r="3648">
          <cell r="A3648" t="str">
            <v>M2</v>
          </cell>
          <cell r="B3648" t="str">
            <v>A5C</v>
          </cell>
          <cell r="C3648" t="str">
            <v>P</v>
          </cell>
          <cell r="D3648" t="str">
            <v>23104</v>
          </cell>
          <cell r="E3648" t="str">
            <v>SW FLG</v>
          </cell>
          <cell r="F3648">
            <v>3</v>
          </cell>
          <cell r="G3648" t="str">
            <v>CB240108000T00</v>
          </cell>
          <cell r="H3648">
            <v>0.75</v>
          </cell>
          <cell r="I3648" t="str">
            <v>--</v>
          </cell>
          <cell r="J3648">
            <v>1</v>
          </cell>
          <cell r="K3648">
            <v>1</v>
          </cell>
        </row>
        <row r="3649">
          <cell r="A3649" t="str">
            <v>M2</v>
          </cell>
          <cell r="B3649" t="str">
            <v>A5C</v>
          </cell>
          <cell r="C3649" t="str">
            <v>P</v>
          </cell>
          <cell r="D3649" t="str">
            <v>23104</v>
          </cell>
          <cell r="E3649" t="str">
            <v>SW FLG</v>
          </cell>
          <cell r="F3649">
            <v>3</v>
          </cell>
          <cell r="G3649" t="str">
            <v>CB240108000T00</v>
          </cell>
          <cell r="H3649">
            <v>0.75</v>
          </cell>
          <cell r="I3649" t="str">
            <v>--</v>
          </cell>
          <cell r="J3649">
            <v>1</v>
          </cell>
          <cell r="K3649">
            <v>1</v>
          </cell>
        </row>
        <row r="3650">
          <cell r="A3650" t="str">
            <v>M2</v>
          </cell>
          <cell r="B3650" t="str">
            <v>A5C</v>
          </cell>
          <cell r="C3650" t="str">
            <v>P</v>
          </cell>
          <cell r="D3650" t="str">
            <v>23105</v>
          </cell>
          <cell r="E3650" t="str">
            <v>SW FLG</v>
          </cell>
          <cell r="F3650">
            <v>3</v>
          </cell>
          <cell r="G3650" t="str">
            <v>CB240108000T00</v>
          </cell>
          <cell r="H3650">
            <v>0.75</v>
          </cell>
          <cell r="I3650" t="str">
            <v>--</v>
          </cell>
          <cell r="J3650">
            <v>6</v>
          </cell>
          <cell r="K3650">
            <v>6</v>
          </cell>
        </row>
        <row r="3651">
          <cell r="A3651" t="str">
            <v>M2</v>
          </cell>
          <cell r="B3651" t="str">
            <v>A5C</v>
          </cell>
          <cell r="C3651" t="str">
            <v>P</v>
          </cell>
          <cell r="D3651" t="str">
            <v>23105</v>
          </cell>
          <cell r="E3651" t="str">
            <v>SW FLG</v>
          </cell>
          <cell r="F3651">
            <v>3</v>
          </cell>
          <cell r="G3651" t="str">
            <v>CB240208000T00</v>
          </cell>
          <cell r="H3651">
            <v>0.75</v>
          </cell>
          <cell r="I3651" t="str">
            <v>--</v>
          </cell>
          <cell r="J3651">
            <v>2</v>
          </cell>
          <cell r="K3651">
            <v>2</v>
          </cell>
        </row>
        <row r="3652">
          <cell r="A3652" t="str">
            <v>M2</v>
          </cell>
          <cell r="B3652" t="str">
            <v>A5C</v>
          </cell>
          <cell r="C3652" t="str">
            <v>P</v>
          </cell>
          <cell r="D3652" t="str">
            <v>23108</v>
          </cell>
          <cell r="E3652" t="str">
            <v>SW FLG</v>
          </cell>
          <cell r="F3652">
            <v>3</v>
          </cell>
          <cell r="G3652" t="str">
            <v>CB240108000T00</v>
          </cell>
          <cell r="H3652">
            <v>0.75</v>
          </cell>
          <cell r="I3652" t="str">
            <v>--</v>
          </cell>
          <cell r="J3652">
            <v>1</v>
          </cell>
          <cell r="K3652">
            <v>1</v>
          </cell>
        </row>
        <row r="3653">
          <cell r="A3653" t="str">
            <v>M2</v>
          </cell>
          <cell r="B3653" t="str">
            <v>A5C</v>
          </cell>
          <cell r="C3653" t="str">
            <v>P</v>
          </cell>
          <cell r="D3653" t="str">
            <v>23108</v>
          </cell>
          <cell r="E3653" t="str">
            <v>SW FLG</v>
          </cell>
          <cell r="F3653">
            <v>3</v>
          </cell>
          <cell r="G3653" t="str">
            <v>CB240108000T00</v>
          </cell>
          <cell r="H3653">
            <v>0.75</v>
          </cell>
          <cell r="I3653" t="str">
            <v>--</v>
          </cell>
          <cell r="J3653">
            <v>1</v>
          </cell>
          <cell r="K3653">
            <v>1</v>
          </cell>
        </row>
        <row r="3654">
          <cell r="A3654" t="str">
            <v>M2</v>
          </cell>
          <cell r="B3654" t="str">
            <v>A5C</v>
          </cell>
          <cell r="C3654" t="str">
            <v>P</v>
          </cell>
          <cell r="D3654" t="str">
            <v>23109</v>
          </cell>
          <cell r="E3654" t="str">
            <v>SW FLG</v>
          </cell>
          <cell r="F3654">
            <v>3</v>
          </cell>
          <cell r="G3654" t="str">
            <v>CB240208000T00</v>
          </cell>
          <cell r="H3654">
            <v>0.75</v>
          </cell>
          <cell r="I3654" t="str">
            <v>--</v>
          </cell>
          <cell r="J3654">
            <v>2</v>
          </cell>
          <cell r="K3654">
            <v>2</v>
          </cell>
        </row>
        <row r="3655">
          <cell r="A3655" t="str">
            <v>M2</v>
          </cell>
          <cell r="B3655" t="str">
            <v>A5C</v>
          </cell>
          <cell r="C3655" t="str">
            <v>P</v>
          </cell>
          <cell r="D3655" t="str">
            <v>23109</v>
          </cell>
          <cell r="E3655" t="str">
            <v>SW FLG</v>
          </cell>
          <cell r="F3655">
            <v>3</v>
          </cell>
          <cell r="G3655" t="str">
            <v>CB240108000T00</v>
          </cell>
          <cell r="H3655">
            <v>0.75</v>
          </cell>
          <cell r="I3655" t="str">
            <v>--</v>
          </cell>
          <cell r="J3655">
            <v>6</v>
          </cell>
          <cell r="K3655">
            <v>6</v>
          </cell>
        </row>
        <row r="3656">
          <cell r="A3656" t="str">
            <v>M2</v>
          </cell>
          <cell r="B3656" t="str">
            <v>A5C</v>
          </cell>
          <cell r="C3656" t="str">
            <v>P</v>
          </cell>
          <cell r="D3656" t="str">
            <v>23112</v>
          </cell>
          <cell r="E3656" t="str">
            <v>SW FLG</v>
          </cell>
          <cell r="F3656">
            <v>3</v>
          </cell>
          <cell r="G3656" t="str">
            <v>CB240108000T00</v>
          </cell>
          <cell r="H3656">
            <v>0.75</v>
          </cell>
          <cell r="I3656" t="str">
            <v>--</v>
          </cell>
          <cell r="J3656">
            <v>1</v>
          </cell>
          <cell r="K3656">
            <v>1</v>
          </cell>
        </row>
        <row r="3657">
          <cell r="A3657" t="str">
            <v>M2</v>
          </cell>
          <cell r="B3657" t="str">
            <v>A5C</v>
          </cell>
          <cell r="C3657" t="str">
            <v>P</v>
          </cell>
          <cell r="D3657" t="str">
            <v>23113</v>
          </cell>
          <cell r="E3657" t="str">
            <v>SW FLG</v>
          </cell>
          <cell r="F3657">
            <v>3</v>
          </cell>
          <cell r="G3657" t="str">
            <v>CB240108000T00</v>
          </cell>
          <cell r="H3657">
            <v>0.75</v>
          </cell>
          <cell r="I3657" t="str">
            <v>--</v>
          </cell>
          <cell r="J3657">
            <v>6</v>
          </cell>
          <cell r="K3657">
            <v>6</v>
          </cell>
        </row>
        <row r="3658">
          <cell r="A3658" t="str">
            <v>M2</v>
          </cell>
          <cell r="B3658" t="str">
            <v>A5C</v>
          </cell>
          <cell r="C3658" t="str">
            <v>P</v>
          </cell>
          <cell r="D3658" t="str">
            <v>23113</v>
          </cell>
          <cell r="E3658" t="str">
            <v>SW FLG</v>
          </cell>
          <cell r="F3658">
            <v>3</v>
          </cell>
          <cell r="G3658" t="str">
            <v>CB240108000T00</v>
          </cell>
          <cell r="H3658">
            <v>0.75</v>
          </cell>
          <cell r="I3658" t="str">
            <v>--</v>
          </cell>
          <cell r="J3658">
            <v>2</v>
          </cell>
          <cell r="K3658">
            <v>2</v>
          </cell>
        </row>
        <row r="3659">
          <cell r="A3659" t="str">
            <v>M2</v>
          </cell>
          <cell r="B3659" t="str">
            <v>A5C</v>
          </cell>
          <cell r="C3659" t="str">
            <v>P</v>
          </cell>
          <cell r="D3659" t="str">
            <v>23133</v>
          </cell>
          <cell r="E3659" t="str">
            <v>SW FLG</v>
          </cell>
          <cell r="F3659">
            <v>3</v>
          </cell>
          <cell r="G3659" t="str">
            <v>CB240108000T00</v>
          </cell>
          <cell r="H3659">
            <v>0.75</v>
          </cell>
          <cell r="I3659" t="str">
            <v>--</v>
          </cell>
          <cell r="J3659">
            <v>5</v>
          </cell>
          <cell r="K3659">
            <v>5</v>
          </cell>
        </row>
        <row r="3660">
          <cell r="A3660" t="str">
            <v>M2</v>
          </cell>
          <cell r="B3660" t="str">
            <v>A5C</v>
          </cell>
          <cell r="C3660" t="str">
            <v>P</v>
          </cell>
          <cell r="D3660" t="str">
            <v>23141</v>
          </cell>
          <cell r="E3660" t="str">
            <v>SW FLG</v>
          </cell>
          <cell r="F3660">
            <v>3</v>
          </cell>
          <cell r="G3660" t="str">
            <v>CB240108000T00</v>
          </cell>
          <cell r="H3660">
            <v>0.75</v>
          </cell>
          <cell r="I3660" t="str">
            <v>--</v>
          </cell>
          <cell r="J3660">
            <v>5</v>
          </cell>
          <cell r="K3660">
            <v>5</v>
          </cell>
        </row>
        <row r="3661">
          <cell r="A3661" t="str">
            <v>M2</v>
          </cell>
          <cell r="B3661" t="str">
            <v>A5C</v>
          </cell>
          <cell r="C3661" t="str">
            <v>P</v>
          </cell>
          <cell r="D3661" t="str">
            <v>23143</v>
          </cell>
          <cell r="E3661" t="str">
            <v>SW FLG</v>
          </cell>
          <cell r="F3661">
            <v>3</v>
          </cell>
          <cell r="G3661" t="str">
            <v>CB240108000T00</v>
          </cell>
          <cell r="H3661">
            <v>0.75</v>
          </cell>
          <cell r="I3661" t="str">
            <v>--</v>
          </cell>
          <cell r="J3661">
            <v>2</v>
          </cell>
          <cell r="K3661">
            <v>2</v>
          </cell>
        </row>
        <row r="3662">
          <cell r="A3662" t="str">
            <v>M2</v>
          </cell>
          <cell r="B3662" t="str">
            <v>A5C</v>
          </cell>
          <cell r="C3662" t="str">
            <v>P</v>
          </cell>
          <cell r="D3662" t="str">
            <v>23145</v>
          </cell>
          <cell r="E3662" t="str">
            <v>SW FLG</v>
          </cell>
          <cell r="F3662">
            <v>3</v>
          </cell>
          <cell r="G3662" t="str">
            <v>CB240108000T00</v>
          </cell>
          <cell r="H3662">
            <v>0.75</v>
          </cell>
          <cell r="I3662" t="str">
            <v>--</v>
          </cell>
          <cell r="J3662">
            <v>5</v>
          </cell>
          <cell r="K3662">
            <v>5</v>
          </cell>
        </row>
        <row r="3663">
          <cell r="A3663" t="str">
            <v>M2</v>
          </cell>
          <cell r="B3663" t="str">
            <v>A5C</v>
          </cell>
          <cell r="C3663" t="str">
            <v>P</v>
          </cell>
          <cell r="D3663" t="str">
            <v>23147</v>
          </cell>
          <cell r="E3663" t="str">
            <v>SW FLG</v>
          </cell>
          <cell r="F3663">
            <v>3</v>
          </cell>
          <cell r="G3663" t="str">
            <v>CB240108000T00</v>
          </cell>
          <cell r="H3663">
            <v>0.75</v>
          </cell>
          <cell r="I3663" t="str">
            <v>--</v>
          </cell>
          <cell r="J3663">
            <v>2</v>
          </cell>
          <cell r="K3663">
            <v>2</v>
          </cell>
        </row>
        <row r="3664">
          <cell r="A3664" t="str">
            <v>M2</v>
          </cell>
          <cell r="B3664" t="str">
            <v>A5C</v>
          </cell>
          <cell r="C3664" t="str">
            <v>P</v>
          </cell>
          <cell r="D3664" t="str">
            <v>23164</v>
          </cell>
          <cell r="E3664" t="str">
            <v>SW FLG</v>
          </cell>
          <cell r="F3664">
            <v>3</v>
          </cell>
          <cell r="G3664" t="str">
            <v>CB240108000T00</v>
          </cell>
          <cell r="H3664">
            <v>0.75</v>
          </cell>
          <cell r="I3664" t="str">
            <v>--</v>
          </cell>
          <cell r="J3664">
            <v>2</v>
          </cell>
          <cell r="K3664">
            <v>2</v>
          </cell>
        </row>
        <row r="3665">
          <cell r="A3665" t="str">
            <v>M2</v>
          </cell>
          <cell r="B3665" t="str">
            <v>A5C</v>
          </cell>
          <cell r="C3665" t="str">
            <v>P</v>
          </cell>
          <cell r="D3665" t="str">
            <v>23188</v>
          </cell>
          <cell r="E3665" t="str">
            <v>SW FLG</v>
          </cell>
          <cell r="F3665">
            <v>3</v>
          </cell>
          <cell r="G3665" t="str">
            <v>CB240208000T00</v>
          </cell>
          <cell r="H3665">
            <v>0.75</v>
          </cell>
          <cell r="I3665" t="str">
            <v>--</v>
          </cell>
          <cell r="J3665">
            <v>2</v>
          </cell>
          <cell r="K3665">
            <v>2</v>
          </cell>
        </row>
        <row r="3666">
          <cell r="A3666" t="str">
            <v>M2</v>
          </cell>
          <cell r="B3666" t="str">
            <v>A5C</v>
          </cell>
          <cell r="C3666" t="str">
            <v>P</v>
          </cell>
          <cell r="D3666" t="str">
            <v>23188</v>
          </cell>
          <cell r="E3666" t="str">
            <v>SW FLG</v>
          </cell>
          <cell r="F3666">
            <v>3</v>
          </cell>
          <cell r="G3666" t="str">
            <v>CB240108000T00</v>
          </cell>
          <cell r="H3666">
            <v>0.75</v>
          </cell>
          <cell r="I3666" t="str">
            <v>--</v>
          </cell>
          <cell r="J3666">
            <v>5</v>
          </cell>
          <cell r="K3666">
            <v>5</v>
          </cell>
        </row>
        <row r="3667">
          <cell r="A3667" t="str">
            <v>M2</v>
          </cell>
          <cell r="B3667" t="str">
            <v>A5C</v>
          </cell>
          <cell r="C3667" t="str">
            <v>P</v>
          </cell>
          <cell r="D3667" t="str">
            <v>23225</v>
          </cell>
          <cell r="E3667" t="str">
            <v>SW FLG</v>
          </cell>
          <cell r="F3667">
            <v>3</v>
          </cell>
          <cell r="G3667" t="str">
            <v>CB240208000T00</v>
          </cell>
          <cell r="H3667">
            <v>0.75</v>
          </cell>
          <cell r="I3667" t="str">
            <v>--</v>
          </cell>
          <cell r="J3667">
            <v>2</v>
          </cell>
          <cell r="K3667">
            <v>2</v>
          </cell>
        </row>
        <row r="3668">
          <cell r="A3668" t="str">
            <v>M2</v>
          </cell>
          <cell r="B3668" t="str">
            <v>A5C</v>
          </cell>
          <cell r="C3668" t="str">
            <v>P</v>
          </cell>
          <cell r="D3668" t="str">
            <v>23234</v>
          </cell>
          <cell r="E3668" t="str">
            <v>SW FLG</v>
          </cell>
          <cell r="F3668">
            <v>3</v>
          </cell>
          <cell r="G3668" t="str">
            <v>CB240208000T00</v>
          </cell>
          <cell r="H3668">
            <v>0.75</v>
          </cell>
          <cell r="I3668" t="str">
            <v>--</v>
          </cell>
          <cell r="J3668">
            <v>2</v>
          </cell>
          <cell r="K3668">
            <v>2</v>
          </cell>
        </row>
        <row r="3669">
          <cell r="A3669" t="str">
            <v>M2</v>
          </cell>
          <cell r="B3669" t="str">
            <v>A5C</v>
          </cell>
          <cell r="C3669" t="str">
            <v>P</v>
          </cell>
          <cell r="D3669" t="str">
            <v>23234</v>
          </cell>
          <cell r="E3669" t="str">
            <v>SW FLG</v>
          </cell>
          <cell r="F3669">
            <v>3</v>
          </cell>
          <cell r="G3669" t="str">
            <v>CB240108000T00</v>
          </cell>
          <cell r="H3669">
            <v>0.75</v>
          </cell>
          <cell r="I3669" t="str">
            <v>--</v>
          </cell>
          <cell r="J3669">
            <v>6</v>
          </cell>
          <cell r="K3669">
            <v>6</v>
          </cell>
        </row>
        <row r="3670">
          <cell r="A3670" t="str">
            <v>M2</v>
          </cell>
          <cell r="B3670" t="str">
            <v>A5C</v>
          </cell>
          <cell r="C3670" t="str">
            <v>P</v>
          </cell>
          <cell r="D3670" t="str">
            <v>23238</v>
          </cell>
          <cell r="E3670" t="str">
            <v>SW FLG</v>
          </cell>
          <cell r="F3670">
            <v>3</v>
          </cell>
          <cell r="G3670" t="str">
            <v>CB240108000T00</v>
          </cell>
          <cell r="H3670">
            <v>0.75</v>
          </cell>
          <cell r="I3670" t="str">
            <v>--</v>
          </cell>
          <cell r="J3670">
            <v>6</v>
          </cell>
          <cell r="K3670">
            <v>6</v>
          </cell>
        </row>
        <row r="3671">
          <cell r="A3671" t="str">
            <v>M2</v>
          </cell>
          <cell r="B3671" t="str">
            <v>A5C</v>
          </cell>
          <cell r="C3671" t="str">
            <v>P</v>
          </cell>
          <cell r="D3671" t="str">
            <v>23247</v>
          </cell>
          <cell r="E3671" t="str">
            <v>SW FLG</v>
          </cell>
          <cell r="F3671">
            <v>3</v>
          </cell>
          <cell r="G3671" t="str">
            <v>CB240208000T00</v>
          </cell>
          <cell r="H3671">
            <v>0.75</v>
          </cell>
          <cell r="I3671" t="str">
            <v>--</v>
          </cell>
          <cell r="J3671">
            <v>2</v>
          </cell>
          <cell r="K3671">
            <v>2</v>
          </cell>
        </row>
        <row r="3672">
          <cell r="A3672" t="str">
            <v>M2</v>
          </cell>
          <cell r="B3672" t="str">
            <v>A5C</v>
          </cell>
          <cell r="C3672" t="str">
            <v>N</v>
          </cell>
          <cell r="D3672" t="str">
            <v>23620</v>
          </cell>
          <cell r="E3672" t="str">
            <v>SW FLG</v>
          </cell>
          <cell r="F3672">
            <v>3</v>
          </cell>
          <cell r="G3672" t="str">
            <v>CB240208000T00</v>
          </cell>
          <cell r="H3672">
            <v>0.75</v>
          </cell>
          <cell r="I3672" t="str">
            <v>--</v>
          </cell>
          <cell r="J3672">
            <v>2</v>
          </cell>
          <cell r="K3672">
            <v>2</v>
          </cell>
        </row>
        <row r="3673">
          <cell r="A3673" t="str">
            <v>M2</v>
          </cell>
          <cell r="B3673" t="str">
            <v>A5C</v>
          </cell>
          <cell r="C3673" t="str">
            <v>P</v>
          </cell>
          <cell r="D3673" t="str">
            <v>23037</v>
          </cell>
          <cell r="E3673" t="str">
            <v>SW FLG</v>
          </cell>
          <cell r="F3673">
            <v>3</v>
          </cell>
          <cell r="G3673" t="str">
            <v>CB240208000T00</v>
          </cell>
          <cell r="H3673">
            <v>0.75</v>
          </cell>
          <cell r="I3673" t="str">
            <v>--</v>
          </cell>
          <cell r="J3673">
            <v>2</v>
          </cell>
          <cell r="K3673">
            <v>2</v>
          </cell>
        </row>
        <row r="3674">
          <cell r="A3674" t="str">
            <v>M2</v>
          </cell>
          <cell r="B3674" t="str">
            <v>A5C</v>
          </cell>
          <cell r="C3674" t="str">
            <v>P</v>
          </cell>
          <cell r="D3674" t="str">
            <v>23081</v>
          </cell>
          <cell r="E3674" t="str">
            <v>SW FLG</v>
          </cell>
          <cell r="F3674">
            <v>3</v>
          </cell>
          <cell r="G3674" t="str">
            <v>CB240208000T00</v>
          </cell>
          <cell r="H3674">
            <v>0.75</v>
          </cell>
          <cell r="I3674" t="str">
            <v>--</v>
          </cell>
          <cell r="J3674">
            <v>2</v>
          </cell>
          <cell r="K3674">
            <v>2</v>
          </cell>
        </row>
        <row r="3675">
          <cell r="A3675" t="str">
            <v>M2</v>
          </cell>
          <cell r="B3675" t="str">
            <v>A5C</v>
          </cell>
          <cell r="C3675" t="str">
            <v>P</v>
          </cell>
          <cell r="D3675" t="str">
            <v>23112</v>
          </cell>
          <cell r="E3675" t="str">
            <v>SW FLG</v>
          </cell>
          <cell r="F3675">
            <v>3</v>
          </cell>
          <cell r="G3675" t="str">
            <v>CB240108000T00</v>
          </cell>
          <cell r="H3675">
            <v>0.75</v>
          </cell>
          <cell r="I3675" t="str">
            <v>--</v>
          </cell>
          <cell r="J3675">
            <v>1</v>
          </cell>
          <cell r="K3675">
            <v>1</v>
          </cell>
        </row>
        <row r="3676">
          <cell r="A3676" t="str">
            <v>M2</v>
          </cell>
          <cell r="B3676" t="str">
            <v>A5C</v>
          </cell>
          <cell r="C3676" t="str">
            <v>P</v>
          </cell>
          <cell r="D3676" t="str">
            <v>23141</v>
          </cell>
          <cell r="E3676" t="str">
            <v>SW FLG</v>
          </cell>
          <cell r="F3676">
            <v>3</v>
          </cell>
          <cell r="G3676" t="str">
            <v>CB240208000T00</v>
          </cell>
          <cell r="H3676">
            <v>0.75</v>
          </cell>
          <cell r="I3676" t="str">
            <v>--</v>
          </cell>
          <cell r="J3676">
            <v>5</v>
          </cell>
          <cell r="K3676">
            <v>5</v>
          </cell>
        </row>
        <row r="3677">
          <cell r="A3677" t="str">
            <v>M2</v>
          </cell>
          <cell r="B3677" t="str">
            <v>A5C</v>
          </cell>
          <cell r="C3677" t="str">
            <v>P</v>
          </cell>
          <cell r="D3677" t="str">
            <v>23149</v>
          </cell>
          <cell r="E3677" t="str">
            <v>SW FLG</v>
          </cell>
          <cell r="F3677">
            <v>3</v>
          </cell>
          <cell r="G3677" t="str">
            <v>CB240208000T00</v>
          </cell>
          <cell r="H3677">
            <v>0.75</v>
          </cell>
          <cell r="I3677" t="str">
            <v>--</v>
          </cell>
          <cell r="J3677">
            <v>2</v>
          </cell>
          <cell r="K3677">
            <v>2</v>
          </cell>
        </row>
        <row r="3678">
          <cell r="A3678" t="str">
            <v>M2</v>
          </cell>
          <cell r="B3678" t="str">
            <v>A5C</v>
          </cell>
          <cell r="C3678" t="str">
            <v>P</v>
          </cell>
          <cell r="D3678" t="str">
            <v>23238</v>
          </cell>
          <cell r="E3678" t="str">
            <v>SW FLG</v>
          </cell>
          <cell r="F3678">
            <v>3</v>
          </cell>
          <cell r="G3678" t="str">
            <v>CB240208000T00</v>
          </cell>
          <cell r="H3678">
            <v>0.75</v>
          </cell>
          <cell r="I3678" t="str">
            <v>--</v>
          </cell>
          <cell r="J3678">
            <v>2</v>
          </cell>
          <cell r="K3678">
            <v>2</v>
          </cell>
        </row>
        <row r="3679">
          <cell r="A3679" t="str">
            <v>M2</v>
          </cell>
          <cell r="B3679" t="str">
            <v>A5C</v>
          </cell>
          <cell r="C3679" t="str">
            <v>P</v>
          </cell>
          <cell r="D3679" t="str">
            <v>24024</v>
          </cell>
          <cell r="E3679" t="str">
            <v>SW FLG</v>
          </cell>
          <cell r="F3679">
            <v>3</v>
          </cell>
          <cell r="G3679" t="str">
            <v>CB240108000T00</v>
          </cell>
          <cell r="H3679">
            <v>0.75</v>
          </cell>
          <cell r="I3679" t="str">
            <v>--</v>
          </cell>
          <cell r="J3679">
            <v>2</v>
          </cell>
          <cell r="K3679">
            <v>2</v>
          </cell>
        </row>
        <row r="3680">
          <cell r="A3680" t="str">
            <v>M2</v>
          </cell>
          <cell r="B3680" t="str">
            <v>A5C</v>
          </cell>
          <cell r="C3680" t="str">
            <v>P</v>
          </cell>
          <cell r="D3680" t="str">
            <v>24024</v>
          </cell>
          <cell r="E3680" t="str">
            <v>SW FLG</v>
          </cell>
          <cell r="F3680">
            <v>3</v>
          </cell>
          <cell r="G3680" t="str">
            <v>CB240208000T00</v>
          </cell>
          <cell r="H3680">
            <v>0.75</v>
          </cell>
          <cell r="I3680" t="str">
            <v>--</v>
          </cell>
          <cell r="J3680">
            <v>2</v>
          </cell>
          <cell r="K3680">
            <v>2</v>
          </cell>
        </row>
        <row r="3681">
          <cell r="A3681" t="str">
            <v>M2</v>
          </cell>
          <cell r="B3681" t="str">
            <v>A5C</v>
          </cell>
          <cell r="C3681" t="str">
            <v>P</v>
          </cell>
          <cell r="D3681" t="str">
            <v>23183</v>
          </cell>
          <cell r="E3681" t="str">
            <v>SW FLG</v>
          </cell>
          <cell r="F3681">
            <v>3</v>
          </cell>
          <cell r="G3681" t="str">
            <v>CB240108000T00</v>
          </cell>
          <cell r="H3681">
            <v>0.75</v>
          </cell>
          <cell r="I3681" t="str">
            <v>--</v>
          </cell>
          <cell r="J3681">
            <v>2</v>
          </cell>
          <cell r="K3681">
            <v>2</v>
          </cell>
        </row>
        <row r="3682">
          <cell r="A3682" t="str">
            <v>M2</v>
          </cell>
          <cell r="B3682" t="str">
            <v>A5C</v>
          </cell>
          <cell r="C3682" t="str">
            <v>P</v>
          </cell>
          <cell r="D3682" t="str">
            <v>23059</v>
          </cell>
          <cell r="E3682" t="str">
            <v>SW FLG</v>
          </cell>
          <cell r="F3682">
            <v>3</v>
          </cell>
          <cell r="G3682" t="str">
            <v>CB240108000T00</v>
          </cell>
          <cell r="H3682">
            <v>0.75</v>
          </cell>
          <cell r="I3682" t="str">
            <v>--</v>
          </cell>
          <cell r="J3682">
            <v>2</v>
          </cell>
          <cell r="K3682">
            <v>2</v>
          </cell>
        </row>
        <row r="3683">
          <cell r="A3683" t="str">
            <v>M2</v>
          </cell>
          <cell r="B3683" t="str">
            <v>A5C</v>
          </cell>
          <cell r="C3683" t="str">
            <v>P</v>
          </cell>
          <cell r="D3683" t="str">
            <v>23059</v>
          </cell>
          <cell r="E3683" t="str">
            <v>SW FLG</v>
          </cell>
          <cell r="F3683">
            <v>3</v>
          </cell>
          <cell r="G3683" t="str">
            <v>CB240208000T00</v>
          </cell>
          <cell r="H3683">
            <v>0.75</v>
          </cell>
          <cell r="I3683" t="str">
            <v>--</v>
          </cell>
          <cell r="J3683">
            <v>2</v>
          </cell>
          <cell r="K3683">
            <v>2</v>
          </cell>
        </row>
        <row r="3684">
          <cell r="A3684" t="str">
            <v>M2</v>
          </cell>
          <cell r="B3684" t="str">
            <v>A5C</v>
          </cell>
          <cell r="C3684" t="str">
            <v>P</v>
          </cell>
          <cell r="D3684" t="str">
            <v>23018</v>
          </cell>
          <cell r="E3684" t="str">
            <v>SW FLG</v>
          </cell>
          <cell r="F3684">
            <v>3</v>
          </cell>
          <cell r="G3684" t="str">
            <v>CB240208000T00</v>
          </cell>
          <cell r="H3684">
            <v>0.75</v>
          </cell>
          <cell r="I3684" t="str">
            <v>--</v>
          </cell>
          <cell r="J3684">
            <v>2</v>
          </cell>
          <cell r="K3684">
            <v>2</v>
          </cell>
        </row>
        <row r="3685">
          <cell r="A3685" t="str">
            <v>M2</v>
          </cell>
          <cell r="B3685" t="str">
            <v>A5C</v>
          </cell>
          <cell r="C3685" t="str">
            <v>P</v>
          </cell>
          <cell r="D3685" t="str">
            <v>23028</v>
          </cell>
          <cell r="E3685" t="str">
            <v>SW FLG</v>
          </cell>
          <cell r="F3685">
            <v>3</v>
          </cell>
          <cell r="G3685" t="str">
            <v>CB240108000T00</v>
          </cell>
          <cell r="H3685">
            <v>0.75</v>
          </cell>
          <cell r="I3685" t="str">
            <v>--</v>
          </cell>
          <cell r="J3685">
            <v>1</v>
          </cell>
          <cell r="K3685">
            <v>1</v>
          </cell>
        </row>
        <row r="3686">
          <cell r="A3686" t="str">
            <v>M2</v>
          </cell>
          <cell r="B3686" t="str">
            <v>A5C</v>
          </cell>
          <cell r="C3686" t="str">
            <v>P</v>
          </cell>
          <cell r="D3686" t="str">
            <v>23048</v>
          </cell>
          <cell r="E3686" t="str">
            <v>SW FLG</v>
          </cell>
          <cell r="F3686">
            <v>3</v>
          </cell>
          <cell r="G3686" t="str">
            <v>CB240108000T00</v>
          </cell>
          <cell r="H3686">
            <v>0.75</v>
          </cell>
          <cell r="I3686" t="str">
            <v>--</v>
          </cell>
          <cell r="J3686">
            <v>2</v>
          </cell>
          <cell r="K3686">
            <v>2</v>
          </cell>
        </row>
        <row r="3687">
          <cell r="A3687" t="str">
            <v>M2</v>
          </cell>
          <cell r="B3687" t="str">
            <v>A5C</v>
          </cell>
          <cell r="C3687" t="str">
            <v>P</v>
          </cell>
          <cell r="D3687" t="str">
            <v>23048</v>
          </cell>
          <cell r="E3687" t="str">
            <v>SW FLG</v>
          </cell>
          <cell r="F3687">
            <v>3</v>
          </cell>
          <cell r="G3687" t="str">
            <v>CB240208000T00</v>
          </cell>
          <cell r="H3687">
            <v>0.75</v>
          </cell>
          <cell r="I3687" t="str">
            <v>--</v>
          </cell>
          <cell r="J3687">
            <v>2</v>
          </cell>
          <cell r="K3687">
            <v>2</v>
          </cell>
        </row>
        <row r="3688">
          <cell r="A3688" t="str">
            <v>M2</v>
          </cell>
          <cell r="B3688" t="str">
            <v>A5C</v>
          </cell>
          <cell r="C3688" t="str">
            <v>P</v>
          </cell>
          <cell r="D3688" t="str">
            <v>23048</v>
          </cell>
          <cell r="E3688" t="str">
            <v>SW FLG</v>
          </cell>
          <cell r="F3688">
            <v>3</v>
          </cell>
          <cell r="G3688" t="str">
            <v>CB240108000T00</v>
          </cell>
          <cell r="H3688">
            <v>0.75</v>
          </cell>
          <cell r="I3688" t="str">
            <v>--</v>
          </cell>
          <cell r="J3688">
            <v>1</v>
          </cell>
          <cell r="K3688">
            <v>1</v>
          </cell>
        </row>
        <row r="3689">
          <cell r="A3689" t="str">
            <v>M2</v>
          </cell>
          <cell r="B3689" t="str">
            <v>A5C</v>
          </cell>
          <cell r="C3689" t="str">
            <v>P</v>
          </cell>
          <cell r="D3689" t="str">
            <v>23065</v>
          </cell>
          <cell r="E3689" t="str">
            <v>SW FLG</v>
          </cell>
          <cell r="F3689">
            <v>3</v>
          </cell>
          <cell r="G3689" t="str">
            <v>CB240108000T00</v>
          </cell>
          <cell r="H3689">
            <v>0.75</v>
          </cell>
          <cell r="I3689" t="str">
            <v>--</v>
          </cell>
          <cell r="J3689">
            <v>1</v>
          </cell>
          <cell r="K3689">
            <v>1</v>
          </cell>
        </row>
        <row r="3690">
          <cell r="A3690" t="str">
            <v>M2</v>
          </cell>
          <cell r="B3690" t="str">
            <v>A5C</v>
          </cell>
          <cell r="C3690" t="str">
            <v>P</v>
          </cell>
          <cell r="D3690" t="str">
            <v>23074</v>
          </cell>
          <cell r="E3690" t="str">
            <v>SW FLG</v>
          </cell>
          <cell r="F3690">
            <v>3</v>
          </cell>
          <cell r="G3690" t="str">
            <v>CB240108000T00</v>
          </cell>
          <cell r="H3690">
            <v>0.75</v>
          </cell>
          <cell r="I3690" t="str">
            <v>--</v>
          </cell>
          <cell r="J3690">
            <v>2</v>
          </cell>
          <cell r="K3690">
            <v>2</v>
          </cell>
        </row>
        <row r="3691">
          <cell r="A3691" t="str">
            <v>M2</v>
          </cell>
          <cell r="B3691" t="str">
            <v>A5C</v>
          </cell>
          <cell r="C3691" t="str">
            <v>P</v>
          </cell>
          <cell r="D3691" t="str">
            <v>23080</v>
          </cell>
          <cell r="E3691" t="str">
            <v>SW FLG</v>
          </cell>
          <cell r="F3691">
            <v>3</v>
          </cell>
          <cell r="G3691" t="str">
            <v>CB240208000T00</v>
          </cell>
          <cell r="H3691">
            <v>0.75</v>
          </cell>
          <cell r="I3691" t="str">
            <v>--</v>
          </cell>
          <cell r="J3691">
            <v>2</v>
          </cell>
          <cell r="K3691">
            <v>2</v>
          </cell>
        </row>
        <row r="3692">
          <cell r="A3692" t="str">
            <v>M2</v>
          </cell>
          <cell r="B3692" t="str">
            <v>A5C</v>
          </cell>
          <cell r="C3692" t="str">
            <v>P</v>
          </cell>
          <cell r="D3692" t="str">
            <v>23080</v>
          </cell>
          <cell r="E3692" t="str">
            <v>SW FLG</v>
          </cell>
          <cell r="F3692">
            <v>3</v>
          </cell>
          <cell r="G3692" t="str">
            <v>CB240108000T00</v>
          </cell>
          <cell r="H3692">
            <v>0.75</v>
          </cell>
          <cell r="I3692" t="str">
            <v>--</v>
          </cell>
          <cell r="J3692">
            <v>1</v>
          </cell>
          <cell r="K3692">
            <v>1</v>
          </cell>
        </row>
        <row r="3693">
          <cell r="A3693" t="str">
            <v>M2</v>
          </cell>
          <cell r="B3693" t="str">
            <v>A5C</v>
          </cell>
          <cell r="C3693" t="str">
            <v>P</v>
          </cell>
          <cell r="D3693" t="str">
            <v>23155</v>
          </cell>
          <cell r="E3693" t="str">
            <v>SW FLG</v>
          </cell>
          <cell r="F3693">
            <v>3</v>
          </cell>
          <cell r="G3693" t="str">
            <v>CB240108000T00</v>
          </cell>
          <cell r="H3693">
            <v>0.75</v>
          </cell>
          <cell r="I3693" t="str">
            <v>--</v>
          </cell>
          <cell r="J3693">
            <v>1</v>
          </cell>
          <cell r="K3693">
            <v>1</v>
          </cell>
        </row>
        <row r="3694">
          <cell r="A3694" t="str">
            <v>M2</v>
          </cell>
          <cell r="B3694" t="str">
            <v>A5C</v>
          </cell>
          <cell r="C3694" t="str">
            <v>P</v>
          </cell>
          <cell r="D3694" t="str">
            <v>23163</v>
          </cell>
          <cell r="E3694" t="str">
            <v>SW FLG</v>
          </cell>
          <cell r="F3694">
            <v>3</v>
          </cell>
          <cell r="G3694" t="str">
            <v>CB240108000T00</v>
          </cell>
          <cell r="H3694">
            <v>0.75</v>
          </cell>
          <cell r="I3694" t="str">
            <v>--</v>
          </cell>
          <cell r="J3694">
            <v>1</v>
          </cell>
          <cell r="K3694">
            <v>1</v>
          </cell>
        </row>
        <row r="3695">
          <cell r="A3695" t="str">
            <v>M2</v>
          </cell>
          <cell r="B3695" t="str">
            <v>A5C</v>
          </cell>
          <cell r="C3695" t="str">
            <v>P</v>
          </cell>
          <cell r="D3695" t="str">
            <v>23173</v>
          </cell>
          <cell r="E3695" t="str">
            <v>SW FLG</v>
          </cell>
          <cell r="F3695">
            <v>3</v>
          </cell>
          <cell r="G3695" t="str">
            <v>CB240108000T00</v>
          </cell>
          <cell r="H3695">
            <v>0.75</v>
          </cell>
          <cell r="I3695" t="str">
            <v>--</v>
          </cell>
          <cell r="J3695">
            <v>4</v>
          </cell>
          <cell r="K3695">
            <v>4</v>
          </cell>
        </row>
        <row r="3696">
          <cell r="A3696" t="str">
            <v>M2</v>
          </cell>
          <cell r="B3696" t="str">
            <v>A5C</v>
          </cell>
          <cell r="C3696" t="str">
            <v>P</v>
          </cell>
          <cell r="D3696" t="str">
            <v>23184</v>
          </cell>
          <cell r="E3696" t="str">
            <v>SW FLG</v>
          </cell>
          <cell r="F3696">
            <v>3</v>
          </cell>
          <cell r="G3696" t="str">
            <v>CB240108000T00</v>
          </cell>
          <cell r="H3696">
            <v>0.75</v>
          </cell>
          <cell r="I3696" t="str">
            <v>--</v>
          </cell>
          <cell r="J3696">
            <v>1</v>
          </cell>
          <cell r="K3696">
            <v>1</v>
          </cell>
        </row>
        <row r="3697">
          <cell r="A3697" t="str">
            <v>M2</v>
          </cell>
          <cell r="B3697" t="str">
            <v>A5C</v>
          </cell>
          <cell r="C3697" t="str">
            <v>P</v>
          </cell>
          <cell r="D3697" t="str">
            <v>23191</v>
          </cell>
          <cell r="E3697" t="str">
            <v>SW FLG</v>
          </cell>
          <cell r="F3697">
            <v>3</v>
          </cell>
          <cell r="G3697" t="str">
            <v>CB240108000T00</v>
          </cell>
          <cell r="H3697">
            <v>0.75</v>
          </cell>
          <cell r="I3697" t="str">
            <v>--</v>
          </cell>
          <cell r="J3697">
            <v>4</v>
          </cell>
          <cell r="K3697">
            <v>4</v>
          </cell>
        </row>
        <row r="3698">
          <cell r="A3698" t="str">
            <v>M2</v>
          </cell>
          <cell r="B3698" t="str">
            <v>A5C</v>
          </cell>
          <cell r="C3698" t="str">
            <v>P</v>
          </cell>
          <cell r="D3698" t="str">
            <v>23193</v>
          </cell>
          <cell r="E3698" t="str">
            <v>SW FLG</v>
          </cell>
          <cell r="F3698">
            <v>3</v>
          </cell>
          <cell r="G3698" t="str">
            <v>CB240108000T00</v>
          </cell>
          <cell r="H3698">
            <v>0.75</v>
          </cell>
          <cell r="I3698" t="str">
            <v>--</v>
          </cell>
          <cell r="J3698">
            <v>1</v>
          </cell>
          <cell r="K3698">
            <v>1</v>
          </cell>
        </row>
        <row r="3699">
          <cell r="A3699" t="str">
            <v>M2</v>
          </cell>
          <cell r="B3699" t="str">
            <v>A5C</v>
          </cell>
          <cell r="C3699" t="str">
            <v>P</v>
          </cell>
          <cell r="D3699" t="str">
            <v>24016</v>
          </cell>
          <cell r="E3699" t="str">
            <v>SW FLG</v>
          </cell>
          <cell r="F3699">
            <v>3</v>
          </cell>
          <cell r="G3699" t="str">
            <v>CB240108000T00</v>
          </cell>
          <cell r="H3699">
            <v>0.75</v>
          </cell>
          <cell r="I3699" t="str">
            <v>--</v>
          </cell>
          <cell r="J3699">
            <v>2</v>
          </cell>
          <cell r="K3699">
            <v>2</v>
          </cell>
        </row>
        <row r="3700">
          <cell r="A3700" t="str">
            <v>M2</v>
          </cell>
          <cell r="B3700" t="str">
            <v>A5C</v>
          </cell>
          <cell r="C3700" t="str">
            <v>P</v>
          </cell>
          <cell r="D3700" t="str">
            <v>24016</v>
          </cell>
          <cell r="E3700" t="str">
            <v>SW FLG</v>
          </cell>
          <cell r="F3700">
            <v>3</v>
          </cell>
          <cell r="G3700" t="str">
            <v>CB240208000T00</v>
          </cell>
          <cell r="H3700">
            <v>0.75</v>
          </cell>
          <cell r="I3700" t="str">
            <v>--</v>
          </cell>
          <cell r="J3700">
            <v>2</v>
          </cell>
          <cell r="K3700">
            <v>2</v>
          </cell>
        </row>
        <row r="3701">
          <cell r="A3701" t="str">
            <v>M2</v>
          </cell>
          <cell r="B3701" t="str">
            <v>A5C</v>
          </cell>
          <cell r="C3701" t="str">
            <v>P</v>
          </cell>
          <cell r="D3701" t="str">
            <v>24017</v>
          </cell>
          <cell r="E3701" t="str">
            <v>SW FLG</v>
          </cell>
          <cell r="F3701">
            <v>3</v>
          </cell>
          <cell r="G3701" t="str">
            <v>CB240208000T00</v>
          </cell>
          <cell r="H3701">
            <v>0.75</v>
          </cell>
          <cell r="I3701" t="str">
            <v>--</v>
          </cell>
          <cell r="J3701">
            <v>2</v>
          </cell>
          <cell r="K3701">
            <v>2</v>
          </cell>
        </row>
        <row r="3702">
          <cell r="A3702" t="str">
            <v>M2</v>
          </cell>
          <cell r="B3702" t="str">
            <v>A5C</v>
          </cell>
          <cell r="C3702" t="str">
            <v>P</v>
          </cell>
          <cell r="D3702" t="str">
            <v>24018</v>
          </cell>
          <cell r="E3702" t="str">
            <v>SW FLG</v>
          </cell>
          <cell r="F3702">
            <v>3</v>
          </cell>
          <cell r="G3702" t="str">
            <v>CB240208000T00</v>
          </cell>
          <cell r="H3702">
            <v>0.75</v>
          </cell>
          <cell r="I3702" t="str">
            <v>--</v>
          </cell>
          <cell r="J3702">
            <v>2</v>
          </cell>
          <cell r="K3702">
            <v>2</v>
          </cell>
        </row>
        <row r="3703">
          <cell r="A3703" t="str">
            <v>M2</v>
          </cell>
          <cell r="B3703" t="str">
            <v>A5C</v>
          </cell>
          <cell r="C3703" t="str">
            <v>P</v>
          </cell>
          <cell r="D3703" t="str">
            <v>23027</v>
          </cell>
          <cell r="E3703" t="str">
            <v>SW FLG</v>
          </cell>
          <cell r="F3703">
            <v>3</v>
          </cell>
          <cell r="G3703" t="str">
            <v>CB240208000T00</v>
          </cell>
          <cell r="H3703">
            <v>0.75</v>
          </cell>
          <cell r="I3703" t="str">
            <v>--</v>
          </cell>
          <cell r="J3703">
            <v>2</v>
          </cell>
          <cell r="K3703">
            <v>2</v>
          </cell>
        </row>
        <row r="3704">
          <cell r="A3704" t="str">
            <v>M2</v>
          </cell>
          <cell r="B3704" t="str">
            <v>A5C</v>
          </cell>
          <cell r="C3704" t="str">
            <v>P</v>
          </cell>
          <cell r="D3704" t="str">
            <v>23028</v>
          </cell>
          <cell r="E3704" t="str">
            <v>SW FLG</v>
          </cell>
          <cell r="F3704">
            <v>3</v>
          </cell>
          <cell r="G3704" t="str">
            <v>CB240208000T00</v>
          </cell>
          <cell r="H3704">
            <v>0.75</v>
          </cell>
          <cell r="I3704" t="str">
            <v>--</v>
          </cell>
          <cell r="J3704">
            <v>2</v>
          </cell>
          <cell r="K3704">
            <v>2</v>
          </cell>
        </row>
        <row r="3705">
          <cell r="A3705" t="str">
            <v>M2</v>
          </cell>
          <cell r="B3705" t="str">
            <v>A5C</v>
          </cell>
          <cell r="C3705" t="str">
            <v>P</v>
          </cell>
          <cell r="D3705" t="str">
            <v>23053</v>
          </cell>
          <cell r="E3705" t="str">
            <v>SW FLG</v>
          </cell>
          <cell r="F3705">
            <v>3</v>
          </cell>
          <cell r="G3705" t="str">
            <v>CB240208000T00</v>
          </cell>
          <cell r="H3705">
            <v>0.75</v>
          </cell>
          <cell r="I3705" t="str">
            <v>--</v>
          </cell>
          <cell r="J3705">
            <v>2</v>
          </cell>
          <cell r="K3705">
            <v>2</v>
          </cell>
        </row>
        <row r="3706">
          <cell r="A3706" t="str">
            <v>M2</v>
          </cell>
          <cell r="B3706" t="str">
            <v>A5C</v>
          </cell>
          <cell r="C3706" t="str">
            <v>P</v>
          </cell>
          <cell r="D3706" t="str">
            <v>23053</v>
          </cell>
          <cell r="E3706" t="str">
            <v>SW FLG</v>
          </cell>
          <cell r="F3706">
            <v>3</v>
          </cell>
          <cell r="G3706" t="str">
            <v>CB240108000T00</v>
          </cell>
          <cell r="H3706">
            <v>0.75</v>
          </cell>
          <cell r="I3706" t="str">
            <v>--</v>
          </cell>
          <cell r="J3706">
            <v>1</v>
          </cell>
          <cell r="K3706">
            <v>1</v>
          </cell>
        </row>
        <row r="3707">
          <cell r="A3707" t="str">
            <v>M2</v>
          </cell>
          <cell r="B3707" t="str">
            <v>A5C</v>
          </cell>
          <cell r="C3707" t="str">
            <v>P</v>
          </cell>
          <cell r="D3707" t="str">
            <v>23079</v>
          </cell>
          <cell r="E3707" t="str">
            <v>SW FLG</v>
          </cell>
          <cell r="F3707">
            <v>3</v>
          </cell>
          <cell r="G3707" t="str">
            <v>CB240108000T00</v>
          </cell>
          <cell r="H3707">
            <v>0.75</v>
          </cell>
          <cell r="I3707" t="str">
            <v>--</v>
          </cell>
          <cell r="J3707">
            <v>2</v>
          </cell>
          <cell r="K3707">
            <v>2</v>
          </cell>
        </row>
        <row r="3708">
          <cell r="A3708" t="str">
            <v>M2</v>
          </cell>
          <cell r="B3708" t="str">
            <v>A5C</v>
          </cell>
          <cell r="C3708" t="str">
            <v>P</v>
          </cell>
          <cell r="D3708" t="str">
            <v>23079</v>
          </cell>
          <cell r="E3708" t="str">
            <v>SW FLG</v>
          </cell>
          <cell r="F3708">
            <v>3</v>
          </cell>
          <cell r="G3708" t="str">
            <v>CB240208000T00</v>
          </cell>
          <cell r="H3708">
            <v>0.75</v>
          </cell>
          <cell r="I3708" t="str">
            <v>--</v>
          </cell>
          <cell r="J3708">
            <v>2</v>
          </cell>
          <cell r="K3708">
            <v>2</v>
          </cell>
        </row>
        <row r="3709">
          <cell r="A3709" t="str">
            <v>M2</v>
          </cell>
          <cell r="B3709" t="str">
            <v>A5C</v>
          </cell>
          <cell r="C3709" t="str">
            <v>P</v>
          </cell>
          <cell r="D3709" t="str">
            <v>23176</v>
          </cell>
          <cell r="E3709" t="str">
            <v>SW FLG</v>
          </cell>
          <cell r="F3709">
            <v>3</v>
          </cell>
          <cell r="G3709" t="str">
            <v>CB240108000T00</v>
          </cell>
          <cell r="H3709">
            <v>0.75</v>
          </cell>
          <cell r="I3709" t="str">
            <v>--</v>
          </cell>
          <cell r="J3709">
            <v>1</v>
          </cell>
          <cell r="K3709">
            <v>1</v>
          </cell>
        </row>
        <row r="3710">
          <cell r="A3710" t="str">
            <v>M2</v>
          </cell>
          <cell r="B3710" t="str">
            <v>A5C</v>
          </cell>
          <cell r="C3710" t="str">
            <v>P</v>
          </cell>
          <cell r="D3710" t="str">
            <v>23180</v>
          </cell>
          <cell r="E3710" t="str">
            <v>SW FLG</v>
          </cell>
          <cell r="F3710">
            <v>3</v>
          </cell>
          <cell r="G3710" t="str">
            <v>CB240108000T00</v>
          </cell>
          <cell r="H3710">
            <v>0.75</v>
          </cell>
          <cell r="I3710" t="str">
            <v>--</v>
          </cell>
          <cell r="J3710">
            <v>4</v>
          </cell>
          <cell r="K3710">
            <v>4</v>
          </cell>
        </row>
        <row r="3711">
          <cell r="A3711" t="str">
            <v>M2</v>
          </cell>
          <cell r="B3711" t="str">
            <v>A5C</v>
          </cell>
          <cell r="C3711" t="str">
            <v>P</v>
          </cell>
          <cell r="D3711" t="str">
            <v>23219</v>
          </cell>
          <cell r="E3711" t="str">
            <v>SW FLG</v>
          </cell>
          <cell r="F3711">
            <v>3</v>
          </cell>
          <cell r="G3711" t="str">
            <v>CB240108000T00</v>
          </cell>
          <cell r="H3711">
            <v>0.75</v>
          </cell>
          <cell r="I3711" t="str">
            <v>--</v>
          </cell>
          <cell r="J3711">
            <v>2</v>
          </cell>
          <cell r="K3711">
            <v>2</v>
          </cell>
        </row>
        <row r="3712">
          <cell r="A3712" t="str">
            <v>M2</v>
          </cell>
          <cell r="B3712" t="str">
            <v>A5C</v>
          </cell>
          <cell r="C3712" t="str">
            <v>TRIM</v>
          </cell>
          <cell r="D3712" t="str">
            <v>V-2403</v>
          </cell>
          <cell r="E3712" t="str">
            <v>SW FLG</v>
          </cell>
          <cell r="F3712">
            <v>3</v>
          </cell>
          <cell r="G3712" t="str">
            <v>CB240108000T00</v>
          </cell>
          <cell r="H3712">
            <v>0.75</v>
          </cell>
          <cell r="I3712" t="str">
            <v>--</v>
          </cell>
          <cell r="J3712">
            <v>2</v>
          </cell>
          <cell r="K3712">
            <v>2</v>
          </cell>
        </row>
        <row r="3713">
          <cell r="A3713" t="str">
            <v>M2</v>
          </cell>
          <cell r="B3713" t="str">
            <v>A5C</v>
          </cell>
          <cell r="C3713" t="str">
            <v>P</v>
          </cell>
          <cell r="D3713" t="str">
            <v>23013</v>
          </cell>
          <cell r="E3713" t="str">
            <v>SW FLG</v>
          </cell>
          <cell r="F3713">
            <v>3</v>
          </cell>
          <cell r="G3713" t="str">
            <v>CB240108000T00</v>
          </cell>
          <cell r="H3713">
            <v>0.75</v>
          </cell>
          <cell r="I3713" t="str">
            <v>--</v>
          </cell>
          <cell r="J3713">
            <v>3</v>
          </cell>
          <cell r="K3713">
            <v>3</v>
          </cell>
        </row>
        <row r="3714">
          <cell r="A3714" t="str">
            <v>M2</v>
          </cell>
          <cell r="B3714" t="str">
            <v>A5C</v>
          </cell>
          <cell r="C3714" t="str">
            <v>P</v>
          </cell>
          <cell r="D3714" t="str">
            <v>23156</v>
          </cell>
          <cell r="E3714" t="str">
            <v>SW FLG</v>
          </cell>
          <cell r="F3714">
            <v>3</v>
          </cell>
          <cell r="G3714" t="str">
            <v>CB240208000T00</v>
          </cell>
          <cell r="H3714">
            <v>0.75</v>
          </cell>
          <cell r="I3714" t="str">
            <v>--</v>
          </cell>
          <cell r="J3714">
            <v>2</v>
          </cell>
          <cell r="K3714">
            <v>2</v>
          </cell>
        </row>
        <row r="3715">
          <cell r="A3715" t="str">
            <v>M2</v>
          </cell>
          <cell r="B3715" t="str">
            <v>A5C</v>
          </cell>
          <cell r="C3715" t="str">
            <v>P</v>
          </cell>
          <cell r="D3715" t="str">
            <v>24004</v>
          </cell>
          <cell r="E3715" t="str">
            <v>SW FLG</v>
          </cell>
          <cell r="F3715">
            <v>3</v>
          </cell>
          <cell r="G3715" t="str">
            <v>CB240108000T00</v>
          </cell>
          <cell r="H3715">
            <v>0.75</v>
          </cell>
          <cell r="I3715" t="str">
            <v>--</v>
          </cell>
          <cell r="J3715">
            <v>2</v>
          </cell>
          <cell r="K3715">
            <v>2</v>
          </cell>
        </row>
        <row r="3716">
          <cell r="A3716" t="str">
            <v>M2</v>
          </cell>
          <cell r="B3716" t="str">
            <v>A5C</v>
          </cell>
          <cell r="C3716" t="str">
            <v>P</v>
          </cell>
          <cell r="D3716" t="str">
            <v>24029</v>
          </cell>
          <cell r="E3716" t="str">
            <v>SW FLG</v>
          </cell>
          <cell r="F3716">
            <v>3</v>
          </cell>
          <cell r="G3716" t="str">
            <v>CB240108000T00</v>
          </cell>
          <cell r="H3716">
            <v>0.75</v>
          </cell>
          <cell r="I3716" t="str">
            <v>--</v>
          </cell>
          <cell r="J3716">
            <v>2</v>
          </cell>
          <cell r="K3716">
            <v>2</v>
          </cell>
        </row>
        <row r="3717">
          <cell r="A3717" t="str">
            <v>M2</v>
          </cell>
          <cell r="B3717" t="str">
            <v>A5C</v>
          </cell>
          <cell r="C3717" t="str">
            <v>P</v>
          </cell>
          <cell r="D3717" t="str">
            <v>24031</v>
          </cell>
          <cell r="E3717" t="str">
            <v>SW FLG</v>
          </cell>
          <cell r="F3717">
            <v>3</v>
          </cell>
          <cell r="G3717" t="str">
            <v>CB240108000T00</v>
          </cell>
          <cell r="H3717">
            <v>0.75</v>
          </cell>
          <cell r="I3717" t="str">
            <v>--</v>
          </cell>
          <cell r="J3717">
            <v>2</v>
          </cell>
          <cell r="K3717">
            <v>2</v>
          </cell>
        </row>
        <row r="3718">
          <cell r="A3718" t="str">
            <v>M2</v>
          </cell>
          <cell r="B3718" t="str">
            <v>A5C</v>
          </cell>
          <cell r="C3718" t="str">
            <v>P</v>
          </cell>
          <cell r="D3718" t="str">
            <v>24033</v>
          </cell>
          <cell r="E3718" t="str">
            <v>SW FLG</v>
          </cell>
          <cell r="F3718">
            <v>3</v>
          </cell>
          <cell r="G3718" t="str">
            <v>CB240108000T00</v>
          </cell>
          <cell r="H3718">
            <v>0.75</v>
          </cell>
          <cell r="I3718" t="str">
            <v>--</v>
          </cell>
          <cell r="J3718">
            <v>2</v>
          </cell>
          <cell r="K3718">
            <v>2</v>
          </cell>
        </row>
        <row r="3719">
          <cell r="A3719" t="str">
            <v>M2</v>
          </cell>
          <cell r="B3719" t="str">
            <v>A5C</v>
          </cell>
          <cell r="C3719" t="str">
            <v>P</v>
          </cell>
          <cell r="D3719" t="str">
            <v>99004</v>
          </cell>
          <cell r="E3719" t="str">
            <v>SW FLG</v>
          </cell>
          <cell r="F3719">
            <v>3</v>
          </cell>
          <cell r="G3719" t="str">
            <v>CB240208000T00</v>
          </cell>
          <cell r="H3719">
            <v>0.75</v>
          </cell>
          <cell r="I3719" t="str">
            <v>--</v>
          </cell>
          <cell r="J3719">
            <v>2</v>
          </cell>
          <cell r="K3719">
            <v>2</v>
          </cell>
        </row>
        <row r="3720">
          <cell r="A3720" t="str">
            <v>M2</v>
          </cell>
          <cell r="B3720" t="str">
            <v>A5C</v>
          </cell>
          <cell r="C3720" t="str">
            <v>P</v>
          </cell>
          <cell r="D3720" t="str">
            <v>23156</v>
          </cell>
          <cell r="E3720" t="str">
            <v>SW FLG</v>
          </cell>
          <cell r="F3720">
            <v>3</v>
          </cell>
          <cell r="G3720" t="str">
            <v>CB240108000T00</v>
          </cell>
          <cell r="H3720">
            <v>0.75</v>
          </cell>
          <cell r="I3720" t="str">
            <v>--</v>
          </cell>
          <cell r="J3720">
            <v>1</v>
          </cell>
          <cell r="K3720">
            <v>1</v>
          </cell>
        </row>
        <row r="3721">
          <cell r="A3721" t="str">
            <v>M2</v>
          </cell>
          <cell r="B3721" t="str">
            <v>B2C</v>
          </cell>
          <cell r="C3721" t="str">
            <v>SH</v>
          </cell>
          <cell r="D3721" t="str">
            <v>23613</v>
          </cell>
          <cell r="E3721" t="str">
            <v>SW FLG</v>
          </cell>
          <cell r="F3721">
            <v>3</v>
          </cell>
          <cell r="G3721" t="str">
            <v>CB240208000100</v>
          </cell>
          <cell r="H3721">
            <v>1</v>
          </cell>
          <cell r="I3721" t="str">
            <v>--</v>
          </cell>
          <cell r="J3721">
            <v>1</v>
          </cell>
          <cell r="K3721">
            <v>1</v>
          </cell>
        </row>
        <row r="3722">
          <cell r="A3722" t="str">
            <v>M2</v>
          </cell>
          <cell r="B3722" t="str">
            <v>B2C</v>
          </cell>
          <cell r="C3722" t="str">
            <v>SH</v>
          </cell>
          <cell r="D3722" t="str">
            <v>24612</v>
          </cell>
          <cell r="E3722" t="str">
            <v>SW FLG</v>
          </cell>
          <cell r="F3722">
            <v>3</v>
          </cell>
          <cell r="G3722" t="str">
            <v>CB240208000100</v>
          </cell>
          <cell r="H3722">
            <v>1</v>
          </cell>
          <cell r="I3722" t="str">
            <v>--</v>
          </cell>
          <cell r="J3722">
            <v>1</v>
          </cell>
          <cell r="K3722">
            <v>1</v>
          </cell>
        </row>
        <row r="3723">
          <cell r="A3723" t="str">
            <v>M2</v>
          </cell>
          <cell r="B3723" t="str">
            <v>A5C</v>
          </cell>
          <cell r="C3723" t="str">
            <v>P</v>
          </cell>
          <cell r="D3723" t="str">
            <v>23011</v>
          </cell>
          <cell r="E3723" t="str">
            <v>LWN FLG</v>
          </cell>
          <cell r="F3723">
            <v>3</v>
          </cell>
          <cell r="G3723" t="str">
            <v>CB2901000001WL</v>
          </cell>
          <cell r="H3723">
            <v>1</v>
          </cell>
          <cell r="I3723" t="str">
            <v>150mm</v>
          </cell>
          <cell r="J3723">
            <v>1</v>
          </cell>
          <cell r="K3723">
            <v>1</v>
          </cell>
        </row>
        <row r="3724">
          <cell r="A3724" t="str">
            <v>M2</v>
          </cell>
          <cell r="B3724" t="str">
            <v>A5C</v>
          </cell>
          <cell r="C3724" t="str">
            <v>P</v>
          </cell>
          <cell r="D3724" t="str">
            <v>23057</v>
          </cell>
          <cell r="E3724" t="str">
            <v>LWN FLG</v>
          </cell>
          <cell r="F3724">
            <v>3</v>
          </cell>
          <cell r="G3724" t="str">
            <v>CB2901000001WL</v>
          </cell>
          <cell r="H3724">
            <v>1</v>
          </cell>
          <cell r="I3724" t="str">
            <v>150mm</v>
          </cell>
          <cell r="J3724">
            <v>1</v>
          </cell>
          <cell r="K3724">
            <v>1</v>
          </cell>
        </row>
        <row r="3725">
          <cell r="A3725" t="str">
            <v>M2</v>
          </cell>
          <cell r="B3725" t="str">
            <v>A5C</v>
          </cell>
          <cell r="C3725" t="str">
            <v>P</v>
          </cell>
          <cell r="D3725" t="str">
            <v>23067</v>
          </cell>
          <cell r="E3725" t="str">
            <v>LWN FLG</v>
          </cell>
          <cell r="F3725">
            <v>3</v>
          </cell>
          <cell r="G3725" t="str">
            <v>CB2901000001WL</v>
          </cell>
          <cell r="H3725">
            <v>1</v>
          </cell>
          <cell r="I3725" t="str">
            <v>150mm</v>
          </cell>
          <cell r="J3725">
            <v>1</v>
          </cell>
          <cell r="K3725">
            <v>1</v>
          </cell>
        </row>
        <row r="3726">
          <cell r="A3726" t="str">
            <v>M2</v>
          </cell>
          <cell r="B3726" t="str">
            <v>A5C</v>
          </cell>
          <cell r="C3726" t="str">
            <v>P</v>
          </cell>
          <cell r="D3726" t="str">
            <v>23072</v>
          </cell>
          <cell r="E3726" t="str">
            <v>LWN FLG</v>
          </cell>
          <cell r="F3726">
            <v>3</v>
          </cell>
          <cell r="G3726" t="str">
            <v>CB2901000001WL</v>
          </cell>
          <cell r="H3726">
            <v>1</v>
          </cell>
          <cell r="I3726" t="str">
            <v>150mm</v>
          </cell>
          <cell r="J3726">
            <v>1</v>
          </cell>
          <cell r="K3726">
            <v>1</v>
          </cell>
        </row>
        <row r="3727">
          <cell r="A3727" t="str">
            <v>M2</v>
          </cell>
          <cell r="B3727" t="str">
            <v>A5C</v>
          </cell>
          <cell r="C3727" t="str">
            <v>P</v>
          </cell>
          <cell r="D3727" t="str">
            <v>23097</v>
          </cell>
          <cell r="E3727" t="str">
            <v>LWN FLG</v>
          </cell>
          <cell r="F3727">
            <v>3</v>
          </cell>
          <cell r="G3727" t="str">
            <v>CB2901000001WL</v>
          </cell>
          <cell r="H3727">
            <v>1</v>
          </cell>
          <cell r="I3727" t="str">
            <v>150mm</v>
          </cell>
          <cell r="J3727">
            <v>1</v>
          </cell>
          <cell r="K3727">
            <v>1</v>
          </cell>
        </row>
        <row r="3728">
          <cell r="A3728" t="str">
            <v>M2</v>
          </cell>
          <cell r="B3728" t="str">
            <v>A5C</v>
          </cell>
          <cell r="C3728" t="str">
            <v>P</v>
          </cell>
          <cell r="D3728" t="str">
            <v>23136</v>
          </cell>
          <cell r="E3728" t="str">
            <v>LWN FLG</v>
          </cell>
          <cell r="F3728">
            <v>3</v>
          </cell>
          <cell r="G3728" t="str">
            <v>CB2901000001WL</v>
          </cell>
          <cell r="H3728">
            <v>1</v>
          </cell>
          <cell r="I3728" t="str">
            <v>150mm</v>
          </cell>
          <cell r="J3728">
            <v>1</v>
          </cell>
          <cell r="K3728">
            <v>1</v>
          </cell>
        </row>
        <row r="3729">
          <cell r="A3729" t="str">
            <v>M2</v>
          </cell>
          <cell r="B3729" t="str">
            <v>A5C</v>
          </cell>
          <cell r="C3729" t="str">
            <v>P</v>
          </cell>
          <cell r="D3729" t="str">
            <v>23228</v>
          </cell>
          <cell r="E3729" t="str">
            <v>LWN FLG</v>
          </cell>
          <cell r="F3729">
            <v>3</v>
          </cell>
          <cell r="G3729" t="str">
            <v>CB2901000001WL</v>
          </cell>
          <cell r="H3729">
            <v>1</v>
          </cell>
          <cell r="I3729" t="str">
            <v>150mm</v>
          </cell>
          <cell r="J3729">
            <v>1</v>
          </cell>
          <cell r="K3729">
            <v>1</v>
          </cell>
        </row>
        <row r="3730">
          <cell r="A3730" t="str">
            <v>M2</v>
          </cell>
          <cell r="B3730" t="str">
            <v>A5C</v>
          </cell>
          <cell r="C3730" t="str">
            <v>P</v>
          </cell>
          <cell r="D3730" t="str">
            <v>23250</v>
          </cell>
          <cell r="E3730" t="str">
            <v>LWN FLG</v>
          </cell>
          <cell r="F3730">
            <v>3</v>
          </cell>
          <cell r="G3730" t="str">
            <v>CB2901000001WL</v>
          </cell>
          <cell r="H3730">
            <v>1</v>
          </cell>
          <cell r="I3730" t="str">
            <v>150mm</v>
          </cell>
          <cell r="J3730">
            <v>1</v>
          </cell>
          <cell r="K3730">
            <v>1</v>
          </cell>
        </row>
        <row r="3731">
          <cell r="A3731" t="str">
            <v>M2</v>
          </cell>
          <cell r="B3731" t="str">
            <v>A5C</v>
          </cell>
          <cell r="C3731" t="str">
            <v>P</v>
          </cell>
          <cell r="D3731" t="str">
            <v>23035</v>
          </cell>
          <cell r="E3731" t="str">
            <v>LWN FLG</v>
          </cell>
          <cell r="F3731">
            <v>3</v>
          </cell>
          <cell r="G3731" t="str">
            <v>CB2901000001WL</v>
          </cell>
          <cell r="H3731">
            <v>1</v>
          </cell>
          <cell r="I3731" t="str">
            <v>150mm</v>
          </cell>
          <cell r="J3731">
            <v>1</v>
          </cell>
          <cell r="K3731">
            <v>1</v>
          </cell>
        </row>
        <row r="3732">
          <cell r="A3732" t="str">
            <v>M2</v>
          </cell>
          <cell r="B3732" t="str">
            <v>A5C</v>
          </cell>
          <cell r="C3732" t="str">
            <v>P</v>
          </cell>
          <cell r="D3732" t="str">
            <v>23046</v>
          </cell>
          <cell r="E3732" t="str">
            <v>LWN FLG</v>
          </cell>
          <cell r="F3732">
            <v>3</v>
          </cell>
          <cell r="G3732" t="str">
            <v>CB2901000001WL</v>
          </cell>
          <cell r="H3732">
            <v>1</v>
          </cell>
          <cell r="I3732" t="str">
            <v>150mm</v>
          </cell>
          <cell r="J3732">
            <v>1</v>
          </cell>
          <cell r="K3732">
            <v>1</v>
          </cell>
        </row>
        <row r="3733">
          <cell r="A3733" t="str">
            <v>M2</v>
          </cell>
          <cell r="B3733" t="str">
            <v>A5C</v>
          </cell>
          <cell r="C3733" t="str">
            <v>P</v>
          </cell>
          <cell r="D3733" t="str">
            <v>23126</v>
          </cell>
          <cell r="E3733" t="str">
            <v>LWN FLG</v>
          </cell>
          <cell r="F3733">
            <v>3</v>
          </cell>
          <cell r="G3733" t="str">
            <v>CB2901000001WL</v>
          </cell>
          <cell r="H3733">
            <v>1</v>
          </cell>
          <cell r="I3733" t="str">
            <v>150mm</v>
          </cell>
          <cell r="J3733">
            <v>1</v>
          </cell>
          <cell r="K3733">
            <v>1</v>
          </cell>
        </row>
        <row r="3734">
          <cell r="A3734" t="str">
            <v>M2</v>
          </cell>
          <cell r="B3734" t="str">
            <v>A5C</v>
          </cell>
          <cell r="C3734" t="str">
            <v>P</v>
          </cell>
          <cell r="D3734" t="str">
            <v>23188</v>
          </cell>
          <cell r="E3734" t="str">
            <v>LWN FLG</v>
          </cell>
          <cell r="F3734">
            <v>3</v>
          </cell>
          <cell r="G3734" t="str">
            <v>CB2901000001WL</v>
          </cell>
          <cell r="H3734">
            <v>1</v>
          </cell>
          <cell r="I3734" t="str">
            <v>150mm</v>
          </cell>
          <cell r="J3734">
            <v>1</v>
          </cell>
          <cell r="K3734">
            <v>1</v>
          </cell>
        </row>
        <row r="3735">
          <cell r="A3735" t="str">
            <v>M2</v>
          </cell>
          <cell r="B3735" t="str">
            <v>A5C</v>
          </cell>
          <cell r="C3735" t="str">
            <v>P</v>
          </cell>
          <cell r="D3735" t="str">
            <v>23230</v>
          </cell>
          <cell r="E3735" t="str">
            <v>LWN FLG</v>
          </cell>
          <cell r="F3735">
            <v>3</v>
          </cell>
          <cell r="G3735" t="str">
            <v>CB2901000001WL</v>
          </cell>
          <cell r="H3735">
            <v>1</v>
          </cell>
          <cell r="I3735" t="str">
            <v>150mm</v>
          </cell>
          <cell r="J3735">
            <v>1</v>
          </cell>
          <cell r="K3735">
            <v>1</v>
          </cell>
        </row>
        <row r="3736">
          <cell r="A3736" t="str">
            <v>M2</v>
          </cell>
          <cell r="B3736" t="str">
            <v>A5C</v>
          </cell>
          <cell r="C3736" t="str">
            <v>P</v>
          </cell>
          <cell r="D3736" t="str">
            <v>23252</v>
          </cell>
          <cell r="E3736" t="str">
            <v>LWN FLG</v>
          </cell>
          <cell r="F3736">
            <v>3</v>
          </cell>
          <cell r="G3736" t="str">
            <v>CB2901000001WL</v>
          </cell>
          <cell r="H3736">
            <v>1</v>
          </cell>
          <cell r="I3736" t="str">
            <v>150mm</v>
          </cell>
          <cell r="J3736">
            <v>1</v>
          </cell>
          <cell r="K3736">
            <v>1</v>
          </cell>
        </row>
        <row r="3737">
          <cell r="A3737" t="str">
            <v>M2</v>
          </cell>
          <cell r="B3737" t="str">
            <v>A5C</v>
          </cell>
          <cell r="C3737" t="str">
            <v>P</v>
          </cell>
          <cell r="D3737" t="str">
            <v>24013</v>
          </cell>
          <cell r="E3737" t="str">
            <v>LWN FLG</v>
          </cell>
          <cell r="F3737">
            <v>3</v>
          </cell>
          <cell r="G3737" t="str">
            <v>CB2901000001WL</v>
          </cell>
          <cell r="H3737">
            <v>1</v>
          </cell>
          <cell r="I3737" t="str">
            <v>150mm</v>
          </cell>
          <cell r="J3737">
            <v>1</v>
          </cell>
          <cell r="K3737">
            <v>1</v>
          </cell>
        </row>
        <row r="3738">
          <cell r="A3738" t="str">
            <v>M2</v>
          </cell>
          <cell r="B3738" t="str">
            <v>A5C</v>
          </cell>
          <cell r="C3738" t="str">
            <v>P</v>
          </cell>
          <cell r="D3738" t="str">
            <v>23006</v>
          </cell>
          <cell r="E3738" t="str">
            <v>SW FLG</v>
          </cell>
          <cell r="F3738">
            <v>3</v>
          </cell>
          <cell r="G3738" t="str">
            <v>CB240208000100</v>
          </cell>
          <cell r="H3738">
            <v>1</v>
          </cell>
          <cell r="I3738" t="str">
            <v>--</v>
          </cell>
          <cell r="J3738">
            <v>2</v>
          </cell>
          <cell r="K3738">
            <v>2</v>
          </cell>
        </row>
        <row r="3739">
          <cell r="A3739" t="str">
            <v>M2</v>
          </cell>
          <cell r="B3739" t="str">
            <v>A5C</v>
          </cell>
          <cell r="C3739" t="str">
            <v>P</v>
          </cell>
          <cell r="D3739" t="str">
            <v>23035</v>
          </cell>
          <cell r="E3739" t="str">
            <v>SW FLG</v>
          </cell>
          <cell r="F3739">
            <v>3</v>
          </cell>
          <cell r="G3739" t="str">
            <v>CB240208000100</v>
          </cell>
          <cell r="H3739">
            <v>1</v>
          </cell>
          <cell r="I3739" t="str">
            <v>--</v>
          </cell>
          <cell r="J3739">
            <v>2</v>
          </cell>
          <cell r="K3739">
            <v>2</v>
          </cell>
        </row>
        <row r="3740">
          <cell r="A3740" t="str">
            <v>M2</v>
          </cell>
          <cell r="B3740" t="str">
            <v>A5C</v>
          </cell>
          <cell r="C3740" t="str">
            <v>P</v>
          </cell>
          <cell r="D3740" t="str">
            <v>23037</v>
          </cell>
          <cell r="E3740" t="str">
            <v>SW FLG</v>
          </cell>
          <cell r="F3740">
            <v>3</v>
          </cell>
          <cell r="G3740" t="str">
            <v>CB240108000100</v>
          </cell>
          <cell r="H3740">
            <v>1</v>
          </cell>
          <cell r="I3740" t="str">
            <v>--</v>
          </cell>
          <cell r="J3740">
            <v>1</v>
          </cell>
          <cell r="K3740">
            <v>1</v>
          </cell>
        </row>
        <row r="3741">
          <cell r="A3741" t="str">
            <v>M2</v>
          </cell>
          <cell r="B3741" t="str">
            <v>A5C</v>
          </cell>
          <cell r="C3741" t="str">
            <v>P</v>
          </cell>
          <cell r="D3741" t="str">
            <v>23038</v>
          </cell>
          <cell r="E3741" t="str">
            <v>SW FLG</v>
          </cell>
          <cell r="F3741">
            <v>3</v>
          </cell>
          <cell r="G3741" t="str">
            <v>CB240108000100</v>
          </cell>
          <cell r="H3741">
            <v>1</v>
          </cell>
          <cell r="I3741" t="str">
            <v>--</v>
          </cell>
          <cell r="J3741">
            <v>2</v>
          </cell>
          <cell r="K3741">
            <v>2</v>
          </cell>
        </row>
        <row r="3742">
          <cell r="A3742" t="str">
            <v>M2</v>
          </cell>
          <cell r="B3742" t="str">
            <v>A5C</v>
          </cell>
          <cell r="C3742" t="str">
            <v>P</v>
          </cell>
          <cell r="D3742" t="str">
            <v>23052</v>
          </cell>
          <cell r="E3742" t="str">
            <v>SW FLG</v>
          </cell>
          <cell r="F3742">
            <v>3</v>
          </cell>
          <cell r="G3742" t="str">
            <v>CB240108000100</v>
          </cell>
          <cell r="H3742">
            <v>1</v>
          </cell>
          <cell r="I3742" t="str">
            <v>--</v>
          </cell>
          <cell r="J3742">
            <v>1</v>
          </cell>
          <cell r="K3742">
            <v>1</v>
          </cell>
        </row>
        <row r="3743">
          <cell r="A3743" t="str">
            <v>M2</v>
          </cell>
          <cell r="B3743" t="str">
            <v>A5C</v>
          </cell>
          <cell r="C3743" t="str">
            <v>P</v>
          </cell>
          <cell r="D3743" t="str">
            <v>23063</v>
          </cell>
          <cell r="E3743" t="str">
            <v>SW FLG</v>
          </cell>
          <cell r="F3743">
            <v>3</v>
          </cell>
          <cell r="G3743" t="str">
            <v>CB240108000100</v>
          </cell>
          <cell r="H3743">
            <v>1</v>
          </cell>
          <cell r="I3743" t="str">
            <v>--</v>
          </cell>
          <cell r="J3743">
            <v>1</v>
          </cell>
          <cell r="K3743">
            <v>1</v>
          </cell>
        </row>
        <row r="3744">
          <cell r="A3744" t="str">
            <v>M2</v>
          </cell>
          <cell r="B3744" t="str">
            <v>A5C</v>
          </cell>
          <cell r="C3744" t="str">
            <v>P</v>
          </cell>
          <cell r="D3744" t="str">
            <v>23070</v>
          </cell>
          <cell r="E3744" t="str">
            <v>SW FLG</v>
          </cell>
          <cell r="F3744">
            <v>3</v>
          </cell>
          <cell r="G3744" t="str">
            <v>CB240108000100</v>
          </cell>
          <cell r="H3744">
            <v>1</v>
          </cell>
          <cell r="I3744" t="str">
            <v>--</v>
          </cell>
          <cell r="J3744">
            <v>2</v>
          </cell>
          <cell r="K3744">
            <v>2</v>
          </cell>
        </row>
        <row r="3745">
          <cell r="A3745" t="str">
            <v>M2</v>
          </cell>
          <cell r="B3745" t="str">
            <v>A5C</v>
          </cell>
          <cell r="C3745" t="str">
            <v>P</v>
          </cell>
          <cell r="D3745" t="str">
            <v>23078</v>
          </cell>
          <cell r="E3745" t="str">
            <v>SW FLG</v>
          </cell>
          <cell r="F3745">
            <v>3</v>
          </cell>
          <cell r="G3745" t="str">
            <v>CB240108000100</v>
          </cell>
          <cell r="H3745">
            <v>1</v>
          </cell>
          <cell r="I3745" t="str">
            <v>--</v>
          </cell>
          <cell r="J3745">
            <v>1</v>
          </cell>
          <cell r="K3745">
            <v>1</v>
          </cell>
        </row>
        <row r="3746">
          <cell r="A3746" t="str">
            <v>M2</v>
          </cell>
          <cell r="B3746" t="str">
            <v>A5C</v>
          </cell>
          <cell r="C3746" t="str">
            <v>P</v>
          </cell>
          <cell r="D3746" t="str">
            <v>23081</v>
          </cell>
          <cell r="E3746" t="str">
            <v>SW FLG</v>
          </cell>
          <cell r="F3746">
            <v>3</v>
          </cell>
          <cell r="G3746" t="str">
            <v>CB240108000100</v>
          </cell>
          <cell r="H3746">
            <v>1</v>
          </cell>
          <cell r="I3746" t="str">
            <v>--</v>
          </cell>
          <cell r="J3746">
            <v>1</v>
          </cell>
          <cell r="K3746">
            <v>1</v>
          </cell>
        </row>
        <row r="3747">
          <cell r="A3747" t="str">
            <v>M2</v>
          </cell>
          <cell r="B3747" t="str">
            <v>A5C</v>
          </cell>
          <cell r="C3747" t="str">
            <v>P</v>
          </cell>
          <cell r="D3747" t="str">
            <v>23094</v>
          </cell>
          <cell r="E3747" t="str">
            <v>SW FLG</v>
          </cell>
          <cell r="F3747">
            <v>3</v>
          </cell>
          <cell r="G3747" t="str">
            <v>CB240108000100</v>
          </cell>
          <cell r="H3747">
            <v>1</v>
          </cell>
          <cell r="I3747" t="str">
            <v>--</v>
          </cell>
          <cell r="J3747">
            <v>1</v>
          </cell>
          <cell r="K3747">
            <v>1</v>
          </cell>
        </row>
        <row r="3748">
          <cell r="A3748" t="str">
            <v>M2</v>
          </cell>
          <cell r="B3748" t="str">
            <v>A5C</v>
          </cell>
          <cell r="C3748" t="str">
            <v>P</v>
          </cell>
          <cell r="D3748" t="str">
            <v>23101</v>
          </cell>
          <cell r="E3748" t="str">
            <v>SW FLG</v>
          </cell>
          <cell r="F3748">
            <v>3</v>
          </cell>
          <cell r="G3748" t="str">
            <v>CB240108000100</v>
          </cell>
          <cell r="H3748">
            <v>1</v>
          </cell>
          <cell r="I3748" t="str">
            <v>--</v>
          </cell>
          <cell r="J3748">
            <v>1</v>
          </cell>
          <cell r="K3748">
            <v>1</v>
          </cell>
        </row>
        <row r="3749">
          <cell r="A3749" t="str">
            <v>M2</v>
          </cell>
          <cell r="B3749" t="str">
            <v>A5C</v>
          </cell>
          <cell r="C3749" t="str">
            <v>P</v>
          </cell>
          <cell r="D3749" t="str">
            <v>23105</v>
          </cell>
          <cell r="E3749" t="str">
            <v>SW FLG</v>
          </cell>
          <cell r="F3749">
            <v>3</v>
          </cell>
          <cell r="G3749" t="str">
            <v>CB240108000100</v>
          </cell>
          <cell r="H3749">
            <v>1</v>
          </cell>
          <cell r="I3749" t="str">
            <v>--</v>
          </cell>
          <cell r="J3749">
            <v>1</v>
          </cell>
          <cell r="K3749">
            <v>1</v>
          </cell>
        </row>
        <row r="3750">
          <cell r="A3750" t="str">
            <v>M2</v>
          </cell>
          <cell r="B3750" t="str">
            <v>A5C</v>
          </cell>
          <cell r="C3750" t="str">
            <v>P</v>
          </cell>
          <cell r="D3750" t="str">
            <v>23103</v>
          </cell>
          <cell r="E3750" t="str">
            <v>SW FLG</v>
          </cell>
          <cell r="F3750">
            <v>3</v>
          </cell>
          <cell r="G3750" t="str">
            <v>CB240108000100</v>
          </cell>
          <cell r="H3750">
            <v>1</v>
          </cell>
          <cell r="I3750" t="str">
            <v>--</v>
          </cell>
          <cell r="J3750">
            <v>2</v>
          </cell>
          <cell r="K3750">
            <v>2</v>
          </cell>
        </row>
        <row r="3751">
          <cell r="A3751" t="str">
            <v>M2</v>
          </cell>
          <cell r="B3751" t="str">
            <v>A5C</v>
          </cell>
          <cell r="C3751" t="str">
            <v>P</v>
          </cell>
          <cell r="D3751" t="str">
            <v>23107</v>
          </cell>
          <cell r="E3751" t="str">
            <v>SW FLG</v>
          </cell>
          <cell r="F3751">
            <v>3</v>
          </cell>
          <cell r="G3751" t="str">
            <v>CB240108000100</v>
          </cell>
          <cell r="H3751">
            <v>1</v>
          </cell>
          <cell r="I3751" t="str">
            <v>--</v>
          </cell>
          <cell r="J3751">
            <v>2</v>
          </cell>
          <cell r="K3751">
            <v>2</v>
          </cell>
        </row>
        <row r="3752">
          <cell r="A3752" t="str">
            <v>M2</v>
          </cell>
          <cell r="B3752" t="str">
            <v>A5C</v>
          </cell>
          <cell r="C3752" t="str">
            <v>P</v>
          </cell>
          <cell r="D3752" t="str">
            <v>23109</v>
          </cell>
          <cell r="E3752" t="str">
            <v>SW FLG</v>
          </cell>
          <cell r="F3752">
            <v>3</v>
          </cell>
          <cell r="G3752" t="str">
            <v>CB240108000100</v>
          </cell>
          <cell r="H3752">
            <v>1</v>
          </cell>
          <cell r="I3752" t="str">
            <v>--</v>
          </cell>
          <cell r="J3752">
            <v>1</v>
          </cell>
          <cell r="K3752">
            <v>1</v>
          </cell>
        </row>
        <row r="3753">
          <cell r="A3753" t="str">
            <v>M2</v>
          </cell>
          <cell r="B3753" t="str">
            <v>A5C</v>
          </cell>
          <cell r="C3753" t="str">
            <v>P</v>
          </cell>
          <cell r="D3753" t="str">
            <v>23111</v>
          </cell>
          <cell r="E3753" t="str">
            <v>SW FLG</v>
          </cell>
          <cell r="F3753">
            <v>3</v>
          </cell>
          <cell r="G3753" t="str">
            <v>CB240108000100</v>
          </cell>
          <cell r="H3753">
            <v>1</v>
          </cell>
          <cell r="I3753" t="str">
            <v>--</v>
          </cell>
          <cell r="J3753">
            <v>2</v>
          </cell>
          <cell r="K3753">
            <v>2</v>
          </cell>
        </row>
        <row r="3754">
          <cell r="A3754" t="str">
            <v>M2</v>
          </cell>
          <cell r="B3754" t="str">
            <v>A5C</v>
          </cell>
          <cell r="C3754" t="str">
            <v>P</v>
          </cell>
          <cell r="D3754" t="str">
            <v>23116</v>
          </cell>
          <cell r="E3754" t="str">
            <v>SW FLG</v>
          </cell>
          <cell r="F3754">
            <v>3</v>
          </cell>
          <cell r="G3754" t="str">
            <v>CB240108000100</v>
          </cell>
          <cell r="H3754">
            <v>1</v>
          </cell>
          <cell r="I3754" t="str">
            <v>--</v>
          </cell>
          <cell r="J3754">
            <v>2</v>
          </cell>
          <cell r="K3754">
            <v>2</v>
          </cell>
        </row>
        <row r="3755">
          <cell r="A3755" t="str">
            <v>M2</v>
          </cell>
          <cell r="B3755" t="str">
            <v>A5C</v>
          </cell>
          <cell r="C3755" t="str">
            <v>P</v>
          </cell>
          <cell r="D3755" t="str">
            <v>23117</v>
          </cell>
          <cell r="E3755" t="str">
            <v>SW FLG</v>
          </cell>
          <cell r="F3755">
            <v>3</v>
          </cell>
          <cell r="G3755" t="str">
            <v>CB240108000100</v>
          </cell>
          <cell r="H3755">
            <v>1</v>
          </cell>
          <cell r="I3755" t="str">
            <v>--</v>
          </cell>
          <cell r="J3755">
            <v>2</v>
          </cell>
          <cell r="K3755">
            <v>2</v>
          </cell>
        </row>
        <row r="3756">
          <cell r="A3756" t="str">
            <v>M2</v>
          </cell>
          <cell r="B3756" t="str">
            <v>A5C</v>
          </cell>
          <cell r="C3756" t="str">
            <v>P</v>
          </cell>
          <cell r="D3756" t="str">
            <v>23122</v>
          </cell>
          <cell r="E3756" t="str">
            <v>SW FLG</v>
          </cell>
          <cell r="F3756">
            <v>3</v>
          </cell>
          <cell r="G3756" t="str">
            <v>CB240208000100</v>
          </cell>
          <cell r="H3756">
            <v>1</v>
          </cell>
          <cell r="I3756" t="str">
            <v>--</v>
          </cell>
          <cell r="J3756">
            <v>2</v>
          </cell>
          <cell r="K3756">
            <v>2</v>
          </cell>
        </row>
        <row r="3757">
          <cell r="A3757" t="str">
            <v>M2</v>
          </cell>
          <cell r="B3757" t="str">
            <v>A5C</v>
          </cell>
          <cell r="C3757" t="str">
            <v>P</v>
          </cell>
          <cell r="D3757" t="str">
            <v>23126</v>
          </cell>
          <cell r="E3757" t="str">
            <v>SW FLG</v>
          </cell>
          <cell r="F3757">
            <v>3</v>
          </cell>
          <cell r="G3757" t="str">
            <v>CB240108000100</v>
          </cell>
          <cell r="H3757">
            <v>1</v>
          </cell>
          <cell r="I3757" t="str">
            <v>--</v>
          </cell>
          <cell r="J3757">
            <v>1</v>
          </cell>
          <cell r="K3757">
            <v>1</v>
          </cell>
        </row>
        <row r="3758">
          <cell r="A3758" t="str">
            <v>M2</v>
          </cell>
          <cell r="B3758" t="str">
            <v>A5C</v>
          </cell>
          <cell r="C3758" t="str">
            <v>P</v>
          </cell>
          <cell r="D3758" t="str">
            <v>23133</v>
          </cell>
          <cell r="E3758" t="str">
            <v>SW FLG</v>
          </cell>
          <cell r="F3758">
            <v>3</v>
          </cell>
          <cell r="G3758" t="str">
            <v>CB240108000100</v>
          </cell>
          <cell r="H3758">
            <v>1</v>
          </cell>
          <cell r="I3758" t="str">
            <v>--</v>
          </cell>
          <cell r="J3758">
            <v>1</v>
          </cell>
          <cell r="K3758">
            <v>1</v>
          </cell>
        </row>
        <row r="3759">
          <cell r="A3759" t="str">
            <v>M2</v>
          </cell>
          <cell r="B3759" t="str">
            <v>A5C</v>
          </cell>
          <cell r="C3759" t="str">
            <v>P</v>
          </cell>
          <cell r="D3759" t="str">
            <v>23141</v>
          </cell>
          <cell r="E3759" t="str">
            <v>SW FLG</v>
          </cell>
          <cell r="F3759">
            <v>3</v>
          </cell>
          <cell r="G3759" t="str">
            <v>CB240108000100</v>
          </cell>
          <cell r="H3759">
            <v>1</v>
          </cell>
          <cell r="I3759" t="str">
            <v>--</v>
          </cell>
          <cell r="J3759">
            <v>1</v>
          </cell>
          <cell r="K3759">
            <v>1</v>
          </cell>
        </row>
        <row r="3760">
          <cell r="A3760" t="str">
            <v>M2</v>
          </cell>
          <cell r="B3760" t="str">
            <v>A5C</v>
          </cell>
          <cell r="C3760" t="str">
            <v>P</v>
          </cell>
          <cell r="D3760" t="str">
            <v>23143</v>
          </cell>
          <cell r="E3760" t="str">
            <v>SW FLG</v>
          </cell>
          <cell r="F3760">
            <v>3</v>
          </cell>
          <cell r="G3760" t="str">
            <v>CB240108000100</v>
          </cell>
          <cell r="H3760">
            <v>1</v>
          </cell>
          <cell r="I3760" t="str">
            <v>--</v>
          </cell>
          <cell r="J3760">
            <v>2</v>
          </cell>
          <cell r="K3760">
            <v>2</v>
          </cell>
        </row>
        <row r="3761">
          <cell r="A3761" t="str">
            <v>M2</v>
          </cell>
          <cell r="B3761" t="str">
            <v>A5C</v>
          </cell>
          <cell r="C3761" t="str">
            <v>P</v>
          </cell>
          <cell r="D3761" t="str">
            <v>23145</v>
          </cell>
          <cell r="E3761" t="str">
            <v>SW FLG</v>
          </cell>
          <cell r="F3761">
            <v>3</v>
          </cell>
          <cell r="G3761" t="str">
            <v>CB240108000100</v>
          </cell>
          <cell r="H3761">
            <v>1</v>
          </cell>
          <cell r="I3761" t="str">
            <v>--</v>
          </cell>
          <cell r="J3761">
            <v>1</v>
          </cell>
          <cell r="K3761">
            <v>1</v>
          </cell>
        </row>
        <row r="3762">
          <cell r="A3762" t="str">
            <v>M2</v>
          </cell>
          <cell r="B3762" t="str">
            <v>A5C</v>
          </cell>
          <cell r="C3762" t="str">
            <v>P</v>
          </cell>
          <cell r="D3762" t="str">
            <v>23144</v>
          </cell>
          <cell r="E3762" t="str">
            <v>SW FLG</v>
          </cell>
          <cell r="F3762">
            <v>3</v>
          </cell>
          <cell r="G3762" t="str">
            <v>CB240108000100</v>
          </cell>
          <cell r="H3762">
            <v>1</v>
          </cell>
          <cell r="I3762" t="str">
            <v>--</v>
          </cell>
          <cell r="J3762">
            <v>2</v>
          </cell>
          <cell r="K3762">
            <v>2</v>
          </cell>
        </row>
        <row r="3763">
          <cell r="A3763" t="str">
            <v>M2</v>
          </cell>
          <cell r="B3763" t="str">
            <v>A5C</v>
          </cell>
          <cell r="C3763" t="str">
            <v>P</v>
          </cell>
          <cell r="D3763" t="str">
            <v>23157</v>
          </cell>
          <cell r="E3763" t="str">
            <v>SW FLG</v>
          </cell>
          <cell r="F3763">
            <v>3</v>
          </cell>
          <cell r="G3763" t="str">
            <v>CB240108000100</v>
          </cell>
          <cell r="H3763">
            <v>1</v>
          </cell>
          <cell r="I3763" t="str">
            <v>--</v>
          </cell>
          <cell r="J3763">
            <v>2</v>
          </cell>
          <cell r="K3763">
            <v>2</v>
          </cell>
        </row>
        <row r="3764">
          <cell r="A3764" t="str">
            <v>M2</v>
          </cell>
          <cell r="B3764" t="str">
            <v>A5C</v>
          </cell>
          <cell r="C3764" t="str">
            <v>P</v>
          </cell>
          <cell r="D3764" t="str">
            <v>23164</v>
          </cell>
          <cell r="E3764" t="str">
            <v>SW FLG</v>
          </cell>
          <cell r="F3764">
            <v>3</v>
          </cell>
          <cell r="G3764" t="str">
            <v>CB240108000100</v>
          </cell>
          <cell r="H3764">
            <v>1</v>
          </cell>
          <cell r="I3764" t="str">
            <v>--</v>
          </cell>
          <cell r="J3764">
            <v>6</v>
          </cell>
          <cell r="K3764">
            <v>6</v>
          </cell>
        </row>
        <row r="3765">
          <cell r="A3765" t="str">
            <v>M2</v>
          </cell>
          <cell r="B3765" t="str">
            <v>A5C</v>
          </cell>
          <cell r="C3765" t="str">
            <v>P</v>
          </cell>
          <cell r="D3765" t="str">
            <v>23185</v>
          </cell>
          <cell r="E3765" t="str">
            <v>SW FLG</v>
          </cell>
          <cell r="F3765">
            <v>3</v>
          </cell>
          <cell r="G3765" t="str">
            <v>CB240108000100</v>
          </cell>
          <cell r="H3765">
            <v>1</v>
          </cell>
          <cell r="I3765" t="str">
            <v>--</v>
          </cell>
          <cell r="J3765">
            <v>2</v>
          </cell>
          <cell r="K3765">
            <v>2</v>
          </cell>
        </row>
        <row r="3766">
          <cell r="A3766" t="str">
            <v>M2</v>
          </cell>
          <cell r="B3766" t="str">
            <v>A5C</v>
          </cell>
          <cell r="C3766" t="str">
            <v>P</v>
          </cell>
          <cell r="D3766" t="str">
            <v>23205</v>
          </cell>
          <cell r="E3766" t="str">
            <v>SW FLG</v>
          </cell>
          <cell r="F3766">
            <v>3</v>
          </cell>
          <cell r="G3766" t="str">
            <v>CB240208000100</v>
          </cell>
          <cell r="H3766">
            <v>1</v>
          </cell>
          <cell r="I3766" t="str">
            <v>--</v>
          </cell>
          <cell r="J3766">
            <v>2</v>
          </cell>
          <cell r="K3766">
            <v>2</v>
          </cell>
        </row>
        <row r="3767">
          <cell r="A3767" t="str">
            <v>M2</v>
          </cell>
          <cell r="B3767" t="str">
            <v>A5C</v>
          </cell>
          <cell r="C3767" t="str">
            <v>P</v>
          </cell>
          <cell r="D3767" t="str">
            <v>23196</v>
          </cell>
          <cell r="E3767" t="str">
            <v>SW FLG</v>
          </cell>
          <cell r="F3767">
            <v>3</v>
          </cell>
          <cell r="G3767" t="str">
            <v>CB240108000100</v>
          </cell>
          <cell r="H3767">
            <v>1</v>
          </cell>
          <cell r="I3767" t="str">
            <v>--</v>
          </cell>
          <cell r="J3767">
            <v>2</v>
          </cell>
          <cell r="K3767">
            <v>2</v>
          </cell>
        </row>
        <row r="3768">
          <cell r="A3768" t="str">
            <v>M2</v>
          </cell>
          <cell r="B3768" t="str">
            <v>A5C</v>
          </cell>
          <cell r="C3768" t="str">
            <v>P</v>
          </cell>
          <cell r="D3768" t="str">
            <v>23208</v>
          </cell>
          <cell r="E3768" t="str">
            <v>SW FLG</v>
          </cell>
          <cell r="F3768">
            <v>3</v>
          </cell>
          <cell r="G3768" t="str">
            <v>CB240208000100</v>
          </cell>
          <cell r="H3768">
            <v>1</v>
          </cell>
          <cell r="I3768" t="str">
            <v>--</v>
          </cell>
          <cell r="J3768">
            <v>2</v>
          </cell>
          <cell r="K3768">
            <v>2</v>
          </cell>
        </row>
        <row r="3769">
          <cell r="A3769" t="str">
            <v>M2</v>
          </cell>
          <cell r="B3769" t="str">
            <v>A5C</v>
          </cell>
          <cell r="C3769" t="str">
            <v>P</v>
          </cell>
          <cell r="D3769" t="str">
            <v>23212</v>
          </cell>
          <cell r="E3769" t="str">
            <v>SW FLG</v>
          </cell>
          <cell r="F3769">
            <v>3</v>
          </cell>
          <cell r="G3769" t="str">
            <v>CB240208000100</v>
          </cell>
          <cell r="H3769">
            <v>1</v>
          </cell>
          <cell r="I3769" t="str">
            <v>--</v>
          </cell>
          <cell r="J3769">
            <v>2</v>
          </cell>
          <cell r="K3769">
            <v>2</v>
          </cell>
        </row>
        <row r="3770">
          <cell r="A3770" t="str">
            <v>M2</v>
          </cell>
          <cell r="B3770" t="str">
            <v>A5C</v>
          </cell>
          <cell r="C3770" t="str">
            <v>P</v>
          </cell>
          <cell r="D3770" t="str">
            <v>23214</v>
          </cell>
          <cell r="E3770" t="str">
            <v>SW FLG</v>
          </cell>
          <cell r="F3770">
            <v>3</v>
          </cell>
          <cell r="G3770" t="str">
            <v>CB240208000100</v>
          </cell>
          <cell r="H3770">
            <v>1</v>
          </cell>
          <cell r="I3770" t="str">
            <v>--</v>
          </cell>
          <cell r="J3770">
            <v>2</v>
          </cell>
          <cell r="K3770">
            <v>2</v>
          </cell>
        </row>
        <row r="3771">
          <cell r="A3771" t="str">
            <v>M2</v>
          </cell>
          <cell r="B3771" t="str">
            <v>A5C</v>
          </cell>
          <cell r="C3771" t="str">
            <v>P</v>
          </cell>
          <cell r="D3771" t="str">
            <v>23207</v>
          </cell>
          <cell r="E3771" t="str">
            <v>SW FLG</v>
          </cell>
          <cell r="F3771">
            <v>3</v>
          </cell>
          <cell r="G3771" t="str">
            <v>CB240208000100</v>
          </cell>
          <cell r="H3771">
            <v>1</v>
          </cell>
          <cell r="I3771" t="str">
            <v>--</v>
          </cell>
          <cell r="J3771">
            <v>2</v>
          </cell>
          <cell r="K3771">
            <v>2</v>
          </cell>
        </row>
        <row r="3772">
          <cell r="A3772" t="str">
            <v>M2</v>
          </cell>
          <cell r="B3772" t="str">
            <v>A5C</v>
          </cell>
          <cell r="C3772" t="str">
            <v>P</v>
          </cell>
          <cell r="D3772" t="str">
            <v>23213</v>
          </cell>
          <cell r="E3772" t="str">
            <v>SW FLG</v>
          </cell>
          <cell r="F3772">
            <v>3</v>
          </cell>
          <cell r="G3772" t="str">
            <v>CB240208000100</v>
          </cell>
          <cell r="H3772">
            <v>1</v>
          </cell>
          <cell r="I3772" t="str">
            <v>--</v>
          </cell>
          <cell r="J3772">
            <v>2</v>
          </cell>
          <cell r="K3772">
            <v>2</v>
          </cell>
        </row>
        <row r="3773">
          <cell r="A3773" t="str">
            <v>M2</v>
          </cell>
          <cell r="B3773" t="str">
            <v>A5C</v>
          </cell>
          <cell r="C3773" t="str">
            <v>P</v>
          </cell>
          <cell r="D3773" t="str">
            <v>23225</v>
          </cell>
          <cell r="E3773" t="str">
            <v>SW FLG</v>
          </cell>
          <cell r="F3773">
            <v>3</v>
          </cell>
          <cell r="G3773" t="str">
            <v>CB240108000100</v>
          </cell>
          <cell r="H3773">
            <v>1</v>
          </cell>
          <cell r="I3773" t="str">
            <v>--</v>
          </cell>
          <cell r="J3773">
            <v>1</v>
          </cell>
          <cell r="K3773">
            <v>1</v>
          </cell>
        </row>
        <row r="3774">
          <cell r="A3774" t="str">
            <v>M2</v>
          </cell>
          <cell r="B3774" t="str">
            <v>A5C</v>
          </cell>
          <cell r="C3774" t="str">
            <v>P</v>
          </cell>
          <cell r="D3774" t="str">
            <v>23230</v>
          </cell>
          <cell r="E3774" t="str">
            <v>SW FLG</v>
          </cell>
          <cell r="F3774">
            <v>3</v>
          </cell>
          <cell r="G3774" t="str">
            <v>CB240208000100</v>
          </cell>
          <cell r="H3774">
            <v>1</v>
          </cell>
          <cell r="I3774" t="str">
            <v>--</v>
          </cell>
          <cell r="J3774">
            <v>2</v>
          </cell>
          <cell r="K3774">
            <v>2</v>
          </cell>
        </row>
        <row r="3775">
          <cell r="A3775" t="str">
            <v>M2</v>
          </cell>
          <cell r="B3775" t="str">
            <v>A5C</v>
          </cell>
          <cell r="C3775" t="str">
            <v>P</v>
          </cell>
          <cell r="D3775" t="str">
            <v>23230</v>
          </cell>
          <cell r="E3775" t="str">
            <v>SW FLG</v>
          </cell>
          <cell r="F3775">
            <v>3</v>
          </cell>
          <cell r="G3775" t="str">
            <v>CB240108000100</v>
          </cell>
          <cell r="H3775">
            <v>1</v>
          </cell>
          <cell r="I3775" t="str">
            <v>--</v>
          </cell>
          <cell r="J3775">
            <v>1</v>
          </cell>
          <cell r="K3775">
            <v>1</v>
          </cell>
        </row>
        <row r="3776">
          <cell r="A3776" t="str">
            <v>M2</v>
          </cell>
          <cell r="B3776" t="str">
            <v>A5C</v>
          </cell>
          <cell r="C3776" t="str">
            <v>P</v>
          </cell>
          <cell r="D3776" t="str">
            <v>23234</v>
          </cell>
          <cell r="E3776" t="str">
            <v>SW FLG</v>
          </cell>
          <cell r="F3776">
            <v>3</v>
          </cell>
          <cell r="G3776" t="str">
            <v>CB240108000100</v>
          </cell>
          <cell r="H3776">
            <v>1</v>
          </cell>
          <cell r="I3776" t="str">
            <v>--</v>
          </cell>
          <cell r="J3776">
            <v>1</v>
          </cell>
          <cell r="K3776">
            <v>1</v>
          </cell>
        </row>
        <row r="3777">
          <cell r="A3777" t="str">
            <v>M2</v>
          </cell>
          <cell r="B3777" t="str">
            <v>A5C</v>
          </cell>
          <cell r="C3777" t="str">
            <v>P</v>
          </cell>
          <cell r="D3777" t="str">
            <v>23239</v>
          </cell>
          <cell r="E3777" t="str">
            <v>SW FLG</v>
          </cell>
          <cell r="F3777">
            <v>3</v>
          </cell>
          <cell r="G3777" t="str">
            <v>CB240208000100</v>
          </cell>
          <cell r="H3777">
            <v>1</v>
          </cell>
          <cell r="I3777" t="str">
            <v>--</v>
          </cell>
          <cell r="J3777">
            <v>2</v>
          </cell>
          <cell r="K3777">
            <v>2</v>
          </cell>
        </row>
        <row r="3778">
          <cell r="A3778" t="str">
            <v>M2</v>
          </cell>
          <cell r="B3778" t="str">
            <v>A5C</v>
          </cell>
          <cell r="C3778" t="str">
            <v>P</v>
          </cell>
          <cell r="D3778" t="str">
            <v>23247</v>
          </cell>
          <cell r="E3778" t="str">
            <v>SW FLG</v>
          </cell>
          <cell r="F3778">
            <v>3</v>
          </cell>
          <cell r="G3778" t="str">
            <v>CB240108000100</v>
          </cell>
          <cell r="H3778">
            <v>1</v>
          </cell>
          <cell r="I3778" t="str">
            <v>--</v>
          </cell>
          <cell r="J3778">
            <v>1</v>
          </cell>
          <cell r="K3778">
            <v>1</v>
          </cell>
        </row>
        <row r="3779">
          <cell r="A3779" t="str">
            <v>M2</v>
          </cell>
          <cell r="B3779" t="str">
            <v>A5C</v>
          </cell>
          <cell r="C3779" t="str">
            <v>P</v>
          </cell>
          <cell r="D3779" t="str">
            <v>23252</v>
          </cell>
          <cell r="E3779" t="str">
            <v>SW FLG</v>
          </cell>
          <cell r="F3779">
            <v>3</v>
          </cell>
          <cell r="G3779" t="str">
            <v>CB240108000100</v>
          </cell>
          <cell r="H3779">
            <v>1</v>
          </cell>
          <cell r="I3779" t="str">
            <v>--</v>
          </cell>
          <cell r="J3779">
            <v>1</v>
          </cell>
          <cell r="K3779">
            <v>1</v>
          </cell>
        </row>
        <row r="3780">
          <cell r="A3780" t="str">
            <v>M2</v>
          </cell>
          <cell r="B3780" t="str">
            <v>A5C</v>
          </cell>
          <cell r="C3780" t="str">
            <v>P</v>
          </cell>
          <cell r="D3780" t="str">
            <v>23252</v>
          </cell>
          <cell r="E3780" t="str">
            <v>SW FLG</v>
          </cell>
          <cell r="F3780">
            <v>3</v>
          </cell>
          <cell r="G3780" t="str">
            <v>CB240208000100</v>
          </cell>
          <cell r="H3780">
            <v>1</v>
          </cell>
          <cell r="I3780" t="str">
            <v>--</v>
          </cell>
          <cell r="J3780">
            <v>2</v>
          </cell>
          <cell r="K3780">
            <v>2</v>
          </cell>
        </row>
        <row r="3781">
          <cell r="A3781" t="str">
            <v>M2</v>
          </cell>
          <cell r="B3781" t="str">
            <v>A5C</v>
          </cell>
          <cell r="C3781" t="str">
            <v>P</v>
          </cell>
          <cell r="D3781" t="str">
            <v>23259</v>
          </cell>
          <cell r="E3781" t="str">
            <v>SW FLG</v>
          </cell>
          <cell r="F3781">
            <v>3</v>
          </cell>
          <cell r="G3781" t="str">
            <v>CB240108000100</v>
          </cell>
          <cell r="H3781">
            <v>1</v>
          </cell>
          <cell r="I3781" t="str">
            <v>--</v>
          </cell>
          <cell r="J3781">
            <v>2</v>
          </cell>
          <cell r="K3781">
            <v>2</v>
          </cell>
        </row>
        <row r="3782">
          <cell r="A3782" t="str">
            <v>M2</v>
          </cell>
          <cell r="B3782" t="str">
            <v>A5C</v>
          </cell>
          <cell r="C3782" t="str">
            <v>P</v>
          </cell>
          <cell r="D3782" t="str">
            <v>24007</v>
          </cell>
          <cell r="E3782" t="str">
            <v>SW FLG</v>
          </cell>
          <cell r="F3782">
            <v>3</v>
          </cell>
          <cell r="G3782" t="str">
            <v>CB240108000100</v>
          </cell>
          <cell r="H3782">
            <v>1</v>
          </cell>
          <cell r="I3782" t="str">
            <v>--</v>
          </cell>
          <cell r="J3782">
            <v>3</v>
          </cell>
          <cell r="K3782">
            <v>3</v>
          </cell>
        </row>
        <row r="3783">
          <cell r="A3783" t="str">
            <v>M2</v>
          </cell>
          <cell r="B3783" t="str">
            <v>A5C</v>
          </cell>
          <cell r="C3783" t="str">
            <v>P</v>
          </cell>
          <cell r="D3783" t="str">
            <v>24013</v>
          </cell>
          <cell r="E3783" t="str">
            <v>SW FLG</v>
          </cell>
          <cell r="F3783">
            <v>3</v>
          </cell>
          <cell r="G3783" t="str">
            <v>CB240108000100</v>
          </cell>
          <cell r="H3783">
            <v>1</v>
          </cell>
          <cell r="I3783" t="str">
            <v>--</v>
          </cell>
          <cell r="J3783">
            <v>3</v>
          </cell>
          <cell r="K3783">
            <v>3</v>
          </cell>
        </row>
        <row r="3784">
          <cell r="A3784" t="str">
            <v>M2</v>
          </cell>
          <cell r="B3784" t="str">
            <v>A5C</v>
          </cell>
          <cell r="C3784" t="str">
            <v>P</v>
          </cell>
          <cell r="D3784" t="str">
            <v>24008</v>
          </cell>
          <cell r="E3784" t="str">
            <v>SW FLG</v>
          </cell>
          <cell r="F3784">
            <v>3</v>
          </cell>
          <cell r="G3784" t="str">
            <v>CB240108000100</v>
          </cell>
          <cell r="H3784">
            <v>1</v>
          </cell>
          <cell r="I3784" t="str">
            <v>--</v>
          </cell>
          <cell r="J3784">
            <v>2</v>
          </cell>
          <cell r="K3784">
            <v>2</v>
          </cell>
        </row>
        <row r="3785">
          <cell r="A3785" t="str">
            <v>M2</v>
          </cell>
          <cell r="B3785" t="str">
            <v>A5C</v>
          </cell>
          <cell r="C3785" t="str">
            <v>P</v>
          </cell>
          <cell r="D3785" t="str">
            <v>24014</v>
          </cell>
          <cell r="E3785" t="str">
            <v>SW FLG</v>
          </cell>
          <cell r="F3785">
            <v>3</v>
          </cell>
          <cell r="G3785" t="str">
            <v>CB240108000100</v>
          </cell>
          <cell r="H3785">
            <v>1</v>
          </cell>
          <cell r="I3785" t="str">
            <v>--</v>
          </cell>
          <cell r="J3785">
            <v>2</v>
          </cell>
          <cell r="K3785">
            <v>2</v>
          </cell>
        </row>
        <row r="3786">
          <cell r="A3786" t="str">
            <v>M2</v>
          </cell>
          <cell r="B3786" t="str">
            <v>A5C</v>
          </cell>
          <cell r="C3786" t="str">
            <v>P</v>
          </cell>
          <cell r="D3786" t="str">
            <v>24020</v>
          </cell>
          <cell r="E3786" t="str">
            <v>SW FLG</v>
          </cell>
          <cell r="F3786">
            <v>3</v>
          </cell>
          <cell r="G3786" t="str">
            <v>CB240208000100</v>
          </cell>
          <cell r="H3786">
            <v>1</v>
          </cell>
          <cell r="I3786" t="str">
            <v>--</v>
          </cell>
          <cell r="J3786">
            <v>2</v>
          </cell>
          <cell r="K3786">
            <v>2</v>
          </cell>
        </row>
        <row r="3787">
          <cell r="A3787" t="str">
            <v>M2</v>
          </cell>
          <cell r="B3787" t="str">
            <v>A5C</v>
          </cell>
          <cell r="C3787" t="str">
            <v>P</v>
          </cell>
          <cell r="D3787" t="str">
            <v>99003</v>
          </cell>
          <cell r="E3787" t="str">
            <v>SW FLG</v>
          </cell>
          <cell r="F3787">
            <v>3</v>
          </cell>
          <cell r="G3787" t="str">
            <v>CB240208000100</v>
          </cell>
          <cell r="H3787">
            <v>1</v>
          </cell>
          <cell r="I3787" t="str">
            <v>--</v>
          </cell>
          <cell r="J3787">
            <v>2</v>
          </cell>
          <cell r="K3787">
            <v>2</v>
          </cell>
        </row>
        <row r="3788">
          <cell r="A3788" t="str">
            <v>M2</v>
          </cell>
          <cell r="B3788" t="str">
            <v>A5C</v>
          </cell>
          <cell r="C3788" t="str">
            <v>P</v>
          </cell>
          <cell r="D3788" t="str">
            <v>23006</v>
          </cell>
          <cell r="E3788" t="str">
            <v>SW FLG</v>
          </cell>
          <cell r="F3788">
            <v>3</v>
          </cell>
          <cell r="G3788" t="str">
            <v>CB240108000100</v>
          </cell>
          <cell r="H3788">
            <v>1</v>
          </cell>
          <cell r="I3788" t="str">
            <v>--</v>
          </cell>
          <cell r="J3788">
            <v>2</v>
          </cell>
          <cell r="K3788">
            <v>2</v>
          </cell>
        </row>
        <row r="3789">
          <cell r="A3789" t="str">
            <v>M2</v>
          </cell>
          <cell r="B3789" t="str">
            <v>A5C</v>
          </cell>
          <cell r="C3789" t="str">
            <v>P</v>
          </cell>
          <cell r="D3789" t="str">
            <v>23067</v>
          </cell>
          <cell r="E3789" t="str">
            <v>SW FLG</v>
          </cell>
          <cell r="F3789">
            <v>3</v>
          </cell>
          <cell r="G3789" t="str">
            <v>CB240108000100</v>
          </cell>
          <cell r="H3789">
            <v>1</v>
          </cell>
          <cell r="I3789" t="str">
            <v>--</v>
          </cell>
          <cell r="J3789">
            <v>1</v>
          </cell>
          <cell r="K3789">
            <v>1</v>
          </cell>
        </row>
        <row r="3790">
          <cell r="A3790" t="str">
            <v>M2</v>
          </cell>
          <cell r="B3790" t="str">
            <v>A5C</v>
          </cell>
          <cell r="C3790" t="str">
            <v>P</v>
          </cell>
          <cell r="D3790" t="str">
            <v>23083</v>
          </cell>
          <cell r="E3790" t="str">
            <v>SW FLG</v>
          </cell>
          <cell r="F3790">
            <v>3</v>
          </cell>
          <cell r="G3790" t="str">
            <v>CB240108000100</v>
          </cell>
          <cell r="H3790">
            <v>1</v>
          </cell>
          <cell r="I3790" t="str">
            <v>--</v>
          </cell>
          <cell r="J3790">
            <v>1</v>
          </cell>
          <cell r="K3790">
            <v>1</v>
          </cell>
        </row>
        <row r="3791">
          <cell r="A3791" t="str">
            <v>M2</v>
          </cell>
          <cell r="B3791" t="str">
            <v>A5C</v>
          </cell>
          <cell r="C3791" t="str">
            <v>P</v>
          </cell>
          <cell r="D3791" t="str">
            <v>23083</v>
          </cell>
          <cell r="E3791" t="str">
            <v>SW FLG</v>
          </cell>
          <cell r="F3791">
            <v>3</v>
          </cell>
          <cell r="G3791" t="str">
            <v>CB240208000100</v>
          </cell>
          <cell r="H3791">
            <v>1</v>
          </cell>
          <cell r="I3791" t="str">
            <v>--</v>
          </cell>
          <cell r="J3791">
            <v>2</v>
          </cell>
          <cell r="K3791">
            <v>2</v>
          </cell>
        </row>
        <row r="3792">
          <cell r="A3792" t="str">
            <v>M2</v>
          </cell>
          <cell r="B3792" t="str">
            <v>A5C</v>
          </cell>
          <cell r="C3792" t="str">
            <v>P</v>
          </cell>
          <cell r="D3792" t="str">
            <v>23113</v>
          </cell>
          <cell r="E3792" t="str">
            <v>SW FLG</v>
          </cell>
          <cell r="F3792">
            <v>3</v>
          </cell>
          <cell r="G3792" t="str">
            <v>CB240108000100</v>
          </cell>
          <cell r="H3792">
            <v>1</v>
          </cell>
          <cell r="I3792" t="str">
            <v>--</v>
          </cell>
          <cell r="J3792">
            <v>1</v>
          </cell>
          <cell r="K3792">
            <v>1</v>
          </cell>
        </row>
        <row r="3793">
          <cell r="A3793" t="str">
            <v>M2</v>
          </cell>
          <cell r="B3793" t="str">
            <v>A5C</v>
          </cell>
          <cell r="C3793" t="str">
            <v>P</v>
          </cell>
          <cell r="D3793" t="str">
            <v>23122</v>
          </cell>
          <cell r="E3793" t="str">
            <v>SW FLG</v>
          </cell>
          <cell r="F3793">
            <v>3</v>
          </cell>
          <cell r="G3793" t="str">
            <v>CB240108000100</v>
          </cell>
          <cell r="H3793">
            <v>1</v>
          </cell>
          <cell r="I3793" t="str">
            <v>--</v>
          </cell>
          <cell r="J3793">
            <v>2</v>
          </cell>
          <cell r="K3793">
            <v>2</v>
          </cell>
        </row>
        <row r="3794">
          <cell r="A3794" t="str">
            <v>M2</v>
          </cell>
          <cell r="B3794" t="str">
            <v>A5C</v>
          </cell>
          <cell r="C3794" t="str">
            <v>P</v>
          </cell>
          <cell r="D3794" t="str">
            <v>23147</v>
          </cell>
          <cell r="E3794" t="str">
            <v>SW FLG</v>
          </cell>
          <cell r="F3794">
            <v>3</v>
          </cell>
          <cell r="G3794" t="str">
            <v>CB240108000100</v>
          </cell>
          <cell r="H3794">
            <v>1</v>
          </cell>
          <cell r="I3794" t="str">
            <v>--</v>
          </cell>
          <cell r="J3794">
            <v>2</v>
          </cell>
          <cell r="K3794">
            <v>2</v>
          </cell>
        </row>
        <row r="3795">
          <cell r="A3795" t="str">
            <v>M2</v>
          </cell>
          <cell r="B3795" t="str">
            <v>A5C</v>
          </cell>
          <cell r="C3795" t="str">
            <v>P</v>
          </cell>
          <cell r="D3795" t="str">
            <v>23204</v>
          </cell>
          <cell r="E3795" t="str">
            <v>SW FLG</v>
          </cell>
          <cell r="F3795">
            <v>3</v>
          </cell>
          <cell r="G3795" t="str">
            <v>CB240208000100</v>
          </cell>
          <cell r="H3795">
            <v>1</v>
          </cell>
          <cell r="I3795" t="str">
            <v>--</v>
          </cell>
          <cell r="J3795">
            <v>2</v>
          </cell>
          <cell r="K3795">
            <v>2</v>
          </cell>
        </row>
        <row r="3796">
          <cell r="A3796" t="str">
            <v>M2</v>
          </cell>
          <cell r="B3796" t="str">
            <v>A5C</v>
          </cell>
          <cell r="C3796" t="str">
            <v>P</v>
          </cell>
          <cell r="D3796" t="str">
            <v>23206</v>
          </cell>
          <cell r="E3796" t="str">
            <v>SW FLG</v>
          </cell>
          <cell r="F3796">
            <v>3</v>
          </cell>
          <cell r="G3796" t="str">
            <v>CB240208000100</v>
          </cell>
          <cell r="H3796">
            <v>1</v>
          </cell>
          <cell r="I3796" t="str">
            <v>--</v>
          </cell>
          <cell r="J3796">
            <v>2</v>
          </cell>
          <cell r="K3796">
            <v>2</v>
          </cell>
        </row>
        <row r="3797">
          <cell r="A3797" t="str">
            <v>M2</v>
          </cell>
          <cell r="B3797" t="str">
            <v>A5C</v>
          </cell>
          <cell r="C3797" t="str">
            <v>P</v>
          </cell>
          <cell r="D3797" t="str">
            <v>23235</v>
          </cell>
          <cell r="E3797" t="str">
            <v>SW FLG</v>
          </cell>
          <cell r="F3797">
            <v>3</v>
          </cell>
          <cell r="G3797" t="str">
            <v>CB240208000100</v>
          </cell>
          <cell r="H3797">
            <v>1</v>
          </cell>
          <cell r="I3797" t="str">
            <v>--</v>
          </cell>
          <cell r="J3797">
            <v>2</v>
          </cell>
          <cell r="K3797">
            <v>2</v>
          </cell>
        </row>
        <row r="3798">
          <cell r="A3798" t="str">
            <v>M2</v>
          </cell>
          <cell r="B3798" t="str">
            <v>A5C</v>
          </cell>
          <cell r="C3798" t="str">
            <v>P</v>
          </cell>
          <cell r="D3798" t="str">
            <v>23238</v>
          </cell>
          <cell r="E3798" t="str">
            <v>SW FLG</v>
          </cell>
          <cell r="F3798">
            <v>3</v>
          </cell>
          <cell r="G3798" t="str">
            <v>CB240108000100</v>
          </cell>
          <cell r="H3798">
            <v>1</v>
          </cell>
          <cell r="I3798" t="str">
            <v>--</v>
          </cell>
          <cell r="J3798">
            <v>1</v>
          </cell>
          <cell r="K3798">
            <v>1</v>
          </cell>
        </row>
        <row r="3799">
          <cell r="A3799" t="str">
            <v>M2</v>
          </cell>
          <cell r="B3799" t="str">
            <v>A5C</v>
          </cell>
          <cell r="C3799" t="str">
            <v>P</v>
          </cell>
          <cell r="D3799" t="str">
            <v>23245</v>
          </cell>
          <cell r="E3799" t="str">
            <v>SW FLG</v>
          </cell>
          <cell r="F3799">
            <v>3</v>
          </cell>
          <cell r="G3799" t="str">
            <v>CB240208000100</v>
          </cell>
          <cell r="H3799">
            <v>1</v>
          </cell>
          <cell r="I3799" t="str">
            <v>--</v>
          </cell>
          <cell r="J3799">
            <v>2</v>
          </cell>
          <cell r="K3799">
            <v>2</v>
          </cell>
        </row>
        <row r="3800">
          <cell r="A3800" t="str">
            <v>M2</v>
          </cell>
          <cell r="B3800" t="str">
            <v>A5C</v>
          </cell>
          <cell r="C3800" t="str">
            <v>P</v>
          </cell>
          <cell r="D3800" t="str">
            <v>24008</v>
          </cell>
          <cell r="E3800" t="str">
            <v>SW FLG</v>
          </cell>
          <cell r="F3800">
            <v>3</v>
          </cell>
          <cell r="G3800" t="str">
            <v>CB240208000100</v>
          </cell>
          <cell r="H3800">
            <v>1</v>
          </cell>
          <cell r="I3800" t="str">
            <v>--</v>
          </cell>
          <cell r="J3800">
            <v>2</v>
          </cell>
          <cell r="K3800">
            <v>2</v>
          </cell>
        </row>
        <row r="3801">
          <cell r="A3801" t="str">
            <v>M2</v>
          </cell>
          <cell r="B3801" t="str">
            <v>A5C</v>
          </cell>
          <cell r="C3801" t="str">
            <v>P</v>
          </cell>
          <cell r="D3801" t="str">
            <v>24020</v>
          </cell>
          <cell r="E3801" t="str">
            <v>SW FLG</v>
          </cell>
          <cell r="F3801">
            <v>3</v>
          </cell>
          <cell r="G3801" t="str">
            <v>CB240108000100</v>
          </cell>
          <cell r="H3801">
            <v>1</v>
          </cell>
          <cell r="I3801" t="str">
            <v>--</v>
          </cell>
          <cell r="J3801">
            <v>3</v>
          </cell>
          <cell r="K3801">
            <v>3</v>
          </cell>
        </row>
        <row r="3802">
          <cell r="A3802" t="str">
            <v>M2</v>
          </cell>
          <cell r="B3802" t="str">
            <v>A5C</v>
          </cell>
          <cell r="C3802" t="str">
            <v>P</v>
          </cell>
          <cell r="D3802" t="str">
            <v>24024</v>
          </cell>
          <cell r="E3802" t="str">
            <v>SW FLG</v>
          </cell>
          <cell r="F3802">
            <v>3</v>
          </cell>
          <cell r="G3802" t="str">
            <v>CB240108000100</v>
          </cell>
          <cell r="H3802">
            <v>1</v>
          </cell>
          <cell r="I3802" t="str">
            <v>--</v>
          </cell>
          <cell r="J3802">
            <v>1</v>
          </cell>
          <cell r="K3802">
            <v>1</v>
          </cell>
        </row>
        <row r="3803">
          <cell r="A3803" t="str">
            <v>M2</v>
          </cell>
          <cell r="B3803" t="str">
            <v>A5C</v>
          </cell>
          <cell r="C3803" t="str">
            <v>TRIM</v>
          </cell>
          <cell r="D3803" t="str">
            <v>V-2316</v>
          </cell>
          <cell r="E3803" t="str">
            <v>SW FLG</v>
          </cell>
          <cell r="F3803">
            <v>3</v>
          </cell>
          <cell r="G3803" t="str">
            <v>CB240108000100</v>
          </cell>
          <cell r="H3803">
            <v>1</v>
          </cell>
          <cell r="I3803" t="str">
            <v>--</v>
          </cell>
          <cell r="J3803">
            <v>3</v>
          </cell>
          <cell r="K3803">
            <v>3</v>
          </cell>
        </row>
        <row r="3804">
          <cell r="A3804" t="str">
            <v>M2</v>
          </cell>
          <cell r="B3804" t="str">
            <v>A5C</v>
          </cell>
          <cell r="C3804" t="str">
            <v>P</v>
          </cell>
          <cell r="D3804" t="str">
            <v>23055</v>
          </cell>
          <cell r="E3804" t="str">
            <v>SW FLG</v>
          </cell>
          <cell r="F3804">
            <v>3</v>
          </cell>
          <cell r="G3804" t="str">
            <v>CB240108000100</v>
          </cell>
          <cell r="H3804">
            <v>1</v>
          </cell>
          <cell r="I3804" t="str">
            <v>--</v>
          </cell>
          <cell r="J3804">
            <v>2</v>
          </cell>
          <cell r="K3804">
            <v>2</v>
          </cell>
        </row>
        <row r="3805">
          <cell r="A3805" t="str">
            <v>M2</v>
          </cell>
          <cell r="B3805" t="str">
            <v>A5C</v>
          </cell>
          <cell r="C3805" t="str">
            <v>P</v>
          </cell>
          <cell r="D3805" t="str">
            <v>23059</v>
          </cell>
          <cell r="E3805" t="str">
            <v>SW FLG</v>
          </cell>
          <cell r="F3805">
            <v>3</v>
          </cell>
          <cell r="G3805" t="str">
            <v>CB240108000100</v>
          </cell>
          <cell r="H3805">
            <v>1</v>
          </cell>
          <cell r="I3805" t="str">
            <v>--</v>
          </cell>
          <cell r="J3805">
            <v>1</v>
          </cell>
          <cell r="K3805">
            <v>1</v>
          </cell>
        </row>
        <row r="3806">
          <cell r="A3806" t="str">
            <v>M2</v>
          </cell>
          <cell r="B3806" t="str">
            <v>A5C</v>
          </cell>
          <cell r="C3806" t="str">
            <v>P</v>
          </cell>
          <cell r="D3806" t="str">
            <v>23183</v>
          </cell>
          <cell r="E3806" t="str">
            <v>SW FLG</v>
          </cell>
          <cell r="F3806">
            <v>3</v>
          </cell>
          <cell r="G3806" t="str">
            <v>CB240108000100</v>
          </cell>
          <cell r="H3806">
            <v>1</v>
          </cell>
          <cell r="I3806" t="str">
            <v>--</v>
          </cell>
          <cell r="J3806">
            <v>1</v>
          </cell>
          <cell r="K3806">
            <v>1</v>
          </cell>
        </row>
        <row r="3807">
          <cell r="A3807" t="str">
            <v>M2</v>
          </cell>
          <cell r="B3807" t="str">
            <v>A5C</v>
          </cell>
          <cell r="C3807" t="str">
            <v>TRIM</v>
          </cell>
          <cell r="D3807" t="str">
            <v>V-2352</v>
          </cell>
          <cell r="E3807" t="str">
            <v>SW FLG</v>
          </cell>
          <cell r="F3807">
            <v>3</v>
          </cell>
          <cell r="G3807" t="str">
            <v>CB240108000100</v>
          </cell>
          <cell r="H3807">
            <v>1</v>
          </cell>
          <cell r="I3807" t="str">
            <v>--</v>
          </cell>
          <cell r="J3807">
            <v>2</v>
          </cell>
          <cell r="K3807">
            <v>2</v>
          </cell>
        </row>
        <row r="3808">
          <cell r="A3808" t="str">
            <v>M2</v>
          </cell>
          <cell r="B3808" t="str">
            <v>A5C</v>
          </cell>
          <cell r="C3808" t="str">
            <v>P</v>
          </cell>
          <cell r="D3808" t="str">
            <v>23008</v>
          </cell>
          <cell r="E3808" t="str">
            <v>LWN FLG</v>
          </cell>
          <cell r="F3808">
            <v>3</v>
          </cell>
          <cell r="G3808" t="str">
            <v>CB2901000001WL</v>
          </cell>
          <cell r="H3808">
            <v>1</v>
          </cell>
          <cell r="I3808" t="str">
            <v>150mm</v>
          </cell>
          <cell r="J3808">
            <v>1</v>
          </cell>
          <cell r="K3808">
            <v>1</v>
          </cell>
        </row>
        <row r="3809">
          <cell r="A3809" t="str">
            <v>M2</v>
          </cell>
          <cell r="B3809" t="str">
            <v>A5C</v>
          </cell>
          <cell r="C3809" t="str">
            <v>P</v>
          </cell>
          <cell r="D3809" t="str">
            <v>23016</v>
          </cell>
          <cell r="E3809" t="str">
            <v>LWN FLG</v>
          </cell>
          <cell r="F3809">
            <v>3</v>
          </cell>
          <cell r="G3809" t="str">
            <v>CB2901000001WL</v>
          </cell>
          <cell r="H3809">
            <v>1</v>
          </cell>
          <cell r="I3809" t="str">
            <v>150mm</v>
          </cell>
          <cell r="J3809">
            <v>1</v>
          </cell>
          <cell r="K3809">
            <v>1</v>
          </cell>
        </row>
        <row r="3810">
          <cell r="A3810" t="str">
            <v>M2</v>
          </cell>
          <cell r="B3810" t="str">
            <v>A5C</v>
          </cell>
          <cell r="C3810" t="str">
            <v>P</v>
          </cell>
          <cell r="D3810" t="str">
            <v>23025</v>
          </cell>
          <cell r="E3810" t="str">
            <v>LWN FLG</v>
          </cell>
          <cell r="F3810">
            <v>3</v>
          </cell>
          <cell r="G3810" t="str">
            <v>CB2901000001WL</v>
          </cell>
          <cell r="H3810">
            <v>1</v>
          </cell>
          <cell r="I3810" t="str">
            <v>150mm</v>
          </cell>
          <cell r="J3810">
            <v>1</v>
          </cell>
          <cell r="K3810">
            <v>1</v>
          </cell>
        </row>
        <row r="3811">
          <cell r="A3811" t="str">
            <v>M2</v>
          </cell>
          <cell r="B3811" t="str">
            <v>A5C</v>
          </cell>
          <cell r="C3811" t="str">
            <v>P</v>
          </cell>
          <cell r="D3811" t="str">
            <v>23032</v>
          </cell>
          <cell r="E3811" t="str">
            <v>LWN FLG</v>
          </cell>
          <cell r="F3811">
            <v>3</v>
          </cell>
          <cell r="G3811" t="str">
            <v>CB2901000001WL</v>
          </cell>
          <cell r="H3811">
            <v>1</v>
          </cell>
          <cell r="I3811" t="str">
            <v>150mm</v>
          </cell>
          <cell r="J3811">
            <v>1</v>
          </cell>
          <cell r="K3811">
            <v>1</v>
          </cell>
        </row>
        <row r="3812">
          <cell r="A3812" t="str">
            <v>M2</v>
          </cell>
          <cell r="B3812" t="str">
            <v>A5C</v>
          </cell>
          <cell r="C3812" t="str">
            <v>P</v>
          </cell>
          <cell r="D3812" t="str">
            <v>23050</v>
          </cell>
          <cell r="E3812" t="str">
            <v>LWN FLG</v>
          </cell>
          <cell r="F3812">
            <v>3</v>
          </cell>
          <cell r="G3812" t="str">
            <v>CB2901000001WL</v>
          </cell>
          <cell r="H3812">
            <v>1</v>
          </cell>
          <cell r="I3812" t="str">
            <v>150mm</v>
          </cell>
          <cell r="J3812">
            <v>1</v>
          </cell>
          <cell r="K3812">
            <v>1</v>
          </cell>
        </row>
        <row r="3813">
          <cell r="A3813" t="str">
            <v>M2</v>
          </cell>
          <cell r="B3813" t="str">
            <v>A5C</v>
          </cell>
          <cell r="C3813" t="str">
            <v>P</v>
          </cell>
          <cell r="D3813" t="str">
            <v>23061</v>
          </cell>
          <cell r="E3813" t="str">
            <v>LWN FLG</v>
          </cell>
          <cell r="F3813">
            <v>3</v>
          </cell>
          <cell r="G3813" t="str">
            <v>CB2901000001WL</v>
          </cell>
          <cell r="H3813">
            <v>1</v>
          </cell>
          <cell r="I3813" t="str">
            <v>150mm</v>
          </cell>
          <cell r="J3813">
            <v>1</v>
          </cell>
          <cell r="K3813">
            <v>1</v>
          </cell>
        </row>
        <row r="3814">
          <cell r="A3814" t="str">
            <v>M2</v>
          </cell>
          <cell r="B3814" t="str">
            <v>A5C</v>
          </cell>
          <cell r="C3814" t="str">
            <v>P</v>
          </cell>
          <cell r="D3814" t="str">
            <v>23170</v>
          </cell>
          <cell r="E3814" t="str">
            <v>LWN FLG</v>
          </cell>
          <cell r="F3814">
            <v>3</v>
          </cell>
          <cell r="G3814" t="str">
            <v>CB2901000001WL</v>
          </cell>
          <cell r="H3814">
            <v>1</v>
          </cell>
          <cell r="I3814" t="str">
            <v>150mm</v>
          </cell>
          <cell r="J3814">
            <v>1</v>
          </cell>
          <cell r="K3814">
            <v>1</v>
          </cell>
        </row>
        <row r="3815">
          <cell r="A3815" t="str">
            <v>M2</v>
          </cell>
          <cell r="B3815" t="str">
            <v>A5C</v>
          </cell>
          <cell r="C3815" t="str">
            <v>P</v>
          </cell>
          <cell r="D3815" t="str">
            <v>23173</v>
          </cell>
          <cell r="E3815" t="str">
            <v>LWN FLG</v>
          </cell>
          <cell r="F3815">
            <v>3</v>
          </cell>
          <cell r="G3815" t="str">
            <v>CB2901000001WL</v>
          </cell>
          <cell r="H3815">
            <v>1</v>
          </cell>
          <cell r="I3815" t="str">
            <v>150mm</v>
          </cell>
          <cell r="J3815">
            <v>1</v>
          </cell>
          <cell r="K3815">
            <v>1</v>
          </cell>
        </row>
        <row r="3816">
          <cell r="A3816" t="str">
            <v>M2</v>
          </cell>
          <cell r="B3816" t="str">
            <v>A5C</v>
          </cell>
          <cell r="C3816" t="str">
            <v>P</v>
          </cell>
          <cell r="D3816" t="str">
            <v>23180</v>
          </cell>
          <cell r="E3816" t="str">
            <v>LWN FLG</v>
          </cell>
          <cell r="F3816">
            <v>3</v>
          </cell>
          <cell r="G3816" t="str">
            <v>CB2901000001WL</v>
          </cell>
          <cell r="H3816">
            <v>1</v>
          </cell>
          <cell r="I3816" t="str">
            <v>150mm</v>
          </cell>
          <cell r="J3816">
            <v>1</v>
          </cell>
          <cell r="K3816">
            <v>1</v>
          </cell>
        </row>
        <row r="3817">
          <cell r="A3817" t="str">
            <v>M2</v>
          </cell>
          <cell r="B3817" t="str">
            <v>A5C</v>
          </cell>
          <cell r="C3817" t="str">
            <v>P</v>
          </cell>
          <cell r="D3817" t="str">
            <v>24016</v>
          </cell>
          <cell r="E3817" t="str">
            <v>LWN FLG</v>
          </cell>
          <cell r="F3817">
            <v>3</v>
          </cell>
          <cell r="G3817" t="str">
            <v>CB2901000001WL</v>
          </cell>
          <cell r="H3817">
            <v>1</v>
          </cell>
          <cell r="I3817" t="str">
            <v>150mm</v>
          </cell>
          <cell r="J3817">
            <v>1</v>
          </cell>
          <cell r="K3817">
            <v>1</v>
          </cell>
        </row>
        <row r="3818">
          <cell r="A3818" t="str">
            <v>M2</v>
          </cell>
          <cell r="B3818" t="str">
            <v>A5C</v>
          </cell>
          <cell r="C3818" t="str">
            <v>P</v>
          </cell>
          <cell r="D3818" t="str">
            <v>23076</v>
          </cell>
          <cell r="E3818" t="str">
            <v>LWN FLG</v>
          </cell>
          <cell r="F3818">
            <v>3</v>
          </cell>
          <cell r="G3818" t="str">
            <v>CB2901000001WL</v>
          </cell>
          <cell r="H3818">
            <v>1</v>
          </cell>
          <cell r="I3818" t="str">
            <v>150mm</v>
          </cell>
          <cell r="J3818">
            <v>1</v>
          </cell>
          <cell r="K3818">
            <v>1</v>
          </cell>
        </row>
        <row r="3819">
          <cell r="A3819" t="str">
            <v>M2</v>
          </cell>
          <cell r="B3819" t="str">
            <v>A5C</v>
          </cell>
          <cell r="C3819" t="str">
            <v>P</v>
          </cell>
          <cell r="D3819" t="str">
            <v>23191</v>
          </cell>
          <cell r="E3819" t="str">
            <v>LWN FLG</v>
          </cell>
          <cell r="F3819">
            <v>3</v>
          </cell>
          <cell r="G3819" t="str">
            <v>CB2901000001WL</v>
          </cell>
          <cell r="H3819">
            <v>1</v>
          </cell>
          <cell r="I3819" t="str">
            <v>150mm</v>
          </cell>
          <cell r="J3819">
            <v>1</v>
          </cell>
          <cell r="K3819">
            <v>1</v>
          </cell>
        </row>
        <row r="3820">
          <cell r="A3820" t="str">
            <v>M2</v>
          </cell>
          <cell r="B3820" t="str">
            <v>A5C</v>
          </cell>
          <cell r="C3820" t="str">
            <v>P</v>
          </cell>
          <cell r="D3820" t="str">
            <v>24018</v>
          </cell>
          <cell r="E3820" t="str">
            <v>LWN FLG</v>
          </cell>
          <cell r="F3820">
            <v>3</v>
          </cell>
          <cell r="G3820" t="str">
            <v>CB2901000001WL</v>
          </cell>
          <cell r="H3820">
            <v>1</v>
          </cell>
          <cell r="I3820" t="str">
            <v>150mm</v>
          </cell>
          <cell r="J3820">
            <v>1</v>
          </cell>
          <cell r="K3820">
            <v>1</v>
          </cell>
        </row>
        <row r="3821">
          <cell r="A3821" t="str">
            <v>M2</v>
          </cell>
          <cell r="B3821" t="str">
            <v>A5C</v>
          </cell>
          <cell r="C3821" t="str">
            <v>P</v>
          </cell>
          <cell r="D3821" t="str">
            <v>23018</v>
          </cell>
          <cell r="E3821" t="str">
            <v>SW FLG</v>
          </cell>
          <cell r="F3821">
            <v>3</v>
          </cell>
          <cell r="G3821" t="str">
            <v>CB240108000100</v>
          </cell>
          <cell r="H3821">
            <v>1</v>
          </cell>
          <cell r="I3821" t="str">
            <v>--</v>
          </cell>
          <cell r="J3821">
            <v>2</v>
          </cell>
          <cell r="K3821">
            <v>2</v>
          </cell>
        </row>
        <row r="3822">
          <cell r="A3822" t="str">
            <v>M2</v>
          </cell>
          <cell r="B3822" t="str">
            <v>A5C</v>
          </cell>
          <cell r="C3822" t="str">
            <v>P</v>
          </cell>
          <cell r="D3822" t="str">
            <v>23027</v>
          </cell>
          <cell r="E3822" t="str">
            <v>SW FLG</v>
          </cell>
          <cell r="F3822">
            <v>3</v>
          </cell>
          <cell r="G3822" t="str">
            <v>CB240108000100</v>
          </cell>
          <cell r="H3822">
            <v>1</v>
          </cell>
          <cell r="I3822" t="str">
            <v>--</v>
          </cell>
          <cell r="J3822">
            <v>1</v>
          </cell>
          <cell r="K3822">
            <v>1</v>
          </cell>
        </row>
        <row r="3823">
          <cell r="A3823" t="str">
            <v>M2</v>
          </cell>
          <cell r="B3823" t="str">
            <v>A5C</v>
          </cell>
          <cell r="C3823" t="str">
            <v>P</v>
          </cell>
          <cell r="D3823" t="str">
            <v>23033</v>
          </cell>
          <cell r="E3823" t="str">
            <v>SW FLG</v>
          </cell>
          <cell r="F3823">
            <v>3</v>
          </cell>
          <cell r="G3823" t="str">
            <v>CB240108000100</v>
          </cell>
          <cell r="H3823">
            <v>1</v>
          </cell>
          <cell r="I3823" t="str">
            <v>--</v>
          </cell>
          <cell r="J3823">
            <v>2</v>
          </cell>
          <cell r="K3823">
            <v>2</v>
          </cell>
        </row>
        <row r="3824">
          <cell r="A3824" t="str">
            <v>M2</v>
          </cell>
          <cell r="B3824" t="str">
            <v>A5C</v>
          </cell>
          <cell r="C3824" t="str">
            <v>P</v>
          </cell>
          <cell r="D3824" t="str">
            <v>23044</v>
          </cell>
          <cell r="E3824" t="str">
            <v>SW FLG</v>
          </cell>
          <cell r="F3824">
            <v>3</v>
          </cell>
          <cell r="G3824" t="str">
            <v>CB240108000100</v>
          </cell>
          <cell r="H3824">
            <v>1</v>
          </cell>
          <cell r="I3824" t="str">
            <v>--</v>
          </cell>
          <cell r="J3824">
            <v>2</v>
          </cell>
          <cell r="K3824">
            <v>2</v>
          </cell>
        </row>
        <row r="3825">
          <cell r="A3825" t="str">
            <v>M2</v>
          </cell>
          <cell r="B3825" t="str">
            <v>A5C</v>
          </cell>
          <cell r="C3825" t="str">
            <v>P</v>
          </cell>
          <cell r="D3825" t="str">
            <v>23039</v>
          </cell>
          <cell r="E3825" t="str">
            <v>SW FLG</v>
          </cell>
          <cell r="F3825">
            <v>3</v>
          </cell>
          <cell r="G3825" t="str">
            <v>CB240108000100</v>
          </cell>
          <cell r="H3825">
            <v>1</v>
          </cell>
          <cell r="I3825" t="str">
            <v>--</v>
          </cell>
          <cell r="J3825">
            <v>2</v>
          </cell>
          <cell r="K3825">
            <v>2</v>
          </cell>
        </row>
        <row r="3826">
          <cell r="A3826" t="str">
            <v>M2</v>
          </cell>
          <cell r="B3826" t="str">
            <v>A5C</v>
          </cell>
          <cell r="C3826" t="str">
            <v>P</v>
          </cell>
          <cell r="D3826" t="str">
            <v>23074</v>
          </cell>
          <cell r="E3826" t="str">
            <v>SW FLG</v>
          </cell>
          <cell r="F3826">
            <v>3</v>
          </cell>
          <cell r="G3826" t="str">
            <v>CB240108000100</v>
          </cell>
          <cell r="H3826">
            <v>1</v>
          </cell>
          <cell r="I3826" t="str">
            <v>--</v>
          </cell>
          <cell r="J3826">
            <v>1</v>
          </cell>
          <cell r="K3826">
            <v>1</v>
          </cell>
        </row>
        <row r="3827">
          <cell r="A3827" t="str">
            <v>M2</v>
          </cell>
          <cell r="B3827" t="str">
            <v>A5C</v>
          </cell>
          <cell r="C3827" t="str">
            <v>P</v>
          </cell>
          <cell r="D3827" t="str">
            <v>23079</v>
          </cell>
          <cell r="E3827" t="str">
            <v>SW FLG</v>
          </cell>
          <cell r="F3827">
            <v>3</v>
          </cell>
          <cell r="G3827" t="str">
            <v>CB240108000100</v>
          </cell>
          <cell r="H3827">
            <v>1</v>
          </cell>
          <cell r="I3827" t="str">
            <v>--</v>
          </cell>
          <cell r="J3827">
            <v>1</v>
          </cell>
          <cell r="K3827">
            <v>1</v>
          </cell>
        </row>
        <row r="3828">
          <cell r="A3828" t="str">
            <v>M2</v>
          </cell>
          <cell r="B3828" t="str">
            <v>A5C</v>
          </cell>
          <cell r="C3828" t="str">
            <v>P</v>
          </cell>
          <cell r="D3828" t="str">
            <v>23219</v>
          </cell>
          <cell r="E3828" t="str">
            <v>SW FLG</v>
          </cell>
          <cell r="F3828">
            <v>3</v>
          </cell>
          <cell r="G3828" t="str">
            <v>CB240108000100</v>
          </cell>
          <cell r="H3828">
            <v>1</v>
          </cell>
          <cell r="I3828" t="str">
            <v>--</v>
          </cell>
          <cell r="J3828">
            <v>1</v>
          </cell>
          <cell r="K3828">
            <v>1</v>
          </cell>
        </row>
        <row r="3829">
          <cell r="A3829" t="str">
            <v>M2</v>
          </cell>
          <cell r="B3829" t="str">
            <v>A5C</v>
          </cell>
          <cell r="C3829" t="str">
            <v>P</v>
          </cell>
          <cell r="D3829" t="str">
            <v>23223</v>
          </cell>
          <cell r="E3829" t="str">
            <v>SW FLG</v>
          </cell>
          <cell r="F3829">
            <v>3</v>
          </cell>
          <cell r="G3829" t="str">
            <v>CB240208000100</v>
          </cell>
          <cell r="H3829">
            <v>1</v>
          </cell>
          <cell r="I3829" t="str">
            <v>--</v>
          </cell>
          <cell r="J3829">
            <v>2</v>
          </cell>
          <cell r="K3829">
            <v>2</v>
          </cell>
        </row>
        <row r="3830">
          <cell r="A3830" t="str">
            <v>M2</v>
          </cell>
          <cell r="B3830" t="str">
            <v>A5C</v>
          </cell>
          <cell r="C3830" t="str">
            <v>P</v>
          </cell>
          <cell r="D3830" t="str">
            <v>24015</v>
          </cell>
          <cell r="E3830" t="str">
            <v>SW FLG</v>
          </cell>
          <cell r="F3830">
            <v>3</v>
          </cell>
          <cell r="G3830" t="str">
            <v>CB240108000100</v>
          </cell>
          <cell r="H3830">
            <v>1</v>
          </cell>
          <cell r="I3830" t="str">
            <v>--</v>
          </cell>
          <cell r="J3830">
            <v>2</v>
          </cell>
          <cell r="K3830">
            <v>2</v>
          </cell>
        </row>
        <row r="3831">
          <cell r="A3831" t="str">
            <v>M2</v>
          </cell>
          <cell r="B3831" t="str">
            <v>A5C</v>
          </cell>
          <cell r="C3831" t="str">
            <v>P</v>
          </cell>
          <cell r="D3831" t="str">
            <v>24016</v>
          </cell>
          <cell r="E3831" t="str">
            <v>SW FLG</v>
          </cell>
          <cell r="F3831">
            <v>3</v>
          </cell>
          <cell r="G3831" t="str">
            <v>CB240108000100</v>
          </cell>
          <cell r="H3831">
            <v>1</v>
          </cell>
          <cell r="I3831" t="str">
            <v>--</v>
          </cell>
          <cell r="J3831">
            <v>2</v>
          </cell>
          <cell r="K3831">
            <v>2</v>
          </cell>
        </row>
        <row r="3832">
          <cell r="A3832" t="str">
            <v>M2</v>
          </cell>
          <cell r="B3832" t="str">
            <v>A5C</v>
          </cell>
          <cell r="C3832" t="str">
            <v>P</v>
          </cell>
          <cell r="D3832" t="str">
            <v>24017</v>
          </cell>
          <cell r="E3832" t="str">
            <v>SW FLG</v>
          </cell>
          <cell r="F3832">
            <v>3</v>
          </cell>
          <cell r="G3832" t="str">
            <v>CB240108000100</v>
          </cell>
          <cell r="H3832">
            <v>1</v>
          </cell>
          <cell r="I3832" t="str">
            <v>--</v>
          </cell>
          <cell r="J3832">
            <v>1</v>
          </cell>
          <cell r="K3832">
            <v>1</v>
          </cell>
        </row>
        <row r="3833">
          <cell r="A3833" t="str">
            <v>M2</v>
          </cell>
          <cell r="B3833" t="str">
            <v>A5C</v>
          </cell>
          <cell r="C3833" t="str">
            <v>P</v>
          </cell>
          <cell r="D3833" t="str">
            <v>24018</v>
          </cell>
          <cell r="E3833" t="str">
            <v>SW FLG</v>
          </cell>
          <cell r="F3833">
            <v>3</v>
          </cell>
          <cell r="G3833" t="str">
            <v>CB240108000100</v>
          </cell>
          <cell r="H3833">
            <v>1</v>
          </cell>
          <cell r="I3833" t="str">
            <v>--</v>
          </cell>
          <cell r="J3833">
            <v>1</v>
          </cell>
          <cell r="K3833">
            <v>1</v>
          </cell>
        </row>
        <row r="3834">
          <cell r="A3834" t="str">
            <v>M2</v>
          </cell>
          <cell r="B3834" t="str">
            <v>A5C</v>
          </cell>
          <cell r="C3834" t="str">
            <v>TRIM</v>
          </cell>
          <cell r="D3834" t="str">
            <v>C-2302</v>
          </cell>
          <cell r="E3834" t="str">
            <v>SW FLG</v>
          </cell>
          <cell r="F3834">
            <v>3</v>
          </cell>
          <cell r="G3834" t="str">
            <v>CB240108000100</v>
          </cell>
          <cell r="H3834">
            <v>1</v>
          </cell>
          <cell r="I3834" t="str">
            <v>--</v>
          </cell>
          <cell r="J3834">
            <v>1</v>
          </cell>
          <cell r="K3834">
            <v>1</v>
          </cell>
        </row>
        <row r="3835">
          <cell r="A3835" t="str">
            <v>M2</v>
          </cell>
          <cell r="B3835" t="str">
            <v>A5C</v>
          </cell>
          <cell r="C3835" t="str">
            <v>TRIM</v>
          </cell>
          <cell r="D3835" t="str">
            <v>C-2303</v>
          </cell>
          <cell r="E3835" t="str">
            <v>SW FLG</v>
          </cell>
          <cell r="F3835">
            <v>3</v>
          </cell>
          <cell r="G3835" t="str">
            <v>CB240108000100</v>
          </cell>
          <cell r="H3835">
            <v>1</v>
          </cell>
          <cell r="I3835" t="str">
            <v>--</v>
          </cell>
          <cell r="J3835">
            <v>1</v>
          </cell>
          <cell r="K3835">
            <v>1</v>
          </cell>
        </row>
        <row r="3836">
          <cell r="A3836" t="str">
            <v>M2</v>
          </cell>
          <cell r="B3836" t="str">
            <v>A5C</v>
          </cell>
          <cell r="C3836" t="str">
            <v>TRIM</v>
          </cell>
          <cell r="D3836" t="str">
            <v>C-2304</v>
          </cell>
          <cell r="E3836" t="str">
            <v>SW FLG</v>
          </cell>
          <cell r="F3836">
            <v>3</v>
          </cell>
          <cell r="G3836" t="str">
            <v>CB240108000100</v>
          </cell>
          <cell r="H3836">
            <v>1</v>
          </cell>
          <cell r="I3836" t="str">
            <v>--</v>
          </cell>
          <cell r="J3836">
            <v>1</v>
          </cell>
          <cell r="K3836">
            <v>1</v>
          </cell>
        </row>
        <row r="3837">
          <cell r="A3837" t="str">
            <v>M2</v>
          </cell>
          <cell r="B3837" t="str">
            <v>A5C</v>
          </cell>
          <cell r="C3837" t="str">
            <v>TRIM</v>
          </cell>
          <cell r="D3837" t="str">
            <v>C-2305</v>
          </cell>
          <cell r="E3837" t="str">
            <v>SW FLG</v>
          </cell>
          <cell r="F3837">
            <v>3</v>
          </cell>
          <cell r="G3837" t="str">
            <v>CB240108000100</v>
          </cell>
          <cell r="H3837">
            <v>1</v>
          </cell>
          <cell r="I3837" t="str">
            <v>--</v>
          </cell>
          <cell r="J3837">
            <v>1</v>
          </cell>
          <cell r="K3837">
            <v>1</v>
          </cell>
        </row>
        <row r="3838">
          <cell r="A3838" t="str">
            <v>M2</v>
          </cell>
          <cell r="B3838" t="str">
            <v>A5C</v>
          </cell>
          <cell r="C3838" t="str">
            <v>TRIM</v>
          </cell>
          <cell r="D3838" t="str">
            <v>C-2306</v>
          </cell>
          <cell r="E3838" t="str">
            <v>SW FLG</v>
          </cell>
          <cell r="F3838">
            <v>3</v>
          </cell>
          <cell r="G3838" t="str">
            <v>CB240108000100</v>
          </cell>
          <cell r="H3838">
            <v>1</v>
          </cell>
          <cell r="I3838" t="str">
            <v>--</v>
          </cell>
          <cell r="J3838">
            <v>1</v>
          </cell>
          <cell r="K3838">
            <v>1</v>
          </cell>
        </row>
        <row r="3839">
          <cell r="A3839" t="str">
            <v>M2</v>
          </cell>
          <cell r="B3839" t="str">
            <v>A5C</v>
          </cell>
          <cell r="C3839" t="str">
            <v>P</v>
          </cell>
          <cell r="D3839" t="str">
            <v>23019</v>
          </cell>
          <cell r="E3839" t="str">
            <v>SW FLG</v>
          </cell>
          <cell r="F3839">
            <v>3</v>
          </cell>
          <cell r="G3839" t="str">
            <v>CB240208000100</v>
          </cell>
          <cell r="H3839">
            <v>1</v>
          </cell>
          <cell r="I3839" t="str">
            <v>--</v>
          </cell>
          <cell r="J3839">
            <v>2</v>
          </cell>
          <cell r="K3839">
            <v>2</v>
          </cell>
        </row>
        <row r="3840">
          <cell r="A3840" t="str">
            <v>M2</v>
          </cell>
          <cell r="B3840" t="str">
            <v>A5C</v>
          </cell>
          <cell r="C3840" t="str">
            <v>P</v>
          </cell>
          <cell r="D3840" t="str">
            <v>23039</v>
          </cell>
          <cell r="E3840" t="str">
            <v>SW FLG</v>
          </cell>
          <cell r="F3840">
            <v>3</v>
          </cell>
          <cell r="G3840" t="str">
            <v>CB240208000100</v>
          </cell>
          <cell r="H3840">
            <v>1</v>
          </cell>
          <cell r="I3840" t="str">
            <v>--</v>
          </cell>
          <cell r="J3840">
            <v>2</v>
          </cell>
          <cell r="K3840">
            <v>2</v>
          </cell>
        </row>
        <row r="3841">
          <cell r="A3841" t="str">
            <v>M2</v>
          </cell>
          <cell r="B3841" t="str">
            <v>A5C</v>
          </cell>
          <cell r="C3841" t="str">
            <v>P</v>
          </cell>
          <cell r="D3841" t="str">
            <v>23077</v>
          </cell>
          <cell r="E3841" t="str">
            <v>SW FLG</v>
          </cell>
          <cell r="F3841">
            <v>3</v>
          </cell>
          <cell r="G3841" t="str">
            <v>CB240108000100</v>
          </cell>
          <cell r="H3841">
            <v>1</v>
          </cell>
          <cell r="I3841" t="str">
            <v>--</v>
          </cell>
          <cell r="J3841">
            <v>2</v>
          </cell>
          <cell r="K3841">
            <v>2</v>
          </cell>
        </row>
        <row r="3842">
          <cell r="A3842" t="str">
            <v>M2</v>
          </cell>
          <cell r="B3842" t="str">
            <v>A5C</v>
          </cell>
          <cell r="C3842" t="str">
            <v>P</v>
          </cell>
          <cell r="D3842" t="str">
            <v>23194</v>
          </cell>
          <cell r="E3842" t="str">
            <v>SW FLG</v>
          </cell>
          <cell r="F3842">
            <v>3</v>
          </cell>
          <cell r="G3842" t="str">
            <v>CB240108000100</v>
          </cell>
          <cell r="H3842">
            <v>1</v>
          </cell>
          <cell r="I3842" t="str">
            <v>--</v>
          </cell>
          <cell r="J3842">
            <v>3</v>
          </cell>
          <cell r="K3842">
            <v>3</v>
          </cell>
        </row>
        <row r="3843">
          <cell r="A3843" t="str">
            <v>M2</v>
          </cell>
          <cell r="B3843" t="str">
            <v>A5C</v>
          </cell>
          <cell r="C3843" t="str">
            <v>TRIM</v>
          </cell>
          <cell r="D3843" t="str">
            <v>V-2325</v>
          </cell>
          <cell r="E3843" t="str">
            <v>SW FLG</v>
          </cell>
          <cell r="F3843">
            <v>3</v>
          </cell>
          <cell r="G3843" t="str">
            <v>CB240108000100</v>
          </cell>
          <cell r="H3843">
            <v>1</v>
          </cell>
          <cell r="I3843" t="str">
            <v>--</v>
          </cell>
          <cell r="J3843">
            <v>3</v>
          </cell>
          <cell r="K3843">
            <v>3</v>
          </cell>
        </row>
        <row r="3844">
          <cell r="A3844" t="str">
            <v>M2</v>
          </cell>
          <cell r="B3844" t="str">
            <v>A5C</v>
          </cell>
          <cell r="C3844" t="str">
            <v>P</v>
          </cell>
          <cell r="D3844" t="str">
            <v>23015</v>
          </cell>
          <cell r="E3844" t="str">
            <v>LWN FLG</v>
          </cell>
          <cell r="F3844">
            <v>3</v>
          </cell>
          <cell r="G3844" t="str">
            <v>CB2901000001WL</v>
          </cell>
          <cell r="H3844">
            <v>1</v>
          </cell>
          <cell r="I3844" t="str">
            <v>150mm</v>
          </cell>
          <cell r="J3844">
            <v>1</v>
          </cell>
          <cell r="K3844">
            <v>1</v>
          </cell>
        </row>
        <row r="3845">
          <cell r="A3845" t="str">
            <v>M2</v>
          </cell>
          <cell r="B3845" t="str">
            <v>A5C</v>
          </cell>
          <cell r="C3845" t="str">
            <v>P</v>
          </cell>
          <cell r="D3845" t="str">
            <v>23009</v>
          </cell>
          <cell r="E3845" t="str">
            <v>SW FLG</v>
          </cell>
          <cell r="F3845">
            <v>3</v>
          </cell>
          <cell r="G3845" t="str">
            <v>CB240108000100</v>
          </cell>
          <cell r="H3845">
            <v>1</v>
          </cell>
          <cell r="I3845" t="str">
            <v>--</v>
          </cell>
          <cell r="J3845">
            <v>2</v>
          </cell>
          <cell r="K3845">
            <v>2</v>
          </cell>
        </row>
        <row r="3846">
          <cell r="A3846" t="str">
            <v>M2</v>
          </cell>
          <cell r="B3846" t="str">
            <v>A5C</v>
          </cell>
          <cell r="C3846" t="str">
            <v>P</v>
          </cell>
          <cell r="D3846" t="str">
            <v>23154</v>
          </cell>
          <cell r="E3846" t="str">
            <v>SW FLG</v>
          </cell>
          <cell r="F3846">
            <v>3</v>
          </cell>
          <cell r="G3846" t="str">
            <v>CB240108000100</v>
          </cell>
          <cell r="H3846">
            <v>1</v>
          </cell>
          <cell r="I3846" t="str">
            <v>--</v>
          </cell>
          <cell r="J3846">
            <v>3</v>
          </cell>
          <cell r="K3846">
            <v>3</v>
          </cell>
        </row>
        <row r="3847">
          <cell r="A3847" t="str">
            <v>M2</v>
          </cell>
          <cell r="B3847" t="str">
            <v>A5C</v>
          </cell>
          <cell r="C3847" t="str">
            <v>P</v>
          </cell>
          <cell r="D3847" t="str">
            <v>23156</v>
          </cell>
          <cell r="E3847" t="str">
            <v>SW FLG</v>
          </cell>
          <cell r="F3847">
            <v>3</v>
          </cell>
          <cell r="G3847" t="str">
            <v>CB240108000100</v>
          </cell>
          <cell r="H3847">
            <v>1</v>
          </cell>
          <cell r="I3847" t="str">
            <v>--</v>
          </cell>
          <cell r="J3847">
            <v>1</v>
          </cell>
          <cell r="K3847">
            <v>1</v>
          </cell>
        </row>
        <row r="3848">
          <cell r="A3848" t="str">
            <v>M2</v>
          </cell>
          <cell r="B3848" t="str">
            <v>A5C</v>
          </cell>
          <cell r="C3848" t="str">
            <v>P</v>
          </cell>
          <cell r="D3848" t="str">
            <v>24002</v>
          </cell>
          <cell r="E3848" t="str">
            <v>SW FLG</v>
          </cell>
          <cell r="F3848">
            <v>3</v>
          </cell>
          <cell r="G3848" t="str">
            <v>CB240108000100</v>
          </cell>
          <cell r="H3848">
            <v>1</v>
          </cell>
          <cell r="I3848" t="str">
            <v>--</v>
          </cell>
          <cell r="J3848">
            <v>1</v>
          </cell>
          <cell r="K3848">
            <v>1</v>
          </cell>
        </row>
        <row r="3849">
          <cell r="A3849" t="str">
            <v>M2</v>
          </cell>
          <cell r="B3849" t="str">
            <v>A5C</v>
          </cell>
          <cell r="C3849" t="str">
            <v>P</v>
          </cell>
          <cell r="D3849" t="str">
            <v>24002</v>
          </cell>
          <cell r="E3849" t="str">
            <v>SW FLG</v>
          </cell>
          <cell r="F3849">
            <v>3</v>
          </cell>
          <cell r="G3849" t="str">
            <v>CB240208000100</v>
          </cell>
          <cell r="H3849">
            <v>1</v>
          </cell>
          <cell r="I3849" t="str">
            <v>--</v>
          </cell>
          <cell r="J3849">
            <v>2</v>
          </cell>
          <cell r="K3849">
            <v>2</v>
          </cell>
        </row>
        <row r="3850">
          <cell r="A3850" t="str">
            <v>M2</v>
          </cell>
          <cell r="B3850" t="str">
            <v>A5C</v>
          </cell>
          <cell r="C3850" t="str">
            <v>P</v>
          </cell>
          <cell r="D3850" t="str">
            <v>24004</v>
          </cell>
          <cell r="E3850" t="str">
            <v>SW FLG</v>
          </cell>
          <cell r="F3850">
            <v>3</v>
          </cell>
          <cell r="G3850" t="str">
            <v>CB240208000100</v>
          </cell>
          <cell r="H3850">
            <v>1</v>
          </cell>
          <cell r="I3850" t="str">
            <v>--</v>
          </cell>
          <cell r="J3850">
            <v>2</v>
          </cell>
          <cell r="K3850">
            <v>2</v>
          </cell>
        </row>
        <row r="3851">
          <cell r="A3851" t="str">
            <v>M2</v>
          </cell>
          <cell r="B3851" t="str">
            <v>A5C</v>
          </cell>
          <cell r="C3851" t="str">
            <v>P</v>
          </cell>
          <cell r="D3851" t="str">
            <v>24010</v>
          </cell>
          <cell r="E3851" t="str">
            <v>SW FLG</v>
          </cell>
          <cell r="F3851">
            <v>3</v>
          </cell>
          <cell r="G3851" t="str">
            <v>CB240108000100</v>
          </cell>
          <cell r="H3851">
            <v>1</v>
          </cell>
          <cell r="I3851" t="str">
            <v>--</v>
          </cell>
          <cell r="J3851">
            <v>2</v>
          </cell>
          <cell r="K3851">
            <v>2</v>
          </cell>
        </row>
        <row r="3852">
          <cell r="A3852" t="str">
            <v>M2</v>
          </cell>
          <cell r="B3852" t="str">
            <v>A5C</v>
          </cell>
          <cell r="C3852" t="str">
            <v>P</v>
          </cell>
          <cell r="D3852" t="str">
            <v>24004</v>
          </cell>
          <cell r="E3852" t="str">
            <v>SW FLG</v>
          </cell>
          <cell r="F3852">
            <v>3</v>
          </cell>
          <cell r="G3852" t="str">
            <v>CB240108000100</v>
          </cell>
          <cell r="H3852">
            <v>1</v>
          </cell>
          <cell r="I3852" t="str">
            <v>--</v>
          </cell>
          <cell r="J3852">
            <v>3</v>
          </cell>
          <cell r="K3852">
            <v>3</v>
          </cell>
        </row>
        <row r="3853">
          <cell r="A3853" t="str">
            <v>M2</v>
          </cell>
          <cell r="B3853" t="str">
            <v>A5C</v>
          </cell>
          <cell r="C3853" t="str">
            <v>P</v>
          </cell>
          <cell r="D3853" t="str">
            <v>24026</v>
          </cell>
          <cell r="E3853" t="str">
            <v>SW FLG</v>
          </cell>
          <cell r="F3853">
            <v>3</v>
          </cell>
          <cell r="G3853" t="str">
            <v>CB240208000100</v>
          </cell>
          <cell r="H3853">
            <v>1</v>
          </cell>
          <cell r="I3853" t="str">
            <v>--</v>
          </cell>
          <cell r="J3853">
            <v>2</v>
          </cell>
          <cell r="K3853">
            <v>2</v>
          </cell>
        </row>
        <row r="3854">
          <cell r="A3854" t="str">
            <v>M2</v>
          </cell>
          <cell r="B3854" t="str">
            <v>A5C</v>
          </cell>
          <cell r="C3854" t="str">
            <v>P</v>
          </cell>
          <cell r="D3854" t="str">
            <v>24029</v>
          </cell>
          <cell r="E3854" t="str">
            <v>SW FLG</v>
          </cell>
          <cell r="F3854">
            <v>3</v>
          </cell>
          <cell r="G3854" t="str">
            <v>CB240108000100</v>
          </cell>
          <cell r="H3854">
            <v>1</v>
          </cell>
          <cell r="I3854" t="str">
            <v>--</v>
          </cell>
          <cell r="J3854">
            <v>1</v>
          </cell>
          <cell r="K3854">
            <v>1</v>
          </cell>
        </row>
        <row r="3855">
          <cell r="A3855" t="str">
            <v>M2</v>
          </cell>
          <cell r="B3855" t="str">
            <v>A5C</v>
          </cell>
          <cell r="C3855" t="str">
            <v>P</v>
          </cell>
          <cell r="D3855" t="str">
            <v>24032</v>
          </cell>
          <cell r="E3855" t="str">
            <v>SW FLG</v>
          </cell>
          <cell r="F3855">
            <v>3</v>
          </cell>
          <cell r="G3855" t="str">
            <v>CB240108000100</v>
          </cell>
          <cell r="H3855">
            <v>1</v>
          </cell>
          <cell r="I3855" t="str">
            <v>--</v>
          </cell>
          <cell r="J3855">
            <v>1</v>
          </cell>
          <cell r="K3855">
            <v>1</v>
          </cell>
        </row>
        <row r="3856">
          <cell r="A3856" t="str">
            <v>M2</v>
          </cell>
          <cell r="B3856" t="str">
            <v>A5C</v>
          </cell>
          <cell r="C3856" t="str">
            <v>P</v>
          </cell>
          <cell r="D3856" t="str">
            <v>24033</v>
          </cell>
          <cell r="E3856" t="str">
            <v>SW FLG</v>
          </cell>
          <cell r="F3856">
            <v>3</v>
          </cell>
          <cell r="G3856" t="str">
            <v>CB240108000100</v>
          </cell>
          <cell r="H3856">
            <v>1</v>
          </cell>
          <cell r="I3856" t="str">
            <v>--</v>
          </cell>
          <cell r="J3856">
            <v>1</v>
          </cell>
          <cell r="K3856">
            <v>1</v>
          </cell>
        </row>
        <row r="3857">
          <cell r="A3857" t="str">
            <v>M2</v>
          </cell>
          <cell r="B3857" t="str">
            <v>A5C</v>
          </cell>
          <cell r="C3857" t="str">
            <v>P</v>
          </cell>
          <cell r="D3857" t="str">
            <v>24031</v>
          </cell>
          <cell r="E3857" t="str">
            <v>SW FLG</v>
          </cell>
          <cell r="F3857">
            <v>3</v>
          </cell>
          <cell r="G3857" t="str">
            <v>CB240108000100</v>
          </cell>
          <cell r="H3857">
            <v>1</v>
          </cell>
          <cell r="I3857" t="str">
            <v>--</v>
          </cell>
          <cell r="J3857">
            <v>1</v>
          </cell>
          <cell r="K3857">
            <v>1</v>
          </cell>
        </row>
        <row r="3858">
          <cell r="A3858" t="str">
            <v>M2</v>
          </cell>
          <cell r="B3858" t="str">
            <v>A5C</v>
          </cell>
          <cell r="C3858" t="str">
            <v>P</v>
          </cell>
          <cell r="D3858" t="str">
            <v>99004</v>
          </cell>
          <cell r="E3858" t="str">
            <v>SW FLG</v>
          </cell>
          <cell r="F3858">
            <v>3</v>
          </cell>
          <cell r="G3858" t="str">
            <v>CB240108000100</v>
          </cell>
          <cell r="H3858">
            <v>1</v>
          </cell>
          <cell r="I3858" t="str">
            <v>--</v>
          </cell>
          <cell r="J3858">
            <v>1</v>
          </cell>
          <cell r="K3858">
            <v>1</v>
          </cell>
        </row>
        <row r="3859">
          <cell r="A3859" t="str">
            <v>M2</v>
          </cell>
          <cell r="B3859" t="str">
            <v>A5C</v>
          </cell>
          <cell r="C3859" t="str">
            <v>TRIM</v>
          </cell>
          <cell r="D3859" t="str">
            <v>C-2301</v>
          </cell>
          <cell r="E3859" t="str">
            <v>SW FLG</v>
          </cell>
          <cell r="F3859">
            <v>3</v>
          </cell>
          <cell r="G3859" t="str">
            <v>CB240108000100</v>
          </cell>
          <cell r="H3859">
            <v>1</v>
          </cell>
          <cell r="I3859" t="str">
            <v>--</v>
          </cell>
          <cell r="J3859">
            <v>1</v>
          </cell>
          <cell r="K3859">
            <v>1</v>
          </cell>
        </row>
        <row r="3860">
          <cell r="A3860" t="str">
            <v>M2</v>
          </cell>
          <cell r="B3860" t="str">
            <v>A5C</v>
          </cell>
          <cell r="C3860" t="str">
            <v>TRIM</v>
          </cell>
          <cell r="D3860" t="str">
            <v>R-2401</v>
          </cell>
          <cell r="E3860" t="str">
            <v>SW FLG</v>
          </cell>
          <cell r="F3860">
            <v>3</v>
          </cell>
          <cell r="G3860" t="str">
            <v>CB240108000100</v>
          </cell>
          <cell r="H3860">
            <v>1</v>
          </cell>
          <cell r="I3860" t="str">
            <v>--</v>
          </cell>
          <cell r="J3860">
            <v>1</v>
          </cell>
          <cell r="K3860">
            <v>1</v>
          </cell>
        </row>
        <row r="3861">
          <cell r="A3861" t="str">
            <v>M2</v>
          </cell>
          <cell r="B3861" t="str">
            <v>A5C</v>
          </cell>
          <cell r="C3861" t="str">
            <v>P</v>
          </cell>
          <cell r="D3861" t="str">
            <v>24001</v>
          </cell>
          <cell r="E3861" t="str">
            <v>SW FLG</v>
          </cell>
          <cell r="F3861">
            <v>3</v>
          </cell>
          <cell r="G3861" t="str">
            <v>CB240108000100</v>
          </cell>
          <cell r="H3861">
            <v>1</v>
          </cell>
          <cell r="I3861" t="str">
            <v>--</v>
          </cell>
          <cell r="J3861">
            <v>2</v>
          </cell>
          <cell r="K3861">
            <v>2</v>
          </cell>
        </row>
        <row r="3862">
          <cell r="A3862" t="str">
            <v>M2</v>
          </cell>
          <cell r="B3862" t="str">
            <v>A5C</v>
          </cell>
          <cell r="C3862" t="str">
            <v>P</v>
          </cell>
          <cell r="D3862" t="str">
            <v>24025</v>
          </cell>
          <cell r="E3862" t="str">
            <v>SW FLG</v>
          </cell>
          <cell r="F3862">
            <v>3</v>
          </cell>
          <cell r="G3862" t="str">
            <v>CB240108000100</v>
          </cell>
          <cell r="H3862">
            <v>1</v>
          </cell>
          <cell r="I3862" t="str">
            <v>--</v>
          </cell>
          <cell r="J3862">
            <v>7</v>
          </cell>
          <cell r="K3862">
            <v>7</v>
          </cell>
        </row>
        <row r="3863">
          <cell r="A3863" t="str">
            <v>M2</v>
          </cell>
          <cell r="B3863" t="str">
            <v>A5C</v>
          </cell>
          <cell r="C3863" t="str">
            <v>P</v>
          </cell>
          <cell r="D3863" t="str">
            <v>24026</v>
          </cell>
          <cell r="E3863" t="str">
            <v>SW FLG</v>
          </cell>
          <cell r="F3863">
            <v>3</v>
          </cell>
          <cell r="G3863" t="str">
            <v>CB240108000100</v>
          </cell>
          <cell r="H3863">
            <v>1</v>
          </cell>
          <cell r="I3863" t="str">
            <v>--</v>
          </cell>
          <cell r="J3863">
            <v>1</v>
          </cell>
          <cell r="K3863">
            <v>1</v>
          </cell>
        </row>
        <row r="3864">
          <cell r="A3864" t="str">
            <v>M2</v>
          </cell>
          <cell r="B3864" t="str">
            <v>A5C</v>
          </cell>
          <cell r="C3864" t="str">
            <v>P</v>
          </cell>
          <cell r="D3864" t="str">
            <v>23006</v>
          </cell>
          <cell r="E3864" t="str">
            <v>SW FLG</v>
          </cell>
          <cell r="F3864">
            <v>3</v>
          </cell>
          <cell r="G3864" t="str">
            <v>CB240108001H00</v>
          </cell>
          <cell r="H3864">
            <v>1.5</v>
          </cell>
          <cell r="I3864" t="str">
            <v>--</v>
          </cell>
          <cell r="J3864">
            <v>1</v>
          </cell>
          <cell r="K3864">
            <v>1</v>
          </cell>
        </row>
        <row r="3865">
          <cell r="A3865" t="str">
            <v>M2</v>
          </cell>
          <cell r="B3865" t="str">
            <v>A5C</v>
          </cell>
          <cell r="C3865" t="str">
            <v>P</v>
          </cell>
          <cell r="D3865" t="str">
            <v>22102</v>
          </cell>
          <cell r="E3865" t="str">
            <v>SW FLG</v>
          </cell>
          <cell r="F3865">
            <v>3</v>
          </cell>
          <cell r="G3865" t="str">
            <v>CB240108001H00</v>
          </cell>
          <cell r="H3865">
            <v>1.5</v>
          </cell>
          <cell r="I3865" t="str">
            <v>--</v>
          </cell>
          <cell r="J3865">
            <v>1</v>
          </cell>
          <cell r="K3865">
            <v>1</v>
          </cell>
        </row>
        <row r="3866">
          <cell r="A3866" t="str">
            <v>M2</v>
          </cell>
          <cell r="B3866" t="str">
            <v>A5C</v>
          </cell>
          <cell r="C3866" t="str">
            <v>P</v>
          </cell>
          <cell r="D3866" t="str">
            <v>23001</v>
          </cell>
          <cell r="E3866" t="str">
            <v>SW FLG</v>
          </cell>
          <cell r="F3866">
            <v>3</v>
          </cell>
          <cell r="G3866" t="str">
            <v>CB240108001H00</v>
          </cell>
          <cell r="H3866">
            <v>1.5</v>
          </cell>
          <cell r="I3866" t="str">
            <v>--</v>
          </cell>
          <cell r="J3866">
            <v>2</v>
          </cell>
          <cell r="K3866">
            <v>2</v>
          </cell>
        </row>
        <row r="3867">
          <cell r="A3867" t="str">
            <v>M2</v>
          </cell>
          <cell r="B3867" t="str">
            <v>A5C</v>
          </cell>
          <cell r="C3867" t="str">
            <v>P</v>
          </cell>
          <cell r="D3867" t="str">
            <v>23005</v>
          </cell>
          <cell r="E3867" t="str">
            <v>SW FLG</v>
          </cell>
          <cell r="F3867">
            <v>3</v>
          </cell>
          <cell r="G3867" t="str">
            <v>CB240108001H00</v>
          </cell>
          <cell r="H3867">
            <v>1.5</v>
          </cell>
          <cell r="I3867" t="str">
            <v>--</v>
          </cell>
          <cell r="J3867">
            <v>2</v>
          </cell>
          <cell r="K3867">
            <v>2</v>
          </cell>
        </row>
        <row r="3868">
          <cell r="A3868" t="str">
            <v>M2</v>
          </cell>
          <cell r="B3868" t="str">
            <v>A5C</v>
          </cell>
          <cell r="C3868" t="str">
            <v>P</v>
          </cell>
          <cell r="D3868" t="str">
            <v>23037</v>
          </cell>
          <cell r="E3868" t="str">
            <v>SW FLG</v>
          </cell>
          <cell r="F3868">
            <v>3</v>
          </cell>
          <cell r="G3868" t="str">
            <v>CB240108001H00</v>
          </cell>
          <cell r="H3868">
            <v>1.5</v>
          </cell>
          <cell r="I3868" t="str">
            <v>--</v>
          </cell>
          <cell r="J3868">
            <v>1</v>
          </cell>
          <cell r="K3868">
            <v>1</v>
          </cell>
        </row>
        <row r="3869">
          <cell r="A3869" t="str">
            <v>M2</v>
          </cell>
          <cell r="B3869" t="str">
            <v>A5C</v>
          </cell>
          <cell r="C3869" t="str">
            <v>P</v>
          </cell>
          <cell r="D3869" t="str">
            <v>23035</v>
          </cell>
          <cell r="E3869" t="str">
            <v>SW FLG</v>
          </cell>
          <cell r="F3869">
            <v>3</v>
          </cell>
          <cell r="G3869" t="str">
            <v>CB240108001H00</v>
          </cell>
          <cell r="H3869">
            <v>1.5</v>
          </cell>
          <cell r="I3869" t="str">
            <v>--</v>
          </cell>
          <cell r="J3869">
            <v>5</v>
          </cell>
          <cell r="K3869">
            <v>5</v>
          </cell>
        </row>
        <row r="3870">
          <cell r="A3870" t="str">
            <v>M2</v>
          </cell>
          <cell r="B3870" t="str">
            <v>A5C</v>
          </cell>
          <cell r="C3870" t="str">
            <v>P</v>
          </cell>
          <cell r="D3870" t="str">
            <v>23038</v>
          </cell>
          <cell r="E3870" t="str">
            <v>SW FLG</v>
          </cell>
          <cell r="F3870">
            <v>3</v>
          </cell>
          <cell r="G3870" t="str">
            <v>CB240108001H00</v>
          </cell>
          <cell r="H3870">
            <v>1.5</v>
          </cell>
          <cell r="I3870" t="str">
            <v>--</v>
          </cell>
          <cell r="J3870">
            <v>4</v>
          </cell>
          <cell r="K3870">
            <v>4</v>
          </cell>
        </row>
        <row r="3871">
          <cell r="A3871" t="str">
            <v>M2</v>
          </cell>
          <cell r="B3871" t="str">
            <v>A5C</v>
          </cell>
          <cell r="C3871" t="str">
            <v>P</v>
          </cell>
          <cell r="D3871" t="str">
            <v>23052</v>
          </cell>
          <cell r="E3871" t="str">
            <v>SW FLG</v>
          </cell>
          <cell r="F3871">
            <v>3</v>
          </cell>
          <cell r="G3871" t="str">
            <v>CB240108001H00</v>
          </cell>
          <cell r="H3871">
            <v>1.5</v>
          </cell>
          <cell r="I3871" t="str">
            <v>--</v>
          </cell>
          <cell r="J3871">
            <v>1</v>
          </cell>
          <cell r="K3871">
            <v>1</v>
          </cell>
        </row>
        <row r="3872">
          <cell r="A3872" t="str">
            <v>M2</v>
          </cell>
          <cell r="B3872" t="str">
            <v>A5C</v>
          </cell>
          <cell r="C3872" t="str">
            <v>P</v>
          </cell>
          <cell r="D3872" t="str">
            <v>23063</v>
          </cell>
          <cell r="E3872" t="str">
            <v>SW FLG</v>
          </cell>
          <cell r="F3872">
            <v>3</v>
          </cell>
          <cell r="G3872" t="str">
            <v>CB240108001H00</v>
          </cell>
          <cell r="H3872">
            <v>1.5</v>
          </cell>
          <cell r="I3872" t="str">
            <v>--</v>
          </cell>
          <cell r="J3872">
            <v>1</v>
          </cell>
          <cell r="K3872">
            <v>1</v>
          </cell>
        </row>
        <row r="3873">
          <cell r="A3873" t="str">
            <v>M2</v>
          </cell>
          <cell r="B3873" t="str">
            <v>A5C</v>
          </cell>
          <cell r="C3873" t="str">
            <v>P</v>
          </cell>
          <cell r="D3873" t="str">
            <v>23070</v>
          </cell>
          <cell r="E3873" t="str">
            <v>SW FLG</v>
          </cell>
          <cell r="F3873">
            <v>3</v>
          </cell>
          <cell r="G3873" t="str">
            <v>CB240108001H00</v>
          </cell>
          <cell r="H3873">
            <v>1.5</v>
          </cell>
          <cell r="I3873" t="str">
            <v>--</v>
          </cell>
          <cell r="J3873">
            <v>4</v>
          </cell>
          <cell r="K3873">
            <v>4</v>
          </cell>
        </row>
        <row r="3874">
          <cell r="A3874" t="str">
            <v>M2</v>
          </cell>
          <cell r="B3874" t="str">
            <v>A5C</v>
          </cell>
          <cell r="C3874" t="str">
            <v>P</v>
          </cell>
          <cell r="D3874" t="str">
            <v>23073</v>
          </cell>
          <cell r="E3874" t="str">
            <v>SW FLG</v>
          </cell>
          <cell r="F3874">
            <v>3</v>
          </cell>
          <cell r="G3874" t="str">
            <v>CB240108001H00</v>
          </cell>
          <cell r="H3874">
            <v>1.5</v>
          </cell>
          <cell r="I3874" t="str">
            <v>--</v>
          </cell>
          <cell r="J3874">
            <v>2</v>
          </cell>
          <cell r="K3874">
            <v>2</v>
          </cell>
        </row>
        <row r="3875">
          <cell r="A3875" t="str">
            <v>M2</v>
          </cell>
          <cell r="B3875" t="str">
            <v>A5C</v>
          </cell>
          <cell r="C3875" t="str">
            <v>P</v>
          </cell>
          <cell r="D3875" t="str">
            <v>23078</v>
          </cell>
          <cell r="E3875" t="str">
            <v>SW FLG</v>
          </cell>
          <cell r="F3875">
            <v>3</v>
          </cell>
          <cell r="G3875" t="str">
            <v>CB240108001H00</v>
          </cell>
          <cell r="H3875">
            <v>1.5</v>
          </cell>
          <cell r="I3875" t="str">
            <v>--</v>
          </cell>
          <cell r="J3875">
            <v>1</v>
          </cell>
          <cell r="K3875">
            <v>1</v>
          </cell>
        </row>
        <row r="3876">
          <cell r="A3876" t="str">
            <v>M2</v>
          </cell>
          <cell r="B3876" t="str">
            <v>A5C</v>
          </cell>
          <cell r="C3876" t="str">
            <v>P</v>
          </cell>
          <cell r="D3876" t="str">
            <v>23096</v>
          </cell>
          <cell r="E3876" t="str">
            <v>SW FLG</v>
          </cell>
          <cell r="F3876">
            <v>3</v>
          </cell>
          <cell r="G3876" t="str">
            <v>CB240108001H00</v>
          </cell>
          <cell r="H3876">
            <v>1.5</v>
          </cell>
          <cell r="I3876" t="str">
            <v>--</v>
          </cell>
          <cell r="J3876">
            <v>2</v>
          </cell>
          <cell r="K3876">
            <v>2</v>
          </cell>
        </row>
        <row r="3877">
          <cell r="A3877" t="str">
            <v>M2</v>
          </cell>
          <cell r="B3877" t="str">
            <v>A5C</v>
          </cell>
          <cell r="C3877" t="str">
            <v>P</v>
          </cell>
          <cell r="D3877" t="str">
            <v>23107</v>
          </cell>
          <cell r="E3877" t="str">
            <v>SW FLG</v>
          </cell>
          <cell r="F3877">
            <v>3</v>
          </cell>
          <cell r="G3877" t="str">
            <v>CB240108001H00</v>
          </cell>
          <cell r="H3877">
            <v>1.5</v>
          </cell>
          <cell r="I3877" t="str">
            <v>--</v>
          </cell>
          <cell r="J3877">
            <v>5</v>
          </cell>
          <cell r="K3877">
            <v>5</v>
          </cell>
        </row>
        <row r="3878">
          <cell r="A3878" t="str">
            <v>M2</v>
          </cell>
          <cell r="B3878" t="str">
            <v>A5C</v>
          </cell>
          <cell r="C3878" t="str">
            <v>P</v>
          </cell>
          <cell r="D3878" t="str">
            <v>23111</v>
          </cell>
          <cell r="E3878" t="str">
            <v>SW FLG</v>
          </cell>
          <cell r="F3878">
            <v>3</v>
          </cell>
          <cell r="G3878" t="str">
            <v>CB240108001H00</v>
          </cell>
          <cell r="H3878">
            <v>1.5</v>
          </cell>
          <cell r="I3878" t="str">
            <v>--</v>
          </cell>
          <cell r="J3878">
            <v>5</v>
          </cell>
          <cell r="K3878">
            <v>5</v>
          </cell>
        </row>
        <row r="3879">
          <cell r="A3879" t="str">
            <v>M2</v>
          </cell>
          <cell r="B3879" t="str">
            <v>A5C</v>
          </cell>
          <cell r="C3879" t="str">
            <v>P</v>
          </cell>
          <cell r="D3879" t="str">
            <v>23115</v>
          </cell>
          <cell r="E3879" t="str">
            <v>SW FLG</v>
          </cell>
          <cell r="F3879">
            <v>3</v>
          </cell>
          <cell r="G3879" t="str">
            <v>CB240108001H00</v>
          </cell>
          <cell r="H3879">
            <v>1.5</v>
          </cell>
          <cell r="I3879" t="str">
            <v>--</v>
          </cell>
          <cell r="J3879">
            <v>2</v>
          </cell>
          <cell r="K3879">
            <v>2</v>
          </cell>
        </row>
        <row r="3880">
          <cell r="A3880" t="str">
            <v>M2</v>
          </cell>
          <cell r="B3880" t="str">
            <v>A5C</v>
          </cell>
          <cell r="C3880" t="str">
            <v>P</v>
          </cell>
          <cell r="D3880" t="str">
            <v>23117</v>
          </cell>
          <cell r="E3880" t="str">
            <v>SW FLG</v>
          </cell>
          <cell r="F3880">
            <v>3</v>
          </cell>
          <cell r="G3880" t="str">
            <v>CB240108001H00</v>
          </cell>
          <cell r="H3880">
            <v>1.5</v>
          </cell>
          <cell r="I3880" t="str">
            <v>--</v>
          </cell>
          <cell r="J3880">
            <v>4</v>
          </cell>
          <cell r="K3880">
            <v>4</v>
          </cell>
        </row>
        <row r="3881">
          <cell r="A3881" t="str">
            <v>M2</v>
          </cell>
          <cell r="B3881" t="str">
            <v>A5C</v>
          </cell>
          <cell r="C3881" t="str">
            <v>P</v>
          </cell>
          <cell r="D3881" t="str">
            <v>23143</v>
          </cell>
          <cell r="E3881" t="str">
            <v>SW FLG</v>
          </cell>
          <cell r="F3881">
            <v>3</v>
          </cell>
          <cell r="G3881" t="str">
            <v>CB240108001H00</v>
          </cell>
          <cell r="H3881">
            <v>1.5</v>
          </cell>
          <cell r="I3881" t="str">
            <v>--</v>
          </cell>
          <cell r="J3881">
            <v>5</v>
          </cell>
          <cell r="K3881">
            <v>5</v>
          </cell>
        </row>
        <row r="3882">
          <cell r="A3882" t="str">
            <v>M2</v>
          </cell>
          <cell r="B3882" t="str">
            <v>A5C</v>
          </cell>
          <cell r="C3882" t="str">
            <v>P</v>
          </cell>
          <cell r="D3882" t="str">
            <v>23147</v>
          </cell>
          <cell r="E3882" t="str">
            <v>SW FLG</v>
          </cell>
          <cell r="F3882">
            <v>3</v>
          </cell>
          <cell r="G3882" t="str">
            <v>CB240108001H00</v>
          </cell>
          <cell r="H3882">
            <v>1.5</v>
          </cell>
          <cell r="I3882" t="str">
            <v>--</v>
          </cell>
          <cell r="J3882">
            <v>5</v>
          </cell>
          <cell r="K3882">
            <v>5</v>
          </cell>
        </row>
        <row r="3883">
          <cell r="A3883" t="str">
            <v>M2</v>
          </cell>
          <cell r="B3883" t="str">
            <v>A5C</v>
          </cell>
          <cell r="C3883" t="str">
            <v>P</v>
          </cell>
          <cell r="D3883" t="str">
            <v>23157</v>
          </cell>
          <cell r="E3883" t="str">
            <v>SW FLG</v>
          </cell>
          <cell r="F3883">
            <v>3</v>
          </cell>
          <cell r="G3883" t="str">
            <v>CB240108001H00</v>
          </cell>
          <cell r="H3883">
            <v>1.5</v>
          </cell>
          <cell r="I3883" t="str">
            <v>--</v>
          </cell>
          <cell r="J3883">
            <v>4</v>
          </cell>
          <cell r="K3883">
            <v>4</v>
          </cell>
        </row>
        <row r="3884">
          <cell r="A3884" t="str">
            <v>M2</v>
          </cell>
          <cell r="B3884" t="str">
            <v>A5C</v>
          </cell>
          <cell r="C3884" t="str">
            <v>P</v>
          </cell>
          <cell r="D3884" t="str">
            <v>23185</v>
          </cell>
          <cell r="E3884" t="str">
            <v>SW FLG</v>
          </cell>
          <cell r="F3884">
            <v>3</v>
          </cell>
          <cell r="G3884" t="str">
            <v>CB240108001H00</v>
          </cell>
          <cell r="H3884">
            <v>1.5</v>
          </cell>
          <cell r="I3884" t="str">
            <v>--</v>
          </cell>
          <cell r="J3884">
            <v>4</v>
          </cell>
          <cell r="K3884">
            <v>4</v>
          </cell>
        </row>
        <row r="3885">
          <cell r="A3885" t="str">
            <v>M2</v>
          </cell>
          <cell r="B3885" t="str">
            <v>A5C</v>
          </cell>
          <cell r="C3885" t="str">
            <v>P</v>
          </cell>
          <cell r="D3885" t="str">
            <v>23196</v>
          </cell>
          <cell r="E3885" t="str">
            <v>SW FLG</v>
          </cell>
          <cell r="F3885">
            <v>3</v>
          </cell>
          <cell r="G3885" t="str">
            <v>CB240108001H00</v>
          </cell>
          <cell r="H3885">
            <v>1.5</v>
          </cell>
          <cell r="I3885" t="str">
            <v>--</v>
          </cell>
          <cell r="J3885">
            <v>4</v>
          </cell>
          <cell r="K3885">
            <v>4</v>
          </cell>
        </row>
        <row r="3886">
          <cell r="A3886" t="str">
            <v>M2</v>
          </cell>
          <cell r="B3886" t="str">
            <v>A5C</v>
          </cell>
          <cell r="C3886" t="str">
            <v>P</v>
          </cell>
          <cell r="D3886" t="str">
            <v>23217</v>
          </cell>
          <cell r="E3886" t="str">
            <v>SW FLG</v>
          </cell>
          <cell r="F3886">
            <v>3</v>
          </cell>
          <cell r="G3886" t="str">
            <v>CB240108001H00</v>
          </cell>
          <cell r="H3886">
            <v>1.5</v>
          </cell>
          <cell r="I3886" t="str">
            <v>--</v>
          </cell>
          <cell r="J3886">
            <v>2</v>
          </cell>
          <cell r="K3886">
            <v>2</v>
          </cell>
        </row>
        <row r="3887">
          <cell r="A3887" t="str">
            <v>M2</v>
          </cell>
          <cell r="B3887" t="str">
            <v>A5C</v>
          </cell>
          <cell r="C3887" t="str">
            <v>P</v>
          </cell>
          <cell r="D3887" t="str">
            <v>23226</v>
          </cell>
          <cell r="E3887" t="str">
            <v>SW FLG</v>
          </cell>
          <cell r="F3887">
            <v>3</v>
          </cell>
          <cell r="G3887" t="str">
            <v>CB240108001H00</v>
          </cell>
          <cell r="H3887">
            <v>1.5</v>
          </cell>
          <cell r="I3887" t="str">
            <v>--</v>
          </cell>
          <cell r="J3887">
            <v>2</v>
          </cell>
          <cell r="K3887">
            <v>2</v>
          </cell>
        </row>
        <row r="3888">
          <cell r="A3888" t="str">
            <v>M2</v>
          </cell>
          <cell r="B3888" t="str">
            <v>A5C</v>
          </cell>
          <cell r="C3888" t="str">
            <v>P</v>
          </cell>
          <cell r="D3888" t="str">
            <v>23246</v>
          </cell>
          <cell r="E3888" t="str">
            <v>SW FLG</v>
          </cell>
          <cell r="F3888">
            <v>3</v>
          </cell>
          <cell r="G3888" t="str">
            <v>CB240108001H00</v>
          </cell>
          <cell r="H3888">
            <v>1.5</v>
          </cell>
          <cell r="I3888" t="str">
            <v>--</v>
          </cell>
          <cell r="J3888">
            <v>2</v>
          </cell>
          <cell r="K3888">
            <v>2</v>
          </cell>
        </row>
        <row r="3889">
          <cell r="A3889" t="str">
            <v>M2</v>
          </cell>
          <cell r="B3889" t="str">
            <v>A5C</v>
          </cell>
          <cell r="C3889" t="str">
            <v>P</v>
          </cell>
          <cell r="D3889" t="str">
            <v>23248</v>
          </cell>
          <cell r="E3889" t="str">
            <v>SW FLG</v>
          </cell>
          <cell r="F3889">
            <v>3</v>
          </cell>
          <cell r="G3889" t="str">
            <v>CB240108001H00</v>
          </cell>
          <cell r="H3889">
            <v>1.5</v>
          </cell>
          <cell r="I3889" t="str">
            <v>--</v>
          </cell>
          <cell r="J3889">
            <v>2</v>
          </cell>
          <cell r="K3889">
            <v>2</v>
          </cell>
        </row>
        <row r="3890">
          <cell r="A3890" t="str">
            <v>M2</v>
          </cell>
          <cell r="B3890" t="str">
            <v>A5C</v>
          </cell>
          <cell r="C3890" t="str">
            <v>P</v>
          </cell>
          <cell r="D3890" t="str">
            <v>23253</v>
          </cell>
          <cell r="E3890" t="str">
            <v>SW FLG</v>
          </cell>
          <cell r="F3890">
            <v>3</v>
          </cell>
          <cell r="G3890" t="str">
            <v>CB240108001H00</v>
          </cell>
          <cell r="H3890">
            <v>1.5</v>
          </cell>
          <cell r="I3890" t="str">
            <v>--</v>
          </cell>
          <cell r="J3890">
            <v>1</v>
          </cell>
          <cell r="K3890">
            <v>1</v>
          </cell>
        </row>
        <row r="3891">
          <cell r="A3891" t="str">
            <v>M2</v>
          </cell>
          <cell r="B3891" t="str">
            <v>A5C</v>
          </cell>
          <cell r="C3891" t="str">
            <v>P</v>
          </cell>
          <cell r="D3891" t="str">
            <v>23259</v>
          </cell>
          <cell r="E3891" t="str">
            <v>SW FLG</v>
          </cell>
          <cell r="F3891">
            <v>3</v>
          </cell>
          <cell r="G3891" t="str">
            <v>CB240108001H00</v>
          </cell>
          <cell r="H3891">
            <v>1.5</v>
          </cell>
          <cell r="I3891" t="str">
            <v>--</v>
          </cell>
          <cell r="J3891">
            <v>4</v>
          </cell>
          <cell r="K3891">
            <v>4</v>
          </cell>
        </row>
        <row r="3892">
          <cell r="A3892" t="str">
            <v>M2</v>
          </cell>
          <cell r="B3892" t="str">
            <v>A5C</v>
          </cell>
          <cell r="C3892" t="str">
            <v>P</v>
          </cell>
          <cell r="D3892" t="str">
            <v>24014</v>
          </cell>
          <cell r="E3892" t="str">
            <v>SW FLG</v>
          </cell>
          <cell r="F3892">
            <v>3</v>
          </cell>
          <cell r="G3892" t="str">
            <v>CB240108001H00</v>
          </cell>
          <cell r="H3892">
            <v>1.5</v>
          </cell>
          <cell r="I3892" t="str">
            <v>--</v>
          </cell>
          <cell r="J3892">
            <v>4</v>
          </cell>
          <cell r="K3892">
            <v>4</v>
          </cell>
        </row>
        <row r="3893">
          <cell r="A3893" t="str">
            <v>M2</v>
          </cell>
          <cell r="B3893" t="str">
            <v>A5C</v>
          </cell>
          <cell r="C3893" t="str">
            <v>P</v>
          </cell>
          <cell r="D3893" t="str">
            <v>24021</v>
          </cell>
          <cell r="E3893" t="str">
            <v>SW FLG</v>
          </cell>
          <cell r="F3893">
            <v>3</v>
          </cell>
          <cell r="G3893" t="str">
            <v>CB240108001H00</v>
          </cell>
          <cell r="H3893">
            <v>1.5</v>
          </cell>
          <cell r="I3893" t="str">
            <v>--</v>
          </cell>
          <cell r="J3893">
            <v>2</v>
          </cell>
          <cell r="K3893">
            <v>2</v>
          </cell>
        </row>
        <row r="3894">
          <cell r="A3894" t="str">
            <v>M2</v>
          </cell>
          <cell r="B3894" t="str">
            <v>A5C</v>
          </cell>
          <cell r="C3894" t="str">
            <v>P</v>
          </cell>
          <cell r="D3894" t="str">
            <v>99003</v>
          </cell>
          <cell r="E3894" t="str">
            <v>SW FLG</v>
          </cell>
          <cell r="F3894">
            <v>3</v>
          </cell>
          <cell r="G3894" t="str">
            <v>CB240108001H00</v>
          </cell>
          <cell r="H3894">
            <v>1.5</v>
          </cell>
          <cell r="I3894" t="str">
            <v>--</v>
          </cell>
          <cell r="J3894">
            <v>6</v>
          </cell>
          <cell r="K3894">
            <v>6</v>
          </cell>
        </row>
        <row r="3895">
          <cell r="A3895" t="str">
            <v>M2</v>
          </cell>
          <cell r="B3895" t="str">
            <v>A5C</v>
          </cell>
          <cell r="C3895" t="str">
            <v>P</v>
          </cell>
          <cell r="D3895" t="str">
            <v>99003</v>
          </cell>
          <cell r="E3895" t="str">
            <v>SW FLG</v>
          </cell>
          <cell r="F3895">
            <v>3</v>
          </cell>
          <cell r="G3895" t="str">
            <v>CB240108001H00</v>
          </cell>
          <cell r="H3895">
            <v>1.5</v>
          </cell>
          <cell r="I3895" t="str">
            <v>--</v>
          </cell>
          <cell r="J3895">
            <v>1</v>
          </cell>
          <cell r="K3895">
            <v>1</v>
          </cell>
        </row>
        <row r="3896">
          <cell r="A3896" t="str">
            <v>M2</v>
          </cell>
          <cell r="B3896" t="str">
            <v>A5C</v>
          </cell>
          <cell r="C3896" t="str">
            <v>P</v>
          </cell>
          <cell r="D3896" t="str">
            <v>23072</v>
          </cell>
          <cell r="E3896" t="str">
            <v>SW FLG</v>
          </cell>
          <cell r="F3896">
            <v>3</v>
          </cell>
          <cell r="G3896" t="str">
            <v>CB240108001H00</v>
          </cell>
          <cell r="H3896">
            <v>1.5</v>
          </cell>
          <cell r="I3896" t="str">
            <v>--</v>
          </cell>
          <cell r="J3896">
            <v>1</v>
          </cell>
          <cell r="K3896">
            <v>1</v>
          </cell>
        </row>
        <row r="3897">
          <cell r="A3897" t="str">
            <v>M2</v>
          </cell>
          <cell r="B3897" t="str">
            <v>A5C</v>
          </cell>
          <cell r="C3897" t="str">
            <v>P</v>
          </cell>
          <cell r="D3897" t="str">
            <v>23085</v>
          </cell>
          <cell r="E3897" t="str">
            <v>SW FLG</v>
          </cell>
          <cell r="F3897">
            <v>3</v>
          </cell>
          <cell r="G3897" t="str">
            <v>CB240108001H00</v>
          </cell>
          <cell r="H3897">
            <v>1.5</v>
          </cell>
          <cell r="I3897" t="str">
            <v>--</v>
          </cell>
          <cell r="J3897">
            <v>2</v>
          </cell>
          <cell r="K3897">
            <v>2</v>
          </cell>
        </row>
        <row r="3898">
          <cell r="A3898" t="str">
            <v>M2</v>
          </cell>
          <cell r="B3898" t="str">
            <v>A5C</v>
          </cell>
          <cell r="C3898" t="str">
            <v>P</v>
          </cell>
          <cell r="D3898" t="str">
            <v>23102</v>
          </cell>
          <cell r="E3898" t="str">
            <v>SW FLG</v>
          </cell>
          <cell r="F3898">
            <v>3</v>
          </cell>
          <cell r="G3898" t="str">
            <v>CB240108001H00</v>
          </cell>
          <cell r="H3898">
            <v>1.5</v>
          </cell>
          <cell r="I3898" t="str">
            <v>--</v>
          </cell>
          <cell r="J3898">
            <v>2</v>
          </cell>
          <cell r="K3898">
            <v>2</v>
          </cell>
        </row>
        <row r="3899">
          <cell r="A3899" t="str">
            <v>M2</v>
          </cell>
          <cell r="B3899" t="str">
            <v>A5C</v>
          </cell>
          <cell r="C3899" t="str">
            <v>P</v>
          </cell>
          <cell r="D3899" t="str">
            <v>23103</v>
          </cell>
          <cell r="E3899" t="str">
            <v>SW FLG</v>
          </cell>
          <cell r="F3899">
            <v>3</v>
          </cell>
          <cell r="G3899" t="str">
            <v>CB240108001H00</v>
          </cell>
          <cell r="H3899">
            <v>1.5</v>
          </cell>
          <cell r="I3899" t="str">
            <v>--</v>
          </cell>
          <cell r="J3899">
            <v>5</v>
          </cell>
          <cell r="K3899">
            <v>5</v>
          </cell>
        </row>
        <row r="3900">
          <cell r="A3900" t="str">
            <v>M2</v>
          </cell>
          <cell r="B3900" t="str">
            <v>A5C</v>
          </cell>
          <cell r="C3900" t="str">
            <v>P</v>
          </cell>
          <cell r="D3900" t="str">
            <v>23106</v>
          </cell>
          <cell r="E3900" t="str">
            <v>SW FLG</v>
          </cell>
          <cell r="F3900">
            <v>3</v>
          </cell>
          <cell r="G3900" t="str">
            <v>CB240108001H00</v>
          </cell>
          <cell r="H3900">
            <v>1.5</v>
          </cell>
          <cell r="I3900" t="str">
            <v>--</v>
          </cell>
          <cell r="J3900">
            <v>2</v>
          </cell>
          <cell r="K3900">
            <v>2</v>
          </cell>
        </row>
        <row r="3901">
          <cell r="A3901" t="str">
            <v>M2</v>
          </cell>
          <cell r="B3901" t="str">
            <v>A5C</v>
          </cell>
          <cell r="C3901" t="str">
            <v>P</v>
          </cell>
          <cell r="D3901" t="str">
            <v>23135</v>
          </cell>
          <cell r="E3901" t="str">
            <v>SW FLG</v>
          </cell>
          <cell r="F3901">
            <v>3</v>
          </cell>
          <cell r="G3901" t="str">
            <v>CB240108001H00</v>
          </cell>
          <cell r="H3901">
            <v>1.5</v>
          </cell>
          <cell r="I3901" t="str">
            <v>--</v>
          </cell>
          <cell r="J3901">
            <v>2</v>
          </cell>
          <cell r="K3901">
            <v>2</v>
          </cell>
        </row>
        <row r="3902">
          <cell r="A3902" t="str">
            <v>M2</v>
          </cell>
          <cell r="B3902" t="str">
            <v>A5C</v>
          </cell>
          <cell r="C3902" t="str">
            <v>P</v>
          </cell>
          <cell r="D3902" t="str">
            <v>23192</v>
          </cell>
          <cell r="E3902" t="str">
            <v>SW FLG</v>
          </cell>
          <cell r="F3902">
            <v>3</v>
          </cell>
          <cell r="G3902" t="str">
            <v>CB240208001H00</v>
          </cell>
          <cell r="H3902">
            <v>1.5</v>
          </cell>
          <cell r="I3902" t="str">
            <v>--</v>
          </cell>
          <cell r="J3902">
            <v>2</v>
          </cell>
          <cell r="K3902">
            <v>2</v>
          </cell>
        </row>
        <row r="3903">
          <cell r="A3903" t="str">
            <v>M2</v>
          </cell>
          <cell r="B3903" t="str">
            <v>A5C</v>
          </cell>
          <cell r="C3903" t="str">
            <v>P</v>
          </cell>
          <cell r="D3903" t="str">
            <v>23231</v>
          </cell>
          <cell r="E3903" t="str">
            <v>SW FLG</v>
          </cell>
          <cell r="F3903">
            <v>3</v>
          </cell>
          <cell r="G3903" t="str">
            <v>CB240108001H00</v>
          </cell>
          <cell r="H3903">
            <v>1.5</v>
          </cell>
          <cell r="I3903" t="str">
            <v>--</v>
          </cell>
          <cell r="J3903">
            <v>1</v>
          </cell>
          <cell r="K3903">
            <v>1</v>
          </cell>
        </row>
        <row r="3904">
          <cell r="A3904" t="str">
            <v>M2</v>
          </cell>
          <cell r="B3904" t="str">
            <v>A5C</v>
          </cell>
          <cell r="C3904" t="str">
            <v>TRIM</v>
          </cell>
          <cell r="D3904" t="str">
            <v>V-2301</v>
          </cell>
          <cell r="E3904" t="str">
            <v>SW FLG</v>
          </cell>
          <cell r="F3904">
            <v>3</v>
          </cell>
          <cell r="G3904" t="str">
            <v>CB240108001H00</v>
          </cell>
          <cell r="H3904">
            <v>1.5</v>
          </cell>
          <cell r="I3904" t="str">
            <v>--</v>
          </cell>
          <cell r="J3904">
            <v>2</v>
          </cell>
          <cell r="K3904">
            <v>2</v>
          </cell>
        </row>
        <row r="3905">
          <cell r="A3905" t="str">
            <v>M2</v>
          </cell>
          <cell r="B3905" t="str">
            <v>A5C</v>
          </cell>
          <cell r="C3905" t="str">
            <v>P</v>
          </cell>
          <cell r="D3905" t="str">
            <v>23055</v>
          </cell>
          <cell r="E3905" t="str">
            <v>SW FLG</v>
          </cell>
          <cell r="F3905">
            <v>3</v>
          </cell>
          <cell r="G3905" t="str">
            <v>CB240108001H00</v>
          </cell>
          <cell r="H3905">
            <v>1.5</v>
          </cell>
          <cell r="I3905" t="str">
            <v>--</v>
          </cell>
          <cell r="J3905">
            <v>4</v>
          </cell>
          <cell r="K3905">
            <v>4</v>
          </cell>
        </row>
        <row r="3906">
          <cell r="A3906" t="str">
            <v>M2</v>
          </cell>
          <cell r="B3906" t="str">
            <v>A5C</v>
          </cell>
          <cell r="C3906" t="str">
            <v>P</v>
          </cell>
          <cell r="D3906" t="str">
            <v>23008</v>
          </cell>
          <cell r="E3906" t="str">
            <v>SW FLG</v>
          </cell>
          <cell r="F3906">
            <v>3</v>
          </cell>
          <cell r="G3906" t="str">
            <v>CB240108001H00</v>
          </cell>
          <cell r="H3906">
            <v>1.5</v>
          </cell>
          <cell r="I3906" t="str">
            <v>--</v>
          </cell>
          <cell r="J3906">
            <v>4</v>
          </cell>
          <cell r="K3906">
            <v>4</v>
          </cell>
        </row>
        <row r="3907">
          <cell r="A3907" t="str">
            <v>M2</v>
          </cell>
          <cell r="B3907" t="str">
            <v>A5C</v>
          </cell>
          <cell r="C3907" t="str">
            <v>P</v>
          </cell>
          <cell r="D3907" t="str">
            <v>23027</v>
          </cell>
          <cell r="E3907" t="str">
            <v>SW FLG</v>
          </cell>
          <cell r="F3907">
            <v>3</v>
          </cell>
          <cell r="G3907" t="str">
            <v>CB240108001H00</v>
          </cell>
          <cell r="H3907">
            <v>1.5</v>
          </cell>
          <cell r="I3907" t="str">
            <v>--</v>
          </cell>
          <cell r="J3907">
            <v>1</v>
          </cell>
          <cell r="K3907">
            <v>1</v>
          </cell>
        </row>
        <row r="3908">
          <cell r="A3908" t="str">
            <v>M2</v>
          </cell>
          <cell r="B3908" t="str">
            <v>A5C</v>
          </cell>
          <cell r="C3908" t="str">
            <v>P</v>
          </cell>
          <cell r="D3908" t="str">
            <v>23030</v>
          </cell>
          <cell r="E3908" t="str">
            <v>SW FLG</v>
          </cell>
          <cell r="F3908">
            <v>3</v>
          </cell>
          <cell r="G3908" t="str">
            <v>CB240108001H00</v>
          </cell>
          <cell r="H3908">
            <v>1.5</v>
          </cell>
          <cell r="I3908" t="str">
            <v>--</v>
          </cell>
          <cell r="J3908">
            <v>2</v>
          </cell>
          <cell r="K3908">
            <v>2</v>
          </cell>
        </row>
        <row r="3909">
          <cell r="A3909" t="str">
            <v>M2</v>
          </cell>
          <cell r="B3909" t="str">
            <v>A5C</v>
          </cell>
          <cell r="C3909" t="str">
            <v>P</v>
          </cell>
          <cell r="D3909" t="str">
            <v>23036</v>
          </cell>
          <cell r="E3909" t="str">
            <v>SW FLG</v>
          </cell>
          <cell r="F3909">
            <v>3</v>
          </cell>
          <cell r="G3909" t="str">
            <v>CB240108001H00</v>
          </cell>
          <cell r="H3909">
            <v>1.5</v>
          </cell>
          <cell r="I3909" t="str">
            <v>--</v>
          </cell>
          <cell r="J3909">
            <v>2</v>
          </cell>
          <cell r="K3909">
            <v>2</v>
          </cell>
        </row>
        <row r="3910">
          <cell r="A3910" t="str">
            <v>M2</v>
          </cell>
          <cell r="B3910" t="str">
            <v>A5C</v>
          </cell>
          <cell r="C3910" t="str">
            <v>P</v>
          </cell>
          <cell r="D3910" t="str">
            <v>23033</v>
          </cell>
          <cell r="E3910" t="str">
            <v>SW FLG</v>
          </cell>
          <cell r="F3910">
            <v>3</v>
          </cell>
          <cell r="G3910" t="str">
            <v>CB240108001H00</v>
          </cell>
          <cell r="H3910">
            <v>1.5</v>
          </cell>
          <cell r="I3910" t="str">
            <v>--</v>
          </cell>
          <cell r="J3910">
            <v>1</v>
          </cell>
          <cell r="K3910">
            <v>1</v>
          </cell>
        </row>
        <row r="3911">
          <cell r="A3911" t="str">
            <v>M2</v>
          </cell>
          <cell r="B3911" t="str">
            <v>A5C</v>
          </cell>
          <cell r="C3911" t="str">
            <v>P</v>
          </cell>
          <cell r="D3911" t="str">
            <v>23039</v>
          </cell>
          <cell r="E3911" t="str">
            <v>SW FLG</v>
          </cell>
          <cell r="F3911">
            <v>3</v>
          </cell>
          <cell r="G3911" t="str">
            <v>CB240108001H00</v>
          </cell>
          <cell r="H3911">
            <v>1.5</v>
          </cell>
          <cell r="I3911" t="str">
            <v>--</v>
          </cell>
          <cell r="J3911">
            <v>1</v>
          </cell>
          <cell r="K3911">
            <v>1</v>
          </cell>
        </row>
        <row r="3912">
          <cell r="A3912" t="str">
            <v>M2</v>
          </cell>
          <cell r="B3912" t="str">
            <v>A5C</v>
          </cell>
          <cell r="C3912" t="str">
            <v>P</v>
          </cell>
          <cell r="D3912" t="str">
            <v>23044</v>
          </cell>
          <cell r="E3912" t="str">
            <v>SW FLG</v>
          </cell>
          <cell r="F3912">
            <v>3</v>
          </cell>
          <cell r="G3912" t="str">
            <v>CB240108001H00</v>
          </cell>
          <cell r="H3912">
            <v>1.5</v>
          </cell>
          <cell r="I3912" t="str">
            <v>--</v>
          </cell>
          <cell r="J3912">
            <v>4</v>
          </cell>
          <cell r="K3912">
            <v>4</v>
          </cell>
        </row>
        <row r="3913">
          <cell r="A3913" t="str">
            <v>M2</v>
          </cell>
          <cell r="B3913" t="str">
            <v>A5C</v>
          </cell>
          <cell r="C3913" t="str">
            <v>P</v>
          </cell>
          <cell r="D3913" t="str">
            <v>23054</v>
          </cell>
          <cell r="E3913" t="str">
            <v>SW FLG</v>
          </cell>
          <cell r="F3913">
            <v>3</v>
          </cell>
          <cell r="G3913" t="str">
            <v>CB240208001H00</v>
          </cell>
          <cell r="H3913">
            <v>1.5</v>
          </cell>
          <cell r="I3913" t="str">
            <v>--</v>
          </cell>
          <cell r="J3913">
            <v>2</v>
          </cell>
          <cell r="K3913">
            <v>2</v>
          </cell>
        </row>
        <row r="3914">
          <cell r="A3914" t="str">
            <v>M2</v>
          </cell>
          <cell r="B3914" t="str">
            <v>A5C</v>
          </cell>
          <cell r="C3914" t="str">
            <v>P</v>
          </cell>
          <cell r="D3914" t="str">
            <v>23076</v>
          </cell>
          <cell r="E3914" t="str">
            <v>SW FLG</v>
          </cell>
          <cell r="F3914">
            <v>3</v>
          </cell>
          <cell r="G3914" t="str">
            <v>CB240108001H00</v>
          </cell>
          <cell r="H3914">
            <v>1.5</v>
          </cell>
          <cell r="I3914" t="str">
            <v>--</v>
          </cell>
          <cell r="J3914">
            <v>2</v>
          </cell>
          <cell r="K3914">
            <v>2</v>
          </cell>
        </row>
        <row r="3915">
          <cell r="A3915" t="str">
            <v>M2</v>
          </cell>
          <cell r="B3915" t="str">
            <v>A5C</v>
          </cell>
          <cell r="C3915" t="str">
            <v>P</v>
          </cell>
          <cell r="D3915" t="str">
            <v>23077</v>
          </cell>
          <cell r="E3915" t="str">
            <v>SW FLG</v>
          </cell>
          <cell r="F3915">
            <v>3</v>
          </cell>
          <cell r="G3915" t="str">
            <v>CB240108001H00</v>
          </cell>
          <cell r="H3915">
            <v>1.5</v>
          </cell>
          <cell r="I3915" t="str">
            <v>--</v>
          </cell>
          <cell r="J3915">
            <v>5</v>
          </cell>
          <cell r="K3915">
            <v>5</v>
          </cell>
        </row>
        <row r="3916">
          <cell r="A3916" t="str">
            <v>M2</v>
          </cell>
          <cell r="B3916" t="str">
            <v>A5C</v>
          </cell>
          <cell r="C3916" t="str">
            <v>P</v>
          </cell>
          <cell r="D3916" t="str">
            <v>23170</v>
          </cell>
          <cell r="E3916" t="str">
            <v>SW FLG</v>
          </cell>
          <cell r="F3916">
            <v>3</v>
          </cell>
          <cell r="G3916" t="str">
            <v>CB240108001H00</v>
          </cell>
          <cell r="H3916">
            <v>1.5</v>
          </cell>
          <cell r="I3916" t="str">
            <v>--</v>
          </cell>
          <cell r="J3916">
            <v>4</v>
          </cell>
          <cell r="K3916">
            <v>4</v>
          </cell>
        </row>
        <row r="3917">
          <cell r="A3917" t="str">
            <v>M2</v>
          </cell>
          <cell r="B3917" t="str">
            <v>A5C</v>
          </cell>
          <cell r="C3917" t="str">
            <v>P</v>
          </cell>
          <cell r="D3917" t="str">
            <v>23216</v>
          </cell>
          <cell r="E3917" t="str">
            <v>SW FLG</v>
          </cell>
          <cell r="F3917">
            <v>3</v>
          </cell>
          <cell r="G3917" t="str">
            <v>CB240108001H00</v>
          </cell>
          <cell r="H3917">
            <v>1.5</v>
          </cell>
          <cell r="I3917" t="str">
            <v>--</v>
          </cell>
          <cell r="J3917">
            <v>2</v>
          </cell>
          <cell r="K3917">
            <v>2</v>
          </cell>
        </row>
        <row r="3918">
          <cell r="A3918" t="str">
            <v>M2</v>
          </cell>
          <cell r="B3918" t="str">
            <v>A5C</v>
          </cell>
          <cell r="C3918" t="str">
            <v>P</v>
          </cell>
          <cell r="D3918" t="str">
            <v>23220</v>
          </cell>
          <cell r="E3918" t="str">
            <v>SW FLG</v>
          </cell>
          <cell r="F3918">
            <v>3</v>
          </cell>
          <cell r="G3918" t="str">
            <v>CB240108001H00</v>
          </cell>
          <cell r="H3918">
            <v>1.5</v>
          </cell>
          <cell r="I3918" t="str">
            <v>--</v>
          </cell>
          <cell r="J3918">
            <v>1</v>
          </cell>
          <cell r="K3918">
            <v>1</v>
          </cell>
        </row>
        <row r="3919">
          <cell r="A3919" t="str">
            <v>M2</v>
          </cell>
          <cell r="B3919" t="str">
            <v>A5C</v>
          </cell>
          <cell r="C3919" t="str">
            <v>P</v>
          </cell>
          <cell r="D3919" t="str">
            <v>23224</v>
          </cell>
          <cell r="E3919" t="str">
            <v>SW FLG</v>
          </cell>
          <cell r="F3919">
            <v>3</v>
          </cell>
          <cell r="G3919" t="str">
            <v>CB240108001H00</v>
          </cell>
          <cell r="H3919">
            <v>1.5</v>
          </cell>
          <cell r="I3919" t="str">
            <v>--</v>
          </cell>
          <cell r="J3919">
            <v>2</v>
          </cell>
          <cell r="K3919">
            <v>2</v>
          </cell>
        </row>
        <row r="3920">
          <cell r="A3920" t="str">
            <v>M2</v>
          </cell>
          <cell r="B3920" t="str">
            <v>A5C</v>
          </cell>
          <cell r="C3920" t="str">
            <v>TRIM</v>
          </cell>
          <cell r="D3920" t="str">
            <v>C-2303</v>
          </cell>
          <cell r="E3920" t="str">
            <v>SW FLG</v>
          </cell>
          <cell r="F3920">
            <v>3</v>
          </cell>
          <cell r="G3920" t="str">
            <v>CB240108001H00</v>
          </cell>
          <cell r="H3920">
            <v>1.5</v>
          </cell>
          <cell r="I3920" t="str">
            <v>--</v>
          </cell>
          <cell r="J3920">
            <v>2</v>
          </cell>
          <cell r="K3920">
            <v>2</v>
          </cell>
        </row>
        <row r="3921">
          <cell r="A3921" t="str">
            <v>M2</v>
          </cell>
          <cell r="B3921" t="str">
            <v>A5C</v>
          </cell>
          <cell r="C3921" t="str">
            <v>TRIM</v>
          </cell>
          <cell r="D3921" t="str">
            <v>C-2305</v>
          </cell>
          <cell r="E3921" t="str">
            <v>SW FLG</v>
          </cell>
          <cell r="F3921">
            <v>3</v>
          </cell>
          <cell r="G3921" t="str">
            <v>CB240108001H00</v>
          </cell>
          <cell r="H3921">
            <v>1.5</v>
          </cell>
          <cell r="I3921" t="str">
            <v>--</v>
          </cell>
          <cell r="J3921">
            <v>2</v>
          </cell>
          <cell r="K3921">
            <v>2</v>
          </cell>
        </row>
        <row r="3922">
          <cell r="A3922" t="str">
            <v>M2</v>
          </cell>
          <cell r="B3922" t="str">
            <v>A5C</v>
          </cell>
          <cell r="C3922" t="str">
            <v>TRIM</v>
          </cell>
          <cell r="D3922" t="str">
            <v>V-2302</v>
          </cell>
          <cell r="E3922" t="str">
            <v>SW FLG</v>
          </cell>
          <cell r="F3922">
            <v>3</v>
          </cell>
          <cell r="G3922" t="str">
            <v>CB240108001H00</v>
          </cell>
          <cell r="H3922">
            <v>1.5</v>
          </cell>
          <cell r="I3922" t="str">
            <v>--</v>
          </cell>
          <cell r="J3922">
            <v>2</v>
          </cell>
          <cell r="K3922">
            <v>2</v>
          </cell>
        </row>
        <row r="3923">
          <cell r="A3923" t="str">
            <v>M2</v>
          </cell>
          <cell r="B3923" t="str">
            <v>A5C</v>
          </cell>
          <cell r="C3923" t="str">
            <v>TRIM</v>
          </cell>
          <cell r="D3923" t="str">
            <v>C-2306</v>
          </cell>
          <cell r="E3923" t="str">
            <v>SW FLG</v>
          </cell>
          <cell r="F3923">
            <v>3</v>
          </cell>
          <cell r="G3923" t="str">
            <v>CB240108001H00</v>
          </cell>
          <cell r="H3923">
            <v>1.5</v>
          </cell>
          <cell r="I3923" t="str">
            <v>--</v>
          </cell>
          <cell r="J3923">
            <v>2</v>
          </cell>
          <cell r="K3923">
            <v>2</v>
          </cell>
        </row>
        <row r="3924">
          <cell r="A3924" t="str">
            <v>M2</v>
          </cell>
          <cell r="B3924" t="str">
            <v>A5C</v>
          </cell>
          <cell r="C3924" t="str">
            <v>TRIM</v>
          </cell>
          <cell r="D3924" t="str">
            <v>V-2304</v>
          </cell>
          <cell r="E3924" t="str">
            <v>SW FLG</v>
          </cell>
          <cell r="F3924">
            <v>3</v>
          </cell>
          <cell r="G3924" t="str">
            <v>CB240108001H00</v>
          </cell>
          <cell r="H3924">
            <v>1.5</v>
          </cell>
          <cell r="I3924" t="str">
            <v>--</v>
          </cell>
          <cell r="J3924">
            <v>2</v>
          </cell>
          <cell r="K3924">
            <v>2</v>
          </cell>
        </row>
        <row r="3925">
          <cell r="A3925" t="str">
            <v>M2</v>
          </cell>
          <cell r="B3925" t="str">
            <v>A5C</v>
          </cell>
          <cell r="C3925" t="str">
            <v>TRIM</v>
          </cell>
          <cell r="D3925" t="str">
            <v>V-2306</v>
          </cell>
          <cell r="E3925" t="str">
            <v>SW FLG</v>
          </cell>
          <cell r="F3925">
            <v>3</v>
          </cell>
          <cell r="G3925" t="str">
            <v>CB240108001H00</v>
          </cell>
          <cell r="H3925">
            <v>1.5</v>
          </cell>
          <cell r="I3925" t="str">
            <v>--</v>
          </cell>
          <cell r="J3925">
            <v>2</v>
          </cell>
          <cell r="K3925">
            <v>2</v>
          </cell>
        </row>
        <row r="3926">
          <cell r="A3926" t="str">
            <v>M2</v>
          </cell>
          <cell r="B3926" t="str">
            <v>A5C</v>
          </cell>
          <cell r="C3926" t="str">
            <v>TRIM</v>
          </cell>
          <cell r="D3926" t="str">
            <v>V-2308</v>
          </cell>
          <cell r="E3926" t="str">
            <v>SW FLG</v>
          </cell>
          <cell r="F3926">
            <v>3</v>
          </cell>
          <cell r="G3926" t="str">
            <v>CB240108001H00</v>
          </cell>
          <cell r="H3926">
            <v>1.5</v>
          </cell>
          <cell r="I3926" t="str">
            <v>--</v>
          </cell>
          <cell r="J3926">
            <v>2</v>
          </cell>
          <cell r="K3926">
            <v>2</v>
          </cell>
        </row>
        <row r="3927">
          <cell r="A3927" t="str">
            <v>M2</v>
          </cell>
          <cell r="B3927" t="str">
            <v>A5C</v>
          </cell>
          <cell r="C3927" t="str">
            <v>P</v>
          </cell>
          <cell r="D3927" t="str">
            <v>23019</v>
          </cell>
          <cell r="E3927" t="str">
            <v>SW FLG</v>
          </cell>
          <cell r="F3927">
            <v>3</v>
          </cell>
          <cell r="G3927" t="str">
            <v>CB240108001H00</v>
          </cell>
          <cell r="H3927">
            <v>1.5</v>
          </cell>
          <cell r="I3927" t="str">
            <v>--</v>
          </cell>
          <cell r="J3927">
            <v>2</v>
          </cell>
          <cell r="K3927">
            <v>2</v>
          </cell>
        </row>
        <row r="3928">
          <cell r="A3928" t="str">
            <v>M2</v>
          </cell>
          <cell r="B3928" t="str">
            <v>A5C</v>
          </cell>
          <cell r="C3928" t="str">
            <v>P</v>
          </cell>
          <cell r="D3928" t="str">
            <v>23019</v>
          </cell>
          <cell r="E3928" t="str">
            <v>SW FLG</v>
          </cell>
          <cell r="F3928">
            <v>3</v>
          </cell>
          <cell r="G3928" t="str">
            <v>CB240108001H00</v>
          </cell>
          <cell r="H3928">
            <v>1.5</v>
          </cell>
          <cell r="I3928" t="str">
            <v>--</v>
          </cell>
          <cell r="J3928">
            <v>1</v>
          </cell>
          <cell r="K3928">
            <v>1</v>
          </cell>
        </row>
        <row r="3929">
          <cell r="A3929" t="str">
            <v>M2</v>
          </cell>
          <cell r="B3929" t="str">
            <v>A5C</v>
          </cell>
          <cell r="C3929" t="str">
            <v>P</v>
          </cell>
          <cell r="D3929" t="str">
            <v>23020</v>
          </cell>
          <cell r="E3929" t="str">
            <v>SW FLG</v>
          </cell>
          <cell r="F3929">
            <v>3</v>
          </cell>
          <cell r="G3929" t="str">
            <v>CB240208001H00</v>
          </cell>
          <cell r="H3929">
            <v>1.5</v>
          </cell>
          <cell r="I3929" t="str">
            <v>--</v>
          </cell>
          <cell r="J3929">
            <v>2</v>
          </cell>
          <cell r="K3929">
            <v>2</v>
          </cell>
        </row>
        <row r="3930">
          <cell r="A3930" t="str">
            <v>M2</v>
          </cell>
          <cell r="B3930" t="str">
            <v>A5C</v>
          </cell>
          <cell r="C3930" t="str">
            <v>P</v>
          </cell>
          <cell r="D3930" t="str">
            <v>23053</v>
          </cell>
          <cell r="E3930" t="str">
            <v>SW FLG</v>
          </cell>
          <cell r="F3930">
            <v>3</v>
          </cell>
          <cell r="G3930" t="str">
            <v>CB240108001H00</v>
          </cell>
          <cell r="H3930">
            <v>1.5</v>
          </cell>
          <cell r="I3930" t="str">
            <v>--</v>
          </cell>
          <cell r="J3930">
            <v>2</v>
          </cell>
          <cell r="K3930">
            <v>2</v>
          </cell>
        </row>
        <row r="3931">
          <cell r="A3931" t="str">
            <v>M2</v>
          </cell>
          <cell r="B3931" t="str">
            <v>A5C</v>
          </cell>
          <cell r="C3931" t="str">
            <v>P</v>
          </cell>
          <cell r="D3931" t="str">
            <v>23243</v>
          </cell>
          <cell r="E3931" t="str">
            <v>SW FLG</v>
          </cell>
          <cell r="F3931">
            <v>3</v>
          </cell>
          <cell r="G3931" t="str">
            <v>CB240108001H00</v>
          </cell>
          <cell r="H3931">
            <v>1.5</v>
          </cell>
          <cell r="I3931" t="str">
            <v>--</v>
          </cell>
          <cell r="J3931">
            <v>1</v>
          </cell>
          <cell r="K3931">
            <v>1</v>
          </cell>
        </row>
        <row r="3932">
          <cell r="A3932" t="str">
            <v>M2</v>
          </cell>
          <cell r="B3932" t="str">
            <v>A5C</v>
          </cell>
          <cell r="C3932" t="str">
            <v>TRIM</v>
          </cell>
          <cell r="D3932" t="str">
            <v>C-2302</v>
          </cell>
          <cell r="E3932" t="str">
            <v>SW FLG</v>
          </cell>
          <cell r="F3932">
            <v>3</v>
          </cell>
          <cell r="G3932" t="str">
            <v>CB240108001H00</v>
          </cell>
          <cell r="H3932">
            <v>1.5</v>
          </cell>
          <cell r="I3932" t="str">
            <v>--</v>
          </cell>
          <cell r="J3932">
            <v>2</v>
          </cell>
          <cell r="K3932">
            <v>2</v>
          </cell>
        </row>
        <row r="3933">
          <cell r="A3933" t="str">
            <v>M2</v>
          </cell>
          <cell r="B3933" t="str">
            <v>A5C</v>
          </cell>
          <cell r="C3933" t="str">
            <v>TRIM</v>
          </cell>
          <cell r="D3933" t="str">
            <v>C-2304</v>
          </cell>
          <cell r="E3933" t="str">
            <v>SW FLG</v>
          </cell>
          <cell r="F3933">
            <v>3</v>
          </cell>
          <cell r="G3933" t="str">
            <v>CB240108001H00</v>
          </cell>
          <cell r="H3933">
            <v>1.5</v>
          </cell>
          <cell r="I3933" t="str">
            <v>--</v>
          </cell>
          <cell r="J3933">
            <v>2</v>
          </cell>
          <cell r="K3933">
            <v>2</v>
          </cell>
        </row>
        <row r="3934">
          <cell r="A3934" t="str">
            <v>M2</v>
          </cell>
          <cell r="B3934" t="str">
            <v>A5C</v>
          </cell>
          <cell r="C3934" t="str">
            <v>TRIM</v>
          </cell>
          <cell r="D3934" t="str">
            <v>V-2310</v>
          </cell>
          <cell r="E3934" t="str">
            <v>SW FLG</v>
          </cell>
          <cell r="F3934">
            <v>3</v>
          </cell>
          <cell r="G3934" t="str">
            <v>CB240108001H00</v>
          </cell>
          <cell r="H3934">
            <v>1.5</v>
          </cell>
          <cell r="I3934" t="str">
            <v>--</v>
          </cell>
          <cell r="J3934">
            <v>2</v>
          </cell>
          <cell r="K3934">
            <v>2</v>
          </cell>
        </row>
        <row r="3935">
          <cell r="A3935" t="str">
            <v>M2</v>
          </cell>
          <cell r="B3935" t="str">
            <v>A5C</v>
          </cell>
          <cell r="C3935" t="str">
            <v>TRIM</v>
          </cell>
          <cell r="D3935" t="str">
            <v>V-2313</v>
          </cell>
          <cell r="E3935" t="str">
            <v>SW FLG</v>
          </cell>
          <cell r="F3935">
            <v>3</v>
          </cell>
          <cell r="G3935" t="str">
            <v>CB240108001H00</v>
          </cell>
          <cell r="H3935">
            <v>1.5</v>
          </cell>
          <cell r="I3935" t="str">
            <v>--</v>
          </cell>
          <cell r="J3935">
            <v>2</v>
          </cell>
          <cell r="K3935">
            <v>2</v>
          </cell>
        </row>
        <row r="3936">
          <cell r="A3936" t="str">
            <v>M2</v>
          </cell>
          <cell r="B3936" t="str">
            <v>A5C</v>
          </cell>
          <cell r="C3936" t="str">
            <v>P</v>
          </cell>
          <cell r="D3936" t="str">
            <v>23009</v>
          </cell>
          <cell r="E3936" t="str">
            <v>SW FLG</v>
          </cell>
          <cell r="F3936">
            <v>3</v>
          </cell>
          <cell r="G3936" t="str">
            <v>CB240108001H00</v>
          </cell>
          <cell r="H3936">
            <v>1.5</v>
          </cell>
          <cell r="I3936" t="str">
            <v>--</v>
          </cell>
          <cell r="J3936">
            <v>4</v>
          </cell>
          <cell r="K3936">
            <v>4</v>
          </cell>
        </row>
        <row r="3937">
          <cell r="A3937" t="str">
            <v>M2</v>
          </cell>
          <cell r="B3937" t="str">
            <v>A5C</v>
          </cell>
          <cell r="C3937" t="str">
            <v>P</v>
          </cell>
          <cell r="D3937" t="str">
            <v>24001</v>
          </cell>
          <cell r="E3937" t="str">
            <v>SW FLG</v>
          </cell>
          <cell r="F3937">
            <v>3</v>
          </cell>
          <cell r="G3937" t="str">
            <v>CB240108001H00</v>
          </cell>
          <cell r="H3937">
            <v>1.5</v>
          </cell>
          <cell r="I3937" t="str">
            <v>--</v>
          </cell>
          <cell r="J3937">
            <v>5</v>
          </cell>
          <cell r="K3937">
            <v>5</v>
          </cell>
        </row>
        <row r="3938">
          <cell r="A3938" t="str">
            <v>M2</v>
          </cell>
          <cell r="B3938" t="str">
            <v>A5C</v>
          </cell>
          <cell r="C3938" t="str">
            <v>P</v>
          </cell>
          <cell r="D3938" t="str">
            <v>24012</v>
          </cell>
          <cell r="E3938" t="str">
            <v>SW FLG</v>
          </cell>
          <cell r="F3938">
            <v>3</v>
          </cell>
          <cell r="G3938" t="str">
            <v>CB240108001H00</v>
          </cell>
          <cell r="H3938">
            <v>1.5</v>
          </cell>
          <cell r="I3938" t="str">
            <v>--</v>
          </cell>
          <cell r="J3938">
            <v>2</v>
          </cell>
          <cell r="K3938">
            <v>2</v>
          </cell>
        </row>
        <row r="3939">
          <cell r="A3939" t="str">
            <v>M2</v>
          </cell>
          <cell r="B3939" t="str">
            <v>A5C</v>
          </cell>
          <cell r="C3939" t="str">
            <v>P</v>
          </cell>
          <cell r="D3939" t="str">
            <v>24003</v>
          </cell>
          <cell r="E3939" t="str">
            <v>SW FLG</v>
          </cell>
          <cell r="F3939">
            <v>3</v>
          </cell>
          <cell r="G3939" t="str">
            <v>CB240108001H00</v>
          </cell>
          <cell r="H3939">
            <v>1.5</v>
          </cell>
          <cell r="I3939" t="str">
            <v>--</v>
          </cell>
          <cell r="J3939">
            <v>2</v>
          </cell>
          <cell r="K3939">
            <v>2</v>
          </cell>
        </row>
        <row r="3940">
          <cell r="A3940" t="str">
            <v>M2</v>
          </cell>
          <cell r="B3940" t="str">
            <v>A5C</v>
          </cell>
          <cell r="C3940" t="str">
            <v>P</v>
          </cell>
          <cell r="D3940" t="str">
            <v>24027</v>
          </cell>
          <cell r="E3940" t="str">
            <v>SW FLG</v>
          </cell>
          <cell r="F3940">
            <v>3</v>
          </cell>
          <cell r="G3940" t="str">
            <v>CB240108001H00</v>
          </cell>
          <cell r="H3940">
            <v>1.5</v>
          </cell>
          <cell r="I3940" t="str">
            <v>--</v>
          </cell>
          <cell r="J3940">
            <v>2</v>
          </cell>
          <cell r="K3940">
            <v>2</v>
          </cell>
        </row>
        <row r="3941">
          <cell r="A3941" t="str">
            <v>M2</v>
          </cell>
          <cell r="B3941" t="str">
            <v>A5C</v>
          </cell>
          <cell r="C3941" t="str">
            <v>TRIM</v>
          </cell>
          <cell r="D3941" t="str">
            <v>C-2301</v>
          </cell>
          <cell r="E3941" t="str">
            <v>SW FLG</v>
          </cell>
          <cell r="F3941">
            <v>3</v>
          </cell>
          <cell r="G3941" t="str">
            <v>CB240108001H00</v>
          </cell>
          <cell r="H3941">
            <v>1.5</v>
          </cell>
          <cell r="I3941" t="str">
            <v>--</v>
          </cell>
          <cell r="J3941">
            <v>2</v>
          </cell>
          <cell r="K3941">
            <v>2</v>
          </cell>
        </row>
        <row r="3942">
          <cell r="A3942" t="str">
            <v>M2</v>
          </cell>
          <cell r="B3942" t="str">
            <v>B2C</v>
          </cell>
          <cell r="C3942" t="str">
            <v>SH</v>
          </cell>
          <cell r="D3942" t="str">
            <v>23612</v>
          </cell>
          <cell r="E3942" t="str">
            <v>WN FLG</v>
          </cell>
          <cell r="F3942">
            <v>3</v>
          </cell>
          <cell r="G3942" t="str">
            <v>CB200208000200</v>
          </cell>
          <cell r="H3942">
            <v>2</v>
          </cell>
          <cell r="I3942" t="str">
            <v>--</v>
          </cell>
          <cell r="J3942">
            <v>4</v>
          </cell>
          <cell r="K3942">
            <v>5</v>
          </cell>
        </row>
        <row r="3943">
          <cell r="A3943" t="str">
            <v>M2</v>
          </cell>
          <cell r="B3943" t="str">
            <v>A5C</v>
          </cell>
          <cell r="C3943" t="str">
            <v>P</v>
          </cell>
          <cell r="D3943" t="str">
            <v>23001</v>
          </cell>
          <cell r="E3943" t="str">
            <v>WN FLG</v>
          </cell>
          <cell r="F3943">
            <v>3</v>
          </cell>
          <cell r="G3943" t="str">
            <v>CB200108000200</v>
          </cell>
          <cell r="H3943">
            <v>2</v>
          </cell>
          <cell r="I3943" t="str">
            <v>--</v>
          </cell>
          <cell r="J3943">
            <v>5</v>
          </cell>
          <cell r="K3943">
            <v>6</v>
          </cell>
        </row>
        <row r="3944">
          <cell r="A3944" t="str">
            <v>M2</v>
          </cell>
          <cell r="B3944" t="str">
            <v>A5C</v>
          </cell>
          <cell r="C3944" t="str">
            <v>P</v>
          </cell>
          <cell r="D3944" t="str">
            <v>23022</v>
          </cell>
          <cell r="E3944" t="str">
            <v>WN FLG</v>
          </cell>
          <cell r="F3944">
            <v>3</v>
          </cell>
          <cell r="G3944" t="str">
            <v>CB200108000200</v>
          </cell>
          <cell r="H3944">
            <v>2</v>
          </cell>
          <cell r="I3944" t="str">
            <v>--</v>
          </cell>
          <cell r="J3944">
            <v>1</v>
          </cell>
          <cell r="K3944">
            <v>2</v>
          </cell>
        </row>
        <row r="3945">
          <cell r="A3945" t="str">
            <v>M2</v>
          </cell>
          <cell r="B3945" t="str">
            <v>A5C</v>
          </cell>
          <cell r="C3945" t="str">
            <v>P</v>
          </cell>
          <cell r="D3945" t="str">
            <v>23047</v>
          </cell>
          <cell r="E3945" t="str">
            <v>WN FLG</v>
          </cell>
          <cell r="F3945">
            <v>3</v>
          </cell>
          <cell r="G3945" t="str">
            <v>CB200108000200</v>
          </cell>
          <cell r="H3945">
            <v>2</v>
          </cell>
          <cell r="I3945" t="str">
            <v>--</v>
          </cell>
          <cell r="J3945">
            <v>2</v>
          </cell>
          <cell r="K3945">
            <v>3</v>
          </cell>
        </row>
        <row r="3946">
          <cell r="A3946" t="str">
            <v>M2</v>
          </cell>
          <cell r="B3946" t="str">
            <v>A5C</v>
          </cell>
          <cell r="C3946" t="str">
            <v>P</v>
          </cell>
          <cell r="D3946" t="str">
            <v>23046</v>
          </cell>
          <cell r="E3946" t="str">
            <v>WN FLG</v>
          </cell>
          <cell r="F3946">
            <v>3</v>
          </cell>
          <cell r="G3946" t="str">
            <v>CB200108000200</v>
          </cell>
          <cell r="H3946">
            <v>2</v>
          </cell>
          <cell r="I3946" t="str">
            <v>--</v>
          </cell>
          <cell r="J3946">
            <v>1</v>
          </cell>
          <cell r="K3946">
            <v>2</v>
          </cell>
        </row>
        <row r="3947">
          <cell r="A3947" t="str">
            <v>M2</v>
          </cell>
          <cell r="B3947" t="str">
            <v>A5C</v>
          </cell>
          <cell r="C3947" t="str">
            <v>P</v>
          </cell>
          <cell r="D3947" t="str">
            <v>23057</v>
          </cell>
          <cell r="E3947" t="str">
            <v>WN FLG</v>
          </cell>
          <cell r="F3947">
            <v>3</v>
          </cell>
          <cell r="G3947" t="str">
            <v>CB200108000200</v>
          </cell>
          <cell r="H3947">
            <v>2</v>
          </cell>
          <cell r="I3947" t="str">
            <v>--</v>
          </cell>
          <cell r="J3947">
            <v>1</v>
          </cell>
          <cell r="K3947">
            <v>2</v>
          </cell>
        </row>
        <row r="3948">
          <cell r="A3948" t="str">
            <v>M2</v>
          </cell>
          <cell r="B3948" t="str">
            <v>A5C</v>
          </cell>
          <cell r="C3948" t="str">
            <v>P</v>
          </cell>
          <cell r="D3948" t="str">
            <v>23073</v>
          </cell>
          <cell r="E3948" t="str">
            <v>WN FLG</v>
          </cell>
          <cell r="F3948">
            <v>3</v>
          </cell>
          <cell r="G3948" t="str">
            <v>CB200108000200</v>
          </cell>
          <cell r="H3948">
            <v>2</v>
          </cell>
          <cell r="I3948" t="str">
            <v>--</v>
          </cell>
          <cell r="J3948">
            <v>4</v>
          </cell>
          <cell r="K3948">
            <v>5</v>
          </cell>
        </row>
        <row r="3949">
          <cell r="A3949" t="str">
            <v>M2</v>
          </cell>
          <cell r="B3949" t="str">
            <v>A5C</v>
          </cell>
          <cell r="C3949" t="str">
            <v>P</v>
          </cell>
          <cell r="D3949" t="str">
            <v>23085</v>
          </cell>
          <cell r="E3949" t="str">
            <v>WN FLG</v>
          </cell>
          <cell r="F3949">
            <v>3</v>
          </cell>
          <cell r="G3949" t="str">
            <v>CB200108000200</v>
          </cell>
          <cell r="H3949">
            <v>2</v>
          </cell>
          <cell r="I3949" t="str">
            <v>--</v>
          </cell>
          <cell r="J3949">
            <v>9</v>
          </cell>
          <cell r="K3949">
            <v>10</v>
          </cell>
        </row>
        <row r="3950">
          <cell r="A3950" t="str">
            <v>M2</v>
          </cell>
          <cell r="B3950" t="str">
            <v>A5C</v>
          </cell>
          <cell r="C3950" t="str">
            <v>P</v>
          </cell>
          <cell r="D3950" t="str">
            <v>23082</v>
          </cell>
          <cell r="E3950" t="str">
            <v>WN FLG</v>
          </cell>
          <cell r="F3950">
            <v>3</v>
          </cell>
          <cell r="G3950" t="str">
            <v>CB200108000200</v>
          </cell>
          <cell r="H3950">
            <v>2</v>
          </cell>
          <cell r="I3950" t="str">
            <v>--</v>
          </cell>
          <cell r="J3950">
            <v>2</v>
          </cell>
          <cell r="K3950">
            <v>3</v>
          </cell>
        </row>
        <row r="3951">
          <cell r="A3951" t="str">
            <v>M2</v>
          </cell>
          <cell r="B3951" t="str">
            <v>A5C</v>
          </cell>
          <cell r="C3951" t="str">
            <v>P</v>
          </cell>
          <cell r="D3951" t="str">
            <v>23085</v>
          </cell>
          <cell r="E3951" t="str">
            <v>WN FLG</v>
          </cell>
          <cell r="F3951">
            <v>3</v>
          </cell>
          <cell r="G3951" t="str">
            <v>CB200108000200</v>
          </cell>
          <cell r="H3951">
            <v>2</v>
          </cell>
          <cell r="I3951" t="str">
            <v>--</v>
          </cell>
          <cell r="J3951">
            <v>2</v>
          </cell>
          <cell r="K3951">
            <v>3</v>
          </cell>
        </row>
        <row r="3952">
          <cell r="A3952" t="str">
            <v>M2</v>
          </cell>
          <cell r="B3952" t="str">
            <v>A5C</v>
          </cell>
          <cell r="C3952" t="str">
            <v>P</v>
          </cell>
          <cell r="D3952" t="str">
            <v>23096</v>
          </cell>
          <cell r="E3952" t="str">
            <v>WN FLG</v>
          </cell>
          <cell r="F3952">
            <v>3</v>
          </cell>
          <cell r="G3952" t="str">
            <v>CB200208000200</v>
          </cell>
          <cell r="H3952">
            <v>2</v>
          </cell>
          <cell r="I3952" t="str">
            <v>--</v>
          </cell>
          <cell r="J3952">
            <v>2</v>
          </cell>
          <cell r="K3952">
            <v>3</v>
          </cell>
        </row>
        <row r="3953">
          <cell r="A3953" t="str">
            <v>M2</v>
          </cell>
          <cell r="B3953" t="str">
            <v>A5C</v>
          </cell>
          <cell r="C3953" t="str">
            <v>P</v>
          </cell>
          <cell r="D3953" t="str">
            <v>23102</v>
          </cell>
          <cell r="E3953" t="str">
            <v>WN FLG</v>
          </cell>
          <cell r="F3953">
            <v>3</v>
          </cell>
          <cell r="G3953" t="str">
            <v>CB200108000200</v>
          </cell>
          <cell r="H3953">
            <v>2</v>
          </cell>
          <cell r="I3953" t="str">
            <v>--</v>
          </cell>
          <cell r="J3953">
            <v>1</v>
          </cell>
          <cell r="K3953">
            <v>2</v>
          </cell>
        </row>
        <row r="3954">
          <cell r="A3954" t="str">
            <v>M2</v>
          </cell>
          <cell r="B3954" t="str">
            <v>A5C</v>
          </cell>
          <cell r="C3954" t="str">
            <v>P</v>
          </cell>
          <cell r="D3954" t="str">
            <v>23102</v>
          </cell>
          <cell r="E3954" t="str">
            <v>WN FLG</v>
          </cell>
          <cell r="F3954">
            <v>3</v>
          </cell>
          <cell r="G3954" t="str">
            <v>CB200108000200</v>
          </cell>
          <cell r="H3954">
            <v>2</v>
          </cell>
          <cell r="I3954" t="str">
            <v>--</v>
          </cell>
          <cell r="J3954">
            <v>4</v>
          </cell>
          <cell r="K3954">
            <v>5</v>
          </cell>
        </row>
        <row r="3955">
          <cell r="A3955" t="str">
            <v>M2</v>
          </cell>
          <cell r="B3955" t="str">
            <v>A5C</v>
          </cell>
          <cell r="C3955" t="str">
            <v>P</v>
          </cell>
          <cell r="D3955" t="str">
            <v>23096</v>
          </cell>
          <cell r="E3955" t="str">
            <v>WN FLG</v>
          </cell>
          <cell r="F3955">
            <v>3</v>
          </cell>
          <cell r="G3955" t="str">
            <v>CB200108000200</v>
          </cell>
          <cell r="H3955">
            <v>2</v>
          </cell>
          <cell r="I3955" t="str">
            <v>--</v>
          </cell>
          <cell r="J3955">
            <v>13</v>
          </cell>
          <cell r="K3955">
            <v>15</v>
          </cell>
        </row>
        <row r="3956">
          <cell r="A3956" t="str">
            <v>M2</v>
          </cell>
          <cell r="B3956" t="str">
            <v>A5C</v>
          </cell>
          <cell r="C3956" t="str">
            <v>P</v>
          </cell>
          <cell r="D3956" t="str">
            <v>23096</v>
          </cell>
          <cell r="E3956" t="str">
            <v>WN FLG</v>
          </cell>
          <cell r="F3956">
            <v>3</v>
          </cell>
          <cell r="G3956" t="str">
            <v>CB200108000200</v>
          </cell>
          <cell r="H3956">
            <v>2</v>
          </cell>
          <cell r="I3956" t="str">
            <v>--</v>
          </cell>
          <cell r="J3956">
            <v>4</v>
          </cell>
          <cell r="K3956">
            <v>5</v>
          </cell>
        </row>
        <row r="3957">
          <cell r="A3957" t="str">
            <v>M2</v>
          </cell>
          <cell r="B3957" t="str">
            <v>A5C</v>
          </cell>
          <cell r="C3957" t="str">
            <v>P</v>
          </cell>
          <cell r="D3957" t="str">
            <v>23115</v>
          </cell>
          <cell r="E3957" t="str">
            <v>WN FLG</v>
          </cell>
          <cell r="F3957">
            <v>3</v>
          </cell>
          <cell r="G3957" t="str">
            <v>CB200108000200</v>
          </cell>
          <cell r="H3957">
            <v>2</v>
          </cell>
          <cell r="I3957" t="str">
            <v>--</v>
          </cell>
          <cell r="J3957">
            <v>9</v>
          </cell>
          <cell r="K3957">
            <v>10</v>
          </cell>
        </row>
        <row r="3958">
          <cell r="A3958" t="str">
            <v>M2</v>
          </cell>
          <cell r="B3958" t="str">
            <v>A5C</v>
          </cell>
          <cell r="C3958" t="str">
            <v>P</v>
          </cell>
          <cell r="D3958" t="str">
            <v>23124</v>
          </cell>
          <cell r="E3958" t="str">
            <v>WN FLG</v>
          </cell>
          <cell r="F3958">
            <v>3</v>
          </cell>
          <cell r="G3958" t="str">
            <v>CB200108000200</v>
          </cell>
          <cell r="H3958">
            <v>2</v>
          </cell>
          <cell r="I3958" t="str">
            <v>--</v>
          </cell>
          <cell r="J3958">
            <v>2</v>
          </cell>
          <cell r="K3958">
            <v>3</v>
          </cell>
        </row>
        <row r="3959">
          <cell r="A3959" t="str">
            <v>M2</v>
          </cell>
          <cell r="B3959" t="str">
            <v>A5C</v>
          </cell>
          <cell r="C3959" t="str">
            <v>P</v>
          </cell>
          <cell r="D3959" t="str">
            <v>23131</v>
          </cell>
          <cell r="E3959" t="str">
            <v>WN FLG</v>
          </cell>
          <cell r="F3959">
            <v>3</v>
          </cell>
          <cell r="G3959" t="str">
            <v>CB200108000200</v>
          </cell>
          <cell r="H3959">
            <v>2</v>
          </cell>
          <cell r="I3959" t="str">
            <v>--</v>
          </cell>
          <cell r="J3959">
            <v>3</v>
          </cell>
          <cell r="K3959">
            <v>4</v>
          </cell>
        </row>
        <row r="3960">
          <cell r="A3960" t="str">
            <v>M2</v>
          </cell>
          <cell r="B3960" t="str">
            <v>A5C</v>
          </cell>
          <cell r="C3960" t="str">
            <v>P</v>
          </cell>
          <cell r="D3960" t="str">
            <v>23135</v>
          </cell>
          <cell r="E3960" t="str">
            <v>WN FLG</v>
          </cell>
          <cell r="F3960">
            <v>3</v>
          </cell>
          <cell r="G3960" t="str">
            <v>CB200108000200</v>
          </cell>
          <cell r="H3960">
            <v>2</v>
          </cell>
          <cell r="I3960" t="str">
            <v>--</v>
          </cell>
          <cell r="J3960">
            <v>13</v>
          </cell>
          <cell r="K3960">
            <v>15</v>
          </cell>
        </row>
        <row r="3961">
          <cell r="A3961" t="str">
            <v>M2</v>
          </cell>
          <cell r="B3961" t="str">
            <v>A5C</v>
          </cell>
          <cell r="C3961" t="str">
            <v>P</v>
          </cell>
          <cell r="D3961" t="str">
            <v>23131</v>
          </cell>
          <cell r="E3961" t="str">
            <v>WN FLG</v>
          </cell>
          <cell r="F3961">
            <v>3</v>
          </cell>
          <cell r="G3961" t="str">
            <v>CB200208000200</v>
          </cell>
          <cell r="H3961">
            <v>2</v>
          </cell>
          <cell r="I3961" t="str">
            <v>--</v>
          </cell>
          <cell r="J3961">
            <v>2</v>
          </cell>
          <cell r="K3961">
            <v>3</v>
          </cell>
        </row>
        <row r="3962">
          <cell r="A3962" t="str">
            <v>M2</v>
          </cell>
          <cell r="B3962" t="str">
            <v>A5C</v>
          </cell>
          <cell r="C3962" t="str">
            <v>P</v>
          </cell>
          <cell r="D3962" t="str">
            <v>23142</v>
          </cell>
          <cell r="E3962" t="str">
            <v>WN FLG</v>
          </cell>
          <cell r="F3962">
            <v>3</v>
          </cell>
          <cell r="G3962" t="str">
            <v>CB200108000200</v>
          </cell>
          <cell r="H3962">
            <v>2</v>
          </cell>
          <cell r="I3962" t="str">
            <v>--</v>
          </cell>
          <cell r="J3962">
            <v>2</v>
          </cell>
          <cell r="K3962">
            <v>3</v>
          </cell>
        </row>
        <row r="3963">
          <cell r="A3963" t="str">
            <v>M2</v>
          </cell>
          <cell r="B3963" t="str">
            <v>A5C</v>
          </cell>
          <cell r="C3963" t="str">
            <v>P</v>
          </cell>
          <cell r="D3963" t="str">
            <v>23135</v>
          </cell>
          <cell r="E3963" t="str">
            <v>WN FLG</v>
          </cell>
          <cell r="F3963">
            <v>3</v>
          </cell>
          <cell r="G3963" t="str">
            <v>CB200208000200</v>
          </cell>
          <cell r="H3963">
            <v>2</v>
          </cell>
          <cell r="I3963" t="str">
            <v>--</v>
          </cell>
          <cell r="J3963">
            <v>2</v>
          </cell>
          <cell r="K3963">
            <v>3</v>
          </cell>
        </row>
        <row r="3964">
          <cell r="A3964" t="str">
            <v>M2</v>
          </cell>
          <cell r="B3964" t="str">
            <v>A5C</v>
          </cell>
          <cell r="C3964" t="str">
            <v>P</v>
          </cell>
          <cell r="D3964" t="str">
            <v>23192</v>
          </cell>
          <cell r="E3964" t="str">
            <v>WN FLG</v>
          </cell>
          <cell r="F3964">
            <v>3</v>
          </cell>
          <cell r="G3964" t="str">
            <v>CB200108000200</v>
          </cell>
          <cell r="H3964">
            <v>2</v>
          </cell>
          <cell r="I3964" t="str">
            <v>--</v>
          </cell>
          <cell r="J3964">
            <v>1</v>
          </cell>
          <cell r="K3964">
            <v>2</v>
          </cell>
        </row>
        <row r="3965">
          <cell r="A3965" t="str">
            <v>M2</v>
          </cell>
          <cell r="B3965" t="str">
            <v>A5C</v>
          </cell>
          <cell r="C3965" t="str">
            <v>P</v>
          </cell>
          <cell r="D3965" t="str">
            <v>23229</v>
          </cell>
          <cell r="E3965" t="str">
            <v>WN FLG</v>
          </cell>
          <cell r="F3965">
            <v>3</v>
          </cell>
          <cell r="G3965" t="str">
            <v>CB200108000200</v>
          </cell>
          <cell r="H3965">
            <v>2</v>
          </cell>
          <cell r="I3965" t="str">
            <v>--</v>
          </cell>
          <cell r="J3965">
            <v>1</v>
          </cell>
          <cell r="K3965">
            <v>2</v>
          </cell>
        </row>
        <row r="3966">
          <cell r="A3966" t="str">
            <v>M2</v>
          </cell>
          <cell r="B3966" t="str">
            <v>A5C</v>
          </cell>
          <cell r="C3966" t="str">
            <v>P</v>
          </cell>
          <cell r="D3966" t="str">
            <v>23232</v>
          </cell>
          <cell r="E3966" t="str">
            <v>WN FLG</v>
          </cell>
          <cell r="F3966">
            <v>3</v>
          </cell>
          <cell r="G3966" t="str">
            <v>CB200108000200</v>
          </cell>
          <cell r="H3966">
            <v>2</v>
          </cell>
          <cell r="I3966" t="str">
            <v>--</v>
          </cell>
          <cell r="J3966">
            <v>2</v>
          </cell>
          <cell r="K3966">
            <v>3</v>
          </cell>
        </row>
        <row r="3967">
          <cell r="A3967" t="str">
            <v>M2</v>
          </cell>
          <cell r="B3967" t="str">
            <v>A5C</v>
          </cell>
          <cell r="C3967" t="str">
            <v>P</v>
          </cell>
          <cell r="D3967" t="str">
            <v>23233</v>
          </cell>
          <cell r="E3967" t="str">
            <v>WN FLG</v>
          </cell>
          <cell r="F3967">
            <v>3</v>
          </cell>
          <cell r="G3967" t="str">
            <v>CB200108000200</v>
          </cell>
          <cell r="H3967">
            <v>2</v>
          </cell>
          <cell r="I3967" t="str">
            <v>--</v>
          </cell>
          <cell r="J3967">
            <v>1</v>
          </cell>
          <cell r="K3967">
            <v>2</v>
          </cell>
        </row>
        <row r="3968">
          <cell r="A3968" t="str">
            <v>M2</v>
          </cell>
          <cell r="B3968" t="str">
            <v>A5C</v>
          </cell>
          <cell r="C3968" t="str">
            <v>P</v>
          </cell>
          <cell r="D3968" t="str">
            <v>23240</v>
          </cell>
          <cell r="E3968" t="str">
            <v>WN FLG</v>
          </cell>
          <cell r="F3968">
            <v>3</v>
          </cell>
          <cell r="G3968" t="str">
            <v>CB200108000200</v>
          </cell>
          <cell r="H3968">
            <v>2</v>
          </cell>
          <cell r="I3968" t="str">
            <v>--</v>
          </cell>
          <cell r="J3968">
            <v>2</v>
          </cell>
          <cell r="K3968">
            <v>3</v>
          </cell>
        </row>
        <row r="3969">
          <cell r="A3969" t="str">
            <v>M2</v>
          </cell>
          <cell r="B3969" t="str">
            <v>A5C</v>
          </cell>
          <cell r="C3969" t="str">
            <v>P</v>
          </cell>
          <cell r="D3969" t="str">
            <v>23251</v>
          </cell>
          <cell r="E3969" t="str">
            <v>WN FLG</v>
          </cell>
          <cell r="F3969">
            <v>3</v>
          </cell>
          <cell r="G3969" t="str">
            <v>CB200108000200</v>
          </cell>
          <cell r="H3969">
            <v>2</v>
          </cell>
          <cell r="I3969" t="str">
            <v>--</v>
          </cell>
          <cell r="J3969">
            <v>1</v>
          </cell>
          <cell r="K3969">
            <v>2</v>
          </cell>
        </row>
        <row r="3970">
          <cell r="A3970" t="str">
            <v>M2</v>
          </cell>
          <cell r="B3970" t="str">
            <v>A5C</v>
          </cell>
          <cell r="C3970" t="str">
            <v>P</v>
          </cell>
          <cell r="D3970" t="str">
            <v>23254</v>
          </cell>
          <cell r="E3970" t="str">
            <v>WN FLG</v>
          </cell>
          <cell r="F3970">
            <v>3</v>
          </cell>
          <cell r="G3970" t="str">
            <v>CB200108000200</v>
          </cell>
          <cell r="H3970">
            <v>2</v>
          </cell>
          <cell r="I3970" t="str">
            <v>--</v>
          </cell>
          <cell r="J3970">
            <v>2</v>
          </cell>
          <cell r="K3970">
            <v>3</v>
          </cell>
        </row>
        <row r="3971">
          <cell r="A3971" t="str">
            <v>M2</v>
          </cell>
          <cell r="B3971" t="str">
            <v>A5C</v>
          </cell>
          <cell r="C3971" t="str">
            <v>P</v>
          </cell>
          <cell r="D3971" t="str">
            <v>23255</v>
          </cell>
          <cell r="E3971" t="str">
            <v>WN FLG</v>
          </cell>
          <cell r="F3971">
            <v>3</v>
          </cell>
          <cell r="G3971" t="str">
            <v>CB200108000200</v>
          </cell>
          <cell r="H3971">
            <v>2</v>
          </cell>
          <cell r="I3971" t="str">
            <v>--</v>
          </cell>
          <cell r="J3971">
            <v>1</v>
          </cell>
          <cell r="K3971">
            <v>2</v>
          </cell>
        </row>
        <row r="3972">
          <cell r="A3972" t="str">
            <v>M2</v>
          </cell>
          <cell r="B3972" t="str">
            <v>A5C</v>
          </cell>
          <cell r="C3972" t="str">
            <v>P</v>
          </cell>
          <cell r="D3972" t="str">
            <v>23253</v>
          </cell>
          <cell r="E3972" t="str">
            <v>WN FLG</v>
          </cell>
          <cell r="F3972">
            <v>3</v>
          </cell>
          <cell r="G3972" t="str">
            <v>CB200108000200</v>
          </cell>
          <cell r="H3972">
            <v>2</v>
          </cell>
          <cell r="I3972" t="str">
            <v>--</v>
          </cell>
          <cell r="J3972">
            <v>1</v>
          </cell>
          <cell r="K3972">
            <v>2</v>
          </cell>
        </row>
        <row r="3973">
          <cell r="A3973" t="str">
            <v>M2</v>
          </cell>
          <cell r="B3973" t="str">
            <v>A5C</v>
          </cell>
          <cell r="C3973" t="str">
            <v>P</v>
          </cell>
          <cell r="D3973" t="str">
            <v>23261</v>
          </cell>
          <cell r="E3973" t="str">
            <v>WN FLG</v>
          </cell>
          <cell r="F3973">
            <v>3</v>
          </cell>
          <cell r="G3973" t="str">
            <v>CB200108000200</v>
          </cell>
          <cell r="H3973">
            <v>2</v>
          </cell>
          <cell r="I3973" t="str">
            <v>--</v>
          </cell>
          <cell r="J3973">
            <v>2</v>
          </cell>
          <cell r="K3973">
            <v>3</v>
          </cell>
        </row>
        <row r="3974">
          <cell r="A3974" t="str">
            <v>M2</v>
          </cell>
          <cell r="B3974" t="str">
            <v>A5C</v>
          </cell>
          <cell r="C3974" t="str">
            <v>P</v>
          </cell>
          <cell r="D3974" t="str">
            <v>24007</v>
          </cell>
          <cell r="E3974" t="str">
            <v>WN FLG</v>
          </cell>
          <cell r="F3974">
            <v>3</v>
          </cell>
          <cell r="G3974" t="str">
            <v>CB200108000200</v>
          </cell>
          <cell r="H3974">
            <v>2</v>
          </cell>
          <cell r="I3974" t="str">
            <v>--</v>
          </cell>
          <cell r="J3974">
            <v>1</v>
          </cell>
          <cell r="K3974">
            <v>2</v>
          </cell>
        </row>
        <row r="3975">
          <cell r="A3975" t="str">
            <v>M2</v>
          </cell>
          <cell r="B3975" t="str">
            <v>A5C</v>
          </cell>
          <cell r="C3975" t="str">
            <v>P</v>
          </cell>
          <cell r="D3975" t="str">
            <v>24006</v>
          </cell>
          <cell r="E3975" t="str">
            <v>WN FLG</v>
          </cell>
          <cell r="F3975">
            <v>3</v>
          </cell>
          <cell r="G3975" t="str">
            <v>CB200108000200</v>
          </cell>
          <cell r="H3975">
            <v>2</v>
          </cell>
          <cell r="I3975" t="str">
            <v>--</v>
          </cell>
          <cell r="J3975">
            <v>3</v>
          </cell>
          <cell r="K3975">
            <v>4</v>
          </cell>
        </row>
        <row r="3976">
          <cell r="A3976" t="str">
            <v>M2</v>
          </cell>
          <cell r="B3976" t="str">
            <v>A5C</v>
          </cell>
          <cell r="C3976" t="str">
            <v>P</v>
          </cell>
          <cell r="D3976" t="str">
            <v>24020</v>
          </cell>
          <cell r="E3976" t="str">
            <v>WN FLG</v>
          </cell>
          <cell r="F3976">
            <v>3</v>
          </cell>
          <cell r="G3976" t="str">
            <v>CB200108000200</v>
          </cell>
          <cell r="H3976">
            <v>2</v>
          </cell>
          <cell r="I3976" t="str">
            <v>--</v>
          </cell>
          <cell r="J3976">
            <v>1</v>
          </cell>
          <cell r="K3976">
            <v>2</v>
          </cell>
        </row>
        <row r="3977">
          <cell r="A3977" t="str">
            <v>M2</v>
          </cell>
          <cell r="B3977" t="str">
            <v>A5C</v>
          </cell>
          <cell r="C3977" t="str">
            <v>P</v>
          </cell>
          <cell r="D3977" t="str">
            <v>24021</v>
          </cell>
          <cell r="E3977" t="str">
            <v>WN FLG</v>
          </cell>
          <cell r="F3977">
            <v>3</v>
          </cell>
          <cell r="G3977" t="str">
            <v>CB200108000200</v>
          </cell>
          <cell r="H3977">
            <v>2</v>
          </cell>
          <cell r="I3977" t="str">
            <v>--</v>
          </cell>
          <cell r="J3977">
            <v>8</v>
          </cell>
          <cell r="K3977">
            <v>9</v>
          </cell>
        </row>
        <row r="3978">
          <cell r="A3978" t="str">
            <v>M2</v>
          </cell>
          <cell r="B3978" t="str">
            <v>A5C</v>
          </cell>
          <cell r="C3978" t="str">
            <v>TRIM</v>
          </cell>
          <cell r="D3978" t="str">
            <v>V-2316</v>
          </cell>
          <cell r="E3978" t="str">
            <v>WN FLG</v>
          </cell>
          <cell r="F3978">
            <v>3</v>
          </cell>
          <cell r="G3978" t="str">
            <v>CB200108000200</v>
          </cell>
          <cell r="H3978">
            <v>2</v>
          </cell>
          <cell r="I3978" t="str">
            <v>--</v>
          </cell>
          <cell r="J3978">
            <v>2</v>
          </cell>
          <cell r="K3978">
            <v>3</v>
          </cell>
        </row>
        <row r="3979">
          <cell r="A3979" t="str">
            <v>M2</v>
          </cell>
          <cell r="B3979" t="str">
            <v>A5C</v>
          </cell>
          <cell r="C3979" t="str">
            <v>TRIM</v>
          </cell>
          <cell r="D3979" t="str">
            <v>V-2315</v>
          </cell>
          <cell r="E3979" t="str">
            <v>WN FLG</v>
          </cell>
          <cell r="F3979">
            <v>3</v>
          </cell>
          <cell r="G3979" t="str">
            <v>CB200108000200</v>
          </cell>
          <cell r="H3979">
            <v>2</v>
          </cell>
          <cell r="I3979" t="str">
            <v>--</v>
          </cell>
          <cell r="J3979">
            <v>2</v>
          </cell>
          <cell r="K3979">
            <v>3</v>
          </cell>
        </row>
        <row r="3980">
          <cell r="A3980" t="str">
            <v>M2</v>
          </cell>
          <cell r="B3980" t="str">
            <v>A5C</v>
          </cell>
          <cell r="C3980" t="str">
            <v>TRIM</v>
          </cell>
          <cell r="D3980" t="str">
            <v>V-2321</v>
          </cell>
          <cell r="E3980" t="str">
            <v>WN FLG</v>
          </cell>
          <cell r="F3980">
            <v>3</v>
          </cell>
          <cell r="G3980" t="str">
            <v>CB200108000200</v>
          </cell>
          <cell r="H3980">
            <v>2</v>
          </cell>
          <cell r="I3980" t="str">
            <v>--</v>
          </cell>
          <cell r="J3980">
            <v>2</v>
          </cell>
          <cell r="K3980">
            <v>3</v>
          </cell>
        </row>
        <row r="3981">
          <cell r="A3981" t="str">
            <v>M2</v>
          </cell>
          <cell r="B3981" t="str">
            <v>A5C</v>
          </cell>
          <cell r="C3981" t="str">
            <v>TRIM</v>
          </cell>
          <cell r="D3981" t="str">
            <v>V-2317</v>
          </cell>
          <cell r="E3981" t="str">
            <v>WN FLG</v>
          </cell>
          <cell r="F3981">
            <v>3</v>
          </cell>
          <cell r="G3981" t="str">
            <v>CB200108000200</v>
          </cell>
          <cell r="H3981">
            <v>2</v>
          </cell>
          <cell r="I3981" t="str">
            <v>--</v>
          </cell>
          <cell r="J3981">
            <v>2</v>
          </cell>
          <cell r="K3981">
            <v>3</v>
          </cell>
        </row>
        <row r="3982">
          <cell r="A3982" t="str">
            <v>M2</v>
          </cell>
          <cell r="B3982" t="str">
            <v>A5C</v>
          </cell>
          <cell r="C3982" t="str">
            <v>TRIM</v>
          </cell>
          <cell r="D3982" t="str">
            <v>V-2318</v>
          </cell>
          <cell r="E3982" t="str">
            <v>WN FLG</v>
          </cell>
          <cell r="F3982">
            <v>3</v>
          </cell>
          <cell r="G3982" t="str">
            <v>CB200108000200</v>
          </cell>
          <cell r="H3982">
            <v>2</v>
          </cell>
          <cell r="I3982" t="str">
            <v>--</v>
          </cell>
          <cell r="J3982">
            <v>2</v>
          </cell>
          <cell r="K3982">
            <v>3</v>
          </cell>
        </row>
        <row r="3983">
          <cell r="A3983" t="str">
            <v>M2</v>
          </cell>
          <cell r="B3983" t="str">
            <v>A5C</v>
          </cell>
          <cell r="C3983" t="str">
            <v>TRIM</v>
          </cell>
          <cell r="D3983" t="str">
            <v>V-2320</v>
          </cell>
          <cell r="E3983" t="str">
            <v>WN FLG</v>
          </cell>
          <cell r="F3983">
            <v>3</v>
          </cell>
          <cell r="G3983" t="str">
            <v>CB200108000200</v>
          </cell>
          <cell r="H3983">
            <v>2</v>
          </cell>
          <cell r="I3983" t="str">
            <v>--</v>
          </cell>
          <cell r="J3983">
            <v>2</v>
          </cell>
          <cell r="K3983">
            <v>3</v>
          </cell>
        </row>
        <row r="3984">
          <cell r="A3984" t="str">
            <v>M2</v>
          </cell>
          <cell r="B3984" t="str">
            <v>A5C</v>
          </cell>
          <cell r="C3984" t="str">
            <v>TRIM</v>
          </cell>
          <cell r="D3984" t="str">
            <v>V-2323</v>
          </cell>
          <cell r="E3984" t="str">
            <v>WN FLG</v>
          </cell>
          <cell r="F3984">
            <v>3</v>
          </cell>
          <cell r="G3984" t="str">
            <v>CB200108000200</v>
          </cell>
          <cell r="H3984">
            <v>2</v>
          </cell>
          <cell r="I3984" t="str">
            <v>--</v>
          </cell>
          <cell r="J3984">
            <v>2</v>
          </cell>
          <cell r="K3984">
            <v>3</v>
          </cell>
        </row>
        <row r="3985">
          <cell r="A3985" t="str">
            <v>M2</v>
          </cell>
          <cell r="B3985" t="str">
            <v>A5C</v>
          </cell>
          <cell r="C3985" t="str">
            <v>TRIM</v>
          </cell>
          <cell r="D3985" t="str">
            <v>V-2324</v>
          </cell>
          <cell r="E3985" t="str">
            <v>WN FLG</v>
          </cell>
          <cell r="F3985">
            <v>3</v>
          </cell>
          <cell r="G3985" t="str">
            <v>CB200108000200</v>
          </cell>
          <cell r="H3985">
            <v>2</v>
          </cell>
          <cell r="I3985" t="str">
            <v>--</v>
          </cell>
          <cell r="J3985">
            <v>2</v>
          </cell>
          <cell r="K3985">
            <v>3</v>
          </cell>
        </row>
        <row r="3986">
          <cell r="A3986" t="str">
            <v>M2</v>
          </cell>
          <cell r="B3986" t="str">
            <v>A5C</v>
          </cell>
          <cell r="C3986" t="str">
            <v>TRIM</v>
          </cell>
          <cell r="D3986" t="str">
            <v>V-2326</v>
          </cell>
          <cell r="E3986" t="str">
            <v>WN FLG</v>
          </cell>
          <cell r="F3986">
            <v>3</v>
          </cell>
          <cell r="G3986" t="str">
            <v>CB200108000200</v>
          </cell>
          <cell r="H3986">
            <v>2</v>
          </cell>
          <cell r="I3986" t="str">
            <v>--</v>
          </cell>
          <cell r="J3986">
            <v>2</v>
          </cell>
          <cell r="K3986">
            <v>3</v>
          </cell>
        </row>
        <row r="3987">
          <cell r="A3987" t="str">
            <v>M2</v>
          </cell>
          <cell r="B3987" t="str">
            <v>A5C</v>
          </cell>
          <cell r="C3987" t="str">
            <v>TRIM</v>
          </cell>
          <cell r="D3987" t="str">
            <v>V-2327</v>
          </cell>
          <cell r="E3987" t="str">
            <v>WN FLG</v>
          </cell>
          <cell r="F3987">
            <v>3</v>
          </cell>
          <cell r="G3987" t="str">
            <v>CB200108000200</v>
          </cell>
          <cell r="H3987">
            <v>2</v>
          </cell>
          <cell r="I3987" t="str">
            <v>--</v>
          </cell>
          <cell r="J3987">
            <v>2</v>
          </cell>
          <cell r="K3987">
            <v>3</v>
          </cell>
        </row>
        <row r="3988">
          <cell r="A3988" t="str">
            <v>M2</v>
          </cell>
          <cell r="B3988" t="str">
            <v>A5C</v>
          </cell>
          <cell r="C3988" t="str">
            <v>TRIM</v>
          </cell>
          <cell r="D3988" t="str">
            <v>V-2328</v>
          </cell>
          <cell r="E3988" t="str">
            <v>WN FLG</v>
          </cell>
          <cell r="F3988">
            <v>3</v>
          </cell>
          <cell r="G3988" t="str">
            <v>CB200108000200</v>
          </cell>
          <cell r="H3988">
            <v>2</v>
          </cell>
          <cell r="I3988" t="str">
            <v>--</v>
          </cell>
          <cell r="J3988">
            <v>2</v>
          </cell>
          <cell r="K3988">
            <v>3</v>
          </cell>
        </row>
        <row r="3989">
          <cell r="A3989" t="str">
            <v>M2</v>
          </cell>
          <cell r="B3989" t="str">
            <v>A5C</v>
          </cell>
          <cell r="C3989" t="str">
            <v>TRIM</v>
          </cell>
          <cell r="D3989" t="str">
            <v>V-2329</v>
          </cell>
          <cell r="E3989" t="str">
            <v>WN FLG</v>
          </cell>
          <cell r="F3989">
            <v>3</v>
          </cell>
          <cell r="G3989" t="str">
            <v>CB200108000200</v>
          </cell>
          <cell r="H3989">
            <v>2</v>
          </cell>
          <cell r="I3989" t="str">
            <v>--</v>
          </cell>
          <cell r="J3989">
            <v>2</v>
          </cell>
          <cell r="K3989">
            <v>3</v>
          </cell>
        </row>
        <row r="3990">
          <cell r="A3990" t="str">
            <v>M2</v>
          </cell>
          <cell r="B3990" t="str">
            <v>A5C</v>
          </cell>
          <cell r="C3990" t="str">
            <v>TRIM</v>
          </cell>
          <cell r="D3990" t="str">
            <v>V-2330</v>
          </cell>
          <cell r="E3990" t="str">
            <v>WN FLG</v>
          </cell>
          <cell r="F3990">
            <v>3</v>
          </cell>
          <cell r="G3990" t="str">
            <v>CB200108000200</v>
          </cell>
          <cell r="H3990">
            <v>2</v>
          </cell>
          <cell r="I3990" t="str">
            <v>--</v>
          </cell>
          <cell r="J3990">
            <v>2</v>
          </cell>
          <cell r="K3990">
            <v>3</v>
          </cell>
        </row>
        <row r="3991">
          <cell r="A3991" t="str">
            <v>M2</v>
          </cell>
          <cell r="B3991" t="str">
            <v>A5C</v>
          </cell>
          <cell r="C3991" t="str">
            <v>TRIM</v>
          </cell>
          <cell r="D3991" t="str">
            <v>V-2331</v>
          </cell>
          <cell r="E3991" t="str">
            <v>WN FLG</v>
          </cell>
          <cell r="F3991">
            <v>3</v>
          </cell>
          <cell r="G3991" t="str">
            <v>CB200108000200</v>
          </cell>
          <cell r="H3991">
            <v>2</v>
          </cell>
          <cell r="I3991" t="str">
            <v>--</v>
          </cell>
          <cell r="J3991">
            <v>2</v>
          </cell>
          <cell r="K3991">
            <v>3</v>
          </cell>
        </row>
        <row r="3992">
          <cell r="A3992" t="str">
            <v>M2</v>
          </cell>
          <cell r="B3992" t="str">
            <v>A5C</v>
          </cell>
          <cell r="C3992" t="str">
            <v>TRIM</v>
          </cell>
          <cell r="D3992" t="str">
            <v>V-2332</v>
          </cell>
          <cell r="E3992" t="str">
            <v>WN FLG</v>
          </cell>
          <cell r="F3992">
            <v>3</v>
          </cell>
          <cell r="G3992" t="str">
            <v>CB200108000200</v>
          </cell>
          <cell r="H3992">
            <v>2</v>
          </cell>
          <cell r="I3992" t="str">
            <v>--</v>
          </cell>
          <cell r="J3992">
            <v>2</v>
          </cell>
          <cell r="K3992">
            <v>3</v>
          </cell>
        </row>
        <row r="3993">
          <cell r="A3993" t="str">
            <v>M2</v>
          </cell>
          <cell r="B3993" t="str">
            <v>A5C</v>
          </cell>
          <cell r="C3993" t="str">
            <v>TRIM</v>
          </cell>
          <cell r="D3993" t="str">
            <v>V-2333</v>
          </cell>
          <cell r="E3993" t="str">
            <v>WN FLG</v>
          </cell>
          <cell r="F3993">
            <v>3</v>
          </cell>
          <cell r="G3993" t="str">
            <v>CB200108000200</v>
          </cell>
          <cell r="H3993">
            <v>2</v>
          </cell>
          <cell r="I3993" t="str">
            <v>--</v>
          </cell>
          <cell r="J3993">
            <v>2</v>
          </cell>
          <cell r="K3993">
            <v>3</v>
          </cell>
        </row>
        <row r="3994">
          <cell r="A3994" t="str">
            <v>M2</v>
          </cell>
          <cell r="B3994" t="str">
            <v>A5C</v>
          </cell>
          <cell r="C3994" t="str">
            <v>TRIM</v>
          </cell>
          <cell r="D3994" t="str">
            <v>V-2351</v>
          </cell>
          <cell r="E3994" t="str">
            <v>WN FLG</v>
          </cell>
          <cell r="F3994">
            <v>3</v>
          </cell>
          <cell r="G3994" t="str">
            <v>CB200108000200</v>
          </cell>
          <cell r="H3994">
            <v>2</v>
          </cell>
          <cell r="I3994" t="str">
            <v>--</v>
          </cell>
          <cell r="J3994">
            <v>3</v>
          </cell>
          <cell r="K3994">
            <v>4</v>
          </cell>
        </row>
        <row r="3995">
          <cell r="A3995" t="str">
            <v>M2</v>
          </cell>
          <cell r="B3995" t="str">
            <v>A5C</v>
          </cell>
          <cell r="C3995" t="str">
            <v>TRIM</v>
          </cell>
          <cell r="D3995" t="str">
            <v>V-2402</v>
          </cell>
          <cell r="E3995" t="str">
            <v>WN FLG</v>
          </cell>
          <cell r="F3995">
            <v>3</v>
          </cell>
          <cell r="G3995" t="str">
            <v>CB200108000200</v>
          </cell>
          <cell r="H3995">
            <v>2</v>
          </cell>
          <cell r="I3995" t="str">
            <v>--</v>
          </cell>
          <cell r="J3995">
            <v>2</v>
          </cell>
          <cell r="K3995">
            <v>3</v>
          </cell>
        </row>
        <row r="3996">
          <cell r="A3996" t="str">
            <v>M2</v>
          </cell>
          <cell r="B3996" t="str">
            <v>A5C</v>
          </cell>
          <cell r="C3996" t="str">
            <v>P</v>
          </cell>
          <cell r="D3996" t="str">
            <v>23011</v>
          </cell>
          <cell r="E3996" t="str">
            <v>WN FLG</v>
          </cell>
          <cell r="F3996">
            <v>3</v>
          </cell>
          <cell r="G3996" t="str">
            <v>CB200108000200</v>
          </cell>
          <cell r="H3996">
            <v>2</v>
          </cell>
          <cell r="I3996" t="str">
            <v>--</v>
          </cell>
          <cell r="J3996">
            <v>1</v>
          </cell>
          <cell r="K3996">
            <v>2</v>
          </cell>
        </row>
        <row r="3997">
          <cell r="A3997" t="str">
            <v>M2</v>
          </cell>
          <cell r="B3997" t="str">
            <v>A5C</v>
          </cell>
          <cell r="C3997" t="str">
            <v>P</v>
          </cell>
          <cell r="D3997" t="str">
            <v>23135</v>
          </cell>
          <cell r="E3997" t="str">
            <v>WN FLG</v>
          </cell>
          <cell r="F3997">
            <v>3</v>
          </cell>
          <cell r="G3997" t="str">
            <v>CB200108000200</v>
          </cell>
          <cell r="H3997">
            <v>2</v>
          </cell>
          <cell r="I3997" t="str">
            <v>--</v>
          </cell>
          <cell r="J3997">
            <v>4</v>
          </cell>
          <cell r="K3997">
            <v>5</v>
          </cell>
        </row>
        <row r="3998">
          <cell r="A3998" t="str">
            <v>M2</v>
          </cell>
          <cell r="B3998" t="str">
            <v>A5C</v>
          </cell>
          <cell r="C3998" t="str">
            <v>P</v>
          </cell>
          <cell r="D3998" t="str">
            <v>23192</v>
          </cell>
          <cell r="E3998" t="str">
            <v>WN FLG</v>
          </cell>
          <cell r="F3998">
            <v>3</v>
          </cell>
          <cell r="G3998" t="str">
            <v>CB200108000200</v>
          </cell>
          <cell r="H3998">
            <v>2</v>
          </cell>
          <cell r="I3998" t="str">
            <v>--</v>
          </cell>
          <cell r="J3998">
            <v>4</v>
          </cell>
          <cell r="K3998">
            <v>5</v>
          </cell>
        </row>
        <row r="3999">
          <cell r="A3999" t="str">
            <v>M2</v>
          </cell>
          <cell r="B3999" t="str">
            <v>A5C</v>
          </cell>
          <cell r="C3999" t="str">
            <v>P</v>
          </cell>
          <cell r="D3999" t="str">
            <v>23231</v>
          </cell>
          <cell r="E3999" t="str">
            <v>WN FLG</v>
          </cell>
          <cell r="F3999">
            <v>3</v>
          </cell>
          <cell r="G3999" t="str">
            <v>CB200108000200</v>
          </cell>
          <cell r="H3999">
            <v>2</v>
          </cell>
          <cell r="I3999" t="str">
            <v>--</v>
          </cell>
          <cell r="J3999">
            <v>1</v>
          </cell>
          <cell r="K3999">
            <v>2</v>
          </cell>
        </row>
        <row r="4000">
          <cell r="A4000" t="str">
            <v>M2</v>
          </cell>
          <cell r="B4000" t="str">
            <v>A5C</v>
          </cell>
          <cell r="C4000" t="str">
            <v>P</v>
          </cell>
          <cell r="D4000" t="str">
            <v>23236</v>
          </cell>
          <cell r="E4000" t="str">
            <v>WN FLG</v>
          </cell>
          <cell r="F4000">
            <v>3</v>
          </cell>
          <cell r="G4000" t="str">
            <v>CB200108000200</v>
          </cell>
          <cell r="H4000">
            <v>2</v>
          </cell>
          <cell r="I4000" t="str">
            <v>--</v>
          </cell>
          <cell r="J4000">
            <v>2</v>
          </cell>
          <cell r="K4000">
            <v>3</v>
          </cell>
        </row>
        <row r="4001">
          <cell r="A4001" t="str">
            <v>M2</v>
          </cell>
          <cell r="B4001" t="str">
            <v>A5C</v>
          </cell>
          <cell r="C4001" t="str">
            <v>TRIM</v>
          </cell>
          <cell r="D4001" t="str">
            <v>V-2301</v>
          </cell>
          <cell r="E4001" t="str">
            <v>WN FLG</v>
          </cell>
          <cell r="F4001">
            <v>3</v>
          </cell>
          <cell r="G4001" t="str">
            <v>CB200108000200</v>
          </cell>
          <cell r="H4001">
            <v>2</v>
          </cell>
          <cell r="I4001" t="str">
            <v>--</v>
          </cell>
          <cell r="J4001">
            <v>2</v>
          </cell>
          <cell r="K4001">
            <v>3</v>
          </cell>
        </row>
        <row r="4002">
          <cell r="A4002" t="str">
            <v>M2</v>
          </cell>
          <cell r="B4002" t="str">
            <v>A5C</v>
          </cell>
          <cell r="C4002" t="str">
            <v>TRIM</v>
          </cell>
          <cell r="D4002" t="str">
            <v>V-2319</v>
          </cell>
          <cell r="E4002" t="str">
            <v>WN FLG</v>
          </cell>
          <cell r="F4002">
            <v>3</v>
          </cell>
          <cell r="G4002" t="str">
            <v>CB200108000200</v>
          </cell>
          <cell r="H4002">
            <v>2</v>
          </cell>
          <cell r="I4002" t="str">
            <v>--</v>
          </cell>
          <cell r="J4002">
            <v>2</v>
          </cell>
          <cell r="K4002">
            <v>3</v>
          </cell>
        </row>
        <row r="4003">
          <cell r="A4003" t="str">
            <v>M2</v>
          </cell>
          <cell r="B4003" t="str">
            <v>A5C</v>
          </cell>
          <cell r="C4003" t="str">
            <v>P</v>
          </cell>
          <cell r="D4003" t="str">
            <v>23263</v>
          </cell>
          <cell r="E4003" t="str">
            <v>WN FLG</v>
          </cell>
          <cell r="F4003">
            <v>3</v>
          </cell>
          <cell r="G4003" t="str">
            <v>CB200108000200</v>
          </cell>
          <cell r="H4003">
            <v>2</v>
          </cell>
          <cell r="I4003" t="str">
            <v>--</v>
          </cell>
          <cell r="J4003">
            <v>1</v>
          </cell>
          <cell r="K4003">
            <v>2</v>
          </cell>
        </row>
        <row r="4004">
          <cell r="A4004" t="str">
            <v>M2</v>
          </cell>
          <cell r="B4004" t="str">
            <v>A5C</v>
          </cell>
          <cell r="C4004" t="str">
            <v>P</v>
          </cell>
          <cell r="D4004" t="str">
            <v>23264</v>
          </cell>
          <cell r="E4004" t="str">
            <v>WN FLG</v>
          </cell>
          <cell r="F4004">
            <v>3</v>
          </cell>
          <cell r="G4004" t="str">
            <v>CB200108000200</v>
          </cell>
          <cell r="H4004">
            <v>2</v>
          </cell>
          <cell r="I4004" t="str">
            <v>--</v>
          </cell>
          <cell r="J4004">
            <v>4</v>
          </cell>
          <cell r="K4004">
            <v>5</v>
          </cell>
        </row>
        <row r="4005">
          <cell r="A4005" t="str">
            <v>M2</v>
          </cell>
          <cell r="B4005" t="str">
            <v>A5C</v>
          </cell>
          <cell r="C4005" t="str">
            <v>P</v>
          </cell>
          <cell r="D4005" t="str">
            <v>24009</v>
          </cell>
          <cell r="E4005" t="str">
            <v>WN FLG</v>
          </cell>
          <cell r="F4005">
            <v>3</v>
          </cell>
          <cell r="G4005" t="str">
            <v>CB200108000200</v>
          </cell>
          <cell r="H4005">
            <v>2</v>
          </cell>
          <cell r="I4005" t="str">
            <v>--</v>
          </cell>
          <cell r="J4005">
            <v>4</v>
          </cell>
          <cell r="K4005">
            <v>5</v>
          </cell>
        </row>
        <row r="4006">
          <cell r="A4006" t="str">
            <v>M2</v>
          </cell>
          <cell r="B4006" t="str">
            <v>A5C</v>
          </cell>
          <cell r="C4006" t="str">
            <v>TRIM</v>
          </cell>
          <cell r="D4006" t="str">
            <v>V-2352</v>
          </cell>
          <cell r="E4006" t="str">
            <v>WN FLG</v>
          </cell>
          <cell r="F4006">
            <v>3</v>
          </cell>
          <cell r="G4006" t="str">
            <v>CB200108000200</v>
          </cell>
          <cell r="H4006">
            <v>2</v>
          </cell>
          <cell r="I4006" t="str">
            <v>--</v>
          </cell>
          <cell r="J4006">
            <v>2</v>
          </cell>
          <cell r="K4006">
            <v>3</v>
          </cell>
        </row>
        <row r="4007">
          <cell r="A4007" t="str">
            <v>M2</v>
          </cell>
          <cell r="B4007" t="str">
            <v>A5C</v>
          </cell>
          <cell r="C4007" t="str">
            <v>P</v>
          </cell>
          <cell r="D4007" t="str">
            <v>23017</v>
          </cell>
          <cell r="E4007" t="str">
            <v>WN FLG</v>
          </cell>
          <cell r="F4007">
            <v>3</v>
          </cell>
          <cell r="G4007" t="str">
            <v>CB200108000200</v>
          </cell>
          <cell r="H4007">
            <v>2</v>
          </cell>
          <cell r="I4007" t="str">
            <v>--</v>
          </cell>
          <cell r="J4007">
            <v>2</v>
          </cell>
          <cell r="K4007">
            <v>3</v>
          </cell>
        </row>
        <row r="4008">
          <cell r="A4008" t="str">
            <v>M2</v>
          </cell>
          <cell r="B4008" t="str">
            <v>A5C</v>
          </cell>
          <cell r="C4008" t="str">
            <v>P</v>
          </cell>
          <cell r="D4008" t="str">
            <v>23019</v>
          </cell>
          <cell r="E4008" t="str">
            <v>WN FLG</v>
          </cell>
          <cell r="F4008">
            <v>3</v>
          </cell>
          <cell r="G4008" t="str">
            <v>CB200108000200</v>
          </cell>
          <cell r="H4008">
            <v>2</v>
          </cell>
          <cell r="I4008" t="str">
            <v>--</v>
          </cell>
          <cell r="J4008">
            <v>8</v>
          </cell>
          <cell r="K4008">
            <v>9</v>
          </cell>
        </row>
        <row r="4009">
          <cell r="A4009" t="str">
            <v>M2</v>
          </cell>
          <cell r="B4009" t="str">
            <v>A5C</v>
          </cell>
          <cell r="C4009" t="str">
            <v>P</v>
          </cell>
          <cell r="D4009" t="str">
            <v>23020</v>
          </cell>
          <cell r="E4009" t="str">
            <v>WN FLG</v>
          </cell>
          <cell r="F4009">
            <v>3</v>
          </cell>
          <cell r="G4009" t="str">
            <v>CB200108000200</v>
          </cell>
          <cell r="H4009">
            <v>2</v>
          </cell>
          <cell r="I4009" t="str">
            <v>--</v>
          </cell>
          <cell r="J4009">
            <v>5</v>
          </cell>
          <cell r="K4009">
            <v>6</v>
          </cell>
        </row>
        <row r="4010">
          <cell r="A4010" t="str">
            <v>M2</v>
          </cell>
          <cell r="B4010" t="str">
            <v>A5C</v>
          </cell>
          <cell r="C4010" t="str">
            <v>P</v>
          </cell>
          <cell r="D4010" t="str">
            <v>23036</v>
          </cell>
          <cell r="E4010" t="str">
            <v>WN FLG</v>
          </cell>
          <cell r="F4010">
            <v>3</v>
          </cell>
          <cell r="G4010" t="str">
            <v>CB200108000200</v>
          </cell>
          <cell r="H4010">
            <v>2</v>
          </cell>
          <cell r="I4010" t="str">
            <v>--</v>
          </cell>
          <cell r="J4010">
            <v>5</v>
          </cell>
          <cell r="K4010">
            <v>6</v>
          </cell>
        </row>
        <row r="4011">
          <cell r="A4011" t="str">
            <v>M2</v>
          </cell>
          <cell r="B4011" t="str">
            <v>A5C</v>
          </cell>
          <cell r="C4011" t="str">
            <v>P</v>
          </cell>
          <cell r="D4011" t="str">
            <v>23054</v>
          </cell>
          <cell r="E4011" t="str">
            <v>WN FLG</v>
          </cell>
          <cell r="F4011">
            <v>3</v>
          </cell>
          <cell r="G4011" t="str">
            <v>CB200108000200</v>
          </cell>
          <cell r="H4011">
            <v>2</v>
          </cell>
          <cell r="I4011" t="str">
            <v>--</v>
          </cell>
          <cell r="J4011">
            <v>5</v>
          </cell>
          <cell r="K4011">
            <v>6</v>
          </cell>
        </row>
        <row r="4012">
          <cell r="A4012" t="str">
            <v>M2</v>
          </cell>
          <cell r="B4012" t="str">
            <v>A5C</v>
          </cell>
          <cell r="C4012" t="str">
            <v>P</v>
          </cell>
          <cell r="D4012" t="str">
            <v>23051</v>
          </cell>
          <cell r="E4012" t="str">
            <v>WN FLG</v>
          </cell>
          <cell r="F4012">
            <v>3</v>
          </cell>
          <cell r="G4012" t="str">
            <v>CB200108000200</v>
          </cell>
          <cell r="H4012">
            <v>2</v>
          </cell>
          <cell r="I4012" t="str">
            <v>--</v>
          </cell>
          <cell r="J4012">
            <v>2</v>
          </cell>
          <cell r="K4012">
            <v>3</v>
          </cell>
        </row>
        <row r="4013">
          <cell r="A4013" t="str">
            <v>M2</v>
          </cell>
          <cell r="B4013" t="str">
            <v>A5C</v>
          </cell>
          <cell r="C4013" t="str">
            <v>P</v>
          </cell>
          <cell r="D4013" t="str">
            <v>23064</v>
          </cell>
          <cell r="E4013" t="str">
            <v>WN FLG</v>
          </cell>
          <cell r="F4013">
            <v>3</v>
          </cell>
          <cell r="G4013" t="str">
            <v>CB200108000200</v>
          </cell>
          <cell r="H4013">
            <v>2</v>
          </cell>
          <cell r="I4013" t="str">
            <v>--</v>
          </cell>
          <cell r="J4013">
            <v>2</v>
          </cell>
          <cell r="K4013">
            <v>3</v>
          </cell>
        </row>
        <row r="4014">
          <cell r="A4014" t="str">
            <v>M2</v>
          </cell>
          <cell r="B4014" t="str">
            <v>A5C</v>
          </cell>
          <cell r="C4014" t="str">
            <v>P</v>
          </cell>
          <cell r="D4014" t="str">
            <v>23064</v>
          </cell>
          <cell r="E4014" t="str">
            <v>WN FLG</v>
          </cell>
          <cell r="F4014">
            <v>3</v>
          </cell>
          <cell r="G4014" t="str">
            <v>CB200208000200</v>
          </cell>
          <cell r="H4014">
            <v>2</v>
          </cell>
          <cell r="I4014" t="str">
            <v>--</v>
          </cell>
          <cell r="J4014">
            <v>2</v>
          </cell>
          <cell r="K4014">
            <v>3</v>
          </cell>
        </row>
        <row r="4015">
          <cell r="A4015" t="str">
            <v>M2</v>
          </cell>
          <cell r="B4015" t="str">
            <v>A5C</v>
          </cell>
          <cell r="C4015" t="str">
            <v>P</v>
          </cell>
          <cell r="D4015" t="str">
            <v>23092</v>
          </cell>
          <cell r="E4015" t="str">
            <v>WN FLG</v>
          </cell>
          <cell r="F4015">
            <v>3</v>
          </cell>
          <cell r="G4015" t="str">
            <v>CB200108000200</v>
          </cell>
          <cell r="H4015">
            <v>2</v>
          </cell>
          <cell r="I4015" t="str">
            <v>--</v>
          </cell>
          <cell r="J4015">
            <v>2</v>
          </cell>
          <cell r="K4015">
            <v>3</v>
          </cell>
        </row>
        <row r="4016">
          <cell r="A4016" t="str">
            <v>M2</v>
          </cell>
          <cell r="B4016" t="str">
            <v>A5C</v>
          </cell>
          <cell r="C4016" t="str">
            <v>P</v>
          </cell>
          <cell r="D4016" t="str">
            <v>23092</v>
          </cell>
          <cell r="E4016" t="str">
            <v>WN FLG</v>
          </cell>
          <cell r="F4016">
            <v>3</v>
          </cell>
          <cell r="G4016" t="str">
            <v>CB200108000200</v>
          </cell>
          <cell r="H4016">
            <v>2</v>
          </cell>
          <cell r="I4016" t="str">
            <v>--</v>
          </cell>
          <cell r="J4016">
            <v>3</v>
          </cell>
          <cell r="K4016">
            <v>4</v>
          </cell>
        </row>
        <row r="4017">
          <cell r="A4017" t="str">
            <v>M2</v>
          </cell>
          <cell r="B4017" t="str">
            <v>A5C</v>
          </cell>
          <cell r="C4017" t="str">
            <v>P</v>
          </cell>
          <cell r="D4017" t="str">
            <v>23224</v>
          </cell>
          <cell r="E4017" t="str">
            <v>WN FLG</v>
          </cell>
          <cell r="F4017">
            <v>3</v>
          </cell>
          <cell r="G4017" t="str">
            <v>CB200108000200</v>
          </cell>
          <cell r="H4017">
            <v>2</v>
          </cell>
          <cell r="I4017" t="str">
            <v>--</v>
          </cell>
          <cell r="J4017">
            <v>9</v>
          </cell>
          <cell r="K4017">
            <v>10</v>
          </cell>
        </row>
        <row r="4018">
          <cell r="A4018" t="str">
            <v>M2</v>
          </cell>
          <cell r="B4018" t="str">
            <v>A5C</v>
          </cell>
          <cell r="C4018" t="str">
            <v>TRIM</v>
          </cell>
          <cell r="D4018" t="str">
            <v>C-2303</v>
          </cell>
          <cell r="E4018" t="str">
            <v>WN FLG</v>
          </cell>
          <cell r="F4018">
            <v>3</v>
          </cell>
          <cell r="G4018" t="str">
            <v>CB200108000200</v>
          </cell>
          <cell r="H4018">
            <v>2</v>
          </cell>
          <cell r="I4018" t="str">
            <v>--</v>
          </cell>
          <cell r="J4018">
            <v>2</v>
          </cell>
          <cell r="K4018">
            <v>3</v>
          </cell>
        </row>
        <row r="4019">
          <cell r="A4019" t="str">
            <v>M2</v>
          </cell>
          <cell r="B4019" t="str">
            <v>A5C</v>
          </cell>
          <cell r="C4019" t="str">
            <v>TRIM</v>
          </cell>
          <cell r="D4019" t="str">
            <v>C-2304</v>
          </cell>
          <cell r="E4019" t="str">
            <v>WN FLG</v>
          </cell>
          <cell r="F4019">
            <v>3</v>
          </cell>
          <cell r="G4019" t="str">
            <v>CB200108000200</v>
          </cell>
          <cell r="H4019">
            <v>2</v>
          </cell>
          <cell r="I4019" t="str">
            <v>--</v>
          </cell>
          <cell r="J4019">
            <v>2</v>
          </cell>
          <cell r="K4019">
            <v>3</v>
          </cell>
        </row>
        <row r="4020">
          <cell r="A4020" t="str">
            <v>M2</v>
          </cell>
          <cell r="B4020" t="str">
            <v>A5C</v>
          </cell>
          <cell r="C4020" t="str">
            <v>TRIM</v>
          </cell>
          <cell r="D4020" t="str">
            <v>C-2305</v>
          </cell>
          <cell r="E4020" t="str">
            <v>WN FLG</v>
          </cell>
          <cell r="F4020">
            <v>3</v>
          </cell>
          <cell r="G4020" t="str">
            <v>CB200108000200</v>
          </cell>
          <cell r="H4020">
            <v>2</v>
          </cell>
          <cell r="I4020" t="str">
            <v>--</v>
          </cell>
          <cell r="J4020">
            <v>2</v>
          </cell>
          <cell r="K4020">
            <v>3</v>
          </cell>
        </row>
        <row r="4021">
          <cell r="A4021" t="str">
            <v>M2</v>
          </cell>
          <cell r="B4021" t="str">
            <v>A5C</v>
          </cell>
          <cell r="C4021" t="str">
            <v>TRIM</v>
          </cell>
          <cell r="D4021" t="str">
            <v>C-2306</v>
          </cell>
          <cell r="E4021" t="str">
            <v>WN FLG</v>
          </cell>
          <cell r="F4021">
            <v>3</v>
          </cell>
          <cell r="G4021" t="str">
            <v>CB200108000200</v>
          </cell>
          <cell r="H4021">
            <v>2</v>
          </cell>
          <cell r="I4021" t="str">
            <v>--</v>
          </cell>
          <cell r="J4021">
            <v>2</v>
          </cell>
          <cell r="K4021">
            <v>3</v>
          </cell>
        </row>
        <row r="4022">
          <cell r="A4022" t="str">
            <v>M2</v>
          </cell>
          <cell r="B4022" t="str">
            <v>A5C</v>
          </cell>
          <cell r="C4022" t="str">
            <v>TRIM</v>
          </cell>
          <cell r="D4022" t="str">
            <v>V-2302</v>
          </cell>
          <cell r="E4022" t="str">
            <v>WN FLG</v>
          </cell>
          <cell r="F4022">
            <v>3</v>
          </cell>
          <cell r="G4022" t="str">
            <v>CB200108000200</v>
          </cell>
          <cell r="H4022">
            <v>2</v>
          </cell>
          <cell r="I4022" t="str">
            <v>--</v>
          </cell>
          <cell r="J4022">
            <v>2</v>
          </cell>
          <cell r="K4022">
            <v>3</v>
          </cell>
        </row>
        <row r="4023">
          <cell r="A4023" t="str">
            <v>M2</v>
          </cell>
          <cell r="B4023" t="str">
            <v>A5C</v>
          </cell>
          <cell r="C4023" t="str">
            <v>TRIM</v>
          </cell>
          <cell r="D4023" t="str">
            <v>V-2306</v>
          </cell>
          <cell r="E4023" t="str">
            <v>WN FLG</v>
          </cell>
          <cell r="F4023">
            <v>3</v>
          </cell>
          <cell r="G4023" t="str">
            <v>CB200108000200</v>
          </cell>
          <cell r="H4023">
            <v>2</v>
          </cell>
          <cell r="I4023" t="str">
            <v>--</v>
          </cell>
          <cell r="J4023">
            <v>2</v>
          </cell>
          <cell r="K4023">
            <v>3</v>
          </cell>
        </row>
        <row r="4024">
          <cell r="A4024" t="str">
            <v>M2</v>
          </cell>
          <cell r="B4024" t="str">
            <v>A5C</v>
          </cell>
          <cell r="C4024" t="str">
            <v>P</v>
          </cell>
          <cell r="D4024" t="str">
            <v>23030</v>
          </cell>
          <cell r="E4024" t="str">
            <v>WN FLG</v>
          </cell>
          <cell r="F4024">
            <v>3</v>
          </cell>
          <cell r="G4024" t="str">
            <v>CB200108000200</v>
          </cell>
          <cell r="H4024">
            <v>2</v>
          </cell>
          <cell r="I4024" t="str">
            <v>--</v>
          </cell>
          <cell r="J4024">
            <v>4</v>
          </cell>
          <cell r="K4024">
            <v>5</v>
          </cell>
        </row>
        <row r="4025">
          <cell r="A4025" t="str">
            <v>M2</v>
          </cell>
          <cell r="B4025" t="str">
            <v>A5C</v>
          </cell>
          <cell r="C4025" t="str">
            <v>P</v>
          </cell>
          <cell r="D4025" t="str">
            <v>23032</v>
          </cell>
          <cell r="E4025" t="str">
            <v>WN FLG</v>
          </cell>
          <cell r="F4025">
            <v>3</v>
          </cell>
          <cell r="G4025" t="str">
            <v>CB200108000200</v>
          </cell>
          <cell r="H4025">
            <v>2</v>
          </cell>
          <cell r="I4025" t="str">
            <v>--</v>
          </cell>
          <cell r="J4025">
            <v>1</v>
          </cell>
          <cell r="K4025">
            <v>2</v>
          </cell>
        </row>
        <row r="4026">
          <cell r="A4026" t="str">
            <v>M2</v>
          </cell>
          <cell r="B4026" t="str">
            <v>A5C</v>
          </cell>
          <cell r="C4026" t="str">
            <v>P</v>
          </cell>
          <cell r="D4026" t="str">
            <v>23053</v>
          </cell>
          <cell r="E4026" t="str">
            <v>WN FLG</v>
          </cell>
          <cell r="F4026">
            <v>3</v>
          </cell>
          <cell r="G4026" t="str">
            <v>CB200108000200</v>
          </cell>
          <cell r="H4026">
            <v>2</v>
          </cell>
          <cell r="I4026" t="str">
            <v>--</v>
          </cell>
          <cell r="J4026">
            <v>8</v>
          </cell>
          <cell r="K4026">
            <v>9</v>
          </cell>
        </row>
        <row r="4027">
          <cell r="A4027" t="str">
            <v>M2</v>
          </cell>
          <cell r="B4027" t="str">
            <v>A5C</v>
          </cell>
          <cell r="C4027" t="str">
            <v>TRIM</v>
          </cell>
          <cell r="D4027" t="str">
            <v>C-2302</v>
          </cell>
          <cell r="E4027" t="str">
            <v>WN FLG</v>
          </cell>
          <cell r="F4027">
            <v>3</v>
          </cell>
          <cell r="G4027" t="str">
            <v>CB200108000200</v>
          </cell>
          <cell r="H4027">
            <v>2</v>
          </cell>
          <cell r="I4027" t="str">
            <v>--</v>
          </cell>
          <cell r="J4027">
            <v>2</v>
          </cell>
          <cell r="K4027">
            <v>3</v>
          </cell>
        </row>
        <row r="4028">
          <cell r="A4028" t="str">
            <v>M2</v>
          </cell>
          <cell r="B4028" t="str">
            <v>A5C</v>
          </cell>
          <cell r="C4028" t="str">
            <v>TRIM</v>
          </cell>
          <cell r="D4028" t="str">
            <v>V-2304</v>
          </cell>
          <cell r="E4028" t="str">
            <v>WN FLG</v>
          </cell>
          <cell r="F4028">
            <v>3</v>
          </cell>
          <cell r="G4028" t="str">
            <v>CB200108000200</v>
          </cell>
          <cell r="H4028">
            <v>2</v>
          </cell>
          <cell r="I4028" t="str">
            <v>--</v>
          </cell>
          <cell r="J4028">
            <v>2</v>
          </cell>
          <cell r="K4028">
            <v>3</v>
          </cell>
        </row>
        <row r="4029">
          <cell r="A4029" t="str">
            <v>M2</v>
          </cell>
          <cell r="B4029" t="str">
            <v>A5C</v>
          </cell>
          <cell r="C4029" t="str">
            <v>TRIM</v>
          </cell>
          <cell r="D4029" t="str">
            <v>V-2308</v>
          </cell>
          <cell r="E4029" t="str">
            <v>WN FLG</v>
          </cell>
          <cell r="F4029">
            <v>3</v>
          </cell>
          <cell r="G4029" t="str">
            <v>CB200108000200</v>
          </cell>
          <cell r="H4029">
            <v>2</v>
          </cell>
          <cell r="I4029" t="str">
            <v>--</v>
          </cell>
          <cell r="J4029">
            <v>2</v>
          </cell>
          <cell r="K4029">
            <v>3</v>
          </cell>
        </row>
        <row r="4030">
          <cell r="A4030" t="str">
            <v>M2</v>
          </cell>
          <cell r="B4030" t="str">
            <v>A5C</v>
          </cell>
          <cell r="C4030" t="str">
            <v>TRIM</v>
          </cell>
          <cell r="D4030" t="str">
            <v>V-2310</v>
          </cell>
          <cell r="E4030" t="str">
            <v>WN FLG</v>
          </cell>
          <cell r="F4030">
            <v>3</v>
          </cell>
          <cell r="G4030" t="str">
            <v>CB200108000200</v>
          </cell>
          <cell r="H4030">
            <v>2</v>
          </cell>
          <cell r="I4030" t="str">
            <v>--</v>
          </cell>
          <cell r="J4030">
            <v>2</v>
          </cell>
          <cell r="K4030">
            <v>3</v>
          </cell>
        </row>
        <row r="4031">
          <cell r="A4031" t="str">
            <v>M2</v>
          </cell>
          <cell r="B4031" t="str">
            <v>A5C</v>
          </cell>
          <cell r="C4031" t="str">
            <v>TRIM</v>
          </cell>
          <cell r="D4031" t="str">
            <v>V-2313</v>
          </cell>
          <cell r="E4031" t="str">
            <v>WN FLG</v>
          </cell>
          <cell r="F4031">
            <v>3</v>
          </cell>
          <cell r="G4031" t="str">
            <v>CB200108000200</v>
          </cell>
          <cell r="H4031">
            <v>2</v>
          </cell>
          <cell r="I4031" t="str">
            <v>--</v>
          </cell>
          <cell r="J4031">
            <v>2</v>
          </cell>
          <cell r="K4031">
            <v>3</v>
          </cell>
        </row>
        <row r="4032">
          <cell r="A4032" t="str">
            <v>M2</v>
          </cell>
          <cell r="B4032" t="str">
            <v>A5C</v>
          </cell>
          <cell r="C4032" t="str">
            <v>TRIM</v>
          </cell>
          <cell r="D4032" t="str">
            <v>V-2325</v>
          </cell>
          <cell r="E4032" t="str">
            <v>WN FLG</v>
          </cell>
          <cell r="F4032">
            <v>3</v>
          </cell>
          <cell r="G4032" t="str">
            <v>CB200108000200</v>
          </cell>
          <cell r="H4032">
            <v>2</v>
          </cell>
          <cell r="I4032" t="str">
            <v>--</v>
          </cell>
          <cell r="J4032">
            <v>2</v>
          </cell>
          <cell r="K4032">
            <v>3</v>
          </cell>
        </row>
        <row r="4033">
          <cell r="A4033" t="str">
            <v>M2</v>
          </cell>
          <cell r="B4033" t="str">
            <v>A5C</v>
          </cell>
          <cell r="C4033" t="str">
            <v>TRIM</v>
          </cell>
          <cell r="D4033" t="str">
            <v>V-2403</v>
          </cell>
          <cell r="E4033" t="str">
            <v>WN FLG</v>
          </cell>
          <cell r="F4033">
            <v>3</v>
          </cell>
          <cell r="G4033" t="str">
            <v>CB200108000200</v>
          </cell>
          <cell r="H4033">
            <v>2</v>
          </cell>
          <cell r="I4033" t="str">
            <v>--</v>
          </cell>
          <cell r="J4033">
            <v>6</v>
          </cell>
          <cell r="K4033">
            <v>7</v>
          </cell>
        </row>
        <row r="4034">
          <cell r="A4034" t="str">
            <v>M2</v>
          </cell>
          <cell r="B4034" t="str">
            <v>A5C</v>
          </cell>
          <cell r="C4034" t="str">
            <v>TRIM</v>
          </cell>
          <cell r="D4034" t="str">
            <v>R-2401</v>
          </cell>
          <cell r="E4034" t="str">
            <v>WN FLG</v>
          </cell>
          <cell r="F4034">
            <v>3</v>
          </cell>
          <cell r="G4034" t="str">
            <v>CB200108000200</v>
          </cell>
          <cell r="H4034">
            <v>2</v>
          </cell>
          <cell r="I4034" t="str">
            <v>--</v>
          </cell>
          <cell r="J4034">
            <v>5</v>
          </cell>
          <cell r="K4034">
            <v>6</v>
          </cell>
        </row>
        <row r="4035">
          <cell r="A4035" t="str">
            <v>M2</v>
          </cell>
          <cell r="B4035" t="str">
            <v>A5C</v>
          </cell>
          <cell r="C4035" t="str">
            <v>TRIM</v>
          </cell>
          <cell r="D4035" t="str">
            <v>V-2401</v>
          </cell>
          <cell r="E4035" t="str">
            <v>WN FLG</v>
          </cell>
          <cell r="F4035">
            <v>3</v>
          </cell>
          <cell r="G4035" t="str">
            <v>CB200108000200</v>
          </cell>
          <cell r="H4035">
            <v>2</v>
          </cell>
          <cell r="I4035" t="str">
            <v>--</v>
          </cell>
          <cell r="J4035">
            <v>6</v>
          </cell>
          <cell r="K4035">
            <v>7</v>
          </cell>
        </row>
        <row r="4036">
          <cell r="A4036" t="str">
            <v>M2</v>
          </cell>
          <cell r="B4036" t="str">
            <v>A5C</v>
          </cell>
          <cell r="C4036" t="str">
            <v>TRIM</v>
          </cell>
          <cell r="D4036" t="str">
            <v>V-2404</v>
          </cell>
          <cell r="E4036" t="str">
            <v>WN FLG</v>
          </cell>
          <cell r="F4036">
            <v>3</v>
          </cell>
          <cell r="G4036" t="str">
            <v>CB200108000200</v>
          </cell>
          <cell r="H4036">
            <v>2</v>
          </cell>
          <cell r="I4036" t="str">
            <v>--</v>
          </cell>
          <cell r="J4036">
            <v>6</v>
          </cell>
          <cell r="K4036">
            <v>7</v>
          </cell>
        </row>
        <row r="4037">
          <cell r="A4037" t="str">
            <v>M2</v>
          </cell>
          <cell r="B4037" t="str">
            <v>A5C</v>
          </cell>
          <cell r="C4037" t="str">
            <v>TRIM</v>
          </cell>
          <cell r="D4037" t="str">
            <v>C-2301</v>
          </cell>
          <cell r="E4037" t="str">
            <v>WN FLG</v>
          </cell>
          <cell r="F4037">
            <v>3</v>
          </cell>
          <cell r="G4037" t="str">
            <v>CB200108000200</v>
          </cell>
          <cell r="H4037">
            <v>2</v>
          </cell>
          <cell r="I4037" t="str">
            <v>--</v>
          </cell>
          <cell r="J4037">
            <v>2</v>
          </cell>
          <cell r="K4037">
            <v>3</v>
          </cell>
        </row>
        <row r="4038">
          <cell r="A4038" t="str">
            <v>M2</v>
          </cell>
          <cell r="B4038" t="str">
            <v>B2C</v>
          </cell>
          <cell r="C4038" t="str">
            <v>SH</v>
          </cell>
          <cell r="D4038" t="str">
            <v>23601</v>
          </cell>
          <cell r="E4038" t="str">
            <v>WN FLG</v>
          </cell>
          <cell r="F4038">
            <v>3</v>
          </cell>
          <cell r="G4038" t="str">
            <v>CB200204000300</v>
          </cell>
          <cell r="H4038">
            <v>3</v>
          </cell>
          <cell r="I4038" t="str">
            <v>--</v>
          </cell>
          <cell r="J4038">
            <v>3</v>
          </cell>
          <cell r="K4038">
            <v>4</v>
          </cell>
        </row>
        <row r="4039">
          <cell r="A4039" t="str">
            <v>M2</v>
          </cell>
          <cell r="B4039" t="str">
            <v>B2C</v>
          </cell>
          <cell r="C4039" t="str">
            <v>SH</v>
          </cell>
          <cell r="D4039" t="str">
            <v>23612</v>
          </cell>
          <cell r="E4039" t="str">
            <v>WN FLG</v>
          </cell>
          <cell r="F4039">
            <v>3</v>
          </cell>
          <cell r="G4039" t="str">
            <v>CB200204000300</v>
          </cell>
          <cell r="H4039">
            <v>3</v>
          </cell>
          <cell r="I4039" t="str">
            <v>--</v>
          </cell>
          <cell r="J4039">
            <v>5</v>
          </cell>
          <cell r="K4039">
            <v>6</v>
          </cell>
        </row>
        <row r="4040">
          <cell r="A4040" t="str">
            <v>M2</v>
          </cell>
          <cell r="B4040" t="str">
            <v>A5C</v>
          </cell>
          <cell r="C4040" t="str">
            <v>P</v>
          </cell>
          <cell r="D4040" t="str">
            <v>23005</v>
          </cell>
          <cell r="E4040" t="str">
            <v>WN FLG</v>
          </cell>
          <cell r="F4040">
            <v>3</v>
          </cell>
          <cell r="G4040" t="str">
            <v>CB200104000300</v>
          </cell>
          <cell r="H4040">
            <v>3</v>
          </cell>
          <cell r="I4040" t="str">
            <v>--</v>
          </cell>
          <cell r="J4040">
            <v>9</v>
          </cell>
          <cell r="K4040">
            <v>10</v>
          </cell>
        </row>
        <row r="4041">
          <cell r="A4041" t="str">
            <v>M2</v>
          </cell>
          <cell r="B4041" t="str">
            <v>A5C</v>
          </cell>
          <cell r="C4041" t="str">
            <v>P</v>
          </cell>
          <cell r="D4041" t="str">
            <v>23012</v>
          </cell>
          <cell r="E4041" t="str">
            <v>WN FLG</v>
          </cell>
          <cell r="F4041">
            <v>3</v>
          </cell>
          <cell r="G4041" t="str">
            <v>CB200104000300</v>
          </cell>
          <cell r="H4041">
            <v>3</v>
          </cell>
          <cell r="I4041" t="str">
            <v>--</v>
          </cell>
          <cell r="J4041">
            <v>2</v>
          </cell>
          <cell r="K4041">
            <v>3</v>
          </cell>
        </row>
        <row r="4042">
          <cell r="A4042" t="str">
            <v>M2</v>
          </cell>
          <cell r="B4042" t="str">
            <v>A5C</v>
          </cell>
          <cell r="C4042" t="str">
            <v>P</v>
          </cell>
          <cell r="D4042" t="str">
            <v>23047</v>
          </cell>
          <cell r="E4042" t="str">
            <v>WN FLG</v>
          </cell>
          <cell r="F4042">
            <v>3</v>
          </cell>
          <cell r="G4042" t="str">
            <v>CB200104000300</v>
          </cell>
          <cell r="H4042">
            <v>3</v>
          </cell>
          <cell r="I4042" t="str">
            <v>--</v>
          </cell>
          <cell r="J4042">
            <v>4</v>
          </cell>
          <cell r="K4042">
            <v>5</v>
          </cell>
        </row>
        <row r="4043">
          <cell r="A4043" t="str">
            <v>M2</v>
          </cell>
          <cell r="B4043" t="str">
            <v>A5C</v>
          </cell>
          <cell r="C4043" t="str">
            <v>P</v>
          </cell>
          <cell r="D4043" t="str">
            <v>23058</v>
          </cell>
          <cell r="E4043" t="str">
            <v>WN FLG</v>
          </cell>
          <cell r="F4043">
            <v>3</v>
          </cell>
          <cell r="G4043" t="str">
            <v>CB200104000300</v>
          </cell>
          <cell r="H4043">
            <v>3</v>
          </cell>
          <cell r="I4043" t="str">
            <v>--</v>
          </cell>
          <cell r="J4043">
            <v>2</v>
          </cell>
          <cell r="K4043">
            <v>3</v>
          </cell>
        </row>
        <row r="4044">
          <cell r="A4044" t="str">
            <v>M2</v>
          </cell>
          <cell r="B4044" t="str">
            <v>A5C</v>
          </cell>
          <cell r="C4044" t="str">
            <v>P</v>
          </cell>
          <cell r="D4044" t="str">
            <v>23106</v>
          </cell>
          <cell r="E4044" t="str">
            <v>WN FLG</v>
          </cell>
          <cell r="F4044">
            <v>3</v>
          </cell>
          <cell r="G4044" t="str">
            <v>CB200104000300</v>
          </cell>
          <cell r="H4044">
            <v>3</v>
          </cell>
          <cell r="I4044" t="str">
            <v>--</v>
          </cell>
          <cell r="J4044">
            <v>1</v>
          </cell>
          <cell r="K4044">
            <v>2</v>
          </cell>
        </row>
        <row r="4045">
          <cell r="A4045" t="str">
            <v>M2</v>
          </cell>
          <cell r="B4045" t="str">
            <v>A5C</v>
          </cell>
          <cell r="C4045" t="str">
            <v>P</v>
          </cell>
          <cell r="D4045" t="str">
            <v>23106</v>
          </cell>
          <cell r="E4045" t="str">
            <v>WN FLG</v>
          </cell>
          <cell r="F4045">
            <v>3</v>
          </cell>
          <cell r="G4045" t="str">
            <v>CB200104000300</v>
          </cell>
          <cell r="H4045">
            <v>3</v>
          </cell>
          <cell r="I4045" t="str">
            <v>--</v>
          </cell>
          <cell r="J4045">
            <v>4</v>
          </cell>
          <cell r="K4045">
            <v>5</v>
          </cell>
        </row>
        <row r="4046">
          <cell r="A4046" t="str">
            <v>M2</v>
          </cell>
          <cell r="B4046" t="str">
            <v>A5C</v>
          </cell>
          <cell r="C4046" t="str">
            <v>P</v>
          </cell>
          <cell r="D4046" t="str">
            <v>23110</v>
          </cell>
          <cell r="E4046" t="str">
            <v>WN FLG</v>
          </cell>
          <cell r="F4046">
            <v>3</v>
          </cell>
          <cell r="G4046" t="str">
            <v>CB200104000300</v>
          </cell>
          <cell r="H4046">
            <v>3</v>
          </cell>
          <cell r="I4046" t="str">
            <v>--</v>
          </cell>
          <cell r="J4046">
            <v>2</v>
          </cell>
          <cell r="K4046">
            <v>3</v>
          </cell>
        </row>
        <row r="4047">
          <cell r="A4047" t="str">
            <v>M2</v>
          </cell>
          <cell r="B4047" t="str">
            <v>A5C</v>
          </cell>
          <cell r="C4047" t="str">
            <v>P</v>
          </cell>
          <cell r="D4047" t="str">
            <v>23114</v>
          </cell>
          <cell r="E4047" t="str">
            <v>WN FLG</v>
          </cell>
          <cell r="F4047">
            <v>3</v>
          </cell>
          <cell r="G4047" t="str">
            <v>CB200104000300</v>
          </cell>
          <cell r="H4047">
            <v>3</v>
          </cell>
          <cell r="I4047" t="str">
            <v>--</v>
          </cell>
          <cell r="J4047">
            <v>2</v>
          </cell>
          <cell r="K4047">
            <v>3</v>
          </cell>
        </row>
        <row r="4048">
          <cell r="A4048" t="str">
            <v>M2</v>
          </cell>
          <cell r="B4048" t="str">
            <v>A5C</v>
          </cell>
          <cell r="C4048" t="str">
            <v>P</v>
          </cell>
          <cell r="D4048" t="str">
            <v>23121</v>
          </cell>
          <cell r="E4048" t="str">
            <v>WN FLG</v>
          </cell>
          <cell r="F4048">
            <v>3</v>
          </cell>
          <cell r="G4048" t="str">
            <v>CB200104000300</v>
          </cell>
          <cell r="H4048">
            <v>3</v>
          </cell>
          <cell r="I4048" t="str">
            <v>--</v>
          </cell>
          <cell r="J4048">
            <v>2</v>
          </cell>
          <cell r="K4048">
            <v>3</v>
          </cell>
        </row>
        <row r="4049">
          <cell r="A4049" t="str">
            <v>M2</v>
          </cell>
          <cell r="B4049" t="str">
            <v>A5C</v>
          </cell>
          <cell r="C4049" t="str">
            <v>P</v>
          </cell>
          <cell r="D4049" t="str">
            <v>23124</v>
          </cell>
          <cell r="E4049" t="str">
            <v>WN FLG</v>
          </cell>
          <cell r="F4049">
            <v>3</v>
          </cell>
          <cell r="G4049" t="str">
            <v>CB200204000300</v>
          </cell>
          <cell r="H4049">
            <v>3</v>
          </cell>
          <cell r="I4049" t="str">
            <v>--</v>
          </cell>
          <cell r="J4049">
            <v>2</v>
          </cell>
          <cell r="K4049">
            <v>3</v>
          </cell>
        </row>
        <row r="4050">
          <cell r="A4050" t="str">
            <v>M2</v>
          </cell>
          <cell r="B4050" t="str">
            <v>A5C</v>
          </cell>
          <cell r="C4050" t="str">
            <v>P</v>
          </cell>
          <cell r="D4050" t="str">
            <v>23124</v>
          </cell>
          <cell r="E4050" t="str">
            <v>WN FLG</v>
          </cell>
          <cell r="F4050">
            <v>3</v>
          </cell>
          <cell r="G4050" t="str">
            <v>CB200104000300</v>
          </cell>
          <cell r="H4050">
            <v>3</v>
          </cell>
          <cell r="I4050" t="str">
            <v>--</v>
          </cell>
          <cell r="J4050">
            <v>9</v>
          </cell>
          <cell r="K4050">
            <v>10</v>
          </cell>
        </row>
        <row r="4051">
          <cell r="A4051" t="str">
            <v>M2</v>
          </cell>
          <cell r="B4051" t="str">
            <v>A5C</v>
          </cell>
          <cell r="C4051" t="str">
            <v>P</v>
          </cell>
          <cell r="D4051" t="str">
            <v>23123</v>
          </cell>
          <cell r="E4051" t="str">
            <v>WN FLG</v>
          </cell>
          <cell r="F4051">
            <v>3</v>
          </cell>
          <cell r="G4051" t="str">
            <v>CB200104000300</v>
          </cell>
          <cell r="H4051">
            <v>3</v>
          </cell>
          <cell r="I4051" t="str">
            <v>--</v>
          </cell>
          <cell r="J4051">
            <v>2</v>
          </cell>
          <cell r="K4051">
            <v>3</v>
          </cell>
        </row>
        <row r="4052">
          <cell r="A4052" t="str">
            <v>M2</v>
          </cell>
          <cell r="B4052" t="str">
            <v>A5C</v>
          </cell>
          <cell r="C4052" t="str">
            <v>P</v>
          </cell>
          <cell r="D4052" t="str">
            <v>23127</v>
          </cell>
          <cell r="E4052" t="str">
            <v>WN FLG</v>
          </cell>
          <cell r="F4052">
            <v>3</v>
          </cell>
          <cell r="G4052" t="str">
            <v>CB200104000300</v>
          </cell>
          <cell r="H4052">
            <v>3</v>
          </cell>
          <cell r="I4052" t="str">
            <v>--</v>
          </cell>
          <cell r="J4052">
            <v>2</v>
          </cell>
          <cell r="K4052">
            <v>3</v>
          </cell>
        </row>
        <row r="4053">
          <cell r="A4053" t="str">
            <v>M2</v>
          </cell>
          <cell r="B4053" t="str">
            <v>A5C</v>
          </cell>
          <cell r="C4053" t="str">
            <v>P</v>
          </cell>
          <cell r="D4053" t="str">
            <v>23134</v>
          </cell>
          <cell r="E4053" t="str">
            <v>WN FLG</v>
          </cell>
          <cell r="F4053">
            <v>3</v>
          </cell>
          <cell r="G4053" t="str">
            <v>CB200104000300</v>
          </cell>
          <cell r="H4053">
            <v>3</v>
          </cell>
          <cell r="I4053" t="str">
            <v>--</v>
          </cell>
          <cell r="J4053">
            <v>2</v>
          </cell>
          <cell r="K4053">
            <v>3</v>
          </cell>
        </row>
        <row r="4054">
          <cell r="A4054" t="str">
            <v>M2</v>
          </cell>
          <cell r="B4054" t="str">
            <v>A5C</v>
          </cell>
          <cell r="C4054" t="str">
            <v>P</v>
          </cell>
          <cell r="D4054" t="str">
            <v>23142</v>
          </cell>
          <cell r="E4054" t="str">
            <v>WN FLG</v>
          </cell>
          <cell r="F4054">
            <v>3</v>
          </cell>
          <cell r="G4054" t="str">
            <v>CB200104000300</v>
          </cell>
          <cell r="H4054">
            <v>3</v>
          </cell>
          <cell r="I4054" t="str">
            <v>--</v>
          </cell>
          <cell r="J4054">
            <v>9</v>
          </cell>
          <cell r="K4054">
            <v>10</v>
          </cell>
        </row>
        <row r="4055">
          <cell r="A4055" t="str">
            <v>M2</v>
          </cell>
          <cell r="B4055" t="str">
            <v>A5C</v>
          </cell>
          <cell r="C4055" t="str">
            <v>P</v>
          </cell>
          <cell r="D4055" t="str">
            <v>23174</v>
          </cell>
          <cell r="E4055" t="str">
            <v>WN FLG</v>
          </cell>
          <cell r="F4055">
            <v>3</v>
          </cell>
          <cell r="G4055" t="str">
            <v>CB200204000300</v>
          </cell>
          <cell r="H4055">
            <v>3</v>
          </cell>
          <cell r="I4055" t="str">
            <v>--</v>
          </cell>
          <cell r="J4055">
            <v>2</v>
          </cell>
          <cell r="K4055">
            <v>3</v>
          </cell>
        </row>
        <row r="4056">
          <cell r="A4056" t="str">
            <v>M2</v>
          </cell>
          <cell r="B4056" t="str">
            <v>A5C</v>
          </cell>
          <cell r="C4056" t="str">
            <v>P</v>
          </cell>
          <cell r="D4056" t="str">
            <v>23174</v>
          </cell>
          <cell r="E4056" t="str">
            <v>WN FLG</v>
          </cell>
          <cell r="F4056">
            <v>3</v>
          </cell>
          <cell r="G4056" t="str">
            <v>CB200104000300</v>
          </cell>
          <cell r="H4056">
            <v>3</v>
          </cell>
          <cell r="I4056" t="str">
            <v>--</v>
          </cell>
          <cell r="J4056">
            <v>2</v>
          </cell>
          <cell r="K4056">
            <v>3</v>
          </cell>
        </row>
        <row r="4057">
          <cell r="A4057" t="str">
            <v>M2</v>
          </cell>
          <cell r="B4057" t="str">
            <v>A5C</v>
          </cell>
          <cell r="C4057" t="str">
            <v>P</v>
          </cell>
          <cell r="D4057" t="str">
            <v>23232</v>
          </cell>
          <cell r="E4057" t="str">
            <v>WN FLG</v>
          </cell>
          <cell r="F4057">
            <v>3</v>
          </cell>
          <cell r="G4057" t="str">
            <v>CB200104000300</v>
          </cell>
          <cell r="H4057">
            <v>3</v>
          </cell>
          <cell r="I4057" t="str">
            <v>--</v>
          </cell>
          <cell r="J4057">
            <v>9</v>
          </cell>
          <cell r="K4057">
            <v>10</v>
          </cell>
        </row>
        <row r="4058">
          <cell r="A4058" t="str">
            <v>M2</v>
          </cell>
          <cell r="B4058" t="str">
            <v>A5C</v>
          </cell>
          <cell r="C4058" t="str">
            <v>P</v>
          </cell>
          <cell r="D4058" t="str">
            <v>23240</v>
          </cell>
          <cell r="E4058" t="str">
            <v>WN FLG</v>
          </cell>
          <cell r="F4058">
            <v>3</v>
          </cell>
          <cell r="G4058" t="str">
            <v>CB200104000300</v>
          </cell>
          <cell r="H4058">
            <v>3</v>
          </cell>
          <cell r="I4058" t="str">
            <v>--</v>
          </cell>
          <cell r="J4058">
            <v>8</v>
          </cell>
          <cell r="K4058">
            <v>9</v>
          </cell>
        </row>
        <row r="4059">
          <cell r="A4059" t="str">
            <v>M2</v>
          </cell>
          <cell r="B4059" t="str">
            <v>A5C</v>
          </cell>
          <cell r="C4059" t="str">
            <v>P</v>
          </cell>
          <cell r="D4059" t="str">
            <v>23236</v>
          </cell>
          <cell r="E4059" t="str">
            <v>WN FLG</v>
          </cell>
          <cell r="F4059">
            <v>3</v>
          </cell>
          <cell r="G4059" t="str">
            <v>CB200104000300</v>
          </cell>
          <cell r="H4059">
            <v>3</v>
          </cell>
          <cell r="I4059" t="str">
            <v>--</v>
          </cell>
          <cell r="J4059">
            <v>1</v>
          </cell>
          <cell r="K4059">
            <v>2</v>
          </cell>
        </row>
        <row r="4060">
          <cell r="A4060" t="str">
            <v>M2</v>
          </cell>
          <cell r="B4060" t="str">
            <v>A5C</v>
          </cell>
          <cell r="C4060" t="str">
            <v>P</v>
          </cell>
          <cell r="D4060" t="str">
            <v>23236</v>
          </cell>
          <cell r="E4060" t="str">
            <v>WN FLG</v>
          </cell>
          <cell r="F4060">
            <v>3</v>
          </cell>
          <cell r="G4060" t="str">
            <v>CB200104000300</v>
          </cell>
          <cell r="H4060">
            <v>3</v>
          </cell>
          <cell r="I4060" t="str">
            <v>--</v>
          </cell>
          <cell r="J4060">
            <v>8</v>
          </cell>
          <cell r="K4060">
            <v>9</v>
          </cell>
        </row>
        <row r="4061">
          <cell r="A4061" t="str">
            <v>M2</v>
          </cell>
          <cell r="B4061" t="str">
            <v>A5C</v>
          </cell>
          <cell r="C4061" t="str">
            <v>P</v>
          </cell>
          <cell r="D4061" t="str">
            <v>23256</v>
          </cell>
          <cell r="E4061" t="str">
            <v>WN FLG</v>
          </cell>
          <cell r="F4061">
            <v>3</v>
          </cell>
          <cell r="G4061" t="str">
            <v>CB200104000300</v>
          </cell>
          <cell r="H4061">
            <v>3</v>
          </cell>
          <cell r="I4061" t="str">
            <v>--</v>
          </cell>
          <cell r="J4061">
            <v>2</v>
          </cell>
          <cell r="K4061">
            <v>3</v>
          </cell>
        </row>
        <row r="4062">
          <cell r="A4062" t="str">
            <v>M2</v>
          </cell>
          <cell r="B4062" t="str">
            <v>A5C</v>
          </cell>
          <cell r="C4062" t="str">
            <v>P</v>
          </cell>
          <cell r="D4062" t="str">
            <v>23257</v>
          </cell>
          <cell r="E4062" t="str">
            <v>WN FLG</v>
          </cell>
          <cell r="F4062">
            <v>3</v>
          </cell>
          <cell r="G4062" t="str">
            <v>CB200104000300</v>
          </cell>
          <cell r="H4062">
            <v>3</v>
          </cell>
          <cell r="I4062" t="str">
            <v>--</v>
          </cell>
          <cell r="J4062">
            <v>2</v>
          </cell>
          <cell r="K4062">
            <v>3</v>
          </cell>
        </row>
        <row r="4063">
          <cell r="A4063" t="str">
            <v>M2</v>
          </cell>
          <cell r="B4063" t="str">
            <v>A5C</v>
          </cell>
          <cell r="C4063" t="str">
            <v>P</v>
          </cell>
          <cell r="D4063" t="str">
            <v>23258</v>
          </cell>
          <cell r="E4063" t="str">
            <v>WN FLG</v>
          </cell>
          <cell r="F4063">
            <v>3</v>
          </cell>
          <cell r="G4063" t="str">
            <v>CB200104000300</v>
          </cell>
          <cell r="H4063">
            <v>3</v>
          </cell>
          <cell r="I4063" t="str">
            <v>--</v>
          </cell>
          <cell r="J4063">
            <v>2</v>
          </cell>
          <cell r="K4063">
            <v>3</v>
          </cell>
        </row>
        <row r="4064">
          <cell r="A4064" t="str">
            <v>M2</v>
          </cell>
          <cell r="B4064" t="str">
            <v>A5C</v>
          </cell>
          <cell r="C4064" t="str">
            <v>P</v>
          </cell>
          <cell r="D4064" t="str">
            <v>23254</v>
          </cell>
          <cell r="E4064" t="str">
            <v>WN FLG</v>
          </cell>
          <cell r="F4064">
            <v>3</v>
          </cell>
          <cell r="G4064" t="str">
            <v>CB200104000300</v>
          </cell>
          <cell r="H4064">
            <v>3</v>
          </cell>
          <cell r="I4064" t="str">
            <v>--</v>
          </cell>
          <cell r="J4064">
            <v>9</v>
          </cell>
          <cell r="K4064">
            <v>10</v>
          </cell>
        </row>
        <row r="4065">
          <cell r="A4065" t="str">
            <v>M2</v>
          </cell>
          <cell r="B4065" t="str">
            <v>A5C</v>
          </cell>
          <cell r="C4065" t="str">
            <v>P</v>
          </cell>
          <cell r="D4065" t="str">
            <v>23082</v>
          </cell>
          <cell r="E4065" t="str">
            <v>WN FLG</v>
          </cell>
          <cell r="F4065">
            <v>3</v>
          </cell>
          <cell r="G4065" t="str">
            <v>CB200104000300</v>
          </cell>
          <cell r="H4065">
            <v>3</v>
          </cell>
          <cell r="I4065" t="str">
            <v>--</v>
          </cell>
          <cell r="J4065">
            <v>9</v>
          </cell>
          <cell r="K4065">
            <v>10</v>
          </cell>
        </row>
        <row r="4066">
          <cell r="A4066" t="str">
            <v>M2</v>
          </cell>
          <cell r="B4066" t="str">
            <v>A5C</v>
          </cell>
          <cell r="C4066" t="str">
            <v>P</v>
          </cell>
          <cell r="D4066" t="str">
            <v>23146</v>
          </cell>
          <cell r="E4066" t="str">
            <v>WN FLG</v>
          </cell>
          <cell r="F4066">
            <v>3</v>
          </cell>
          <cell r="G4066" t="str">
            <v>CB200104000300</v>
          </cell>
          <cell r="H4066">
            <v>3</v>
          </cell>
          <cell r="I4066" t="str">
            <v>--</v>
          </cell>
          <cell r="J4066">
            <v>2</v>
          </cell>
          <cell r="K4066">
            <v>3</v>
          </cell>
        </row>
        <row r="4067">
          <cell r="A4067" t="str">
            <v>M2</v>
          </cell>
          <cell r="B4067" t="str">
            <v>A5C</v>
          </cell>
          <cell r="C4067" t="str">
            <v>P</v>
          </cell>
          <cell r="D4067" t="str">
            <v>23240</v>
          </cell>
          <cell r="E4067" t="str">
            <v>WN FLG</v>
          </cell>
          <cell r="F4067">
            <v>3</v>
          </cell>
          <cell r="G4067" t="str">
            <v>CB200104000300</v>
          </cell>
          <cell r="H4067">
            <v>3</v>
          </cell>
          <cell r="I4067" t="str">
            <v>--</v>
          </cell>
          <cell r="J4067">
            <v>1</v>
          </cell>
          <cell r="K4067">
            <v>2</v>
          </cell>
        </row>
        <row r="4068">
          <cell r="A4068" t="str">
            <v>M2</v>
          </cell>
          <cell r="B4068" t="str">
            <v>A5C</v>
          </cell>
          <cell r="C4068" t="str">
            <v>P</v>
          </cell>
          <cell r="D4068" t="str">
            <v>23246</v>
          </cell>
          <cell r="E4068" t="str">
            <v>WN FLG</v>
          </cell>
          <cell r="F4068">
            <v>3</v>
          </cell>
          <cell r="G4068" t="str">
            <v>CB200104000300</v>
          </cell>
          <cell r="H4068">
            <v>3</v>
          </cell>
          <cell r="I4068" t="str">
            <v>--</v>
          </cell>
          <cell r="J4068">
            <v>9</v>
          </cell>
          <cell r="K4068">
            <v>10</v>
          </cell>
        </row>
        <row r="4069">
          <cell r="A4069" t="str">
            <v>M2</v>
          </cell>
          <cell r="B4069" t="str">
            <v>A5C</v>
          </cell>
          <cell r="C4069" t="str">
            <v>P</v>
          </cell>
          <cell r="D4069" t="str">
            <v>23016</v>
          </cell>
          <cell r="E4069" t="str">
            <v>WN FLG</v>
          </cell>
          <cell r="F4069">
            <v>3</v>
          </cell>
          <cell r="G4069" t="str">
            <v>CB200104000300</v>
          </cell>
          <cell r="H4069">
            <v>3</v>
          </cell>
          <cell r="I4069" t="str">
            <v>--</v>
          </cell>
          <cell r="J4069">
            <v>2</v>
          </cell>
          <cell r="K4069">
            <v>3</v>
          </cell>
        </row>
        <row r="4070">
          <cell r="A4070" t="str">
            <v>M2</v>
          </cell>
          <cell r="B4070" t="str">
            <v>A5C</v>
          </cell>
          <cell r="C4070" t="str">
            <v>P</v>
          </cell>
          <cell r="D4070" t="str">
            <v>23017</v>
          </cell>
          <cell r="E4070" t="str">
            <v>WN FLG</v>
          </cell>
          <cell r="F4070">
            <v>3</v>
          </cell>
          <cell r="G4070" t="str">
            <v>CB200104000300</v>
          </cell>
          <cell r="H4070">
            <v>3</v>
          </cell>
          <cell r="I4070" t="str">
            <v>--</v>
          </cell>
          <cell r="J4070">
            <v>5</v>
          </cell>
          <cell r="K4070">
            <v>6</v>
          </cell>
        </row>
        <row r="4071">
          <cell r="A4071" t="str">
            <v>M2</v>
          </cell>
          <cell r="B4071" t="str">
            <v>A5C</v>
          </cell>
          <cell r="C4071" t="str">
            <v>P</v>
          </cell>
          <cell r="D4071" t="str">
            <v>23024</v>
          </cell>
          <cell r="E4071" t="str">
            <v>WN FLG</v>
          </cell>
          <cell r="F4071">
            <v>3</v>
          </cell>
          <cell r="G4071" t="str">
            <v>CB200104000300</v>
          </cell>
          <cell r="H4071">
            <v>3</v>
          </cell>
          <cell r="I4071" t="str">
            <v>--</v>
          </cell>
          <cell r="J4071">
            <v>2</v>
          </cell>
          <cell r="K4071">
            <v>3</v>
          </cell>
        </row>
        <row r="4072">
          <cell r="A4072" t="str">
            <v>M2</v>
          </cell>
          <cell r="B4072" t="str">
            <v>A5C</v>
          </cell>
          <cell r="C4072" t="str">
            <v>P</v>
          </cell>
          <cell r="D4072" t="str">
            <v>23024</v>
          </cell>
          <cell r="E4072" t="str">
            <v>WN FLG</v>
          </cell>
          <cell r="F4072">
            <v>3</v>
          </cell>
          <cell r="G4072" t="str">
            <v>CB200204000300</v>
          </cell>
          <cell r="H4072">
            <v>3</v>
          </cell>
          <cell r="I4072" t="str">
            <v>--</v>
          </cell>
          <cell r="J4072">
            <v>2</v>
          </cell>
          <cell r="K4072">
            <v>3</v>
          </cell>
        </row>
        <row r="4073">
          <cell r="A4073" t="str">
            <v>M2</v>
          </cell>
          <cell r="B4073" t="str">
            <v>A5C</v>
          </cell>
          <cell r="C4073" t="str">
            <v>P</v>
          </cell>
          <cell r="D4073" t="str">
            <v>23024</v>
          </cell>
          <cell r="E4073" t="str">
            <v>WN FLG</v>
          </cell>
          <cell r="F4073">
            <v>3</v>
          </cell>
          <cell r="G4073" t="str">
            <v>CB200104000300</v>
          </cell>
          <cell r="H4073">
            <v>3</v>
          </cell>
          <cell r="I4073" t="str">
            <v>--</v>
          </cell>
          <cell r="J4073">
            <v>2</v>
          </cell>
          <cell r="K4073">
            <v>3</v>
          </cell>
        </row>
        <row r="4074">
          <cell r="A4074" t="str">
            <v>M2</v>
          </cell>
          <cell r="B4074" t="str">
            <v>A5C</v>
          </cell>
          <cell r="C4074" t="str">
            <v>P</v>
          </cell>
          <cell r="D4074" t="str">
            <v>23029</v>
          </cell>
          <cell r="E4074" t="str">
            <v>WN FLG</v>
          </cell>
          <cell r="F4074">
            <v>3</v>
          </cell>
          <cell r="G4074" t="str">
            <v>CB200104000300</v>
          </cell>
          <cell r="H4074">
            <v>3</v>
          </cell>
          <cell r="I4074" t="str">
            <v>--</v>
          </cell>
          <cell r="J4074">
            <v>2</v>
          </cell>
          <cell r="K4074">
            <v>3</v>
          </cell>
        </row>
        <row r="4075">
          <cell r="A4075" t="str">
            <v>M2</v>
          </cell>
          <cell r="B4075" t="str">
            <v>A5C</v>
          </cell>
          <cell r="C4075" t="str">
            <v>P</v>
          </cell>
          <cell r="D4075" t="str">
            <v>23029</v>
          </cell>
          <cell r="E4075" t="str">
            <v>WN FLG</v>
          </cell>
          <cell r="F4075">
            <v>3</v>
          </cell>
          <cell r="G4075" t="str">
            <v>CB200204000300</v>
          </cell>
          <cell r="H4075">
            <v>3</v>
          </cell>
          <cell r="I4075" t="str">
            <v>--</v>
          </cell>
          <cell r="J4075">
            <v>2</v>
          </cell>
          <cell r="K4075">
            <v>3</v>
          </cell>
        </row>
        <row r="4076">
          <cell r="A4076" t="str">
            <v>M2</v>
          </cell>
          <cell r="B4076" t="str">
            <v>A5C</v>
          </cell>
          <cell r="C4076" t="str">
            <v>P</v>
          </cell>
          <cell r="D4076" t="str">
            <v>23050</v>
          </cell>
          <cell r="E4076" t="str">
            <v>WN FLG</v>
          </cell>
          <cell r="F4076">
            <v>3</v>
          </cell>
          <cell r="G4076" t="str">
            <v>CB200104000300</v>
          </cell>
          <cell r="H4076">
            <v>3</v>
          </cell>
          <cell r="I4076" t="str">
            <v>--</v>
          </cell>
          <cell r="J4076">
            <v>2</v>
          </cell>
          <cell r="K4076">
            <v>3</v>
          </cell>
        </row>
        <row r="4077">
          <cell r="A4077" t="str">
            <v>M2</v>
          </cell>
          <cell r="B4077" t="str">
            <v>A5C</v>
          </cell>
          <cell r="C4077" t="str">
            <v>P</v>
          </cell>
          <cell r="D4077" t="str">
            <v>23051</v>
          </cell>
          <cell r="E4077" t="str">
            <v>WN FLG</v>
          </cell>
          <cell r="F4077">
            <v>3</v>
          </cell>
          <cell r="G4077" t="str">
            <v>CB200104000300</v>
          </cell>
          <cell r="H4077">
            <v>3</v>
          </cell>
          <cell r="I4077" t="str">
            <v>--</v>
          </cell>
          <cell r="J4077">
            <v>5</v>
          </cell>
          <cell r="K4077">
            <v>6</v>
          </cell>
        </row>
        <row r="4078">
          <cell r="A4078" t="str">
            <v>M2</v>
          </cell>
          <cell r="B4078" t="str">
            <v>A5C</v>
          </cell>
          <cell r="C4078" t="str">
            <v>P</v>
          </cell>
          <cell r="D4078" t="str">
            <v>23061</v>
          </cell>
          <cell r="E4078" t="str">
            <v>WN FLG</v>
          </cell>
          <cell r="F4078">
            <v>3</v>
          </cell>
          <cell r="G4078" t="str">
            <v>CB200104000300</v>
          </cell>
          <cell r="H4078">
            <v>3</v>
          </cell>
          <cell r="I4078" t="str">
            <v>--</v>
          </cell>
          <cell r="J4078">
            <v>2</v>
          </cell>
          <cell r="K4078">
            <v>3</v>
          </cell>
        </row>
        <row r="4079">
          <cell r="A4079" t="str">
            <v>M2</v>
          </cell>
          <cell r="B4079" t="str">
            <v>A5C</v>
          </cell>
          <cell r="C4079" t="str">
            <v>P</v>
          </cell>
          <cell r="D4079" t="str">
            <v>23064</v>
          </cell>
          <cell r="E4079" t="str">
            <v>WN FLG</v>
          </cell>
          <cell r="F4079">
            <v>3</v>
          </cell>
          <cell r="G4079" t="str">
            <v>CB200104000300</v>
          </cell>
          <cell r="H4079">
            <v>3</v>
          </cell>
          <cell r="I4079" t="str">
            <v>--</v>
          </cell>
          <cell r="J4079">
            <v>7</v>
          </cell>
          <cell r="K4079">
            <v>8</v>
          </cell>
        </row>
        <row r="4080">
          <cell r="A4080" t="str">
            <v>M2</v>
          </cell>
          <cell r="B4080" t="str">
            <v>A5C</v>
          </cell>
          <cell r="C4080" t="str">
            <v>P</v>
          </cell>
          <cell r="D4080" t="str">
            <v>23086</v>
          </cell>
          <cell r="E4080" t="str">
            <v>WN FLG</v>
          </cell>
          <cell r="F4080">
            <v>3</v>
          </cell>
          <cell r="G4080" t="str">
            <v>CB200104000300</v>
          </cell>
          <cell r="H4080">
            <v>3</v>
          </cell>
          <cell r="I4080" t="str">
            <v>--</v>
          </cell>
          <cell r="J4080">
            <v>4</v>
          </cell>
          <cell r="K4080">
            <v>5</v>
          </cell>
        </row>
        <row r="4081">
          <cell r="A4081" t="str">
            <v>M2</v>
          </cell>
          <cell r="B4081" t="str">
            <v>A5C</v>
          </cell>
          <cell r="C4081" t="str">
            <v>P</v>
          </cell>
          <cell r="D4081" t="str">
            <v>23125</v>
          </cell>
          <cell r="E4081" t="str">
            <v>WN FLG</v>
          </cell>
          <cell r="F4081">
            <v>3</v>
          </cell>
          <cell r="G4081" t="str">
            <v>CB200104000300</v>
          </cell>
          <cell r="H4081">
            <v>3</v>
          </cell>
          <cell r="I4081" t="str">
            <v>--</v>
          </cell>
          <cell r="J4081">
            <v>4</v>
          </cell>
          <cell r="K4081">
            <v>5</v>
          </cell>
        </row>
        <row r="4082">
          <cell r="A4082" t="str">
            <v>M2</v>
          </cell>
          <cell r="B4082" t="str">
            <v>A5C</v>
          </cell>
          <cell r="C4082" t="str">
            <v>P</v>
          </cell>
          <cell r="D4082" t="str">
            <v>23029</v>
          </cell>
          <cell r="E4082" t="str">
            <v>WN FLG</v>
          </cell>
          <cell r="F4082">
            <v>3</v>
          </cell>
          <cell r="G4082" t="str">
            <v>CB200104000300</v>
          </cell>
          <cell r="H4082">
            <v>3</v>
          </cell>
          <cell r="I4082" t="str">
            <v>--</v>
          </cell>
          <cell r="J4082">
            <v>2</v>
          </cell>
          <cell r="K4082">
            <v>3</v>
          </cell>
        </row>
        <row r="4083">
          <cell r="A4083" t="str">
            <v>M2</v>
          </cell>
          <cell r="B4083" t="str">
            <v>A5C</v>
          </cell>
          <cell r="C4083" t="str">
            <v>P</v>
          </cell>
          <cell r="D4083" t="str">
            <v>23062</v>
          </cell>
          <cell r="E4083" t="str">
            <v>WN FLG</v>
          </cell>
          <cell r="F4083">
            <v>3</v>
          </cell>
          <cell r="G4083" t="str">
            <v>CB200104000300</v>
          </cell>
          <cell r="H4083">
            <v>3</v>
          </cell>
          <cell r="I4083" t="str">
            <v>--</v>
          </cell>
          <cell r="J4083">
            <v>2</v>
          </cell>
          <cell r="K4083">
            <v>3</v>
          </cell>
        </row>
        <row r="4084">
          <cell r="A4084" t="str">
            <v>M2</v>
          </cell>
          <cell r="B4084" t="str">
            <v>A5C</v>
          </cell>
          <cell r="C4084" t="str">
            <v>P</v>
          </cell>
          <cell r="D4084" t="str">
            <v>23064</v>
          </cell>
          <cell r="E4084" t="str">
            <v>WN FLG</v>
          </cell>
          <cell r="F4084">
            <v>3</v>
          </cell>
          <cell r="G4084" t="str">
            <v>CB200104000300</v>
          </cell>
          <cell r="H4084">
            <v>3</v>
          </cell>
          <cell r="I4084" t="str">
            <v>--</v>
          </cell>
          <cell r="J4084">
            <v>8</v>
          </cell>
          <cell r="K4084">
            <v>9</v>
          </cell>
        </row>
        <row r="4085">
          <cell r="A4085" t="str">
            <v>M2</v>
          </cell>
          <cell r="B4085" t="str">
            <v>A5C</v>
          </cell>
          <cell r="C4085" t="str">
            <v>P</v>
          </cell>
          <cell r="D4085" t="str">
            <v>23071</v>
          </cell>
          <cell r="E4085" t="str">
            <v>WN FLG</v>
          </cell>
          <cell r="F4085">
            <v>3</v>
          </cell>
          <cell r="G4085" t="str">
            <v>CB200104000300</v>
          </cell>
          <cell r="H4085">
            <v>3</v>
          </cell>
          <cell r="I4085" t="str">
            <v>--</v>
          </cell>
          <cell r="J4085">
            <v>2</v>
          </cell>
          <cell r="K4085">
            <v>3</v>
          </cell>
        </row>
        <row r="4086">
          <cell r="A4086" t="str">
            <v>M2</v>
          </cell>
          <cell r="B4086" t="str">
            <v>A5C</v>
          </cell>
          <cell r="C4086" t="str">
            <v>P</v>
          </cell>
          <cell r="D4086" t="str">
            <v>24002</v>
          </cell>
          <cell r="E4086" t="str">
            <v>WN FLG</v>
          </cell>
          <cell r="F4086">
            <v>3</v>
          </cell>
          <cell r="G4086" t="str">
            <v>CB200104000300</v>
          </cell>
          <cell r="H4086">
            <v>3</v>
          </cell>
          <cell r="I4086" t="str">
            <v>--</v>
          </cell>
          <cell r="J4086">
            <v>1</v>
          </cell>
          <cell r="K4086">
            <v>2</v>
          </cell>
        </row>
        <row r="4087">
          <cell r="A4087" t="str">
            <v>M2</v>
          </cell>
          <cell r="B4087" t="str">
            <v>A5C</v>
          </cell>
          <cell r="C4087" t="str">
            <v>P</v>
          </cell>
          <cell r="D4087" t="str">
            <v>24026</v>
          </cell>
          <cell r="E4087" t="str">
            <v>WN FLG</v>
          </cell>
          <cell r="F4087">
            <v>3</v>
          </cell>
          <cell r="G4087" t="str">
            <v>CB200104000300</v>
          </cell>
          <cell r="H4087">
            <v>3</v>
          </cell>
          <cell r="I4087" t="str">
            <v>--</v>
          </cell>
          <cell r="J4087">
            <v>1</v>
          </cell>
          <cell r="K4087">
            <v>2</v>
          </cell>
        </row>
        <row r="4088">
          <cell r="A4088" t="str">
            <v>M2</v>
          </cell>
          <cell r="B4088" t="str">
            <v>A5C</v>
          </cell>
          <cell r="C4088" t="str">
            <v>P</v>
          </cell>
          <cell r="D4088" t="str">
            <v>24003</v>
          </cell>
          <cell r="E4088" t="str">
            <v>WN FLG</v>
          </cell>
          <cell r="F4088">
            <v>3</v>
          </cell>
          <cell r="G4088" t="str">
            <v>CB200104000300</v>
          </cell>
          <cell r="H4088">
            <v>3</v>
          </cell>
          <cell r="I4088" t="str">
            <v>--</v>
          </cell>
          <cell r="J4088">
            <v>8</v>
          </cell>
          <cell r="K4088">
            <v>9</v>
          </cell>
        </row>
        <row r="4089">
          <cell r="A4089" t="str">
            <v>M2</v>
          </cell>
          <cell r="B4089" t="str">
            <v>A5C</v>
          </cell>
          <cell r="C4089" t="str">
            <v>P</v>
          </cell>
          <cell r="D4089" t="str">
            <v>24027</v>
          </cell>
          <cell r="E4089" t="str">
            <v>WN FLG</v>
          </cell>
          <cell r="F4089">
            <v>3</v>
          </cell>
          <cell r="G4089" t="str">
            <v>CB200104000300</v>
          </cell>
          <cell r="H4089">
            <v>3</v>
          </cell>
          <cell r="I4089" t="str">
            <v>--</v>
          </cell>
          <cell r="J4089">
            <v>8</v>
          </cell>
          <cell r="K4089">
            <v>9</v>
          </cell>
        </row>
        <row r="4090">
          <cell r="A4090" t="str">
            <v>M2</v>
          </cell>
          <cell r="B4090" t="str">
            <v>A5C</v>
          </cell>
          <cell r="C4090" t="str">
            <v>P</v>
          </cell>
          <cell r="D4090" t="str">
            <v>23012</v>
          </cell>
          <cell r="E4090" t="str">
            <v>WN FLG</v>
          </cell>
          <cell r="F4090">
            <v>3</v>
          </cell>
          <cell r="G4090" t="str">
            <v>CB200104000400</v>
          </cell>
          <cell r="H4090">
            <v>4</v>
          </cell>
          <cell r="I4090" t="str">
            <v>--</v>
          </cell>
          <cell r="J4090">
            <v>6</v>
          </cell>
          <cell r="K4090">
            <v>7</v>
          </cell>
        </row>
        <row r="4091">
          <cell r="A4091" t="str">
            <v>M2</v>
          </cell>
          <cell r="B4091" t="str">
            <v>A5C</v>
          </cell>
          <cell r="C4091" t="str">
            <v>P</v>
          </cell>
          <cell r="D4091" t="str">
            <v>23068</v>
          </cell>
          <cell r="E4091" t="str">
            <v>WN FLG</v>
          </cell>
          <cell r="F4091">
            <v>3</v>
          </cell>
          <cell r="G4091" t="str">
            <v>CB200104000400</v>
          </cell>
          <cell r="H4091">
            <v>4</v>
          </cell>
          <cell r="I4091" t="str">
            <v>--</v>
          </cell>
          <cell r="J4091">
            <v>8</v>
          </cell>
          <cell r="K4091">
            <v>10</v>
          </cell>
        </row>
        <row r="4092">
          <cell r="A4092" t="str">
            <v>M2</v>
          </cell>
          <cell r="B4092" t="str">
            <v>A5C</v>
          </cell>
          <cell r="C4092" t="str">
            <v>P</v>
          </cell>
          <cell r="D4092" t="str">
            <v>23072</v>
          </cell>
          <cell r="E4092" t="str">
            <v>WN FLG</v>
          </cell>
          <cell r="F4092">
            <v>3</v>
          </cell>
          <cell r="G4092" t="str">
            <v>CB200204000400</v>
          </cell>
          <cell r="H4092">
            <v>4</v>
          </cell>
          <cell r="I4092" t="str">
            <v>--</v>
          </cell>
          <cell r="J4092">
            <v>2</v>
          </cell>
          <cell r="K4092">
            <v>3</v>
          </cell>
        </row>
        <row r="4093">
          <cell r="A4093" t="str">
            <v>M2</v>
          </cell>
          <cell r="B4093" t="str">
            <v>A5C</v>
          </cell>
          <cell r="C4093" t="str">
            <v>P</v>
          </cell>
          <cell r="D4093" t="str">
            <v>23095</v>
          </cell>
          <cell r="E4093" t="str">
            <v>WN FLG</v>
          </cell>
          <cell r="F4093">
            <v>3</v>
          </cell>
          <cell r="G4093" t="str">
            <v>CB200104000400</v>
          </cell>
          <cell r="H4093">
            <v>4</v>
          </cell>
          <cell r="I4093" t="str">
            <v>--</v>
          </cell>
          <cell r="J4093">
            <v>1</v>
          </cell>
          <cell r="K4093">
            <v>2</v>
          </cell>
        </row>
        <row r="4094">
          <cell r="A4094" t="str">
            <v>M2</v>
          </cell>
          <cell r="B4094" t="str">
            <v>A5C</v>
          </cell>
          <cell r="C4094" t="str">
            <v>P</v>
          </cell>
          <cell r="D4094" t="str">
            <v>23100</v>
          </cell>
          <cell r="E4094" t="str">
            <v>WN FLG</v>
          </cell>
          <cell r="F4094">
            <v>3</v>
          </cell>
          <cell r="G4094" t="str">
            <v>CB200104000400</v>
          </cell>
          <cell r="H4094">
            <v>4</v>
          </cell>
          <cell r="I4094" t="str">
            <v>--</v>
          </cell>
          <cell r="J4094">
            <v>2</v>
          </cell>
          <cell r="K4094">
            <v>3</v>
          </cell>
        </row>
        <row r="4095">
          <cell r="A4095" t="str">
            <v>M2</v>
          </cell>
          <cell r="B4095" t="str">
            <v>A5C</v>
          </cell>
          <cell r="C4095" t="str">
            <v>P</v>
          </cell>
          <cell r="D4095" t="str">
            <v>23100</v>
          </cell>
          <cell r="E4095" t="str">
            <v>WN FLG</v>
          </cell>
          <cell r="F4095">
            <v>3</v>
          </cell>
          <cell r="G4095" t="str">
            <v>CB200104000400</v>
          </cell>
          <cell r="H4095">
            <v>4</v>
          </cell>
          <cell r="I4095" t="str">
            <v>--</v>
          </cell>
          <cell r="J4095">
            <v>3</v>
          </cell>
          <cell r="K4095">
            <v>4</v>
          </cell>
        </row>
        <row r="4096">
          <cell r="A4096" t="str">
            <v>M2</v>
          </cell>
          <cell r="B4096" t="str">
            <v>A5C</v>
          </cell>
          <cell r="C4096" t="str">
            <v>P</v>
          </cell>
          <cell r="D4096" t="str">
            <v>23110</v>
          </cell>
          <cell r="E4096" t="str">
            <v>WN FLG</v>
          </cell>
          <cell r="F4096">
            <v>3</v>
          </cell>
          <cell r="G4096" t="str">
            <v>CB200104000400</v>
          </cell>
          <cell r="H4096">
            <v>4</v>
          </cell>
          <cell r="I4096" t="str">
            <v>--</v>
          </cell>
          <cell r="J4096">
            <v>1</v>
          </cell>
          <cell r="K4096">
            <v>2</v>
          </cell>
        </row>
        <row r="4097">
          <cell r="A4097" t="str">
            <v>M2</v>
          </cell>
          <cell r="B4097" t="str">
            <v>A5C</v>
          </cell>
          <cell r="C4097" t="str">
            <v>P</v>
          </cell>
          <cell r="D4097" t="str">
            <v>23110</v>
          </cell>
          <cell r="E4097" t="str">
            <v>WN FLG</v>
          </cell>
          <cell r="F4097">
            <v>3</v>
          </cell>
          <cell r="G4097" t="str">
            <v>CB200104000400</v>
          </cell>
          <cell r="H4097">
            <v>4</v>
          </cell>
          <cell r="I4097" t="str">
            <v>--</v>
          </cell>
          <cell r="J4097">
            <v>8</v>
          </cell>
          <cell r="K4097">
            <v>10</v>
          </cell>
        </row>
        <row r="4098">
          <cell r="A4098" t="str">
            <v>M2</v>
          </cell>
          <cell r="B4098" t="str">
            <v>A5C</v>
          </cell>
          <cell r="C4098" t="str">
            <v>P</v>
          </cell>
          <cell r="D4098" t="str">
            <v>23114</v>
          </cell>
          <cell r="E4098" t="str">
            <v>WN FLG</v>
          </cell>
          <cell r="F4098">
            <v>3</v>
          </cell>
          <cell r="G4098" t="str">
            <v>CB200104000400</v>
          </cell>
          <cell r="H4098">
            <v>4</v>
          </cell>
          <cell r="I4098" t="str">
            <v>--</v>
          </cell>
          <cell r="J4098">
            <v>1</v>
          </cell>
          <cell r="K4098">
            <v>2</v>
          </cell>
        </row>
        <row r="4099">
          <cell r="A4099" t="str">
            <v>M2</v>
          </cell>
          <cell r="B4099" t="str">
            <v>A5C</v>
          </cell>
          <cell r="C4099" t="str">
            <v>P</v>
          </cell>
          <cell r="D4099" t="str">
            <v>23121</v>
          </cell>
          <cell r="E4099" t="str">
            <v>WN FLG</v>
          </cell>
          <cell r="F4099">
            <v>3</v>
          </cell>
          <cell r="G4099" t="str">
            <v>CB200104000400</v>
          </cell>
          <cell r="H4099">
            <v>4</v>
          </cell>
          <cell r="I4099" t="str">
            <v>--</v>
          </cell>
          <cell r="J4099">
            <v>9</v>
          </cell>
          <cell r="K4099">
            <v>11</v>
          </cell>
        </row>
        <row r="4100">
          <cell r="A4100" t="str">
            <v>M2</v>
          </cell>
          <cell r="B4100" t="str">
            <v>A5C</v>
          </cell>
          <cell r="C4100" t="str">
            <v>P</v>
          </cell>
          <cell r="D4100" t="str">
            <v>23123</v>
          </cell>
          <cell r="E4100" t="str">
            <v>WN FLG</v>
          </cell>
          <cell r="F4100">
            <v>3</v>
          </cell>
          <cell r="G4100" t="str">
            <v>CB200104000400</v>
          </cell>
          <cell r="H4100">
            <v>4</v>
          </cell>
          <cell r="I4100" t="str">
            <v>--</v>
          </cell>
          <cell r="J4100">
            <v>8</v>
          </cell>
          <cell r="K4100">
            <v>10</v>
          </cell>
        </row>
        <row r="4101">
          <cell r="A4101" t="str">
            <v>M2</v>
          </cell>
          <cell r="B4101" t="str">
            <v>A5C</v>
          </cell>
          <cell r="C4101" t="str">
            <v>P</v>
          </cell>
          <cell r="D4101" t="str">
            <v>23152</v>
          </cell>
          <cell r="E4101" t="str">
            <v>WN FLG</v>
          </cell>
          <cell r="F4101">
            <v>3</v>
          </cell>
          <cell r="G4101" t="str">
            <v>CB200204000400</v>
          </cell>
          <cell r="H4101">
            <v>4</v>
          </cell>
          <cell r="I4101" t="str">
            <v>--</v>
          </cell>
          <cell r="J4101">
            <v>2</v>
          </cell>
          <cell r="K4101">
            <v>3</v>
          </cell>
        </row>
        <row r="4102">
          <cell r="A4102" t="str">
            <v>M2</v>
          </cell>
          <cell r="B4102" t="str">
            <v>A5C</v>
          </cell>
          <cell r="C4102" t="str">
            <v>P</v>
          </cell>
          <cell r="D4102" t="str">
            <v>23152</v>
          </cell>
          <cell r="E4102" t="str">
            <v>WN FLG</v>
          </cell>
          <cell r="F4102">
            <v>3</v>
          </cell>
          <cell r="G4102" t="str">
            <v>CB200104000400</v>
          </cell>
          <cell r="H4102">
            <v>4</v>
          </cell>
          <cell r="I4102" t="str">
            <v>--</v>
          </cell>
          <cell r="J4102">
            <v>2</v>
          </cell>
          <cell r="K4102">
            <v>3</v>
          </cell>
        </row>
        <row r="4103">
          <cell r="A4103" t="str">
            <v>M2</v>
          </cell>
          <cell r="B4103" t="str">
            <v>A5C</v>
          </cell>
          <cell r="C4103" t="str">
            <v>P</v>
          </cell>
          <cell r="D4103" t="str">
            <v>23181</v>
          </cell>
          <cell r="E4103" t="str">
            <v>WN FLG</v>
          </cell>
          <cell r="F4103">
            <v>3</v>
          </cell>
          <cell r="G4103" t="str">
            <v>CB200104000400</v>
          </cell>
          <cell r="H4103">
            <v>4</v>
          </cell>
          <cell r="I4103" t="str">
            <v>--</v>
          </cell>
          <cell r="J4103">
            <v>2</v>
          </cell>
          <cell r="K4103">
            <v>3</v>
          </cell>
        </row>
        <row r="4104">
          <cell r="A4104" t="str">
            <v>M2</v>
          </cell>
          <cell r="B4104" t="str">
            <v>A5C</v>
          </cell>
          <cell r="C4104" t="str">
            <v>P</v>
          </cell>
          <cell r="D4104" t="str">
            <v>23181</v>
          </cell>
          <cell r="E4104" t="str">
            <v>WN FLG</v>
          </cell>
          <cell r="F4104">
            <v>3</v>
          </cell>
          <cell r="G4104" t="str">
            <v>CB200204000400</v>
          </cell>
          <cell r="H4104">
            <v>4</v>
          </cell>
          <cell r="I4104" t="str">
            <v>--</v>
          </cell>
          <cell r="J4104">
            <v>2</v>
          </cell>
          <cell r="K4104">
            <v>3</v>
          </cell>
        </row>
        <row r="4105">
          <cell r="A4105" t="str">
            <v>M2</v>
          </cell>
          <cell r="B4105" t="str">
            <v>A5C</v>
          </cell>
          <cell r="C4105" t="str">
            <v>P</v>
          </cell>
          <cell r="D4105" t="str">
            <v>23227</v>
          </cell>
          <cell r="E4105" t="str">
            <v>WN FLG</v>
          </cell>
          <cell r="F4105">
            <v>3</v>
          </cell>
          <cell r="G4105" t="str">
            <v>CB200104000400</v>
          </cell>
          <cell r="H4105">
            <v>4</v>
          </cell>
          <cell r="I4105" t="str">
            <v>--</v>
          </cell>
          <cell r="J4105">
            <v>2</v>
          </cell>
          <cell r="K4105">
            <v>3</v>
          </cell>
        </row>
        <row r="4106">
          <cell r="A4106" t="str">
            <v>M2</v>
          </cell>
          <cell r="B4106" t="str">
            <v>A5C</v>
          </cell>
          <cell r="C4106" t="str">
            <v>P</v>
          </cell>
          <cell r="D4106" t="str">
            <v>23228</v>
          </cell>
          <cell r="E4106" t="str">
            <v>WN FLG</v>
          </cell>
          <cell r="F4106">
            <v>3</v>
          </cell>
          <cell r="G4106" t="str">
            <v>CB200104000400</v>
          </cell>
          <cell r="H4106">
            <v>4</v>
          </cell>
          <cell r="I4106" t="str">
            <v>--</v>
          </cell>
          <cell r="J4106">
            <v>2</v>
          </cell>
          <cell r="K4106">
            <v>3</v>
          </cell>
        </row>
        <row r="4107">
          <cell r="A4107" t="str">
            <v>M2</v>
          </cell>
          <cell r="B4107" t="str">
            <v>A5C</v>
          </cell>
          <cell r="C4107" t="str">
            <v>P</v>
          </cell>
          <cell r="D4107" t="str">
            <v>23237</v>
          </cell>
          <cell r="E4107" t="str">
            <v>WN FLG</v>
          </cell>
          <cell r="F4107">
            <v>3</v>
          </cell>
          <cell r="G4107" t="str">
            <v>CB200104000400</v>
          </cell>
          <cell r="H4107">
            <v>4</v>
          </cell>
          <cell r="I4107" t="str">
            <v>--</v>
          </cell>
          <cell r="J4107">
            <v>2</v>
          </cell>
          <cell r="K4107">
            <v>3</v>
          </cell>
        </row>
        <row r="4108">
          <cell r="A4108" t="str">
            <v>M2</v>
          </cell>
          <cell r="B4108" t="str">
            <v>A5C</v>
          </cell>
          <cell r="C4108" t="str">
            <v>P</v>
          </cell>
          <cell r="D4108" t="str">
            <v>23237</v>
          </cell>
          <cell r="E4108" t="str">
            <v>WN FLG</v>
          </cell>
          <cell r="F4108">
            <v>3</v>
          </cell>
          <cell r="G4108" t="str">
            <v>CB200104000400</v>
          </cell>
          <cell r="H4108">
            <v>4</v>
          </cell>
          <cell r="I4108" t="str">
            <v>--</v>
          </cell>
          <cell r="J4108">
            <v>1</v>
          </cell>
          <cell r="K4108">
            <v>2</v>
          </cell>
        </row>
        <row r="4109">
          <cell r="A4109" t="str">
            <v>M2</v>
          </cell>
          <cell r="B4109" t="str">
            <v>A5C</v>
          </cell>
          <cell r="C4109" t="str">
            <v>P</v>
          </cell>
          <cell r="D4109" t="str">
            <v>23241</v>
          </cell>
          <cell r="E4109" t="str">
            <v>WN FLG</v>
          </cell>
          <cell r="F4109">
            <v>3</v>
          </cell>
          <cell r="G4109" t="str">
            <v>CB200104000400</v>
          </cell>
          <cell r="H4109">
            <v>4</v>
          </cell>
          <cell r="I4109" t="str">
            <v>--</v>
          </cell>
          <cell r="J4109">
            <v>1</v>
          </cell>
          <cell r="K4109">
            <v>2</v>
          </cell>
        </row>
        <row r="4110">
          <cell r="A4110" t="str">
            <v>M2</v>
          </cell>
          <cell r="B4110" t="str">
            <v>A5C</v>
          </cell>
          <cell r="C4110" t="str">
            <v>P</v>
          </cell>
          <cell r="D4110" t="str">
            <v>23241</v>
          </cell>
          <cell r="E4110" t="str">
            <v>WN FLG</v>
          </cell>
          <cell r="F4110">
            <v>3</v>
          </cell>
          <cell r="G4110" t="str">
            <v>CB200204000400</v>
          </cell>
          <cell r="H4110">
            <v>4</v>
          </cell>
          <cell r="I4110" t="str">
            <v>--</v>
          </cell>
          <cell r="J4110">
            <v>2</v>
          </cell>
          <cell r="K4110">
            <v>3</v>
          </cell>
        </row>
        <row r="4111">
          <cell r="A4111" t="str">
            <v>M2</v>
          </cell>
          <cell r="B4111" t="str">
            <v>A5C</v>
          </cell>
          <cell r="C4111" t="str">
            <v>P</v>
          </cell>
          <cell r="D4111" t="str">
            <v>23249</v>
          </cell>
          <cell r="E4111" t="str">
            <v>WN FLG</v>
          </cell>
          <cell r="F4111">
            <v>3</v>
          </cell>
          <cell r="G4111" t="str">
            <v>CB200104000400</v>
          </cell>
          <cell r="H4111">
            <v>4</v>
          </cell>
          <cell r="I4111" t="str">
            <v>--</v>
          </cell>
          <cell r="J4111">
            <v>2</v>
          </cell>
          <cell r="K4111">
            <v>3</v>
          </cell>
        </row>
        <row r="4112">
          <cell r="A4112" t="str">
            <v>M2</v>
          </cell>
          <cell r="B4112" t="str">
            <v>A5C</v>
          </cell>
          <cell r="C4112" t="str">
            <v>P</v>
          </cell>
          <cell r="D4112" t="str">
            <v>23250</v>
          </cell>
          <cell r="E4112" t="str">
            <v>WN FLG</v>
          </cell>
          <cell r="F4112">
            <v>3</v>
          </cell>
          <cell r="G4112" t="str">
            <v>CB200104000400</v>
          </cell>
          <cell r="H4112">
            <v>4</v>
          </cell>
          <cell r="I4112" t="str">
            <v>--</v>
          </cell>
          <cell r="J4112">
            <v>2</v>
          </cell>
          <cell r="K4112">
            <v>3</v>
          </cell>
        </row>
        <row r="4113">
          <cell r="A4113" t="str">
            <v>M2</v>
          </cell>
          <cell r="B4113" t="str">
            <v>A5C</v>
          </cell>
          <cell r="C4113" t="str">
            <v>P</v>
          </cell>
          <cell r="D4113" t="str">
            <v>23058</v>
          </cell>
          <cell r="E4113" t="str">
            <v>WN FLG</v>
          </cell>
          <cell r="F4113">
            <v>3</v>
          </cell>
          <cell r="G4113" t="str">
            <v>CB200104000400</v>
          </cell>
          <cell r="H4113">
            <v>4</v>
          </cell>
          <cell r="I4113" t="str">
            <v>--</v>
          </cell>
          <cell r="J4113">
            <v>4</v>
          </cell>
          <cell r="K4113">
            <v>5</v>
          </cell>
        </row>
        <row r="4114">
          <cell r="A4114" t="str">
            <v>M2</v>
          </cell>
          <cell r="B4114" t="str">
            <v>A5C</v>
          </cell>
          <cell r="C4114" t="str">
            <v>P</v>
          </cell>
          <cell r="D4114" t="str">
            <v>23072</v>
          </cell>
          <cell r="E4114" t="str">
            <v>WN FLG</v>
          </cell>
          <cell r="F4114">
            <v>3</v>
          </cell>
          <cell r="G4114" t="str">
            <v>CB200104000400</v>
          </cell>
          <cell r="H4114">
            <v>4</v>
          </cell>
          <cell r="I4114" t="str">
            <v>--</v>
          </cell>
          <cell r="J4114">
            <v>2</v>
          </cell>
          <cell r="K4114">
            <v>3</v>
          </cell>
        </row>
        <row r="4115">
          <cell r="A4115" t="str">
            <v>M2</v>
          </cell>
          <cell r="B4115" t="str">
            <v>A5C</v>
          </cell>
          <cell r="C4115" t="str">
            <v>P</v>
          </cell>
          <cell r="D4115" t="str">
            <v>23084</v>
          </cell>
          <cell r="E4115" t="str">
            <v>WN FLG</v>
          </cell>
          <cell r="F4115">
            <v>3</v>
          </cell>
          <cell r="G4115" t="str">
            <v>CB200104000400</v>
          </cell>
          <cell r="H4115">
            <v>4</v>
          </cell>
          <cell r="I4115" t="str">
            <v>--</v>
          </cell>
          <cell r="J4115">
            <v>2</v>
          </cell>
          <cell r="K4115">
            <v>3</v>
          </cell>
        </row>
        <row r="4116">
          <cell r="A4116" t="str">
            <v>M2</v>
          </cell>
          <cell r="B4116" t="str">
            <v>A5C</v>
          </cell>
          <cell r="C4116" t="str">
            <v>P</v>
          </cell>
          <cell r="D4116" t="str">
            <v>23114</v>
          </cell>
          <cell r="E4116" t="str">
            <v>WN FLG</v>
          </cell>
          <cell r="F4116">
            <v>3</v>
          </cell>
          <cell r="G4116" t="str">
            <v>CB200104000400</v>
          </cell>
          <cell r="H4116">
            <v>4</v>
          </cell>
          <cell r="I4116" t="str">
            <v>--</v>
          </cell>
          <cell r="J4116">
            <v>8</v>
          </cell>
          <cell r="K4116">
            <v>10</v>
          </cell>
        </row>
        <row r="4117">
          <cell r="A4117" t="str">
            <v>M2</v>
          </cell>
          <cell r="B4117" t="str">
            <v>A5C</v>
          </cell>
          <cell r="C4117" t="str">
            <v>P</v>
          </cell>
          <cell r="D4117" t="str">
            <v>23127</v>
          </cell>
          <cell r="E4117" t="str">
            <v>WN FLG</v>
          </cell>
          <cell r="F4117">
            <v>3</v>
          </cell>
          <cell r="G4117" t="str">
            <v>CB200104000400</v>
          </cell>
          <cell r="H4117">
            <v>4</v>
          </cell>
          <cell r="I4117" t="str">
            <v>--</v>
          </cell>
          <cell r="J4117">
            <v>8</v>
          </cell>
          <cell r="K4117">
            <v>10</v>
          </cell>
        </row>
        <row r="4118">
          <cell r="A4118" t="str">
            <v>M2</v>
          </cell>
          <cell r="B4118" t="str">
            <v>A5C</v>
          </cell>
          <cell r="C4118" t="str">
            <v>P</v>
          </cell>
          <cell r="D4118" t="str">
            <v>23134</v>
          </cell>
          <cell r="E4118" t="str">
            <v>WN FLG</v>
          </cell>
          <cell r="F4118">
            <v>3</v>
          </cell>
          <cell r="G4118" t="str">
            <v>CB200104000400</v>
          </cell>
          <cell r="H4118">
            <v>4</v>
          </cell>
          <cell r="I4118" t="str">
            <v>--</v>
          </cell>
          <cell r="J4118">
            <v>9</v>
          </cell>
          <cell r="K4118">
            <v>11</v>
          </cell>
        </row>
        <row r="4119">
          <cell r="A4119" t="str">
            <v>M2</v>
          </cell>
          <cell r="B4119" t="str">
            <v>A5C</v>
          </cell>
          <cell r="C4119" t="str">
            <v>P</v>
          </cell>
          <cell r="D4119" t="str">
            <v>23139</v>
          </cell>
          <cell r="E4119" t="str">
            <v>WN FLG</v>
          </cell>
          <cell r="F4119">
            <v>3</v>
          </cell>
          <cell r="G4119" t="str">
            <v>CB200104000400</v>
          </cell>
          <cell r="H4119">
            <v>4</v>
          </cell>
          <cell r="I4119" t="str">
            <v>--</v>
          </cell>
          <cell r="J4119">
            <v>1</v>
          </cell>
          <cell r="K4119">
            <v>2</v>
          </cell>
        </row>
        <row r="4120">
          <cell r="A4120" t="str">
            <v>M2</v>
          </cell>
          <cell r="B4120" t="str">
            <v>A5C</v>
          </cell>
          <cell r="C4120" t="str">
            <v>P</v>
          </cell>
          <cell r="D4120" t="str">
            <v>23139</v>
          </cell>
          <cell r="E4120" t="str">
            <v>WN FLG</v>
          </cell>
          <cell r="F4120">
            <v>3</v>
          </cell>
          <cell r="G4120" t="str">
            <v>CB200204000400</v>
          </cell>
          <cell r="H4120">
            <v>4</v>
          </cell>
          <cell r="I4120" t="str">
            <v>--</v>
          </cell>
          <cell r="J4120">
            <v>1</v>
          </cell>
          <cell r="K4120">
            <v>2</v>
          </cell>
        </row>
        <row r="4121">
          <cell r="A4121" t="str">
            <v>M2</v>
          </cell>
          <cell r="B4121" t="str">
            <v>A5C</v>
          </cell>
          <cell r="C4121" t="str">
            <v>P</v>
          </cell>
          <cell r="D4121" t="str">
            <v>23146</v>
          </cell>
          <cell r="E4121" t="str">
            <v>WN FLG</v>
          </cell>
          <cell r="F4121">
            <v>3</v>
          </cell>
          <cell r="G4121" t="str">
            <v>CB200104000400</v>
          </cell>
          <cell r="H4121">
            <v>4</v>
          </cell>
          <cell r="I4121" t="str">
            <v>--</v>
          </cell>
          <cell r="J4121">
            <v>9</v>
          </cell>
          <cell r="K4121">
            <v>11</v>
          </cell>
        </row>
        <row r="4122">
          <cell r="A4122" t="str">
            <v>M2</v>
          </cell>
          <cell r="B4122" t="str">
            <v>A5C</v>
          </cell>
          <cell r="C4122" t="str">
            <v>P</v>
          </cell>
          <cell r="D4122" t="str">
            <v>23174</v>
          </cell>
          <cell r="E4122" t="str">
            <v>WN FLG</v>
          </cell>
          <cell r="F4122">
            <v>3</v>
          </cell>
          <cell r="G4122" t="str">
            <v>CB200104000400</v>
          </cell>
          <cell r="H4122">
            <v>4</v>
          </cell>
          <cell r="I4122" t="str">
            <v>--</v>
          </cell>
          <cell r="J4122">
            <v>5</v>
          </cell>
          <cell r="K4122">
            <v>6</v>
          </cell>
        </row>
        <row r="4123">
          <cell r="A4123" t="str">
            <v>M2</v>
          </cell>
          <cell r="B4123" t="str">
            <v>A5C</v>
          </cell>
          <cell r="C4123" t="str">
            <v>P</v>
          </cell>
          <cell r="D4123" t="str">
            <v>23267</v>
          </cell>
          <cell r="E4123" t="str">
            <v>WN FLG</v>
          </cell>
          <cell r="F4123">
            <v>3</v>
          </cell>
          <cell r="G4123" t="str">
            <v>CB200104000400</v>
          </cell>
          <cell r="H4123">
            <v>4</v>
          </cell>
          <cell r="I4123" t="str">
            <v>--</v>
          </cell>
          <cell r="J4123">
            <v>2</v>
          </cell>
          <cell r="K4123">
            <v>3</v>
          </cell>
        </row>
        <row r="4124">
          <cell r="A4124" t="str">
            <v>M2</v>
          </cell>
          <cell r="B4124" t="str">
            <v>A5C</v>
          </cell>
          <cell r="C4124" t="str">
            <v>P</v>
          </cell>
          <cell r="D4124" t="str">
            <v>23021</v>
          </cell>
          <cell r="E4124" t="str">
            <v>WN FLG</v>
          </cell>
          <cell r="F4124">
            <v>3</v>
          </cell>
          <cell r="G4124" t="str">
            <v>CB200104000400</v>
          </cell>
          <cell r="H4124">
            <v>4</v>
          </cell>
          <cell r="I4124" t="str">
            <v>--</v>
          </cell>
          <cell r="J4124">
            <v>2</v>
          </cell>
          <cell r="K4124">
            <v>3</v>
          </cell>
        </row>
        <row r="4125">
          <cell r="A4125" t="str">
            <v>M2</v>
          </cell>
          <cell r="B4125" t="str">
            <v>A5C</v>
          </cell>
          <cell r="C4125" t="str">
            <v>P</v>
          </cell>
          <cell r="D4125" t="str">
            <v>23024</v>
          </cell>
          <cell r="E4125" t="str">
            <v>WN FLG</v>
          </cell>
          <cell r="F4125">
            <v>3</v>
          </cell>
          <cell r="G4125" t="str">
            <v>CB200104000400</v>
          </cell>
          <cell r="H4125">
            <v>4</v>
          </cell>
          <cell r="I4125" t="str">
            <v>--</v>
          </cell>
          <cell r="J4125">
            <v>8</v>
          </cell>
          <cell r="K4125">
            <v>10</v>
          </cell>
        </row>
        <row r="4126">
          <cell r="A4126" t="str">
            <v>M2</v>
          </cell>
          <cell r="B4126" t="str">
            <v>A5C</v>
          </cell>
          <cell r="C4126" t="str">
            <v>P</v>
          </cell>
          <cell r="D4126" t="str">
            <v>23026</v>
          </cell>
          <cell r="E4126" t="str">
            <v>WN FLG</v>
          </cell>
          <cell r="F4126">
            <v>3</v>
          </cell>
          <cell r="G4126" t="str">
            <v>CB200104000400</v>
          </cell>
          <cell r="H4126">
            <v>4</v>
          </cell>
          <cell r="I4126" t="str">
            <v>--</v>
          </cell>
          <cell r="J4126">
            <v>2</v>
          </cell>
          <cell r="K4126">
            <v>3</v>
          </cell>
        </row>
        <row r="4127">
          <cell r="A4127" t="str">
            <v>M2</v>
          </cell>
          <cell r="B4127" t="str">
            <v>A5C</v>
          </cell>
          <cell r="C4127" t="str">
            <v>P</v>
          </cell>
          <cell r="D4127" t="str">
            <v>23029</v>
          </cell>
          <cell r="E4127" t="str">
            <v>WN FLG</v>
          </cell>
          <cell r="F4127">
            <v>3</v>
          </cell>
          <cell r="G4127" t="str">
            <v>CB200104000400</v>
          </cell>
          <cell r="H4127">
            <v>4</v>
          </cell>
          <cell r="I4127" t="str">
            <v>--</v>
          </cell>
          <cell r="J4127">
            <v>5</v>
          </cell>
          <cell r="K4127">
            <v>6</v>
          </cell>
        </row>
        <row r="4128">
          <cell r="A4128" t="str">
            <v>M2</v>
          </cell>
          <cell r="B4128" t="str">
            <v>A5C</v>
          </cell>
          <cell r="C4128" t="str">
            <v>P</v>
          </cell>
          <cell r="D4128" t="str">
            <v>23029</v>
          </cell>
          <cell r="E4128" t="str">
            <v>WN FLG</v>
          </cell>
          <cell r="F4128">
            <v>3</v>
          </cell>
          <cell r="G4128" t="str">
            <v>CB200104000400</v>
          </cell>
          <cell r="H4128">
            <v>4</v>
          </cell>
          <cell r="I4128" t="str">
            <v>--</v>
          </cell>
          <cell r="J4128">
            <v>8</v>
          </cell>
          <cell r="K4128">
            <v>10</v>
          </cell>
        </row>
        <row r="4129">
          <cell r="A4129" t="str">
            <v>M2</v>
          </cell>
          <cell r="B4129" t="str">
            <v>A5C</v>
          </cell>
          <cell r="C4129" t="str">
            <v>P</v>
          </cell>
          <cell r="D4129" t="str">
            <v>23045</v>
          </cell>
          <cell r="E4129" t="str">
            <v>WN FLG</v>
          </cell>
          <cell r="F4129">
            <v>3</v>
          </cell>
          <cell r="G4129" t="str">
            <v>CB200104000400</v>
          </cell>
          <cell r="H4129">
            <v>4</v>
          </cell>
          <cell r="I4129" t="str">
            <v>--</v>
          </cell>
          <cell r="J4129">
            <v>2</v>
          </cell>
          <cell r="K4129">
            <v>3</v>
          </cell>
        </row>
        <row r="4130">
          <cell r="A4130" t="str">
            <v>M2</v>
          </cell>
          <cell r="B4130" t="str">
            <v>A5C</v>
          </cell>
          <cell r="C4130" t="str">
            <v>P</v>
          </cell>
          <cell r="D4130" t="str">
            <v>23024</v>
          </cell>
          <cell r="E4130" t="str">
            <v>WN FLG</v>
          </cell>
          <cell r="F4130">
            <v>3</v>
          </cell>
          <cell r="G4130" t="str">
            <v>CB200104000400</v>
          </cell>
          <cell r="H4130">
            <v>4</v>
          </cell>
          <cell r="I4130" t="str">
            <v>--</v>
          </cell>
          <cell r="J4130">
            <v>5</v>
          </cell>
          <cell r="K4130">
            <v>6</v>
          </cell>
        </row>
        <row r="4131">
          <cell r="A4131" t="str">
            <v>M2</v>
          </cell>
          <cell r="B4131" t="str">
            <v>A5C</v>
          </cell>
          <cell r="C4131" t="str">
            <v>P</v>
          </cell>
          <cell r="D4131" t="str">
            <v>23062</v>
          </cell>
          <cell r="E4131" t="str">
            <v>WN FLG</v>
          </cell>
          <cell r="F4131">
            <v>3</v>
          </cell>
          <cell r="G4131" t="str">
            <v>CB200104000400</v>
          </cell>
          <cell r="H4131">
            <v>4</v>
          </cell>
          <cell r="I4131" t="str">
            <v>--</v>
          </cell>
          <cell r="J4131">
            <v>5</v>
          </cell>
          <cell r="K4131">
            <v>6</v>
          </cell>
        </row>
        <row r="4132">
          <cell r="A4132" t="str">
            <v>M2</v>
          </cell>
          <cell r="B4132" t="str">
            <v>A5C</v>
          </cell>
          <cell r="C4132" t="str">
            <v>P</v>
          </cell>
          <cell r="D4132" t="str">
            <v>23091</v>
          </cell>
          <cell r="E4132" t="str">
            <v>WN FLG</v>
          </cell>
          <cell r="F4132">
            <v>3</v>
          </cell>
          <cell r="G4132" t="str">
            <v>CB200104000400</v>
          </cell>
          <cell r="H4132">
            <v>4</v>
          </cell>
          <cell r="I4132" t="str">
            <v>--</v>
          </cell>
          <cell r="J4132">
            <v>2</v>
          </cell>
          <cell r="K4132">
            <v>3</v>
          </cell>
        </row>
        <row r="4133">
          <cell r="A4133" t="str">
            <v>M2</v>
          </cell>
          <cell r="B4133" t="str">
            <v>A5C</v>
          </cell>
          <cell r="C4133" t="str">
            <v>P</v>
          </cell>
          <cell r="D4133" t="str">
            <v>23130</v>
          </cell>
          <cell r="E4133" t="str">
            <v>WN FLG</v>
          </cell>
          <cell r="F4133">
            <v>3</v>
          </cell>
          <cell r="G4133" t="str">
            <v>CB200104000400</v>
          </cell>
          <cell r="H4133">
            <v>4</v>
          </cell>
          <cell r="I4133" t="str">
            <v>--</v>
          </cell>
          <cell r="J4133">
            <v>2</v>
          </cell>
          <cell r="K4133">
            <v>3</v>
          </cell>
        </row>
        <row r="4134">
          <cell r="A4134" t="str">
            <v>M2</v>
          </cell>
          <cell r="B4134" t="str">
            <v>A5C</v>
          </cell>
          <cell r="C4134" t="str">
            <v>P</v>
          </cell>
          <cell r="D4134" t="str">
            <v>23023</v>
          </cell>
          <cell r="E4134" t="str">
            <v>WN FLG</v>
          </cell>
          <cell r="F4134">
            <v>3</v>
          </cell>
          <cell r="G4134" t="str">
            <v>CB200104000600</v>
          </cell>
          <cell r="H4134">
            <v>6</v>
          </cell>
          <cell r="I4134" t="str">
            <v>--</v>
          </cell>
          <cell r="J4134">
            <v>2</v>
          </cell>
          <cell r="K4134">
            <v>3</v>
          </cell>
        </row>
        <row r="4135">
          <cell r="A4135" t="str">
            <v>M2</v>
          </cell>
          <cell r="B4135" t="str">
            <v>A5C</v>
          </cell>
          <cell r="C4135" t="str">
            <v>P</v>
          </cell>
          <cell r="D4135" t="str">
            <v>23084</v>
          </cell>
          <cell r="E4135" t="str">
            <v>WN FLG</v>
          </cell>
          <cell r="F4135">
            <v>3</v>
          </cell>
          <cell r="G4135" t="str">
            <v>CB200104000600</v>
          </cell>
          <cell r="H4135">
            <v>6</v>
          </cell>
          <cell r="I4135" t="str">
            <v>--</v>
          </cell>
          <cell r="J4135">
            <v>8</v>
          </cell>
          <cell r="K4135">
            <v>10</v>
          </cell>
        </row>
        <row r="4136">
          <cell r="A4136" t="str">
            <v>M2</v>
          </cell>
          <cell r="B4136" t="str">
            <v>A5C</v>
          </cell>
          <cell r="C4136" t="str">
            <v>P</v>
          </cell>
          <cell r="D4136" t="str">
            <v>23097</v>
          </cell>
          <cell r="E4136" t="str">
            <v>WN FLG</v>
          </cell>
          <cell r="F4136">
            <v>3</v>
          </cell>
          <cell r="G4136" t="str">
            <v>CB200104000600</v>
          </cell>
          <cell r="H4136">
            <v>6</v>
          </cell>
          <cell r="I4136" t="str">
            <v>--</v>
          </cell>
          <cell r="J4136">
            <v>2</v>
          </cell>
          <cell r="K4136">
            <v>3</v>
          </cell>
        </row>
        <row r="4137">
          <cell r="A4137" t="str">
            <v>M2</v>
          </cell>
          <cell r="B4137" t="str">
            <v>A5C</v>
          </cell>
          <cell r="C4137" t="str">
            <v>P</v>
          </cell>
          <cell r="D4137" t="str">
            <v>23136</v>
          </cell>
          <cell r="E4137" t="str">
            <v>WN FLG</v>
          </cell>
          <cell r="F4137">
            <v>3</v>
          </cell>
          <cell r="G4137" t="str">
            <v>CB200104000600</v>
          </cell>
          <cell r="H4137">
            <v>6</v>
          </cell>
          <cell r="I4137" t="str">
            <v>--</v>
          </cell>
          <cell r="J4137">
            <v>2</v>
          </cell>
          <cell r="K4137">
            <v>3</v>
          </cell>
        </row>
        <row r="4138">
          <cell r="A4138" t="str">
            <v>M2</v>
          </cell>
          <cell r="B4138" t="str">
            <v>A5C</v>
          </cell>
          <cell r="C4138" t="str">
            <v>P</v>
          </cell>
          <cell r="D4138" t="str">
            <v>23152</v>
          </cell>
          <cell r="E4138" t="str">
            <v>WN FLG</v>
          </cell>
          <cell r="F4138">
            <v>3</v>
          </cell>
          <cell r="G4138" t="str">
            <v>CB200104000600</v>
          </cell>
          <cell r="H4138">
            <v>6</v>
          </cell>
          <cell r="I4138" t="str">
            <v>--</v>
          </cell>
          <cell r="J4138">
            <v>5</v>
          </cell>
          <cell r="K4138">
            <v>6</v>
          </cell>
        </row>
        <row r="4139">
          <cell r="A4139" t="str">
            <v>M2</v>
          </cell>
          <cell r="B4139" t="str">
            <v>A5C</v>
          </cell>
          <cell r="C4139" t="str">
            <v>P</v>
          </cell>
          <cell r="D4139" t="str">
            <v>23160</v>
          </cell>
          <cell r="E4139" t="str">
            <v>WN FLG</v>
          </cell>
          <cell r="F4139">
            <v>3</v>
          </cell>
          <cell r="G4139" t="str">
            <v>CB200104000600</v>
          </cell>
          <cell r="H4139">
            <v>6</v>
          </cell>
          <cell r="I4139" t="str">
            <v>--</v>
          </cell>
          <cell r="J4139">
            <v>2</v>
          </cell>
          <cell r="K4139">
            <v>3</v>
          </cell>
        </row>
        <row r="4140">
          <cell r="A4140" t="str">
            <v>M2</v>
          </cell>
          <cell r="B4140" t="str">
            <v>A5C</v>
          </cell>
          <cell r="C4140" t="str">
            <v>P</v>
          </cell>
          <cell r="D4140" t="str">
            <v>23160</v>
          </cell>
          <cell r="E4140" t="str">
            <v>WN FLG</v>
          </cell>
          <cell r="F4140">
            <v>3</v>
          </cell>
          <cell r="G4140" t="str">
            <v>CB200204000600</v>
          </cell>
          <cell r="H4140">
            <v>6</v>
          </cell>
          <cell r="I4140" t="str">
            <v>--</v>
          </cell>
          <cell r="J4140">
            <v>2</v>
          </cell>
          <cell r="K4140">
            <v>3</v>
          </cell>
        </row>
        <row r="4141">
          <cell r="A4141" t="str">
            <v>M2</v>
          </cell>
          <cell r="B4141" t="str">
            <v>A5C</v>
          </cell>
          <cell r="C4141" t="str">
            <v>P</v>
          </cell>
          <cell r="D4141" t="str">
            <v>23181</v>
          </cell>
          <cell r="E4141" t="str">
            <v>WN FLG</v>
          </cell>
          <cell r="F4141">
            <v>3</v>
          </cell>
          <cell r="G4141" t="str">
            <v>CB200104000600</v>
          </cell>
          <cell r="H4141">
            <v>6</v>
          </cell>
          <cell r="I4141" t="str">
            <v>--</v>
          </cell>
          <cell r="J4141">
            <v>4</v>
          </cell>
          <cell r="K4141">
            <v>5</v>
          </cell>
        </row>
        <row r="4142">
          <cell r="A4142" t="str">
            <v>M2</v>
          </cell>
          <cell r="B4142" t="str">
            <v>A5C</v>
          </cell>
          <cell r="C4142" t="str">
            <v>P</v>
          </cell>
          <cell r="D4142" t="str">
            <v>23181</v>
          </cell>
          <cell r="E4142" t="str">
            <v>WN FLG</v>
          </cell>
          <cell r="F4142">
            <v>3</v>
          </cell>
          <cell r="G4142" t="str">
            <v>CB200104000600</v>
          </cell>
          <cell r="H4142">
            <v>6</v>
          </cell>
          <cell r="I4142" t="str">
            <v>--</v>
          </cell>
          <cell r="J4142">
            <v>1</v>
          </cell>
          <cell r="K4142">
            <v>2</v>
          </cell>
        </row>
        <row r="4143">
          <cell r="A4143" t="str">
            <v>M2</v>
          </cell>
          <cell r="B4143" t="str">
            <v>A5C</v>
          </cell>
          <cell r="C4143" t="str">
            <v>P</v>
          </cell>
          <cell r="D4143" t="str">
            <v>23083</v>
          </cell>
          <cell r="E4143" t="str">
            <v>WN FLG</v>
          </cell>
          <cell r="F4143">
            <v>3</v>
          </cell>
          <cell r="G4143" t="str">
            <v>CB200104000600</v>
          </cell>
          <cell r="H4143">
            <v>6</v>
          </cell>
          <cell r="I4143" t="str">
            <v>--</v>
          </cell>
          <cell r="J4143">
            <v>1</v>
          </cell>
          <cell r="K4143">
            <v>2</v>
          </cell>
        </row>
        <row r="4144">
          <cell r="A4144" t="str">
            <v>M2</v>
          </cell>
          <cell r="B4144" t="str">
            <v>A5C</v>
          </cell>
          <cell r="C4144" t="str">
            <v>P</v>
          </cell>
          <cell r="D4144" t="str">
            <v>23056</v>
          </cell>
          <cell r="E4144" t="str">
            <v>WN FLG</v>
          </cell>
          <cell r="F4144">
            <v>3</v>
          </cell>
          <cell r="G4144" t="str">
            <v>CB200104000600</v>
          </cell>
          <cell r="H4144">
            <v>6</v>
          </cell>
          <cell r="I4144" t="str">
            <v>--</v>
          </cell>
          <cell r="J4144">
            <v>2</v>
          </cell>
          <cell r="K4144">
            <v>3</v>
          </cell>
        </row>
        <row r="4145">
          <cell r="A4145" t="str">
            <v>M2</v>
          </cell>
          <cell r="B4145" t="str">
            <v>A5C</v>
          </cell>
          <cell r="C4145" t="str">
            <v>P</v>
          </cell>
          <cell r="D4145" t="str">
            <v>23075</v>
          </cell>
          <cell r="E4145" t="str">
            <v>WN FLG</v>
          </cell>
          <cell r="F4145">
            <v>3</v>
          </cell>
          <cell r="G4145" t="str">
            <v>CB200104000600</v>
          </cell>
          <cell r="H4145">
            <v>6</v>
          </cell>
          <cell r="I4145" t="str">
            <v>--</v>
          </cell>
          <cell r="J4145">
            <v>2</v>
          </cell>
          <cell r="K4145">
            <v>3</v>
          </cell>
        </row>
        <row r="4146">
          <cell r="A4146" t="str">
            <v>M2</v>
          </cell>
          <cell r="B4146" t="str">
            <v>A5C</v>
          </cell>
          <cell r="C4146" t="str">
            <v>P</v>
          </cell>
          <cell r="D4146" t="str">
            <v>23089</v>
          </cell>
          <cell r="E4146" t="str">
            <v>WN FLG</v>
          </cell>
          <cell r="F4146">
            <v>3</v>
          </cell>
          <cell r="G4146" t="str">
            <v>CB200104000600</v>
          </cell>
          <cell r="H4146">
            <v>6</v>
          </cell>
          <cell r="I4146" t="str">
            <v>--</v>
          </cell>
          <cell r="J4146">
            <v>2</v>
          </cell>
          <cell r="K4146">
            <v>3</v>
          </cell>
        </row>
        <row r="4147">
          <cell r="A4147" t="str">
            <v>M2</v>
          </cell>
          <cell r="B4147" t="str">
            <v>A5C</v>
          </cell>
          <cell r="C4147" t="str">
            <v>P</v>
          </cell>
          <cell r="D4147" t="str">
            <v>23090</v>
          </cell>
          <cell r="E4147" t="str">
            <v>WN FLG</v>
          </cell>
          <cell r="F4147">
            <v>3</v>
          </cell>
          <cell r="G4147" t="str">
            <v>CB200104000600</v>
          </cell>
          <cell r="H4147">
            <v>6</v>
          </cell>
          <cell r="I4147" t="str">
            <v>--</v>
          </cell>
          <cell r="J4147">
            <v>2</v>
          </cell>
          <cell r="K4147">
            <v>3</v>
          </cell>
        </row>
        <row r="4148">
          <cell r="A4148" t="str">
            <v>M2</v>
          </cell>
          <cell r="B4148" t="str">
            <v>A5C</v>
          </cell>
          <cell r="C4148" t="str">
            <v>P</v>
          </cell>
          <cell r="D4148" t="str">
            <v>23091</v>
          </cell>
          <cell r="E4148" t="str">
            <v>WN FLG</v>
          </cell>
          <cell r="F4148">
            <v>3</v>
          </cell>
          <cell r="G4148" t="str">
            <v>CB200104000600</v>
          </cell>
          <cell r="H4148">
            <v>6</v>
          </cell>
          <cell r="I4148" t="str">
            <v>--</v>
          </cell>
          <cell r="J4148">
            <v>9</v>
          </cell>
          <cell r="K4148">
            <v>11</v>
          </cell>
        </row>
        <row r="4149">
          <cell r="A4149" t="str">
            <v>M2</v>
          </cell>
          <cell r="B4149" t="str">
            <v>A5C</v>
          </cell>
          <cell r="C4149" t="str">
            <v>P</v>
          </cell>
          <cell r="D4149" t="str">
            <v>23091</v>
          </cell>
          <cell r="E4149" t="str">
            <v>WN FLG</v>
          </cell>
          <cell r="F4149">
            <v>3</v>
          </cell>
          <cell r="G4149" t="str">
            <v>CB200104000600</v>
          </cell>
          <cell r="H4149">
            <v>6</v>
          </cell>
          <cell r="I4149" t="str">
            <v>--</v>
          </cell>
          <cell r="J4149">
            <v>2</v>
          </cell>
          <cell r="K4149">
            <v>3</v>
          </cell>
        </row>
        <row r="4150">
          <cell r="A4150" t="str">
            <v>M2</v>
          </cell>
          <cell r="B4150" t="str">
            <v>A5C</v>
          </cell>
          <cell r="C4150" t="str">
            <v>P</v>
          </cell>
          <cell r="D4150" t="str">
            <v>23129</v>
          </cell>
          <cell r="E4150" t="str">
            <v>WN FLG</v>
          </cell>
          <cell r="F4150">
            <v>3</v>
          </cell>
          <cell r="G4150" t="str">
            <v>CB200104000600</v>
          </cell>
          <cell r="H4150">
            <v>6</v>
          </cell>
          <cell r="I4150" t="str">
            <v>--</v>
          </cell>
          <cell r="J4150">
            <v>2</v>
          </cell>
          <cell r="K4150">
            <v>3</v>
          </cell>
        </row>
        <row r="4151">
          <cell r="A4151" t="str">
            <v>M2</v>
          </cell>
          <cell r="B4151" t="str">
            <v>A5C</v>
          </cell>
          <cell r="C4151" t="str">
            <v>P</v>
          </cell>
          <cell r="D4151" t="str">
            <v>23130</v>
          </cell>
          <cell r="E4151" t="str">
            <v>WN FLG</v>
          </cell>
          <cell r="F4151">
            <v>3</v>
          </cell>
          <cell r="G4151" t="str">
            <v>CB200104000600</v>
          </cell>
          <cell r="H4151">
            <v>6</v>
          </cell>
          <cell r="I4151" t="str">
            <v>--</v>
          </cell>
          <cell r="J4151">
            <v>9</v>
          </cell>
          <cell r="K4151">
            <v>11</v>
          </cell>
        </row>
        <row r="4152">
          <cell r="A4152" t="str">
            <v>M2</v>
          </cell>
          <cell r="B4152" t="str">
            <v>A5C</v>
          </cell>
          <cell r="C4152" t="str">
            <v>P</v>
          </cell>
          <cell r="D4152" t="str">
            <v>23130</v>
          </cell>
          <cell r="E4152" t="str">
            <v>WN FLG</v>
          </cell>
          <cell r="F4152">
            <v>3</v>
          </cell>
          <cell r="G4152" t="str">
            <v>CB200204000600</v>
          </cell>
          <cell r="H4152">
            <v>6</v>
          </cell>
          <cell r="I4152" t="str">
            <v>--</v>
          </cell>
          <cell r="J4152">
            <v>2</v>
          </cell>
          <cell r="K4152">
            <v>3</v>
          </cell>
        </row>
        <row r="4153">
          <cell r="A4153" t="str">
            <v>M2</v>
          </cell>
          <cell r="B4153" t="str">
            <v>A5C</v>
          </cell>
          <cell r="C4153" t="str">
            <v>P</v>
          </cell>
          <cell r="D4153" t="str">
            <v>23021</v>
          </cell>
          <cell r="E4153" t="str">
            <v>WN FLG</v>
          </cell>
          <cell r="F4153">
            <v>3</v>
          </cell>
          <cell r="G4153" t="str">
            <v>CB200104000600</v>
          </cell>
          <cell r="H4153">
            <v>6</v>
          </cell>
          <cell r="I4153" t="str">
            <v>--</v>
          </cell>
          <cell r="J4153">
            <v>5</v>
          </cell>
          <cell r="K4153">
            <v>6</v>
          </cell>
        </row>
        <row r="4154">
          <cell r="A4154" t="str">
            <v>M2</v>
          </cell>
          <cell r="B4154" t="str">
            <v>A5C</v>
          </cell>
          <cell r="C4154" t="str">
            <v>P</v>
          </cell>
          <cell r="D4154" t="str">
            <v>23025</v>
          </cell>
          <cell r="E4154" t="str">
            <v>WN FLG</v>
          </cell>
          <cell r="F4154">
            <v>3</v>
          </cell>
          <cell r="G4154" t="str">
            <v>CB200104000600</v>
          </cell>
          <cell r="H4154">
            <v>6</v>
          </cell>
          <cell r="I4154" t="str">
            <v>--</v>
          </cell>
          <cell r="J4154">
            <v>2</v>
          </cell>
          <cell r="K4154">
            <v>3</v>
          </cell>
        </row>
        <row r="4155">
          <cell r="A4155" t="str">
            <v>M2</v>
          </cell>
          <cell r="B4155" t="str">
            <v>A5C</v>
          </cell>
          <cell r="C4155" t="str">
            <v>P</v>
          </cell>
          <cell r="D4155" t="str">
            <v>23026</v>
          </cell>
          <cell r="E4155" t="str">
            <v>WN FLG</v>
          </cell>
          <cell r="F4155">
            <v>3</v>
          </cell>
          <cell r="G4155" t="str">
            <v>CB200104000600</v>
          </cell>
          <cell r="H4155">
            <v>6</v>
          </cell>
          <cell r="I4155" t="str">
            <v>--</v>
          </cell>
          <cell r="J4155">
            <v>5</v>
          </cell>
          <cell r="K4155">
            <v>6</v>
          </cell>
        </row>
        <row r="4156">
          <cell r="A4156" t="str">
            <v>M2</v>
          </cell>
          <cell r="B4156" t="str">
            <v>A5C</v>
          </cell>
          <cell r="C4156" t="str">
            <v>P</v>
          </cell>
          <cell r="D4156" t="str">
            <v>23128</v>
          </cell>
          <cell r="E4156" t="str">
            <v>WN FLG</v>
          </cell>
          <cell r="F4156">
            <v>3</v>
          </cell>
          <cell r="G4156" t="str">
            <v>CB200104000600</v>
          </cell>
          <cell r="H4156">
            <v>6</v>
          </cell>
          <cell r="I4156" t="str">
            <v>--</v>
          </cell>
          <cell r="J4156">
            <v>2</v>
          </cell>
          <cell r="K4156">
            <v>3</v>
          </cell>
        </row>
        <row r="4157">
          <cell r="A4157" t="str">
            <v>M2</v>
          </cell>
          <cell r="B4157" t="str">
            <v>A5C</v>
          </cell>
          <cell r="C4157" t="str">
            <v>P</v>
          </cell>
          <cell r="D4157" t="str">
            <v>23221</v>
          </cell>
          <cell r="E4157" t="str">
            <v>WN FLG</v>
          </cell>
          <cell r="F4157">
            <v>3</v>
          </cell>
          <cell r="G4157" t="str">
            <v>CB200104000600</v>
          </cell>
          <cell r="H4157">
            <v>6</v>
          </cell>
          <cell r="I4157" t="str">
            <v>--</v>
          </cell>
          <cell r="J4157">
            <v>5</v>
          </cell>
          <cell r="K4157">
            <v>6</v>
          </cell>
        </row>
        <row r="4158">
          <cell r="A4158" t="str">
            <v>M2</v>
          </cell>
          <cell r="B4158" t="str">
            <v>A5C</v>
          </cell>
          <cell r="C4158" t="str">
            <v>P</v>
          </cell>
          <cell r="D4158" t="str">
            <v>23221</v>
          </cell>
          <cell r="E4158" t="str">
            <v>WN FLG</v>
          </cell>
          <cell r="F4158">
            <v>3</v>
          </cell>
          <cell r="G4158" t="str">
            <v>CB200104000600</v>
          </cell>
          <cell r="H4158">
            <v>6</v>
          </cell>
          <cell r="I4158" t="str">
            <v>--</v>
          </cell>
          <cell r="J4158">
            <v>2</v>
          </cell>
          <cell r="K4158">
            <v>3</v>
          </cell>
        </row>
        <row r="4159">
          <cell r="A4159" t="str">
            <v>M2</v>
          </cell>
          <cell r="B4159" t="str">
            <v>A5C</v>
          </cell>
          <cell r="C4159" t="str">
            <v>P</v>
          </cell>
          <cell r="D4159" t="str">
            <v>23244</v>
          </cell>
          <cell r="E4159" t="str">
            <v>WN FLG</v>
          </cell>
          <cell r="F4159">
            <v>3</v>
          </cell>
          <cell r="G4159" t="str">
            <v>CB200204000600</v>
          </cell>
          <cell r="H4159">
            <v>6</v>
          </cell>
          <cell r="I4159" t="str">
            <v>--</v>
          </cell>
          <cell r="J4159">
            <v>2</v>
          </cell>
          <cell r="K4159">
            <v>3</v>
          </cell>
        </row>
        <row r="4160">
          <cell r="A4160" t="str">
            <v>M2</v>
          </cell>
          <cell r="B4160" t="str">
            <v>A5C</v>
          </cell>
          <cell r="C4160" t="str">
            <v>P</v>
          </cell>
          <cell r="D4160" t="str">
            <v>23244</v>
          </cell>
          <cell r="E4160" t="str">
            <v>WN FLG</v>
          </cell>
          <cell r="F4160">
            <v>3</v>
          </cell>
          <cell r="G4160" t="str">
            <v>CB200104000600</v>
          </cell>
          <cell r="H4160">
            <v>6</v>
          </cell>
          <cell r="I4160" t="str">
            <v>--</v>
          </cell>
          <cell r="J4160">
            <v>5</v>
          </cell>
          <cell r="K4160">
            <v>6</v>
          </cell>
        </row>
        <row r="4161">
          <cell r="A4161" t="str">
            <v>M2</v>
          </cell>
          <cell r="B4161" t="str">
            <v>A5C</v>
          </cell>
          <cell r="C4161" t="str">
            <v>P</v>
          </cell>
          <cell r="D4161" t="str">
            <v>23046</v>
          </cell>
          <cell r="E4161" t="str">
            <v>WN FLG</v>
          </cell>
          <cell r="F4161">
            <v>3</v>
          </cell>
          <cell r="G4161" t="str">
            <v>CB200104000800</v>
          </cell>
          <cell r="H4161">
            <v>8</v>
          </cell>
          <cell r="I4161" t="str">
            <v>--</v>
          </cell>
          <cell r="J4161">
            <v>2</v>
          </cell>
          <cell r="K4161">
            <v>3</v>
          </cell>
        </row>
        <row r="4162">
          <cell r="A4162" t="str">
            <v>M2</v>
          </cell>
          <cell r="B4162" t="str">
            <v>A5C</v>
          </cell>
          <cell r="C4162" t="str">
            <v>P</v>
          </cell>
          <cell r="D4162" t="str">
            <v>23046</v>
          </cell>
          <cell r="E4162" t="str">
            <v>WN FLG</v>
          </cell>
          <cell r="F4162">
            <v>3</v>
          </cell>
          <cell r="G4162" t="str">
            <v>CB200204000800</v>
          </cell>
          <cell r="H4162">
            <v>8</v>
          </cell>
          <cell r="I4162" t="str">
            <v>--</v>
          </cell>
          <cell r="J4162">
            <v>2</v>
          </cell>
          <cell r="K4162">
            <v>3</v>
          </cell>
        </row>
        <row r="4163">
          <cell r="A4163" t="str">
            <v>M2</v>
          </cell>
          <cell r="B4163" t="str">
            <v>A5C</v>
          </cell>
          <cell r="C4163" t="str">
            <v>P</v>
          </cell>
          <cell r="D4163" t="str">
            <v>23067</v>
          </cell>
          <cell r="E4163" t="str">
            <v>WN FLG</v>
          </cell>
          <cell r="F4163">
            <v>3</v>
          </cell>
          <cell r="G4163" t="str">
            <v>CB200104000800</v>
          </cell>
          <cell r="H4163">
            <v>8</v>
          </cell>
          <cell r="I4163" t="str">
            <v>--</v>
          </cell>
          <cell r="J4163">
            <v>2</v>
          </cell>
          <cell r="K4163">
            <v>3</v>
          </cell>
        </row>
        <row r="4164">
          <cell r="A4164" t="str">
            <v>M2</v>
          </cell>
          <cell r="B4164" t="str">
            <v>A5C</v>
          </cell>
          <cell r="C4164" t="str">
            <v>P</v>
          </cell>
          <cell r="D4164" t="str">
            <v>23126</v>
          </cell>
          <cell r="E4164" t="str">
            <v>WN FLG</v>
          </cell>
          <cell r="F4164">
            <v>3</v>
          </cell>
          <cell r="G4164" t="str">
            <v>CB200104000800</v>
          </cell>
          <cell r="H4164">
            <v>8</v>
          </cell>
          <cell r="I4164" t="str">
            <v>--</v>
          </cell>
          <cell r="J4164">
            <v>2</v>
          </cell>
          <cell r="K4164">
            <v>3</v>
          </cell>
        </row>
        <row r="4165">
          <cell r="A4165" t="str">
            <v>M2</v>
          </cell>
          <cell r="B4165" t="str">
            <v>A5C</v>
          </cell>
          <cell r="C4165" t="str">
            <v>P</v>
          </cell>
          <cell r="D4165" t="str">
            <v>23160</v>
          </cell>
          <cell r="E4165" t="str">
            <v>WN FLG</v>
          </cell>
          <cell r="F4165">
            <v>3</v>
          </cell>
          <cell r="G4165" t="str">
            <v>CB200104000800</v>
          </cell>
          <cell r="H4165">
            <v>8</v>
          </cell>
          <cell r="I4165" t="str">
            <v>--</v>
          </cell>
          <cell r="J4165">
            <v>5</v>
          </cell>
          <cell r="K4165">
            <v>6</v>
          </cell>
        </row>
        <row r="4166">
          <cell r="A4166" t="str">
            <v>M2</v>
          </cell>
          <cell r="B4166" t="str">
            <v>A5C</v>
          </cell>
          <cell r="C4166" t="str">
            <v>P</v>
          </cell>
          <cell r="D4166" t="str">
            <v>23089</v>
          </cell>
          <cell r="E4166" t="str">
            <v>WN FLG</v>
          </cell>
          <cell r="F4166">
            <v>3</v>
          </cell>
          <cell r="G4166" t="str">
            <v>CB200104000800</v>
          </cell>
          <cell r="H4166">
            <v>8</v>
          </cell>
          <cell r="I4166" t="str">
            <v>--</v>
          </cell>
          <cell r="J4166">
            <v>5</v>
          </cell>
          <cell r="K4166">
            <v>6</v>
          </cell>
        </row>
        <row r="4167">
          <cell r="A4167" t="str">
            <v>M2</v>
          </cell>
          <cell r="B4167" t="str">
            <v>A5C</v>
          </cell>
          <cell r="C4167" t="str">
            <v>P</v>
          </cell>
          <cell r="D4167" t="str">
            <v>23093</v>
          </cell>
          <cell r="E4167" t="str">
            <v>WN FLG</v>
          </cell>
          <cell r="F4167">
            <v>3</v>
          </cell>
          <cell r="G4167" t="str">
            <v>CB200104000800</v>
          </cell>
          <cell r="H4167">
            <v>8</v>
          </cell>
          <cell r="I4167" t="str">
            <v>--</v>
          </cell>
          <cell r="J4167">
            <v>2</v>
          </cell>
          <cell r="K4167">
            <v>3</v>
          </cell>
        </row>
        <row r="4168">
          <cell r="A4168" t="str">
            <v>M2</v>
          </cell>
          <cell r="B4168" t="str">
            <v>A5C</v>
          </cell>
          <cell r="C4168" t="str">
            <v>P</v>
          </cell>
          <cell r="D4168" t="str">
            <v>23128</v>
          </cell>
          <cell r="E4168" t="str">
            <v>WN FLG</v>
          </cell>
          <cell r="F4168">
            <v>3</v>
          </cell>
          <cell r="G4168" t="str">
            <v>CB200104000800</v>
          </cell>
          <cell r="H4168">
            <v>8</v>
          </cell>
          <cell r="I4168" t="str">
            <v>--</v>
          </cell>
          <cell r="J4168">
            <v>5</v>
          </cell>
          <cell r="K4168">
            <v>6</v>
          </cell>
        </row>
        <row r="4169">
          <cell r="A4169" t="str">
            <v>M2</v>
          </cell>
          <cell r="B4169" t="str">
            <v>A5C</v>
          </cell>
          <cell r="C4169" t="str">
            <v>P</v>
          </cell>
          <cell r="D4169" t="str">
            <v>23132</v>
          </cell>
          <cell r="E4169" t="str">
            <v>WN FLG</v>
          </cell>
          <cell r="F4169">
            <v>3</v>
          </cell>
          <cell r="G4169" t="str">
            <v>CB200104000800</v>
          </cell>
          <cell r="H4169">
            <v>8</v>
          </cell>
          <cell r="I4169" t="str">
            <v>--</v>
          </cell>
          <cell r="J4169">
            <v>2</v>
          </cell>
          <cell r="K4169">
            <v>3</v>
          </cell>
        </row>
        <row r="4170">
          <cell r="A4170" t="str">
            <v>M2</v>
          </cell>
          <cell r="B4170" t="str">
            <v>A5C</v>
          </cell>
          <cell r="C4170" t="str">
            <v>P</v>
          </cell>
          <cell r="D4170" t="str">
            <v>23010</v>
          </cell>
          <cell r="E4170" t="str">
            <v>WN FLG</v>
          </cell>
          <cell r="F4170">
            <v>3</v>
          </cell>
          <cell r="G4170" t="str">
            <v>CB200104000800</v>
          </cell>
          <cell r="H4170">
            <v>8</v>
          </cell>
          <cell r="I4170" t="str">
            <v>--</v>
          </cell>
          <cell r="J4170">
            <v>2</v>
          </cell>
          <cell r="K4170">
            <v>3</v>
          </cell>
        </row>
        <row r="4171">
          <cell r="A4171" t="str">
            <v>M2</v>
          </cell>
          <cell r="B4171" t="str">
            <v>A5C</v>
          </cell>
          <cell r="C4171" t="str">
            <v>P</v>
          </cell>
          <cell r="D4171" t="str">
            <v>23011</v>
          </cell>
          <cell r="E4171" t="str">
            <v>WN FLG</v>
          </cell>
          <cell r="F4171">
            <v>3</v>
          </cell>
          <cell r="G4171" t="str">
            <v>CB200204001000</v>
          </cell>
          <cell r="H4171">
            <v>10</v>
          </cell>
          <cell r="I4171" t="str">
            <v>--</v>
          </cell>
          <cell r="J4171">
            <v>2</v>
          </cell>
          <cell r="K4171">
            <v>3</v>
          </cell>
        </row>
        <row r="4172">
          <cell r="A4172" t="str">
            <v>M2</v>
          </cell>
          <cell r="B4172" t="str">
            <v>A5C</v>
          </cell>
          <cell r="C4172" t="str">
            <v>P</v>
          </cell>
          <cell r="D4172" t="str">
            <v>23011</v>
          </cell>
          <cell r="E4172" t="str">
            <v>WN FLG</v>
          </cell>
          <cell r="F4172">
            <v>3</v>
          </cell>
          <cell r="G4172" t="str">
            <v>CB200104001000</v>
          </cell>
          <cell r="H4172">
            <v>10</v>
          </cell>
          <cell r="I4172" t="str">
            <v>--</v>
          </cell>
          <cell r="J4172">
            <v>2</v>
          </cell>
          <cell r="K4172">
            <v>3</v>
          </cell>
        </row>
        <row r="4173">
          <cell r="A4173" t="str">
            <v>M2</v>
          </cell>
          <cell r="B4173" t="str">
            <v>A5C</v>
          </cell>
          <cell r="C4173" t="str">
            <v>P</v>
          </cell>
          <cell r="D4173" t="str">
            <v>23023</v>
          </cell>
          <cell r="E4173" t="str">
            <v>WN FLG</v>
          </cell>
          <cell r="F4173">
            <v>3</v>
          </cell>
          <cell r="G4173" t="str">
            <v>CB200104001000</v>
          </cell>
          <cell r="H4173">
            <v>10</v>
          </cell>
          <cell r="I4173" t="str">
            <v>--</v>
          </cell>
          <cell r="J4173">
            <v>4</v>
          </cell>
          <cell r="K4173">
            <v>5</v>
          </cell>
        </row>
        <row r="4174">
          <cell r="A4174" t="str">
            <v>M2</v>
          </cell>
          <cell r="B4174" t="str">
            <v>A5C</v>
          </cell>
          <cell r="C4174" t="str">
            <v>P</v>
          </cell>
          <cell r="D4174" t="str">
            <v>23057</v>
          </cell>
          <cell r="E4174" t="str">
            <v>WN FLG</v>
          </cell>
          <cell r="F4174">
            <v>3</v>
          </cell>
          <cell r="G4174" t="str">
            <v>CB200104001000</v>
          </cell>
          <cell r="H4174">
            <v>10</v>
          </cell>
          <cell r="I4174" t="str">
            <v>--</v>
          </cell>
          <cell r="J4174">
            <v>2</v>
          </cell>
          <cell r="K4174">
            <v>3</v>
          </cell>
        </row>
        <row r="4175">
          <cell r="A4175" t="str">
            <v>M2</v>
          </cell>
          <cell r="B4175" t="str">
            <v>A5C</v>
          </cell>
          <cell r="C4175" t="str">
            <v>P</v>
          </cell>
          <cell r="D4175" t="str">
            <v>23057</v>
          </cell>
          <cell r="E4175" t="str">
            <v>WN FLG</v>
          </cell>
          <cell r="F4175">
            <v>3</v>
          </cell>
          <cell r="G4175" t="str">
            <v>CB200204001000</v>
          </cell>
          <cell r="H4175">
            <v>10</v>
          </cell>
          <cell r="I4175" t="str">
            <v>--</v>
          </cell>
          <cell r="J4175">
            <v>2</v>
          </cell>
          <cell r="K4175">
            <v>3</v>
          </cell>
        </row>
        <row r="4176">
          <cell r="A4176" t="str">
            <v>M2</v>
          </cell>
          <cell r="B4176" t="str">
            <v>A5C</v>
          </cell>
          <cell r="C4176" t="str">
            <v>P</v>
          </cell>
          <cell r="D4176" t="str">
            <v>23049</v>
          </cell>
          <cell r="E4176" t="str">
            <v>WN FLG</v>
          </cell>
          <cell r="F4176">
            <v>3</v>
          </cell>
          <cell r="G4176" t="str">
            <v>CB200104001000</v>
          </cell>
          <cell r="H4176">
            <v>10</v>
          </cell>
          <cell r="I4176" t="str">
            <v>--</v>
          </cell>
          <cell r="J4176">
            <v>2</v>
          </cell>
          <cell r="K4176">
            <v>3</v>
          </cell>
        </row>
        <row r="4177">
          <cell r="A4177" t="str">
            <v>M2</v>
          </cell>
          <cell r="B4177" t="str">
            <v>A5C</v>
          </cell>
          <cell r="C4177" t="str">
            <v>P</v>
          </cell>
          <cell r="D4177" t="str">
            <v>23060</v>
          </cell>
          <cell r="E4177" t="str">
            <v>WN FLG</v>
          </cell>
          <cell r="F4177">
            <v>3</v>
          </cell>
          <cell r="G4177" t="str">
            <v>CB200104001000</v>
          </cell>
          <cell r="H4177">
            <v>10</v>
          </cell>
          <cell r="I4177" t="str">
            <v>--</v>
          </cell>
          <cell r="J4177">
            <v>2</v>
          </cell>
          <cell r="K4177">
            <v>3</v>
          </cell>
        </row>
        <row r="4178">
          <cell r="A4178" t="str">
            <v>M2</v>
          </cell>
          <cell r="B4178" t="str">
            <v>A5C</v>
          </cell>
          <cell r="C4178" t="str">
            <v>P</v>
          </cell>
          <cell r="D4178" t="str">
            <v>23022</v>
          </cell>
          <cell r="E4178" t="str">
            <v>WN FLG</v>
          </cell>
          <cell r="F4178">
            <v>3</v>
          </cell>
          <cell r="G4178" t="str">
            <v>CB200204001200</v>
          </cell>
          <cell r="H4178">
            <v>12</v>
          </cell>
          <cell r="I4178" t="str">
            <v>--</v>
          </cell>
          <cell r="J4178">
            <v>2</v>
          </cell>
          <cell r="K4178">
            <v>3</v>
          </cell>
        </row>
        <row r="4179">
          <cell r="A4179" t="str">
            <v>M2</v>
          </cell>
          <cell r="B4179" t="str">
            <v>A5C</v>
          </cell>
          <cell r="C4179" t="str">
            <v>P</v>
          </cell>
          <cell r="D4179" t="str">
            <v>23031</v>
          </cell>
          <cell r="E4179" t="str">
            <v>WN FLG</v>
          </cell>
          <cell r="F4179">
            <v>3</v>
          </cell>
          <cell r="G4179" t="str">
            <v>CB200104001200</v>
          </cell>
          <cell r="H4179">
            <v>12</v>
          </cell>
          <cell r="I4179" t="str">
            <v>--</v>
          </cell>
          <cell r="J4179">
            <v>1</v>
          </cell>
          <cell r="K4179">
            <v>2</v>
          </cell>
        </row>
        <row r="4180">
          <cell r="A4180" t="str">
            <v>M2</v>
          </cell>
          <cell r="B4180" t="str">
            <v>A5C</v>
          </cell>
          <cell r="C4180" t="str">
            <v>P</v>
          </cell>
          <cell r="D4180" t="str">
            <v>23015</v>
          </cell>
          <cell r="E4180" t="str">
            <v>WN FLG</v>
          </cell>
          <cell r="F4180">
            <v>3</v>
          </cell>
          <cell r="G4180" t="str">
            <v>CB200104001200</v>
          </cell>
          <cell r="H4180">
            <v>12</v>
          </cell>
          <cell r="I4180" t="str">
            <v>--</v>
          </cell>
          <cell r="J4180">
            <v>1</v>
          </cell>
          <cell r="K4180">
            <v>2</v>
          </cell>
        </row>
        <row r="4181">
          <cell r="A4181" t="str">
            <v>M2</v>
          </cell>
          <cell r="B4181" t="str">
            <v>A5C</v>
          </cell>
          <cell r="C4181" t="str">
            <v>P</v>
          </cell>
          <cell r="D4181" t="str">
            <v>23032</v>
          </cell>
          <cell r="E4181" t="str">
            <v>WN FLG</v>
          </cell>
          <cell r="F4181">
            <v>3</v>
          </cell>
          <cell r="G4181" t="str">
            <v>CB200104001600</v>
          </cell>
          <cell r="H4181">
            <v>16</v>
          </cell>
          <cell r="I4181" t="str">
            <v>--</v>
          </cell>
          <cell r="J4181">
            <v>2</v>
          </cell>
          <cell r="K4181">
            <v>2</v>
          </cell>
        </row>
        <row r="4182">
          <cell r="A4182" t="str">
            <v>M2</v>
          </cell>
          <cell r="B4182" t="str">
            <v>A5C</v>
          </cell>
          <cell r="C4182" t="str">
            <v>P</v>
          </cell>
          <cell r="D4182" t="str">
            <v>23022</v>
          </cell>
          <cell r="E4182" t="str">
            <v>WN FLG</v>
          </cell>
          <cell r="F4182">
            <v>3</v>
          </cell>
          <cell r="G4182" t="str">
            <v>CB200104001800</v>
          </cell>
          <cell r="H4182">
            <v>18</v>
          </cell>
          <cell r="I4182" t="str">
            <v>--</v>
          </cell>
          <cell r="J4182">
            <v>1</v>
          </cell>
          <cell r="K4182">
            <v>1</v>
          </cell>
        </row>
        <row r="4183">
          <cell r="A4183" t="str">
            <v>M2</v>
          </cell>
          <cell r="B4183" t="str">
            <v>A5C</v>
          </cell>
          <cell r="C4183" t="str">
            <v>P</v>
          </cell>
          <cell r="D4183" t="str">
            <v>23022</v>
          </cell>
          <cell r="E4183" t="str">
            <v>WN FLG</v>
          </cell>
          <cell r="F4183">
            <v>3</v>
          </cell>
          <cell r="G4183" t="str">
            <v>CB200104002000</v>
          </cell>
          <cell r="H4183">
            <v>20</v>
          </cell>
          <cell r="I4183" t="str">
            <v>--</v>
          </cell>
          <cell r="J4183">
            <v>1</v>
          </cell>
          <cell r="K4183">
            <v>1</v>
          </cell>
        </row>
        <row r="4184">
          <cell r="A4184" t="str">
            <v>M2</v>
          </cell>
          <cell r="B4184" t="str">
            <v>A5C</v>
          </cell>
          <cell r="C4184" t="str">
            <v>P</v>
          </cell>
          <cell r="D4184" t="str">
            <v>23034</v>
          </cell>
          <cell r="E4184" t="str">
            <v>WN FLG</v>
          </cell>
          <cell r="F4184">
            <v>3</v>
          </cell>
          <cell r="G4184" t="str">
            <v>CB200104002000</v>
          </cell>
          <cell r="H4184">
            <v>20</v>
          </cell>
          <cell r="I4184" t="str">
            <v>--</v>
          </cell>
          <cell r="J4184">
            <v>1</v>
          </cell>
          <cell r="K4184">
            <v>1</v>
          </cell>
        </row>
        <row r="4185">
          <cell r="A4185" t="str">
            <v>M2</v>
          </cell>
          <cell r="B4185" t="str">
            <v>B2C</v>
          </cell>
          <cell r="C4185" t="str">
            <v>SH</v>
          </cell>
          <cell r="D4185" t="str">
            <v>23601</v>
          </cell>
          <cell r="E4185" t="str">
            <v>GATE VA</v>
          </cell>
          <cell r="F4185">
            <v>6</v>
          </cell>
          <cell r="G4185" t="str">
            <v>VG8010400000H00</v>
          </cell>
          <cell r="H4185">
            <v>0.5</v>
          </cell>
          <cell r="I4185" t="str">
            <v>--</v>
          </cell>
          <cell r="J4185">
            <v>2</v>
          </cell>
          <cell r="K4185">
            <v>2</v>
          </cell>
        </row>
        <row r="4186">
          <cell r="A4186" t="str">
            <v>M2</v>
          </cell>
          <cell r="B4186" t="str">
            <v>B2C</v>
          </cell>
          <cell r="C4186" t="str">
            <v>SH</v>
          </cell>
          <cell r="D4186" t="str">
            <v>23612</v>
          </cell>
          <cell r="E4186" t="str">
            <v>GATE VA</v>
          </cell>
          <cell r="F4186">
            <v>6</v>
          </cell>
          <cell r="G4186" t="str">
            <v>VG8010400000H00</v>
          </cell>
          <cell r="H4186">
            <v>0.5</v>
          </cell>
          <cell r="I4186" t="str">
            <v>--</v>
          </cell>
          <cell r="J4186">
            <v>2</v>
          </cell>
          <cell r="K4186">
            <v>2</v>
          </cell>
        </row>
        <row r="4187">
          <cell r="A4187" t="str">
            <v>M2</v>
          </cell>
          <cell r="B4187" t="str">
            <v>A5C</v>
          </cell>
          <cell r="C4187" t="str">
            <v>P</v>
          </cell>
          <cell r="D4187" t="str">
            <v>23081</v>
          </cell>
          <cell r="E4187" t="str">
            <v>BALL VA</v>
          </cell>
          <cell r="F4187">
            <v>6</v>
          </cell>
          <cell r="G4187" t="str">
            <v>VB8010600000H00</v>
          </cell>
          <cell r="H4187">
            <v>0.5</v>
          </cell>
          <cell r="I4187" t="str">
            <v>--</v>
          </cell>
          <cell r="J4187">
            <v>2</v>
          </cell>
          <cell r="K4187">
            <v>2</v>
          </cell>
        </row>
        <row r="4188">
          <cell r="A4188" t="str">
            <v>M2</v>
          </cell>
          <cell r="B4188" t="str">
            <v>A5C</v>
          </cell>
          <cell r="C4188" t="str">
            <v>P</v>
          </cell>
          <cell r="D4188" t="str">
            <v>23085</v>
          </cell>
          <cell r="E4188" t="str">
            <v>BALL VA</v>
          </cell>
          <cell r="F4188">
            <v>6</v>
          </cell>
          <cell r="G4188" t="str">
            <v>VB8010600000H00</v>
          </cell>
          <cell r="H4188">
            <v>0.5</v>
          </cell>
          <cell r="I4188" t="str">
            <v>--</v>
          </cell>
          <cell r="J4188">
            <v>2</v>
          </cell>
          <cell r="K4188">
            <v>2</v>
          </cell>
        </row>
        <row r="4189">
          <cell r="A4189" t="str">
            <v>M2</v>
          </cell>
          <cell r="B4189" t="str">
            <v>A5C</v>
          </cell>
          <cell r="C4189" t="str">
            <v>P</v>
          </cell>
          <cell r="D4189" t="str">
            <v>23094</v>
          </cell>
          <cell r="E4189" t="str">
            <v>BALL VA</v>
          </cell>
          <cell r="F4189">
            <v>6</v>
          </cell>
          <cell r="G4189" t="str">
            <v>VB8010600000H00</v>
          </cell>
          <cell r="H4189">
            <v>0.5</v>
          </cell>
          <cell r="I4189" t="str">
            <v>--</v>
          </cell>
          <cell r="J4189">
            <v>2</v>
          </cell>
          <cell r="K4189">
            <v>2</v>
          </cell>
        </row>
        <row r="4190">
          <cell r="A4190" t="str">
            <v>M2</v>
          </cell>
          <cell r="B4190" t="str">
            <v>A5C</v>
          </cell>
          <cell r="C4190" t="str">
            <v>P</v>
          </cell>
          <cell r="D4190" t="str">
            <v>23096</v>
          </cell>
          <cell r="E4190" t="str">
            <v>BALL VA</v>
          </cell>
          <cell r="F4190">
            <v>6</v>
          </cell>
          <cell r="G4190" t="str">
            <v>VB8010600000H00</v>
          </cell>
          <cell r="H4190">
            <v>0.5</v>
          </cell>
          <cell r="I4190" t="str">
            <v>--</v>
          </cell>
          <cell r="J4190">
            <v>2</v>
          </cell>
          <cell r="K4190">
            <v>2</v>
          </cell>
        </row>
        <row r="4191">
          <cell r="A4191" t="str">
            <v>M2</v>
          </cell>
          <cell r="B4191" t="str">
            <v>A5C</v>
          </cell>
          <cell r="C4191" t="str">
            <v>P</v>
          </cell>
          <cell r="D4191" t="str">
            <v>23113</v>
          </cell>
          <cell r="E4191" t="str">
            <v>BALL VA</v>
          </cell>
          <cell r="F4191">
            <v>6</v>
          </cell>
          <cell r="G4191" t="str">
            <v>VB8010600000H00</v>
          </cell>
          <cell r="H4191">
            <v>0.5</v>
          </cell>
          <cell r="I4191" t="str">
            <v>--</v>
          </cell>
          <cell r="J4191">
            <v>2</v>
          </cell>
          <cell r="K4191">
            <v>2</v>
          </cell>
        </row>
        <row r="4192">
          <cell r="A4192" t="str">
            <v>M2</v>
          </cell>
          <cell r="B4192" t="str">
            <v>A5C</v>
          </cell>
          <cell r="C4192" t="str">
            <v>P</v>
          </cell>
          <cell r="D4192" t="str">
            <v>23225</v>
          </cell>
          <cell r="E4192" t="str">
            <v>BALL VA</v>
          </cell>
          <cell r="F4192">
            <v>6</v>
          </cell>
          <cell r="G4192" t="str">
            <v>VB8010600000H00</v>
          </cell>
          <cell r="H4192">
            <v>0.5</v>
          </cell>
          <cell r="I4192" t="str">
            <v>--</v>
          </cell>
          <cell r="J4192">
            <v>2</v>
          </cell>
          <cell r="K4192">
            <v>2</v>
          </cell>
        </row>
        <row r="4193">
          <cell r="A4193" t="str">
            <v>M2</v>
          </cell>
          <cell r="B4193" t="str">
            <v>A5C</v>
          </cell>
          <cell r="C4193" t="str">
            <v>P</v>
          </cell>
          <cell r="D4193" t="str">
            <v>23247</v>
          </cell>
          <cell r="E4193" t="str">
            <v>BALL VA</v>
          </cell>
          <cell r="F4193">
            <v>6</v>
          </cell>
          <cell r="G4193" t="str">
            <v>VB8010600000H00</v>
          </cell>
          <cell r="H4193">
            <v>0.5</v>
          </cell>
          <cell r="I4193" t="str">
            <v>--</v>
          </cell>
          <cell r="J4193">
            <v>2</v>
          </cell>
          <cell r="K4193">
            <v>2</v>
          </cell>
        </row>
        <row r="4194">
          <cell r="A4194" t="str">
            <v>M2</v>
          </cell>
          <cell r="B4194" t="str">
            <v>A5C</v>
          </cell>
          <cell r="C4194" t="str">
            <v>P</v>
          </cell>
          <cell r="D4194" t="str">
            <v>24008</v>
          </cell>
          <cell r="E4194" t="str">
            <v>BALL VA</v>
          </cell>
          <cell r="F4194">
            <v>6</v>
          </cell>
          <cell r="G4194" t="str">
            <v>VB8010600000H00</v>
          </cell>
          <cell r="H4194">
            <v>0.5</v>
          </cell>
          <cell r="I4194" t="str">
            <v>--</v>
          </cell>
          <cell r="J4194">
            <v>2</v>
          </cell>
          <cell r="K4194">
            <v>2</v>
          </cell>
        </row>
        <row r="4195">
          <cell r="A4195" t="str">
            <v>M2</v>
          </cell>
          <cell r="B4195" t="str">
            <v>A5C</v>
          </cell>
          <cell r="C4195" t="str">
            <v>P</v>
          </cell>
          <cell r="D4195" t="str">
            <v>24024</v>
          </cell>
          <cell r="E4195" t="str">
            <v>BALL VA</v>
          </cell>
          <cell r="F4195">
            <v>6</v>
          </cell>
          <cell r="G4195" t="str">
            <v>VB8010600000H00</v>
          </cell>
          <cell r="H4195">
            <v>0.5</v>
          </cell>
          <cell r="I4195" t="str">
            <v>--</v>
          </cell>
          <cell r="J4195">
            <v>2</v>
          </cell>
          <cell r="K4195">
            <v>2</v>
          </cell>
        </row>
        <row r="4196">
          <cell r="A4196" t="str">
            <v>M2</v>
          </cell>
          <cell r="B4196" t="str">
            <v>A5C</v>
          </cell>
          <cell r="C4196" t="str">
            <v>P</v>
          </cell>
          <cell r="D4196" t="str">
            <v>23006</v>
          </cell>
          <cell r="E4196" t="str">
            <v>BALL VA</v>
          </cell>
          <cell r="F4196">
            <v>6</v>
          </cell>
          <cell r="G4196" t="str">
            <v>VB8010600000H00</v>
          </cell>
          <cell r="H4196">
            <v>0.5</v>
          </cell>
          <cell r="I4196" t="str">
            <v>--</v>
          </cell>
          <cell r="J4196">
            <v>2</v>
          </cell>
          <cell r="K4196">
            <v>2</v>
          </cell>
        </row>
        <row r="4197">
          <cell r="A4197" t="str">
            <v>M2</v>
          </cell>
          <cell r="B4197" t="str">
            <v>A5C</v>
          </cell>
          <cell r="C4197" t="str">
            <v>P</v>
          </cell>
          <cell r="D4197" t="str">
            <v>23124</v>
          </cell>
          <cell r="E4197" t="str">
            <v>BALL VA</v>
          </cell>
          <cell r="F4197">
            <v>6</v>
          </cell>
          <cell r="G4197" t="str">
            <v>VB8010600000H00</v>
          </cell>
          <cell r="H4197">
            <v>0.5</v>
          </cell>
          <cell r="I4197" t="str">
            <v>--</v>
          </cell>
          <cell r="J4197">
            <v>2</v>
          </cell>
          <cell r="K4197">
            <v>2</v>
          </cell>
        </row>
        <row r="4198">
          <cell r="A4198" t="str">
            <v>M2</v>
          </cell>
          <cell r="B4198" t="str">
            <v>A5C</v>
          </cell>
          <cell r="C4198" t="str">
            <v>P</v>
          </cell>
          <cell r="D4198" t="str">
            <v>23094</v>
          </cell>
          <cell r="E4198" t="str">
            <v>GLOBE VA</v>
          </cell>
          <cell r="F4198">
            <v>6</v>
          </cell>
          <cell r="G4198" t="str">
            <v>VL8010100000H00</v>
          </cell>
          <cell r="H4198">
            <v>0.5</v>
          </cell>
          <cell r="I4198" t="str">
            <v>--</v>
          </cell>
          <cell r="J4198">
            <v>1</v>
          </cell>
          <cell r="K4198">
            <v>1</v>
          </cell>
        </row>
        <row r="4199">
          <cell r="A4199" t="str">
            <v>M2</v>
          </cell>
          <cell r="B4199" t="str">
            <v>A5C</v>
          </cell>
          <cell r="C4199" t="str">
            <v>P</v>
          </cell>
          <cell r="D4199" t="str">
            <v>23113</v>
          </cell>
          <cell r="E4199" t="str">
            <v>GLOBE VA</v>
          </cell>
          <cell r="F4199">
            <v>6</v>
          </cell>
          <cell r="G4199" t="str">
            <v>VL8010100000H00</v>
          </cell>
          <cell r="H4199">
            <v>0.5</v>
          </cell>
          <cell r="I4199" t="str">
            <v>--</v>
          </cell>
          <cell r="J4199">
            <v>1</v>
          </cell>
          <cell r="K4199">
            <v>1</v>
          </cell>
        </row>
        <row r="4200">
          <cell r="A4200" t="str">
            <v>M2</v>
          </cell>
          <cell r="B4200" t="str">
            <v>A5C</v>
          </cell>
          <cell r="C4200" t="str">
            <v>P</v>
          </cell>
          <cell r="D4200" t="str">
            <v>23059</v>
          </cell>
          <cell r="E4200" t="str">
            <v>BALL VA</v>
          </cell>
          <cell r="F4200">
            <v>6</v>
          </cell>
          <cell r="G4200" t="str">
            <v>VB8010600000H00</v>
          </cell>
          <cell r="H4200">
            <v>0.5</v>
          </cell>
          <cell r="I4200" t="str">
            <v>--</v>
          </cell>
          <cell r="J4200">
            <v>2</v>
          </cell>
          <cell r="K4200">
            <v>2</v>
          </cell>
        </row>
        <row r="4201">
          <cell r="A4201" t="str">
            <v>M2</v>
          </cell>
          <cell r="B4201" t="str">
            <v>A5C</v>
          </cell>
          <cell r="C4201" t="str">
            <v>P</v>
          </cell>
          <cell r="D4201" t="str">
            <v>23019</v>
          </cell>
          <cell r="E4201" t="str">
            <v>BALL VA</v>
          </cell>
          <cell r="F4201">
            <v>6</v>
          </cell>
          <cell r="G4201" t="str">
            <v>VB8010600000H00</v>
          </cell>
          <cell r="H4201">
            <v>0.5</v>
          </cell>
          <cell r="I4201" t="str">
            <v>--</v>
          </cell>
          <cell r="J4201">
            <v>2</v>
          </cell>
          <cell r="K4201">
            <v>2</v>
          </cell>
        </row>
        <row r="4202">
          <cell r="A4202" t="str">
            <v>M2</v>
          </cell>
          <cell r="B4202" t="str">
            <v>A5C</v>
          </cell>
          <cell r="C4202" t="str">
            <v>P</v>
          </cell>
          <cell r="D4202" t="str">
            <v>23024</v>
          </cell>
          <cell r="E4202" t="str">
            <v>BALL VA</v>
          </cell>
          <cell r="F4202">
            <v>6</v>
          </cell>
          <cell r="G4202" t="str">
            <v>VB8010600000H00</v>
          </cell>
          <cell r="H4202">
            <v>0.5</v>
          </cell>
          <cell r="I4202" t="str">
            <v>--</v>
          </cell>
          <cell r="J4202">
            <v>2</v>
          </cell>
          <cell r="K4202">
            <v>2</v>
          </cell>
        </row>
        <row r="4203">
          <cell r="A4203" t="str">
            <v>M2</v>
          </cell>
          <cell r="B4203" t="str">
            <v>A5C</v>
          </cell>
          <cell r="C4203" t="str">
            <v>P</v>
          </cell>
          <cell r="D4203" t="str">
            <v>23028</v>
          </cell>
          <cell r="E4203" t="str">
            <v>BALL VA</v>
          </cell>
          <cell r="F4203">
            <v>6</v>
          </cell>
          <cell r="G4203" t="str">
            <v>VB8010600000H00</v>
          </cell>
          <cell r="H4203">
            <v>0.5</v>
          </cell>
          <cell r="I4203" t="str">
            <v>--</v>
          </cell>
          <cell r="J4203">
            <v>4</v>
          </cell>
          <cell r="K4203">
            <v>4</v>
          </cell>
        </row>
        <row r="4204">
          <cell r="A4204" t="str">
            <v>M2</v>
          </cell>
          <cell r="B4204" t="str">
            <v>A5C</v>
          </cell>
          <cell r="C4204" t="str">
            <v>P</v>
          </cell>
          <cell r="D4204" t="str">
            <v>23039</v>
          </cell>
          <cell r="E4204" t="str">
            <v>BALL VA</v>
          </cell>
          <cell r="F4204">
            <v>6</v>
          </cell>
          <cell r="G4204" t="str">
            <v>VB8010600000H00</v>
          </cell>
          <cell r="H4204">
            <v>0.5</v>
          </cell>
          <cell r="I4204" t="str">
            <v>--</v>
          </cell>
          <cell r="J4204">
            <v>2</v>
          </cell>
          <cell r="K4204">
            <v>2</v>
          </cell>
        </row>
        <row r="4205">
          <cell r="A4205" t="str">
            <v>M2</v>
          </cell>
          <cell r="B4205" t="str">
            <v>A5C</v>
          </cell>
          <cell r="C4205" t="str">
            <v>P</v>
          </cell>
          <cell r="D4205" t="str">
            <v>23048</v>
          </cell>
          <cell r="E4205" t="str">
            <v>BALL VA</v>
          </cell>
          <cell r="F4205">
            <v>6</v>
          </cell>
          <cell r="G4205" t="str">
            <v>VB8010600000H00</v>
          </cell>
          <cell r="H4205">
            <v>0.5</v>
          </cell>
          <cell r="I4205" t="str">
            <v>--</v>
          </cell>
          <cell r="J4205">
            <v>2</v>
          </cell>
          <cell r="K4205">
            <v>2</v>
          </cell>
        </row>
        <row r="4206">
          <cell r="A4206" t="str">
            <v>M2</v>
          </cell>
          <cell r="B4206" t="str">
            <v>A5C</v>
          </cell>
          <cell r="C4206" t="str">
            <v>P</v>
          </cell>
          <cell r="D4206" t="str">
            <v>23053</v>
          </cell>
          <cell r="E4206" t="str">
            <v>BALL VA</v>
          </cell>
          <cell r="F4206">
            <v>6</v>
          </cell>
          <cell r="G4206" t="str">
            <v>VB8010600000H00</v>
          </cell>
          <cell r="H4206">
            <v>0.5</v>
          </cell>
          <cell r="I4206" t="str">
            <v>--</v>
          </cell>
          <cell r="J4206">
            <v>2</v>
          </cell>
          <cell r="K4206">
            <v>2</v>
          </cell>
        </row>
        <row r="4207">
          <cell r="A4207" t="str">
            <v>M2</v>
          </cell>
          <cell r="B4207" t="str">
            <v>A5C</v>
          </cell>
          <cell r="C4207" t="str">
            <v>P</v>
          </cell>
          <cell r="D4207" t="str">
            <v>23054</v>
          </cell>
          <cell r="E4207" t="str">
            <v>BALL VA</v>
          </cell>
          <cell r="F4207">
            <v>6</v>
          </cell>
          <cell r="G4207" t="str">
            <v>VB8010600000H00</v>
          </cell>
          <cell r="H4207">
            <v>0.5</v>
          </cell>
          <cell r="I4207" t="str">
            <v>--</v>
          </cell>
          <cell r="J4207">
            <v>2</v>
          </cell>
          <cell r="K4207">
            <v>2</v>
          </cell>
        </row>
        <row r="4208">
          <cell r="A4208" t="str">
            <v>M2</v>
          </cell>
          <cell r="B4208" t="str">
            <v>A5C</v>
          </cell>
          <cell r="C4208" t="str">
            <v>P</v>
          </cell>
          <cell r="D4208" t="str">
            <v>23064</v>
          </cell>
          <cell r="E4208" t="str">
            <v>BALL VA</v>
          </cell>
          <cell r="F4208">
            <v>6</v>
          </cell>
          <cell r="G4208" t="str">
            <v>VB8010600000H00</v>
          </cell>
          <cell r="H4208">
            <v>0.5</v>
          </cell>
          <cell r="I4208" t="str">
            <v>--</v>
          </cell>
          <cell r="J4208">
            <v>2</v>
          </cell>
          <cell r="K4208">
            <v>2</v>
          </cell>
        </row>
        <row r="4209">
          <cell r="A4209" t="str">
            <v>M2</v>
          </cell>
          <cell r="B4209" t="str">
            <v>A5C</v>
          </cell>
          <cell r="C4209" t="str">
            <v>P</v>
          </cell>
          <cell r="D4209" t="str">
            <v>23079</v>
          </cell>
          <cell r="E4209" t="str">
            <v>BALL VA</v>
          </cell>
          <cell r="F4209">
            <v>6</v>
          </cell>
          <cell r="G4209" t="str">
            <v>VB8010600000H00</v>
          </cell>
          <cell r="H4209">
            <v>0.5</v>
          </cell>
          <cell r="I4209" t="str">
            <v>--</v>
          </cell>
          <cell r="J4209">
            <v>2</v>
          </cell>
          <cell r="K4209">
            <v>2</v>
          </cell>
        </row>
        <row r="4210">
          <cell r="A4210" t="str">
            <v>M2</v>
          </cell>
          <cell r="B4210" t="str">
            <v>A5C</v>
          </cell>
          <cell r="C4210" t="str">
            <v>P</v>
          </cell>
          <cell r="D4210" t="str">
            <v>24016</v>
          </cell>
          <cell r="E4210" t="str">
            <v>BALL VA</v>
          </cell>
          <cell r="F4210">
            <v>6</v>
          </cell>
          <cell r="G4210" t="str">
            <v>VB8010600000H00</v>
          </cell>
          <cell r="H4210">
            <v>0.5</v>
          </cell>
          <cell r="I4210" t="str">
            <v>--</v>
          </cell>
          <cell r="J4210">
            <v>2</v>
          </cell>
          <cell r="K4210">
            <v>2</v>
          </cell>
        </row>
        <row r="4211">
          <cell r="A4211" t="str">
            <v>M2</v>
          </cell>
          <cell r="B4211" t="str">
            <v>A5C</v>
          </cell>
          <cell r="C4211" t="str">
            <v>P</v>
          </cell>
          <cell r="D4211" t="str">
            <v>24018</v>
          </cell>
          <cell r="E4211" t="str">
            <v>BALL VA</v>
          </cell>
          <cell r="F4211">
            <v>6</v>
          </cell>
          <cell r="G4211" t="str">
            <v>VB8010600000H00</v>
          </cell>
          <cell r="H4211">
            <v>0.5</v>
          </cell>
          <cell r="I4211" t="str">
            <v>--</v>
          </cell>
          <cell r="J4211">
            <v>2</v>
          </cell>
          <cell r="K4211">
            <v>2</v>
          </cell>
        </row>
        <row r="4212">
          <cell r="A4212" t="str">
            <v>M2</v>
          </cell>
          <cell r="B4212" t="str">
            <v>A5C</v>
          </cell>
          <cell r="C4212" t="str">
            <v>P</v>
          </cell>
          <cell r="D4212" t="str">
            <v>23020</v>
          </cell>
          <cell r="E4212" t="str">
            <v>BALL VA</v>
          </cell>
          <cell r="F4212">
            <v>6</v>
          </cell>
          <cell r="G4212" t="str">
            <v>VB8010600000H00</v>
          </cell>
          <cell r="H4212">
            <v>0.5</v>
          </cell>
          <cell r="I4212" t="str">
            <v>--</v>
          </cell>
          <cell r="J4212">
            <v>2</v>
          </cell>
          <cell r="K4212">
            <v>2</v>
          </cell>
        </row>
        <row r="4213">
          <cell r="A4213" t="str">
            <v>M2</v>
          </cell>
          <cell r="B4213" t="str">
            <v>A5C</v>
          </cell>
          <cell r="C4213" t="str">
            <v>P</v>
          </cell>
          <cell r="D4213" t="str">
            <v>23029</v>
          </cell>
          <cell r="E4213" t="str">
            <v>BALL VA</v>
          </cell>
          <cell r="F4213">
            <v>6</v>
          </cell>
          <cell r="G4213" t="str">
            <v>VB8010600000H00</v>
          </cell>
          <cell r="H4213">
            <v>0.5</v>
          </cell>
          <cell r="I4213" t="str">
            <v>--</v>
          </cell>
          <cell r="J4213">
            <v>2</v>
          </cell>
          <cell r="K4213">
            <v>2</v>
          </cell>
        </row>
        <row r="4214">
          <cell r="A4214" t="str">
            <v>M2</v>
          </cell>
          <cell r="B4214" t="str">
            <v>A5C</v>
          </cell>
          <cell r="C4214" t="str">
            <v>P</v>
          </cell>
          <cell r="D4214" t="str">
            <v>23080</v>
          </cell>
          <cell r="E4214" t="str">
            <v>BALL VA</v>
          </cell>
          <cell r="F4214">
            <v>6</v>
          </cell>
          <cell r="G4214" t="str">
            <v>VB8010600000H00</v>
          </cell>
          <cell r="H4214">
            <v>0.5</v>
          </cell>
          <cell r="I4214" t="str">
            <v>--</v>
          </cell>
          <cell r="J4214">
            <v>2</v>
          </cell>
          <cell r="K4214">
            <v>2</v>
          </cell>
        </row>
        <row r="4215">
          <cell r="A4215" t="str">
            <v>M2</v>
          </cell>
          <cell r="B4215" t="str">
            <v>A5C</v>
          </cell>
          <cell r="C4215" t="str">
            <v>P</v>
          </cell>
          <cell r="D4215" t="str">
            <v>23156</v>
          </cell>
          <cell r="E4215" t="str">
            <v>BALL VA</v>
          </cell>
          <cell r="F4215">
            <v>6</v>
          </cell>
          <cell r="G4215" t="str">
            <v>VB8010600000H00</v>
          </cell>
          <cell r="H4215">
            <v>0.5</v>
          </cell>
          <cell r="I4215" t="str">
            <v>--</v>
          </cell>
          <cell r="J4215">
            <v>2</v>
          </cell>
          <cell r="K4215">
            <v>2</v>
          </cell>
        </row>
        <row r="4216">
          <cell r="A4216" t="str">
            <v>M2</v>
          </cell>
          <cell r="B4216" t="str">
            <v>A5C</v>
          </cell>
          <cell r="C4216" t="str">
            <v>P</v>
          </cell>
          <cell r="D4216" t="str">
            <v>24004</v>
          </cell>
          <cell r="E4216" t="str">
            <v>BALL VA</v>
          </cell>
          <cell r="F4216">
            <v>6</v>
          </cell>
          <cell r="G4216" t="str">
            <v>VB8010600000H00</v>
          </cell>
          <cell r="H4216">
            <v>0.5</v>
          </cell>
          <cell r="I4216" t="str">
            <v>--</v>
          </cell>
          <cell r="J4216">
            <v>2</v>
          </cell>
          <cell r="K4216">
            <v>2</v>
          </cell>
        </row>
        <row r="4217">
          <cell r="A4217" t="str">
            <v>M2</v>
          </cell>
          <cell r="B4217" t="str">
            <v>A5C</v>
          </cell>
          <cell r="C4217" t="str">
            <v>P</v>
          </cell>
          <cell r="D4217" t="str">
            <v>99004</v>
          </cell>
          <cell r="E4217" t="str">
            <v>BALL VA</v>
          </cell>
          <cell r="F4217">
            <v>6</v>
          </cell>
          <cell r="G4217" t="str">
            <v>VB8010600000H00</v>
          </cell>
          <cell r="H4217">
            <v>0.5</v>
          </cell>
          <cell r="I4217" t="str">
            <v>--</v>
          </cell>
          <cell r="J4217">
            <v>2</v>
          </cell>
          <cell r="K4217">
            <v>2</v>
          </cell>
        </row>
        <row r="4218">
          <cell r="A4218" t="str">
            <v>M2</v>
          </cell>
          <cell r="B4218" t="str">
            <v>B2C</v>
          </cell>
          <cell r="C4218" t="str">
            <v>SCH</v>
          </cell>
          <cell r="D4218" t="str">
            <v>23613</v>
          </cell>
          <cell r="E4218" t="str">
            <v>GATE VA</v>
          </cell>
          <cell r="F4218">
            <v>6</v>
          </cell>
          <cell r="G4218" t="str">
            <v>VG8010100000T00</v>
          </cell>
          <cell r="H4218">
            <v>0.75</v>
          </cell>
          <cell r="I4218" t="str">
            <v>--</v>
          </cell>
          <cell r="J4218">
            <v>2</v>
          </cell>
          <cell r="K4218">
            <v>2</v>
          </cell>
        </row>
        <row r="4219">
          <cell r="A4219" t="str">
            <v>M2</v>
          </cell>
          <cell r="B4219" t="str">
            <v>B2C</v>
          </cell>
          <cell r="C4219" t="str">
            <v>SCL</v>
          </cell>
          <cell r="D4219" t="str">
            <v>TRAP</v>
          </cell>
          <cell r="E4219" t="str">
            <v>GATE VA</v>
          </cell>
          <cell r="F4219">
            <v>6</v>
          </cell>
          <cell r="G4219" t="str">
            <v>VG8010100000T00</v>
          </cell>
          <cell r="H4219">
            <v>0.75</v>
          </cell>
          <cell r="I4219" t="str">
            <v>--</v>
          </cell>
          <cell r="J4219">
            <v>6</v>
          </cell>
          <cell r="K4219">
            <v>6</v>
          </cell>
        </row>
        <row r="4220">
          <cell r="A4220" t="str">
            <v>M2</v>
          </cell>
          <cell r="B4220" t="str">
            <v>B2C</v>
          </cell>
          <cell r="C4220" t="str">
            <v>SH</v>
          </cell>
          <cell r="D4220" t="str">
            <v>23601</v>
          </cell>
          <cell r="E4220" t="str">
            <v>GATE VA</v>
          </cell>
          <cell r="F4220">
            <v>6</v>
          </cell>
          <cell r="G4220" t="str">
            <v>VG8010100000T00</v>
          </cell>
          <cell r="H4220">
            <v>0.75</v>
          </cell>
          <cell r="I4220" t="str">
            <v>--</v>
          </cell>
          <cell r="J4220">
            <v>2</v>
          </cell>
          <cell r="K4220">
            <v>2</v>
          </cell>
        </row>
        <row r="4221">
          <cell r="A4221" t="str">
            <v>M2</v>
          </cell>
          <cell r="B4221" t="str">
            <v>B2C</v>
          </cell>
          <cell r="C4221" t="str">
            <v>SH</v>
          </cell>
          <cell r="D4221" t="str">
            <v>23612</v>
          </cell>
          <cell r="E4221" t="str">
            <v>GATE VA</v>
          </cell>
          <cell r="F4221">
            <v>6</v>
          </cell>
          <cell r="G4221" t="str">
            <v>VG8010400000T00</v>
          </cell>
          <cell r="H4221">
            <v>0.75</v>
          </cell>
          <cell r="I4221" t="str">
            <v>--</v>
          </cell>
          <cell r="J4221">
            <v>1</v>
          </cell>
          <cell r="K4221">
            <v>1</v>
          </cell>
        </row>
        <row r="4222">
          <cell r="A4222" t="str">
            <v>M2</v>
          </cell>
          <cell r="B4222" t="str">
            <v>B2C</v>
          </cell>
          <cell r="C4222" t="str">
            <v>SH</v>
          </cell>
          <cell r="D4222" t="str">
            <v>24612</v>
          </cell>
          <cell r="E4222" t="str">
            <v>GATE VA</v>
          </cell>
          <cell r="F4222">
            <v>6</v>
          </cell>
          <cell r="G4222" t="str">
            <v>VG8010100000T00</v>
          </cell>
          <cell r="H4222">
            <v>0.75</v>
          </cell>
          <cell r="I4222" t="str">
            <v>--</v>
          </cell>
          <cell r="J4222">
            <v>4</v>
          </cell>
          <cell r="K4222">
            <v>4</v>
          </cell>
        </row>
        <row r="4223">
          <cell r="A4223" t="str">
            <v>M2</v>
          </cell>
          <cell r="B4223" t="str">
            <v>B2C</v>
          </cell>
          <cell r="C4223" t="str">
            <v>SH</v>
          </cell>
          <cell r="D4223" t="str">
            <v>24612</v>
          </cell>
          <cell r="E4223" t="str">
            <v>GLOBE VA</v>
          </cell>
          <cell r="F4223">
            <v>6</v>
          </cell>
          <cell r="G4223" t="str">
            <v>VL8010100000T00</v>
          </cell>
          <cell r="H4223">
            <v>0.75</v>
          </cell>
          <cell r="I4223" t="str">
            <v>--</v>
          </cell>
          <cell r="J4223">
            <v>1</v>
          </cell>
          <cell r="K4223">
            <v>1</v>
          </cell>
        </row>
        <row r="4224">
          <cell r="A4224" t="str">
            <v>M2</v>
          </cell>
          <cell r="B4224" t="str">
            <v>A5C</v>
          </cell>
          <cell r="C4224" t="str">
            <v>N</v>
          </cell>
          <cell r="D4224" t="str">
            <v>23613</v>
          </cell>
          <cell r="E4224" t="str">
            <v>BALL VA</v>
          </cell>
          <cell r="F4224">
            <v>6</v>
          </cell>
          <cell r="G4224" t="str">
            <v>VB8010600000T00</v>
          </cell>
          <cell r="H4224">
            <v>0.75</v>
          </cell>
          <cell r="I4224" t="str">
            <v>--</v>
          </cell>
          <cell r="J4224">
            <v>3</v>
          </cell>
          <cell r="K4224">
            <v>3</v>
          </cell>
        </row>
        <row r="4225">
          <cell r="A4225" t="str">
            <v>M2</v>
          </cell>
          <cell r="B4225" t="str">
            <v>A5C</v>
          </cell>
          <cell r="C4225" t="str">
            <v>N</v>
          </cell>
          <cell r="D4225" t="str">
            <v>23620</v>
          </cell>
          <cell r="E4225" t="str">
            <v>BALL VA</v>
          </cell>
          <cell r="F4225">
            <v>6</v>
          </cell>
          <cell r="G4225" t="str">
            <v>VB8010600000T00</v>
          </cell>
          <cell r="H4225">
            <v>0.75</v>
          </cell>
          <cell r="I4225" t="str">
            <v>--</v>
          </cell>
          <cell r="J4225">
            <v>3</v>
          </cell>
          <cell r="K4225">
            <v>3</v>
          </cell>
        </row>
        <row r="4226">
          <cell r="A4226" t="str">
            <v>M2</v>
          </cell>
          <cell r="B4226" t="str">
            <v>A5C</v>
          </cell>
          <cell r="C4226" t="str">
            <v>N</v>
          </cell>
          <cell r="D4226" t="str">
            <v>23620</v>
          </cell>
          <cell r="E4226" t="str">
            <v>BALL VA</v>
          </cell>
          <cell r="F4226">
            <v>6</v>
          </cell>
          <cell r="G4226" t="str">
            <v>VB8010600000T00</v>
          </cell>
          <cell r="H4226">
            <v>0.75</v>
          </cell>
          <cell r="I4226" t="str">
            <v>--</v>
          </cell>
          <cell r="J4226">
            <v>1</v>
          </cell>
          <cell r="K4226">
            <v>1</v>
          </cell>
        </row>
        <row r="4227">
          <cell r="A4227" t="str">
            <v>M2</v>
          </cell>
          <cell r="B4227" t="str">
            <v>A5C</v>
          </cell>
          <cell r="C4227" t="str">
            <v>N</v>
          </cell>
          <cell r="D4227" t="str">
            <v>23621</v>
          </cell>
          <cell r="E4227" t="str">
            <v>BALL VA</v>
          </cell>
          <cell r="F4227">
            <v>6</v>
          </cell>
          <cell r="G4227" t="str">
            <v>VB8010600000T00</v>
          </cell>
          <cell r="H4227">
            <v>0.75</v>
          </cell>
          <cell r="I4227" t="str">
            <v>--</v>
          </cell>
          <cell r="J4227">
            <v>3</v>
          </cell>
          <cell r="K4227">
            <v>3</v>
          </cell>
        </row>
        <row r="4228">
          <cell r="A4228" t="str">
            <v>M2</v>
          </cell>
          <cell r="B4228" t="str">
            <v>A5C</v>
          </cell>
          <cell r="C4228" t="str">
            <v>N</v>
          </cell>
          <cell r="D4228" t="str">
            <v>23631</v>
          </cell>
          <cell r="E4228" t="str">
            <v>BALL VA</v>
          </cell>
          <cell r="F4228">
            <v>6</v>
          </cell>
          <cell r="G4228" t="str">
            <v>VB8010600000T00</v>
          </cell>
          <cell r="H4228">
            <v>0.75</v>
          </cell>
          <cell r="I4228" t="str">
            <v>--</v>
          </cell>
          <cell r="J4228">
            <v>1</v>
          </cell>
          <cell r="K4228">
            <v>1</v>
          </cell>
        </row>
        <row r="4229">
          <cell r="A4229" t="str">
            <v>M2</v>
          </cell>
          <cell r="B4229" t="str">
            <v>A5C</v>
          </cell>
          <cell r="C4229" t="str">
            <v>N</v>
          </cell>
          <cell r="D4229" t="str">
            <v>23632</v>
          </cell>
          <cell r="E4229" t="str">
            <v>BALL VA</v>
          </cell>
          <cell r="F4229">
            <v>6</v>
          </cell>
          <cell r="G4229" t="str">
            <v>VB8010600000T00</v>
          </cell>
          <cell r="H4229">
            <v>0.75</v>
          </cell>
          <cell r="I4229" t="str">
            <v>--</v>
          </cell>
          <cell r="J4229">
            <v>1</v>
          </cell>
          <cell r="K4229">
            <v>1</v>
          </cell>
        </row>
        <row r="4230">
          <cell r="A4230" t="str">
            <v>M2</v>
          </cell>
          <cell r="B4230" t="str">
            <v>A5C</v>
          </cell>
          <cell r="C4230" t="str">
            <v>N</v>
          </cell>
          <cell r="D4230" t="str">
            <v>23633</v>
          </cell>
          <cell r="E4230" t="str">
            <v>BALL VA</v>
          </cell>
          <cell r="F4230">
            <v>6</v>
          </cell>
          <cell r="G4230" t="str">
            <v>VB8010600000T00</v>
          </cell>
          <cell r="H4230">
            <v>0.75</v>
          </cell>
          <cell r="I4230" t="str">
            <v>--</v>
          </cell>
          <cell r="J4230">
            <v>1</v>
          </cell>
          <cell r="K4230">
            <v>1</v>
          </cell>
        </row>
        <row r="4231">
          <cell r="A4231" t="str">
            <v>M2</v>
          </cell>
          <cell r="B4231" t="str">
            <v>A5C</v>
          </cell>
          <cell r="C4231" t="str">
            <v>N</v>
          </cell>
          <cell r="D4231" t="str">
            <v>23642</v>
          </cell>
          <cell r="E4231" t="str">
            <v>BALL VA</v>
          </cell>
          <cell r="F4231">
            <v>6</v>
          </cell>
          <cell r="G4231" t="str">
            <v>VB8010600000T00</v>
          </cell>
          <cell r="H4231">
            <v>0.75</v>
          </cell>
          <cell r="I4231" t="str">
            <v>--</v>
          </cell>
          <cell r="J4231">
            <v>1</v>
          </cell>
          <cell r="K4231">
            <v>1</v>
          </cell>
        </row>
        <row r="4232">
          <cell r="A4232" t="str">
            <v>M2</v>
          </cell>
          <cell r="B4232" t="str">
            <v>A5C</v>
          </cell>
          <cell r="C4232" t="str">
            <v>N</v>
          </cell>
          <cell r="D4232" t="str">
            <v>23642</v>
          </cell>
          <cell r="E4232" t="str">
            <v>BALL VA</v>
          </cell>
          <cell r="F4232">
            <v>6</v>
          </cell>
          <cell r="G4232" t="str">
            <v>VB8010600000T00</v>
          </cell>
          <cell r="H4232">
            <v>0.75</v>
          </cell>
          <cell r="I4232" t="str">
            <v>--</v>
          </cell>
          <cell r="J4232">
            <v>3</v>
          </cell>
          <cell r="K4232">
            <v>3</v>
          </cell>
        </row>
        <row r="4233">
          <cell r="A4233" t="str">
            <v>M2</v>
          </cell>
          <cell r="B4233" t="str">
            <v>A5C</v>
          </cell>
          <cell r="C4233" t="str">
            <v>N</v>
          </cell>
          <cell r="D4233" t="str">
            <v>23647</v>
          </cell>
          <cell r="E4233" t="str">
            <v>BALL VA</v>
          </cell>
          <cell r="F4233">
            <v>6</v>
          </cell>
          <cell r="G4233" t="str">
            <v>VB8010600000T00</v>
          </cell>
          <cell r="H4233">
            <v>0.75</v>
          </cell>
          <cell r="I4233" t="str">
            <v>--</v>
          </cell>
          <cell r="J4233">
            <v>1</v>
          </cell>
          <cell r="K4233">
            <v>1</v>
          </cell>
        </row>
        <row r="4234">
          <cell r="A4234" t="str">
            <v>M2</v>
          </cell>
          <cell r="B4234" t="str">
            <v>A5C</v>
          </cell>
          <cell r="C4234" t="str">
            <v>N</v>
          </cell>
          <cell r="D4234" t="str">
            <v>24611</v>
          </cell>
          <cell r="E4234" t="str">
            <v>BALL VA</v>
          </cell>
          <cell r="F4234">
            <v>6</v>
          </cell>
          <cell r="G4234" t="str">
            <v>VB8010600000T00</v>
          </cell>
          <cell r="H4234">
            <v>0.75</v>
          </cell>
          <cell r="I4234" t="str">
            <v>--</v>
          </cell>
          <cell r="J4234">
            <v>3</v>
          </cell>
          <cell r="K4234">
            <v>3</v>
          </cell>
        </row>
        <row r="4235">
          <cell r="A4235" t="str">
            <v>M2</v>
          </cell>
          <cell r="B4235" t="str">
            <v>A5C</v>
          </cell>
          <cell r="C4235" t="str">
            <v>N</v>
          </cell>
          <cell r="D4235" t="str">
            <v>24611</v>
          </cell>
          <cell r="E4235" t="str">
            <v>BALL VA</v>
          </cell>
          <cell r="F4235">
            <v>6</v>
          </cell>
          <cell r="G4235" t="str">
            <v>VB8010600000T00</v>
          </cell>
          <cell r="H4235">
            <v>0.75</v>
          </cell>
          <cell r="I4235" t="str">
            <v>--</v>
          </cell>
          <cell r="J4235">
            <v>1</v>
          </cell>
          <cell r="K4235">
            <v>1</v>
          </cell>
        </row>
        <row r="4236">
          <cell r="A4236" t="str">
            <v>M2</v>
          </cell>
          <cell r="B4236" t="str">
            <v>A5C</v>
          </cell>
          <cell r="C4236" t="str">
            <v>N</v>
          </cell>
          <cell r="D4236" t="str">
            <v>23646</v>
          </cell>
          <cell r="E4236" t="str">
            <v>BALL VA</v>
          </cell>
          <cell r="F4236">
            <v>6</v>
          </cell>
          <cell r="G4236" t="str">
            <v>VB8010600000T00</v>
          </cell>
          <cell r="H4236">
            <v>0.75</v>
          </cell>
          <cell r="I4236" t="str">
            <v>--</v>
          </cell>
          <cell r="J4236">
            <v>1</v>
          </cell>
          <cell r="K4236">
            <v>1</v>
          </cell>
        </row>
        <row r="4237">
          <cell r="A4237" t="str">
            <v>M2</v>
          </cell>
          <cell r="B4237" t="str">
            <v>A5C</v>
          </cell>
          <cell r="C4237" t="str">
            <v>N</v>
          </cell>
          <cell r="D4237" t="str">
            <v>23646</v>
          </cell>
          <cell r="E4237" t="str">
            <v>BALL VA</v>
          </cell>
          <cell r="F4237">
            <v>6</v>
          </cell>
          <cell r="G4237" t="str">
            <v>VB8010600000T00</v>
          </cell>
          <cell r="H4237">
            <v>0.75</v>
          </cell>
          <cell r="I4237" t="str">
            <v>--</v>
          </cell>
          <cell r="J4237">
            <v>3</v>
          </cell>
          <cell r="K4237">
            <v>3</v>
          </cell>
        </row>
        <row r="4238">
          <cell r="A4238" t="str">
            <v>M2</v>
          </cell>
          <cell r="B4238" t="str">
            <v>A5C</v>
          </cell>
          <cell r="C4238" t="str">
            <v>N</v>
          </cell>
          <cell r="D4238" t="str">
            <v>24612</v>
          </cell>
          <cell r="E4238" t="str">
            <v>BALL VA</v>
          </cell>
          <cell r="F4238">
            <v>6</v>
          </cell>
          <cell r="G4238" t="str">
            <v>VB8010600000T00</v>
          </cell>
          <cell r="H4238">
            <v>0.75</v>
          </cell>
          <cell r="I4238" t="str">
            <v>--</v>
          </cell>
          <cell r="J4238">
            <v>3</v>
          </cell>
          <cell r="K4238">
            <v>3</v>
          </cell>
        </row>
        <row r="4239">
          <cell r="A4239" t="str">
            <v>M2</v>
          </cell>
          <cell r="B4239" t="str">
            <v>A5C</v>
          </cell>
          <cell r="C4239" t="str">
            <v>N</v>
          </cell>
          <cell r="D4239" t="str">
            <v>24614</v>
          </cell>
          <cell r="E4239" t="str">
            <v>BALL VA</v>
          </cell>
          <cell r="F4239">
            <v>6</v>
          </cell>
          <cell r="G4239" t="str">
            <v>VB8010600000T00</v>
          </cell>
          <cell r="H4239">
            <v>0.75</v>
          </cell>
          <cell r="I4239" t="str">
            <v>--</v>
          </cell>
          <cell r="J4239">
            <v>1</v>
          </cell>
          <cell r="K4239">
            <v>1</v>
          </cell>
        </row>
        <row r="4240">
          <cell r="A4240" t="str">
            <v>M2</v>
          </cell>
          <cell r="B4240" t="str">
            <v>A5C</v>
          </cell>
          <cell r="C4240" t="str">
            <v>P</v>
          </cell>
          <cell r="D4240" t="str">
            <v>23006</v>
          </cell>
          <cell r="E4240" t="str">
            <v>BALL VA</v>
          </cell>
          <cell r="F4240">
            <v>6</v>
          </cell>
          <cell r="G4240" t="str">
            <v>VB8010600000T00</v>
          </cell>
          <cell r="H4240">
            <v>0.75</v>
          </cell>
          <cell r="I4240" t="str">
            <v>--</v>
          </cell>
          <cell r="J4240">
            <v>1</v>
          </cell>
          <cell r="K4240">
            <v>1</v>
          </cell>
        </row>
        <row r="4241">
          <cell r="A4241" t="str">
            <v>M2</v>
          </cell>
          <cell r="B4241" t="str">
            <v>A5C</v>
          </cell>
          <cell r="C4241" t="str">
            <v>P</v>
          </cell>
          <cell r="D4241" t="str">
            <v>23006</v>
          </cell>
          <cell r="E4241" t="str">
            <v>BALL VA</v>
          </cell>
          <cell r="F4241">
            <v>6</v>
          </cell>
          <cell r="G4241" t="str">
            <v>VB8010600000T00</v>
          </cell>
          <cell r="H4241">
            <v>0.75</v>
          </cell>
          <cell r="I4241" t="str">
            <v>--</v>
          </cell>
          <cell r="J4241">
            <v>2</v>
          </cell>
          <cell r="K4241">
            <v>2</v>
          </cell>
        </row>
        <row r="4242">
          <cell r="A4242" t="str">
            <v>M2</v>
          </cell>
          <cell r="B4242" t="str">
            <v>A5C</v>
          </cell>
          <cell r="C4242" t="str">
            <v>P</v>
          </cell>
          <cell r="D4242" t="str">
            <v>23011</v>
          </cell>
          <cell r="E4242" t="str">
            <v>BALL VA</v>
          </cell>
          <cell r="F4242">
            <v>6</v>
          </cell>
          <cell r="G4242" t="str">
            <v>VB8010600000T00</v>
          </cell>
          <cell r="H4242">
            <v>0.75</v>
          </cell>
          <cell r="I4242" t="str">
            <v>--</v>
          </cell>
          <cell r="J4242">
            <v>2</v>
          </cell>
          <cell r="K4242">
            <v>2</v>
          </cell>
        </row>
        <row r="4243">
          <cell r="A4243" t="str">
            <v>M2</v>
          </cell>
          <cell r="B4243" t="str">
            <v>A5C</v>
          </cell>
          <cell r="C4243" t="str">
            <v>P</v>
          </cell>
          <cell r="D4243" t="str">
            <v>23022</v>
          </cell>
          <cell r="E4243" t="str">
            <v>BALL VA</v>
          </cell>
          <cell r="F4243">
            <v>6</v>
          </cell>
          <cell r="G4243" t="str">
            <v>VB8010600000T00</v>
          </cell>
          <cell r="H4243">
            <v>0.75</v>
          </cell>
          <cell r="I4243" t="str">
            <v>--</v>
          </cell>
          <cell r="J4243">
            <v>2</v>
          </cell>
          <cell r="K4243">
            <v>2</v>
          </cell>
        </row>
        <row r="4244">
          <cell r="A4244" t="str">
            <v>M2</v>
          </cell>
          <cell r="B4244" t="str">
            <v>A5C</v>
          </cell>
          <cell r="C4244" t="str">
            <v>P</v>
          </cell>
          <cell r="D4244" t="str">
            <v>23023</v>
          </cell>
          <cell r="E4244" t="str">
            <v>BALL VA</v>
          </cell>
          <cell r="F4244">
            <v>6</v>
          </cell>
          <cell r="G4244" t="str">
            <v>VB8010600000T00</v>
          </cell>
          <cell r="H4244">
            <v>0.75</v>
          </cell>
          <cell r="I4244" t="str">
            <v>--</v>
          </cell>
          <cell r="J4244">
            <v>2</v>
          </cell>
          <cell r="K4244">
            <v>2</v>
          </cell>
        </row>
        <row r="4245">
          <cell r="A4245" t="str">
            <v>M2</v>
          </cell>
          <cell r="B4245" t="str">
            <v>A5C</v>
          </cell>
          <cell r="C4245" t="str">
            <v>P</v>
          </cell>
          <cell r="D4245" t="str">
            <v>23035</v>
          </cell>
          <cell r="E4245" t="str">
            <v>BALL VA</v>
          </cell>
          <cell r="F4245">
            <v>6</v>
          </cell>
          <cell r="G4245" t="str">
            <v>VB8010600000T00</v>
          </cell>
          <cell r="H4245">
            <v>0.75</v>
          </cell>
          <cell r="I4245" t="str">
            <v>--</v>
          </cell>
          <cell r="J4245">
            <v>3</v>
          </cell>
          <cell r="K4245">
            <v>3</v>
          </cell>
        </row>
        <row r="4246">
          <cell r="A4246" t="str">
            <v>M2</v>
          </cell>
          <cell r="B4246" t="str">
            <v>A5C</v>
          </cell>
          <cell r="C4246" t="str">
            <v>P</v>
          </cell>
          <cell r="D4246" t="str">
            <v>23037</v>
          </cell>
          <cell r="E4246" t="str">
            <v>BALL VA</v>
          </cell>
          <cell r="F4246">
            <v>6</v>
          </cell>
          <cell r="G4246" t="str">
            <v>VB8010600000T00</v>
          </cell>
          <cell r="H4246">
            <v>0.75</v>
          </cell>
          <cell r="I4246" t="str">
            <v>--</v>
          </cell>
          <cell r="J4246">
            <v>1</v>
          </cell>
          <cell r="K4246">
            <v>1</v>
          </cell>
        </row>
        <row r="4247">
          <cell r="A4247" t="str">
            <v>M2</v>
          </cell>
          <cell r="B4247" t="str">
            <v>A5C</v>
          </cell>
          <cell r="C4247" t="str">
            <v>P</v>
          </cell>
          <cell r="D4247" t="str">
            <v>23037</v>
          </cell>
          <cell r="E4247" t="str">
            <v>BALL VA</v>
          </cell>
          <cell r="F4247">
            <v>6</v>
          </cell>
          <cell r="G4247" t="str">
            <v>VB8010600000T00</v>
          </cell>
          <cell r="H4247">
            <v>0.75</v>
          </cell>
          <cell r="I4247" t="str">
            <v>--</v>
          </cell>
          <cell r="J4247">
            <v>2</v>
          </cell>
          <cell r="K4247">
            <v>2</v>
          </cell>
        </row>
        <row r="4248">
          <cell r="A4248" t="str">
            <v>M2</v>
          </cell>
          <cell r="B4248" t="str">
            <v>A5C</v>
          </cell>
          <cell r="C4248" t="str">
            <v>P</v>
          </cell>
          <cell r="D4248" t="str">
            <v>23038</v>
          </cell>
          <cell r="E4248" t="str">
            <v>BALL VA</v>
          </cell>
          <cell r="F4248">
            <v>6</v>
          </cell>
          <cell r="G4248" t="str">
            <v>VB8010600000T00</v>
          </cell>
          <cell r="H4248">
            <v>0.75</v>
          </cell>
          <cell r="I4248" t="str">
            <v>--</v>
          </cell>
          <cell r="J4248">
            <v>2</v>
          </cell>
          <cell r="K4248">
            <v>2</v>
          </cell>
        </row>
        <row r="4249">
          <cell r="A4249" t="str">
            <v>M2</v>
          </cell>
          <cell r="B4249" t="str">
            <v>A5C</v>
          </cell>
          <cell r="C4249" t="str">
            <v>P</v>
          </cell>
          <cell r="D4249" t="str">
            <v>23046</v>
          </cell>
          <cell r="E4249" t="str">
            <v>BALL VA</v>
          </cell>
          <cell r="F4249">
            <v>6</v>
          </cell>
          <cell r="G4249" t="str">
            <v>VB8010600000T00</v>
          </cell>
          <cell r="H4249">
            <v>0.75</v>
          </cell>
          <cell r="I4249" t="str">
            <v>--</v>
          </cell>
          <cell r="J4249">
            <v>2</v>
          </cell>
          <cell r="K4249">
            <v>2</v>
          </cell>
        </row>
        <row r="4250">
          <cell r="A4250" t="str">
            <v>M2</v>
          </cell>
          <cell r="B4250" t="str">
            <v>A5C</v>
          </cell>
          <cell r="C4250" t="str">
            <v>P</v>
          </cell>
          <cell r="D4250" t="str">
            <v>23047</v>
          </cell>
          <cell r="E4250" t="str">
            <v>BALL VA</v>
          </cell>
          <cell r="F4250">
            <v>6</v>
          </cell>
          <cell r="G4250" t="str">
            <v>VB8010600000T00</v>
          </cell>
          <cell r="H4250">
            <v>0.75</v>
          </cell>
          <cell r="I4250" t="str">
            <v>--</v>
          </cell>
          <cell r="J4250">
            <v>2</v>
          </cell>
          <cell r="K4250">
            <v>2</v>
          </cell>
        </row>
        <row r="4251">
          <cell r="A4251" t="str">
            <v>M2</v>
          </cell>
          <cell r="B4251" t="str">
            <v>A5C</v>
          </cell>
          <cell r="C4251" t="str">
            <v>P</v>
          </cell>
          <cell r="D4251" t="str">
            <v>23052</v>
          </cell>
          <cell r="E4251" t="str">
            <v>BALL VA</v>
          </cell>
          <cell r="F4251">
            <v>6</v>
          </cell>
          <cell r="G4251" t="str">
            <v>VB8010600000T00</v>
          </cell>
          <cell r="H4251">
            <v>0.75</v>
          </cell>
          <cell r="I4251" t="str">
            <v>--</v>
          </cell>
          <cell r="J4251">
            <v>1</v>
          </cell>
          <cell r="K4251">
            <v>1</v>
          </cell>
        </row>
        <row r="4252">
          <cell r="A4252" t="str">
            <v>M2</v>
          </cell>
          <cell r="B4252" t="str">
            <v>A5C</v>
          </cell>
          <cell r="C4252" t="str">
            <v>P</v>
          </cell>
          <cell r="D4252" t="str">
            <v>23052</v>
          </cell>
          <cell r="E4252" t="str">
            <v>BALL VA</v>
          </cell>
          <cell r="F4252">
            <v>6</v>
          </cell>
          <cell r="G4252" t="str">
            <v>VB8010600000T00</v>
          </cell>
          <cell r="H4252">
            <v>0.75</v>
          </cell>
          <cell r="I4252" t="str">
            <v>--</v>
          </cell>
          <cell r="J4252">
            <v>2</v>
          </cell>
          <cell r="K4252">
            <v>2</v>
          </cell>
        </row>
        <row r="4253">
          <cell r="A4253" t="str">
            <v>M2</v>
          </cell>
          <cell r="B4253" t="str">
            <v>A5C</v>
          </cell>
          <cell r="C4253" t="str">
            <v>P</v>
          </cell>
          <cell r="D4253" t="str">
            <v>23057</v>
          </cell>
          <cell r="E4253" t="str">
            <v>BALL VA</v>
          </cell>
          <cell r="F4253">
            <v>6</v>
          </cell>
          <cell r="G4253" t="str">
            <v>VB8010600000T00</v>
          </cell>
          <cell r="H4253">
            <v>0.75</v>
          </cell>
          <cell r="I4253" t="str">
            <v>--</v>
          </cell>
          <cell r="J4253">
            <v>2</v>
          </cell>
          <cell r="K4253">
            <v>2</v>
          </cell>
        </row>
        <row r="4254">
          <cell r="A4254" t="str">
            <v>M2</v>
          </cell>
          <cell r="B4254" t="str">
            <v>A5C</v>
          </cell>
          <cell r="C4254" t="str">
            <v>P</v>
          </cell>
          <cell r="D4254" t="str">
            <v>23058</v>
          </cell>
          <cell r="E4254" t="str">
            <v>BALL VA</v>
          </cell>
          <cell r="F4254">
            <v>6</v>
          </cell>
          <cell r="G4254" t="str">
            <v>VB8010600000T00</v>
          </cell>
          <cell r="H4254">
            <v>0.75</v>
          </cell>
          <cell r="I4254" t="str">
            <v>--</v>
          </cell>
          <cell r="J4254">
            <v>2</v>
          </cell>
          <cell r="K4254">
            <v>2</v>
          </cell>
        </row>
        <row r="4255">
          <cell r="A4255" t="str">
            <v>M2</v>
          </cell>
          <cell r="B4255" t="str">
            <v>A5C</v>
          </cell>
          <cell r="C4255" t="str">
            <v>P</v>
          </cell>
          <cell r="D4255" t="str">
            <v>23063</v>
          </cell>
          <cell r="E4255" t="str">
            <v>BALL VA</v>
          </cell>
          <cell r="F4255">
            <v>6</v>
          </cell>
          <cell r="G4255" t="str">
            <v>VB8010600000T00</v>
          </cell>
          <cell r="H4255">
            <v>0.75</v>
          </cell>
          <cell r="I4255" t="str">
            <v>--</v>
          </cell>
          <cell r="J4255">
            <v>3</v>
          </cell>
          <cell r="K4255">
            <v>3</v>
          </cell>
        </row>
        <row r="4256">
          <cell r="A4256" t="str">
            <v>M2</v>
          </cell>
          <cell r="B4256" t="str">
            <v>A5C</v>
          </cell>
          <cell r="C4256" t="str">
            <v>P</v>
          </cell>
          <cell r="D4256" t="str">
            <v>23067</v>
          </cell>
          <cell r="E4256" t="str">
            <v>BALL VA</v>
          </cell>
          <cell r="F4256">
            <v>6</v>
          </cell>
          <cell r="G4256" t="str">
            <v>VB8010600000T00</v>
          </cell>
          <cell r="H4256">
            <v>0.75</v>
          </cell>
          <cell r="I4256" t="str">
            <v>--</v>
          </cell>
          <cell r="J4256">
            <v>2</v>
          </cell>
          <cell r="K4256">
            <v>2</v>
          </cell>
        </row>
        <row r="4257">
          <cell r="A4257" t="str">
            <v>M2</v>
          </cell>
          <cell r="B4257" t="str">
            <v>A5C</v>
          </cell>
          <cell r="C4257" t="str">
            <v>P</v>
          </cell>
          <cell r="D4257" t="str">
            <v>23072</v>
          </cell>
          <cell r="E4257" t="str">
            <v>BALL VA</v>
          </cell>
          <cell r="F4257">
            <v>6</v>
          </cell>
          <cell r="G4257" t="str">
            <v>VB8010600000T00</v>
          </cell>
          <cell r="H4257">
            <v>0.75</v>
          </cell>
          <cell r="I4257" t="str">
            <v>--</v>
          </cell>
          <cell r="J4257">
            <v>2</v>
          </cell>
          <cell r="K4257">
            <v>2</v>
          </cell>
        </row>
        <row r="4258">
          <cell r="A4258" t="str">
            <v>M2</v>
          </cell>
          <cell r="B4258" t="str">
            <v>A5C</v>
          </cell>
          <cell r="C4258" t="str">
            <v>P</v>
          </cell>
          <cell r="D4258" t="str">
            <v>23073</v>
          </cell>
          <cell r="E4258" t="str">
            <v>BALL VA</v>
          </cell>
          <cell r="F4258">
            <v>6</v>
          </cell>
          <cell r="G4258" t="str">
            <v>VB8010600000T00</v>
          </cell>
          <cell r="H4258">
            <v>0.75</v>
          </cell>
          <cell r="I4258" t="str">
            <v>--</v>
          </cell>
          <cell r="J4258">
            <v>2</v>
          </cell>
          <cell r="K4258">
            <v>2</v>
          </cell>
        </row>
        <row r="4259">
          <cell r="A4259" t="str">
            <v>M2</v>
          </cell>
          <cell r="B4259" t="str">
            <v>A5C</v>
          </cell>
          <cell r="C4259" t="str">
            <v>P</v>
          </cell>
          <cell r="D4259" t="str">
            <v>23078</v>
          </cell>
          <cell r="E4259" t="str">
            <v>BALL VA</v>
          </cell>
          <cell r="F4259">
            <v>6</v>
          </cell>
          <cell r="G4259" t="str">
            <v>VB8010600000T00</v>
          </cell>
          <cell r="H4259">
            <v>0.75</v>
          </cell>
          <cell r="I4259" t="str">
            <v>--</v>
          </cell>
          <cell r="J4259">
            <v>2</v>
          </cell>
          <cell r="K4259">
            <v>2</v>
          </cell>
        </row>
        <row r="4260">
          <cell r="A4260" t="str">
            <v>M2</v>
          </cell>
          <cell r="B4260" t="str">
            <v>A5C</v>
          </cell>
          <cell r="C4260" t="str">
            <v>P</v>
          </cell>
          <cell r="D4260" t="str">
            <v>23078</v>
          </cell>
          <cell r="E4260" t="str">
            <v>BALL VA</v>
          </cell>
          <cell r="F4260">
            <v>6</v>
          </cell>
          <cell r="G4260" t="str">
            <v>VB8010600000T00</v>
          </cell>
          <cell r="H4260">
            <v>0.75</v>
          </cell>
          <cell r="I4260" t="str">
            <v>--</v>
          </cell>
          <cell r="J4260">
            <v>1</v>
          </cell>
          <cell r="K4260">
            <v>1</v>
          </cell>
        </row>
        <row r="4261">
          <cell r="A4261" t="str">
            <v>M2</v>
          </cell>
          <cell r="B4261" t="str">
            <v>A5C</v>
          </cell>
          <cell r="C4261" t="str">
            <v>P</v>
          </cell>
          <cell r="D4261" t="str">
            <v>23084</v>
          </cell>
          <cell r="E4261" t="str">
            <v>BALL VA</v>
          </cell>
          <cell r="F4261">
            <v>6</v>
          </cell>
          <cell r="G4261" t="str">
            <v>VB8010600000T00</v>
          </cell>
          <cell r="H4261">
            <v>0.75</v>
          </cell>
          <cell r="I4261" t="str">
            <v>--</v>
          </cell>
          <cell r="J4261">
            <v>2</v>
          </cell>
          <cell r="K4261">
            <v>2</v>
          </cell>
        </row>
        <row r="4262">
          <cell r="A4262" t="str">
            <v>M2</v>
          </cell>
          <cell r="B4262" t="str">
            <v>A5C</v>
          </cell>
          <cell r="C4262" t="str">
            <v>P</v>
          </cell>
          <cell r="D4262" t="str">
            <v>23081</v>
          </cell>
          <cell r="E4262" t="str">
            <v>BALL VA</v>
          </cell>
          <cell r="F4262">
            <v>6</v>
          </cell>
          <cell r="G4262" t="str">
            <v>VB8010600000T00</v>
          </cell>
          <cell r="H4262">
            <v>0.75</v>
          </cell>
          <cell r="I4262" t="str">
            <v>--</v>
          </cell>
          <cell r="J4262">
            <v>3</v>
          </cell>
          <cell r="K4262">
            <v>3</v>
          </cell>
        </row>
        <row r="4263">
          <cell r="A4263" t="str">
            <v>M2</v>
          </cell>
          <cell r="B4263" t="str">
            <v>A5C</v>
          </cell>
          <cell r="C4263" t="str">
            <v>P</v>
          </cell>
          <cell r="D4263" t="str">
            <v>23082</v>
          </cell>
          <cell r="E4263" t="str">
            <v>BALL VA</v>
          </cell>
          <cell r="F4263">
            <v>6</v>
          </cell>
          <cell r="G4263" t="str">
            <v>VB8010600000T00</v>
          </cell>
          <cell r="H4263">
            <v>0.75</v>
          </cell>
          <cell r="I4263" t="str">
            <v>--</v>
          </cell>
          <cell r="J4263">
            <v>2</v>
          </cell>
          <cell r="K4263">
            <v>2</v>
          </cell>
        </row>
        <row r="4264">
          <cell r="A4264" t="str">
            <v>M2</v>
          </cell>
          <cell r="B4264" t="str">
            <v>A5C</v>
          </cell>
          <cell r="C4264" t="str">
            <v>P</v>
          </cell>
          <cell r="D4264" t="str">
            <v>23083</v>
          </cell>
          <cell r="E4264" t="str">
            <v>BALL VA</v>
          </cell>
          <cell r="F4264">
            <v>6</v>
          </cell>
          <cell r="G4264" t="str">
            <v>VB8010600000T00</v>
          </cell>
          <cell r="H4264">
            <v>0.75</v>
          </cell>
          <cell r="I4264" t="str">
            <v>--</v>
          </cell>
          <cell r="J4264">
            <v>1</v>
          </cell>
          <cell r="K4264">
            <v>1</v>
          </cell>
        </row>
        <row r="4265">
          <cell r="A4265" t="str">
            <v>M2</v>
          </cell>
          <cell r="B4265" t="str">
            <v>A5C</v>
          </cell>
          <cell r="C4265" t="str">
            <v>P</v>
          </cell>
          <cell r="D4265" t="str">
            <v>23085</v>
          </cell>
          <cell r="E4265" t="str">
            <v>BALL VA</v>
          </cell>
          <cell r="F4265">
            <v>6</v>
          </cell>
          <cell r="G4265" t="str">
            <v>VB8010600000T00</v>
          </cell>
          <cell r="H4265">
            <v>0.75</v>
          </cell>
          <cell r="I4265" t="str">
            <v>--</v>
          </cell>
          <cell r="J4265">
            <v>5</v>
          </cell>
          <cell r="K4265">
            <v>5</v>
          </cell>
        </row>
        <row r="4266">
          <cell r="A4266" t="str">
            <v>M2</v>
          </cell>
          <cell r="B4266" t="str">
            <v>A5C</v>
          </cell>
          <cell r="C4266" t="str">
            <v>P</v>
          </cell>
          <cell r="D4266" t="str">
            <v>23094</v>
          </cell>
          <cell r="E4266" t="str">
            <v>BALL VA</v>
          </cell>
          <cell r="F4266">
            <v>6</v>
          </cell>
          <cell r="G4266" t="str">
            <v>VB8010600000T00</v>
          </cell>
          <cell r="H4266">
            <v>0.75</v>
          </cell>
          <cell r="I4266" t="str">
            <v>--</v>
          </cell>
          <cell r="J4266">
            <v>3</v>
          </cell>
          <cell r="K4266">
            <v>3</v>
          </cell>
        </row>
        <row r="4267">
          <cell r="A4267" t="str">
            <v>M2</v>
          </cell>
          <cell r="B4267" t="str">
            <v>A5C</v>
          </cell>
          <cell r="C4267" t="str">
            <v>P</v>
          </cell>
          <cell r="D4267" t="str">
            <v>23095</v>
          </cell>
          <cell r="E4267" t="str">
            <v>BALL VA</v>
          </cell>
          <cell r="F4267">
            <v>6</v>
          </cell>
          <cell r="G4267" t="str">
            <v>VB8010600000T00</v>
          </cell>
          <cell r="H4267">
            <v>0.75</v>
          </cell>
          <cell r="I4267" t="str">
            <v>--</v>
          </cell>
          <cell r="J4267">
            <v>2</v>
          </cell>
          <cell r="K4267">
            <v>2</v>
          </cell>
        </row>
        <row r="4268">
          <cell r="A4268" t="str">
            <v>M2</v>
          </cell>
          <cell r="B4268" t="str">
            <v>A5C</v>
          </cell>
          <cell r="C4268" t="str">
            <v>P</v>
          </cell>
          <cell r="D4268" t="str">
            <v>23096</v>
          </cell>
          <cell r="E4268" t="str">
            <v>BALL VA</v>
          </cell>
          <cell r="F4268">
            <v>6</v>
          </cell>
          <cell r="G4268" t="str">
            <v>VB8010600000T00</v>
          </cell>
          <cell r="H4268">
            <v>0.75</v>
          </cell>
          <cell r="I4268" t="str">
            <v>--</v>
          </cell>
          <cell r="J4268">
            <v>3</v>
          </cell>
          <cell r="K4268">
            <v>3</v>
          </cell>
        </row>
        <row r="4269">
          <cell r="A4269" t="str">
            <v>M2</v>
          </cell>
          <cell r="B4269" t="str">
            <v>A5C</v>
          </cell>
          <cell r="C4269" t="str">
            <v>P</v>
          </cell>
          <cell r="D4269" t="str">
            <v>23096</v>
          </cell>
          <cell r="E4269" t="str">
            <v>BALL VA</v>
          </cell>
          <cell r="F4269">
            <v>6</v>
          </cell>
          <cell r="G4269" t="str">
            <v>VB8010600000T00</v>
          </cell>
          <cell r="H4269">
            <v>0.75</v>
          </cell>
          <cell r="I4269" t="str">
            <v>--</v>
          </cell>
          <cell r="J4269">
            <v>2</v>
          </cell>
          <cell r="K4269">
            <v>2</v>
          </cell>
        </row>
        <row r="4270">
          <cell r="A4270" t="str">
            <v>M2</v>
          </cell>
          <cell r="B4270" t="str">
            <v>A5C</v>
          </cell>
          <cell r="C4270" t="str">
            <v>P</v>
          </cell>
          <cell r="D4270" t="str">
            <v>23104</v>
          </cell>
          <cell r="E4270" t="str">
            <v>BALL VA</v>
          </cell>
          <cell r="F4270">
            <v>6</v>
          </cell>
          <cell r="G4270" t="str">
            <v>VB8010600000T00</v>
          </cell>
          <cell r="H4270">
            <v>0.75</v>
          </cell>
          <cell r="I4270" t="str">
            <v>--</v>
          </cell>
          <cell r="J4270">
            <v>1</v>
          </cell>
          <cell r="K4270">
            <v>1</v>
          </cell>
        </row>
        <row r="4271">
          <cell r="A4271" t="str">
            <v>M2</v>
          </cell>
          <cell r="B4271" t="str">
            <v>A5C</v>
          </cell>
          <cell r="C4271" t="str">
            <v>P</v>
          </cell>
          <cell r="D4271" t="str">
            <v>23101</v>
          </cell>
          <cell r="E4271" t="str">
            <v>BALL VA</v>
          </cell>
          <cell r="F4271">
            <v>6</v>
          </cell>
          <cell r="G4271" t="str">
            <v>VB8010600000T00</v>
          </cell>
          <cell r="H4271">
            <v>0.75</v>
          </cell>
          <cell r="I4271" t="str">
            <v>--</v>
          </cell>
          <cell r="J4271">
            <v>1</v>
          </cell>
          <cell r="K4271">
            <v>1</v>
          </cell>
        </row>
        <row r="4272">
          <cell r="A4272" t="str">
            <v>M2</v>
          </cell>
          <cell r="B4272" t="str">
            <v>A5C</v>
          </cell>
          <cell r="C4272" t="str">
            <v>P</v>
          </cell>
          <cell r="D4272" t="str">
            <v>23103</v>
          </cell>
          <cell r="E4272" t="str">
            <v>BALL VA</v>
          </cell>
          <cell r="F4272">
            <v>6</v>
          </cell>
          <cell r="G4272" t="str">
            <v>VB8010600000T00</v>
          </cell>
          <cell r="H4272">
            <v>0.75</v>
          </cell>
          <cell r="I4272" t="str">
            <v>--</v>
          </cell>
          <cell r="J4272">
            <v>2</v>
          </cell>
          <cell r="K4272">
            <v>2</v>
          </cell>
        </row>
        <row r="4273">
          <cell r="A4273" t="str">
            <v>M2</v>
          </cell>
          <cell r="B4273" t="str">
            <v>A5C</v>
          </cell>
          <cell r="C4273" t="str">
            <v>P</v>
          </cell>
          <cell r="D4273" t="str">
            <v>23104</v>
          </cell>
          <cell r="E4273" t="str">
            <v>BALL VA</v>
          </cell>
          <cell r="F4273">
            <v>6</v>
          </cell>
          <cell r="G4273" t="str">
            <v>VB8010600000T00</v>
          </cell>
          <cell r="H4273">
            <v>0.75</v>
          </cell>
          <cell r="I4273" t="str">
            <v>--</v>
          </cell>
          <cell r="J4273">
            <v>1</v>
          </cell>
          <cell r="K4273">
            <v>1</v>
          </cell>
        </row>
        <row r="4274">
          <cell r="A4274" t="str">
            <v>M2</v>
          </cell>
          <cell r="B4274" t="str">
            <v>A5C</v>
          </cell>
          <cell r="C4274" t="str">
            <v>P</v>
          </cell>
          <cell r="D4274" t="str">
            <v>23104</v>
          </cell>
          <cell r="E4274" t="str">
            <v>BALL VA</v>
          </cell>
          <cell r="F4274">
            <v>6</v>
          </cell>
          <cell r="G4274" t="str">
            <v>VB8010600000T00</v>
          </cell>
          <cell r="H4274">
            <v>0.75</v>
          </cell>
          <cell r="I4274" t="str">
            <v>--</v>
          </cell>
          <cell r="J4274">
            <v>1</v>
          </cell>
          <cell r="K4274">
            <v>1</v>
          </cell>
        </row>
        <row r="4275">
          <cell r="A4275" t="str">
            <v>M2</v>
          </cell>
          <cell r="B4275" t="str">
            <v>A5C</v>
          </cell>
          <cell r="C4275" t="str">
            <v>P</v>
          </cell>
          <cell r="D4275" t="str">
            <v>23104</v>
          </cell>
          <cell r="E4275" t="str">
            <v>BALL VA</v>
          </cell>
          <cell r="F4275">
            <v>6</v>
          </cell>
          <cell r="G4275" t="str">
            <v>VB8010600000T00</v>
          </cell>
          <cell r="H4275">
            <v>0.75</v>
          </cell>
          <cell r="I4275" t="str">
            <v>--</v>
          </cell>
          <cell r="J4275">
            <v>1</v>
          </cell>
          <cell r="K4275">
            <v>1</v>
          </cell>
        </row>
        <row r="4276">
          <cell r="A4276" t="str">
            <v>M2</v>
          </cell>
          <cell r="B4276" t="str">
            <v>A5C</v>
          </cell>
          <cell r="C4276" t="str">
            <v>P</v>
          </cell>
          <cell r="D4276" t="str">
            <v>23105</v>
          </cell>
          <cell r="E4276" t="str">
            <v>BALL VA</v>
          </cell>
          <cell r="F4276">
            <v>6</v>
          </cell>
          <cell r="G4276" t="str">
            <v>VB8010600000T00</v>
          </cell>
          <cell r="H4276">
            <v>0.75</v>
          </cell>
          <cell r="I4276" t="str">
            <v>--</v>
          </cell>
          <cell r="J4276">
            <v>1</v>
          </cell>
          <cell r="K4276">
            <v>1</v>
          </cell>
        </row>
        <row r="4277">
          <cell r="A4277" t="str">
            <v>M2</v>
          </cell>
          <cell r="B4277" t="str">
            <v>A5C</v>
          </cell>
          <cell r="C4277" t="str">
            <v>P</v>
          </cell>
          <cell r="D4277" t="str">
            <v>23108</v>
          </cell>
          <cell r="E4277" t="str">
            <v>BALL VA</v>
          </cell>
          <cell r="F4277">
            <v>6</v>
          </cell>
          <cell r="G4277" t="str">
            <v>VB8010600000T00</v>
          </cell>
          <cell r="H4277">
            <v>0.75</v>
          </cell>
          <cell r="I4277" t="str">
            <v>--</v>
          </cell>
          <cell r="J4277">
            <v>1</v>
          </cell>
          <cell r="K4277">
            <v>1</v>
          </cell>
        </row>
        <row r="4278">
          <cell r="A4278" t="str">
            <v>M2</v>
          </cell>
          <cell r="B4278" t="str">
            <v>A5C</v>
          </cell>
          <cell r="C4278" t="str">
            <v>P</v>
          </cell>
          <cell r="D4278" t="str">
            <v>23107</v>
          </cell>
          <cell r="E4278" t="str">
            <v>BALL VA</v>
          </cell>
          <cell r="F4278">
            <v>6</v>
          </cell>
          <cell r="G4278" t="str">
            <v>VB8010600000T00</v>
          </cell>
          <cell r="H4278">
            <v>0.75</v>
          </cell>
          <cell r="I4278" t="str">
            <v>--</v>
          </cell>
          <cell r="J4278">
            <v>2</v>
          </cell>
          <cell r="K4278">
            <v>2</v>
          </cell>
        </row>
        <row r="4279">
          <cell r="A4279" t="str">
            <v>M2</v>
          </cell>
          <cell r="B4279" t="str">
            <v>A5C</v>
          </cell>
          <cell r="C4279" t="str">
            <v>P</v>
          </cell>
          <cell r="D4279" t="str">
            <v>23108</v>
          </cell>
          <cell r="E4279" t="str">
            <v>BALL VA</v>
          </cell>
          <cell r="F4279">
            <v>6</v>
          </cell>
          <cell r="G4279" t="str">
            <v>VB8010600000T00</v>
          </cell>
          <cell r="H4279">
            <v>0.75</v>
          </cell>
          <cell r="I4279" t="str">
            <v>--</v>
          </cell>
          <cell r="J4279">
            <v>1</v>
          </cell>
          <cell r="K4279">
            <v>1</v>
          </cell>
        </row>
        <row r="4280">
          <cell r="A4280" t="str">
            <v>M2</v>
          </cell>
          <cell r="B4280" t="str">
            <v>A5C</v>
          </cell>
          <cell r="C4280" t="str">
            <v>P</v>
          </cell>
          <cell r="D4280" t="str">
            <v>23111</v>
          </cell>
          <cell r="E4280" t="str">
            <v>BALL VA</v>
          </cell>
          <cell r="F4280">
            <v>6</v>
          </cell>
          <cell r="G4280" t="str">
            <v>VB8010600000T00</v>
          </cell>
          <cell r="H4280">
            <v>0.75</v>
          </cell>
          <cell r="I4280" t="str">
            <v>--</v>
          </cell>
          <cell r="J4280">
            <v>2</v>
          </cell>
          <cell r="K4280">
            <v>2</v>
          </cell>
        </row>
        <row r="4281">
          <cell r="A4281" t="str">
            <v>M2</v>
          </cell>
          <cell r="B4281" t="str">
            <v>A5C</v>
          </cell>
          <cell r="C4281" t="str">
            <v>P</v>
          </cell>
          <cell r="D4281" t="str">
            <v>23112</v>
          </cell>
          <cell r="E4281" t="str">
            <v>BALL VA</v>
          </cell>
          <cell r="F4281">
            <v>6</v>
          </cell>
          <cell r="G4281" t="str">
            <v>VB8010600000T00</v>
          </cell>
          <cell r="H4281">
            <v>0.75</v>
          </cell>
          <cell r="I4281" t="str">
            <v>--</v>
          </cell>
          <cell r="J4281">
            <v>1</v>
          </cell>
          <cell r="K4281">
            <v>1</v>
          </cell>
        </row>
        <row r="4282">
          <cell r="A4282" t="str">
            <v>M2</v>
          </cell>
          <cell r="B4282" t="str">
            <v>A5C</v>
          </cell>
          <cell r="C4282" t="str">
            <v>P</v>
          </cell>
          <cell r="D4282" t="str">
            <v>23113</v>
          </cell>
          <cell r="E4282" t="str">
            <v>BALL VA</v>
          </cell>
          <cell r="F4282">
            <v>6</v>
          </cell>
          <cell r="G4282" t="str">
            <v>VB8010600000T00</v>
          </cell>
          <cell r="H4282">
            <v>0.75</v>
          </cell>
          <cell r="I4282" t="str">
            <v>--</v>
          </cell>
          <cell r="J4282">
            <v>3</v>
          </cell>
          <cell r="K4282">
            <v>3</v>
          </cell>
        </row>
        <row r="4283">
          <cell r="A4283" t="str">
            <v>M2</v>
          </cell>
          <cell r="B4283" t="str">
            <v>A5C</v>
          </cell>
          <cell r="C4283" t="str">
            <v>P</v>
          </cell>
          <cell r="D4283" t="str">
            <v>23113</v>
          </cell>
          <cell r="E4283" t="str">
            <v>BALL VA</v>
          </cell>
          <cell r="F4283">
            <v>6</v>
          </cell>
          <cell r="G4283" t="str">
            <v>VB8010600000T00</v>
          </cell>
          <cell r="H4283">
            <v>0.75</v>
          </cell>
          <cell r="I4283" t="str">
            <v>--</v>
          </cell>
          <cell r="J4283">
            <v>1</v>
          </cell>
          <cell r="K4283">
            <v>1</v>
          </cell>
        </row>
        <row r="4284">
          <cell r="A4284" t="str">
            <v>M2</v>
          </cell>
          <cell r="B4284" t="str">
            <v>A5C</v>
          </cell>
          <cell r="C4284" t="str">
            <v>P</v>
          </cell>
          <cell r="D4284" t="str">
            <v>23116</v>
          </cell>
          <cell r="E4284" t="str">
            <v>BALL VA</v>
          </cell>
          <cell r="F4284">
            <v>6</v>
          </cell>
          <cell r="G4284" t="str">
            <v>VB8010600000T00</v>
          </cell>
          <cell r="H4284">
            <v>0.75</v>
          </cell>
          <cell r="I4284" t="str">
            <v>--</v>
          </cell>
          <cell r="J4284">
            <v>2</v>
          </cell>
          <cell r="K4284">
            <v>2</v>
          </cell>
        </row>
        <row r="4285">
          <cell r="A4285" t="str">
            <v>M2</v>
          </cell>
          <cell r="B4285" t="str">
            <v>A5C</v>
          </cell>
          <cell r="C4285" t="str">
            <v>P</v>
          </cell>
          <cell r="D4285" t="str">
            <v>23116</v>
          </cell>
          <cell r="E4285" t="str">
            <v>BALL VA</v>
          </cell>
          <cell r="F4285">
            <v>6</v>
          </cell>
          <cell r="G4285" t="str">
            <v>VB8010600000T00</v>
          </cell>
          <cell r="H4285">
            <v>0.75</v>
          </cell>
          <cell r="I4285" t="str">
            <v>--</v>
          </cell>
          <cell r="J4285">
            <v>2</v>
          </cell>
          <cell r="K4285">
            <v>2</v>
          </cell>
        </row>
        <row r="4286">
          <cell r="A4286" t="str">
            <v>M2</v>
          </cell>
          <cell r="B4286" t="str">
            <v>A5C</v>
          </cell>
          <cell r="C4286" t="str">
            <v>P</v>
          </cell>
          <cell r="D4286" t="str">
            <v>23117</v>
          </cell>
          <cell r="E4286" t="str">
            <v>BALL VA</v>
          </cell>
          <cell r="F4286">
            <v>6</v>
          </cell>
          <cell r="G4286" t="str">
            <v>VB8010600000T00</v>
          </cell>
          <cell r="H4286">
            <v>0.75</v>
          </cell>
          <cell r="I4286" t="str">
            <v>--</v>
          </cell>
          <cell r="J4286">
            <v>2</v>
          </cell>
          <cell r="K4286">
            <v>2</v>
          </cell>
        </row>
        <row r="4287">
          <cell r="A4287" t="str">
            <v>M2</v>
          </cell>
          <cell r="B4287" t="str">
            <v>A5C</v>
          </cell>
          <cell r="C4287" t="str">
            <v>P</v>
          </cell>
          <cell r="D4287" t="str">
            <v>23121</v>
          </cell>
          <cell r="E4287" t="str">
            <v>BALL VA</v>
          </cell>
          <cell r="F4287">
            <v>6</v>
          </cell>
          <cell r="G4287" t="str">
            <v>VB8010600000T00</v>
          </cell>
          <cell r="H4287">
            <v>0.75</v>
          </cell>
          <cell r="I4287" t="str">
            <v>--</v>
          </cell>
          <cell r="J4287">
            <v>2</v>
          </cell>
          <cell r="K4287">
            <v>2</v>
          </cell>
        </row>
        <row r="4288">
          <cell r="A4288" t="str">
            <v>M2</v>
          </cell>
          <cell r="B4288" t="str">
            <v>A5C</v>
          </cell>
          <cell r="C4288" t="str">
            <v>P</v>
          </cell>
          <cell r="D4288" t="str">
            <v>23123</v>
          </cell>
          <cell r="E4288" t="str">
            <v>BALL VA</v>
          </cell>
          <cell r="F4288">
            <v>6</v>
          </cell>
          <cell r="G4288" t="str">
            <v>VB8010600000T00</v>
          </cell>
          <cell r="H4288">
            <v>0.75</v>
          </cell>
          <cell r="I4288" t="str">
            <v>--</v>
          </cell>
          <cell r="J4288">
            <v>2</v>
          </cell>
          <cell r="K4288">
            <v>2</v>
          </cell>
        </row>
        <row r="4289">
          <cell r="A4289" t="str">
            <v>M2</v>
          </cell>
          <cell r="B4289" t="str">
            <v>A5C</v>
          </cell>
          <cell r="C4289" t="str">
            <v>P</v>
          </cell>
          <cell r="D4289" t="str">
            <v>23122</v>
          </cell>
          <cell r="E4289" t="str">
            <v>BALL VA</v>
          </cell>
          <cell r="F4289">
            <v>6</v>
          </cell>
          <cell r="G4289" t="str">
            <v>VB8010600000T00</v>
          </cell>
          <cell r="H4289">
            <v>0.75</v>
          </cell>
          <cell r="I4289" t="str">
            <v>--</v>
          </cell>
          <cell r="J4289">
            <v>1</v>
          </cell>
          <cell r="K4289">
            <v>1</v>
          </cell>
        </row>
        <row r="4290">
          <cell r="A4290" t="str">
            <v>M2</v>
          </cell>
          <cell r="B4290" t="str">
            <v>A5C</v>
          </cell>
          <cell r="C4290" t="str">
            <v>P</v>
          </cell>
          <cell r="D4290" t="str">
            <v>23124</v>
          </cell>
          <cell r="E4290" t="str">
            <v>BALL VA</v>
          </cell>
          <cell r="F4290">
            <v>6</v>
          </cell>
          <cell r="G4290" t="str">
            <v>VB8010600000T00</v>
          </cell>
          <cell r="H4290">
            <v>0.75</v>
          </cell>
          <cell r="I4290" t="str">
            <v>--</v>
          </cell>
          <cell r="J4290">
            <v>3</v>
          </cell>
          <cell r="K4290">
            <v>3</v>
          </cell>
        </row>
        <row r="4291">
          <cell r="A4291" t="str">
            <v>M2</v>
          </cell>
          <cell r="B4291" t="str">
            <v>A5C</v>
          </cell>
          <cell r="C4291" t="str">
            <v>P</v>
          </cell>
          <cell r="D4291" t="str">
            <v>23124</v>
          </cell>
          <cell r="E4291" t="str">
            <v>BALL VA</v>
          </cell>
          <cell r="F4291">
            <v>6</v>
          </cell>
          <cell r="G4291" t="str">
            <v>VB8010600000T00</v>
          </cell>
          <cell r="H4291">
            <v>0.75</v>
          </cell>
          <cell r="I4291" t="str">
            <v>--</v>
          </cell>
          <cell r="J4291">
            <v>2</v>
          </cell>
          <cell r="K4291">
            <v>2</v>
          </cell>
        </row>
        <row r="4292">
          <cell r="A4292" t="str">
            <v>M2</v>
          </cell>
          <cell r="B4292" t="str">
            <v>A5C</v>
          </cell>
          <cell r="C4292" t="str">
            <v>P</v>
          </cell>
          <cell r="D4292" t="str">
            <v>23127</v>
          </cell>
          <cell r="E4292" t="str">
            <v>BALL VA</v>
          </cell>
          <cell r="F4292">
            <v>6</v>
          </cell>
          <cell r="G4292" t="str">
            <v>VB8010600000T00</v>
          </cell>
          <cell r="H4292">
            <v>0.75</v>
          </cell>
          <cell r="I4292" t="str">
            <v>--</v>
          </cell>
          <cell r="J4292">
            <v>2</v>
          </cell>
          <cell r="K4292">
            <v>2</v>
          </cell>
        </row>
        <row r="4293">
          <cell r="A4293" t="str">
            <v>M2</v>
          </cell>
          <cell r="B4293" t="str">
            <v>A5C</v>
          </cell>
          <cell r="C4293" t="str">
            <v>P</v>
          </cell>
          <cell r="D4293" t="str">
            <v>23126</v>
          </cell>
          <cell r="E4293" t="str">
            <v>BALL VA</v>
          </cell>
          <cell r="F4293">
            <v>6</v>
          </cell>
          <cell r="G4293" t="str">
            <v>VB8010600000T00</v>
          </cell>
          <cell r="H4293">
            <v>0.75</v>
          </cell>
          <cell r="I4293" t="str">
            <v>--</v>
          </cell>
          <cell r="J4293">
            <v>2</v>
          </cell>
          <cell r="K4293">
            <v>2</v>
          </cell>
        </row>
        <row r="4294">
          <cell r="A4294" t="str">
            <v>M2</v>
          </cell>
          <cell r="B4294" t="str">
            <v>A5C</v>
          </cell>
          <cell r="C4294" t="str">
            <v>P</v>
          </cell>
          <cell r="D4294" t="str">
            <v>23133</v>
          </cell>
          <cell r="E4294" t="str">
            <v>BALL VA</v>
          </cell>
          <cell r="F4294">
            <v>6</v>
          </cell>
          <cell r="G4294" t="str">
            <v>VB8010600000T00</v>
          </cell>
          <cell r="H4294">
            <v>0.75</v>
          </cell>
          <cell r="I4294" t="str">
            <v>--</v>
          </cell>
          <cell r="J4294">
            <v>1</v>
          </cell>
          <cell r="K4294">
            <v>1</v>
          </cell>
        </row>
        <row r="4295">
          <cell r="A4295" t="str">
            <v>M2</v>
          </cell>
          <cell r="B4295" t="str">
            <v>A5C</v>
          </cell>
          <cell r="C4295" t="str">
            <v>P</v>
          </cell>
          <cell r="D4295" t="str">
            <v>23134</v>
          </cell>
          <cell r="E4295" t="str">
            <v>BALL VA</v>
          </cell>
          <cell r="F4295">
            <v>6</v>
          </cell>
          <cell r="G4295" t="str">
            <v>VB8010600000T00</v>
          </cell>
          <cell r="H4295">
            <v>0.75</v>
          </cell>
          <cell r="I4295" t="str">
            <v>--</v>
          </cell>
          <cell r="J4295">
            <v>2</v>
          </cell>
          <cell r="K4295">
            <v>2</v>
          </cell>
        </row>
        <row r="4296">
          <cell r="A4296" t="str">
            <v>M2</v>
          </cell>
          <cell r="B4296" t="str">
            <v>A5C</v>
          </cell>
          <cell r="C4296" t="str">
            <v>P</v>
          </cell>
          <cell r="D4296" t="str">
            <v>23135</v>
          </cell>
          <cell r="E4296" t="str">
            <v>BALL VA</v>
          </cell>
          <cell r="F4296">
            <v>6</v>
          </cell>
          <cell r="G4296" t="str">
            <v>VB8010600000T00</v>
          </cell>
          <cell r="H4296">
            <v>0.75</v>
          </cell>
          <cell r="I4296" t="str">
            <v>--</v>
          </cell>
          <cell r="J4296">
            <v>3</v>
          </cell>
          <cell r="K4296">
            <v>3</v>
          </cell>
        </row>
        <row r="4297">
          <cell r="A4297" t="str">
            <v>M2</v>
          </cell>
          <cell r="B4297" t="str">
            <v>A5C</v>
          </cell>
          <cell r="C4297" t="str">
            <v>P</v>
          </cell>
          <cell r="D4297" t="str">
            <v>23135</v>
          </cell>
          <cell r="E4297" t="str">
            <v>BALL VA</v>
          </cell>
          <cell r="F4297">
            <v>6</v>
          </cell>
          <cell r="G4297" t="str">
            <v>VB8010600000T00</v>
          </cell>
          <cell r="H4297">
            <v>0.75</v>
          </cell>
          <cell r="I4297" t="str">
            <v>--</v>
          </cell>
          <cell r="J4297">
            <v>4</v>
          </cell>
          <cell r="K4297">
            <v>4</v>
          </cell>
        </row>
        <row r="4298">
          <cell r="A4298" t="str">
            <v>M2</v>
          </cell>
          <cell r="B4298" t="str">
            <v>A5C</v>
          </cell>
          <cell r="C4298" t="str">
            <v>P</v>
          </cell>
          <cell r="D4298" t="str">
            <v>23141</v>
          </cell>
          <cell r="E4298" t="str">
            <v>BALL VA</v>
          </cell>
          <cell r="F4298">
            <v>6</v>
          </cell>
          <cell r="G4298" t="str">
            <v>VB8010600000T00</v>
          </cell>
          <cell r="H4298">
            <v>0.75</v>
          </cell>
          <cell r="I4298" t="str">
            <v>--</v>
          </cell>
          <cell r="J4298">
            <v>3</v>
          </cell>
          <cell r="K4298">
            <v>3</v>
          </cell>
        </row>
        <row r="4299">
          <cell r="A4299" t="str">
            <v>M2</v>
          </cell>
          <cell r="B4299" t="str">
            <v>A5C</v>
          </cell>
          <cell r="C4299" t="str">
            <v>P</v>
          </cell>
          <cell r="D4299" t="str">
            <v>23142</v>
          </cell>
          <cell r="E4299" t="str">
            <v>BALL VA</v>
          </cell>
          <cell r="F4299">
            <v>6</v>
          </cell>
          <cell r="G4299" t="str">
            <v>VB8010600000T00</v>
          </cell>
          <cell r="H4299">
            <v>0.75</v>
          </cell>
          <cell r="I4299" t="str">
            <v>--</v>
          </cell>
          <cell r="J4299">
            <v>2</v>
          </cell>
          <cell r="K4299">
            <v>2</v>
          </cell>
        </row>
        <row r="4300">
          <cell r="A4300" t="str">
            <v>M2</v>
          </cell>
          <cell r="B4300" t="str">
            <v>A5C</v>
          </cell>
          <cell r="C4300" t="str">
            <v>P</v>
          </cell>
          <cell r="D4300" t="str">
            <v>23143</v>
          </cell>
          <cell r="E4300" t="str">
            <v>BALL VA</v>
          </cell>
          <cell r="F4300">
            <v>6</v>
          </cell>
          <cell r="G4300" t="str">
            <v>VB8010600000T00</v>
          </cell>
          <cell r="H4300">
            <v>0.75</v>
          </cell>
          <cell r="I4300" t="str">
            <v>--</v>
          </cell>
          <cell r="J4300">
            <v>2</v>
          </cell>
          <cell r="K4300">
            <v>2</v>
          </cell>
        </row>
        <row r="4301">
          <cell r="A4301" t="str">
            <v>M2</v>
          </cell>
          <cell r="B4301" t="str">
            <v>A5C</v>
          </cell>
          <cell r="C4301" t="str">
            <v>P</v>
          </cell>
          <cell r="D4301" t="str">
            <v>23144</v>
          </cell>
          <cell r="E4301" t="str">
            <v>BALL VA</v>
          </cell>
          <cell r="F4301">
            <v>6</v>
          </cell>
          <cell r="G4301" t="str">
            <v>VB8010600000T00</v>
          </cell>
          <cell r="H4301">
            <v>0.75</v>
          </cell>
          <cell r="I4301" t="str">
            <v>--</v>
          </cell>
          <cell r="J4301">
            <v>2</v>
          </cell>
          <cell r="K4301">
            <v>2</v>
          </cell>
        </row>
        <row r="4302">
          <cell r="A4302" t="str">
            <v>M2</v>
          </cell>
          <cell r="B4302" t="str">
            <v>A5C</v>
          </cell>
          <cell r="C4302" t="str">
            <v>P</v>
          </cell>
          <cell r="D4302" t="str">
            <v>23144</v>
          </cell>
          <cell r="E4302" t="str">
            <v>BALL VA</v>
          </cell>
          <cell r="F4302">
            <v>6</v>
          </cell>
          <cell r="G4302" t="str">
            <v>VB8010600000T00</v>
          </cell>
          <cell r="H4302">
            <v>0.75</v>
          </cell>
          <cell r="I4302" t="str">
            <v>--</v>
          </cell>
          <cell r="J4302">
            <v>2</v>
          </cell>
          <cell r="K4302">
            <v>2</v>
          </cell>
        </row>
        <row r="4303">
          <cell r="A4303" t="str">
            <v>M2</v>
          </cell>
          <cell r="B4303" t="str">
            <v>A5C</v>
          </cell>
          <cell r="C4303" t="str">
            <v>P</v>
          </cell>
          <cell r="D4303" t="str">
            <v>23145</v>
          </cell>
          <cell r="E4303" t="str">
            <v>BALL VA</v>
          </cell>
          <cell r="F4303">
            <v>6</v>
          </cell>
          <cell r="G4303" t="str">
            <v>VB8010600000T00</v>
          </cell>
          <cell r="H4303">
            <v>0.75</v>
          </cell>
          <cell r="I4303" t="str">
            <v>--</v>
          </cell>
          <cell r="J4303">
            <v>1</v>
          </cell>
          <cell r="K4303">
            <v>1</v>
          </cell>
        </row>
        <row r="4304">
          <cell r="A4304" t="str">
            <v>M2</v>
          </cell>
          <cell r="B4304" t="str">
            <v>A5C</v>
          </cell>
          <cell r="C4304" t="str">
            <v>P</v>
          </cell>
          <cell r="D4304" t="str">
            <v>23146</v>
          </cell>
          <cell r="E4304" t="str">
            <v>BALL VA</v>
          </cell>
          <cell r="F4304">
            <v>6</v>
          </cell>
          <cell r="G4304" t="str">
            <v>VB8010600000T00</v>
          </cell>
          <cell r="H4304">
            <v>0.75</v>
          </cell>
          <cell r="I4304" t="str">
            <v>--</v>
          </cell>
          <cell r="J4304">
            <v>2</v>
          </cell>
          <cell r="K4304">
            <v>2</v>
          </cell>
        </row>
        <row r="4305">
          <cell r="A4305" t="str">
            <v>M2</v>
          </cell>
          <cell r="B4305" t="str">
            <v>A5C</v>
          </cell>
          <cell r="C4305" t="str">
            <v>P</v>
          </cell>
          <cell r="D4305" t="str">
            <v>23147</v>
          </cell>
          <cell r="E4305" t="str">
            <v>BALL VA</v>
          </cell>
          <cell r="F4305">
            <v>6</v>
          </cell>
          <cell r="G4305" t="str">
            <v>VB8010600000T00</v>
          </cell>
          <cell r="H4305">
            <v>0.75</v>
          </cell>
          <cell r="I4305" t="str">
            <v>--</v>
          </cell>
          <cell r="J4305">
            <v>2</v>
          </cell>
          <cell r="K4305">
            <v>2</v>
          </cell>
        </row>
        <row r="4306">
          <cell r="A4306" t="str">
            <v>M2</v>
          </cell>
          <cell r="B4306" t="str">
            <v>A5C</v>
          </cell>
          <cell r="C4306" t="str">
            <v>P</v>
          </cell>
          <cell r="D4306" t="str">
            <v>23148</v>
          </cell>
          <cell r="E4306" t="str">
            <v>BALL VA</v>
          </cell>
          <cell r="F4306">
            <v>6</v>
          </cell>
          <cell r="G4306" t="str">
            <v>VB8010600000T00</v>
          </cell>
          <cell r="H4306">
            <v>0.75</v>
          </cell>
          <cell r="I4306" t="str">
            <v>--</v>
          </cell>
          <cell r="J4306">
            <v>2</v>
          </cell>
          <cell r="K4306">
            <v>2</v>
          </cell>
        </row>
        <row r="4307">
          <cell r="A4307" t="str">
            <v>M2</v>
          </cell>
          <cell r="B4307" t="str">
            <v>A5C</v>
          </cell>
          <cell r="C4307" t="str">
            <v>P</v>
          </cell>
          <cell r="D4307" t="str">
            <v>23148</v>
          </cell>
          <cell r="E4307" t="str">
            <v>BALL VA</v>
          </cell>
          <cell r="F4307">
            <v>6</v>
          </cell>
          <cell r="G4307" t="str">
            <v>VB8010600000T00</v>
          </cell>
          <cell r="H4307">
            <v>0.75</v>
          </cell>
          <cell r="I4307" t="str">
            <v>--</v>
          </cell>
          <cell r="J4307">
            <v>2</v>
          </cell>
          <cell r="K4307">
            <v>2</v>
          </cell>
        </row>
        <row r="4308">
          <cell r="A4308" t="str">
            <v>M2</v>
          </cell>
          <cell r="B4308" t="str">
            <v>A5C</v>
          </cell>
          <cell r="C4308" t="str">
            <v>P</v>
          </cell>
          <cell r="D4308" t="str">
            <v>23149</v>
          </cell>
          <cell r="E4308" t="str">
            <v>BALL VA</v>
          </cell>
          <cell r="F4308">
            <v>6</v>
          </cell>
          <cell r="G4308" t="str">
            <v>VB8010600000T00</v>
          </cell>
          <cell r="H4308">
            <v>0.75</v>
          </cell>
          <cell r="I4308" t="str">
            <v>--</v>
          </cell>
          <cell r="J4308">
            <v>1</v>
          </cell>
          <cell r="K4308">
            <v>1</v>
          </cell>
        </row>
        <row r="4309">
          <cell r="A4309" t="str">
            <v>M2</v>
          </cell>
          <cell r="B4309" t="str">
            <v>A5C</v>
          </cell>
          <cell r="C4309" t="str">
            <v>P</v>
          </cell>
          <cell r="D4309" t="str">
            <v>23149</v>
          </cell>
          <cell r="E4309" t="str">
            <v>BALL VA</v>
          </cell>
          <cell r="F4309">
            <v>6</v>
          </cell>
          <cell r="G4309" t="str">
            <v>VB8010600000T00</v>
          </cell>
          <cell r="H4309">
            <v>0.75</v>
          </cell>
          <cell r="I4309" t="str">
            <v>--</v>
          </cell>
          <cell r="J4309">
            <v>2</v>
          </cell>
          <cell r="K4309">
            <v>2</v>
          </cell>
        </row>
        <row r="4310">
          <cell r="A4310" t="str">
            <v>M2</v>
          </cell>
          <cell r="B4310" t="str">
            <v>A5C</v>
          </cell>
          <cell r="C4310" t="str">
            <v>P</v>
          </cell>
          <cell r="D4310" t="str">
            <v>23152</v>
          </cell>
          <cell r="E4310" t="str">
            <v>BALL VA</v>
          </cell>
          <cell r="F4310">
            <v>6</v>
          </cell>
          <cell r="G4310" t="str">
            <v>VB8010600000T00</v>
          </cell>
          <cell r="H4310">
            <v>0.75</v>
          </cell>
          <cell r="I4310" t="str">
            <v>--</v>
          </cell>
          <cell r="J4310">
            <v>1</v>
          </cell>
          <cell r="K4310">
            <v>1</v>
          </cell>
        </row>
        <row r="4311">
          <cell r="A4311" t="str">
            <v>M2</v>
          </cell>
          <cell r="B4311" t="str">
            <v>A5C</v>
          </cell>
          <cell r="C4311" t="str">
            <v>P</v>
          </cell>
          <cell r="D4311" t="str">
            <v>23160</v>
          </cell>
          <cell r="E4311" t="str">
            <v>BALL VA</v>
          </cell>
          <cell r="F4311">
            <v>6</v>
          </cell>
          <cell r="G4311" t="str">
            <v>VB8010600000T00</v>
          </cell>
          <cell r="H4311">
            <v>0.75</v>
          </cell>
          <cell r="I4311" t="str">
            <v>--</v>
          </cell>
          <cell r="J4311">
            <v>2</v>
          </cell>
          <cell r="K4311">
            <v>2</v>
          </cell>
        </row>
        <row r="4312">
          <cell r="A4312" t="str">
            <v>M2</v>
          </cell>
          <cell r="B4312" t="str">
            <v>A5C</v>
          </cell>
          <cell r="C4312" t="str">
            <v>P</v>
          </cell>
          <cell r="D4312" t="str">
            <v>23160</v>
          </cell>
          <cell r="E4312" t="str">
            <v>BALL VA</v>
          </cell>
          <cell r="F4312">
            <v>6</v>
          </cell>
          <cell r="G4312" t="str">
            <v>VB8010600000T00</v>
          </cell>
          <cell r="H4312">
            <v>0.75</v>
          </cell>
          <cell r="I4312" t="str">
            <v>--</v>
          </cell>
          <cell r="J4312">
            <v>1</v>
          </cell>
          <cell r="K4312">
            <v>1</v>
          </cell>
        </row>
        <row r="4313">
          <cell r="A4313" t="str">
            <v>M2</v>
          </cell>
          <cell r="B4313" t="str">
            <v>A5C</v>
          </cell>
          <cell r="C4313" t="str">
            <v>P</v>
          </cell>
          <cell r="D4313" t="str">
            <v>23164</v>
          </cell>
          <cell r="E4313" t="str">
            <v>BALL VA</v>
          </cell>
          <cell r="F4313">
            <v>6</v>
          </cell>
          <cell r="G4313" t="str">
            <v>VB8010600000T00</v>
          </cell>
          <cell r="H4313">
            <v>0.75</v>
          </cell>
          <cell r="I4313" t="str">
            <v>--</v>
          </cell>
          <cell r="J4313">
            <v>2</v>
          </cell>
          <cell r="K4313">
            <v>2</v>
          </cell>
        </row>
        <row r="4314">
          <cell r="A4314" t="str">
            <v>M2</v>
          </cell>
          <cell r="B4314" t="str">
            <v>A5C</v>
          </cell>
          <cell r="C4314" t="str">
            <v>P</v>
          </cell>
          <cell r="D4314" t="str">
            <v>23174</v>
          </cell>
          <cell r="E4314" t="str">
            <v>BALL VA</v>
          </cell>
          <cell r="F4314">
            <v>6</v>
          </cell>
          <cell r="G4314" t="str">
            <v>VB8010600000T00</v>
          </cell>
          <cell r="H4314">
            <v>0.75</v>
          </cell>
          <cell r="I4314" t="str">
            <v>--</v>
          </cell>
          <cell r="J4314">
            <v>2</v>
          </cell>
          <cell r="K4314">
            <v>2</v>
          </cell>
        </row>
        <row r="4315">
          <cell r="A4315" t="str">
            <v>M2</v>
          </cell>
          <cell r="B4315" t="str">
            <v>A5C</v>
          </cell>
          <cell r="C4315" t="str">
            <v>P</v>
          </cell>
          <cell r="D4315" t="str">
            <v>23174</v>
          </cell>
          <cell r="E4315" t="str">
            <v>BALL VA</v>
          </cell>
          <cell r="F4315">
            <v>6</v>
          </cell>
          <cell r="G4315" t="str">
            <v>VB8010600000T00</v>
          </cell>
          <cell r="H4315">
            <v>0.75</v>
          </cell>
          <cell r="I4315" t="str">
            <v>--</v>
          </cell>
          <cell r="J4315">
            <v>1</v>
          </cell>
          <cell r="K4315">
            <v>1</v>
          </cell>
        </row>
        <row r="4316">
          <cell r="A4316" t="str">
            <v>M2</v>
          </cell>
          <cell r="B4316" t="str">
            <v>A5C</v>
          </cell>
          <cell r="C4316" t="str">
            <v>P</v>
          </cell>
          <cell r="D4316" t="str">
            <v>23181</v>
          </cell>
          <cell r="E4316" t="str">
            <v>BALL VA</v>
          </cell>
          <cell r="F4316">
            <v>6</v>
          </cell>
          <cell r="G4316" t="str">
            <v>VB8010600000T00</v>
          </cell>
          <cell r="H4316">
            <v>0.75</v>
          </cell>
          <cell r="I4316" t="str">
            <v>--</v>
          </cell>
          <cell r="J4316">
            <v>2</v>
          </cell>
          <cell r="K4316">
            <v>2</v>
          </cell>
        </row>
        <row r="4317">
          <cell r="A4317" t="str">
            <v>M2</v>
          </cell>
          <cell r="B4317" t="str">
            <v>A5C</v>
          </cell>
          <cell r="C4317" t="str">
            <v>P</v>
          </cell>
          <cell r="D4317" t="str">
            <v>23185</v>
          </cell>
          <cell r="E4317" t="str">
            <v>BALL VA</v>
          </cell>
          <cell r="F4317">
            <v>6</v>
          </cell>
          <cell r="G4317" t="str">
            <v>VB8010600000T00</v>
          </cell>
          <cell r="H4317">
            <v>0.75</v>
          </cell>
          <cell r="I4317" t="str">
            <v>--</v>
          </cell>
          <cell r="J4317">
            <v>2</v>
          </cell>
          <cell r="K4317">
            <v>2</v>
          </cell>
        </row>
        <row r="4318">
          <cell r="A4318" t="str">
            <v>M2</v>
          </cell>
          <cell r="B4318" t="str">
            <v>A5C</v>
          </cell>
          <cell r="C4318" t="str">
            <v>P</v>
          </cell>
          <cell r="D4318" t="str">
            <v>23188</v>
          </cell>
          <cell r="E4318" t="str">
            <v>BALL VA</v>
          </cell>
          <cell r="F4318">
            <v>6</v>
          </cell>
          <cell r="G4318" t="str">
            <v>VB8010600000T00</v>
          </cell>
          <cell r="H4318">
            <v>0.75</v>
          </cell>
          <cell r="I4318" t="str">
            <v>--</v>
          </cell>
          <cell r="J4318">
            <v>9</v>
          </cell>
          <cell r="K4318">
            <v>9</v>
          </cell>
        </row>
        <row r="4319">
          <cell r="A4319" t="str">
            <v>M2</v>
          </cell>
          <cell r="B4319" t="str">
            <v>A5C</v>
          </cell>
          <cell r="C4319" t="str">
            <v>P</v>
          </cell>
          <cell r="D4319" t="str">
            <v>23188</v>
          </cell>
          <cell r="E4319" t="str">
            <v>BALL VA</v>
          </cell>
          <cell r="F4319">
            <v>6</v>
          </cell>
          <cell r="G4319" t="str">
            <v>VB8010600000T00</v>
          </cell>
          <cell r="H4319">
            <v>0.75</v>
          </cell>
          <cell r="I4319" t="str">
            <v>--</v>
          </cell>
          <cell r="J4319">
            <v>2</v>
          </cell>
          <cell r="K4319">
            <v>2</v>
          </cell>
        </row>
        <row r="4320">
          <cell r="A4320" t="str">
            <v>M2</v>
          </cell>
          <cell r="B4320" t="str">
            <v>A5C</v>
          </cell>
          <cell r="C4320" t="str">
            <v>P</v>
          </cell>
          <cell r="D4320" t="str">
            <v>23192</v>
          </cell>
          <cell r="E4320" t="str">
            <v>BALL VA</v>
          </cell>
          <cell r="F4320">
            <v>6</v>
          </cell>
          <cell r="G4320" t="str">
            <v>VB8010600000T00</v>
          </cell>
          <cell r="H4320">
            <v>0.75</v>
          </cell>
          <cell r="I4320" t="str">
            <v>--</v>
          </cell>
          <cell r="J4320">
            <v>1</v>
          </cell>
          <cell r="K4320">
            <v>1</v>
          </cell>
        </row>
        <row r="4321">
          <cell r="A4321" t="str">
            <v>M2</v>
          </cell>
          <cell r="B4321" t="str">
            <v>A5C</v>
          </cell>
          <cell r="C4321" t="str">
            <v>P</v>
          </cell>
          <cell r="D4321" t="str">
            <v>23192</v>
          </cell>
          <cell r="E4321" t="str">
            <v>BALL VA</v>
          </cell>
          <cell r="F4321">
            <v>6</v>
          </cell>
          <cell r="G4321" t="str">
            <v>VB8010600000T00</v>
          </cell>
          <cell r="H4321">
            <v>0.75</v>
          </cell>
          <cell r="I4321" t="str">
            <v>--</v>
          </cell>
          <cell r="J4321">
            <v>2</v>
          </cell>
          <cell r="K4321">
            <v>2</v>
          </cell>
        </row>
        <row r="4322">
          <cell r="A4322" t="str">
            <v>M2</v>
          </cell>
          <cell r="B4322" t="str">
            <v>A5C</v>
          </cell>
          <cell r="C4322" t="str">
            <v>P</v>
          </cell>
          <cell r="D4322" t="str">
            <v>23205</v>
          </cell>
          <cell r="E4322" t="str">
            <v>BALL VA</v>
          </cell>
          <cell r="F4322">
            <v>6</v>
          </cell>
          <cell r="G4322" t="str">
            <v>VB8010600000T00</v>
          </cell>
          <cell r="H4322">
            <v>0.75</v>
          </cell>
          <cell r="I4322" t="str">
            <v>--</v>
          </cell>
          <cell r="J4322">
            <v>1</v>
          </cell>
          <cell r="K4322">
            <v>1</v>
          </cell>
        </row>
        <row r="4323">
          <cell r="A4323" t="str">
            <v>M2</v>
          </cell>
          <cell r="B4323" t="str">
            <v>A5C</v>
          </cell>
          <cell r="C4323" t="str">
            <v>P</v>
          </cell>
          <cell r="D4323" t="str">
            <v>23208</v>
          </cell>
          <cell r="E4323" t="str">
            <v>BALL VA</v>
          </cell>
          <cell r="F4323">
            <v>6</v>
          </cell>
          <cell r="G4323" t="str">
            <v>VB8010600000T00</v>
          </cell>
          <cell r="H4323">
            <v>0.75</v>
          </cell>
          <cell r="I4323" t="str">
            <v>--</v>
          </cell>
          <cell r="J4323">
            <v>1</v>
          </cell>
          <cell r="K4323">
            <v>1</v>
          </cell>
        </row>
        <row r="4324">
          <cell r="A4324" t="str">
            <v>M2</v>
          </cell>
          <cell r="B4324" t="str">
            <v>A5C</v>
          </cell>
          <cell r="C4324" t="str">
            <v>P</v>
          </cell>
          <cell r="D4324" t="str">
            <v>23212</v>
          </cell>
          <cell r="E4324" t="str">
            <v>BALL VA</v>
          </cell>
          <cell r="F4324">
            <v>6</v>
          </cell>
          <cell r="G4324" t="str">
            <v>VB8010600000T00</v>
          </cell>
          <cell r="H4324">
            <v>0.75</v>
          </cell>
          <cell r="I4324" t="str">
            <v>--</v>
          </cell>
          <cell r="J4324">
            <v>1</v>
          </cell>
          <cell r="K4324">
            <v>1</v>
          </cell>
        </row>
        <row r="4325">
          <cell r="A4325" t="str">
            <v>M2</v>
          </cell>
          <cell r="B4325" t="str">
            <v>A5C</v>
          </cell>
          <cell r="C4325" t="str">
            <v>P</v>
          </cell>
          <cell r="D4325" t="str">
            <v>23207</v>
          </cell>
          <cell r="E4325" t="str">
            <v>BALL VA</v>
          </cell>
          <cell r="F4325">
            <v>6</v>
          </cell>
          <cell r="G4325" t="str">
            <v>VB8010600000T00</v>
          </cell>
          <cell r="H4325">
            <v>0.75</v>
          </cell>
          <cell r="I4325" t="str">
            <v>--</v>
          </cell>
          <cell r="J4325">
            <v>1</v>
          </cell>
          <cell r="K4325">
            <v>1</v>
          </cell>
        </row>
        <row r="4326">
          <cell r="A4326" t="str">
            <v>M2</v>
          </cell>
          <cell r="B4326" t="str">
            <v>A5C</v>
          </cell>
          <cell r="C4326" t="str">
            <v>P</v>
          </cell>
          <cell r="D4326" t="str">
            <v>23213</v>
          </cell>
          <cell r="E4326" t="str">
            <v>BALL VA</v>
          </cell>
          <cell r="F4326">
            <v>6</v>
          </cell>
          <cell r="G4326" t="str">
            <v>VB8010600000T00</v>
          </cell>
          <cell r="H4326">
            <v>0.75</v>
          </cell>
          <cell r="I4326" t="str">
            <v>--</v>
          </cell>
          <cell r="J4326">
            <v>1</v>
          </cell>
          <cell r="K4326">
            <v>1</v>
          </cell>
        </row>
        <row r="4327">
          <cell r="A4327" t="str">
            <v>M2</v>
          </cell>
          <cell r="B4327" t="str">
            <v>A5C</v>
          </cell>
          <cell r="C4327" t="str">
            <v>P</v>
          </cell>
          <cell r="D4327" t="str">
            <v>23225</v>
          </cell>
          <cell r="E4327" t="str">
            <v>BALL VA</v>
          </cell>
          <cell r="F4327">
            <v>6</v>
          </cell>
          <cell r="G4327" t="str">
            <v>VB8010600000T00</v>
          </cell>
          <cell r="H4327">
            <v>0.75</v>
          </cell>
          <cell r="I4327" t="str">
            <v>--</v>
          </cell>
          <cell r="J4327">
            <v>3</v>
          </cell>
          <cell r="K4327">
            <v>3</v>
          </cell>
        </row>
        <row r="4328">
          <cell r="A4328" t="str">
            <v>M2</v>
          </cell>
          <cell r="B4328" t="str">
            <v>A5C</v>
          </cell>
          <cell r="C4328" t="str">
            <v>P</v>
          </cell>
          <cell r="D4328" t="str">
            <v>23226</v>
          </cell>
          <cell r="E4328" t="str">
            <v>BALL VA</v>
          </cell>
          <cell r="F4328">
            <v>6</v>
          </cell>
          <cell r="G4328" t="str">
            <v>VB8010600000T00</v>
          </cell>
          <cell r="H4328">
            <v>0.75</v>
          </cell>
          <cell r="I4328" t="str">
            <v>--</v>
          </cell>
          <cell r="J4328">
            <v>1</v>
          </cell>
          <cell r="K4328">
            <v>1</v>
          </cell>
        </row>
        <row r="4329">
          <cell r="A4329" t="str">
            <v>M2</v>
          </cell>
          <cell r="B4329" t="str">
            <v>A5C</v>
          </cell>
          <cell r="C4329" t="str">
            <v>P</v>
          </cell>
          <cell r="D4329" t="str">
            <v>23230</v>
          </cell>
          <cell r="E4329" t="str">
            <v>BALL VA</v>
          </cell>
          <cell r="F4329">
            <v>6</v>
          </cell>
          <cell r="G4329" t="str">
            <v>VB8010600000T00</v>
          </cell>
          <cell r="H4329">
            <v>0.75</v>
          </cell>
          <cell r="I4329" t="str">
            <v>--</v>
          </cell>
          <cell r="J4329">
            <v>1</v>
          </cell>
          <cell r="K4329">
            <v>1</v>
          </cell>
        </row>
        <row r="4330">
          <cell r="A4330" t="str">
            <v>M2</v>
          </cell>
          <cell r="B4330" t="str">
            <v>A5C</v>
          </cell>
          <cell r="C4330" t="str">
            <v>P</v>
          </cell>
          <cell r="D4330" t="str">
            <v>23230</v>
          </cell>
          <cell r="E4330" t="str">
            <v>BALL VA</v>
          </cell>
          <cell r="F4330">
            <v>6</v>
          </cell>
          <cell r="G4330" t="str">
            <v>VB8010600000T00</v>
          </cell>
          <cell r="H4330">
            <v>0.75</v>
          </cell>
          <cell r="I4330" t="str">
            <v>--</v>
          </cell>
          <cell r="J4330">
            <v>1</v>
          </cell>
          <cell r="K4330">
            <v>1</v>
          </cell>
        </row>
        <row r="4331">
          <cell r="A4331" t="str">
            <v>M2</v>
          </cell>
          <cell r="B4331" t="str">
            <v>A5C</v>
          </cell>
          <cell r="C4331" t="str">
            <v>P</v>
          </cell>
          <cell r="D4331" t="str">
            <v>23229</v>
          </cell>
          <cell r="E4331" t="str">
            <v>BALL VA</v>
          </cell>
          <cell r="F4331">
            <v>6</v>
          </cell>
          <cell r="G4331" t="str">
            <v>VB8010600000T00</v>
          </cell>
          <cell r="H4331">
            <v>0.75</v>
          </cell>
          <cell r="I4331" t="str">
            <v>--</v>
          </cell>
          <cell r="J4331">
            <v>1</v>
          </cell>
          <cell r="K4331">
            <v>1</v>
          </cell>
        </row>
        <row r="4332">
          <cell r="A4332" t="str">
            <v>M2</v>
          </cell>
          <cell r="B4332" t="str">
            <v>A5C</v>
          </cell>
          <cell r="C4332" t="str">
            <v>P</v>
          </cell>
          <cell r="D4332" t="str">
            <v>23236</v>
          </cell>
          <cell r="E4332" t="str">
            <v>BALL VA</v>
          </cell>
          <cell r="F4332">
            <v>6</v>
          </cell>
          <cell r="G4332" t="str">
            <v>VB8010600000T00</v>
          </cell>
          <cell r="H4332">
            <v>0.75</v>
          </cell>
          <cell r="I4332" t="str">
            <v>--</v>
          </cell>
          <cell r="J4332">
            <v>2</v>
          </cell>
          <cell r="K4332">
            <v>2</v>
          </cell>
        </row>
        <row r="4333">
          <cell r="A4333" t="str">
            <v>M2</v>
          </cell>
          <cell r="B4333" t="str">
            <v>A5C</v>
          </cell>
          <cell r="C4333" t="str">
            <v>P</v>
          </cell>
          <cell r="D4333" t="str">
            <v>23231</v>
          </cell>
          <cell r="E4333" t="str">
            <v>BALL VA</v>
          </cell>
          <cell r="F4333">
            <v>6</v>
          </cell>
          <cell r="G4333" t="str">
            <v>VB8010600000T00</v>
          </cell>
          <cell r="H4333">
            <v>0.75</v>
          </cell>
          <cell r="I4333" t="str">
            <v>--</v>
          </cell>
          <cell r="J4333">
            <v>1</v>
          </cell>
          <cell r="K4333">
            <v>1</v>
          </cell>
        </row>
        <row r="4334">
          <cell r="A4334" t="str">
            <v>M2</v>
          </cell>
          <cell r="B4334" t="str">
            <v>A5C</v>
          </cell>
          <cell r="C4334" t="str">
            <v>P</v>
          </cell>
          <cell r="D4334" t="str">
            <v>23235</v>
          </cell>
          <cell r="E4334" t="str">
            <v>BALL VA</v>
          </cell>
          <cell r="F4334">
            <v>6</v>
          </cell>
          <cell r="G4334" t="str">
            <v>VB8010600000T00</v>
          </cell>
          <cell r="H4334">
            <v>0.75</v>
          </cell>
          <cell r="I4334" t="str">
            <v>--</v>
          </cell>
          <cell r="J4334">
            <v>1</v>
          </cell>
          <cell r="K4334">
            <v>1</v>
          </cell>
        </row>
        <row r="4335">
          <cell r="A4335" t="str">
            <v>M2</v>
          </cell>
          <cell r="B4335" t="str">
            <v>A5C</v>
          </cell>
          <cell r="C4335" t="str">
            <v>P</v>
          </cell>
          <cell r="D4335" t="str">
            <v>23238</v>
          </cell>
          <cell r="E4335" t="str">
            <v>BALL VA</v>
          </cell>
          <cell r="F4335">
            <v>6</v>
          </cell>
          <cell r="G4335" t="str">
            <v>VB8010600000T00</v>
          </cell>
          <cell r="H4335">
            <v>0.75</v>
          </cell>
          <cell r="I4335" t="str">
            <v>--</v>
          </cell>
          <cell r="J4335">
            <v>1</v>
          </cell>
          <cell r="K4335">
            <v>1</v>
          </cell>
        </row>
        <row r="4336">
          <cell r="A4336" t="str">
            <v>M2</v>
          </cell>
          <cell r="B4336" t="str">
            <v>A5C</v>
          </cell>
          <cell r="C4336" t="str">
            <v>P</v>
          </cell>
          <cell r="D4336" t="str">
            <v>23239</v>
          </cell>
          <cell r="E4336" t="str">
            <v>BALL VA</v>
          </cell>
          <cell r="F4336">
            <v>6</v>
          </cell>
          <cell r="G4336" t="str">
            <v>VB8010600000T00</v>
          </cell>
          <cell r="H4336">
            <v>0.75</v>
          </cell>
          <cell r="I4336" t="str">
            <v>--</v>
          </cell>
          <cell r="J4336">
            <v>1</v>
          </cell>
          <cell r="K4336">
            <v>1</v>
          </cell>
        </row>
        <row r="4337">
          <cell r="A4337" t="str">
            <v>M2</v>
          </cell>
          <cell r="B4337" t="str">
            <v>A5C</v>
          </cell>
          <cell r="C4337" t="str">
            <v>P</v>
          </cell>
          <cell r="D4337" t="str">
            <v>23240</v>
          </cell>
          <cell r="E4337" t="str">
            <v>BALL VA</v>
          </cell>
          <cell r="F4337">
            <v>6</v>
          </cell>
          <cell r="G4337" t="str">
            <v>VB8010600000T00</v>
          </cell>
          <cell r="H4337">
            <v>0.75</v>
          </cell>
          <cell r="I4337" t="str">
            <v>--</v>
          </cell>
          <cell r="J4337">
            <v>2</v>
          </cell>
          <cell r="K4337">
            <v>2</v>
          </cell>
        </row>
        <row r="4338">
          <cell r="A4338" t="str">
            <v>M2</v>
          </cell>
          <cell r="B4338" t="str">
            <v>A5C</v>
          </cell>
          <cell r="C4338" t="str">
            <v>P</v>
          </cell>
          <cell r="D4338" t="str">
            <v>23247</v>
          </cell>
          <cell r="E4338" t="str">
            <v>BALL VA</v>
          </cell>
          <cell r="F4338">
            <v>6</v>
          </cell>
          <cell r="G4338" t="str">
            <v>VB8010600000T00</v>
          </cell>
          <cell r="H4338">
            <v>0.75</v>
          </cell>
          <cell r="I4338" t="str">
            <v>--</v>
          </cell>
          <cell r="J4338">
            <v>3</v>
          </cell>
          <cell r="K4338">
            <v>3</v>
          </cell>
        </row>
        <row r="4339">
          <cell r="A4339" t="str">
            <v>M2</v>
          </cell>
          <cell r="B4339" t="str">
            <v>A5C</v>
          </cell>
          <cell r="C4339" t="str">
            <v>P</v>
          </cell>
          <cell r="D4339" t="str">
            <v>23248</v>
          </cell>
          <cell r="E4339" t="str">
            <v>BALL VA</v>
          </cell>
          <cell r="F4339">
            <v>6</v>
          </cell>
          <cell r="G4339" t="str">
            <v>VB8010600000T00</v>
          </cell>
          <cell r="H4339">
            <v>0.75</v>
          </cell>
          <cell r="I4339" t="str">
            <v>--</v>
          </cell>
          <cell r="J4339">
            <v>1</v>
          </cell>
          <cell r="K4339">
            <v>1</v>
          </cell>
        </row>
        <row r="4340">
          <cell r="A4340" t="str">
            <v>M2</v>
          </cell>
          <cell r="B4340" t="str">
            <v>A5C</v>
          </cell>
          <cell r="C4340" t="str">
            <v>P</v>
          </cell>
          <cell r="D4340" t="str">
            <v>23258</v>
          </cell>
          <cell r="E4340" t="str">
            <v>BALL VA</v>
          </cell>
          <cell r="F4340">
            <v>6</v>
          </cell>
          <cell r="G4340" t="str">
            <v>VB8010600000T00</v>
          </cell>
          <cell r="H4340">
            <v>0.75</v>
          </cell>
          <cell r="I4340" t="str">
            <v>--</v>
          </cell>
          <cell r="J4340">
            <v>1</v>
          </cell>
          <cell r="K4340">
            <v>1</v>
          </cell>
        </row>
        <row r="4341">
          <cell r="A4341" t="str">
            <v>M2</v>
          </cell>
          <cell r="B4341" t="str">
            <v>A5C</v>
          </cell>
          <cell r="C4341" t="str">
            <v>P</v>
          </cell>
          <cell r="D4341" t="str">
            <v>23252</v>
          </cell>
          <cell r="E4341" t="str">
            <v>BALL VA</v>
          </cell>
          <cell r="F4341">
            <v>6</v>
          </cell>
          <cell r="G4341" t="str">
            <v>VB8010600000T00</v>
          </cell>
          <cell r="H4341">
            <v>0.75</v>
          </cell>
          <cell r="I4341" t="str">
            <v>--</v>
          </cell>
          <cell r="J4341">
            <v>1</v>
          </cell>
          <cell r="K4341">
            <v>1</v>
          </cell>
        </row>
        <row r="4342">
          <cell r="A4342" t="str">
            <v>M2</v>
          </cell>
          <cell r="B4342" t="str">
            <v>A5C</v>
          </cell>
          <cell r="C4342" t="str">
            <v>P</v>
          </cell>
          <cell r="D4342" t="str">
            <v>23252</v>
          </cell>
          <cell r="E4342" t="str">
            <v>BALL VA</v>
          </cell>
          <cell r="F4342">
            <v>6</v>
          </cell>
          <cell r="G4342" t="str">
            <v>VB8010600000T00</v>
          </cell>
          <cell r="H4342">
            <v>0.75</v>
          </cell>
          <cell r="I4342" t="str">
            <v>--</v>
          </cell>
          <cell r="J4342">
            <v>1</v>
          </cell>
          <cell r="K4342">
            <v>1</v>
          </cell>
        </row>
        <row r="4343">
          <cell r="A4343" t="str">
            <v>M2</v>
          </cell>
          <cell r="B4343" t="str">
            <v>A5C</v>
          </cell>
          <cell r="C4343" t="str">
            <v>P</v>
          </cell>
          <cell r="D4343" t="str">
            <v>23254</v>
          </cell>
          <cell r="E4343" t="str">
            <v>BALL VA</v>
          </cell>
          <cell r="F4343">
            <v>6</v>
          </cell>
          <cell r="G4343" t="str">
            <v>VB8010600000T00</v>
          </cell>
          <cell r="H4343">
            <v>0.75</v>
          </cell>
          <cell r="I4343" t="str">
            <v>--</v>
          </cell>
          <cell r="J4343">
            <v>2</v>
          </cell>
          <cell r="K4343">
            <v>2</v>
          </cell>
        </row>
        <row r="4344">
          <cell r="A4344" t="str">
            <v>M2</v>
          </cell>
          <cell r="B4344" t="str">
            <v>A5C</v>
          </cell>
          <cell r="C4344" t="str">
            <v>P</v>
          </cell>
          <cell r="D4344" t="str">
            <v>23259</v>
          </cell>
          <cell r="E4344" t="str">
            <v>BALL VA</v>
          </cell>
          <cell r="F4344">
            <v>6</v>
          </cell>
          <cell r="G4344" t="str">
            <v>VB8010600000T00</v>
          </cell>
          <cell r="H4344">
            <v>0.75</v>
          </cell>
          <cell r="I4344" t="str">
            <v>--</v>
          </cell>
          <cell r="J4344">
            <v>2</v>
          </cell>
          <cell r="K4344">
            <v>2</v>
          </cell>
        </row>
        <row r="4345">
          <cell r="A4345" t="str">
            <v>M2</v>
          </cell>
          <cell r="B4345" t="str">
            <v>A5C</v>
          </cell>
          <cell r="C4345" t="str">
            <v>P</v>
          </cell>
          <cell r="D4345" t="str">
            <v>24008</v>
          </cell>
          <cell r="E4345" t="str">
            <v>BALL VA</v>
          </cell>
          <cell r="F4345">
            <v>6</v>
          </cell>
          <cell r="G4345" t="str">
            <v>VB8010600000T00</v>
          </cell>
          <cell r="H4345">
            <v>0.75</v>
          </cell>
          <cell r="I4345" t="str">
            <v>--</v>
          </cell>
          <cell r="J4345">
            <v>1</v>
          </cell>
          <cell r="K4345">
            <v>1</v>
          </cell>
        </row>
        <row r="4346">
          <cell r="A4346" t="str">
            <v>M2</v>
          </cell>
          <cell r="B4346" t="str">
            <v>A5C</v>
          </cell>
          <cell r="C4346" t="str">
            <v>P</v>
          </cell>
          <cell r="D4346" t="str">
            <v>24008</v>
          </cell>
          <cell r="E4346" t="str">
            <v>BALL VA</v>
          </cell>
          <cell r="F4346">
            <v>6</v>
          </cell>
          <cell r="G4346" t="str">
            <v>VB8010600000T00</v>
          </cell>
          <cell r="H4346">
            <v>0.75</v>
          </cell>
          <cell r="I4346" t="str">
            <v>--</v>
          </cell>
          <cell r="J4346">
            <v>2</v>
          </cell>
          <cell r="K4346">
            <v>2</v>
          </cell>
        </row>
        <row r="4347">
          <cell r="A4347" t="str">
            <v>M2</v>
          </cell>
          <cell r="B4347" t="str">
            <v>A5C</v>
          </cell>
          <cell r="C4347" t="str">
            <v>P</v>
          </cell>
          <cell r="D4347" t="str">
            <v>24014</v>
          </cell>
          <cell r="E4347" t="str">
            <v>BALL VA</v>
          </cell>
          <cell r="F4347">
            <v>6</v>
          </cell>
          <cell r="G4347" t="str">
            <v>VB8010600000T00</v>
          </cell>
          <cell r="H4347">
            <v>0.75</v>
          </cell>
          <cell r="I4347" t="str">
            <v>--</v>
          </cell>
          <cell r="J4347">
            <v>2</v>
          </cell>
          <cell r="K4347">
            <v>2</v>
          </cell>
        </row>
        <row r="4348">
          <cell r="A4348" t="str">
            <v>M2</v>
          </cell>
          <cell r="B4348" t="str">
            <v>A5C</v>
          </cell>
          <cell r="C4348" t="str">
            <v>P</v>
          </cell>
          <cell r="D4348" t="str">
            <v>24020</v>
          </cell>
          <cell r="E4348" t="str">
            <v>BALL VA</v>
          </cell>
          <cell r="F4348">
            <v>6</v>
          </cell>
          <cell r="G4348" t="str">
            <v>VB8010600000T00</v>
          </cell>
          <cell r="H4348">
            <v>0.75</v>
          </cell>
          <cell r="I4348" t="str">
            <v>--</v>
          </cell>
          <cell r="J4348">
            <v>1</v>
          </cell>
          <cell r="K4348">
            <v>1</v>
          </cell>
        </row>
        <row r="4349">
          <cell r="A4349" t="str">
            <v>M2</v>
          </cell>
          <cell r="B4349" t="str">
            <v>A5C</v>
          </cell>
          <cell r="C4349" t="str">
            <v>P</v>
          </cell>
          <cell r="D4349" t="str">
            <v>24021</v>
          </cell>
          <cell r="E4349" t="str">
            <v>BALL VA</v>
          </cell>
          <cell r="F4349">
            <v>6</v>
          </cell>
          <cell r="G4349" t="str">
            <v>VB8010600000T00</v>
          </cell>
          <cell r="H4349">
            <v>0.75</v>
          </cell>
          <cell r="I4349" t="str">
            <v>--</v>
          </cell>
          <cell r="J4349">
            <v>2</v>
          </cell>
          <cell r="K4349">
            <v>2</v>
          </cell>
        </row>
        <row r="4350">
          <cell r="A4350" t="str">
            <v>M2</v>
          </cell>
          <cell r="B4350" t="str">
            <v>A5C</v>
          </cell>
          <cell r="C4350" t="str">
            <v>P</v>
          </cell>
          <cell r="D4350" t="str">
            <v>24024</v>
          </cell>
          <cell r="E4350" t="str">
            <v>BALL VA</v>
          </cell>
          <cell r="F4350">
            <v>6</v>
          </cell>
          <cell r="G4350" t="str">
            <v>VB8010600000T00</v>
          </cell>
          <cell r="H4350">
            <v>0.75</v>
          </cell>
          <cell r="I4350" t="str">
            <v>--</v>
          </cell>
          <cell r="J4350">
            <v>5</v>
          </cell>
          <cell r="K4350">
            <v>5</v>
          </cell>
        </row>
        <row r="4351">
          <cell r="A4351" t="str">
            <v>M2</v>
          </cell>
          <cell r="B4351" t="str">
            <v>A5C</v>
          </cell>
          <cell r="C4351" t="str">
            <v>P</v>
          </cell>
          <cell r="D4351" t="str">
            <v>99003</v>
          </cell>
          <cell r="E4351" t="str">
            <v>BALL VA</v>
          </cell>
          <cell r="F4351">
            <v>6</v>
          </cell>
          <cell r="G4351" t="str">
            <v>VB8010600000T00</v>
          </cell>
          <cell r="H4351">
            <v>0.75</v>
          </cell>
          <cell r="I4351" t="str">
            <v>--</v>
          </cell>
          <cell r="J4351">
            <v>2</v>
          </cell>
          <cell r="K4351">
            <v>2</v>
          </cell>
        </row>
        <row r="4352">
          <cell r="A4352" t="str">
            <v>M2</v>
          </cell>
          <cell r="B4352" t="str">
            <v>A5C</v>
          </cell>
          <cell r="C4352" t="str">
            <v>P</v>
          </cell>
          <cell r="D4352" t="str">
            <v>99003</v>
          </cell>
          <cell r="E4352" t="str">
            <v>BALL VA</v>
          </cell>
          <cell r="F4352">
            <v>6</v>
          </cell>
          <cell r="G4352" t="str">
            <v>VB8010600000T00</v>
          </cell>
          <cell r="H4352">
            <v>0.75</v>
          </cell>
          <cell r="I4352" t="str">
            <v>--</v>
          </cell>
          <cell r="J4352">
            <v>2</v>
          </cell>
          <cell r="K4352">
            <v>2</v>
          </cell>
        </row>
        <row r="4353">
          <cell r="A4353" t="str">
            <v>M2</v>
          </cell>
          <cell r="B4353" t="str">
            <v>A5C</v>
          </cell>
          <cell r="C4353" t="str">
            <v>P</v>
          </cell>
          <cell r="D4353" t="str">
            <v>99003</v>
          </cell>
          <cell r="E4353" t="str">
            <v>BALL VA</v>
          </cell>
          <cell r="F4353">
            <v>6</v>
          </cell>
          <cell r="G4353" t="str">
            <v>VB8010600000T00</v>
          </cell>
          <cell r="H4353">
            <v>0.75</v>
          </cell>
          <cell r="I4353" t="str">
            <v>--</v>
          </cell>
          <cell r="J4353">
            <v>1</v>
          </cell>
          <cell r="K4353">
            <v>1</v>
          </cell>
        </row>
        <row r="4354">
          <cell r="A4354" t="str">
            <v>M2</v>
          </cell>
          <cell r="B4354" t="str">
            <v>A5C</v>
          </cell>
          <cell r="C4354" t="str">
            <v>TRIM</v>
          </cell>
          <cell r="D4354" t="str">
            <v>V-2301</v>
          </cell>
          <cell r="E4354" t="str">
            <v>BALL VA</v>
          </cell>
          <cell r="F4354">
            <v>6</v>
          </cell>
          <cell r="G4354" t="str">
            <v>VB8010600000T00</v>
          </cell>
          <cell r="H4354">
            <v>0.75</v>
          </cell>
          <cell r="I4354" t="str">
            <v>--</v>
          </cell>
          <cell r="J4354">
            <v>2</v>
          </cell>
          <cell r="K4354">
            <v>2</v>
          </cell>
        </row>
        <row r="4355">
          <cell r="A4355" t="str">
            <v>M2</v>
          </cell>
          <cell r="B4355" t="str">
            <v>A5C</v>
          </cell>
          <cell r="C4355" t="str">
            <v>TRIM</v>
          </cell>
          <cell r="D4355" t="str">
            <v>V-2301</v>
          </cell>
          <cell r="E4355" t="str">
            <v>BALL VA</v>
          </cell>
          <cell r="F4355">
            <v>6</v>
          </cell>
          <cell r="G4355" t="str">
            <v>VB8010600000T00</v>
          </cell>
          <cell r="H4355">
            <v>0.75</v>
          </cell>
          <cell r="I4355" t="str">
            <v>--</v>
          </cell>
          <cell r="J4355">
            <v>2</v>
          </cell>
          <cell r="K4355">
            <v>2</v>
          </cell>
        </row>
        <row r="4356">
          <cell r="A4356" t="str">
            <v>M2</v>
          </cell>
          <cell r="B4356" t="str">
            <v>A5C</v>
          </cell>
          <cell r="C4356" t="str">
            <v>TRIM</v>
          </cell>
          <cell r="D4356" t="str">
            <v>V-2315</v>
          </cell>
          <cell r="E4356" t="str">
            <v>BALL VA</v>
          </cell>
          <cell r="F4356">
            <v>6</v>
          </cell>
          <cell r="G4356" t="str">
            <v>VB8010600000T00</v>
          </cell>
          <cell r="H4356">
            <v>0.75</v>
          </cell>
          <cell r="I4356" t="str">
            <v>--</v>
          </cell>
          <cell r="J4356">
            <v>2</v>
          </cell>
          <cell r="K4356">
            <v>2</v>
          </cell>
        </row>
        <row r="4357">
          <cell r="A4357" t="str">
            <v>M2</v>
          </cell>
          <cell r="B4357" t="str">
            <v>A5C</v>
          </cell>
          <cell r="C4357" t="str">
            <v>TRIM</v>
          </cell>
          <cell r="D4357" t="str">
            <v>V-2316</v>
          </cell>
          <cell r="E4357" t="str">
            <v>BALL VA</v>
          </cell>
          <cell r="F4357">
            <v>6</v>
          </cell>
          <cell r="G4357" t="str">
            <v>VB8010600000T00</v>
          </cell>
          <cell r="H4357">
            <v>0.75</v>
          </cell>
          <cell r="I4357" t="str">
            <v>--</v>
          </cell>
          <cell r="J4357">
            <v>2</v>
          </cell>
          <cell r="K4357">
            <v>2</v>
          </cell>
        </row>
        <row r="4358">
          <cell r="A4358" t="str">
            <v>M2</v>
          </cell>
          <cell r="B4358" t="str">
            <v>A5C</v>
          </cell>
          <cell r="C4358" t="str">
            <v>TRIM</v>
          </cell>
          <cell r="D4358" t="str">
            <v>V-2316</v>
          </cell>
          <cell r="E4358" t="str">
            <v>BALL VA</v>
          </cell>
          <cell r="F4358">
            <v>6</v>
          </cell>
          <cell r="G4358" t="str">
            <v>VB8010600000T00</v>
          </cell>
          <cell r="H4358">
            <v>0.75</v>
          </cell>
          <cell r="I4358" t="str">
            <v>--</v>
          </cell>
          <cell r="J4358">
            <v>4</v>
          </cell>
          <cell r="K4358">
            <v>4</v>
          </cell>
        </row>
        <row r="4359">
          <cell r="A4359" t="str">
            <v>M2</v>
          </cell>
          <cell r="B4359" t="str">
            <v>A5C</v>
          </cell>
          <cell r="C4359" t="str">
            <v>TRIM</v>
          </cell>
          <cell r="D4359" t="str">
            <v>V-2318</v>
          </cell>
          <cell r="E4359" t="str">
            <v>BALL VA</v>
          </cell>
          <cell r="F4359">
            <v>6</v>
          </cell>
          <cell r="G4359" t="str">
            <v>VB8010600000T00</v>
          </cell>
          <cell r="H4359">
            <v>0.75</v>
          </cell>
          <cell r="I4359" t="str">
            <v>--</v>
          </cell>
          <cell r="J4359">
            <v>2</v>
          </cell>
          <cell r="K4359">
            <v>2</v>
          </cell>
        </row>
        <row r="4360">
          <cell r="A4360" t="str">
            <v>M2</v>
          </cell>
          <cell r="B4360" t="str">
            <v>A5C</v>
          </cell>
          <cell r="C4360" t="str">
            <v>TRIM</v>
          </cell>
          <cell r="D4360" t="str">
            <v>V-2320</v>
          </cell>
          <cell r="E4360" t="str">
            <v>BALL VA</v>
          </cell>
          <cell r="F4360">
            <v>6</v>
          </cell>
          <cell r="G4360" t="str">
            <v>VB8010600000T00</v>
          </cell>
          <cell r="H4360">
            <v>0.75</v>
          </cell>
          <cell r="I4360" t="str">
            <v>--</v>
          </cell>
          <cell r="J4360">
            <v>2</v>
          </cell>
          <cell r="K4360">
            <v>2</v>
          </cell>
        </row>
        <row r="4361">
          <cell r="A4361" t="str">
            <v>M2</v>
          </cell>
          <cell r="B4361" t="str">
            <v>A5C</v>
          </cell>
          <cell r="C4361" t="str">
            <v>TRIM</v>
          </cell>
          <cell r="D4361" t="str">
            <v>V-2320</v>
          </cell>
          <cell r="E4361" t="str">
            <v>BALL VA</v>
          </cell>
          <cell r="F4361">
            <v>6</v>
          </cell>
          <cell r="G4361" t="str">
            <v>VB8010600000T00</v>
          </cell>
          <cell r="H4361">
            <v>0.75</v>
          </cell>
          <cell r="I4361" t="str">
            <v>--</v>
          </cell>
          <cell r="J4361">
            <v>4</v>
          </cell>
          <cell r="K4361">
            <v>4</v>
          </cell>
        </row>
        <row r="4362">
          <cell r="A4362" t="str">
            <v>M2</v>
          </cell>
          <cell r="B4362" t="str">
            <v>A5C</v>
          </cell>
          <cell r="C4362" t="str">
            <v>TRIM</v>
          </cell>
          <cell r="D4362" t="str">
            <v>V-2321</v>
          </cell>
          <cell r="E4362" t="str">
            <v>BALL VA</v>
          </cell>
          <cell r="F4362">
            <v>6</v>
          </cell>
          <cell r="G4362" t="str">
            <v>VB8010600000T00</v>
          </cell>
          <cell r="H4362">
            <v>0.75</v>
          </cell>
          <cell r="I4362" t="str">
            <v>--</v>
          </cell>
          <cell r="J4362">
            <v>4</v>
          </cell>
          <cell r="K4362">
            <v>4</v>
          </cell>
        </row>
        <row r="4363">
          <cell r="A4363" t="str">
            <v>M2</v>
          </cell>
          <cell r="B4363" t="str">
            <v>A5C</v>
          </cell>
          <cell r="C4363" t="str">
            <v>TRIM</v>
          </cell>
          <cell r="D4363" t="str">
            <v>V-2321</v>
          </cell>
          <cell r="E4363" t="str">
            <v>BALL VA</v>
          </cell>
          <cell r="F4363">
            <v>6</v>
          </cell>
          <cell r="G4363" t="str">
            <v>VB8010600000T00</v>
          </cell>
          <cell r="H4363">
            <v>0.75</v>
          </cell>
          <cell r="I4363" t="str">
            <v>--</v>
          </cell>
          <cell r="J4363">
            <v>2</v>
          </cell>
          <cell r="K4363">
            <v>2</v>
          </cell>
        </row>
        <row r="4364">
          <cell r="A4364" t="str">
            <v>M2</v>
          </cell>
          <cell r="B4364" t="str">
            <v>A5C</v>
          </cell>
          <cell r="C4364" t="str">
            <v>TRIM</v>
          </cell>
          <cell r="D4364" t="str">
            <v>V-2323</v>
          </cell>
          <cell r="E4364" t="str">
            <v>BALL VA</v>
          </cell>
          <cell r="F4364">
            <v>6</v>
          </cell>
          <cell r="G4364" t="str">
            <v>VB8010600000T00</v>
          </cell>
          <cell r="H4364">
            <v>0.75</v>
          </cell>
          <cell r="I4364" t="str">
            <v>--</v>
          </cell>
          <cell r="J4364">
            <v>4</v>
          </cell>
          <cell r="K4364">
            <v>4</v>
          </cell>
        </row>
        <row r="4365">
          <cell r="A4365" t="str">
            <v>M2</v>
          </cell>
          <cell r="B4365" t="str">
            <v>A5C</v>
          </cell>
          <cell r="C4365" t="str">
            <v>TRIM</v>
          </cell>
          <cell r="D4365" t="str">
            <v>V-2323</v>
          </cell>
          <cell r="E4365" t="str">
            <v>BALL VA</v>
          </cell>
          <cell r="F4365">
            <v>6</v>
          </cell>
          <cell r="G4365" t="str">
            <v>VB8010600000T00</v>
          </cell>
          <cell r="H4365">
            <v>0.75</v>
          </cell>
          <cell r="I4365" t="str">
            <v>--</v>
          </cell>
          <cell r="J4365">
            <v>2</v>
          </cell>
          <cell r="K4365">
            <v>2</v>
          </cell>
        </row>
        <row r="4366">
          <cell r="A4366" t="str">
            <v>M2</v>
          </cell>
          <cell r="B4366" t="str">
            <v>A5C</v>
          </cell>
          <cell r="C4366" t="str">
            <v>TRIM</v>
          </cell>
          <cell r="D4366" t="str">
            <v>V-2324</v>
          </cell>
          <cell r="E4366" t="str">
            <v>BALL VA</v>
          </cell>
          <cell r="F4366">
            <v>6</v>
          </cell>
          <cell r="G4366" t="str">
            <v>VB8010600000T00</v>
          </cell>
          <cell r="H4366">
            <v>0.75</v>
          </cell>
          <cell r="I4366" t="str">
            <v>--</v>
          </cell>
          <cell r="J4366">
            <v>2</v>
          </cell>
          <cell r="K4366">
            <v>2</v>
          </cell>
        </row>
        <row r="4367">
          <cell r="A4367" t="str">
            <v>M2</v>
          </cell>
          <cell r="B4367" t="str">
            <v>A5C</v>
          </cell>
          <cell r="C4367" t="str">
            <v>TRIM</v>
          </cell>
          <cell r="D4367" t="str">
            <v>V-2324</v>
          </cell>
          <cell r="E4367" t="str">
            <v>BALL VA</v>
          </cell>
          <cell r="F4367">
            <v>6</v>
          </cell>
          <cell r="G4367" t="str">
            <v>VB8010600000T00</v>
          </cell>
          <cell r="H4367">
            <v>0.75</v>
          </cell>
          <cell r="I4367" t="str">
            <v>--</v>
          </cell>
          <cell r="J4367">
            <v>4</v>
          </cell>
          <cell r="K4367">
            <v>4</v>
          </cell>
        </row>
        <row r="4368">
          <cell r="A4368" t="str">
            <v>M2</v>
          </cell>
          <cell r="B4368" t="str">
            <v>A5C</v>
          </cell>
          <cell r="C4368" t="str">
            <v>TRIM</v>
          </cell>
          <cell r="D4368" t="str">
            <v>V-2326</v>
          </cell>
          <cell r="E4368" t="str">
            <v>BALL VA</v>
          </cell>
          <cell r="F4368">
            <v>6</v>
          </cell>
          <cell r="G4368" t="str">
            <v>VB8010600000T00</v>
          </cell>
          <cell r="H4368">
            <v>0.75</v>
          </cell>
          <cell r="I4368" t="str">
            <v>--</v>
          </cell>
          <cell r="J4368">
            <v>4</v>
          </cell>
          <cell r="K4368">
            <v>4</v>
          </cell>
        </row>
        <row r="4369">
          <cell r="A4369" t="str">
            <v>M2</v>
          </cell>
          <cell r="B4369" t="str">
            <v>A5C</v>
          </cell>
          <cell r="C4369" t="str">
            <v>TRIM</v>
          </cell>
          <cell r="D4369" t="str">
            <v>V-2326</v>
          </cell>
          <cell r="E4369" t="str">
            <v>BALL VA</v>
          </cell>
          <cell r="F4369">
            <v>6</v>
          </cell>
          <cell r="G4369" t="str">
            <v>VB8010600000T00</v>
          </cell>
          <cell r="H4369">
            <v>0.75</v>
          </cell>
          <cell r="I4369" t="str">
            <v>--</v>
          </cell>
          <cell r="J4369">
            <v>2</v>
          </cell>
          <cell r="K4369">
            <v>2</v>
          </cell>
        </row>
        <row r="4370">
          <cell r="A4370" t="str">
            <v>M2</v>
          </cell>
          <cell r="B4370" t="str">
            <v>A5C</v>
          </cell>
          <cell r="C4370" t="str">
            <v>TRIM</v>
          </cell>
          <cell r="D4370" t="str">
            <v>V-2328</v>
          </cell>
          <cell r="E4370" t="str">
            <v>BALL VA</v>
          </cell>
          <cell r="F4370">
            <v>6</v>
          </cell>
          <cell r="G4370" t="str">
            <v>VB8010600000T00</v>
          </cell>
          <cell r="H4370">
            <v>0.75</v>
          </cell>
          <cell r="I4370" t="str">
            <v>--</v>
          </cell>
          <cell r="J4370">
            <v>2</v>
          </cell>
          <cell r="K4370">
            <v>2</v>
          </cell>
        </row>
        <row r="4371">
          <cell r="A4371" t="str">
            <v>M2</v>
          </cell>
          <cell r="B4371" t="str">
            <v>A5C</v>
          </cell>
          <cell r="C4371" t="str">
            <v>TRIM</v>
          </cell>
          <cell r="D4371" t="str">
            <v>V-2329</v>
          </cell>
          <cell r="E4371" t="str">
            <v>BALL VA</v>
          </cell>
          <cell r="F4371">
            <v>6</v>
          </cell>
          <cell r="G4371" t="str">
            <v>VB8010600000T00</v>
          </cell>
          <cell r="H4371">
            <v>0.75</v>
          </cell>
          <cell r="I4371" t="str">
            <v>--</v>
          </cell>
          <cell r="J4371">
            <v>4</v>
          </cell>
          <cell r="K4371">
            <v>4</v>
          </cell>
        </row>
        <row r="4372">
          <cell r="A4372" t="str">
            <v>M2</v>
          </cell>
          <cell r="B4372" t="str">
            <v>A5C</v>
          </cell>
          <cell r="C4372" t="str">
            <v>TRIM</v>
          </cell>
          <cell r="D4372" t="str">
            <v>V-2330</v>
          </cell>
          <cell r="E4372" t="str">
            <v>BALL VA</v>
          </cell>
          <cell r="F4372">
            <v>6</v>
          </cell>
          <cell r="G4372" t="str">
            <v>VB8010600000T00</v>
          </cell>
          <cell r="H4372">
            <v>0.75</v>
          </cell>
          <cell r="I4372" t="str">
            <v>--</v>
          </cell>
          <cell r="J4372">
            <v>4</v>
          </cell>
          <cell r="K4372">
            <v>4</v>
          </cell>
        </row>
        <row r="4373">
          <cell r="A4373" t="str">
            <v>M2</v>
          </cell>
          <cell r="B4373" t="str">
            <v>A5C</v>
          </cell>
          <cell r="C4373" t="str">
            <v>TRIM</v>
          </cell>
          <cell r="D4373" t="str">
            <v>V-2330</v>
          </cell>
          <cell r="E4373" t="str">
            <v>BALL VA</v>
          </cell>
          <cell r="F4373">
            <v>6</v>
          </cell>
          <cell r="G4373" t="str">
            <v>VB8010600000T00</v>
          </cell>
          <cell r="H4373">
            <v>0.75</v>
          </cell>
          <cell r="I4373" t="str">
            <v>--</v>
          </cell>
          <cell r="J4373">
            <v>2</v>
          </cell>
          <cell r="K4373">
            <v>2</v>
          </cell>
        </row>
        <row r="4374">
          <cell r="A4374" t="str">
            <v>M2</v>
          </cell>
          <cell r="B4374" t="str">
            <v>A5C</v>
          </cell>
          <cell r="C4374" t="str">
            <v>TRIM</v>
          </cell>
          <cell r="D4374" t="str">
            <v>V-2331</v>
          </cell>
          <cell r="E4374" t="str">
            <v>BALL VA</v>
          </cell>
          <cell r="F4374">
            <v>6</v>
          </cell>
          <cell r="G4374" t="str">
            <v>VB8010600000T00</v>
          </cell>
          <cell r="H4374">
            <v>0.75</v>
          </cell>
          <cell r="I4374" t="str">
            <v>--</v>
          </cell>
          <cell r="J4374">
            <v>2</v>
          </cell>
          <cell r="K4374">
            <v>2</v>
          </cell>
        </row>
        <row r="4375">
          <cell r="A4375" t="str">
            <v>M2</v>
          </cell>
          <cell r="B4375" t="str">
            <v>A5C</v>
          </cell>
          <cell r="C4375" t="str">
            <v>TRIM</v>
          </cell>
          <cell r="D4375" t="str">
            <v>V-2331</v>
          </cell>
          <cell r="E4375" t="str">
            <v>BALL VA</v>
          </cell>
          <cell r="F4375">
            <v>6</v>
          </cell>
          <cell r="G4375" t="str">
            <v>VB8010600000T00</v>
          </cell>
          <cell r="H4375">
            <v>0.75</v>
          </cell>
          <cell r="I4375" t="str">
            <v>--</v>
          </cell>
          <cell r="J4375">
            <v>4</v>
          </cell>
          <cell r="K4375">
            <v>4</v>
          </cell>
        </row>
        <row r="4376">
          <cell r="A4376" t="str">
            <v>M2</v>
          </cell>
          <cell r="B4376" t="str">
            <v>A5C</v>
          </cell>
          <cell r="C4376" t="str">
            <v>TRIM</v>
          </cell>
          <cell r="D4376" t="str">
            <v>V-2332</v>
          </cell>
          <cell r="E4376" t="str">
            <v>BALL VA</v>
          </cell>
          <cell r="F4376">
            <v>6</v>
          </cell>
          <cell r="G4376" t="str">
            <v>VB8010600000T00</v>
          </cell>
          <cell r="H4376">
            <v>0.75</v>
          </cell>
          <cell r="I4376" t="str">
            <v>--</v>
          </cell>
          <cell r="J4376">
            <v>2</v>
          </cell>
          <cell r="K4376">
            <v>2</v>
          </cell>
        </row>
        <row r="4377">
          <cell r="A4377" t="str">
            <v>M2</v>
          </cell>
          <cell r="B4377" t="str">
            <v>A5C</v>
          </cell>
          <cell r="C4377" t="str">
            <v>TRIM</v>
          </cell>
          <cell r="D4377" t="str">
            <v>V-2332</v>
          </cell>
          <cell r="E4377" t="str">
            <v>BALL VA</v>
          </cell>
          <cell r="F4377">
            <v>6</v>
          </cell>
          <cell r="G4377" t="str">
            <v>VB8010600000T00</v>
          </cell>
          <cell r="H4377">
            <v>0.75</v>
          </cell>
          <cell r="I4377" t="str">
            <v>--</v>
          </cell>
          <cell r="J4377">
            <v>4</v>
          </cell>
          <cell r="K4377">
            <v>4</v>
          </cell>
        </row>
        <row r="4378">
          <cell r="A4378" t="str">
            <v>M2</v>
          </cell>
          <cell r="B4378" t="str">
            <v>A5C</v>
          </cell>
          <cell r="C4378" t="str">
            <v>TRIM</v>
          </cell>
          <cell r="D4378" t="str">
            <v>V-2333</v>
          </cell>
          <cell r="E4378" t="str">
            <v>BALL VA</v>
          </cell>
          <cell r="F4378">
            <v>6</v>
          </cell>
          <cell r="G4378" t="str">
            <v>VB8010600000T00</v>
          </cell>
          <cell r="H4378">
            <v>0.75</v>
          </cell>
          <cell r="I4378" t="str">
            <v>--</v>
          </cell>
          <cell r="J4378">
            <v>2</v>
          </cell>
          <cell r="K4378">
            <v>2</v>
          </cell>
        </row>
        <row r="4379">
          <cell r="A4379" t="str">
            <v>M2</v>
          </cell>
          <cell r="B4379" t="str">
            <v>A5C</v>
          </cell>
          <cell r="C4379" t="str">
            <v>TRIM</v>
          </cell>
          <cell r="D4379" t="str">
            <v>V-2351</v>
          </cell>
          <cell r="E4379" t="str">
            <v>BALL VA</v>
          </cell>
          <cell r="F4379">
            <v>6</v>
          </cell>
          <cell r="G4379" t="str">
            <v>VB8010600000T00</v>
          </cell>
          <cell r="H4379">
            <v>0.75</v>
          </cell>
          <cell r="I4379" t="str">
            <v>--</v>
          </cell>
          <cell r="J4379">
            <v>2</v>
          </cell>
          <cell r="K4379">
            <v>2</v>
          </cell>
        </row>
        <row r="4380">
          <cell r="A4380" t="str">
            <v>M2</v>
          </cell>
          <cell r="B4380" t="str">
            <v>A5C</v>
          </cell>
          <cell r="C4380" t="str">
            <v>TRIM</v>
          </cell>
          <cell r="D4380" t="str">
            <v>V-2351</v>
          </cell>
          <cell r="E4380" t="str">
            <v>BALL VA</v>
          </cell>
          <cell r="F4380">
            <v>6</v>
          </cell>
          <cell r="G4380" t="str">
            <v>VB8010600000T00</v>
          </cell>
          <cell r="H4380">
            <v>0.75</v>
          </cell>
          <cell r="I4380" t="str">
            <v>--</v>
          </cell>
          <cell r="J4380">
            <v>2</v>
          </cell>
          <cell r="K4380">
            <v>2</v>
          </cell>
        </row>
        <row r="4381">
          <cell r="A4381" t="str">
            <v>M2</v>
          </cell>
          <cell r="B4381" t="str">
            <v>A5C</v>
          </cell>
          <cell r="C4381" t="str">
            <v>TRIM</v>
          </cell>
          <cell r="D4381" t="str">
            <v>V-2327</v>
          </cell>
          <cell r="E4381" t="str">
            <v>BALL VA</v>
          </cell>
          <cell r="F4381">
            <v>6</v>
          </cell>
          <cell r="G4381" t="str">
            <v>VB8010600000T00</v>
          </cell>
          <cell r="H4381">
            <v>0.75</v>
          </cell>
          <cell r="I4381" t="str">
            <v>--</v>
          </cell>
          <cell r="J4381">
            <v>4</v>
          </cell>
          <cell r="K4381">
            <v>4</v>
          </cell>
        </row>
        <row r="4382">
          <cell r="A4382" t="str">
            <v>M2</v>
          </cell>
          <cell r="B4382" t="str">
            <v>A5C</v>
          </cell>
          <cell r="C4382" t="str">
            <v>TRIM</v>
          </cell>
          <cell r="D4382" t="str">
            <v>V-2333</v>
          </cell>
          <cell r="E4382" t="str">
            <v>BALL VA</v>
          </cell>
          <cell r="F4382">
            <v>6</v>
          </cell>
          <cell r="G4382" t="str">
            <v>VB8010600000T00</v>
          </cell>
          <cell r="H4382">
            <v>0.75</v>
          </cell>
          <cell r="I4382" t="str">
            <v>--</v>
          </cell>
          <cell r="J4382">
            <v>4</v>
          </cell>
          <cell r="K4382">
            <v>4</v>
          </cell>
        </row>
        <row r="4383">
          <cell r="A4383" t="str">
            <v>M2</v>
          </cell>
          <cell r="B4383" t="str">
            <v>A5C</v>
          </cell>
          <cell r="C4383" t="str">
            <v>N</v>
          </cell>
          <cell r="D4383" t="str">
            <v>23613</v>
          </cell>
          <cell r="E4383" t="str">
            <v>BALL VA</v>
          </cell>
          <cell r="F4383">
            <v>6</v>
          </cell>
          <cell r="G4383" t="str">
            <v>VB8010600000T00</v>
          </cell>
          <cell r="H4383">
            <v>0.75</v>
          </cell>
          <cell r="I4383" t="str">
            <v>--</v>
          </cell>
          <cell r="J4383">
            <v>1</v>
          </cell>
          <cell r="K4383">
            <v>1</v>
          </cell>
        </row>
        <row r="4384">
          <cell r="A4384" t="str">
            <v>M2</v>
          </cell>
          <cell r="B4384" t="str">
            <v>A5C</v>
          </cell>
          <cell r="C4384" t="str">
            <v>N</v>
          </cell>
          <cell r="D4384" t="str">
            <v>23619</v>
          </cell>
          <cell r="E4384" t="str">
            <v>BALL VA</v>
          </cell>
          <cell r="F4384">
            <v>6</v>
          </cell>
          <cell r="G4384" t="str">
            <v>VB8010600000T00</v>
          </cell>
          <cell r="H4384">
            <v>0.75</v>
          </cell>
          <cell r="I4384" t="str">
            <v>--</v>
          </cell>
          <cell r="J4384">
            <v>3</v>
          </cell>
          <cell r="K4384">
            <v>3</v>
          </cell>
        </row>
        <row r="4385">
          <cell r="A4385" t="str">
            <v>M2</v>
          </cell>
          <cell r="B4385" t="str">
            <v>A5C</v>
          </cell>
          <cell r="C4385" t="str">
            <v>N</v>
          </cell>
          <cell r="D4385" t="str">
            <v>23619</v>
          </cell>
          <cell r="E4385" t="str">
            <v>BALL VA</v>
          </cell>
          <cell r="F4385">
            <v>6</v>
          </cell>
          <cell r="G4385" t="str">
            <v>VB8010600000T00</v>
          </cell>
          <cell r="H4385">
            <v>0.75</v>
          </cell>
          <cell r="I4385" t="str">
            <v>--</v>
          </cell>
          <cell r="J4385">
            <v>1</v>
          </cell>
          <cell r="K4385">
            <v>1</v>
          </cell>
        </row>
        <row r="4386">
          <cell r="A4386" t="str">
            <v>M2</v>
          </cell>
          <cell r="B4386" t="str">
            <v>A5C</v>
          </cell>
          <cell r="C4386" t="str">
            <v>N</v>
          </cell>
          <cell r="D4386" t="str">
            <v>23634</v>
          </cell>
          <cell r="E4386" t="str">
            <v>BALL VA</v>
          </cell>
          <cell r="F4386">
            <v>6</v>
          </cell>
          <cell r="G4386" t="str">
            <v>VB8010600000T00</v>
          </cell>
          <cell r="H4386">
            <v>0.75</v>
          </cell>
          <cell r="I4386" t="str">
            <v>--</v>
          </cell>
          <cell r="J4386">
            <v>1</v>
          </cell>
          <cell r="K4386">
            <v>1</v>
          </cell>
        </row>
        <row r="4387">
          <cell r="A4387" t="str">
            <v>M2</v>
          </cell>
          <cell r="B4387" t="str">
            <v>A5C</v>
          </cell>
          <cell r="C4387" t="str">
            <v>N</v>
          </cell>
          <cell r="D4387" t="str">
            <v>23635</v>
          </cell>
          <cell r="E4387" t="str">
            <v>BALL VA</v>
          </cell>
          <cell r="F4387">
            <v>6</v>
          </cell>
          <cell r="G4387" t="str">
            <v>VB8010600000T00</v>
          </cell>
          <cell r="H4387">
            <v>0.75</v>
          </cell>
          <cell r="I4387" t="str">
            <v>--</v>
          </cell>
          <cell r="J4387">
            <v>1</v>
          </cell>
          <cell r="K4387">
            <v>1</v>
          </cell>
        </row>
        <row r="4388">
          <cell r="A4388" t="str">
            <v>M2</v>
          </cell>
          <cell r="B4388" t="str">
            <v>A5C</v>
          </cell>
          <cell r="C4388" t="str">
            <v>N</v>
          </cell>
          <cell r="D4388" t="str">
            <v>23636</v>
          </cell>
          <cell r="E4388" t="str">
            <v>BALL VA</v>
          </cell>
          <cell r="F4388">
            <v>6</v>
          </cell>
          <cell r="G4388" t="str">
            <v>VB8010600000T00</v>
          </cell>
          <cell r="H4388">
            <v>0.75</v>
          </cell>
          <cell r="I4388" t="str">
            <v>--</v>
          </cell>
          <cell r="J4388">
            <v>1</v>
          </cell>
          <cell r="K4388">
            <v>1</v>
          </cell>
        </row>
        <row r="4389">
          <cell r="A4389" t="str">
            <v>M2</v>
          </cell>
          <cell r="B4389" t="str">
            <v>A5C</v>
          </cell>
          <cell r="C4389" t="str">
            <v>N</v>
          </cell>
          <cell r="D4389" t="str">
            <v>23637</v>
          </cell>
          <cell r="E4389" t="str">
            <v>BALL VA</v>
          </cell>
          <cell r="F4389">
            <v>6</v>
          </cell>
          <cell r="G4389" t="str">
            <v>VB8010600000T00</v>
          </cell>
          <cell r="H4389">
            <v>0.75</v>
          </cell>
          <cell r="I4389" t="str">
            <v>--</v>
          </cell>
          <cell r="J4389">
            <v>1</v>
          </cell>
          <cell r="K4389">
            <v>1</v>
          </cell>
        </row>
        <row r="4390">
          <cell r="A4390" t="str">
            <v>M2</v>
          </cell>
          <cell r="B4390" t="str">
            <v>A5C</v>
          </cell>
          <cell r="C4390" t="str">
            <v>N</v>
          </cell>
          <cell r="D4390" t="str">
            <v>23638</v>
          </cell>
          <cell r="E4390" t="str">
            <v>BALL VA</v>
          </cell>
          <cell r="F4390">
            <v>6</v>
          </cell>
          <cell r="G4390" t="str">
            <v>VB8010600000T00</v>
          </cell>
          <cell r="H4390">
            <v>0.75</v>
          </cell>
          <cell r="I4390" t="str">
            <v>--</v>
          </cell>
          <cell r="J4390">
            <v>1</v>
          </cell>
          <cell r="K4390">
            <v>1</v>
          </cell>
        </row>
        <row r="4391">
          <cell r="A4391" t="str">
            <v>M2</v>
          </cell>
          <cell r="B4391" t="str">
            <v>A5C</v>
          </cell>
          <cell r="C4391" t="str">
            <v>N</v>
          </cell>
          <cell r="D4391" t="str">
            <v>23639</v>
          </cell>
          <cell r="E4391" t="str">
            <v>BALL VA</v>
          </cell>
          <cell r="F4391">
            <v>6</v>
          </cell>
          <cell r="G4391" t="str">
            <v>VB8010600000T00</v>
          </cell>
          <cell r="H4391">
            <v>0.75</v>
          </cell>
          <cell r="I4391" t="str">
            <v>--</v>
          </cell>
          <cell r="J4391">
            <v>1</v>
          </cell>
          <cell r="K4391">
            <v>1</v>
          </cell>
        </row>
        <row r="4392">
          <cell r="A4392" t="str">
            <v>M2</v>
          </cell>
          <cell r="B4392" t="str">
            <v>A5C</v>
          </cell>
          <cell r="C4392" t="str">
            <v>N</v>
          </cell>
          <cell r="D4392" t="str">
            <v>23640</v>
          </cell>
          <cell r="E4392" t="str">
            <v>BALL VA</v>
          </cell>
          <cell r="F4392">
            <v>6</v>
          </cell>
          <cell r="G4392" t="str">
            <v>VB8010600000T00</v>
          </cell>
          <cell r="H4392">
            <v>0.75</v>
          </cell>
          <cell r="I4392" t="str">
            <v>--</v>
          </cell>
          <cell r="J4392">
            <v>1</v>
          </cell>
          <cell r="K4392">
            <v>1</v>
          </cell>
        </row>
        <row r="4393">
          <cell r="A4393" t="str">
            <v>M2</v>
          </cell>
          <cell r="B4393" t="str">
            <v>A5C</v>
          </cell>
          <cell r="C4393" t="str">
            <v>N</v>
          </cell>
          <cell r="D4393" t="str">
            <v>24612</v>
          </cell>
          <cell r="E4393" t="str">
            <v>BALL VA</v>
          </cell>
          <cell r="F4393">
            <v>6</v>
          </cell>
          <cell r="G4393" t="str">
            <v>VB8010600000T00</v>
          </cell>
          <cell r="H4393">
            <v>0.75</v>
          </cell>
          <cell r="I4393" t="str">
            <v>--</v>
          </cell>
          <cell r="J4393">
            <v>1</v>
          </cell>
          <cell r="K4393">
            <v>1</v>
          </cell>
        </row>
        <row r="4394">
          <cell r="A4394" t="str">
            <v>M2</v>
          </cell>
          <cell r="B4394" t="str">
            <v>A5C</v>
          </cell>
          <cell r="C4394" t="str">
            <v>N</v>
          </cell>
          <cell r="D4394" t="str">
            <v>24613</v>
          </cell>
          <cell r="E4394" t="str">
            <v>BALL VA</v>
          </cell>
          <cell r="F4394">
            <v>6</v>
          </cell>
          <cell r="G4394" t="str">
            <v>VB8010600000T00</v>
          </cell>
          <cell r="H4394">
            <v>0.75</v>
          </cell>
          <cell r="I4394" t="str">
            <v>--</v>
          </cell>
          <cell r="J4394">
            <v>3</v>
          </cell>
          <cell r="K4394">
            <v>3</v>
          </cell>
        </row>
        <row r="4395">
          <cell r="A4395" t="str">
            <v>M2</v>
          </cell>
          <cell r="B4395" t="str">
            <v>A5C</v>
          </cell>
          <cell r="C4395" t="str">
            <v>N</v>
          </cell>
          <cell r="D4395" t="str">
            <v>24614</v>
          </cell>
          <cell r="E4395" t="str">
            <v>BALL VA</v>
          </cell>
          <cell r="F4395">
            <v>6</v>
          </cell>
          <cell r="G4395" t="str">
            <v>VB8010600000T00</v>
          </cell>
          <cell r="H4395">
            <v>0.75</v>
          </cell>
          <cell r="I4395" t="str">
            <v>--</v>
          </cell>
          <cell r="J4395">
            <v>3</v>
          </cell>
          <cell r="K4395">
            <v>3</v>
          </cell>
        </row>
        <row r="4396">
          <cell r="A4396" t="str">
            <v>M2</v>
          </cell>
          <cell r="B4396" t="str">
            <v>A5C</v>
          </cell>
          <cell r="C4396" t="str">
            <v>P</v>
          </cell>
          <cell r="D4396" t="str">
            <v>23005</v>
          </cell>
          <cell r="E4396" t="str">
            <v>BALL VA</v>
          </cell>
          <cell r="F4396">
            <v>6</v>
          </cell>
          <cell r="G4396" t="str">
            <v>VB8010600000T00</v>
          </cell>
          <cell r="H4396">
            <v>0.75</v>
          </cell>
          <cell r="I4396" t="str">
            <v>--</v>
          </cell>
          <cell r="J4396">
            <v>2</v>
          </cell>
          <cell r="K4396">
            <v>2</v>
          </cell>
        </row>
        <row r="4397">
          <cell r="A4397" t="str">
            <v>M2</v>
          </cell>
          <cell r="B4397" t="str">
            <v>A5C</v>
          </cell>
          <cell r="C4397" t="str">
            <v>P</v>
          </cell>
          <cell r="D4397" t="str">
            <v>23006</v>
          </cell>
          <cell r="E4397" t="str">
            <v>BALL VA</v>
          </cell>
          <cell r="F4397">
            <v>6</v>
          </cell>
          <cell r="G4397" t="str">
            <v>VB8010600000T00</v>
          </cell>
          <cell r="H4397">
            <v>0.75</v>
          </cell>
          <cell r="I4397" t="str">
            <v>--</v>
          </cell>
          <cell r="J4397">
            <v>2</v>
          </cell>
          <cell r="K4397">
            <v>2</v>
          </cell>
        </row>
        <row r="4398">
          <cell r="A4398" t="str">
            <v>M2</v>
          </cell>
          <cell r="B4398" t="str">
            <v>A5C</v>
          </cell>
          <cell r="C4398" t="str">
            <v>P</v>
          </cell>
          <cell r="D4398" t="str">
            <v>23012</v>
          </cell>
          <cell r="E4398" t="str">
            <v>BALL VA</v>
          </cell>
          <cell r="F4398">
            <v>6</v>
          </cell>
          <cell r="G4398" t="str">
            <v>VB8010600000T00</v>
          </cell>
          <cell r="H4398">
            <v>0.75</v>
          </cell>
          <cell r="I4398" t="str">
            <v>--</v>
          </cell>
          <cell r="J4398">
            <v>2</v>
          </cell>
          <cell r="K4398">
            <v>2</v>
          </cell>
        </row>
        <row r="4399">
          <cell r="A4399" t="str">
            <v>M2</v>
          </cell>
          <cell r="B4399" t="str">
            <v>A5C</v>
          </cell>
          <cell r="C4399" t="str">
            <v>P</v>
          </cell>
          <cell r="D4399" t="str">
            <v>23035</v>
          </cell>
          <cell r="E4399" t="str">
            <v>BALL VA</v>
          </cell>
          <cell r="F4399">
            <v>6</v>
          </cell>
          <cell r="G4399" t="str">
            <v>VB8010600000T00</v>
          </cell>
          <cell r="H4399">
            <v>0.75</v>
          </cell>
          <cell r="I4399" t="str">
            <v>--</v>
          </cell>
          <cell r="J4399">
            <v>2</v>
          </cell>
          <cell r="K4399">
            <v>2</v>
          </cell>
        </row>
        <row r="4400">
          <cell r="A4400" t="str">
            <v>M2</v>
          </cell>
          <cell r="B4400" t="str">
            <v>A5C</v>
          </cell>
          <cell r="C4400" t="str">
            <v>P</v>
          </cell>
          <cell r="D4400" t="str">
            <v>23035</v>
          </cell>
          <cell r="E4400" t="str">
            <v>BALL VA</v>
          </cell>
          <cell r="F4400">
            <v>6</v>
          </cell>
          <cell r="G4400" t="str">
            <v>VB8010600000T00</v>
          </cell>
          <cell r="H4400">
            <v>0.75</v>
          </cell>
          <cell r="I4400" t="str">
            <v>--</v>
          </cell>
          <cell r="J4400">
            <v>1</v>
          </cell>
          <cell r="K4400">
            <v>1</v>
          </cell>
        </row>
        <row r="4401">
          <cell r="A4401" t="str">
            <v>M2</v>
          </cell>
          <cell r="B4401" t="str">
            <v>A5C</v>
          </cell>
          <cell r="C4401" t="str">
            <v>P</v>
          </cell>
          <cell r="D4401" t="str">
            <v>23068</v>
          </cell>
          <cell r="E4401" t="str">
            <v>BALL VA</v>
          </cell>
          <cell r="F4401">
            <v>6</v>
          </cell>
          <cell r="G4401" t="str">
            <v>VB8010600000T00</v>
          </cell>
          <cell r="H4401">
            <v>0.75</v>
          </cell>
          <cell r="I4401" t="str">
            <v>--</v>
          </cell>
          <cell r="J4401">
            <v>2</v>
          </cell>
          <cell r="K4401">
            <v>2</v>
          </cell>
        </row>
        <row r="4402">
          <cell r="A4402" t="str">
            <v>M2</v>
          </cell>
          <cell r="B4402" t="str">
            <v>A5C</v>
          </cell>
          <cell r="C4402" t="str">
            <v>P</v>
          </cell>
          <cell r="D4402" t="str">
            <v>23094</v>
          </cell>
          <cell r="E4402" t="str">
            <v>BALL VA</v>
          </cell>
          <cell r="F4402">
            <v>6</v>
          </cell>
          <cell r="G4402" t="str">
            <v>VB8010600000T00</v>
          </cell>
          <cell r="H4402">
            <v>0.75</v>
          </cell>
          <cell r="I4402" t="str">
            <v>--</v>
          </cell>
          <cell r="J4402">
            <v>1</v>
          </cell>
          <cell r="K4402">
            <v>1</v>
          </cell>
        </row>
        <row r="4403">
          <cell r="A4403" t="str">
            <v>M2</v>
          </cell>
          <cell r="B4403" t="str">
            <v>A5C</v>
          </cell>
          <cell r="C4403" t="str">
            <v>P</v>
          </cell>
          <cell r="D4403" t="str">
            <v>23102</v>
          </cell>
          <cell r="E4403" t="str">
            <v>BALL VA</v>
          </cell>
          <cell r="F4403">
            <v>6</v>
          </cell>
          <cell r="G4403" t="str">
            <v>VB8010600000T00</v>
          </cell>
          <cell r="H4403">
            <v>0.75</v>
          </cell>
          <cell r="I4403" t="str">
            <v>--</v>
          </cell>
          <cell r="J4403">
            <v>2</v>
          </cell>
          <cell r="K4403">
            <v>2</v>
          </cell>
        </row>
        <row r="4404">
          <cell r="A4404" t="str">
            <v>M2</v>
          </cell>
          <cell r="B4404" t="str">
            <v>A5C</v>
          </cell>
          <cell r="C4404" t="str">
            <v>P</v>
          </cell>
          <cell r="D4404" t="str">
            <v>23106</v>
          </cell>
          <cell r="E4404" t="str">
            <v>BALL VA</v>
          </cell>
          <cell r="F4404">
            <v>6</v>
          </cell>
          <cell r="G4404" t="str">
            <v>VB8010600000T00</v>
          </cell>
          <cell r="H4404">
            <v>0.75</v>
          </cell>
          <cell r="I4404" t="str">
            <v>--</v>
          </cell>
          <cell r="J4404">
            <v>2</v>
          </cell>
          <cell r="K4404">
            <v>2</v>
          </cell>
        </row>
        <row r="4405">
          <cell r="A4405" t="str">
            <v>M2</v>
          </cell>
          <cell r="B4405" t="str">
            <v>A5C</v>
          </cell>
          <cell r="C4405" t="str">
            <v>P</v>
          </cell>
          <cell r="D4405" t="str">
            <v>23108</v>
          </cell>
          <cell r="E4405" t="str">
            <v>BALL VA</v>
          </cell>
          <cell r="F4405">
            <v>6</v>
          </cell>
          <cell r="G4405" t="str">
            <v>VB8010600000T00</v>
          </cell>
          <cell r="H4405">
            <v>0.75</v>
          </cell>
          <cell r="I4405" t="str">
            <v>--</v>
          </cell>
          <cell r="J4405">
            <v>1</v>
          </cell>
          <cell r="K4405">
            <v>1</v>
          </cell>
        </row>
        <row r="4406">
          <cell r="A4406" t="str">
            <v>M2</v>
          </cell>
          <cell r="B4406" t="str">
            <v>A5C</v>
          </cell>
          <cell r="C4406" t="str">
            <v>P</v>
          </cell>
          <cell r="D4406" t="str">
            <v>23108</v>
          </cell>
          <cell r="E4406" t="str">
            <v>BALL VA</v>
          </cell>
          <cell r="F4406">
            <v>6</v>
          </cell>
          <cell r="G4406" t="str">
            <v>VB8010600000T00</v>
          </cell>
          <cell r="H4406">
            <v>0.75</v>
          </cell>
          <cell r="I4406" t="str">
            <v>--</v>
          </cell>
          <cell r="J4406">
            <v>1</v>
          </cell>
          <cell r="K4406">
            <v>1</v>
          </cell>
        </row>
        <row r="4407">
          <cell r="A4407" t="str">
            <v>M2</v>
          </cell>
          <cell r="B4407" t="str">
            <v>A5C</v>
          </cell>
          <cell r="C4407" t="str">
            <v>P</v>
          </cell>
          <cell r="D4407" t="str">
            <v>23109</v>
          </cell>
          <cell r="E4407" t="str">
            <v>BALL VA</v>
          </cell>
          <cell r="F4407">
            <v>6</v>
          </cell>
          <cell r="G4407" t="str">
            <v>VB8010600000T00</v>
          </cell>
          <cell r="H4407">
            <v>0.75</v>
          </cell>
          <cell r="I4407" t="str">
            <v>--</v>
          </cell>
          <cell r="J4407">
            <v>1</v>
          </cell>
          <cell r="K4407">
            <v>1</v>
          </cell>
        </row>
        <row r="4408">
          <cell r="A4408" t="str">
            <v>M2</v>
          </cell>
          <cell r="B4408" t="str">
            <v>A5C</v>
          </cell>
          <cell r="C4408" t="str">
            <v>P</v>
          </cell>
          <cell r="D4408" t="str">
            <v>23110</v>
          </cell>
          <cell r="E4408" t="str">
            <v>BALL VA</v>
          </cell>
          <cell r="F4408">
            <v>6</v>
          </cell>
          <cell r="G4408" t="str">
            <v>VB8010600000T00</v>
          </cell>
          <cell r="H4408">
            <v>0.75</v>
          </cell>
          <cell r="I4408" t="str">
            <v>--</v>
          </cell>
          <cell r="J4408">
            <v>2</v>
          </cell>
          <cell r="K4408">
            <v>2</v>
          </cell>
        </row>
        <row r="4409">
          <cell r="A4409" t="str">
            <v>M2</v>
          </cell>
          <cell r="B4409" t="str">
            <v>A5C</v>
          </cell>
          <cell r="C4409" t="str">
            <v>P</v>
          </cell>
          <cell r="D4409" t="str">
            <v>23112</v>
          </cell>
          <cell r="E4409" t="str">
            <v>BALL VA</v>
          </cell>
          <cell r="F4409">
            <v>6</v>
          </cell>
          <cell r="G4409" t="str">
            <v>VB8010600000T00</v>
          </cell>
          <cell r="H4409">
            <v>0.75</v>
          </cell>
          <cell r="I4409" t="str">
            <v>--</v>
          </cell>
          <cell r="J4409">
            <v>1</v>
          </cell>
          <cell r="K4409">
            <v>1</v>
          </cell>
        </row>
        <row r="4410">
          <cell r="A4410" t="str">
            <v>M2</v>
          </cell>
          <cell r="B4410" t="str">
            <v>A5C</v>
          </cell>
          <cell r="C4410" t="str">
            <v>P</v>
          </cell>
          <cell r="D4410" t="str">
            <v>23112</v>
          </cell>
          <cell r="E4410" t="str">
            <v>BALL VA</v>
          </cell>
          <cell r="F4410">
            <v>6</v>
          </cell>
          <cell r="G4410" t="str">
            <v>VB8010600000T00</v>
          </cell>
          <cell r="H4410">
            <v>0.75</v>
          </cell>
          <cell r="I4410" t="str">
            <v>--</v>
          </cell>
          <cell r="J4410">
            <v>1</v>
          </cell>
          <cell r="K4410">
            <v>1</v>
          </cell>
        </row>
        <row r="4411">
          <cell r="A4411" t="str">
            <v>M2</v>
          </cell>
          <cell r="B4411" t="str">
            <v>A5C</v>
          </cell>
          <cell r="C4411" t="str">
            <v>P</v>
          </cell>
          <cell r="D4411" t="str">
            <v>23112</v>
          </cell>
          <cell r="E4411" t="str">
            <v>BALL VA</v>
          </cell>
          <cell r="F4411">
            <v>6</v>
          </cell>
          <cell r="G4411" t="str">
            <v>VB8010600000T00</v>
          </cell>
          <cell r="H4411">
            <v>0.75</v>
          </cell>
          <cell r="I4411" t="str">
            <v>--</v>
          </cell>
          <cell r="J4411">
            <v>1</v>
          </cell>
          <cell r="K4411">
            <v>1</v>
          </cell>
        </row>
        <row r="4412">
          <cell r="A4412" t="str">
            <v>M2</v>
          </cell>
          <cell r="B4412" t="str">
            <v>A5C</v>
          </cell>
          <cell r="C4412" t="str">
            <v>P</v>
          </cell>
          <cell r="D4412" t="str">
            <v>23114</v>
          </cell>
          <cell r="E4412" t="str">
            <v>BALL VA</v>
          </cell>
          <cell r="F4412">
            <v>6</v>
          </cell>
          <cell r="G4412" t="str">
            <v>VB8010600000T00</v>
          </cell>
          <cell r="H4412">
            <v>0.75</v>
          </cell>
          <cell r="I4412" t="str">
            <v>--</v>
          </cell>
          <cell r="J4412">
            <v>2</v>
          </cell>
          <cell r="K4412">
            <v>2</v>
          </cell>
        </row>
        <row r="4413">
          <cell r="A4413" t="str">
            <v>M2</v>
          </cell>
          <cell r="B4413" t="str">
            <v>A5C</v>
          </cell>
          <cell r="C4413" t="str">
            <v>P</v>
          </cell>
          <cell r="D4413" t="str">
            <v>23141</v>
          </cell>
          <cell r="E4413" t="str">
            <v>BALL VA</v>
          </cell>
          <cell r="F4413">
            <v>6</v>
          </cell>
          <cell r="G4413" t="str">
            <v>VB8010600000T00</v>
          </cell>
          <cell r="H4413">
            <v>0.75</v>
          </cell>
          <cell r="I4413" t="str">
            <v>--</v>
          </cell>
          <cell r="J4413">
            <v>1</v>
          </cell>
          <cell r="K4413">
            <v>1</v>
          </cell>
        </row>
        <row r="4414">
          <cell r="A4414" t="str">
            <v>M2</v>
          </cell>
          <cell r="B4414" t="str">
            <v>A5C</v>
          </cell>
          <cell r="C4414" t="str">
            <v>P</v>
          </cell>
          <cell r="D4414" t="str">
            <v>23141</v>
          </cell>
          <cell r="E4414" t="str">
            <v>BALL VA</v>
          </cell>
          <cell r="F4414">
            <v>6</v>
          </cell>
          <cell r="G4414" t="str">
            <v>VB8010600000T00</v>
          </cell>
          <cell r="H4414">
            <v>0.75</v>
          </cell>
          <cell r="I4414" t="str">
            <v>--</v>
          </cell>
          <cell r="J4414">
            <v>2</v>
          </cell>
          <cell r="K4414">
            <v>2</v>
          </cell>
        </row>
        <row r="4415">
          <cell r="A4415" t="str">
            <v>M2</v>
          </cell>
          <cell r="B4415" t="str">
            <v>A5C</v>
          </cell>
          <cell r="C4415" t="str">
            <v>P</v>
          </cell>
          <cell r="D4415" t="str">
            <v>23152</v>
          </cell>
          <cell r="E4415" t="str">
            <v>BALL VA</v>
          </cell>
          <cell r="F4415">
            <v>6</v>
          </cell>
          <cell r="G4415" t="str">
            <v>VB8010600000T00</v>
          </cell>
          <cell r="H4415">
            <v>0.75</v>
          </cell>
          <cell r="I4415" t="str">
            <v>--</v>
          </cell>
          <cell r="J4415">
            <v>2</v>
          </cell>
          <cell r="K4415">
            <v>2</v>
          </cell>
        </row>
        <row r="4416">
          <cell r="A4416" t="str">
            <v>M2</v>
          </cell>
          <cell r="B4416" t="str">
            <v>A5C</v>
          </cell>
          <cell r="C4416" t="str">
            <v>P</v>
          </cell>
          <cell r="D4416" t="str">
            <v>23157</v>
          </cell>
          <cell r="E4416" t="str">
            <v>BALL VA</v>
          </cell>
          <cell r="F4416">
            <v>6</v>
          </cell>
          <cell r="G4416" t="str">
            <v>VB8010600000T00</v>
          </cell>
          <cell r="H4416">
            <v>0.75</v>
          </cell>
          <cell r="I4416" t="str">
            <v>--</v>
          </cell>
          <cell r="J4416">
            <v>2</v>
          </cell>
          <cell r="K4416">
            <v>2</v>
          </cell>
        </row>
        <row r="4417">
          <cell r="A4417" t="str">
            <v>M2</v>
          </cell>
          <cell r="B4417" t="str">
            <v>A5C</v>
          </cell>
          <cell r="C4417" t="str">
            <v>P</v>
          </cell>
          <cell r="D4417" t="str">
            <v>23181</v>
          </cell>
          <cell r="E4417" t="str">
            <v>BALL VA</v>
          </cell>
          <cell r="F4417">
            <v>6</v>
          </cell>
          <cell r="G4417" t="str">
            <v>VB8010600000T00</v>
          </cell>
          <cell r="H4417">
            <v>0.75</v>
          </cell>
          <cell r="I4417" t="str">
            <v>--</v>
          </cell>
          <cell r="J4417">
            <v>1</v>
          </cell>
          <cell r="K4417">
            <v>1</v>
          </cell>
        </row>
        <row r="4418">
          <cell r="A4418" t="str">
            <v>M2</v>
          </cell>
          <cell r="B4418" t="str">
            <v>A5C</v>
          </cell>
          <cell r="C4418" t="str">
            <v>P</v>
          </cell>
          <cell r="D4418" t="str">
            <v>23196</v>
          </cell>
          <cell r="E4418" t="str">
            <v>BALL VA</v>
          </cell>
          <cell r="F4418">
            <v>6</v>
          </cell>
          <cell r="G4418" t="str">
            <v>VB8010600000T00</v>
          </cell>
          <cell r="H4418">
            <v>0.75</v>
          </cell>
          <cell r="I4418" t="str">
            <v>--</v>
          </cell>
          <cell r="J4418">
            <v>2</v>
          </cell>
          <cell r="K4418">
            <v>2</v>
          </cell>
        </row>
        <row r="4419">
          <cell r="A4419" t="str">
            <v>M2</v>
          </cell>
          <cell r="B4419" t="str">
            <v>A5C</v>
          </cell>
          <cell r="C4419" t="str">
            <v>P</v>
          </cell>
          <cell r="D4419" t="str">
            <v>23204</v>
          </cell>
          <cell r="E4419" t="str">
            <v>BALL VA</v>
          </cell>
          <cell r="F4419">
            <v>6</v>
          </cell>
          <cell r="G4419" t="str">
            <v>VB8010600000T00</v>
          </cell>
          <cell r="H4419">
            <v>0.75</v>
          </cell>
          <cell r="I4419" t="str">
            <v>--</v>
          </cell>
          <cell r="J4419">
            <v>1</v>
          </cell>
          <cell r="K4419">
            <v>1</v>
          </cell>
        </row>
        <row r="4420">
          <cell r="A4420" t="str">
            <v>M2</v>
          </cell>
          <cell r="B4420" t="str">
            <v>A5C</v>
          </cell>
          <cell r="C4420" t="str">
            <v>P</v>
          </cell>
          <cell r="D4420" t="str">
            <v>23206</v>
          </cell>
          <cell r="E4420" t="str">
            <v>BALL VA</v>
          </cell>
          <cell r="F4420">
            <v>6</v>
          </cell>
          <cell r="G4420" t="str">
            <v>VB8010600000T00</v>
          </cell>
          <cell r="H4420">
            <v>0.75</v>
          </cell>
          <cell r="I4420" t="str">
            <v>--</v>
          </cell>
          <cell r="J4420">
            <v>1</v>
          </cell>
          <cell r="K4420">
            <v>1</v>
          </cell>
        </row>
        <row r="4421">
          <cell r="A4421" t="str">
            <v>M2</v>
          </cell>
          <cell r="B4421" t="str">
            <v>A5C</v>
          </cell>
          <cell r="C4421" t="str">
            <v>P</v>
          </cell>
          <cell r="D4421" t="str">
            <v>23212</v>
          </cell>
          <cell r="E4421" t="str">
            <v>BALL VA</v>
          </cell>
          <cell r="F4421">
            <v>6</v>
          </cell>
          <cell r="G4421" t="str">
            <v>VB8010600000T00</v>
          </cell>
          <cell r="H4421">
            <v>0.75</v>
          </cell>
          <cell r="I4421" t="str">
            <v>--</v>
          </cell>
          <cell r="J4421">
            <v>1</v>
          </cell>
          <cell r="K4421">
            <v>1</v>
          </cell>
        </row>
        <row r="4422">
          <cell r="A4422" t="str">
            <v>M2</v>
          </cell>
          <cell r="B4422" t="str">
            <v>A5C</v>
          </cell>
          <cell r="C4422" t="str">
            <v>P</v>
          </cell>
          <cell r="D4422" t="str">
            <v>23213</v>
          </cell>
          <cell r="E4422" t="str">
            <v>BALL VA</v>
          </cell>
          <cell r="F4422">
            <v>6</v>
          </cell>
          <cell r="G4422" t="str">
            <v>VB8010600000T00</v>
          </cell>
          <cell r="H4422">
            <v>0.75</v>
          </cell>
          <cell r="I4422" t="str">
            <v>--</v>
          </cell>
          <cell r="J4422">
            <v>1</v>
          </cell>
          <cell r="K4422">
            <v>1</v>
          </cell>
        </row>
        <row r="4423">
          <cell r="A4423" t="str">
            <v>M2</v>
          </cell>
          <cell r="B4423" t="str">
            <v>A5C</v>
          </cell>
          <cell r="C4423" t="str">
            <v>P</v>
          </cell>
          <cell r="D4423" t="str">
            <v>23214</v>
          </cell>
          <cell r="E4423" t="str">
            <v>BALL VA</v>
          </cell>
          <cell r="F4423">
            <v>6</v>
          </cell>
          <cell r="G4423" t="str">
            <v>VB8010600000T00</v>
          </cell>
          <cell r="H4423">
            <v>0.75</v>
          </cell>
          <cell r="I4423" t="str">
            <v>--</v>
          </cell>
          <cell r="J4423">
            <v>1</v>
          </cell>
          <cell r="K4423">
            <v>1</v>
          </cell>
        </row>
        <row r="4424">
          <cell r="A4424" t="str">
            <v>M2</v>
          </cell>
          <cell r="B4424" t="str">
            <v>A5C</v>
          </cell>
          <cell r="C4424" t="str">
            <v>P</v>
          </cell>
          <cell r="D4424" t="str">
            <v>23214</v>
          </cell>
          <cell r="E4424" t="str">
            <v>BALL VA</v>
          </cell>
          <cell r="F4424">
            <v>6</v>
          </cell>
          <cell r="G4424" t="str">
            <v>VB8010600000T00</v>
          </cell>
          <cell r="H4424">
            <v>0.75</v>
          </cell>
          <cell r="I4424" t="str">
            <v>--</v>
          </cell>
          <cell r="J4424">
            <v>1</v>
          </cell>
          <cell r="K4424">
            <v>1</v>
          </cell>
        </row>
        <row r="4425">
          <cell r="A4425" t="str">
            <v>M2</v>
          </cell>
          <cell r="B4425" t="str">
            <v>A5C</v>
          </cell>
          <cell r="C4425" t="str">
            <v>P</v>
          </cell>
          <cell r="D4425" t="str">
            <v>23232</v>
          </cell>
          <cell r="E4425" t="str">
            <v>BALL VA</v>
          </cell>
          <cell r="F4425">
            <v>6</v>
          </cell>
          <cell r="G4425" t="str">
            <v>VB8010600000T00</v>
          </cell>
          <cell r="H4425">
            <v>0.75</v>
          </cell>
          <cell r="I4425" t="str">
            <v>--</v>
          </cell>
          <cell r="J4425">
            <v>2</v>
          </cell>
          <cell r="K4425">
            <v>2</v>
          </cell>
        </row>
        <row r="4426">
          <cell r="A4426" t="str">
            <v>M2</v>
          </cell>
          <cell r="B4426" t="str">
            <v>A5C</v>
          </cell>
          <cell r="C4426" t="str">
            <v>P</v>
          </cell>
          <cell r="D4426" t="str">
            <v>23234</v>
          </cell>
          <cell r="E4426" t="str">
            <v>BALL VA</v>
          </cell>
          <cell r="F4426">
            <v>6</v>
          </cell>
          <cell r="G4426" t="str">
            <v>VB8010600000T00</v>
          </cell>
          <cell r="H4426">
            <v>0.75</v>
          </cell>
          <cell r="I4426" t="str">
            <v>--</v>
          </cell>
          <cell r="J4426">
            <v>1</v>
          </cell>
          <cell r="K4426">
            <v>1</v>
          </cell>
        </row>
        <row r="4427">
          <cell r="A4427" t="str">
            <v>M2</v>
          </cell>
          <cell r="B4427" t="str">
            <v>A5C</v>
          </cell>
          <cell r="C4427" t="str">
            <v>P</v>
          </cell>
          <cell r="D4427" t="str">
            <v>23245</v>
          </cell>
          <cell r="E4427" t="str">
            <v>BALL VA</v>
          </cell>
          <cell r="F4427">
            <v>6</v>
          </cell>
          <cell r="G4427" t="str">
            <v>VB8010600000T00</v>
          </cell>
          <cell r="H4427">
            <v>0.75</v>
          </cell>
          <cell r="I4427" t="str">
            <v>--</v>
          </cell>
          <cell r="J4427">
            <v>1</v>
          </cell>
          <cell r="K4427">
            <v>1</v>
          </cell>
        </row>
        <row r="4428">
          <cell r="A4428" t="str">
            <v>M2</v>
          </cell>
          <cell r="B4428" t="str">
            <v>A5C</v>
          </cell>
          <cell r="C4428" t="str">
            <v>P</v>
          </cell>
          <cell r="D4428" t="str">
            <v>23245</v>
          </cell>
          <cell r="E4428" t="str">
            <v>BALL VA</v>
          </cell>
          <cell r="F4428">
            <v>6</v>
          </cell>
          <cell r="G4428" t="str">
            <v>VB8010600000T00</v>
          </cell>
          <cell r="H4428">
            <v>0.75</v>
          </cell>
          <cell r="I4428" t="str">
            <v>--</v>
          </cell>
          <cell r="J4428">
            <v>1</v>
          </cell>
          <cell r="K4428">
            <v>1</v>
          </cell>
        </row>
        <row r="4429">
          <cell r="A4429" t="str">
            <v>M2</v>
          </cell>
          <cell r="B4429" t="str">
            <v>A5C</v>
          </cell>
          <cell r="C4429" t="str">
            <v>P</v>
          </cell>
          <cell r="D4429" t="str">
            <v>23246</v>
          </cell>
          <cell r="E4429" t="str">
            <v>BALL VA</v>
          </cell>
          <cell r="F4429">
            <v>6</v>
          </cell>
          <cell r="G4429" t="str">
            <v>VB8010600000T00</v>
          </cell>
          <cell r="H4429">
            <v>0.75</v>
          </cell>
          <cell r="I4429" t="str">
            <v>--</v>
          </cell>
          <cell r="J4429">
            <v>2</v>
          </cell>
          <cell r="K4429">
            <v>2</v>
          </cell>
        </row>
        <row r="4430">
          <cell r="A4430" t="str">
            <v>M2</v>
          </cell>
          <cell r="B4430" t="str">
            <v>A5C</v>
          </cell>
          <cell r="C4430" t="str">
            <v>P</v>
          </cell>
          <cell r="D4430" t="str">
            <v>23251</v>
          </cell>
          <cell r="E4430" t="str">
            <v>BALL VA</v>
          </cell>
          <cell r="F4430">
            <v>6</v>
          </cell>
          <cell r="G4430" t="str">
            <v>VB8010600000T00</v>
          </cell>
          <cell r="H4430">
            <v>0.75</v>
          </cell>
          <cell r="I4430" t="str">
            <v>--</v>
          </cell>
          <cell r="J4430">
            <v>1</v>
          </cell>
          <cell r="K4430">
            <v>1</v>
          </cell>
        </row>
        <row r="4431">
          <cell r="A4431" t="str">
            <v>M2</v>
          </cell>
          <cell r="B4431" t="str">
            <v>A5C</v>
          </cell>
          <cell r="C4431" t="str">
            <v>P</v>
          </cell>
          <cell r="D4431" t="str">
            <v>23253</v>
          </cell>
          <cell r="E4431" t="str">
            <v>BALL VA</v>
          </cell>
          <cell r="F4431">
            <v>6</v>
          </cell>
          <cell r="G4431" t="str">
            <v>VB8010600000T00</v>
          </cell>
          <cell r="H4431">
            <v>0.75</v>
          </cell>
          <cell r="I4431" t="str">
            <v>--</v>
          </cell>
          <cell r="J4431">
            <v>1</v>
          </cell>
          <cell r="K4431">
            <v>1</v>
          </cell>
        </row>
        <row r="4432">
          <cell r="A4432" t="str">
            <v>M2</v>
          </cell>
          <cell r="B4432" t="str">
            <v>A5C</v>
          </cell>
          <cell r="C4432" t="str">
            <v>P</v>
          </cell>
          <cell r="D4432" t="str">
            <v>24007</v>
          </cell>
          <cell r="E4432" t="str">
            <v>BALL VA</v>
          </cell>
          <cell r="F4432">
            <v>6</v>
          </cell>
          <cell r="G4432" t="str">
            <v>VB8010600000T00</v>
          </cell>
          <cell r="H4432">
            <v>0.75</v>
          </cell>
          <cell r="I4432" t="str">
            <v>--</v>
          </cell>
          <cell r="J4432">
            <v>1</v>
          </cell>
          <cell r="K4432">
            <v>1</v>
          </cell>
        </row>
        <row r="4433">
          <cell r="A4433" t="str">
            <v>M2</v>
          </cell>
          <cell r="B4433" t="str">
            <v>A5C</v>
          </cell>
          <cell r="C4433" t="str">
            <v>P</v>
          </cell>
          <cell r="D4433" t="str">
            <v>24013</v>
          </cell>
          <cell r="E4433" t="str">
            <v>BALL VA</v>
          </cell>
          <cell r="F4433">
            <v>6</v>
          </cell>
          <cell r="G4433" t="str">
            <v>VB8010600000T00</v>
          </cell>
          <cell r="H4433">
            <v>0.75</v>
          </cell>
          <cell r="I4433" t="str">
            <v>--</v>
          </cell>
          <cell r="J4433">
            <v>2</v>
          </cell>
          <cell r="K4433">
            <v>2</v>
          </cell>
        </row>
        <row r="4434">
          <cell r="A4434" t="str">
            <v>M2</v>
          </cell>
          <cell r="B4434" t="str">
            <v>A5C</v>
          </cell>
          <cell r="C4434" t="str">
            <v>TRIM</v>
          </cell>
          <cell r="D4434" t="str">
            <v>V-2315</v>
          </cell>
          <cell r="E4434" t="str">
            <v>BALL VA</v>
          </cell>
          <cell r="F4434">
            <v>6</v>
          </cell>
          <cell r="G4434" t="str">
            <v>VB8010600000T00</v>
          </cell>
          <cell r="H4434">
            <v>0.75</v>
          </cell>
          <cell r="I4434" t="str">
            <v>--</v>
          </cell>
          <cell r="J4434">
            <v>4</v>
          </cell>
          <cell r="K4434">
            <v>4</v>
          </cell>
        </row>
        <row r="4435">
          <cell r="A4435" t="str">
            <v>M2</v>
          </cell>
          <cell r="B4435" t="str">
            <v>A5C</v>
          </cell>
          <cell r="C4435" t="str">
            <v>TRIM</v>
          </cell>
          <cell r="D4435" t="str">
            <v>V-2317</v>
          </cell>
          <cell r="E4435" t="str">
            <v>BALL VA</v>
          </cell>
          <cell r="F4435">
            <v>6</v>
          </cell>
          <cell r="G4435" t="str">
            <v>VB8010600000T00</v>
          </cell>
          <cell r="H4435">
            <v>0.75</v>
          </cell>
          <cell r="I4435" t="str">
            <v>--</v>
          </cell>
          <cell r="J4435">
            <v>4</v>
          </cell>
          <cell r="K4435">
            <v>4</v>
          </cell>
        </row>
        <row r="4436">
          <cell r="A4436" t="str">
            <v>M2</v>
          </cell>
          <cell r="B4436" t="str">
            <v>A5C</v>
          </cell>
          <cell r="C4436" t="str">
            <v>TRIM</v>
          </cell>
          <cell r="D4436" t="str">
            <v>V-2317</v>
          </cell>
          <cell r="E4436" t="str">
            <v>BALL VA</v>
          </cell>
          <cell r="F4436">
            <v>6</v>
          </cell>
          <cell r="G4436" t="str">
            <v>VB8010600000T00</v>
          </cell>
          <cell r="H4436">
            <v>0.75</v>
          </cell>
          <cell r="I4436" t="str">
            <v>--</v>
          </cell>
          <cell r="J4436">
            <v>2</v>
          </cell>
          <cell r="K4436">
            <v>2</v>
          </cell>
        </row>
        <row r="4437">
          <cell r="A4437" t="str">
            <v>M2</v>
          </cell>
          <cell r="B4437" t="str">
            <v>A5C</v>
          </cell>
          <cell r="C4437" t="str">
            <v>TRIM</v>
          </cell>
          <cell r="D4437" t="str">
            <v>V-2318</v>
          </cell>
          <cell r="E4437" t="str">
            <v>BALL VA</v>
          </cell>
          <cell r="F4437">
            <v>6</v>
          </cell>
          <cell r="G4437" t="str">
            <v>VB8010600000T00</v>
          </cell>
          <cell r="H4437">
            <v>0.75</v>
          </cell>
          <cell r="I4437" t="str">
            <v>--</v>
          </cell>
          <cell r="J4437">
            <v>4</v>
          </cell>
          <cell r="K4437">
            <v>4</v>
          </cell>
        </row>
        <row r="4438">
          <cell r="A4438" t="str">
            <v>M2</v>
          </cell>
          <cell r="B4438" t="str">
            <v>A5C</v>
          </cell>
          <cell r="C4438" t="str">
            <v>TRIM</v>
          </cell>
          <cell r="D4438" t="str">
            <v>V-2319</v>
          </cell>
          <cell r="E4438" t="str">
            <v>BALL VA</v>
          </cell>
          <cell r="F4438">
            <v>6</v>
          </cell>
          <cell r="G4438" t="str">
            <v>VB8010600000T00</v>
          </cell>
          <cell r="H4438">
            <v>0.75</v>
          </cell>
          <cell r="I4438" t="str">
            <v>--</v>
          </cell>
          <cell r="J4438">
            <v>4</v>
          </cell>
          <cell r="K4438">
            <v>4</v>
          </cell>
        </row>
        <row r="4439">
          <cell r="A4439" t="str">
            <v>M2</v>
          </cell>
          <cell r="B4439" t="str">
            <v>A5C</v>
          </cell>
          <cell r="C4439" t="str">
            <v>TRIM</v>
          </cell>
          <cell r="D4439" t="str">
            <v>V-2319</v>
          </cell>
          <cell r="E4439" t="str">
            <v>BALL VA</v>
          </cell>
          <cell r="F4439">
            <v>6</v>
          </cell>
          <cell r="G4439" t="str">
            <v>VB8010600000T00</v>
          </cell>
          <cell r="H4439">
            <v>0.75</v>
          </cell>
          <cell r="I4439" t="str">
            <v>--</v>
          </cell>
          <cell r="J4439">
            <v>2</v>
          </cell>
          <cell r="K4439">
            <v>2</v>
          </cell>
        </row>
        <row r="4440">
          <cell r="A4440" t="str">
            <v>M2</v>
          </cell>
          <cell r="B4440" t="str">
            <v>A5C</v>
          </cell>
          <cell r="C4440" t="str">
            <v>TRIM</v>
          </cell>
          <cell r="D4440" t="str">
            <v>V-2327</v>
          </cell>
          <cell r="E4440" t="str">
            <v>BALL VA</v>
          </cell>
          <cell r="F4440">
            <v>6</v>
          </cell>
          <cell r="G4440" t="str">
            <v>VB8010600000T00</v>
          </cell>
          <cell r="H4440">
            <v>0.75</v>
          </cell>
          <cell r="I4440" t="str">
            <v>--</v>
          </cell>
          <cell r="J4440">
            <v>2</v>
          </cell>
          <cell r="K4440">
            <v>2</v>
          </cell>
        </row>
        <row r="4441">
          <cell r="A4441" t="str">
            <v>M2</v>
          </cell>
          <cell r="B4441" t="str">
            <v>A5C</v>
          </cell>
          <cell r="C4441" t="str">
            <v>TRIM</v>
          </cell>
          <cell r="D4441" t="str">
            <v>V-2328</v>
          </cell>
          <cell r="E4441" t="str">
            <v>BALL VA</v>
          </cell>
          <cell r="F4441">
            <v>6</v>
          </cell>
          <cell r="G4441" t="str">
            <v>VB8010600000T00</v>
          </cell>
          <cell r="H4441">
            <v>0.75</v>
          </cell>
          <cell r="I4441" t="str">
            <v>--</v>
          </cell>
          <cell r="J4441">
            <v>4</v>
          </cell>
          <cell r="K4441">
            <v>4</v>
          </cell>
        </row>
        <row r="4442">
          <cell r="A4442" t="str">
            <v>M2</v>
          </cell>
          <cell r="B4442" t="str">
            <v>A5C</v>
          </cell>
          <cell r="C4442" t="str">
            <v>TRIM</v>
          </cell>
          <cell r="D4442" t="str">
            <v>V-2329</v>
          </cell>
          <cell r="E4442" t="str">
            <v>BALL VA</v>
          </cell>
          <cell r="F4442">
            <v>6</v>
          </cell>
          <cell r="G4442" t="str">
            <v>VB8010600000T00</v>
          </cell>
          <cell r="H4442">
            <v>0.75</v>
          </cell>
          <cell r="I4442" t="str">
            <v>--</v>
          </cell>
          <cell r="J4442">
            <v>2</v>
          </cell>
          <cell r="K4442">
            <v>2</v>
          </cell>
        </row>
        <row r="4443">
          <cell r="A4443" t="str">
            <v>M2</v>
          </cell>
          <cell r="B4443" t="str">
            <v>A5C</v>
          </cell>
          <cell r="C4443" t="str">
            <v>N</v>
          </cell>
          <cell r="D4443" t="str">
            <v>23613</v>
          </cell>
          <cell r="E4443" t="str">
            <v>CHECK VA</v>
          </cell>
          <cell r="F4443">
            <v>6</v>
          </cell>
          <cell r="G4443" t="str">
            <v>VCB8010400000T00</v>
          </cell>
          <cell r="H4443">
            <v>0.75</v>
          </cell>
          <cell r="I4443" t="str">
            <v>--</v>
          </cell>
          <cell r="J4443">
            <v>1</v>
          </cell>
          <cell r="K4443">
            <v>1</v>
          </cell>
        </row>
        <row r="4444">
          <cell r="A4444" t="str">
            <v>M2</v>
          </cell>
          <cell r="B4444" t="str">
            <v>A5C</v>
          </cell>
          <cell r="C4444" t="str">
            <v>N</v>
          </cell>
          <cell r="D4444" t="str">
            <v>23619</v>
          </cell>
          <cell r="E4444" t="str">
            <v>CHECK VA</v>
          </cell>
          <cell r="F4444">
            <v>6</v>
          </cell>
          <cell r="G4444" t="str">
            <v>VCB8010400000T00</v>
          </cell>
          <cell r="H4444">
            <v>0.75</v>
          </cell>
          <cell r="I4444" t="str">
            <v>--</v>
          </cell>
          <cell r="J4444">
            <v>1</v>
          </cell>
          <cell r="K4444">
            <v>1</v>
          </cell>
        </row>
        <row r="4445">
          <cell r="A4445" t="str">
            <v>M2</v>
          </cell>
          <cell r="B4445" t="str">
            <v>A5C</v>
          </cell>
          <cell r="C4445" t="str">
            <v>N</v>
          </cell>
          <cell r="D4445" t="str">
            <v>23620</v>
          </cell>
          <cell r="E4445" t="str">
            <v>CHECK VA</v>
          </cell>
          <cell r="F4445">
            <v>6</v>
          </cell>
          <cell r="G4445" t="str">
            <v>VCB8010400000T00</v>
          </cell>
          <cell r="H4445">
            <v>0.75</v>
          </cell>
          <cell r="I4445" t="str">
            <v>--</v>
          </cell>
          <cell r="J4445">
            <v>1</v>
          </cell>
          <cell r="K4445">
            <v>1</v>
          </cell>
        </row>
        <row r="4446">
          <cell r="A4446" t="str">
            <v>M2</v>
          </cell>
          <cell r="B4446" t="str">
            <v>A5C</v>
          </cell>
          <cell r="C4446" t="str">
            <v>N</v>
          </cell>
          <cell r="D4446" t="str">
            <v>23628</v>
          </cell>
          <cell r="E4446" t="str">
            <v>CHECK VA</v>
          </cell>
          <cell r="F4446">
            <v>6</v>
          </cell>
          <cell r="G4446" t="str">
            <v>VCB8010400000T00</v>
          </cell>
          <cell r="H4446">
            <v>0.75</v>
          </cell>
          <cell r="I4446" t="str">
            <v>--</v>
          </cell>
          <cell r="J4446">
            <v>1</v>
          </cell>
          <cell r="K4446">
            <v>1</v>
          </cell>
        </row>
        <row r="4447">
          <cell r="A4447" t="str">
            <v>M2</v>
          </cell>
          <cell r="B4447" t="str">
            <v>A5C</v>
          </cell>
          <cell r="C4447" t="str">
            <v>N</v>
          </cell>
          <cell r="D4447" t="str">
            <v>23630</v>
          </cell>
          <cell r="E4447" t="str">
            <v>CHECK VA</v>
          </cell>
          <cell r="F4447">
            <v>6</v>
          </cell>
          <cell r="G4447" t="str">
            <v>VCB8010400000T00</v>
          </cell>
          <cell r="H4447">
            <v>0.75</v>
          </cell>
          <cell r="I4447" t="str">
            <v>--</v>
          </cell>
          <cell r="J4447">
            <v>1</v>
          </cell>
          <cell r="K4447">
            <v>1</v>
          </cell>
        </row>
        <row r="4448">
          <cell r="A4448" t="str">
            <v>M2</v>
          </cell>
          <cell r="B4448" t="str">
            <v>A5C</v>
          </cell>
          <cell r="C4448" t="str">
            <v>N</v>
          </cell>
          <cell r="D4448" t="str">
            <v>23629</v>
          </cell>
          <cell r="E4448" t="str">
            <v>CHECK VA</v>
          </cell>
          <cell r="F4448">
            <v>6</v>
          </cell>
          <cell r="G4448" t="str">
            <v>VCB8010400000T00</v>
          </cell>
          <cell r="H4448">
            <v>0.75</v>
          </cell>
          <cell r="I4448" t="str">
            <v>--</v>
          </cell>
          <cell r="J4448">
            <v>1</v>
          </cell>
          <cell r="K4448">
            <v>1</v>
          </cell>
        </row>
        <row r="4449">
          <cell r="A4449" t="str">
            <v>M2</v>
          </cell>
          <cell r="B4449" t="str">
            <v>A5C</v>
          </cell>
          <cell r="C4449" t="str">
            <v>N</v>
          </cell>
          <cell r="D4449" t="str">
            <v>24611</v>
          </cell>
          <cell r="E4449" t="str">
            <v>CHECK VA</v>
          </cell>
          <cell r="F4449">
            <v>6</v>
          </cell>
          <cell r="G4449" t="str">
            <v>VCB8010400000T00</v>
          </cell>
          <cell r="H4449">
            <v>0.75</v>
          </cell>
          <cell r="I4449" t="str">
            <v>--</v>
          </cell>
          <cell r="J4449">
            <v>1</v>
          </cell>
          <cell r="K4449">
            <v>1</v>
          </cell>
        </row>
        <row r="4450">
          <cell r="A4450" t="str">
            <v>M2</v>
          </cell>
          <cell r="B4450" t="str">
            <v>A5C</v>
          </cell>
          <cell r="C4450" t="str">
            <v>N</v>
          </cell>
          <cell r="D4450" t="str">
            <v>24612</v>
          </cell>
          <cell r="E4450" t="str">
            <v>CHECK VA</v>
          </cell>
          <cell r="F4450">
            <v>6</v>
          </cell>
          <cell r="G4450" t="str">
            <v>VCB8010400000T00</v>
          </cell>
          <cell r="H4450">
            <v>0.75</v>
          </cell>
          <cell r="I4450" t="str">
            <v>--</v>
          </cell>
          <cell r="J4450">
            <v>1</v>
          </cell>
          <cell r="K4450">
            <v>1</v>
          </cell>
        </row>
        <row r="4451">
          <cell r="A4451" t="str">
            <v>M2</v>
          </cell>
          <cell r="B4451" t="str">
            <v>A5C</v>
          </cell>
          <cell r="C4451" t="str">
            <v>N</v>
          </cell>
          <cell r="D4451" t="str">
            <v>23648</v>
          </cell>
          <cell r="E4451" t="str">
            <v>CHECK VA</v>
          </cell>
          <cell r="F4451">
            <v>6</v>
          </cell>
          <cell r="G4451" t="str">
            <v>VCB8010400000T00</v>
          </cell>
          <cell r="H4451">
            <v>0.75</v>
          </cell>
          <cell r="I4451" t="str">
            <v>--</v>
          </cell>
          <cell r="J4451">
            <v>1</v>
          </cell>
          <cell r="K4451">
            <v>1</v>
          </cell>
        </row>
        <row r="4452">
          <cell r="A4452" t="str">
            <v>M2</v>
          </cell>
          <cell r="B4452" t="str">
            <v>A5C</v>
          </cell>
          <cell r="C4452" t="str">
            <v>N</v>
          </cell>
          <cell r="D4452" t="str">
            <v>24613</v>
          </cell>
          <cell r="E4452" t="str">
            <v>CHECK VA</v>
          </cell>
          <cell r="F4452">
            <v>6</v>
          </cell>
          <cell r="G4452" t="str">
            <v>VCB8010400000T00</v>
          </cell>
          <cell r="H4452">
            <v>0.75</v>
          </cell>
          <cell r="I4452" t="str">
            <v>--</v>
          </cell>
          <cell r="J4452">
            <v>1</v>
          </cell>
          <cell r="K4452">
            <v>1</v>
          </cell>
        </row>
        <row r="4453">
          <cell r="A4453" t="str">
            <v>M2</v>
          </cell>
          <cell r="B4453" t="str">
            <v>A5C</v>
          </cell>
          <cell r="C4453" t="str">
            <v>P</v>
          </cell>
          <cell r="D4453" t="str">
            <v>23204</v>
          </cell>
          <cell r="E4453" t="str">
            <v>CHECK VA</v>
          </cell>
          <cell r="F4453">
            <v>6</v>
          </cell>
          <cell r="G4453" t="str">
            <v>VCB8010400000T00</v>
          </cell>
          <cell r="H4453">
            <v>0.75</v>
          </cell>
          <cell r="I4453" t="str">
            <v>--</v>
          </cell>
          <cell r="J4453">
            <v>1</v>
          </cell>
          <cell r="K4453">
            <v>1</v>
          </cell>
        </row>
        <row r="4454">
          <cell r="A4454" t="str">
            <v>M2</v>
          </cell>
          <cell r="B4454" t="str">
            <v>A5C</v>
          </cell>
          <cell r="C4454" t="str">
            <v>P</v>
          </cell>
          <cell r="D4454" t="str">
            <v>23207</v>
          </cell>
          <cell r="E4454" t="str">
            <v>CHECK VA</v>
          </cell>
          <cell r="F4454">
            <v>6</v>
          </cell>
          <cell r="G4454" t="str">
            <v>VCB8010400000T00</v>
          </cell>
          <cell r="H4454">
            <v>0.75</v>
          </cell>
          <cell r="I4454" t="str">
            <v>--</v>
          </cell>
          <cell r="J4454">
            <v>1</v>
          </cell>
          <cell r="K4454">
            <v>1</v>
          </cell>
        </row>
        <row r="4455">
          <cell r="A4455" t="str">
            <v>M2</v>
          </cell>
          <cell r="B4455" t="str">
            <v>A5C</v>
          </cell>
          <cell r="C4455" t="str">
            <v>P</v>
          </cell>
          <cell r="D4455" t="str">
            <v>23239</v>
          </cell>
          <cell r="E4455" t="str">
            <v>CHECK VA</v>
          </cell>
          <cell r="F4455">
            <v>6</v>
          </cell>
          <cell r="G4455" t="str">
            <v>VCB8010400000T00</v>
          </cell>
          <cell r="H4455">
            <v>0.75</v>
          </cell>
          <cell r="I4455" t="str">
            <v>--</v>
          </cell>
          <cell r="J4455">
            <v>1</v>
          </cell>
          <cell r="K4455">
            <v>1</v>
          </cell>
        </row>
        <row r="4456">
          <cell r="A4456" t="str">
            <v>M2</v>
          </cell>
          <cell r="B4456" t="str">
            <v>A5C</v>
          </cell>
          <cell r="C4456" t="str">
            <v>N</v>
          </cell>
          <cell r="D4456" t="str">
            <v>23621</v>
          </cell>
          <cell r="E4456" t="str">
            <v>CHECK VA</v>
          </cell>
          <cell r="F4456">
            <v>6</v>
          </cell>
          <cell r="G4456" t="str">
            <v>VCB8010400000T00</v>
          </cell>
          <cell r="H4456">
            <v>0.75</v>
          </cell>
          <cell r="I4456" t="str">
            <v>--</v>
          </cell>
          <cell r="J4456">
            <v>1</v>
          </cell>
          <cell r="K4456">
            <v>1</v>
          </cell>
        </row>
        <row r="4457">
          <cell r="A4457" t="str">
            <v>M2</v>
          </cell>
          <cell r="B4457" t="str">
            <v>A5C</v>
          </cell>
          <cell r="C4457" t="str">
            <v>N</v>
          </cell>
          <cell r="D4457" t="str">
            <v>23641</v>
          </cell>
          <cell r="E4457" t="str">
            <v>CHECK VA</v>
          </cell>
          <cell r="F4457">
            <v>6</v>
          </cell>
          <cell r="G4457" t="str">
            <v>VCB8010400000T00</v>
          </cell>
          <cell r="H4457">
            <v>0.75</v>
          </cell>
          <cell r="I4457" t="str">
            <v>--</v>
          </cell>
          <cell r="J4457">
            <v>1</v>
          </cell>
          <cell r="K4457">
            <v>1</v>
          </cell>
        </row>
        <row r="4458">
          <cell r="A4458" t="str">
            <v>M2</v>
          </cell>
          <cell r="B4458" t="str">
            <v>A5C</v>
          </cell>
          <cell r="C4458" t="str">
            <v>N</v>
          </cell>
          <cell r="D4458" t="str">
            <v>23642</v>
          </cell>
          <cell r="E4458" t="str">
            <v>CHECK VA</v>
          </cell>
          <cell r="F4458">
            <v>6</v>
          </cell>
          <cell r="G4458" t="str">
            <v>VCB8010400000T00</v>
          </cell>
          <cell r="H4458">
            <v>0.75</v>
          </cell>
          <cell r="I4458" t="str">
            <v>--</v>
          </cell>
          <cell r="J4458">
            <v>1</v>
          </cell>
          <cell r="K4458">
            <v>1</v>
          </cell>
        </row>
        <row r="4459">
          <cell r="A4459" t="str">
            <v>M2</v>
          </cell>
          <cell r="B4459" t="str">
            <v>A5C</v>
          </cell>
          <cell r="C4459" t="str">
            <v>N</v>
          </cell>
          <cell r="D4459" t="str">
            <v>23645</v>
          </cell>
          <cell r="E4459" t="str">
            <v>CHECK VA</v>
          </cell>
          <cell r="F4459">
            <v>6</v>
          </cell>
          <cell r="G4459" t="str">
            <v>VCB8010400000T00</v>
          </cell>
          <cell r="H4459">
            <v>0.75</v>
          </cell>
          <cell r="I4459" t="str">
            <v>--</v>
          </cell>
          <cell r="J4459">
            <v>1</v>
          </cell>
          <cell r="K4459">
            <v>1</v>
          </cell>
        </row>
        <row r="4460">
          <cell r="A4460" t="str">
            <v>M2</v>
          </cell>
          <cell r="B4460" t="str">
            <v>A5C</v>
          </cell>
          <cell r="C4460" t="str">
            <v>N</v>
          </cell>
          <cell r="D4460" t="str">
            <v>23646</v>
          </cell>
          <cell r="E4460" t="str">
            <v>CHECK VA</v>
          </cell>
          <cell r="F4460">
            <v>6</v>
          </cell>
          <cell r="G4460" t="str">
            <v>VCB8010400000T00</v>
          </cell>
          <cell r="H4460">
            <v>0.75</v>
          </cell>
          <cell r="I4460" t="str">
            <v>--</v>
          </cell>
          <cell r="J4460">
            <v>1</v>
          </cell>
          <cell r="K4460">
            <v>1</v>
          </cell>
        </row>
        <row r="4461">
          <cell r="A4461" t="str">
            <v>M2</v>
          </cell>
          <cell r="B4461" t="str">
            <v>A5C</v>
          </cell>
          <cell r="C4461" t="str">
            <v>N</v>
          </cell>
          <cell r="D4461" t="str">
            <v>24614</v>
          </cell>
          <cell r="E4461" t="str">
            <v>CHECK VA</v>
          </cell>
          <cell r="F4461">
            <v>6</v>
          </cell>
          <cell r="G4461" t="str">
            <v>VCB8010400000T00</v>
          </cell>
          <cell r="H4461">
            <v>0.75</v>
          </cell>
          <cell r="I4461" t="str">
            <v>--</v>
          </cell>
          <cell r="J4461">
            <v>1</v>
          </cell>
          <cell r="K4461">
            <v>1</v>
          </cell>
        </row>
        <row r="4462">
          <cell r="A4462" t="str">
            <v>M2</v>
          </cell>
          <cell r="B4462" t="str">
            <v>A5C</v>
          </cell>
          <cell r="C4462" t="str">
            <v>P</v>
          </cell>
          <cell r="D4462" t="str">
            <v>23205</v>
          </cell>
          <cell r="E4462" t="str">
            <v>CHECK VA</v>
          </cell>
          <cell r="F4462">
            <v>6</v>
          </cell>
          <cell r="G4462" t="str">
            <v>VCB8010400000T00</v>
          </cell>
          <cell r="H4462">
            <v>0.75</v>
          </cell>
          <cell r="I4462" t="str">
            <v>--</v>
          </cell>
          <cell r="J4462">
            <v>1</v>
          </cell>
          <cell r="K4462">
            <v>1</v>
          </cell>
        </row>
        <row r="4463">
          <cell r="A4463" t="str">
            <v>M2</v>
          </cell>
          <cell r="B4463" t="str">
            <v>A5C</v>
          </cell>
          <cell r="C4463" t="str">
            <v>P</v>
          </cell>
          <cell r="D4463" t="str">
            <v>23206</v>
          </cell>
          <cell r="E4463" t="str">
            <v>CHECK VA</v>
          </cell>
          <cell r="F4463">
            <v>6</v>
          </cell>
          <cell r="G4463" t="str">
            <v>VCB8010400000T00</v>
          </cell>
          <cell r="H4463">
            <v>0.75</v>
          </cell>
          <cell r="I4463" t="str">
            <v>--</v>
          </cell>
          <cell r="J4463">
            <v>1</v>
          </cell>
          <cell r="K4463">
            <v>1</v>
          </cell>
        </row>
        <row r="4464">
          <cell r="A4464" t="str">
            <v>M2</v>
          </cell>
          <cell r="B4464" t="str">
            <v>A5C</v>
          </cell>
          <cell r="C4464" t="str">
            <v>P</v>
          </cell>
          <cell r="D4464" t="str">
            <v>23208</v>
          </cell>
          <cell r="E4464" t="str">
            <v>CHECK VA</v>
          </cell>
          <cell r="F4464">
            <v>6</v>
          </cell>
          <cell r="G4464" t="str">
            <v>VCB8010400000T00</v>
          </cell>
          <cell r="H4464">
            <v>0.75</v>
          </cell>
          <cell r="I4464" t="str">
            <v>--</v>
          </cell>
          <cell r="J4464">
            <v>1</v>
          </cell>
          <cell r="K4464">
            <v>1</v>
          </cell>
        </row>
        <row r="4465">
          <cell r="A4465" t="str">
            <v>M2</v>
          </cell>
          <cell r="B4465" t="str">
            <v>A5C</v>
          </cell>
          <cell r="C4465" t="str">
            <v>P</v>
          </cell>
          <cell r="D4465" t="str">
            <v>23235</v>
          </cell>
          <cell r="E4465" t="str">
            <v>CHECK VA</v>
          </cell>
          <cell r="F4465">
            <v>6</v>
          </cell>
          <cell r="G4465" t="str">
            <v>VCB8010400000T00</v>
          </cell>
          <cell r="H4465">
            <v>0.75</v>
          </cell>
          <cell r="I4465" t="str">
            <v>--</v>
          </cell>
          <cell r="J4465">
            <v>1</v>
          </cell>
          <cell r="K4465">
            <v>1</v>
          </cell>
        </row>
        <row r="4466">
          <cell r="A4466" t="str">
            <v>M2</v>
          </cell>
          <cell r="B4466" t="str">
            <v>A5C</v>
          </cell>
          <cell r="C4466" t="str">
            <v>P</v>
          </cell>
          <cell r="D4466" t="str">
            <v>24006</v>
          </cell>
          <cell r="E4466" t="str">
            <v>GATE VA</v>
          </cell>
          <cell r="F4466">
            <v>6</v>
          </cell>
          <cell r="G4466" t="str">
            <v>VG8010100000T00</v>
          </cell>
          <cell r="H4466">
            <v>0.75</v>
          </cell>
          <cell r="I4466" t="str">
            <v>--</v>
          </cell>
          <cell r="J4466">
            <v>1</v>
          </cell>
          <cell r="K4466">
            <v>1</v>
          </cell>
        </row>
        <row r="4467">
          <cell r="A4467" t="str">
            <v>M2</v>
          </cell>
          <cell r="B4467" t="str">
            <v>A5C</v>
          </cell>
          <cell r="C4467" t="str">
            <v>N</v>
          </cell>
          <cell r="D4467" t="str">
            <v>23619</v>
          </cell>
          <cell r="E4467" t="str">
            <v>GLOBE VA</v>
          </cell>
          <cell r="F4467">
            <v>6</v>
          </cell>
          <cell r="G4467" t="str">
            <v>VL8010100000T00</v>
          </cell>
          <cell r="H4467">
            <v>0.75</v>
          </cell>
          <cell r="I4467" t="str">
            <v>--</v>
          </cell>
          <cell r="J4467">
            <v>1</v>
          </cell>
          <cell r="K4467">
            <v>1</v>
          </cell>
        </row>
        <row r="4468">
          <cell r="A4468" t="str">
            <v>M2</v>
          </cell>
          <cell r="B4468" t="str">
            <v>A5C</v>
          </cell>
          <cell r="C4468" t="str">
            <v>N</v>
          </cell>
          <cell r="D4468" t="str">
            <v>23642</v>
          </cell>
          <cell r="E4468" t="str">
            <v>GLOBE VA</v>
          </cell>
          <cell r="F4468">
            <v>6</v>
          </cell>
          <cell r="G4468" t="str">
            <v>VL8010100000T00</v>
          </cell>
          <cell r="H4468">
            <v>0.75</v>
          </cell>
          <cell r="I4468" t="str">
            <v>--</v>
          </cell>
          <cell r="J4468">
            <v>1</v>
          </cell>
          <cell r="K4468">
            <v>1</v>
          </cell>
        </row>
        <row r="4469">
          <cell r="A4469" t="str">
            <v>M2</v>
          </cell>
          <cell r="B4469" t="str">
            <v>A5C</v>
          </cell>
          <cell r="C4469" t="str">
            <v>N</v>
          </cell>
          <cell r="D4469" t="str">
            <v>23646</v>
          </cell>
          <cell r="E4469" t="str">
            <v>GLOBE VA</v>
          </cell>
          <cell r="F4469">
            <v>6</v>
          </cell>
          <cell r="G4469" t="str">
            <v>VL8010100000T00</v>
          </cell>
          <cell r="H4469">
            <v>0.75</v>
          </cell>
          <cell r="I4469" t="str">
            <v>--</v>
          </cell>
          <cell r="J4469">
            <v>1</v>
          </cell>
          <cell r="K4469">
            <v>1</v>
          </cell>
        </row>
        <row r="4470">
          <cell r="A4470" t="str">
            <v>M2</v>
          </cell>
          <cell r="B4470" t="str">
            <v>A5C</v>
          </cell>
          <cell r="C4470" t="str">
            <v>N</v>
          </cell>
          <cell r="D4470" t="str">
            <v>24611</v>
          </cell>
          <cell r="E4470" t="str">
            <v>GLOBE VA</v>
          </cell>
          <cell r="F4470">
            <v>6</v>
          </cell>
          <cell r="G4470" t="str">
            <v>VL8010100000T00</v>
          </cell>
          <cell r="H4470">
            <v>0.75</v>
          </cell>
          <cell r="I4470" t="str">
            <v>--</v>
          </cell>
          <cell r="J4470">
            <v>1</v>
          </cell>
          <cell r="K4470">
            <v>1</v>
          </cell>
        </row>
        <row r="4471">
          <cell r="A4471" t="str">
            <v>M2</v>
          </cell>
          <cell r="B4471" t="str">
            <v>A5C</v>
          </cell>
          <cell r="C4471" t="str">
            <v>N</v>
          </cell>
          <cell r="D4471" t="str">
            <v>23647</v>
          </cell>
          <cell r="E4471" t="str">
            <v>GLOBE VA</v>
          </cell>
          <cell r="F4471">
            <v>6</v>
          </cell>
          <cell r="G4471" t="str">
            <v>VL8010100000T00</v>
          </cell>
          <cell r="H4471">
            <v>0.75</v>
          </cell>
          <cell r="I4471" t="str">
            <v>--</v>
          </cell>
          <cell r="J4471">
            <v>2</v>
          </cell>
          <cell r="K4471">
            <v>2</v>
          </cell>
        </row>
        <row r="4472">
          <cell r="A4472" t="str">
            <v>M2</v>
          </cell>
          <cell r="B4472" t="str">
            <v>A5C</v>
          </cell>
          <cell r="C4472" t="str">
            <v>N</v>
          </cell>
          <cell r="D4472" t="str">
            <v>23648</v>
          </cell>
          <cell r="E4472" t="str">
            <v>GLOBE VA</v>
          </cell>
          <cell r="F4472">
            <v>6</v>
          </cell>
          <cell r="G4472" t="str">
            <v>VL8010100000T00</v>
          </cell>
          <cell r="H4472">
            <v>0.75</v>
          </cell>
          <cell r="I4472" t="str">
            <v>--</v>
          </cell>
          <cell r="J4472">
            <v>1</v>
          </cell>
          <cell r="K4472">
            <v>1</v>
          </cell>
        </row>
        <row r="4473">
          <cell r="A4473" t="str">
            <v>M2</v>
          </cell>
          <cell r="B4473" t="str">
            <v>A5C</v>
          </cell>
          <cell r="C4473" t="str">
            <v>N</v>
          </cell>
          <cell r="D4473" t="str">
            <v>24612</v>
          </cell>
          <cell r="E4473" t="str">
            <v>GLOBE VA</v>
          </cell>
          <cell r="F4473">
            <v>6</v>
          </cell>
          <cell r="G4473" t="str">
            <v>VL8010100000T00</v>
          </cell>
          <cell r="H4473">
            <v>0.75</v>
          </cell>
          <cell r="I4473" t="str">
            <v>--</v>
          </cell>
          <cell r="J4473">
            <v>1</v>
          </cell>
          <cell r="K4473">
            <v>1</v>
          </cell>
        </row>
        <row r="4474">
          <cell r="A4474" t="str">
            <v>M2</v>
          </cell>
          <cell r="B4474" t="str">
            <v>A5C</v>
          </cell>
          <cell r="C4474" t="str">
            <v>P</v>
          </cell>
          <cell r="D4474" t="str">
            <v>23037</v>
          </cell>
          <cell r="E4474" t="str">
            <v>GLOBE VA</v>
          </cell>
          <cell r="F4474">
            <v>6</v>
          </cell>
          <cell r="G4474" t="str">
            <v>VL8010100000T00</v>
          </cell>
          <cell r="H4474">
            <v>0.75</v>
          </cell>
          <cell r="I4474" t="str">
            <v>--</v>
          </cell>
          <cell r="J4474">
            <v>1</v>
          </cell>
          <cell r="K4474">
            <v>1</v>
          </cell>
        </row>
        <row r="4475">
          <cell r="A4475" t="str">
            <v>M2</v>
          </cell>
          <cell r="B4475" t="str">
            <v>A5C</v>
          </cell>
          <cell r="C4475" t="str">
            <v>P</v>
          </cell>
          <cell r="D4475" t="str">
            <v>23052</v>
          </cell>
          <cell r="E4475" t="str">
            <v>GLOBE VA</v>
          </cell>
          <cell r="F4475">
            <v>6</v>
          </cell>
          <cell r="G4475" t="str">
            <v>VL8010100000T00</v>
          </cell>
          <cell r="H4475">
            <v>0.75</v>
          </cell>
          <cell r="I4475" t="str">
            <v>--</v>
          </cell>
          <cell r="J4475">
            <v>1</v>
          </cell>
          <cell r="K4475">
            <v>1</v>
          </cell>
        </row>
        <row r="4476">
          <cell r="A4476" t="str">
            <v>M2</v>
          </cell>
          <cell r="B4476" t="str">
            <v>A5C</v>
          </cell>
          <cell r="C4476" t="str">
            <v>P</v>
          </cell>
          <cell r="D4476" t="str">
            <v>23081</v>
          </cell>
          <cell r="E4476" t="str">
            <v>GLOBE VA</v>
          </cell>
          <cell r="F4476">
            <v>6</v>
          </cell>
          <cell r="G4476" t="str">
            <v>VL8010100000T00</v>
          </cell>
          <cell r="H4476">
            <v>0.75</v>
          </cell>
          <cell r="I4476" t="str">
            <v>--</v>
          </cell>
          <cell r="J4476">
            <v>1</v>
          </cell>
          <cell r="K4476">
            <v>1</v>
          </cell>
        </row>
        <row r="4477">
          <cell r="A4477" t="str">
            <v>M2</v>
          </cell>
          <cell r="B4477" t="str">
            <v>A5C</v>
          </cell>
          <cell r="C4477" t="str">
            <v>P</v>
          </cell>
          <cell r="D4477" t="str">
            <v>23188</v>
          </cell>
          <cell r="E4477" t="str">
            <v>GLOBE VA</v>
          </cell>
          <cell r="F4477">
            <v>6</v>
          </cell>
          <cell r="G4477" t="str">
            <v>VL8010100000T00</v>
          </cell>
          <cell r="H4477">
            <v>0.75</v>
          </cell>
          <cell r="I4477" t="str">
            <v>--</v>
          </cell>
          <cell r="J4477">
            <v>1</v>
          </cell>
          <cell r="K4477">
            <v>1</v>
          </cell>
        </row>
        <row r="4478">
          <cell r="A4478" t="str">
            <v>M2</v>
          </cell>
          <cell r="B4478" t="str">
            <v>A5C</v>
          </cell>
          <cell r="C4478" t="str">
            <v>P</v>
          </cell>
          <cell r="D4478" t="str">
            <v>23247</v>
          </cell>
          <cell r="E4478" t="str">
            <v>GLOBE VA</v>
          </cell>
          <cell r="F4478">
            <v>6</v>
          </cell>
          <cell r="G4478" t="str">
            <v>VL8010100000T00</v>
          </cell>
          <cell r="H4478">
            <v>0.75</v>
          </cell>
          <cell r="I4478" t="str">
            <v>--</v>
          </cell>
          <cell r="J4478">
            <v>1</v>
          </cell>
          <cell r="K4478">
            <v>1</v>
          </cell>
        </row>
        <row r="4479">
          <cell r="A4479" t="str">
            <v>M2</v>
          </cell>
          <cell r="B4479" t="str">
            <v>A5C</v>
          </cell>
          <cell r="C4479" t="str">
            <v>P</v>
          </cell>
          <cell r="D4479" t="str">
            <v>24024</v>
          </cell>
          <cell r="E4479" t="str">
            <v>GLOBE VA</v>
          </cell>
          <cell r="F4479">
            <v>6</v>
          </cell>
          <cell r="G4479" t="str">
            <v>VL8010100000T00</v>
          </cell>
          <cell r="H4479">
            <v>0.75</v>
          </cell>
          <cell r="I4479" t="str">
            <v>--</v>
          </cell>
          <cell r="J4479">
            <v>1</v>
          </cell>
          <cell r="K4479">
            <v>1</v>
          </cell>
        </row>
        <row r="4480">
          <cell r="A4480" t="str">
            <v>M2</v>
          </cell>
          <cell r="B4480" t="str">
            <v>A5C</v>
          </cell>
          <cell r="C4480" t="str">
            <v>TRIM</v>
          </cell>
          <cell r="D4480" t="str">
            <v>V-2316</v>
          </cell>
          <cell r="E4480" t="str">
            <v>GLOBE VA</v>
          </cell>
          <cell r="F4480">
            <v>6</v>
          </cell>
          <cell r="G4480" t="str">
            <v>VL8010100000T00</v>
          </cell>
          <cell r="H4480">
            <v>0.75</v>
          </cell>
          <cell r="I4480" t="str">
            <v>--</v>
          </cell>
          <cell r="J4480">
            <v>1</v>
          </cell>
          <cell r="K4480">
            <v>1</v>
          </cell>
        </row>
        <row r="4481">
          <cell r="A4481" t="str">
            <v>M2</v>
          </cell>
          <cell r="B4481" t="str">
            <v>A5C</v>
          </cell>
          <cell r="C4481" t="str">
            <v>N</v>
          </cell>
          <cell r="D4481" t="str">
            <v>23613</v>
          </cell>
          <cell r="E4481" t="str">
            <v>GLOBE VA</v>
          </cell>
          <cell r="F4481">
            <v>6</v>
          </cell>
          <cell r="G4481" t="str">
            <v>VL8010100000T00</v>
          </cell>
          <cell r="H4481">
            <v>0.75</v>
          </cell>
          <cell r="I4481" t="str">
            <v>--</v>
          </cell>
          <cell r="J4481">
            <v>1</v>
          </cell>
          <cell r="K4481">
            <v>1</v>
          </cell>
        </row>
        <row r="4482">
          <cell r="A4482" t="str">
            <v>M2</v>
          </cell>
          <cell r="B4482" t="str">
            <v>A5C</v>
          </cell>
          <cell r="C4482" t="str">
            <v>N</v>
          </cell>
          <cell r="D4482" t="str">
            <v>23620</v>
          </cell>
          <cell r="E4482" t="str">
            <v>GLOBE VA</v>
          </cell>
          <cell r="F4482">
            <v>6</v>
          </cell>
          <cell r="G4482" t="str">
            <v>VL8010100000T00</v>
          </cell>
          <cell r="H4482">
            <v>0.75</v>
          </cell>
          <cell r="I4482" t="str">
            <v>--</v>
          </cell>
          <cell r="J4482">
            <v>1</v>
          </cell>
          <cell r="K4482">
            <v>1</v>
          </cell>
        </row>
        <row r="4483">
          <cell r="A4483" t="str">
            <v>M2</v>
          </cell>
          <cell r="B4483" t="str">
            <v>A5C</v>
          </cell>
          <cell r="C4483" t="str">
            <v>N</v>
          </cell>
          <cell r="D4483" t="str">
            <v>23621</v>
          </cell>
          <cell r="E4483" t="str">
            <v>GLOBE VA</v>
          </cell>
          <cell r="F4483">
            <v>6</v>
          </cell>
          <cell r="G4483" t="str">
            <v>VL8010100000T00</v>
          </cell>
          <cell r="H4483">
            <v>0.75</v>
          </cell>
          <cell r="I4483" t="str">
            <v>--</v>
          </cell>
          <cell r="J4483">
            <v>1</v>
          </cell>
          <cell r="K4483">
            <v>1</v>
          </cell>
        </row>
        <row r="4484">
          <cell r="A4484" t="str">
            <v>M2</v>
          </cell>
          <cell r="B4484" t="str">
            <v>A5C</v>
          </cell>
          <cell r="C4484" t="str">
            <v>N</v>
          </cell>
          <cell r="D4484" t="str">
            <v>24613</v>
          </cell>
          <cell r="E4484" t="str">
            <v>GLOBE VA</v>
          </cell>
          <cell r="F4484">
            <v>6</v>
          </cell>
          <cell r="G4484" t="str">
            <v>VL8010100000T00</v>
          </cell>
          <cell r="H4484">
            <v>0.75</v>
          </cell>
          <cell r="I4484" t="str">
            <v>--</v>
          </cell>
          <cell r="J4484">
            <v>1</v>
          </cell>
          <cell r="K4484">
            <v>1</v>
          </cell>
        </row>
        <row r="4485">
          <cell r="A4485" t="str">
            <v>M2</v>
          </cell>
          <cell r="B4485" t="str">
            <v>A5C</v>
          </cell>
          <cell r="C4485" t="str">
            <v>N</v>
          </cell>
          <cell r="D4485" t="str">
            <v>24614</v>
          </cell>
          <cell r="E4485" t="str">
            <v>GLOBE VA</v>
          </cell>
          <cell r="F4485">
            <v>6</v>
          </cell>
          <cell r="G4485" t="str">
            <v>VL8010100000T00</v>
          </cell>
          <cell r="H4485">
            <v>0.75</v>
          </cell>
          <cell r="I4485" t="str">
            <v>--</v>
          </cell>
          <cell r="J4485">
            <v>1</v>
          </cell>
          <cell r="K4485">
            <v>1</v>
          </cell>
        </row>
        <row r="4486">
          <cell r="A4486" t="str">
            <v>M2</v>
          </cell>
          <cell r="B4486" t="str">
            <v>A5C</v>
          </cell>
          <cell r="C4486" t="str">
            <v>P</v>
          </cell>
          <cell r="D4486" t="str">
            <v>23141</v>
          </cell>
          <cell r="E4486" t="str">
            <v>GLOBE VA</v>
          </cell>
          <cell r="F4486">
            <v>6</v>
          </cell>
          <cell r="G4486" t="str">
            <v>VL8010100000T00</v>
          </cell>
          <cell r="H4486">
            <v>0.75</v>
          </cell>
          <cell r="I4486" t="str">
            <v>--</v>
          </cell>
          <cell r="J4486">
            <v>1</v>
          </cell>
          <cell r="K4486">
            <v>1</v>
          </cell>
        </row>
        <row r="4487">
          <cell r="A4487" t="str">
            <v>M2</v>
          </cell>
          <cell r="B4487" t="str">
            <v>A5C</v>
          </cell>
          <cell r="C4487" t="str">
            <v>P</v>
          </cell>
          <cell r="D4487" t="str">
            <v>23149</v>
          </cell>
          <cell r="E4487" t="str">
            <v>GLOBE VA</v>
          </cell>
          <cell r="F4487">
            <v>6</v>
          </cell>
          <cell r="G4487" t="str">
            <v>VL8010100000T00</v>
          </cell>
          <cell r="H4487">
            <v>0.75</v>
          </cell>
          <cell r="I4487" t="str">
            <v>--</v>
          </cell>
          <cell r="J4487">
            <v>1</v>
          </cell>
          <cell r="K4487">
            <v>1</v>
          </cell>
        </row>
        <row r="4488">
          <cell r="A4488" t="str">
            <v>M2</v>
          </cell>
          <cell r="B4488" t="str">
            <v>A5C</v>
          </cell>
          <cell r="C4488" t="str">
            <v>P</v>
          </cell>
          <cell r="D4488" t="str">
            <v>23225</v>
          </cell>
          <cell r="E4488" t="str">
            <v>GLOBE VA</v>
          </cell>
          <cell r="F4488">
            <v>6</v>
          </cell>
          <cell r="G4488" t="str">
            <v>VL8010100000T00</v>
          </cell>
          <cell r="H4488">
            <v>0.75</v>
          </cell>
          <cell r="I4488" t="str">
            <v>--</v>
          </cell>
          <cell r="J4488">
            <v>1</v>
          </cell>
          <cell r="K4488">
            <v>1</v>
          </cell>
        </row>
        <row r="4489">
          <cell r="A4489" t="str">
            <v>M2</v>
          </cell>
          <cell r="B4489" t="str">
            <v>A5C</v>
          </cell>
          <cell r="C4489" t="str">
            <v>P</v>
          </cell>
          <cell r="D4489" t="str">
            <v>23059</v>
          </cell>
          <cell r="E4489" t="str">
            <v>BALL VA</v>
          </cell>
          <cell r="F4489">
            <v>6</v>
          </cell>
          <cell r="G4489" t="str">
            <v>VB8010600000T00</v>
          </cell>
          <cell r="H4489">
            <v>0.75</v>
          </cell>
          <cell r="I4489" t="str">
            <v>--</v>
          </cell>
          <cell r="J4489">
            <v>2</v>
          </cell>
          <cell r="K4489">
            <v>2</v>
          </cell>
        </row>
        <row r="4490">
          <cell r="A4490" t="str">
            <v>M2</v>
          </cell>
          <cell r="B4490" t="str">
            <v>A5C</v>
          </cell>
          <cell r="C4490" t="str">
            <v>P</v>
          </cell>
          <cell r="D4490" t="str">
            <v>23059</v>
          </cell>
          <cell r="E4490" t="str">
            <v>BALL VA</v>
          </cell>
          <cell r="F4490">
            <v>6</v>
          </cell>
          <cell r="G4490" t="str">
            <v>VB8010600000T00</v>
          </cell>
          <cell r="H4490">
            <v>0.75</v>
          </cell>
          <cell r="I4490" t="str">
            <v>--</v>
          </cell>
          <cell r="J4490">
            <v>2</v>
          </cell>
          <cell r="K4490">
            <v>2</v>
          </cell>
        </row>
        <row r="4491">
          <cell r="A4491" t="str">
            <v>M2</v>
          </cell>
          <cell r="B4491" t="str">
            <v>A5C</v>
          </cell>
          <cell r="C4491" t="str">
            <v>P</v>
          </cell>
          <cell r="D4491" t="str">
            <v>23059</v>
          </cell>
          <cell r="E4491" t="str">
            <v>BALL VA</v>
          </cell>
          <cell r="F4491">
            <v>6</v>
          </cell>
          <cell r="G4491" t="str">
            <v>VB8010600000T00</v>
          </cell>
          <cell r="H4491">
            <v>0.75</v>
          </cell>
          <cell r="I4491" t="str">
            <v>--</v>
          </cell>
          <cell r="J4491">
            <v>3</v>
          </cell>
          <cell r="K4491">
            <v>3</v>
          </cell>
        </row>
        <row r="4492">
          <cell r="A4492" t="str">
            <v>M2</v>
          </cell>
          <cell r="B4492" t="str">
            <v>A5C</v>
          </cell>
          <cell r="C4492" t="str">
            <v>P</v>
          </cell>
          <cell r="D4492" t="str">
            <v>23183</v>
          </cell>
          <cell r="E4492" t="str">
            <v>BALL VA</v>
          </cell>
          <cell r="F4492">
            <v>6</v>
          </cell>
          <cell r="G4492" t="str">
            <v>VB8010600000T00</v>
          </cell>
          <cell r="H4492">
            <v>0.75</v>
          </cell>
          <cell r="I4492" t="str">
            <v>--</v>
          </cell>
          <cell r="J4492">
            <v>1</v>
          </cell>
          <cell r="K4492">
            <v>1</v>
          </cell>
        </row>
        <row r="4493">
          <cell r="A4493" t="str">
            <v>M2</v>
          </cell>
          <cell r="B4493" t="str">
            <v>A5C</v>
          </cell>
          <cell r="C4493" t="str">
            <v>P</v>
          </cell>
          <cell r="D4493" t="str">
            <v>23264</v>
          </cell>
          <cell r="E4493" t="str">
            <v>BALL VA</v>
          </cell>
          <cell r="F4493">
            <v>6</v>
          </cell>
          <cell r="G4493" t="str">
            <v>VB8010600000T00</v>
          </cell>
          <cell r="H4493">
            <v>0.75</v>
          </cell>
          <cell r="I4493" t="str">
            <v>--</v>
          </cell>
          <cell r="J4493">
            <v>1</v>
          </cell>
          <cell r="K4493">
            <v>1</v>
          </cell>
        </row>
        <row r="4494">
          <cell r="A4494" t="str">
            <v>M2</v>
          </cell>
          <cell r="B4494" t="str">
            <v>A5C</v>
          </cell>
          <cell r="C4494" t="str">
            <v>P</v>
          </cell>
          <cell r="D4494" t="str">
            <v>23264</v>
          </cell>
          <cell r="E4494" t="str">
            <v>BALL VA</v>
          </cell>
          <cell r="F4494">
            <v>6</v>
          </cell>
          <cell r="G4494" t="str">
            <v>VB8010600000T00</v>
          </cell>
          <cell r="H4494">
            <v>0.75</v>
          </cell>
          <cell r="I4494" t="str">
            <v>--</v>
          </cell>
          <cell r="J4494">
            <v>1</v>
          </cell>
          <cell r="K4494">
            <v>1</v>
          </cell>
        </row>
        <row r="4495">
          <cell r="A4495" t="str">
            <v>M2</v>
          </cell>
          <cell r="B4495" t="str">
            <v>A5C</v>
          </cell>
          <cell r="C4495" t="str">
            <v>TRIM</v>
          </cell>
          <cell r="D4495" t="str">
            <v>V-2352</v>
          </cell>
          <cell r="E4495" t="str">
            <v>BALL VA</v>
          </cell>
          <cell r="F4495">
            <v>6</v>
          </cell>
          <cell r="G4495" t="str">
            <v>VB8010600000T00</v>
          </cell>
          <cell r="H4495">
            <v>0.75</v>
          </cell>
          <cell r="I4495" t="str">
            <v>--</v>
          </cell>
          <cell r="J4495">
            <v>2</v>
          </cell>
          <cell r="K4495">
            <v>2</v>
          </cell>
        </row>
        <row r="4496">
          <cell r="A4496" t="str">
            <v>M2</v>
          </cell>
          <cell r="B4496" t="str">
            <v>A5C</v>
          </cell>
          <cell r="C4496" t="str">
            <v>TRIM</v>
          </cell>
          <cell r="D4496" t="str">
            <v>V-2352</v>
          </cell>
          <cell r="E4496" t="str">
            <v>BALL VA</v>
          </cell>
          <cell r="F4496">
            <v>6</v>
          </cell>
          <cell r="G4496" t="str">
            <v>VB8010600000T00</v>
          </cell>
          <cell r="H4496">
            <v>0.75</v>
          </cell>
          <cell r="I4496" t="str">
            <v>--</v>
          </cell>
          <cell r="J4496">
            <v>3</v>
          </cell>
          <cell r="K4496">
            <v>3</v>
          </cell>
        </row>
        <row r="4497">
          <cell r="A4497" t="str">
            <v>M2</v>
          </cell>
          <cell r="B4497" t="str">
            <v>A5C</v>
          </cell>
          <cell r="C4497" t="str">
            <v>P</v>
          </cell>
          <cell r="D4497" t="str">
            <v>23059</v>
          </cell>
          <cell r="E4497" t="str">
            <v>GLOBE VA</v>
          </cell>
          <cell r="F4497">
            <v>6</v>
          </cell>
          <cell r="G4497" t="str">
            <v>VL8010100000T00</v>
          </cell>
          <cell r="H4497">
            <v>0.75</v>
          </cell>
          <cell r="I4497" t="str">
            <v>--</v>
          </cell>
          <cell r="J4497">
            <v>1</v>
          </cell>
          <cell r="K4497">
            <v>1</v>
          </cell>
        </row>
        <row r="4498">
          <cell r="A4498" t="str">
            <v>M2</v>
          </cell>
          <cell r="B4498" t="str">
            <v>A5C</v>
          </cell>
          <cell r="C4498" t="str">
            <v>TRIM</v>
          </cell>
          <cell r="D4498" t="str">
            <v>C-2303</v>
          </cell>
          <cell r="E4498" t="str">
            <v>BALL VA</v>
          </cell>
          <cell r="F4498">
            <v>6</v>
          </cell>
          <cell r="G4498" t="str">
            <v>VB8010600000T00</v>
          </cell>
          <cell r="H4498">
            <v>0.75</v>
          </cell>
          <cell r="I4498" t="str">
            <v>--</v>
          </cell>
          <cell r="J4498">
            <v>4</v>
          </cell>
          <cell r="K4498">
            <v>4</v>
          </cell>
        </row>
        <row r="4499">
          <cell r="A4499" t="str">
            <v>M2</v>
          </cell>
          <cell r="B4499" t="str">
            <v>A5C</v>
          </cell>
          <cell r="C4499" t="str">
            <v>P</v>
          </cell>
          <cell r="D4499" t="str">
            <v>23018</v>
          </cell>
          <cell r="E4499" t="str">
            <v>BALL VA</v>
          </cell>
          <cell r="F4499">
            <v>6</v>
          </cell>
          <cell r="G4499" t="str">
            <v>VB8010600000T00</v>
          </cell>
          <cell r="H4499">
            <v>0.75</v>
          </cell>
          <cell r="I4499" t="str">
            <v>--</v>
          </cell>
          <cell r="J4499">
            <v>2</v>
          </cell>
          <cell r="K4499">
            <v>2</v>
          </cell>
        </row>
        <row r="4500">
          <cell r="A4500" t="str">
            <v>M2</v>
          </cell>
          <cell r="B4500" t="str">
            <v>A5C</v>
          </cell>
          <cell r="C4500" t="str">
            <v>P</v>
          </cell>
          <cell r="D4500" t="str">
            <v>23018</v>
          </cell>
          <cell r="E4500" t="str">
            <v>BALL VA</v>
          </cell>
          <cell r="F4500">
            <v>6</v>
          </cell>
          <cell r="G4500" t="str">
            <v>VB8010600000T00</v>
          </cell>
          <cell r="H4500">
            <v>0.75</v>
          </cell>
          <cell r="I4500" t="str">
            <v>--</v>
          </cell>
          <cell r="J4500">
            <v>1</v>
          </cell>
          <cell r="K4500">
            <v>1</v>
          </cell>
        </row>
        <row r="4501">
          <cell r="A4501" t="str">
            <v>M2</v>
          </cell>
          <cell r="B4501" t="str">
            <v>A5C</v>
          </cell>
          <cell r="C4501" t="str">
            <v>P</v>
          </cell>
          <cell r="D4501" t="str">
            <v>23018</v>
          </cell>
          <cell r="E4501" t="str">
            <v>BALL VA</v>
          </cell>
          <cell r="F4501">
            <v>6</v>
          </cell>
          <cell r="G4501" t="str">
            <v>VB8010600000T00</v>
          </cell>
          <cell r="H4501">
            <v>0.75</v>
          </cell>
          <cell r="I4501" t="str">
            <v>--</v>
          </cell>
          <cell r="J4501">
            <v>1</v>
          </cell>
          <cell r="K4501">
            <v>1</v>
          </cell>
        </row>
        <row r="4502">
          <cell r="A4502" t="str">
            <v>M2</v>
          </cell>
          <cell r="B4502" t="str">
            <v>A5C</v>
          </cell>
          <cell r="C4502" t="str">
            <v>P</v>
          </cell>
          <cell r="D4502" t="str">
            <v>23019</v>
          </cell>
          <cell r="E4502" t="str">
            <v>BALL VA</v>
          </cell>
          <cell r="F4502">
            <v>6</v>
          </cell>
          <cell r="G4502" t="str">
            <v>VB8010600000T00</v>
          </cell>
          <cell r="H4502">
            <v>0.75</v>
          </cell>
          <cell r="I4502" t="str">
            <v>--</v>
          </cell>
          <cell r="J4502">
            <v>2</v>
          </cell>
          <cell r="K4502">
            <v>2</v>
          </cell>
        </row>
        <row r="4503">
          <cell r="A4503" t="str">
            <v>M2</v>
          </cell>
          <cell r="B4503" t="str">
            <v>A5C</v>
          </cell>
          <cell r="C4503" t="str">
            <v>P</v>
          </cell>
          <cell r="D4503" t="str">
            <v>23019</v>
          </cell>
          <cell r="E4503" t="str">
            <v>BALL VA</v>
          </cell>
          <cell r="F4503">
            <v>6</v>
          </cell>
          <cell r="G4503" t="str">
            <v>VB8010600000T00</v>
          </cell>
          <cell r="H4503">
            <v>0.75</v>
          </cell>
          <cell r="I4503" t="str">
            <v>--</v>
          </cell>
          <cell r="J4503">
            <v>2</v>
          </cell>
          <cell r="K4503">
            <v>2</v>
          </cell>
        </row>
        <row r="4504">
          <cell r="A4504" t="str">
            <v>M2</v>
          </cell>
          <cell r="B4504" t="str">
            <v>A5C</v>
          </cell>
          <cell r="C4504" t="str">
            <v>P</v>
          </cell>
          <cell r="D4504" t="str">
            <v>23020</v>
          </cell>
          <cell r="E4504" t="str">
            <v>BALL VA</v>
          </cell>
          <cell r="F4504">
            <v>6</v>
          </cell>
          <cell r="G4504" t="str">
            <v>VB8010600000T00</v>
          </cell>
          <cell r="H4504">
            <v>0.75</v>
          </cell>
          <cell r="I4504" t="str">
            <v>--</v>
          </cell>
          <cell r="J4504">
            <v>1</v>
          </cell>
          <cell r="K4504">
            <v>1</v>
          </cell>
        </row>
        <row r="4505">
          <cell r="A4505" t="str">
            <v>M2</v>
          </cell>
          <cell r="B4505" t="str">
            <v>A5C</v>
          </cell>
          <cell r="C4505" t="str">
            <v>P</v>
          </cell>
          <cell r="D4505" t="str">
            <v>23024</v>
          </cell>
          <cell r="E4505" t="str">
            <v>BALL VA</v>
          </cell>
          <cell r="F4505">
            <v>6</v>
          </cell>
          <cell r="G4505" t="str">
            <v>VB8010600000T00</v>
          </cell>
          <cell r="H4505">
            <v>0.75</v>
          </cell>
          <cell r="I4505" t="str">
            <v>--</v>
          </cell>
          <cell r="J4505">
            <v>2</v>
          </cell>
          <cell r="K4505">
            <v>2</v>
          </cell>
        </row>
        <row r="4506">
          <cell r="A4506" t="str">
            <v>M2</v>
          </cell>
          <cell r="B4506" t="str">
            <v>A5C</v>
          </cell>
          <cell r="C4506" t="str">
            <v>P</v>
          </cell>
          <cell r="D4506" t="str">
            <v>23024</v>
          </cell>
          <cell r="E4506" t="str">
            <v>BALL VA</v>
          </cell>
          <cell r="F4506">
            <v>6</v>
          </cell>
          <cell r="G4506" t="str">
            <v>VB8010600000T00</v>
          </cell>
          <cell r="H4506">
            <v>0.75</v>
          </cell>
          <cell r="I4506" t="str">
            <v>--</v>
          </cell>
          <cell r="J4506">
            <v>2</v>
          </cell>
          <cell r="K4506">
            <v>2</v>
          </cell>
        </row>
        <row r="4507">
          <cell r="A4507" t="str">
            <v>M2</v>
          </cell>
          <cell r="B4507" t="str">
            <v>A5C</v>
          </cell>
          <cell r="C4507" t="str">
            <v>P</v>
          </cell>
          <cell r="D4507" t="str">
            <v>23027</v>
          </cell>
          <cell r="E4507" t="str">
            <v>BALL VA</v>
          </cell>
          <cell r="F4507">
            <v>6</v>
          </cell>
          <cell r="G4507" t="str">
            <v>VB8010600000T00</v>
          </cell>
          <cell r="H4507">
            <v>0.75</v>
          </cell>
          <cell r="I4507" t="str">
            <v>--</v>
          </cell>
          <cell r="J4507">
            <v>1</v>
          </cell>
          <cell r="K4507">
            <v>1</v>
          </cell>
        </row>
        <row r="4508">
          <cell r="A4508" t="str">
            <v>M2</v>
          </cell>
          <cell r="B4508" t="str">
            <v>A5C</v>
          </cell>
          <cell r="C4508" t="str">
            <v>P</v>
          </cell>
          <cell r="D4508" t="str">
            <v>23027</v>
          </cell>
          <cell r="E4508" t="str">
            <v>BALL VA</v>
          </cell>
          <cell r="F4508">
            <v>6</v>
          </cell>
          <cell r="G4508" t="str">
            <v>VB8010600000T00</v>
          </cell>
          <cell r="H4508">
            <v>0.75</v>
          </cell>
          <cell r="I4508" t="str">
            <v>--</v>
          </cell>
          <cell r="J4508">
            <v>2</v>
          </cell>
          <cell r="K4508">
            <v>2</v>
          </cell>
        </row>
        <row r="4509">
          <cell r="A4509" t="str">
            <v>M2</v>
          </cell>
          <cell r="B4509" t="str">
            <v>A5C</v>
          </cell>
          <cell r="C4509" t="str">
            <v>P</v>
          </cell>
          <cell r="D4509" t="str">
            <v>23028</v>
          </cell>
          <cell r="E4509" t="str">
            <v>BALL VA</v>
          </cell>
          <cell r="F4509">
            <v>6</v>
          </cell>
          <cell r="G4509" t="str">
            <v>VB8010600000T00</v>
          </cell>
          <cell r="H4509">
            <v>0.75</v>
          </cell>
          <cell r="I4509" t="str">
            <v>--</v>
          </cell>
          <cell r="J4509">
            <v>3</v>
          </cell>
          <cell r="K4509">
            <v>3</v>
          </cell>
        </row>
        <row r="4510">
          <cell r="A4510" t="str">
            <v>M2</v>
          </cell>
          <cell r="B4510" t="str">
            <v>A5C</v>
          </cell>
          <cell r="C4510" t="str">
            <v>P</v>
          </cell>
          <cell r="D4510" t="str">
            <v>23029</v>
          </cell>
          <cell r="E4510" t="str">
            <v>BALL VA</v>
          </cell>
          <cell r="F4510">
            <v>6</v>
          </cell>
          <cell r="G4510" t="str">
            <v>VB8010600000T00</v>
          </cell>
          <cell r="H4510">
            <v>0.75</v>
          </cell>
          <cell r="I4510" t="str">
            <v>--</v>
          </cell>
          <cell r="J4510">
            <v>2</v>
          </cell>
          <cell r="K4510">
            <v>2</v>
          </cell>
        </row>
        <row r="4511">
          <cell r="A4511" t="str">
            <v>M2</v>
          </cell>
          <cell r="B4511" t="str">
            <v>A5C</v>
          </cell>
          <cell r="C4511" t="str">
            <v>P</v>
          </cell>
          <cell r="D4511" t="str">
            <v>23029</v>
          </cell>
          <cell r="E4511" t="str">
            <v>BALL VA</v>
          </cell>
          <cell r="F4511">
            <v>6</v>
          </cell>
          <cell r="G4511" t="str">
            <v>VB8010600000T00</v>
          </cell>
          <cell r="H4511">
            <v>0.75</v>
          </cell>
          <cell r="I4511" t="str">
            <v>--</v>
          </cell>
          <cell r="J4511">
            <v>1</v>
          </cell>
          <cell r="K4511">
            <v>1</v>
          </cell>
        </row>
        <row r="4512">
          <cell r="A4512" t="str">
            <v>M2</v>
          </cell>
          <cell r="B4512" t="str">
            <v>A5C</v>
          </cell>
          <cell r="C4512" t="str">
            <v>P</v>
          </cell>
          <cell r="D4512" t="str">
            <v>23032</v>
          </cell>
          <cell r="E4512" t="str">
            <v>BALL VA</v>
          </cell>
          <cell r="F4512">
            <v>6</v>
          </cell>
          <cell r="G4512" t="str">
            <v>VB8010600000T00</v>
          </cell>
          <cell r="H4512">
            <v>0.75</v>
          </cell>
          <cell r="I4512" t="str">
            <v>--</v>
          </cell>
          <cell r="J4512">
            <v>2</v>
          </cell>
          <cell r="K4512">
            <v>2</v>
          </cell>
        </row>
        <row r="4513">
          <cell r="A4513" t="str">
            <v>M2</v>
          </cell>
          <cell r="B4513" t="str">
            <v>A5C</v>
          </cell>
          <cell r="C4513" t="str">
            <v>P</v>
          </cell>
          <cell r="D4513" t="str">
            <v>23033</v>
          </cell>
          <cell r="E4513" t="str">
            <v>BALL VA</v>
          </cell>
          <cell r="F4513">
            <v>6</v>
          </cell>
          <cell r="G4513" t="str">
            <v>VB8010600000T00</v>
          </cell>
          <cell r="H4513">
            <v>0.75</v>
          </cell>
          <cell r="I4513" t="str">
            <v>--</v>
          </cell>
          <cell r="J4513">
            <v>2</v>
          </cell>
          <cell r="K4513">
            <v>2</v>
          </cell>
        </row>
        <row r="4514">
          <cell r="A4514" t="str">
            <v>M2</v>
          </cell>
          <cell r="B4514" t="str">
            <v>A5C</v>
          </cell>
          <cell r="C4514" t="str">
            <v>P</v>
          </cell>
          <cell r="D4514" t="str">
            <v>23039</v>
          </cell>
          <cell r="E4514" t="str">
            <v>BALL VA</v>
          </cell>
          <cell r="F4514">
            <v>6</v>
          </cell>
          <cell r="G4514" t="str">
            <v>VB8010600000T00</v>
          </cell>
          <cell r="H4514">
            <v>0.75</v>
          </cell>
          <cell r="I4514" t="str">
            <v>--</v>
          </cell>
          <cell r="J4514">
            <v>2</v>
          </cell>
          <cell r="K4514">
            <v>2</v>
          </cell>
        </row>
        <row r="4515">
          <cell r="A4515" t="str">
            <v>M2</v>
          </cell>
          <cell r="B4515" t="str">
            <v>A5C</v>
          </cell>
          <cell r="C4515" t="str">
            <v>P</v>
          </cell>
          <cell r="D4515" t="str">
            <v>23039</v>
          </cell>
          <cell r="E4515" t="str">
            <v>BALL VA</v>
          </cell>
          <cell r="F4515">
            <v>6</v>
          </cell>
          <cell r="G4515" t="str">
            <v>VB8010600000T00</v>
          </cell>
          <cell r="H4515">
            <v>0.75</v>
          </cell>
          <cell r="I4515" t="str">
            <v>--</v>
          </cell>
          <cell r="J4515">
            <v>2</v>
          </cell>
          <cell r="K4515">
            <v>2</v>
          </cell>
        </row>
        <row r="4516">
          <cell r="A4516" t="str">
            <v>M2</v>
          </cell>
          <cell r="B4516" t="str">
            <v>A5C</v>
          </cell>
          <cell r="C4516" t="str">
            <v>P</v>
          </cell>
          <cell r="D4516" t="str">
            <v>23039</v>
          </cell>
          <cell r="E4516" t="str">
            <v>BALL VA</v>
          </cell>
          <cell r="F4516">
            <v>6</v>
          </cell>
          <cell r="G4516" t="str">
            <v>VB8010600000T00</v>
          </cell>
          <cell r="H4516">
            <v>0.75</v>
          </cell>
          <cell r="I4516" t="str">
            <v>--</v>
          </cell>
          <cell r="J4516">
            <v>1</v>
          </cell>
          <cell r="K4516">
            <v>1</v>
          </cell>
        </row>
        <row r="4517">
          <cell r="A4517" t="str">
            <v>M2</v>
          </cell>
          <cell r="B4517" t="str">
            <v>A5C</v>
          </cell>
          <cell r="C4517" t="str">
            <v>P</v>
          </cell>
          <cell r="D4517" t="str">
            <v>23048</v>
          </cell>
          <cell r="E4517" t="str">
            <v>BALL VA</v>
          </cell>
          <cell r="F4517">
            <v>6</v>
          </cell>
          <cell r="G4517" t="str">
            <v>VB8010600000T00</v>
          </cell>
          <cell r="H4517">
            <v>0.75</v>
          </cell>
          <cell r="I4517" t="str">
            <v>--</v>
          </cell>
          <cell r="J4517">
            <v>2</v>
          </cell>
          <cell r="K4517">
            <v>2</v>
          </cell>
        </row>
        <row r="4518">
          <cell r="A4518" t="str">
            <v>M2</v>
          </cell>
          <cell r="B4518" t="str">
            <v>A5C</v>
          </cell>
          <cell r="C4518" t="str">
            <v>P</v>
          </cell>
          <cell r="D4518" t="str">
            <v>23048</v>
          </cell>
          <cell r="E4518" t="str">
            <v>BALL VA</v>
          </cell>
          <cell r="F4518">
            <v>6</v>
          </cell>
          <cell r="G4518" t="str">
            <v>VB8010600000T00</v>
          </cell>
          <cell r="H4518">
            <v>0.75</v>
          </cell>
          <cell r="I4518" t="str">
            <v>--</v>
          </cell>
          <cell r="J4518">
            <v>2</v>
          </cell>
          <cell r="K4518">
            <v>2</v>
          </cell>
        </row>
        <row r="4519">
          <cell r="A4519" t="str">
            <v>M2</v>
          </cell>
          <cell r="B4519" t="str">
            <v>A5C</v>
          </cell>
          <cell r="C4519" t="str">
            <v>P</v>
          </cell>
          <cell r="D4519" t="str">
            <v>23048</v>
          </cell>
          <cell r="E4519" t="str">
            <v>BALL VA</v>
          </cell>
          <cell r="F4519">
            <v>6</v>
          </cell>
          <cell r="G4519" t="str">
            <v>VB8010600000T00</v>
          </cell>
          <cell r="H4519">
            <v>0.75</v>
          </cell>
          <cell r="I4519" t="str">
            <v>--</v>
          </cell>
          <cell r="J4519">
            <v>3</v>
          </cell>
          <cell r="K4519">
            <v>3</v>
          </cell>
        </row>
        <row r="4520">
          <cell r="A4520" t="str">
            <v>M2</v>
          </cell>
          <cell r="B4520" t="str">
            <v>A5C</v>
          </cell>
          <cell r="C4520" t="str">
            <v>P</v>
          </cell>
          <cell r="D4520" t="str">
            <v>23051</v>
          </cell>
          <cell r="E4520" t="str">
            <v>BALL VA</v>
          </cell>
          <cell r="F4520">
            <v>6</v>
          </cell>
          <cell r="G4520" t="str">
            <v>VB8010600000T00</v>
          </cell>
          <cell r="H4520">
            <v>0.75</v>
          </cell>
          <cell r="I4520" t="str">
            <v>--</v>
          </cell>
          <cell r="J4520">
            <v>2</v>
          </cell>
          <cell r="K4520">
            <v>2</v>
          </cell>
        </row>
        <row r="4521">
          <cell r="A4521" t="str">
            <v>M2</v>
          </cell>
          <cell r="B4521" t="str">
            <v>A5C</v>
          </cell>
          <cell r="C4521" t="str">
            <v>P</v>
          </cell>
          <cell r="D4521" t="str">
            <v>23053</v>
          </cell>
          <cell r="E4521" t="str">
            <v>BALL VA</v>
          </cell>
          <cell r="F4521">
            <v>6</v>
          </cell>
          <cell r="G4521" t="str">
            <v>VB8010600000T00</v>
          </cell>
          <cell r="H4521">
            <v>0.75</v>
          </cell>
          <cell r="I4521" t="str">
            <v>--</v>
          </cell>
          <cell r="J4521">
            <v>2</v>
          </cell>
          <cell r="K4521">
            <v>2</v>
          </cell>
        </row>
        <row r="4522">
          <cell r="A4522" t="str">
            <v>M2</v>
          </cell>
          <cell r="B4522" t="str">
            <v>A5C</v>
          </cell>
          <cell r="C4522" t="str">
            <v>P</v>
          </cell>
          <cell r="D4522" t="str">
            <v>23053</v>
          </cell>
          <cell r="E4522" t="str">
            <v>BALL VA</v>
          </cell>
          <cell r="F4522">
            <v>6</v>
          </cell>
          <cell r="G4522" t="str">
            <v>VB8010600000T00</v>
          </cell>
          <cell r="H4522">
            <v>0.75</v>
          </cell>
          <cell r="I4522" t="str">
            <v>--</v>
          </cell>
          <cell r="J4522">
            <v>2</v>
          </cell>
          <cell r="K4522">
            <v>2</v>
          </cell>
        </row>
        <row r="4523">
          <cell r="A4523" t="str">
            <v>M2</v>
          </cell>
          <cell r="B4523" t="str">
            <v>A5C</v>
          </cell>
          <cell r="C4523" t="str">
            <v>P</v>
          </cell>
          <cell r="D4523" t="str">
            <v>23053</v>
          </cell>
          <cell r="E4523" t="str">
            <v>BALL VA</v>
          </cell>
          <cell r="F4523">
            <v>6</v>
          </cell>
          <cell r="G4523" t="str">
            <v>VB8010600000T00</v>
          </cell>
          <cell r="H4523">
            <v>0.75</v>
          </cell>
          <cell r="I4523" t="str">
            <v>--</v>
          </cell>
          <cell r="J4523">
            <v>1</v>
          </cell>
          <cell r="K4523">
            <v>1</v>
          </cell>
        </row>
        <row r="4524">
          <cell r="A4524" t="str">
            <v>M2</v>
          </cell>
          <cell r="B4524" t="str">
            <v>A5C</v>
          </cell>
          <cell r="C4524" t="str">
            <v>P</v>
          </cell>
          <cell r="D4524" t="str">
            <v>23053</v>
          </cell>
          <cell r="E4524" t="str">
            <v>BALL VA</v>
          </cell>
          <cell r="F4524">
            <v>6</v>
          </cell>
          <cell r="G4524" t="str">
            <v>VB8010600000T00</v>
          </cell>
          <cell r="H4524">
            <v>0.75</v>
          </cell>
          <cell r="I4524" t="str">
            <v>--</v>
          </cell>
          <cell r="J4524">
            <v>2</v>
          </cell>
          <cell r="K4524">
            <v>2</v>
          </cell>
        </row>
        <row r="4525">
          <cell r="A4525" t="str">
            <v>M2</v>
          </cell>
          <cell r="B4525" t="str">
            <v>A5C</v>
          </cell>
          <cell r="C4525" t="str">
            <v>P</v>
          </cell>
          <cell r="D4525" t="str">
            <v>23064</v>
          </cell>
          <cell r="E4525" t="str">
            <v>BALL VA</v>
          </cell>
          <cell r="F4525">
            <v>6</v>
          </cell>
          <cell r="G4525" t="str">
            <v>VB8010600000T00</v>
          </cell>
          <cell r="H4525">
            <v>0.75</v>
          </cell>
          <cell r="I4525" t="str">
            <v>--</v>
          </cell>
          <cell r="J4525">
            <v>2</v>
          </cell>
          <cell r="K4525">
            <v>2</v>
          </cell>
        </row>
        <row r="4526">
          <cell r="A4526" t="str">
            <v>M2</v>
          </cell>
          <cell r="B4526" t="str">
            <v>A5C</v>
          </cell>
          <cell r="C4526" t="str">
            <v>P</v>
          </cell>
          <cell r="D4526" t="str">
            <v>23064</v>
          </cell>
          <cell r="E4526" t="str">
            <v>BALL VA</v>
          </cell>
          <cell r="F4526">
            <v>6</v>
          </cell>
          <cell r="G4526" t="str">
            <v>VB8010600000T00</v>
          </cell>
          <cell r="H4526">
            <v>0.75</v>
          </cell>
          <cell r="I4526" t="str">
            <v>--</v>
          </cell>
          <cell r="J4526">
            <v>2</v>
          </cell>
          <cell r="K4526">
            <v>2</v>
          </cell>
        </row>
        <row r="4527">
          <cell r="A4527" t="str">
            <v>M2</v>
          </cell>
          <cell r="B4527" t="str">
            <v>A5C</v>
          </cell>
          <cell r="C4527" t="str">
            <v>P</v>
          </cell>
          <cell r="D4527" t="str">
            <v>23064</v>
          </cell>
          <cell r="E4527" t="str">
            <v>BALL VA</v>
          </cell>
          <cell r="F4527">
            <v>6</v>
          </cell>
          <cell r="G4527" t="str">
            <v>VB8010600000T00</v>
          </cell>
          <cell r="H4527">
            <v>0.75</v>
          </cell>
          <cell r="I4527" t="str">
            <v>--</v>
          </cell>
          <cell r="J4527">
            <v>1</v>
          </cell>
          <cell r="K4527">
            <v>1</v>
          </cell>
        </row>
        <row r="4528">
          <cell r="A4528" t="str">
            <v>M2</v>
          </cell>
          <cell r="B4528" t="str">
            <v>A5C</v>
          </cell>
          <cell r="C4528" t="str">
            <v>P</v>
          </cell>
          <cell r="D4528" t="str">
            <v>23074</v>
          </cell>
          <cell r="E4528" t="str">
            <v>BALL VA</v>
          </cell>
          <cell r="F4528">
            <v>6</v>
          </cell>
          <cell r="G4528" t="str">
            <v>VB8010600000T00</v>
          </cell>
          <cell r="H4528">
            <v>0.75</v>
          </cell>
          <cell r="I4528" t="str">
            <v>--</v>
          </cell>
          <cell r="J4528">
            <v>2</v>
          </cell>
          <cell r="K4528">
            <v>2</v>
          </cell>
        </row>
        <row r="4529">
          <cell r="A4529" t="str">
            <v>M2</v>
          </cell>
          <cell r="B4529" t="str">
            <v>A5C</v>
          </cell>
          <cell r="C4529" t="str">
            <v>P</v>
          </cell>
          <cell r="D4529" t="str">
            <v>23079</v>
          </cell>
          <cell r="E4529" t="str">
            <v>BALL VA</v>
          </cell>
          <cell r="F4529">
            <v>6</v>
          </cell>
          <cell r="G4529" t="str">
            <v>VB8010600000T00</v>
          </cell>
          <cell r="H4529">
            <v>0.75</v>
          </cell>
          <cell r="I4529" t="str">
            <v>--</v>
          </cell>
          <cell r="J4529">
            <v>2</v>
          </cell>
          <cell r="K4529">
            <v>2</v>
          </cell>
        </row>
        <row r="4530">
          <cell r="A4530" t="str">
            <v>M2</v>
          </cell>
          <cell r="B4530" t="str">
            <v>A5C</v>
          </cell>
          <cell r="C4530" t="str">
            <v>P</v>
          </cell>
          <cell r="D4530" t="str">
            <v>23079</v>
          </cell>
          <cell r="E4530" t="str">
            <v>BALL VA</v>
          </cell>
          <cell r="F4530">
            <v>6</v>
          </cell>
          <cell r="G4530" t="str">
            <v>VB8010600000T00</v>
          </cell>
          <cell r="H4530">
            <v>0.75</v>
          </cell>
          <cell r="I4530" t="str">
            <v>--</v>
          </cell>
          <cell r="J4530">
            <v>2</v>
          </cell>
          <cell r="K4530">
            <v>2</v>
          </cell>
        </row>
        <row r="4531">
          <cell r="A4531" t="str">
            <v>M2</v>
          </cell>
          <cell r="B4531" t="str">
            <v>A5C</v>
          </cell>
          <cell r="C4531" t="str">
            <v>P</v>
          </cell>
          <cell r="D4531" t="str">
            <v>23089</v>
          </cell>
          <cell r="E4531" t="str">
            <v>BALL VA</v>
          </cell>
          <cell r="F4531">
            <v>6</v>
          </cell>
          <cell r="G4531" t="str">
            <v>VB8010600000T00</v>
          </cell>
          <cell r="H4531">
            <v>0.75</v>
          </cell>
          <cell r="I4531" t="str">
            <v>--</v>
          </cell>
          <cell r="J4531">
            <v>2</v>
          </cell>
          <cell r="K4531">
            <v>2</v>
          </cell>
        </row>
        <row r="4532">
          <cell r="A4532" t="str">
            <v>M2</v>
          </cell>
          <cell r="B4532" t="str">
            <v>A5C</v>
          </cell>
          <cell r="C4532" t="str">
            <v>P</v>
          </cell>
          <cell r="D4532" t="str">
            <v>23091</v>
          </cell>
          <cell r="E4532" t="str">
            <v>BALL VA</v>
          </cell>
          <cell r="F4532">
            <v>6</v>
          </cell>
          <cell r="G4532" t="str">
            <v>VB8010600000T00</v>
          </cell>
          <cell r="H4532">
            <v>0.75</v>
          </cell>
          <cell r="I4532" t="str">
            <v>--</v>
          </cell>
          <cell r="J4532">
            <v>2</v>
          </cell>
          <cell r="K4532">
            <v>2</v>
          </cell>
        </row>
        <row r="4533">
          <cell r="A4533" t="str">
            <v>M2</v>
          </cell>
          <cell r="B4533" t="str">
            <v>A5C</v>
          </cell>
          <cell r="C4533" t="str">
            <v>P</v>
          </cell>
          <cell r="D4533" t="str">
            <v>23091</v>
          </cell>
          <cell r="E4533" t="str">
            <v>BALL VA</v>
          </cell>
          <cell r="F4533">
            <v>6</v>
          </cell>
          <cell r="G4533" t="str">
            <v>VB8010600000T00</v>
          </cell>
          <cell r="H4533">
            <v>0.75</v>
          </cell>
          <cell r="I4533" t="str">
            <v>--</v>
          </cell>
          <cell r="J4533">
            <v>2</v>
          </cell>
          <cell r="K4533">
            <v>2</v>
          </cell>
        </row>
        <row r="4534">
          <cell r="A4534" t="str">
            <v>M2</v>
          </cell>
          <cell r="B4534" t="str">
            <v>A5C</v>
          </cell>
          <cell r="C4534" t="str">
            <v>P</v>
          </cell>
          <cell r="D4534" t="str">
            <v>23128</v>
          </cell>
          <cell r="E4534" t="str">
            <v>BALL VA</v>
          </cell>
          <cell r="F4534">
            <v>6</v>
          </cell>
          <cell r="G4534" t="str">
            <v>VB8010600000T00</v>
          </cell>
          <cell r="H4534">
            <v>0.75</v>
          </cell>
          <cell r="I4534" t="str">
            <v>--</v>
          </cell>
          <cell r="J4534">
            <v>2</v>
          </cell>
          <cell r="K4534">
            <v>2</v>
          </cell>
        </row>
        <row r="4535">
          <cell r="A4535" t="str">
            <v>M2</v>
          </cell>
          <cell r="B4535" t="str">
            <v>A5C</v>
          </cell>
          <cell r="C4535" t="str">
            <v>P</v>
          </cell>
          <cell r="D4535" t="str">
            <v>23130</v>
          </cell>
          <cell r="E4535" t="str">
            <v>BALL VA</v>
          </cell>
          <cell r="F4535">
            <v>6</v>
          </cell>
          <cell r="G4535" t="str">
            <v>VB8010600000T00</v>
          </cell>
          <cell r="H4535">
            <v>0.75</v>
          </cell>
          <cell r="I4535" t="str">
            <v>--</v>
          </cell>
          <cell r="J4535">
            <v>2</v>
          </cell>
          <cell r="K4535">
            <v>2</v>
          </cell>
        </row>
        <row r="4536">
          <cell r="A4536" t="str">
            <v>M2</v>
          </cell>
          <cell r="B4536" t="str">
            <v>A5C</v>
          </cell>
          <cell r="C4536" t="str">
            <v>P</v>
          </cell>
          <cell r="D4536" t="str">
            <v>23130</v>
          </cell>
          <cell r="E4536" t="str">
            <v>BALL VA</v>
          </cell>
          <cell r="F4536">
            <v>6</v>
          </cell>
          <cell r="G4536" t="str">
            <v>VB8010600000T00</v>
          </cell>
          <cell r="H4536">
            <v>0.75</v>
          </cell>
          <cell r="I4536" t="str">
            <v>--</v>
          </cell>
          <cell r="J4536">
            <v>2</v>
          </cell>
          <cell r="K4536">
            <v>2</v>
          </cell>
        </row>
        <row r="4537">
          <cell r="A4537" t="str">
            <v>M2</v>
          </cell>
          <cell r="B4537" t="str">
            <v>A5C</v>
          </cell>
          <cell r="C4537" t="str">
            <v>P</v>
          </cell>
          <cell r="D4537" t="str">
            <v>23155</v>
          </cell>
          <cell r="E4537" t="str">
            <v>BALL VA</v>
          </cell>
          <cell r="F4537">
            <v>6</v>
          </cell>
          <cell r="G4537" t="str">
            <v>VB8010600000T00</v>
          </cell>
          <cell r="H4537">
            <v>0.75</v>
          </cell>
          <cell r="I4537" t="str">
            <v>--</v>
          </cell>
          <cell r="J4537">
            <v>1</v>
          </cell>
          <cell r="K4537">
            <v>1</v>
          </cell>
        </row>
        <row r="4538">
          <cell r="A4538" t="str">
            <v>M2</v>
          </cell>
          <cell r="B4538" t="str">
            <v>A5C</v>
          </cell>
          <cell r="C4538" t="str">
            <v>P</v>
          </cell>
          <cell r="D4538" t="str">
            <v>23163</v>
          </cell>
          <cell r="E4538" t="str">
            <v>BALL VA</v>
          </cell>
          <cell r="F4538">
            <v>6</v>
          </cell>
          <cell r="G4538" t="str">
            <v>VB8010600000T00</v>
          </cell>
          <cell r="H4538">
            <v>0.75</v>
          </cell>
          <cell r="I4538" t="str">
            <v>--</v>
          </cell>
          <cell r="J4538">
            <v>1</v>
          </cell>
          <cell r="K4538">
            <v>1</v>
          </cell>
        </row>
        <row r="4539">
          <cell r="A4539" t="str">
            <v>M2</v>
          </cell>
          <cell r="B4539" t="str">
            <v>A5C</v>
          </cell>
          <cell r="C4539" t="str">
            <v>P</v>
          </cell>
          <cell r="D4539" t="str">
            <v>23180</v>
          </cell>
          <cell r="E4539" t="str">
            <v>BALL VA</v>
          </cell>
          <cell r="F4539">
            <v>6</v>
          </cell>
          <cell r="G4539" t="str">
            <v>VB8010600000T00</v>
          </cell>
          <cell r="H4539">
            <v>0.75</v>
          </cell>
          <cell r="I4539" t="str">
            <v>--</v>
          </cell>
          <cell r="J4539">
            <v>3</v>
          </cell>
          <cell r="K4539">
            <v>3</v>
          </cell>
        </row>
        <row r="4540">
          <cell r="A4540" t="str">
            <v>M2</v>
          </cell>
          <cell r="B4540" t="str">
            <v>A5C</v>
          </cell>
          <cell r="C4540" t="str">
            <v>P</v>
          </cell>
          <cell r="D4540" t="str">
            <v>23184</v>
          </cell>
          <cell r="E4540" t="str">
            <v>BALL VA</v>
          </cell>
          <cell r="F4540">
            <v>6</v>
          </cell>
          <cell r="G4540" t="str">
            <v>VB8010600000T00</v>
          </cell>
          <cell r="H4540">
            <v>0.75</v>
          </cell>
          <cell r="I4540" t="str">
            <v>--</v>
          </cell>
          <cell r="J4540">
            <v>1</v>
          </cell>
          <cell r="K4540">
            <v>1</v>
          </cell>
        </row>
        <row r="4541">
          <cell r="A4541" t="str">
            <v>M2</v>
          </cell>
          <cell r="B4541" t="str">
            <v>A5C</v>
          </cell>
          <cell r="C4541" t="str">
            <v>P</v>
          </cell>
          <cell r="D4541" t="str">
            <v>23191</v>
          </cell>
          <cell r="E4541" t="str">
            <v>BALL VA</v>
          </cell>
          <cell r="F4541">
            <v>6</v>
          </cell>
          <cell r="G4541" t="str">
            <v>VB8010600000T00</v>
          </cell>
          <cell r="H4541">
            <v>0.75</v>
          </cell>
          <cell r="I4541" t="str">
            <v>--</v>
          </cell>
          <cell r="J4541">
            <v>3</v>
          </cell>
          <cell r="K4541">
            <v>3</v>
          </cell>
        </row>
        <row r="4542">
          <cell r="A4542" t="str">
            <v>M2</v>
          </cell>
          <cell r="B4542" t="str">
            <v>A5C</v>
          </cell>
          <cell r="C4542" t="str">
            <v>P</v>
          </cell>
          <cell r="D4542" t="str">
            <v>23193</v>
          </cell>
          <cell r="E4542" t="str">
            <v>BALL VA</v>
          </cell>
          <cell r="F4542">
            <v>6</v>
          </cell>
          <cell r="G4542" t="str">
            <v>VB8010600000T00</v>
          </cell>
          <cell r="H4542">
            <v>0.75</v>
          </cell>
          <cell r="I4542" t="str">
            <v>--</v>
          </cell>
          <cell r="J4542">
            <v>1</v>
          </cell>
          <cell r="K4542">
            <v>1</v>
          </cell>
        </row>
        <row r="4543">
          <cell r="A4543" t="str">
            <v>M2</v>
          </cell>
          <cell r="B4543" t="str">
            <v>A5C</v>
          </cell>
          <cell r="C4543" t="str">
            <v>P</v>
          </cell>
          <cell r="D4543" t="str">
            <v>23224</v>
          </cell>
          <cell r="E4543" t="str">
            <v>BALL VA</v>
          </cell>
          <cell r="F4543">
            <v>6</v>
          </cell>
          <cell r="G4543" t="str">
            <v>VB8010600000T00</v>
          </cell>
          <cell r="H4543">
            <v>0.75</v>
          </cell>
          <cell r="I4543" t="str">
            <v>--</v>
          </cell>
          <cell r="J4543">
            <v>2</v>
          </cell>
          <cell r="K4543">
            <v>2</v>
          </cell>
        </row>
        <row r="4544">
          <cell r="A4544" t="str">
            <v>M2</v>
          </cell>
          <cell r="B4544" t="str">
            <v>A5C</v>
          </cell>
          <cell r="C4544" t="str">
            <v>P</v>
          </cell>
          <cell r="D4544" t="str">
            <v>24016</v>
          </cell>
          <cell r="E4544" t="str">
            <v>BALL VA</v>
          </cell>
          <cell r="F4544">
            <v>6</v>
          </cell>
          <cell r="G4544" t="str">
            <v>VB8010600000T00</v>
          </cell>
          <cell r="H4544">
            <v>0.75</v>
          </cell>
          <cell r="I4544" t="str">
            <v>--</v>
          </cell>
          <cell r="J4544">
            <v>3</v>
          </cell>
          <cell r="K4544">
            <v>3</v>
          </cell>
        </row>
        <row r="4545">
          <cell r="A4545" t="str">
            <v>M2</v>
          </cell>
          <cell r="B4545" t="str">
            <v>A5C</v>
          </cell>
          <cell r="C4545" t="str">
            <v>P</v>
          </cell>
          <cell r="D4545" t="str">
            <v>24017</v>
          </cell>
          <cell r="E4545" t="str">
            <v>BALL VA</v>
          </cell>
          <cell r="F4545">
            <v>6</v>
          </cell>
          <cell r="G4545" t="str">
            <v>VB8010600000T00</v>
          </cell>
          <cell r="H4545">
            <v>0.75</v>
          </cell>
          <cell r="I4545" t="str">
            <v>--</v>
          </cell>
          <cell r="J4545">
            <v>4</v>
          </cell>
          <cell r="K4545">
            <v>4</v>
          </cell>
        </row>
        <row r="4546">
          <cell r="A4546" t="str">
            <v>M2</v>
          </cell>
          <cell r="B4546" t="str">
            <v>A5C</v>
          </cell>
          <cell r="C4546" t="str">
            <v>P</v>
          </cell>
          <cell r="D4546" t="str">
            <v>24017</v>
          </cell>
          <cell r="E4546" t="str">
            <v>BALL VA</v>
          </cell>
          <cell r="F4546">
            <v>6</v>
          </cell>
          <cell r="G4546" t="str">
            <v>VB8010600000T00</v>
          </cell>
          <cell r="H4546">
            <v>0.75</v>
          </cell>
          <cell r="I4546" t="str">
            <v>--</v>
          </cell>
          <cell r="J4546">
            <v>1</v>
          </cell>
          <cell r="K4546">
            <v>1</v>
          </cell>
        </row>
        <row r="4547">
          <cell r="A4547" t="str">
            <v>M2</v>
          </cell>
          <cell r="B4547" t="str">
            <v>A5C</v>
          </cell>
          <cell r="C4547" t="str">
            <v>P</v>
          </cell>
          <cell r="D4547" t="str">
            <v>24018</v>
          </cell>
          <cell r="E4547" t="str">
            <v>BALL VA</v>
          </cell>
          <cell r="F4547">
            <v>6</v>
          </cell>
          <cell r="G4547" t="str">
            <v>VB8010600000T00</v>
          </cell>
          <cell r="H4547">
            <v>0.75</v>
          </cell>
          <cell r="I4547" t="str">
            <v>--</v>
          </cell>
          <cell r="J4547">
            <v>4</v>
          </cell>
          <cell r="K4547">
            <v>4</v>
          </cell>
        </row>
        <row r="4548">
          <cell r="A4548" t="str">
            <v>M2</v>
          </cell>
          <cell r="B4548" t="str">
            <v>A5C</v>
          </cell>
          <cell r="C4548" t="str">
            <v>TRIM</v>
          </cell>
          <cell r="D4548" t="str">
            <v>C-2302</v>
          </cell>
          <cell r="E4548" t="str">
            <v>BALL VA</v>
          </cell>
          <cell r="F4548">
            <v>6</v>
          </cell>
          <cell r="G4548" t="str">
            <v>VB8010600000T00</v>
          </cell>
          <cell r="H4548">
            <v>0.75</v>
          </cell>
          <cell r="I4548" t="str">
            <v>--</v>
          </cell>
          <cell r="J4548">
            <v>2</v>
          </cell>
          <cell r="K4548">
            <v>2</v>
          </cell>
        </row>
        <row r="4549">
          <cell r="A4549" t="str">
            <v>M2</v>
          </cell>
          <cell r="B4549" t="str">
            <v>A5C</v>
          </cell>
          <cell r="C4549" t="str">
            <v>TRIM</v>
          </cell>
          <cell r="D4549" t="str">
            <v>C-2302</v>
          </cell>
          <cell r="E4549" t="str">
            <v>BALL VA</v>
          </cell>
          <cell r="F4549">
            <v>6</v>
          </cell>
          <cell r="G4549" t="str">
            <v>VB8010600000T00</v>
          </cell>
          <cell r="H4549">
            <v>0.75</v>
          </cell>
          <cell r="I4549" t="str">
            <v>--</v>
          </cell>
          <cell r="J4549">
            <v>6</v>
          </cell>
          <cell r="K4549">
            <v>6</v>
          </cell>
        </row>
        <row r="4550">
          <cell r="A4550" t="str">
            <v>M2</v>
          </cell>
          <cell r="B4550" t="str">
            <v>A5C</v>
          </cell>
          <cell r="C4550" t="str">
            <v>TRIM</v>
          </cell>
          <cell r="D4550" t="str">
            <v>C-2304</v>
          </cell>
          <cell r="E4550" t="str">
            <v>BALL VA</v>
          </cell>
          <cell r="F4550">
            <v>6</v>
          </cell>
          <cell r="G4550" t="str">
            <v>VB8010600000T00</v>
          </cell>
          <cell r="H4550">
            <v>0.75</v>
          </cell>
          <cell r="I4550" t="str">
            <v>--</v>
          </cell>
          <cell r="J4550">
            <v>2</v>
          </cell>
          <cell r="K4550">
            <v>2</v>
          </cell>
        </row>
        <row r="4551">
          <cell r="A4551" t="str">
            <v>M2</v>
          </cell>
          <cell r="B4551" t="str">
            <v>A5C</v>
          </cell>
          <cell r="C4551" t="str">
            <v>TRIM</v>
          </cell>
          <cell r="D4551" t="str">
            <v>C-2304</v>
          </cell>
          <cell r="E4551" t="str">
            <v>BALL VA</v>
          </cell>
          <cell r="F4551">
            <v>6</v>
          </cell>
          <cell r="G4551" t="str">
            <v>VB8010600000T00</v>
          </cell>
          <cell r="H4551">
            <v>0.75</v>
          </cell>
          <cell r="I4551" t="str">
            <v>--</v>
          </cell>
          <cell r="J4551">
            <v>4</v>
          </cell>
          <cell r="K4551">
            <v>4</v>
          </cell>
        </row>
        <row r="4552">
          <cell r="A4552" t="str">
            <v>M2</v>
          </cell>
          <cell r="B4552" t="str">
            <v>A5C</v>
          </cell>
          <cell r="C4552" t="str">
            <v>TRIM</v>
          </cell>
          <cell r="D4552" t="str">
            <v>C-2303</v>
          </cell>
          <cell r="E4552" t="str">
            <v>BALL VA</v>
          </cell>
          <cell r="F4552">
            <v>6</v>
          </cell>
          <cell r="G4552" t="str">
            <v>VB8010600000T00</v>
          </cell>
          <cell r="H4552">
            <v>0.75</v>
          </cell>
          <cell r="I4552" t="str">
            <v>--</v>
          </cell>
          <cell r="J4552">
            <v>2</v>
          </cell>
          <cell r="K4552">
            <v>2</v>
          </cell>
        </row>
        <row r="4553">
          <cell r="A4553" t="str">
            <v>M2</v>
          </cell>
          <cell r="B4553" t="str">
            <v>A5C</v>
          </cell>
          <cell r="C4553" t="str">
            <v>TRIM</v>
          </cell>
          <cell r="D4553" t="str">
            <v>C-2305</v>
          </cell>
          <cell r="E4553" t="str">
            <v>BALL VA</v>
          </cell>
          <cell r="F4553">
            <v>6</v>
          </cell>
          <cell r="G4553" t="str">
            <v>VB8010600000T00</v>
          </cell>
          <cell r="H4553">
            <v>0.75</v>
          </cell>
          <cell r="I4553" t="str">
            <v>--</v>
          </cell>
          <cell r="J4553">
            <v>4</v>
          </cell>
          <cell r="K4553">
            <v>4</v>
          </cell>
        </row>
        <row r="4554">
          <cell r="A4554" t="str">
            <v>M2</v>
          </cell>
          <cell r="B4554" t="str">
            <v>A5C</v>
          </cell>
          <cell r="C4554" t="str">
            <v>TRIM</v>
          </cell>
          <cell r="D4554" t="str">
            <v>C-2305</v>
          </cell>
          <cell r="E4554" t="str">
            <v>BALL VA</v>
          </cell>
          <cell r="F4554">
            <v>6</v>
          </cell>
          <cell r="G4554" t="str">
            <v>VB8010600000T00</v>
          </cell>
          <cell r="H4554">
            <v>0.75</v>
          </cell>
          <cell r="I4554" t="str">
            <v>--</v>
          </cell>
          <cell r="J4554">
            <v>2</v>
          </cell>
          <cell r="K4554">
            <v>2</v>
          </cell>
        </row>
        <row r="4555">
          <cell r="A4555" t="str">
            <v>M2</v>
          </cell>
          <cell r="B4555" t="str">
            <v>A5C</v>
          </cell>
          <cell r="C4555" t="str">
            <v>TRIM</v>
          </cell>
          <cell r="D4555" t="str">
            <v>C-2306</v>
          </cell>
          <cell r="E4555" t="str">
            <v>BALL VA</v>
          </cell>
          <cell r="F4555">
            <v>6</v>
          </cell>
          <cell r="G4555" t="str">
            <v>VB8010600000T00</v>
          </cell>
          <cell r="H4555">
            <v>0.75</v>
          </cell>
          <cell r="I4555" t="str">
            <v>--</v>
          </cell>
          <cell r="J4555">
            <v>2</v>
          </cell>
          <cell r="K4555">
            <v>2</v>
          </cell>
        </row>
        <row r="4556">
          <cell r="A4556" t="str">
            <v>M2</v>
          </cell>
          <cell r="B4556" t="str">
            <v>A5C</v>
          </cell>
          <cell r="C4556" t="str">
            <v>TRIM</v>
          </cell>
          <cell r="D4556" t="str">
            <v>V-2302</v>
          </cell>
          <cell r="E4556" t="str">
            <v>BALL VA</v>
          </cell>
          <cell r="F4556">
            <v>6</v>
          </cell>
          <cell r="G4556" t="str">
            <v>VB8010600000T00</v>
          </cell>
          <cell r="H4556">
            <v>0.75</v>
          </cell>
          <cell r="I4556" t="str">
            <v>--</v>
          </cell>
          <cell r="J4556">
            <v>2</v>
          </cell>
          <cell r="K4556">
            <v>2</v>
          </cell>
        </row>
        <row r="4557">
          <cell r="A4557" t="str">
            <v>M2</v>
          </cell>
          <cell r="B4557" t="str">
            <v>A5C</v>
          </cell>
          <cell r="C4557" t="str">
            <v>TRIM</v>
          </cell>
          <cell r="D4557" t="str">
            <v>V-2302</v>
          </cell>
          <cell r="E4557" t="str">
            <v>BALL VA</v>
          </cell>
          <cell r="F4557">
            <v>6</v>
          </cell>
          <cell r="G4557" t="str">
            <v>VB8010600000T00</v>
          </cell>
          <cell r="H4557">
            <v>0.75</v>
          </cell>
          <cell r="I4557" t="str">
            <v>--</v>
          </cell>
          <cell r="J4557">
            <v>2</v>
          </cell>
          <cell r="K4557">
            <v>2</v>
          </cell>
        </row>
        <row r="4558">
          <cell r="A4558" t="str">
            <v>M2</v>
          </cell>
          <cell r="B4558" t="str">
            <v>A5C</v>
          </cell>
          <cell r="C4558" t="str">
            <v>TRIM</v>
          </cell>
          <cell r="D4558" t="str">
            <v>V-2304</v>
          </cell>
          <cell r="E4558" t="str">
            <v>BALL VA</v>
          </cell>
          <cell r="F4558">
            <v>6</v>
          </cell>
          <cell r="G4558" t="str">
            <v>VB8010600000T00</v>
          </cell>
          <cell r="H4558">
            <v>0.75</v>
          </cell>
          <cell r="I4558" t="str">
            <v>--</v>
          </cell>
          <cell r="J4558">
            <v>2</v>
          </cell>
          <cell r="K4558">
            <v>2</v>
          </cell>
        </row>
        <row r="4559">
          <cell r="A4559" t="str">
            <v>M2</v>
          </cell>
          <cell r="B4559" t="str">
            <v>A5C</v>
          </cell>
          <cell r="C4559" t="str">
            <v>TRIM</v>
          </cell>
          <cell r="D4559" t="str">
            <v>V-2306</v>
          </cell>
          <cell r="E4559" t="str">
            <v>BALL VA</v>
          </cell>
          <cell r="F4559">
            <v>6</v>
          </cell>
          <cell r="G4559" t="str">
            <v>VB8010600000T00</v>
          </cell>
          <cell r="H4559">
            <v>0.75</v>
          </cell>
          <cell r="I4559" t="str">
            <v>--</v>
          </cell>
          <cell r="J4559">
            <v>2</v>
          </cell>
          <cell r="K4559">
            <v>2</v>
          </cell>
        </row>
        <row r="4560">
          <cell r="A4560" t="str">
            <v>M2</v>
          </cell>
          <cell r="B4560" t="str">
            <v>A5C</v>
          </cell>
          <cell r="C4560" t="str">
            <v>TRIM</v>
          </cell>
          <cell r="D4560" t="str">
            <v>V-2306</v>
          </cell>
          <cell r="E4560" t="str">
            <v>BALL VA</v>
          </cell>
          <cell r="F4560">
            <v>6</v>
          </cell>
          <cell r="G4560" t="str">
            <v>VB8010600000T00</v>
          </cell>
          <cell r="H4560">
            <v>0.75</v>
          </cell>
          <cell r="I4560" t="str">
            <v>--</v>
          </cell>
          <cell r="J4560">
            <v>2</v>
          </cell>
          <cell r="K4560">
            <v>2</v>
          </cell>
        </row>
        <row r="4561">
          <cell r="A4561" t="str">
            <v>M2</v>
          </cell>
          <cell r="B4561" t="str">
            <v>A5C</v>
          </cell>
          <cell r="C4561" t="str">
            <v>TRIM</v>
          </cell>
          <cell r="D4561" t="str">
            <v>V-2308</v>
          </cell>
          <cell r="E4561" t="str">
            <v>BALL VA</v>
          </cell>
          <cell r="F4561">
            <v>6</v>
          </cell>
          <cell r="G4561" t="str">
            <v>VB8010600000T00</v>
          </cell>
          <cell r="H4561">
            <v>0.75</v>
          </cell>
          <cell r="I4561" t="str">
            <v>--</v>
          </cell>
          <cell r="J4561">
            <v>2</v>
          </cell>
          <cell r="K4561">
            <v>2</v>
          </cell>
        </row>
        <row r="4562">
          <cell r="A4562" t="str">
            <v>M2</v>
          </cell>
          <cell r="B4562" t="str">
            <v>A5C</v>
          </cell>
          <cell r="C4562" t="str">
            <v>TRIM</v>
          </cell>
          <cell r="D4562" t="str">
            <v>V-2308</v>
          </cell>
          <cell r="E4562" t="str">
            <v>BALL VA</v>
          </cell>
          <cell r="F4562">
            <v>6</v>
          </cell>
          <cell r="G4562" t="str">
            <v>VB8010600000T00</v>
          </cell>
          <cell r="H4562">
            <v>0.75</v>
          </cell>
          <cell r="I4562" t="str">
            <v>--</v>
          </cell>
          <cell r="J4562">
            <v>2</v>
          </cell>
          <cell r="K4562">
            <v>2</v>
          </cell>
        </row>
        <row r="4563">
          <cell r="A4563" t="str">
            <v>M2</v>
          </cell>
          <cell r="B4563" t="str">
            <v>A5C</v>
          </cell>
          <cell r="C4563" t="str">
            <v>TRIM</v>
          </cell>
          <cell r="D4563" t="str">
            <v>V-2310</v>
          </cell>
          <cell r="E4563" t="str">
            <v>BALL VA</v>
          </cell>
          <cell r="F4563">
            <v>6</v>
          </cell>
          <cell r="G4563" t="str">
            <v>VB8010600000T00</v>
          </cell>
          <cell r="H4563">
            <v>0.75</v>
          </cell>
          <cell r="I4563" t="str">
            <v>--</v>
          </cell>
          <cell r="J4563">
            <v>2</v>
          </cell>
          <cell r="K4563">
            <v>2</v>
          </cell>
        </row>
        <row r="4564">
          <cell r="A4564" t="str">
            <v>M2</v>
          </cell>
          <cell r="B4564" t="str">
            <v>A5C</v>
          </cell>
          <cell r="C4564" t="str">
            <v>TRIM</v>
          </cell>
          <cell r="D4564" t="str">
            <v>V-2310</v>
          </cell>
          <cell r="E4564" t="str">
            <v>BALL VA</v>
          </cell>
          <cell r="F4564">
            <v>6</v>
          </cell>
          <cell r="G4564" t="str">
            <v>VB8010600000T00</v>
          </cell>
          <cell r="H4564">
            <v>0.75</v>
          </cell>
          <cell r="I4564" t="str">
            <v>--</v>
          </cell>
          <cell r="J4564">
            <v>2</v>
          </cell>
          <cell r="K4564">
            <v>2</v>
          </cell>
        </row>
        <row r="4565">
          <cell r="A4565" t="str">
            <v>M2</v>
          </cell>
          <cell r="B4565" t="str">
            <v>A5C</v>
          </cell>
          <cell r="C4565" t="str">
            <v>TRIM</v>
          </cell>
          <cell r="D4565" t="str">
            <v>V-2313</v>
          </cell>
          <cell r="E4565" t="str">
            <v>BALL VA</v>
          </cell>
          <cell r="F4565">
            <v>6</v>
          </cell>
          <cell r="G4565" t="str">
            <v>VB8010600000T00</v>
          </cell>
          <cell r="H4565">
            <v>0.75</v>
          </cell>
          <cell r="I4565" t="str">
            <v>--</v>
          </cell>
          <cell r="J4565">
            <v>2</v>
          </cell>
          <cell r="K4565">
            <v>2</v>
          </cell>
        </row>
        <row r="4566">
          <cell r="A4566" t="str">
            <v>M2</v>
          </cell>
          <cell r="B4566" t="str">
            <v>A5C</v>
          </cell>
          <cell r="C4566" t="str">
            <v>TRIM</v>
          </cell>
          <cell r="D4566" t="str">
            <v>V-2313</v>
          </cell>
          <cell r="E4566" t="str">
            <v>BALL VA</v>
          </cell>
          <cell r="F4566">
            <v>6</v>
          </cell>
          <cell r="G4566" t="str">
            <v>VB8010600000T00</v>
          </cell>
          <cell r="H4566">
            <v>0.75</v>
          </cell>
          <cell r="I4566" t="str">
            <v>--</v>
          </cell>
          <cell r="J4566">
            <v>2</v>
          </cell>
          <cell r="K4566">
            <v>2</v>
          </cell>
        </row>
        <row r="4567">
          <cell r="A4567" t="str">
            <v>M2</v>
          </cell>
          <cell r="B4567" t="str">
            <v>A5C</v>
          </cell>
          <cell r="C4567" t="str">
            <v>TRIM</v>
          </cell>
          <cell r="D4567" t="str">
            <v>V-2325</v>
          </cell>
          <cell r="E4567" t="str">
            <v>BALL VA</v>
          </cell>
          <cell r="F4567">
            <v>6</v>
          </cell>
          <cell r="G4567" t="str">
            <v>VB8010600000T00</v>
          </cell>
          <cell r="H4567">
            <v>0.75</v>
          </cell>
          <cell r="I4567" t="str">
            <v>--</v>
          </cell>
          <cell r="J4567">
            <v>2</v>
          </cell>
          <cell r="K4567">
            <v>2</v>
          </cell>
        </row>
        <row r="4568">
          <cell r="A4568" t="str">
            <v>M2</v>
          </cell>
          <cell r="B4568" t="str">
            <v>A5C</v>
          </cell>
          <cell r="C4568" t="str">
            <v>TRIM</v>
          </cell>
          <cell r="D4568" t="str">
            <v>V-2325</v>
          </cell>
          <cell r="E4568" t="str">
            <v>BALL VA</v>
          </cell>
          <cell r="F4568">
            <v>6</v>
          </cell>
          <cell r="G4568" t="str">
            <v>VB8010600000T00</v>
          </cell>
          <cell r="H4568">
            <v>0.75</v>
          </cell>
          <cell r="I4568" t="str">
            <v>--</v>
          </cell>
          <cell r="J4568">
            <v>4</v>
          </cell>
          <cell r="K4568">
            <v>4</v>
          </cell>
        </row>
        <row r="4569">
          <cell r="A4569" t="str">
            <v>M2</v>
          </cell>
          <cell r="B4569" t="str">
            <v>A5C</v>
          </cell>
          <cell r="C4569" t="str">
            <v>TRIM</v>
          </cell>
          <cell r="D4569" t="str">
            <v>V-2403</v>
          </cell>
          <cell r="E4569" t="str">
            <v>BALL VA</v>
          </cell>
          <cell r="F4569">
            <v>6</v>
          </cell>
          <cell r="G4569" t="str">
            <v>VB8010600000T00</v>
          </cell>
          <cell r="H4569">
            <v>0.75</v>
          </cell>
          <cell r="I4569" t="str">
            <v>--</v>
          </cell>
          <cell r="J4569">
            <v>3</v>
          </cell>
          <cell r="K4569">
            <v>3</v>
          </cell>
        </row>
        <row r="4570">
          <cell r="A4570" t="str">
            <v>M2</v>
          </cell>
          <cell r="B4570" t="str">
            <v>A5C</v>
          </cell>
          <cell r="C4570" t="str">
            <v>TRIM</v>
          </cell>
          <cell r="D4570" t="str">
            <v>V-2403</v>
          </cell>
          <cell r="E4570" t="str">
            <v>BALL VA</v>
          </cell>
          <cell r="F4570">
            <v>6</v>
          </cell>
          <cell r="G4570" t="str">
            <v>VB8010600000T00</v>
          </cell>
          <cell r="H4570">
            <v>0.75</v>
          </cell>
          <cell r="I4570" t="str">
            <v>--</v>
          </cell>
          <cell r="J4570">
            <v>4</v>
          </cell>
          <cell r="K4570">
            <v>4</v>
          </cell>
        </row>
        <row r="4571">
          <cell r="A4571" t="str">
            <v>M2</v>
          </cell>
          <cell r="B4571" t="str">
            <v>A5C</v>
          </cell>
          <cell r="C4571" t="str">
            <v>P</v>
          </cell>
          <cell r="D4571" t="str">
            <v>23019</v>
          </cell>
          <cell r="E4571" t="str">
            <v>BALL VA</v>
          </cell>
          <cell r="F4571">
            <v>6</v>
          </cell>
          <cell r="G4571" t="str">
            <v>VB8010600000T00</v>
          </cell>
          <cell r="H4571">
            <v>0.75</v>
          </cell>
          <cell r="I4571" t="str">
            <v>--</v>
          </cell>
          <cell r="J4571">
            <v>1</v>
          </cell>
          <cell r="K4571">
            <v>1</v>
          </cell>
        </row>
        <row r="4572">
          <cell r="A4572" t="str">
            <v>M2</v>
          </cell>
          <cell r="B4572" t="str">
            <v>A5C</v>
          </cell>
          <cell r="C4572" t="str">
            <v>P</v>
          </cell>
          <cell r="D4572" t="str">
            <v>23024</v>
          </cell>
          <cell r="E4572" t="str">
            <v>BALL VA</v>
          </cell>
          <cell r="F4572">
            <v>6</v>
          </cell>
          <cell r="G4572" t="str">
            <v>VB8010600000T00</v>
          </cell>
          <cell r="H4572">
            <v>0.75</v>
          </cell>
          <cell r="I4572" t="str">
            <v>--</v>
          </cell>
          <cell r="J4572">
            <v>1</v>
          </cell>
          <cell r="K4572">
            <v>1</v>
          </cell>
        </row>
        <row r="4573">
          <cell r="A4573" t="str">
            <v>M2</v>
          </cell>
          <cell r="B4573" t="str">
            <v>A5C</v>
          </cell>
          <cell r="C4573" t="str">
            <v>P</v>
          </cell>
          <cell r="D4573" t="str">
            <v>23029</v>
          </cell>
          <cell r="E4573" t="str">
            <v>BALL VA</v>
          </cell>
          <cell r="F4573">
            <v>6</v>
          </cell>
          <cell r="G4573" t="str">
            <v>VB8010600000T00</v>
          </cell>
          <cell r="H4573">
            <v>0.75</v>
          </cell>
          <cell r="I4573" t="str">
            <v>--</v>
          </cell>
          <cell r="J4573">
            <v>2</v>
          </cell>
          <cell r="K4573">
            <v>2</v>
          </cell>
        </row>
        <row r="4574">
          <cell r="A4574" t="str">
            <v>M2</v>
          </cell>
          <cell r="B4574" t="str">
            <v>A5C</v>
          </cell>
          <cell r="C4574" t="str">
            <v>P</v>
          </cell>
          <cell r="D4574" t="str">
            <v>23033</v>
          </cell>
          <cell r="E4574" t="str">
            <v>BALL VA</v>
          </cell>
          <cell r="F4574">
            <v>6</v>
          </cell>
          <cell r="G4574" t="str">
            <v>VB8010600000T00</v>
          </cell>
          <cell r="H4574">
            <v>0.75</v>
          </cell>
          <cell r="I4574" t="str">
            <v>--</v>
          </cell>
          <cell r="J4574">
            <v>2</v>
          </cell>
          <cell r="K4574">
            <v>2</v>
          </cell>
        </row>
        <row r="4575">
          <cell r="A4575" t="str">
            <v>M2</v>
          </cell>
          <cell r="B4575" t="str">
            <v>A5C</v>
          </cell>
          <cell r="C4575" t="str">
            <v>P</v>
          </cell>
          <cell r="D4575" t="str">
            <v>23054</v>
          </cell>
          <cell r="E4575" t="str">
            <v>BALL VA</v>
          </cell>
          <cell r="F4575">
            <v>6</v>
          </cell>
          <cell r="G4575" t="str">
            <v>VB8010600000T00</v>
          </cell>
          <cell r="H4575">
            <v>0.75</v>
          </cell>
          <cell r="I4575" t="str">
            <v>--</v>
          </cell>
          <cell r="J4575">
            <v>1</v>
          </cell>
          <cell r="K4575">
            <v>1</v>
          </cell>
        </row>
        <row r="4576">
          <cell r="A4576" t="str">
            <v>M2</v>
          </cell>
          <cell r="B4576" t="str">
            <v>A5C</v>
          </cell>
          <cell r="C4576" t="str">
            <v>P</v>
          </cell>
          <cell r="D4576" t="str">
            <v>23074</v>
          </cell>
          <cell r="E4576" t="str">
            <v>BALL VA</v>
          </cell>
          <cell r="F4576">
            <v>6</v>
          </cell>
          <cell r="G4576" t="str">
            <v>VB8010600000T00</v>
          </cell>
          <cell r="H4576">
            <v>0.75</v>
          </cell>
          <cell r="I4576" t="str">
            <v>--</v>
          </cell>
          <cell r="J4576">
            <v>2</v>
          </cell>
          <cell r="K4576">
            <v>2</v>
          </cell>
        </row>
        <row r="4577">
          <cell r="A4577" t="str">
            <v>M2</v>
          </cell>
          <cell r="B4577" t="str">
            <v>A5C</v>
          </cell>
          <cell r="C4577" t="str">
            <v>P</v>
          </cell>
          <cell r="D4577" t="str">
            <v>23079</v>
          </cell>
          <cell r="E4577" t="str">
            <v>BALL VA</v>
          </cell>
          <cell r="F4577">
            <v>6</v>
          </cell>
          <cell r="G4577" t="str">
            <v>VB8010600000T00</v>
          </cell>
          <cell r="H4577">
            <v>0.75</v>
          </cell>
          <cell r="I4577" t="str">
            <v>--</v>
          </cell>
          <cell r="J4577">
            <v>2</v>
          </cell>
          <cell r="K4577">
            <v>2</v>
          </cell>
        </row>
        <row r="4578">
          <cell r="A4578" t="str">
            <v>M2</v>
          </cell>
          <cell r="B4578" t="str">
            <v>A5C</v>
          </cell>
          <cell r="C4578" t="str">
            <v>P</v>
          </cell>
          <cell r="D4578" t="str">
            <v>23080</v>
          </cell>
          <cell r="E4578" t="str">
            <v>BALL VA</v>
          </cell>
          <cell r="F4578">
            <v>6</v>
          </cell>
          <cell r="G4578" t="str">
            <v>VB8010600000T00</v>
          </cell>
          <cell r="H4578">
            <v>0.75</v>
          </cell>
          <cell r="I4578" t="str">
            <v>--</v>
          </cell>
          <cell r="J4578">
            <v>3</v>
          </cell>
          <cell r="K4578">
            <v>3</v>
          </cell>
        </row>
        <row r="4579">
          <cell r="A4579" t="str">
            <v>M2</v>
          </cell>
          <cell r="B4579" t="str">
            <v>A5C</v>
          </cell>
          <cell r="C4579" t="str">
            <v>P</v>
          </cell>
          <cell r="D4579" t="str">
            <v>23173</v>
          </cell>
          <cell r="E4579" t="str">
            <v>BALL VA</v>
          </cell>
          <cell r="F4579">
            <v>6</v>
          </cell>
          <cell r="G4579" t="str">
            <v>VB8010600000T00</v>
          </cell>
          <cell r="H4579">
            <v>0.75</v>
          </cell>
          <cell r="I4579" t="str">
            <v>--</v>
          </cell>
          <cell r="J4579">
            <v>3</v>
          </cell>
          <cell r="K4579">
            <v>3</v>
          </cell>
        </row>
        <row r="4580">
          <cell r="A4580" t="str">
            <v>M2</v>
          </cell>
          <cell r="B4580" t="str">
            <v>A5C</v>
          </cell>
          <cell r="C4580" t="str">
            <v>P</v>
          </cell>
          <cell r="D4580" t="str">
            <v>23176</v>
          </cell>
          <cell r="E4580" t="str">
            <v>BALL VA</v>
          </cell>
          <cell r="F4580">
            <v>6</v>
          </cell>
          <cell r="G4580" t="str">
            <v>VB8010600000T00</v>
          </cell>
          <cell r="H4580">
            <v>0.75</v>
          </cell>
          <cell r="I4580" t="str">
            <v>--</v>
          </cell>
          <cell r="J4580">
            <v>1</v>
          </cell>
          <cell r="K4580">
            <v>1</v>
          </cell>
        </row>
        <row r="4581">
          <cell r="A4581" t="str">
            <v>M2</v>
          </cell>
          <cell r="B4581" t="str">
            <v>A5C</v>
          </cell>
          <cell r="C4581" t="str">
            <v>P</v>
          </cell>
          <cell r="D4581" t="str">
            <v>23219</v>
          </cell>
          <cell r="E4581" t="str">
            <v>BALL VA</v>
          </cell>
          <cell r="F4581">
            <v>6</v>
          </cell>
          <cell r="G4581" t="str">
            <v>VB8010600000T00</v>
          </cell>
          <cell r="H4581">
            <v>0.75</v>
          </cell>
          <cell r="I4581" t="str">
            <v>--</v>
          </cell>
          <cell r="J4581">
            <v>1</v>
          </cell>
          <cell r="K4581">
            <v>1</v>
          </cell>
        </row>
        <row r="4582">
          <cell r="A4582" t="str">
            <v>M2</v>
          </cell>
          <cell r="B4582" t="str">
            <v>A5C</v>
          </cell>
          <cell r="C4582" t="str">
            <v>P</v>
          </cell>
          <cell r="D4582" t="str">
            <v>23223</v>
          </cell>
          <cell r="E4582" t="str">
            <v>BALL VA</v>
          </cell>
          <cell r="F4582">
            <v>6</v>
          </cell>
          <cell r="G4582" t="str">
            <v>VB8010600000T00</v>
          </cell>
          <cell r="H4582">
            <v>0.75</v>
          </cell>
          <cell r="I4582" t="str">
            <v>--</v>
          </cell>
          <cell r="J4582">
            <v>1</v>
          </cell>
          <cell r="K4582">
            <v>1</v>
          </cell>
        </row>
        <row r="4583">
          <cell r="A4583" t="str">
            <v>M2</v>
          </cell>
          <cell r="B4583" t="str">
            <v>A5C</v>
          </cell>
          <cell r="C4583" t="str">
            <v>P</v>
          </cell>
          <cell r="D4583" t="str">
            <v>23223</v>
          </cell>
          <cell r="E4583" t="str">
            <v>BALL VA</v>
          </cell>
          <cell r="F4583">
            <v>6</v>
          </cell>
          <cell r="G4583" t="str">
            <v>VB8010600000T00</v>
          </cell>
          <cell r="H4583">
            <v>0.75</v>
          </cell>
          <cell r="I4583" t="str">
            <v>--</v>
          </cell>
          <cell r="J4583">
            <v>1</v>
          </cell>
          <cell r="K4583">
            <v>1</v>
          </cell>
        </row>
        <row r="4584">
          <cell r="A4584" t="str">
            <v>M2</v>
          </cell>
          <cell r="B4584" t="str">
            <v>A5C</v>
          </cell>
          <cell r="C4584" t="str">
            <v>TRIM</v>
          </cell>
          <cell r="D4584" t="str">
            <v>C-2306</v>
          </cell>
          <cell r="E4584" t="str">
            <v>BALL VA</v>
          </cell>
          <cell r="F4584">
            <v>6</v>
          </cell>
          <cell r="G4584" t="str">
            <v>VB8010600000T00</v>
          </cell>
          <cell r="H4584">
            <v>0.75</v>
          </cell>
          <cell r="I4584" t="str">
            <v>--</v>
          </cell>
          <cell r="J4584">
            <v>4</v>
          </cell>
          <cell r="K4584">
            <v>4</v>
          </cell>
        </row>
        <row r="4585">
          <cell r="A4585" t="str">
            <v>M2</v>
          </cell>
          <cell r="B4585" t="str">
            <v>A5C</v>
          </cell>
          <cell r="C4585" t="str">
            <v>TRIM</v>
          </cell>
          <cell r="D4585" t="str">
            <v>V-2304</v>
          </cell>
          <cell r="E4585" t="str">
            <v>BALL VA</v>
          </cell>
          <cell r="F4585">
            <v>6</v>
          </cell>
          <cell r="G4585" t="str">
            <v>VB8010600000T00</v>
          </cell>
          <cell r="H4585">
            <v>0.75</v>
          </cell>
          <cell r="I4585" t="str">
            <v>--</v>
          </cell>
          <cell r="J4585">
            <v>2</v>
          </cell>
          <cell r="K4585">
            <v>2</v>
          </cell>
        </row>
        <row r="4586">
          <cell r="A4586" t="str">
            <v>M2</v>
          </cell>
          <cell r="B4586" t="str">
            <v>A5C</v>
          </cell>
          <cell r="C4586" t="str">
            <v>P</v>
          </cell>
          <cell r="D4586" t="str">
            <v>24017</v>
          </cell>
          <cell r="E4586" t="str">
            <v>CHECK VA</v>
          </cell>
          <cell r="F4586">
            <v>6</v>
          </cell>
          <cell r="G4586" t="str">
            <v>VCB8010400000T00</v>
          </cell>
          <cell r="H4586">
            <v>0.75</v>
          </cell>
          <cell r="I4586" t="str">
            <v>--</v>
          </cell>
          <cell r="J4586">
            <v>1</v>
          </cell>
          <cell r="K4586">
            <v>1</v>
          </cell>
        </row>
        <row r="4587">
          <cell r="A4587" t="str">
            <v>M2</v>
          </cell>
          <cell r="B4587" t="str">
            <v>A5C</v>
          </cell>
          <cell r="C4587" t="str">
            <v>P</v>
          </cell>
          <cell r="D4587" t="str">
            <v>23018</v>
          </cell>
          <cell r="E4587" t="str">
            <v>GLOBE VA</v>
          </cell>
          <cell r="F4587">
            <v>6</v>
          </cell>
          <cell r="G4587" t="str">
            <v>VL8010100000T00</v>
          </cell>
          <cell r="H4587">
            <v>0.75</v>
          </cell>
          <cell r="I4587" t="str">
            <v>--</v>
          </cell>
          <cell r="J4587">
            <v>1</v>
          </cell>
          <cell r="K4587">
            <v>1</v>
          </cell>
        </row>
        <row r="4588">
          <cell r="A4588" t="str">
            <v>M2</v>
          </cell>
          <cell r="B4588" t="str">
            <v>A5C</v>
          </cell>
          <cell r="C4588" t="str">
            <v>P</v>
          </cell>
          <cell r="D4588" t="str">
            <v>23028</v>
          </cell>
          <cell r="E4588" t="str">
            <v>GLOBE VA</v>
          </cell>
          <cell r="F4588">
            <v>6</v>
          </cell>
          <cell r="G4588" t="str">
            <v>VL8010100000T00</v>
          </cell>
          <cell r="H4588">
            <v>0.75</v>
          </cell>
          <cell r="I4588" t="str">
            <v>--</v>
          </cell>
          <cell r="J4588">
            <v>1</v>
          </cell>
          <cell r="K4588">
            <v>1</v>
          </cell>
        </row>
        <row r="4589">
          <cell r="A4589" t="str">
            <v>M2</v>
          </cell>
          <cell r="B4589" t="str">
            <v>A5C</v>
          </cell>
          <cell r="C4589" t="str">
            <v>P</v>
          </cell>
          <cell r="D4589" t="str">
            <v>23048</v>
          </cell>
          <cell r="E4589" t="str">
            <v>GLOBE VA</v>
          </cell>
          <cell r="F4589">
            <v>6</v>
          </cell>
          <cell r="G4589" t="str">
            <v>VL8010100000T00</v>
          </cell>
          <cell r="H4589">
            <v>0.75</v>
          </cell>
          <cell r="I4589" t="str">
            <v>--</v>
          </cell>
          <cell r="J4589">
            <v>1</v>
          </cell>
          <cell r="K4589">
            <v>1</v>
          </cell>
        </row>
        <row r="4590">
          <cell r="A4590" t="str">
            <v>M2</v>
          </cell>
          <cell r="B4590" t="str">
            <v>A5C</v>
          </cell>
          <cell r="C4590" t="str">
            <v>P</v>
          </cell>
          <cell r="D4590" t="str">
            <v>24016</v>
          </cell>
          <cell r="E4590" t="str">
            <v>GLOBE VA</v>
          </cell>
          <cell r="F4590">
            <v>6</v>
          </cell>
          <cell r="G4590" t="str">
            <v>VL8010100000T00</v>
          </cell>
          <cell r="H4590">
            <v>0.75</v>
          </cell>
          <cell r="I4590" t="str">
            <v>--</v>
          </cell>
          <cell r="J4590">
            <v>1</v>
          </cell>
          <cell r="K4590">
            <v>1</v>
          </cell>
        </row>
        <row r="4591">
          <cell r="A4591" t="str">
            <v>M2</v>
          </cell>
          <cell r="B4591" t="str">
            <v>A5C</v>
          </cell>
          <cell r="C4591" t="str">
            <v>TRIM</v>
          </cell>
          <cell r="D4591" t="str">
            <v>V-2325</v>
          </cell>
          <cell r="E4591" t="str">
            <v>GLOBE VA</v>
          </cell>
          <cell r="F4591">
            <v>6</v>
          </cell>
          <cell r="G4591" t="str">
            <v>VL8010100000T00</v>
          </cell>
          <cell r="H4591">
            <v>0.75</v>
          </cell>
          <cell r="I4591" t="str">
            <v>--</v>
          </cell>
          <cell r="J4591">
            <v>1</v>
          </cell>
          <cell r="K4591">
            <v>1</v>
          </cell>
        </row>
        <row r="4592">
          <cell r="A4592" t="str">
            <v>M2</v>
          </cell>
          <cell r="B4592" t="str">
            <v>A5C</v>
          </cell>
          <cell r="C4592" t="str">
            <v>P</v>
          </cell>
          <cell r="D4592" t="str">
            <v>23053</v>
          </cell>
          <cell r="E4592" t="str">
            <v>GLOBE VA</v>
          </cell>
          <cell r="F4592">
            <v>6</v>
          </cell>
          <cell r="G4592" t="str">
            <v>VL8010100000T00</v>
          </cell>
          <cell r="H4592">
            <v>0.75</v>
          </cell>
          <cell r="I4592" t="str">
            <v>--</v>
          </cell>
          <cell r="J4592">
            <v>1</v>
          </cell>
          <cell r="K4592">
            <v>1</v>
          </cell>
        </row>
        <row r="4593">
          <cell r="A4593" t="str">
            <v>M2</v>
          </cell>
          <cell r="B4593" t="str">
            <v>A5C</v>
          </cell>
          <cell r="C4593" t="str">
            <v>P</v>
          </cell>
          <cell r="D4593" t="str">
            <v>23080</v>
          </cell>
          <cell r="E4593" t="str">
            <v>GLOBE VA</v>
          </cell>
          <cell r="F4593">
            <v>6</v>
          </cell>
          <cell r="G4593" t="str">
            <v>VL8010100000T00</v>
          </cell>
          <cell r="H4593">
            <v>0.75</v>
          </cell>
          <cell r="I4593" t="str">
            <v>--</v>
          </cell>
          <cell r="J4593">
            <v>1</v>
          </cell>
          <cell r="K4593">
            <v>1</v>
          </cell>
        </row>
        <row r="4594">
          <cell r="A4594" t="str">
            <v>M2</v>
          </cell>
          <cell r="B4594" t="str">
            <v>A5C</v>
          </cell>
          <cell r="C4594" t="str">
            <v>P</v>
          </cell>
          <cell r="D4594" t="str">
            <v>24017</v>
          </cell>
          <cell r="E4594" t="str">
            <v>GLOBE VA</v>
          </cell>
          <cell r="F4594">
            <v>6</v>
          </cell>
          <cell r="G4594" t="str">
            <v>VL8010100000T00</v>
          </cell>
          <cell r="H4594">
            <v>0.75</v>
          </cell>
          <cell r="I4594" t="str">
            <v>--</v>
          </cell>
          <cell r="J4594">
            <v>1</v>
          </cell>
          <cell r="K4594">
            <v>1</v>
          </cell>
        </row>
        <row r="4595">
          <cell r="A4595" t="str">
            <v>M2</v>
          </cell>
          <cell r="B4595" t="str">
            <v>A5C</v>
          </cell>
          <cell r="C4595" t="str">
            <v>P</v>
          </cell>
          <cell r="D4595" t="str">
            <v>24018</v>
          </cell>
          <cell r="E4595" t="str">
            <v>GLOBE VA</v>
          </cell>
          <cell r="F4595">
            <v>6</v>
          </cell>
          <cell r="G4595" t="str">
            <v>VL8010100000T00</v>
          </cell>
          <cell r="H4595">
            <v>0.75</v>
          </cell>
          <cell r="I4595" t="str">
            <v>--</v>
          </cell>
          <cell r="J4595">
            <v>1</v>
          </cell>
          <cell r="K4595">
            <v>1</v>
          </cell>
        </row>
        <row r="4596">
          <cell r="A4596" t="str">
            <v>M2</v>
          </cell>
          <cell r="B4596" t="str">
            <v>A5C</v>
          </cell>
          <cell r="C4596" t="str">
            <v>P</v>
          </cell>
          <cell r="D4596" t="str">
            <v>23014</v>
          </cell>
          <cell r="E4596" t="str">
            <v>BALL VA</v>
          </cell>
          <cell r="F4596">
            <v>6</v>
          </cell>
          <cell r="G4596" t="str">
            <v>VB8010600000T00</v>
          </cell>
          <cell r="H4596">
            <v>0.75</v>
          </cell>
          <cell r="I4596" t="str">
            <v>--</v>
          </cell>
          <cell r="J4596">
            <v>1</v>
          </cell>
          <cell r="K4596">
            <v>1</v>
          </cell>
        </row>
        <row r="4597">
          <cell r="A4597" t="str">
            <v>M2</v>
          </cell>
          <cell r="B4597" t="str">
            <v>A5C</v>
          </cell>
          <cell r="C4597" t="str">
            <v>P</v>
          </cell>
          <cell r="D4597" t="str">
            <v>23156</v>
          </cell>
          <cell r="E4597" t="str">
            <v>BALL VA</v>
          </cell>
          <cell r="F4597">
            <v>6</v>
          </cell>
          <cell r="G4597" t="str">
            <v>VB8010600000T00</v>
          </cell>
          <cell r="H4597">
            <v>0.75</v>
          </cell>
          <cell r="I4597" t="str">
            <v>--</v>
          </cell>
          <cell r="J4597">
            <v>4</v>
          </cell>
          <cell r="K4597">
            <v>4</v>
          </cell>
        </row>
        <row r="4598">
          <cell r="A4598" t="str">
            <v>M2</v>
          </cell>
          <cell r="B4598" t="str">
            <v>A5C</v>
          </cell>
          <cell r="C4598" t="str">
            <v>P</v>
          </cell>
          <cell r="D4598" t="str">
            <v>24001</v>
          </cell>
          <cell r="E4598" t="str">
            <v>BALL VA</v>
          </cell>
          <cell r="F4598">
            <v>6</v>
          </cell>
          <cell r="G4598" t="str">
            <v>VB8010600000T00</v>
          </cell>
          <cell r="H4598">
            <v>0.75</v>
          </cell>
          <cell r="I4598" t="str">
            <v>--</v>
          </cell>
          <cell r="J4598">
            <v>2</v>
          </cell>
          <cell r="K4598">
            <v>2</v>
          </cell>
        </row>
        <row r="4599">
          <cell r="A4599" t="str">
            <v>M2</v>
          </cell>
          <cell r="B4599" t="str">
            <v>A5C</v>
          </cell>
          <cell r="C4599" t="str">
            <v>P</v>
          </cell>
          <cell r="D4599" t="str">
            <v>24002</v>
          </cell>
          <cell r="E4599" t="str">
            <v>BALL VA</v>
          </cell>
          <cell r="F4599">
            <v>6</v>
          </cell>
          <cell r="G4599" t="str">
            <v>VB8010600000T00</v>
          </cell>
          <cell r="H4599">
            <v>0.75</v>
          </cell>
          <cell r="I4599" t="str">
            <v>--</v>
          </cell>
          <cell r="J4599">
            <v>1</v>
          </cell>
          <cell r="K4599">
            <v>1</v>
          </cell>
        </row>
        <row r="4600">
          <cell r="A4600" t="str">
            <v>M2</v>
          </cell>
          <cell r="B4600" t="str">
            <v>A5C</v>
          </cell>
          <cell r="C4600" t="str">
            <v>P</v>
          </cell>
          <cell r="D4600" t="str">
            <v>24003</v>
          </cell>
          <cell r="E4600" t="str">
            <v>BALL VA</v>
          </cell>
          <cell r="F4600">
            <v>6</v>
          </cell>
          <cell r="G4600" t="str">
            <v>VB8010600000T00</v>
          </cell>
          <cell r="H4600">
            <v>0.75</v>
          </cell>
          <cell r="I4600" t="str">
            <v>--</v>
          </cell>
          <cell r="J4600">
            <v>2</v>
          </cell>
          <cell r="K4600">
            <v>2</v>
          </cell>
        </row>
        <row r="4601">
          <cell r="A4601" t="str">
            <v>M2</v>
          </cell>
          <cell r="B4601" t="str">
            <v>A5C</v>
          </cell>
          <cell r="C4601" t="str">
            <v>P</v>
          </cell>
          <cell r="D4601" t="str">
            <v>24004</v>
          </cell>
          <cell r="E4601" t="str">
            <v>BALL VA</v>
          </cell>
          <cell r="F4601">
            <v>6</v>
          </cell>
          <cell r="G4601" t="str">
            <v>VB8010600000T00</v>
          </cell>
          <cell r="H4601">
            <v>0.75</v>
          </cell>
          <cell r="I4601" t="str">
            <v>--</v>
          </cell>
          <cell r="J4601">
            <v>2</v>
          </cell>
          <cell r="K4601">
            <v>2</v>
          </cell>
        </row>
        <row r="4602">
          <cell r="A4602" t="str">
            <v>M2</v>
          </cell>
          <cell r="B4602" t="str">
            <v>A5C</v>
          </cell>
          <cell r="C4602" t="str">
            <v>P</v>
          </cell>
          <cell r="D4602" t="str">
            <v>24004</v>
          </cell>
          <cell r="E4602" t="str">
            <v>BALL VA</v>
          </cell>
          <cell r="F4602">
            <v>6</v>
          </cell>
          <cell r="G4602" t="str">
            <v>VB8010600000T00</v>
          </cell>
          <cell r="H4602">
            <v>0.75</v>
          </cell>
          <cell r="I4602" t="str">
            <v>--</v>
          </cell>
          <cell r="J4602">
            <v>3</v>
          </cell>
          <cell r="K4602">
            <v>3</v>
          </cell>
        </row>
        <row r="4603">
          <cell r="A4603" t="str">
            <v>M2</v>
          </cell>
          <cell r="B4603" t="str">
            <v>A5C</v>
          </cell>
          <cell r="C4603" t="str">
            <v>P</v>
          </cell>
          <cell r="D4603" t="str">
            <v>24025</v>
          </cell>
          <cell r="E4603" t="str">
            <v>BALL VA</v>
          </cell>
          <cell r="F4603">
            <v>6</v>
          </cell>
          <cell r="G4603" t="str">
            <v>VB8010600000T00</v>
          </cell>
          <cell r="H4603">
            <v>0.75</v>
          </cell>
          <cell r="I4603" t="str">
            <v>--</v>
          </cell>
          <cell r="J4603">
            <v>2</v>
          </cell>
          <cell r="K4603">
            <v>2</v>
          </cell>
        </row>
        <row r="4604">
          <cell r="A4604" t="str">
            <v>M2</v>
          </cell>
          <cell r="B4604" t="str">
            <v>A5C</v>
          </cell>
          <cell r="C4604" t="str">
            <v>P</v>
          </cell>
          <cell r="D4604" t="str">
            <v>24027</v>
          </cell>
          <cell r="E4604" t="str">
            <v>BALL VA</v>
          </cell>
          <cell r="F4604">
            <v>6</v>
          </cell>
          <cell r="G4604" t="str">
            <v>VB8010600000T00</v>
          </cell>
          <cell r="H4604">
            <v>0.75</v>
          </cell>
          <cell r="I4604" t="str">
            <v>--</v>
          </cell>
          <cell r="J4604">
            <v>2</v>
          </cell>
          <cell r="K4604">
            <v>2</v>
          </cell>
        </row>
        <row r="4605">
          <cell r="A4605" t="str">
            <v>M2</v>
          </cell>
          <cell r="B4605" t="str">
            <v>A5C</v>
          </cell>
          <cell r="C4605" t="str">
            <v>P</v>
          </cell>
          <cell r="D4605" t="str">
            <v>24029</v>
          </cell>
          <cell r="E4605" t="str">
            <v>BALL VA</v>
          </cell>
          <cell r="F4605">
            <v>6</v>
          </cell>
          <cell r="G4605" t="str">
            <v>VB8010600000T00</v>
          </cell>
          <cell r="H4605">
            <v>0.75</v>
          </cell>
          <cell r="I4605" t="str">
            <v>--</v>
          </cell>
          <cell r="J4605">
            <v>4</v>
          </cell>
          <cell r="K4605">
            <v>4</v>
          </cell>
        </row>
        <row r="4606">
          <cell r="A4606" t="str">
            <v>M2</v>
          </cell>
          <cell r="B4606" t="str">
            <v>A5C</v>
          </cell>
          <cell r="C4606" t="str">
            <v>P</v>
          </cell>
          <cell r="D4606" t="str">
            <v>24029</v>
          </cell>
          <cell r="E4606" t="str">
            <v>BALL VA</v>
          </cell>
          <cell r="F4606">
            <v>6</v>
          </cell>
          <cell r="G4606" t="str">
            <v>VB8010600000T00</v>
          </cell>
          <cell r="H4606">
            <v>0.75</v>
          </cell>
          <cell r="I4606" t="str">
            <v>--</v>
          </cell>
          <cell r="J4606">
            <v>2</v>
          </cell>
          <cell r="K4606">
            <v>2</v>
          </cell>
        </row>
        <row r="4607">
          <cell r="A4607" t="str">
            <v>M2</v>
          </cell>
          <cell r="B4607" t="str">
            <v>A5C</v>
          </cell>
          <cell r="C4607" t="str">
            <v>P</v>
          </cell>
          <cell r="D4607" t="str">
            <v>24031</v>
          </cell>
          <cell r="E4607" t="str">
            <v>BALL VA</v>
          </cell>
          <cell r="F4607">
            <v>6</v>
          </cell>
          <cell r="G4607" t="str">
            <v>VB8010600000T00</v>
          </cell>
          <cell r="H4607">
            <v>0.75</v>
          </cell>
          <cell r="I4607" t="str">
            <v>--</v>
          </cell>
          <cell r="J4607">
            <v>1</v>
          </cell>
          <cell r="K4607">
            <v>1</v>
          </cell>
        </row>
        <row r="4608">
          <cell r="A4608" t="str">
            <v>M2</v>
          </cell>
          <cell r="B4608" t="str">
            <v>A5C</v>
          </cell>
          <cell r="C4608" t="str">
            <v>P</v>
          </cell>
          <cell r="D4608" t="str">
            <v>99004</v>
          </cell>
          <cell r="E4608" t="str">
            <v>BALL VA</v>
          </cell>
          <cell r="F4608">
            <v>6</v>
          </cell>
          <cell r="G4608" t="str">
            <v>VB8010600000T00</v>
          </cell>
          <cell r="H4608">
            <v>0.75</v>
          </cell>
          <cell r="I4608" t="str">
            <v>--</v>
          </cell>
          <cell r="J4608">
            <v>1</v>
          </cell>
          <cell r="K4608">
            <v>1</v>
          </cell>
        </row>
        <row r="4609">
          <cell r="A4609" t="str">
            <v>M2</v>
          </cell>
          <cell r="B4609" t="str">
            <v>A5C</v>
          </cell>
          <cell r="C4609" t="str">
            <v>P</v>
          </cell>
          <cell r="D4609" t="str">
            <v>99004</v>
          </cell>
          <cell r="E4609" t="str">
            <v>BALL VA</v>
          </cell>
          <cell r="F4609">
            <v>6</v>
          </cell>
          <cell r="G4609" t="str">
            <v>VB8010600000T00</v>
          </cell>
          <cell r="H4609">
            <v>0.75</v>
          </cell>
          <cell r="I4609" t="str">
            <v>--</v>
          </cell>
          <cell r="J4609">
            <v>2</v>
          </cell>
          <cell r="K4609">
            <v>2</v>
          </cell>
        </row>
        <row r="4610">
          <cell r="A4610" t="str">
            <v>M2</v>
          </cell>
          <cell r="B4610" t="str">
            <v>A5C</v>
          </cell>
          <cell r="C4610" t="str">
            <v>TRIM</v>
          </cell>
          <cell r="D4610" t="str">
            <v>C-2301</v>
          </cell>
          <cell r="E4610" t="str">
            <v>BALL VA</v>
          </cell>
          <cell r="F4610">
            <v>6</v>
          </cell>
          <cell r="G4610" t="str">
            <v>VB8010600000T00</v>
          </cell>
          <cell r="H4610">
            <v>0.75</v>
          </cell>
          <cell r="I4610" t="str">
            <v>--</v>
          </cell>
          <cell r="J4610">
            <v>2</v>
          </cell>
          <cell r="K4610">
            <v>2</v>
          </cell>
        </row>
        <row r="4611">
          <cell r="A4611" t="str">
            <v>M2</v>
          </cell>
          <cell r="B4611" t="str">
            <v>A5C</v>
          </cell>
          <cell r="C4611" t="str">
            <v>TRIM</v>
          </cell>
          <cell r="D4611" t="str">
            <v>C-2301</v>
          </cell>
          <cell r="E4611" t="str">
            <v>BALL VA</v>
          </cell>
          <cell r="F4611">
            <v>6</v>
          </cell>
          <cell r="G4611" t="str">
            <v>VB8010600000T00</v>
          </cell>
          <cell r="H4611">
            <v>0.75</v>
          </cell>
          <cell r="I4611" t="str">
            <v>--</v>
          </cell>
          <cell r="J4611">
            <v>4</v>
          </cell>
          <cell r="K4611">
            <v>4</v>
          </cell>
        </row>
        <row r="4612">
          <cell r="A4612" t="str">
            <v>M2</v>
          </cell>
          <cell r="B4612" t="str">
            <v>A5C</v>
          </cell>
          <cell r="C4612" t="str">
            <v>TRIM</v>
          </cell>
          <cell r="D4612" t="str">
            <v>R-2401</v>
          </cell>
          <cell r="E4612" t="str">
            <v>BALL VA</v>
          </cell>
          <cell r="F4612">
            <v>6</v>
          </cell>
          <cell r="G4612" t="str">
            <v>VB8010600000T00</v>
          </cell>
          <cell r="H4612">
            <v>0.75</v>
          </cell>
          <cell r="I4612" t="str">
            <v>--</v>
          </cell>
          <cell r="J4612">
            <v>2</v>
          </cell>
          <cell r="K4612">
            <v>2</v>
          </cell>
        </row>
        <row r="4613">
          <cell r="A4613" t="str">
            <v>M2</v>
          </cell>
          <cell r="B4613" t="str">
            <v>A5C</v>
          </cell>
          <cell r="C4613" t="str">
            <v>TRIM</v>
          </cell>
          <cell r="D4613" t="str">
            <v>R-2401</v>
          </cell>
          <cell r="E4613" t="str">
            <v>BALL VA</v>
          </cell>
          <cell r="F4613">
            <v>6</v>
          </cell>
          <cell r="G4613" t="str">
            <v>VB8010600000T00</v>
          </cell>
          <cell r="H4613">
            <v>0.75</v>
          </cell>
          <cell r="I4613" t="str">
            <v>--</v>
          </cell>
          <cell r="J4613">
            <v>5</v>
          </cell>
          <cell r="K4613">
            <v>5</v>
          </cell>
        </row>
        <row r="4614">
          <cell r="A4614" t="str">
            <v>M2</v>
          </cell>
          <cell r="B4614" t="str">
            <v>A5C</v>
          </cell>
          <cell r="C4614" t="str">
            <v>TRIM</v>
          </cell>
          <cell r="D4614" t="str">
            <v>V-2401</v>
          </cell>
          <cell r="E4614" t="str">
            <v>BALL VA</v>
          </cell>
          <cell r="F4614">
            <v>6</v>
          </cell>
          <cell r="G4614" t="str">
            <v>VB8010600000T00</v>
          </cell>
          <cell r="H4614">
            <v>0.75</v>
          </cell>
          <cell r="I4614" t="str">
            <v>--</v>
          </cell>
          <cell r="J4614">
            <v>2</v>
          </cell>
          <cell r="K4614">
            <v>2</v>
          </cell>
        </row>
        <row r="4615">
          <cell r="A4615" t="str">
            <v>M2</v>
          </cell>
          <cell r="B4615" t="str">
            <v>A5C</v>
          </cell>
          <cell r="C4615" t="str">
            <v>TRIM</v>
          </cell>
          <cell r="D4615" t="str">
            <v>V-2404</v>
          </cell>
          <cell r="E4615" t="str">
            <v>BALL VA</v>
          </cell>
          <cell r="F4615">
            <v>6</v>
          </cell>
          <cell r="G4615" t="str">
            <v>VB8010600000T00</v>
          </cell>
          <cell r="H4615">
            <v>0.75</v>
          </cell>
          <cell r="I4615" t="str">
            <v>--</v>
          </cell>
          <cell r="J4615">
            <v>4</v>
          </cell>
          <cell r="K4615">
            <v>4</v>
          </cell>
        </row>
        <row r="4616">
          <cell r="A4616" t="str">
            <v>M2</v>
          </cell>
          <cell r="B4616" t="str">
            <v>A5C</v>
          </cell>
          <cell r="C4616" t="str">
            <v>P</v>
          </cell>
          <cell r="D4616" t="str">
            <v>23013</v>
          </cell>
          <cell r="E4616" t="str">
            <v>BALL VA</v>
          </cell>
          <cell r="F4616">
            <v>6</v>
          </cell>
          <cell r="G4616" t="str">
            <v>VB8010600000T00</v>
          </cell>
          <cell r="H4616">
            <v>0.75</v>
          </cell>
          <cell r="I4616" t="str">
            <v>--</v>
          </cell>
          <cell r="J4616">
            <v>2</v>
          </cell>
          <cell r="K4616">
            <v>2</v>
          </cell>
        </row>
        <row r="4617">
          <cell r="A4617" t="str">
            <v>M2</v>
          </cell>
          <cell r="B4617" t="str">
            <v>A5C</v>
          </cell>
          <cell r="C4617" t="str">
            <v>P</v>
          </cell>
          <cell r="D4617" t="str">
            <v>23013</v>
          </cell>
          <cell r="E4617" t="str">
            <v>BALL VA</v>
          </cell>
          <cell r="F4617">
            <v>6</v>
          </cell>
          <cell r="G4617" t="str">
            <v>VB8010600000T00</v>
          </cell>
          <cell r="H4617">
            <v>0.75</v>
          </cell>
          <cell r="I4617" t="str">
            <v>--</v>
          </cell>
          <cell r="J4617">
            <v>2</v>
          </cell>
          <cell r="K4617">
            <v>2</v>
          </cell>
        </row>
        <row r="4618">
          <cell r="A4618" t="str">
            <v>M2</v>
          </cell>
          <cell r="B4618" t="str">
            <v>A5C</v>
          </cell>
          <cell r="C4618" t="str">
            <v>P</v>
          </cell>
          <cell r="D4618" t="str">
            <v>24026</v>
          </cell>
          <cell r="E4618" t="str">
            <v>BALL VA</v>
          </cell>
          <cell r="F4618">
            <v>6</v>
          </cell>
          <cell r="G4618" t="str">
            <v>VB8010600000T00</v>
          </cell>
          <cell r="H4618">
            <v>0.75</v>
          </cell>
          <cell r="I4618" t="str">
            <v>--</v>
          </cell>
          <cell r="J4618">
            <v>1</v>
          </cell>
          <cell r="K4618">
            <v>1</v>
          </cell>
        </row>
        <row r="4619">
          <cell r="A4619" t="str">
            <v>M2</v>
          </cell>
          <cell r="B4619" t="str">
            <v>A5C</v>
          </cell>
          <cell r="C4619" t="str">
            <v>P</v>
          </cell>
          <cell r="D4619" t="str">
            <v>24033</v>
          </cell>
          <cell r="E4619" t="str">
            <v>BALL VA</v>
          </cell>
          <cell r="F4619">
            <v>6</v>
          </cell>
          <cell r="G4619" t="str">
            <v>VB8010600000T00</v>
          </cell>
          <cell r="H4619">
            <v>0.75</v>
          </cell>
          <cell r="I4619" t="str">
            <v>--</v>
          </cell>
          <cell r="J4619">
            <v>1</v>
          </cell>
          <cell r="K4619">
            <v>1</v>
          </cell>
        </row>
        <row r="4620">
          <cell r="A4620" t="str">
            <v>M2</v>
          </cell>
          <cell r="B4620" t="str">
            <v>A5C</v>
          </cell>
          <cell r="C4620" t="str">
            <v>TRIM</v>
          </cell>
          <cell r="D4620" t="str">
            <v>V-2401</v>
          </cell>
          <cell r="E4620" t="str">
            <v>BALL VA</v>
          </cell>
          <cell r="F4620">
            <v>6</v>
          </cell>
          <cell r="G4620" t="str">
            <v>VB8010600000T00</v>
          </cell>
          <cell r="H4620">
            <v>0.75</v>
          </cell>
          <cell r="I4620" t="str">
            <v>--</v>
          </cell>
          <cell r="J4620">
            <v>4</v>
          </cell>
          <cell r="K4620">
            <v>4</v>
          </cell>
        </row>
        <row r="4621">
          <cell r="A4621" t="str">
            <v>M2</v>
          </cell>
          <cell r="B4621" t="str">
            <v>A5C</v>
          </cell>
          <cell r="C4621" t="str">
            <v>TRIM</v>
          </cell>
          <cell r="D4621" t="str">
            <v>V-2404</v>
          </cell>
          <cell r="E4621" t="str">
            <v>BALL VA</v>
          </cell>
          <cell r="F4621">
            <v>6</v>
          </cell>
          <cell r="G4621" t="str">
            <v>VB8010600000T00</v>
          </cell>
          <cell r="H4621">
            <v>0.75</v>
          </cell>
          <cell r="I4621" t="str">
            <v>--</v>
          </cell>
          <cell r="J4621">
            <v>2</v>
          </cell>
          <cell r="K4621">
            <v>2</v>
          </cell>
        </row>
        <row r="4622">
          <cell r="A4622" t="str">
            <v>M2</v>
          </cell>
          <cell r="B4622" t="str">
            <v>A5C</v>
          </cell>
          <cell r="C4622" t="str">
            <v>P</v>
          </cell>
          <cell r="D4622" t="str">
            <v>23014</v>
          </cell>
          <cell r="E4622" t="str">
            <v>CHECK VA</v>
          </cell>
          <cell r="F4622">
            <v>6</v>
          </cell>
          <cell r="G4622" t="str">
            <v>VCB8010400000T00</v>
          </cell>
          <cell r="H4622">
            <v>0.75</v>
          </cell>
          <cell r="I4622" t="str">
            <v>--</v>
          </cell>
          <cell r="J4622">
            <v>1</v>
          </cell>
          <cell r="K4622">
            <v>1</v>
          </cell>
        </row>
        <row r="4623">
          <cell r="A4623" t="str">
            <v>M2</v>
          </cell>
          <cell r="B4623" t="str">
            <v>A5C</v>
          </cell>
          <cell r="C4623" t="str">
            <v>P</v>
          </cell>
          <cell r="D4623" t="str">
            <v>24029</v>
          </cell>
          <cell r="E4623" t="str">
            <v>CHECK VA</v>
          </cell>
          <cell r="F4623">
            <v>6</v>
          </cell>
          <cell r="G4623" t="str">
            <v>VCB8010400000T00</v>
          </cell>
          <cell r="H4623">
            <v>0.75</v>
          </cell>
          <cell r="I4623" t="str">
            <v>--</v>
          </cell>
          <cell r="J4623">
            <v>2</v>
          </cell>
          <cell r="K4623">
            <v>2</v>
          </cell>
        </row>
        <row r="4624">
          <cell r="A4624" t="str">
            <v>M2</v>
          </cell>
          <cell r="B4624" t="str">
            <v>A5C</v>
          </cell>
          <cell r="C4624" t="str">
            <v>P</v>
          </cell>
          <cell r="D4624" t="str">
            <v>23156</v>
          </cell>
          <cell r="E4624" t="str">
            <v>GLOBE VA</v>
          </cell>
          <cell r="F4624">
            <v>6</v>
          </cell>
          <cell r="G4624" t="str">
            <v>VL8010100000T00</v>
          </cell>
          <cell r="H4624">
            <v>0.75</v>
          </cell>
          <cell r="I4624" t="str">
            <v>--</v>
          </cell>
          <cell r="J4624">
            <v>1</v>
          </cell>
          <cell r="K4624">
            <v>1</v>
          </cell>
        </row>
        <row r="4625">
          <cell r="A4625" t="str">
            <v>M2</v>
          </cell>
          <cell r="B4625" t="str">
            <v>A5C</v>
          </cell>
          <cell r="C4625" t="str">
            <v>P</v>
          </cell>
          <cell r="D4625" t="str">
            <v>99004</v>
          </cell>
          <cell r="E4625" t="str">
            <v>GLOBE VA</v>
          </cell>
          <cell r="F4625">
            <v>6</v>
          </cell>
          <cell r="G4625" t="str">
            <v>VL8010100000T00</v>
          </cell>
          <cell r="H4625">
            <v>0.75</v>
          </cell>
          <cell r="I4625" t="str">
            <v>--</v>
          </cell>
          <cell r="J4625">
            <v>1</v>
          </cell>
          <cell r="K4625">
            <v>1</v>
          </cell>
        </row>
        <row r="4626">
          <cell r="A4626" t="str">
            <v>M2</v>
          </cell>
          <cell r="B4626" t="str">
            <v>A5C</v>
          </cell>
          <cell r="C4626" t="str">
            <v>N</v>
          </cell>
          <cell r="D4626" t="str">
            <v>23634</v>
          </cell>
          <cell r="E4626" t="str">
            <v>BALL VA</v>
          </cell>
          <cell r="F4626">
            <v>6</v>
          </cell>
          <cell r="G4626" t="str">
            <v>VB8010600000100</v>
          </cell>
          <cell r="H4626">
            <v>1</v>
          </cell>
          <cell r="I4626" t="str">
            <v>--</v>
          </cell>
          <cell r="J4626">
            <v>1</v>
          </cell>
          <cell r="K4626">
            <v>1</v>
          </cell>
        </row>
        <row r="4627">
          <cell r="A4627" t="str">
            <v>M2</v>
          </cell>
          <cell r="B4627" t="str">
            <v>A5C</v>
          </cell>
          <cell r="C4627" t="str">
            <v>N</v>
          </cell>
          <cell r="D4627" t="str">
            <v>23636</v>
          </cell>
          <cell r="E4627" t="str">
            <v>BALL VA</v>
          </cell>
          <cell r="F4627">
            <v>6</v>
          </cell>
          <cell r="G4627" t="str">
            <v>VB8010600000100</v>
          </cell>
          <cell r="H4627">
            <v>1</v>
          </cell>
          <cell r="I4627" t="str">
            <v>--</v>
          </cell>
          <cell r="J4627">
            <v>1</v>
          </cell>
          <cell r="K4627">
            <v>1</v>
          </cell>
        </row>
        <row r="4628">
          <cell r="A4628" t="str">
            <v>M2</v>
          </cell>
          <cell r="B4628" t="str">
            <v>A5C</v>
          </cell>
          <cell r="C4628" t="str">
            <v>P</v>
          </cell>
          <cell r="D4628" t="str">
            <v>23037</v>
          </cell>
          <cell r="E4628" t="str">
            <v>BALL VA</v>
          </cell>
          <cell r="F4628">
            <v>6</v>
          </cell>
          <cell r="G4628" t="str">
            <v>VB8010600000100</v>
          </cell>
          <cell r="H4628">
            <v>1</v>
          </cell>
          <cell r="I4628" t="str">
            <v>--</v>
          </cell>
          <cell r="J4628">
            <v>3</v>
          </cell>
          <cell r="K4628">
            <v>3</v>
          </cell>
        </row>
        <row r="4629">
          <cell r="A4629" t="str">
            <v>M2</v>
          </cell>
          <cell r="B4629" t="str">
            <v>A5C</v>
          </cell>
          <cell r="C4629" t="str">
            <v>P</v>
          </cell>
          <cell r="D4629" t="str">
            <v>23052</v>
          </cell>
          <cell r="E4629" t="str">
            <v>BALL VA</v>
          </cell>
          <cell r="F4629">
            <v>6</v>
          </cell>
          <cell r="G4629" t="str">
            <v>VB8010600000100</v>
          </cell>
          <cell r="H4629">
            <v>1</v>
          </cell>
          <cell r="I4629" t="str">
            <v>--</v>
          </cell>
          <cell r="J4629">
            <v>3</v>
          </cell>
          <cell r="K4629">
            <v>3</v>
          </cell>
        </row>
        <row r="4630">
          <cell r="A4630" t="str">
            <v>M2</v>
          </cell>
          <cell r="B4630" t="str">
            <v>A5C</v>
          </cell>
          <cell r="C4630" t="str">
            <v>P</v>
          </cell>
          <cell r="D4630" t="str">
            <v>23063</v>
          </cell>
          <cell r="E4630" t="str">
            <v>BALL VA</v>
          </cell>
          <cell r="F4630">
            <v>6</v>
          </cell>
          <cell r="G4630" t="str">
            <v>VB8010600000100</v>
          </cell>
          <cell r="H4630">
            <v>1</v>
          </cell>
          <cell r="I4630" t="str">
            <v>--</v>
          </cell>
          <cell r="J4630">
            <v>3</v>
          </cell>
          <cell r="K4630">
            <v>3</v>
          </cell>
        </row>
        <row r="4631">
          <cell r="A4631" t="str">
            <v>M2</v>
          </cell>
          <cell r="B4631" t="str">
            <v>A5C</v>
          </cell>
          <cell r="C4631" t="str">
            <v>P</v>
          </cell>
          <cell r="D4631" t="str">
            <v>23067</v>
          </cell>
          <cell r="E4631" t="str">
            <v>BALL VA</v>
          </cell>
          <cell r="F4631">
            <v>6</v>
          </cell>
          <cell r="G4631" t="str">
            <v>VB8010600000100</v>
          </cell>
          <cell r="H4631">
            <v>1</v>
          </cell>
          <cell r="I4631" t="str">
            <v>--</v>
          </cell>
          <cell r="J4631">
            <v>1</v>
          </cell>
          <cell r="K4631">
            <v>1</v>
          </cell>
        </row>
        <row r="4632">
          <cell r="A4632" t="str">
            <v>M2</v>
          </cell>
          <cell r="B4632" t="str">
            <v>A5C</v>
          </cell>
          <cell r="C4632" t="str">
            <v>P</v>
          </cell>
          <cell r="D4632" t="str">
            <v>23078</v>
          </cell>
          <cell r="E4632" t="str">
            <v>BALL VA</v>
          </cell>
          <cell r="F4632">
            <v>6</v>
          </cell>
          <cell r="G4632" t="str">
            <v>VB8010600000100</v>
          </cell>
          <cell r="H4632">
            <v>1</v>
          </cell>
          <cell r="I4632" t="str">
            <v>--</v>
          </cell>
          <cell r="J4632">
            <v>3</v>
          </cell>
          <cell r="K4632">
            <v>3</v>
          </cell>
        </row>
        <row r="4633">
          <cell r="A4633" t="str">
            <v>M2</v>
          </cell>
          <cell r="B4633" t="str">
            <v>A5C</v>
          </cell>
          <cell r="C4633" t="str">
            <v>P</v>
          </cell>
          <cell r="D4633" t="str">
            <v>23083</v>
          </cell>
          <cell r="E4633" t="str">
            <v>BALL VA</v>
          </cell>
          <cell r="F4633">
            <v>6</v>
          </cell>
          <cell r="G4633" t="str">
            <v>VB8010600000100</v>
          </cell>
          <cell r="H4633">
            <v>1</v>
          </cell>
          <cell r="I4633" t="str">
            <v>--</v>
          </cell>
          <cell r="J4633">
            <v>3</v>
          </cell>
          <cell r="K4633">
            <v>3</v>
          </cell>
        </row>
        <row r="4634">
          <cell r="A4634" t="str">
            <v>M2</v>
          </cell>
          <cell r="B4634" t="str">
            <v>A5C</v>
          </cell>
          <cell r="C4634" t="str">
            <v>P</v>
          </cell>
          <cell r="D4634" t="str">
            <v>23104</v>
          </cell>
          <cell r="E4634" t="str">
            <v>BALL VA</v>
          </cell>
          <cell r="F4634">
            <v>6</v>
          </cell>
          <cell r="G4634" t="str">
            <v>VB8010600000100</v>
          </cell>
          <cell r="H4634">
            <v>1</v>
          </cell>
          <cell r="I4634" t="str">
            <v>--</v>
          </cell>
          <cell r="J4634">
            <v>1</v>
          </cell>
          <cell r="K4634">
            <v>1</v>
          </cell>
        </row>
        <row r="4635">
          <cell r="A4635" t="str">
            <v>M2</v>
          </cell>
          <cell r="B4635" t="str">
            <v>A5C</v>
          </cell>
          <cell r="C4635" t="str">
            <v>P</v>
          </cell>
          <cell r="D4635" t="str">
            <v>23104</v>
          </cell>
          <cell r="E4635" t="str">
            <v>BALL VA</v>
          </cell>
          <cell r="F4635">
            <v>6</v>
          </cell>
          <cell r="G4635" t="str">
            <v>VB8010600000100</v>
          </cell>
          <cell r="H4635">
            <v>1</v>
          </cell>
          <cell r="I4635" t="str">
            <v>--</v>
          </cell>
          <cell r="J4635">
            <v>1</v>
          </cell>
          <cell r="K4635">
            <v>1</v>
          </cell>
        </row>
        <row r="4636">
          <cell r="A4636" t="str">
            <v>M2</v>
          </cell>
          <cell r="B4636" t="str">
            <v>A5C</v>
          </cell>
          <cell r="C4636" t="str">
            <v>P</v>
          </cell>
          <cell r="D4636" t="str">
            <v>23108</v>
          </cell>
          <cell r="E4636" t="str">
            <v>BALL VA</v>
          </cell>
          <cell r="F4636">
            <v>6</v>
          </cell>
          <cell r="G4636" t="str">
            <v>VB8010600000100</v>
          </cell>
          <cell r="H4636">
            <v>1</v>
          </cell>
          <cell r="I4636" t="str">
            <v>--</v>
          </cell>
          <cell r="J4636">
            <v>1</v>
          </cell>
          <cell r="K4636">
            <v>1</v>
          </cell>
        </row>
        <row r="4637">
          <cell r="A4637" t="str">
            <v>M2</v>
          </cell>
          <cell r="B4637" t="str">
            <v>A5C</v>
          </cell>
          <cell r="C4637" t="str">
            <v>P</v>
          </cell>
          <cell r="D4637" t="str">
            <v>23112</v>
          </cell>
          <cell r="E4637" t="str">
            <v>BALL VA</v>
          </cell>
          <cell r="F4637">
            <v>6</v>
          </cell>
          <cell r="G4637" t="str">
            <v>VB8010600000100</v>
          </cell>
          <cell r="H4637">
            <v>1</v>
          </cell>
          <cell r="I4637" t="str">
            <v>--</v>
          </cell>
          <cell r="J4637">
            <v>1</v>
          </cell>
          <cell r="K4637">
            <v>1</v>
          </cell>
        </row>
        <row r="4638">
          <cell r="A4638" t="str">
            <v>M2</v>
          </cell>
          <cell r="B4638" t="str">
            <v>A5C</v>
          </cell>
          <cell r="C4638" t="str">
            <v>P</v>
          </cell>
          <cell r="D4638" t="str">
            <v>23112</v>
          </cell>
          <cell r="E4638" t="str">
            <v>BALL VA</v>
          </cell>
          <cell r="F4638">
            <v>6</v>
          </cell>
          <cell r="G4638" t="str">
            <v>VB8010600000100</v>
          </cell>
          <cell r="H4638">
            <v>1</v>
          </cell>
          <cell r="I4638" t="str">
            <v>--</v>
          </cell>
          <cell r="J4638">
            <v>1</v>
          </cell>
          <cell r="K4638">
            <v>1</v>
          </cell>
        </row>
        <row r="4639">
          <cell r="A4639" t="str">
            <v>M2</v>
          </cell>
          <cell r="B4639" t="str">
            <v>A5C</v>
          </cell>
          <cell r="C4639" t="str">
            <v>P</v>
          </cell>
          <cell r="D4639" t="str">
            <v>23122</v>
          </cell>
          <cell r="E4639" t="str">
            <v>BALL VA</v>
          </cell>
          <cell r="F4639">
            <v>6</v>
          </cell>
          <cell r="G4639" t="str">
            <v>VB8010600000100</v>
          </cell>
          <cell r="H4639">
            <v>1</v>
          </cell>
          <cell r="I4639" t="str">
            <v>--</v>
          </cell>
          <cell r="J4639">
            <v>3</v>
          </cell>
          <cell r="K4639">
            <v>3</v>
          </cell>
        </row>
        <row r="4640">
          <cell r="A4640" t="str">
            <v>M2</v>
          </cell>
          <cell r="B4640" t="str">
            <v>A5C</v>
          </cell>
          <cell r="C4640" t="str">
            <v>P</v>
          </cell>
          <cell r="D4640" t="str">
            <v>23144</v>
          </cell>
          <cell r="E4640" t="str">
            <v>BALL VA</v>
          </cell>
          <cell r="F4640">
            <v>6</v>
          </cell>
          <cell r="G4640" t="str">
            <v>VB8010600000100</v>
          </cell>
          <cell r="H4640">
            <v>1</v>
          </cell>
          <cell r="I4640" t="str">
            <v>--</v>
          </cell>
          <cell r="J4640">
            <v>2</v>
          </cell>
          <cell r="K4640">
            <v>2</v>
          </cell>
        </row>
        <row r="4641">
          <cell r="A4641" t="str">
            <v>M2</v>
          </cell>
          <cell r="B4641" t="str">
            <v>A5C</v>
          </cell>
          <cell r="C4641" t="str">
            <v>P</v>
          </cell>
          <cell r="D4641" t="str">
            <v>23148</v>
          </cell>
          <cell r="E4641" t="str">
            <v>BALL VA</v>
          </cell>
          <cell r="F4641">
            <v>6</v>
          </cell>
          <cell r="G4641" t="str">
            <v>VB8010600000100</v>
          </cell>
          <cell r="H4641">
            <v>1</v>
          </cell>
          <cell r="I4641" t="str">
            <v>--</v>
          </cell>
          <cell r="J4641">
            <v>2</v>
          </cell>
          <cell r="K4641">
            <v>2</v>
          </cell>
        </row>
        <row r="4642">
          <cell r="A4642" t="str">
            <v>M2</v>
          </cell>
          <cell r="B4642" t="str">
            <v>A5C</v>
          </cell>
          <cell r="C4642" t="str">
            <v>P</v>
          </cell>
          <cell r="D4642" t="str">
            <v>23149</v>
          </cell>
          <cell r="E4642" t="str">
            <v>BALL VA</v>
          </cell>
          <cell r="F4642">
            <v>6</v>
          </cell>
          <cell r="G4642" t="str">
            <v>VB8010600000100</v>
          </cell>
          <cell r="H4642">
            <v>1</v>
          </cell>
          <cell r="I4642" t="str">
            <v>--</v>
          </cell>
          <cell r="J4642">
            <v>2</v>
          </cell>
          <cell r="K4642">
            <v>2</v>
          </cell>
        </row>
        <row r="4643">
          <cell r="A4643" t="str">
            <v>M2</v>
          </cell>
          <cell r="B4643" t="str">
            <v>A5C</v>
          </cell>
          <cell r="C4643" t="str">
            <v>P</v>
          </cell>
          <cell r="D4643" t="str">
            <v>23164</v>
          </cell>
          <cell r="E4643" t="str">
            <v>BALL VA</v>
          </cell>
          <cell r="F4643">
            <v>6</v>
          </cell>
          <cell r="G4643" t="str">
            <v>VB8010600000100</v>
          </cell>
          <cell r="H4643">
            <v>1</v>
          </cell>
          <cell r="I4643" t="str">
            <v>--</v>
          </cell>
          <cell r="J4643">
            <v>2</v>
          </cell>
          <cell r="K4643">
            <v>2</v>
          </cell>
        </row>
        <row r="4644">
          <cell r="A4644" t="str">
            <v>M2</v>
          </cell>
          <cell r="B4644" t="str">
            <v>A5C</v>
          </cell>
          <cell r="C4644" t="str">
            <v>P</v>
          </cell>
          <cell r="D4644" t="str">
            <v>23204</v>
          </cell>
          <cell r="E4644" t="str">
            <v>BALL VA</v>
          </cell>
          <cell r="F4644">
            <v>6</v>
          </cell>
          <cell r="G4644" t="str">
            <v>VB8010600000100</v>
          </cell>
          <cell r="H4644">
            <v>1</v>
          </cell>
          <cell r="I4644" t="str">
            <v>--</v>
          </cell>
          <cell r="J4644">
            <v>1</v>
          </cell>
          <cell r="K4644">
            <v>1</v>
          </cell>
        </row>
        <row r="4645">
          <cell r="A4645" t="str">
            <v>M2</v>
          </cell>
          <cell r="B4645" t="str">
            <v>A5C</v>
          </cell>
          <cell r="C4645" t="str">
            <v>P</v>
          </cell>
          <cell r="D4645" t="str">
            <v>23206</v>
          </cell>
          <cell r="E4645" t="str">
            <v>BALL VA</v>
          </cell>
          <cell r="F4645">
            <v>6</v>
          </cell>
          <cell r="G4645" t="str">
            <v>VB8010600000100</v>
          </cell>
          <cell r="H4645">
            <v>1</v>
          </cell>
          <cell r="I4645" t="str">
            <v>--</v>
          </cell>
          <cell r="J4645">
            <v>1</v>
          </cell>
          <cell r="K4645">
            <v>1</v>
          </cell>
        </row>
        <row r="4646">
          <cell r="A4646" t="str">
            <v>M2</v>
          </cell>
          <cell r="B4646" t="str">
            <v>A5C</v>
          </cell>
          <cell r="C4646" t="str">
            <v>P</v>
          </cell>
          <cell r="D4646" t="str">
            <v>23208</v>
          </cell>
          <cell r="E4646" t="str">
            <v>BALL VA</v>
          </cell>
          <cell r="F4646">
            <v>6</v>
          </cell>
          <cell r="G4646" t="str">
            <v>VB8010600000100</v>
          </cell>
          <cell r="H4646">
            <v>1</v>
          </cell>
          <cell r="I4646" t="str">
            <v>--</v>
          </cell>
          <cell r="J4646">
            <v>1</v>
          </cell>
          <cell r="K4646">
            <v>1</v>
          </cell>
        </row>
        <row r="4647">
          <cell r="A4647" t="str">
            <v>M2</v>
          </cell>
          <cell r="B4647" t="str">
            <v>A5C</v>
          </cell>
          <cell r="C4647" t="str">
            <v>P</v>
          </cell>
          <cell r="D4647" t="str">
            <v>23207</v>
          </cell>
          <cell r="E4647" t="str">
            <v>BALL VA</v>
          </cell>
          <cell r="F4647">
            <v>6</v>
          </cell>
          <cell r="G4647" t="str">
            <v>VB8010600000100</v>
          </cell>
          <cell r="H4647">
            <v>1</v>
          </cell>
          <cell r="I4647" t="str">
            <v>--</v>
          </cell>
          <cell r="J4647">
            <v>1</v>
          </cell>
          <cell r="K4647">
            <v>1</v>
          </cell>
        </row>
        <row r="4648">
          <cell r="A4648" t="str">
            <v>M2</v>
          </cell>
          <cell r="B4648" t="str">
            <v>A5C</v>
          </cell>
          <cell r="C4648" t="str">
            <v>P</v>
          </cell>
          <cell r="D4648" t="str">
            <v>23213</v>
          </cell>
          <cell r="E4648" t="str">
            <v>BALL VA</v>
          </cell>
          <cell r="F4648">
            <v>6</v>
          </cell>
          <cell r="G4648" t="str">
            <v>VB8010600000100</v>
          </cell>
          <cell r="H4648">
            <v>1</v>
          </cell>
          <cell r="I4648" t="str">
            <v>--</v>
          </cell>
          <cell r="J4648">
            <v>1</v>
          </cell>
          <cell r="K4648">
            <v>1</v>
          </cell>
        </row>
        <row r="4649">
          <cell r="A4649" t="str">
            <v>M2</v>
          </cell>
          <cell r="B4649" t="str">
            <v>A5C</v>
          </cell>
          <cell r="C4649" t="str">
            <v>P</v>
          </cell>
          <cell r="D4649" t="str">
            <v>23230</v>
          </cell>
          <cell r="E4649" t="str">
            <v>BALL VA</v>
          </cell>
          <cell r="F4649">
            <v>6</v>
          </cell>
          <cell r="G4649" t="str">
            <v>VB8010600000100</v>
          </cell>
          <cell r="H4649">
            <v>1</v>
          </cell>
          <cell r="I4649" t="str">
            <v>--</v>
          </cell>
          <cell r="J4649">
            <v>2</v>
          </cell>
          <cell r="K4649">
            <v>2</v>
          </cell>
        </row>
        <row r="4650">
          <cell r="A4650" t="str">
            <v>M2</v>
          </cell>
          <cell r="B4650" t="str">
            <v>A5C</v>
          </cell>
          <cell r="C4650" t="str">
            <v>P</v>
          </cell>
          <cell r="D4650" t="str">
            <v>23239</v>
          </cell>
          <cell r="E4650" t="str">
            <v>BALL VA</v>
          </cell>
          <cell r="F4650">
            <v>6</v>
          </cell>
          <cell r="G4650" t="str">
            <v>VB8010600000100</v>
          </cell>
          <cell r="H4650">
            <v>1</v>
          </cell>
          <cell r="I4650" t="str">
            <v>--</v>
          </cell>
          <cell r="J4650">
            <v>1</v>
          </cell>
          <cell r="K4650">
            <v>1</v>
          </cell>
        </row>
        <row r="4651">
          <cell r="A4651" t="str">
            <v>M2</v>
          </cell>
          <cell r="B4651" t="str">
            <v>A5C</v>
          </cell>
          <cell r="C4651" t="str">
            <v>P</v>
          </cell>
          <cell r="D4651" t="str">
            <v>23235</v>
          </cell>
          <cell r="E4651" t="str">
            <v>BALL VA</v>
          </cell>
          <cell r="F4651">
            <v>6</v>
          </cell>
          <cell r="G4651" t="str">
            <v>VB8010600000100</v>
          </cell>
          <cell r="H4651">
            <v>1</v>
          </cell>
          <cell r="I4651" t="str">
            <v>--</v>
          </cell>
          <cell r="J4651">
            <v>1</v>
          </cell>
          <cell r="K4651">
            <v>1</v>
          </cell>
        </row>
        <row r="4652">
          <cell r="A4652" t="str">
            <v>M2</v>
          </cell>
          <cell r="B4652" t="str">
            <v>A5C</v>
          </cell>
          <cell r="C4652" t="str">
            <v>P</v>
          </cell>
          <cell r="D4652" t="str">
            <v>23245</v>
          </cell>
          <cell r="E4652" t="str">
            <v>BALL VA</v>
          </cell>
          <cell r="F4652">
            <v>6</v>
          </cell>
          <cell r="G4652" t="str">
            <v>VB8010600000100</v>
          </cell>
          <cell r="H4652">
            <v>1</v>
          </cell>
          <cell r="I4652" t="str">
            <v>--</v>
          </cell>
          <cell r="J4652">
            <v>1</v>
          </cell>
          <cell r="K4652">
            <v>1</v>
          </cell>
        </row>
        <row r="4653">
          <cell r="A4653" t="str">
            <v>M2</v>
          </cell>
          <cell r="B4653" t="str">
            <v>A5C</v>
          </cell>
          <cell r="C4653" t="str">
            <v>P</v>
          </cell>
          <cell r="D4653" t="str">
            <v>23252</v>
          </cell>
          <cell r="E4653" t="str">
            <v>BALL VA</v>
          </cell>
          <cell r="F4653">
            <v>6</v>
          </cell>
          <cell r="G4653" t="str">
            <v>VB8010600000100</v>
          </cell>
          <cell r="H4653">
            <v>1</v>
          </cell>
          <cell r="I4653" t="str">
            <v>--</v>
          </cell>
          <cell r="J4653">
            <v>2</v>
          </cell>
          <cell r="K4653">
            <v>2</v>
          </cell>
        </row>
        <row r="4654">
          <cell r="A4654" t="str">
            <v>M2</v>
          </cell>
          <cell r="B4654" t="str">
            <v>A5C</v>
          </cell>
          <cell r="C4654" t="str">
            <v>P</v>
          </cell>
          <cell r="D4654" t="str">
            <v>23261</v>
          </cell>
          <cell r="E4654" t="str">
            <v>BALL VA</v>
          </cell>
          <cell r="F4654">
            <v>6</v>
          </cell>
          <cell r="G4654" t="str">
            <v>VB8010600000100</v>
          </cell>
          <cell r="H4654">
            <v>1</v>
          </cell>
          <cell r="I4654" t="str">
            <v>--</v>
          </cell>
          <cell r="J4654">
            <v>1</v>
          </cell>
          <cell r="K4654">
            <v>1</v>
          </cell>
        </row>
        <row r="4655">
          <cell r="A4655" t="str">
            <v>M2</v>
          </cell>
          <cell r="B4655" t="str">
            <v>A5C</v>
          </cell>
          <cell r="C4655" t="str">
            <v>P</v>
          </cell>
          <cell r="D4655" t="str">
            <v>24008</v>
          </cell>
          <cell r="E4655" t="str">
            <v>BALL VA</v>
          </cell>
          <cell r="F4655">
            <v>6</v>
          </cell>
          <cell r="G4655" t="str">
            <v>VB8010600000100</v>
          </cell>
          <cell r="H4655">
            <v>1</v>
          </cell>
          <cell r="I4655" t="str">
            <v>--</v>
          </cell>
          <cell r="J4655">
            <v>4</v>
          </cell>
          <cell r="K4655">
            <v>4</v>
          </cell>
        </row>
        <row r="4656">
          <cell r="A4656" t="str">
            <v>M2</v>
          </cell>
          <cell r="B4656" t="str">
            <v>A5C</v>
          </cell>
          <cell r="C4656" t="str">
            <v>P</v>
          </cell>
          <cell r="D4656" t="str">
            <v>24020</v>
          </cell>
          <cell r="E4656" t="str">
            <v>BALL VA</v>
          </cell>
          <cell r="F4656">
            <v>6</v>
          </cell>
          <cell r="G4656" t="str">
            <v>VB8010600000100</v>
          </cell>
          <cell r="H4656">
            <v>1</v>
          </cell>
          <cell r="I4656" t="str">
            <v>--</v>
          </cell>
          <cell r="J4656">
            <v>3</v>
          </cell>
          <cell r="K4656">
            <v>3</v>
          </cell>
        </row>
        <row r="4657">
          <cell r="A4657" t="str">
            <v>M2</v>
          </cell>
          <cell r="B4657" t="str">
            <v>A5C</v>
          </cell>
          <cell r="C4657" t="str">
            <v>TRIM</v>
          </cell>
          <cell r="D4657" t="str">
            <v>V-2316</v>
          </cell>
          <cell r="E4657" t="str">
            <v>BALL VA</v>
          </cell>
          <cell r="F4657">
            <v>6</v>
          </cell>
          <cell r="G4657" t="str">
            <v>VB8010600000100</v>
          </cell>
          <cell r="H4657">
            <v>1</v>
          </cell>
          <cell r="I4657" t="str">
            <v>--</v>
          </cell>
          <cell r="J4657">
            <v>2</v>
          </cell>
          <cell r="K4657">
            <v>2</v>
          </cell>
        </row>
        <row r="4658">
          <cell r="A4658" t="str">
            <v>M2</v>
          </cell>
          <cell r="B4658" t="str">
            <v>A5C</v>
          </cell>
          <cell r="C4658" t="str">
            <v>N</v>
          </cell>
          <cell r="D4658" t="str">
            <v>23638</v>
          </cell>
          <cell r="E4658" t="str">
            <v>BALL VA</v>
          </cell>
          <cell r="F4658">
            <v>6</v>
          </cell>
          <cell r="G4658" t="str">
            <v>VB8010600000100</v>
          </cell>
          <cell r="H4658">
            <v>1</v>
          </cell>
          <cell r="I4658" t="str">
            <v>--</v>
          </cell>
          <cell r="J4658">
            <v>1</v>
          </cell>
          <cell r="K4658">
            <v>1</v>
          </cell>
        </row>
        <row r="4659">
          <cell r="A4659" t="str">
            <v>M2</v>
          </cell>
          <cell r="B4659" t="str">
            <v>A5C</v>
          </cell>
          <cell r="C4659" t="str">
            <v>N</v>
          </cell>
          <cell r="D4659" t="str">
            <v>23640</v>
          </cell>
          <cell r="E4659" t="str">
            <v>BALL VA</v>
          </cell>
          <cell r="F4659">
            <v>6</v>
          </cell>
          <cell r="G4659" t="str">
            <v>VB8010600000100</v>
          </cell>
          <cell r="H4659">
            <v>1</v>
          </cell>
          <cell r="I4659" t="str">
            <v>--</v>
          </cell>
          <cell r="J4659">
            <v>1</v>
          </cell>
          <cell r="K4659">
            <v>1</v>
          </cell>
        </row>
        <row r="4660">
          <cell r="A4660" t="str">
            <v>M2</v>
          </cell>
          <cell r="B4660" t="str">
            <v>A5C</v>
          </cell>
          <cell r="C4660" t="str">
            <v>P</v>
          </cell>
          <cell r="D4660" t="str">
            <v>23108</v>
          </cell>
          <cell r="E4660" t="str">
            <v>BALL VA</v>
          </cell>
          <cell r="F4660">
            <v>6</v>
          </cell>
          <cell r="G4660" t="str">
            <v>VB8010600000100</v>
          </cell>
          <cell r="H4660">
            <v>1</v>
          </cell>
          <cell r="I4660" t="str">
            <v>--</v>
          </cell>
          <cell r="J4660">
            <v>1</v>
          </cell>
          <cell r="K4660">
            <v>1</v>
          </cell>
        </row>
        <row r="4661">
          <cell r="A4661" t="str">
            <v>M2</v>
          </cell>
          <cell r="B4661" t="str">
            <v>A5C</v>
          </cell>
          <cell r="C4661" t="str">
            <v>P</v>
          </cell>
          <cell r="D4661" t="str">
            <v>23126</v>
          </cell>
          <cell r="E4661" t="str">
            <v>BALL VA</v>
          </cell>
          <cell r="F4661">
            <v>6</v>
          </cell>
          <cell r="G4661" t="str">
            <v>VB8010600000100</v>
          </cell>
          <cell r="H4661">
            <v>1</v>
          </cell>
          <cell r="I4661" t="str">
            <v>--</v>
          </cell>
          <cell r="J4661">
            <v>1</v>
          </cell>
          <cell r="K4661">
            <v>1</v>
          </cell>
        </row>
        <row r="4662">
          <cell r="A4662" t="str">
            <v>M2</v>
          </cell>
          <cell r="B4662" t="str">
            <v>A5C</v>
          </cell>
          <cell r="C4662" t="str">
            <v>P</v>
          </cell>
          <cell r="D4662" t="str">
            <v>23205</v>
          </cell>
          <cell r="E4662" t="str">
            <v>BALL VA</v>
          </cell>
          <cell r="F4662">
            <v>6</v>
          </cell>
          <cell r="G4662" t="str">
            <v>VB8010600000100</v>
          </cell>
          <cell r="H4662">
            <v>1</v>
          </cell>
          <cell r="I4662" t="str">
            <v>--</v>
          </cell>
          <cell r="J4662">
            <v>1</v>
          </cell>
          <cell r="K4662">
            <v>1</v>
          </cell>
        </row>
        <row r="4663">
          <cell r="A4663" t="str">
            <v>M2</v>
          </cell>
          <cell r="B4663" t="str">
            <v>A5C</v>
          </cell>
          <cell r="C4663" t="str">
            <v>P</v>
          </cell>
          <cell r="D4663" t="str">
            <v>23212</v>
          </cell>
          <cell r="E4663" t="str">
            <v>BALL VA</v>
          </cell>
          <cell r="F4663">
            <v>6</v>
          </cell>
          <cell r="G4663" t="str">
            <v>VB8010600000100</v>
          </cell>
          <cell r="H4663">
            <v>1</v>
          </cell>
          <cell r="I4663" t="str">
            <v>--</v>
          </cell>
          <cell r="J4663">
            <v>1</v>
          </cell>
          <cell r="K4663">
            <v>1</v>
          </cell>
        </row>
        <row r="4664">
          <cell r="A4664" t="str">
            <v>M2</v>
          </cell>
          <cell r="B4664" t="str">
            <v>A5C</v>
          </cell>
          <cell r="C4664" t="str">
            <v>P</v>
          </cell>
          <cell r="D4664" t="str">
            <v>23214</v>
          </cell>
          <cell r="E4664" t="str">
            <v>BALL VA</v>
          </cell>
          <cell r="F4664">
            <v>6</v>
          </cell>
          <cell r="G4664" t="str">
            <v>VB8010600000100</v>
          </cell>
          <cell r="H4664">
            <v>1</v>
          </cell>
          <cell r="I4664" t="str">
            <v>--</v>
          </cell>
          <cell r="J4664">
            <v>1</v>
          </cell>
          <cell r="K4664">
            <v>1</v>
          </cell>
        </row>
        <row r="4665">
          <cell r="A4665" t="str">
            <v>M2</v>
          </cell>
          <cell r="B4665" t="str">
            <v>A5C</v>
          </cell>
          <cell r="C4665" t="str">
            <v>P</v>
          </cell>
          <cell r="D4665" t="str">
            <v>24007</v>
          </cell>
          <cell r="E4665" t="str">
            <v>BALL VA</v>
          </cell>
          <cell r="F4665">
            <v>6</v>
          </cell>
          <cell r="G4665" t="str">
            <v>VB8010600000100</v>
          </cell>
          <cell r="H4665">
            <v>1</v>
          </cell>
          <cell r="I4665" t="str">
            <v>--</v>
          </cell>
          <cell r="J4665">
            <v>1</v>
          </cell>
          <cell r="K4665">
            <v>1</v>
          </cell>
        </row>
        <row r="4666">
          <cell r="A4666" t="str">
            <v>M2</v>
          </cell>
          <cell r="B4666" t="str">
            <v>A5C</v>
          </cell>
          <cell r="C4666" t="str">
            <v>P</v>
          </cell>
          <cell r="D4666" t="str">
            <v>24013</v>
          </cell>
          <cell r="E4666" t="str">
            <v>BALL VA</v>
          </cell>
          <cell r="F4666">
            <v>6</v>
          </cell>
          <cell r="G4666" t="str">
            <v>VB8010600000100</v>
          </cell>
          <cell r="H4666">
            <v>1</v>
          </cell>
          <cell r="I4666" t="str">
            <v>--</v>
          </cell>
          <cell r="J4666">
            <v>1</v>
          </cell>
          <cell r="K4666">
            <v>1</v>
          </cell>
        </row>
        <row r="4667">
          <cell r="A4667" t="str">
            <v>M2</v>
          </cell>
          <cell r="B4667" t="str">
            <v>A5C</v>
          </cell>
          <cell r="C4667" t="str">
            <v>N</v>
          </cell>
          <cell r="D4667" t="str">
            <v>23640</v>
          </cell>
          <cell r="E4667" t="str">
            <v>CHECK VA</v>
          </cell>
          <cell r="F4667">
            <v>6</v>
          </cell>
          <cell r="G4667" t="str">
            <v>VCB8010400000100</v>
          </cell>
          <cell r="H4667">
            <v>1</v>
          </cell>
          <cell r="I4667" t="str">
            <v>--</v>
          </cell>
          <cell r="J4667">
            <v>1</v>
          </cell>
          <cell r="K4667">
            <v>1</v>
          </cell>
        </row>
        <row r="4668">
          <cell r="A4668" t="str">
            <v>M2</v>
          </cell>
          <cell r="B4668" t="str">
            <v>A5C</v>
          </cell>
          <cell r="C4668" t="str">
            <v>N</v>
          </cell>
          <cell r="D4668" t="str">
            <v>23631</v>
          </cell>
          <cell r="E4668" t="str">
            <v>CHECK VA</v>
          </cell>
          <cell r="F4668">
            <v>6</v>
          </cell>
          <cell r="G4668" t="str">
            <v>VCB8010400000100</v>
          </cell>
          <cell r="H4668">
            <v>1</v>
          </cell>
          <cell r="I4668" t="str">
            <v>--</v>
          </cell>
          <cell r="J4668">
            <v>1</v>
          </cell>
          <cell r="K4668">
            <v>1</v>
          </cell>
        </row>
        <row r="4669">
          <cell r="A4669" t="str">
            <v>M2</v>
          </cell>
          <cell r="B4669" t="str">
            <v>A5C</v>
          </cell>
          <cell r="C4669" t="str">
            <v>N</v>
          </cell>
          <cell r="D4669" t="str">
            <v>23632</v>
          </cell>
          <cell r="E4669" t="str">
            <v>CHECK VA</v>
          </cell>
          <cell r="F4669">
            <v>6</v>
          </cell>
          <cell r="G4669" t="str">
            <v>VCB8010400000100</v>
          </cell>
          <cell r="H4669">
            <v>1</v>
          </cell>
          <cell r="I4669" t="str">
            <v>--</v>
          </cell>
          <cell r="J4669">
            <v>1</v>
          </cell>
          <cell r="K4669">
            <v>1</v>
          </cell>
        </row>
        <row r="4670">
          <cell r="A4670" t="str">
            <v>M2</v>
          </cell>
          <cell r="B4670" t="str">
            <v>A5C</v>
          </cell>
          <cell r="C4670" t="str">
            <v>N</v>
          </cell>
          <cell r="D4670" t="str">
            <v>23633</v>
          </cell>
          <cell r="E4670" t="str">
            <v>CHECK VA</v>
          </cell>
          <cell r="F4670">
            <v>6</v>
          </cell>
          <cell r="G4670" t="str">
            <v>VCB8010400000100</v>
          </cell>
          <cell r="H4670">
            <v>1</v>
          </cell>
          <cell r="I4670" t="str">
            <v>--</v>
          </cell>
          <cell r="J4670">
            <v>1</v>
          </cell>
          <cell r="K4670">
            <v>1</v>
          </cell>
        </row>
        <row r="4671">
          <cell r="A4671" t="str">
            <v>M2</v>
          </cell>
          <cell r="B4671" t="str">
            <v>A5C</v>
          </cell>
          <cell r="C4671" t="str">
            <v>N</v>
          </cell>
          <cell r="D4671" t="str">
            <v>23634</v>
          </cell>
          <cell r="E4671" t="str">
            <v>CHECK VA</v>
          </cell>
          <cell r="F4671">
            <v>6</v>
          </cell>
          <cell r="G4671" t="str">
            <v>VCB8010400000100</v>
          </cell>
          <cell r="H4671">
            <v>1</v>
          </cell>
          <cell r="I4671" t="str">
            <v>--</v>
          </cell>
          <cell r="J4671">
            <v>1</v>
          </cell>
          <cell r="K4671">
            <v>1</v>
          </cell>
        </row>
        <row r="4672">
          <cell r="A4672" t="str">
            <v>M2</v>
          </cell>
          <cell r="B4672" t="str">
            <v>A5C</v>
          </cell>
          <cell r="C4672" t="str">
            <v>N</v>
          </cell>
          <cell r="D4672" t="str">
            <v>23635</v>
          </cell>
          <cell r="E4672" t="str">
            <v>CHECK VA</v>
          </cell>
          <cell r="F4672">
            <v>6</v>
          </cell>
          <cell r="G4672" t="str">
            <v>VCB8010400000100</v>
          </cell>
          <cell r="H4672">
            <v>1</v>
          </cell>
          <cell r="I4672" t="str">
            <v>--</v>
          </cell>
          <cell r="J4672">
            <v>1</v>
          </cell>
          <cell r="K4672">
            <v>1</v>
          </cell>
        </row>
        <row r="4673">
          <cell r="A4673" t="str">
            <v>M2</v>
          </cell>
          <cell r="B4673" t="str">
            <v>A5C</v>
          </cell>
          <cell r="C4673" t="str">
            <v>N</v>
          </cell>
          <cell r="D4673" t="str">
            <v>23638</v>
          </cell>
          <cell r="E4673" t="str">
            <v>CHECK VA</v>
          </cell>
          <cell r="F4673">
            <v>6</v>
          </cell>
          <cell r="G4673" t="str">
            <v>VCB8010400000100</v>
          </cell>
          <cell r="H4673">
            <v>1</v>
          </cell>
          <cell r="I4673" t="str">
            <v>--</v>
          </cell>
          <cell r="J4673">
            <v>1</v>
          </cell>
          <cell r="K4673">
            <v>1</v>
          </cell>
        </row>
        <row r="4674">
          <cell r="A4674" t="str">
            <v>M2</v>
          </cell>
          <cell r="B4674" t="str">
            <v>A5C</v>
          </cell>
          <cell r="C4674" t="str">
            <v>N</v>
          </cell>
          <cell r="D4674" t="str">
            <v>23639</v>
          </cell>
          <cell r="E4674" t="str">
            <v>CHECK VA</v>
          </cell>
          <cell r="F4674">
            <v>6</v>
          </cell>
          <cell r="G4674" t="str">
            <v>VCB8010400000100</v>
          </cell>
          <cell r="H4674">
            <v>1</v>
          </cell>
          <cell r="I4674" t="str">
            <v>--</v>
          </cell>
          <cell r="J4674">
            <v>1</v>
          </cell>
          <cell r="K4674">
            <v>1</v>
          </cell>
        </row>
        <row r="4675">
          <cell r="A4675" t="str">
            <v>M2</v>
          </cell>
          <cell r="B4675" t="str">
            <v>A5C</v>
          </cell>
          <cell r="C4675" t="str">
            <v>P</v>
          </cell>
          <cell r="D4675" t="str">
            <v>23037</v>
          </cell>
          <cell r="E4675" t="str">
            <v>CHECK VA</v>
          </cell>
          <cell r="F4675">
            <v>6</v>
          </cell>
          <cell r="G4675" t="str">
            <v>VCB8010400000100</v>
          </cell>
          <cell r="H4675">
            <v>1</v>
          </cell>
          <cell r="I4675" t="str">
            <v>--</v>
          </cell>
          <cell r="J4675">
            <v>1</v>
          </cell>
          <cell r="K4675">
            <v>1</v>
          </cell>
        </row>
        <row r="4676">
          <cell r="A4676" t="str">
            <v>M2</v>
          </cell>
          <cell r="B4676" t="str">
            <v>A5C</v>
          </cell>
          <cell r="C4676" t="str">
            <v>P</v>
          </cell>
          <cell r="D4676" t="str">
            <v>23083</v>
          </cell>
          <cell r="E4676" t="str">
            <v>CHECK VA</v>
          </cell>
          <cell r="F4676">
            <v>6</v>
          </cell>
          <cell r="G4676" t="str">
            <v>VCB8010400000100</v>
          </cell>
          <cell r="H4676">
            <v>1</v>
          </cell>
          <cell r="I4676" t="str">
            <v>--</v>
          </cell>
          <cell r="J4676">
            <v>1</v>
          </cell>
          <cell r="K4676">
            <v>1</v>
          </cell>
        </row>
        <row r="4677">
          <cell r="A4677" t="str">
            <v>M2</v>
          </cell>
          <cell r="B4677" t="str">
            <v>A5C</v>
          </cell>
          <cell r="C4677" t="str">
            <v>P</v>
          </cell>
          <cell r="D4677" t="str">
            <v>23104</v>
          </cell>
          <cell r="E4677" t="str">
            <v>CHECK VA</v>
          </cell>
          <cell r="F4677">
            <v>6</v>
          </cell>
          <cell r="G4677" t="str">
            <v>VCB8010400000100</v>
          </cell>
          <cell r="H4677">
            <v>1</v>
          </cell>
          <cell r="I4677" t="str">
            <v>--</v>
          </cell>
          <cell r="J4677">
            <v>1</v>
          </cell>
          <cell r="K4677">
            <v>1</v>
          </cell>
        </row>
        <row r="4678">
          <cell r="A4678" t="str">
            <v>M2</v>
          </cell>
          <cell r="B4678" t="str">
            <v>A5C</v>
          </cell>
          <cell r="C4678" t="str">
            <v>P</v>
          </cell>
          <cell r="D4678" t="str">
            <v>23122</v>
          </cell>
          <cell r="E4678" t="str">
            <v>CHECK VA</v>
          </cell>
          <cell r="F4678">
            <v>6</v>
          </cell>
          <cell r="G4678" t="str">
            <v>VCB8010400000100</v>
          </cell>
          <cell r="H4678">
            <v>1</v>
          </cell>
          <cell r="I4678" t="str">
            <v>--</v>
          </cell>
          <cell r="J4678">
            <v>1</v>
          </cell>
          <cell r="K4678">
            <v>1</v>
          </cell>
        </row>
        <row r="4679">
          <cell r="A4679" t="str">
            <v>M2</v>
          </cell>
          <cell r="B4679" t="str">
            <v>A5C</v>
          </cell>
          <cell r="C4679" t="str">
            <v>P</v>
          </cell>
          <cell r="D4679" t="str">
            <v>23144</v>
          </cell>
          <cell r="E4679" t="str">
            <v>CHECK VA</v>
          </cell>
          <cell r="F4679">
            <v>6</v>
          </cell>
          <cell r="G4679" t="str">
            <v>VCB8010400000100</v>
          </cell>
          <cell r="H4679">
            <v>1</v>
          </cell>
          <cell r="I4679" t="str">
            <v>--</v>
          </cell>
          <cell r="J4679">
            <v>2</v>
          </cell>
          <cell r="K4679">
            <v>2</v>
          </cell>
        </row>
        <row r="4680">
          <cell r="A4680" t="str">
            <v>M2</v>
          </cell>
          <cell r="B4680" t="str">
            <v>A5C</v>
          </cell>
          <cell r="C4680" t="str">
            <v>P</v>
          </cell>
          <cell r="D4680" t="str">
            <v>23149</v>
          </cell>
          <cell r="E4680" t="str">
            <v>CHECK VA</v>
          </cell>
          <cell r="F4680">
            <v>6</v>
          </cell>
          <cell r="G4680" t="str">
            <v>VCB8010400000100</v>
          </cell>
          <cell r="H4680">
            <v>1</v>
          </cell>
          <cell r="I4680" t="str">
            <v>--</v>
          </cell>
          <cell r="J4680">
            <v>1</v>
          </cell>
          <cell r="K4680">
            <v>1</v>
          </cell>
        </row>
        <row r="4681">
          <cell r="A4681" t="str">
            <v>M2</v>
          </cell>
          <cell r="B4681" t="str">
            <v>A5C</v>
          </cell>
          <cell r="C4681" t="str">
            <v>P</v>
          </cell>
          <cell r="D4681" t="str">
            <v>23204</v>
          </cell>
          <cell r="E4681" t="str">
            <v>CHECK VA</v>
          </cell>
          <cell r="F4681">
            <v>6</v>
          </cell>
          <cell r="G4681" t="str">
            <v>VCB8010400000100</v>
          </cell>
          <cell r="H4681">
            <v>1</v>
          </cell>
          <cell r="I4681" t="str">
            <v>--</v>
          </cell>
          <cell r="J4681">
            <v>1</v>
          </cell>
          <cell r="K4681">
            <v>1</v>
          </cell>
        </row>
        <row r="4682">
          <cell r="A4682" t="str">
            <v>M2</v>
          </cell>
          <cell r="B4682" t="str">
            <v>A5C</v>
          </cell>
          <cell r="C4682" t="str">
            <v>P</v>
          </cell>
          <cell r="D4682" t="str">
            <v>23213</v>
          </cell>
          <cell r="E4682" t="str">
            <v>CHECK VA</v>
          </cell>
          <cell r="F4682">
            <v>6</v>
          </cell>
          <cell r="G4682" t="str">
            <v>VCB8010400000100</v>
          </cell>
          <cell r="H4682">
            <v>1</v>
          </cell>
          <cell r="I4682" t="str">
            <v>--</v>
          </cell>
          <cell r="J4682">
            <v>1</v>
          </cell>
          <cell r="K4682">
            <v>1</v>
          </cell>
        </row>
        <row r="4683">
          <cell r="A4683" t="str">
            <v>M2</v>
          </cell>
          <cell r="B4683" t="str">
            <v>A5C</v>
          </cell>
          <cell r="C4683" t="str">
            <v>P</v>
          </cell>
          <cell r="D4683" t="str">
            <v>23206</v>
          </cell>
          <cell r="E4683" t="str">
            <v>CHECK VA</v>
          </cell>
          <cell r="F4683">
            <v>6</v>
          </cell>
          <cell r="G4683" t="str">
            <v>VCB8010400000100</v>
          </cell>
          <cell r="H4683">
            <v>1</v>
          </cell>
          <cell r="I4683" t="str">
            <v>--</v>
          </cell>
          <cell r="J4683">
            <v>1</v>
          </cell>
          <cell r="K4683">
            <v>1</v>
          </cell>
        </row>
        <row r="4684">
          <cell r="A4684" t="str">
            <v>M2</v>
          </cell>
          <cell r="B4684" t="str">
            <v>A5C</v>
          </cell>
          <cell r="C4684" t="str">
            <v>P</v>
          </cell>
          <cell r="D4684" t="str">
            <v>23208</v>
          </cell>
          <cell r="E4684" t="str">
            <v>CHECK VA</v>
          </cell>
          <cell r="F4684">
            <v>6</v>
          </cell>
          <cell r="G4684" t="str">
            <v>VCB8010400000100</v>
          </cell>
          <cell r="H4684">
            <v>1</v>
          </cell>
          <cell r="I4684" t="str">
            <v>--</v>
          </cell>
          <cell r="J4684">
            <v>1</v>
          </cell>
          <cell r="K4684">
            <v>1</v>
          </cell>
        </row>
        <row r="4685">
          <cell r="A4685" t="str">
            <v>M2</v>
          </cell>
          <cell r="B4685" t="str">
            <v>A5C</v>
          </cell>
          <cell r="C4685" t="str">
            <v>P</v>
          </cell>
          <cell r="D4685" t="str">
            <v>23212</v>
          </cell>
          <cell r="E4685" t="str">
            <v>CHECK VA</v>
          </cell>
          <cell r="F4685">
            <v>6</v>
          </cell>
          <cell r="G4685" t="str">
            <v>VCB8010400000100</v>
          </cell>
          <cell r="H4685">
            <v>1</v>
          </cell>
          <cell r="I4685" t="str">
            <v>--</v>
          </cell>
          <cell r="J4685">
            <v>1</v>
          </cell>
          <cell r="K4685">
            <v>1</v>
          </cell>
        </row>
        <row r="4686">
          <cell r="A4686" t="str">
            <v>M2</v>
          </cell>
          <cell r="B4686" t="str">
            <v>A5C</v>
          </cell>
          <cell r="C4686" t="str">
            <v>P</v>
          </cell>
          <cell r="D4686" t="str">
            <v>23214</v>
          </cell>
          <cell r="E4686" t="str">
            <v>CHECK VA</v>
          </cell>
          <cell r="F4686">
            <v>6</v>
          </cell>
          <cell r="G4686" t="str">
            <v>VCB8010400000100</v>
          </cell>
          <cell r="H4686">
            <v>1</v>
          </cell>
          <cell r="I4686" t="str">
            <v>--</v>
          </cell>
          <cell r="J4686">
            <v>1</v>
          </cell>
          <cell r="K4686">
            <v>1</v>
          </cell>
        </row>
        <row r="4687">
          <cell r="A4687" t="str">
            <v>M2</v>
          </cell>
          <cell r="B4687" t="str">
            <v>A5C</v>
          </cell>
          <cell r="C4687" t="str">
            <v>P</v>
          </cell>
          <cell r="D4687" t="str">
            <v>23230</v>
          </cell>
          <cell r="E4687" t="str">
            <v>CHECK VA</v>
          </cell>
          <cell r="F4687">
            <v>6</v>
          </cell>
          <cell r="G4687" t="str">
            <v>VCB8010400000100</v>
          </cell>
          <cell r="H4687">
            <v>1</v>
          </cell>
          <cell r="I4687" t="str">
            <v>--</v>
          </cell>
          <cell r="J4687">
            <v>1</v>
          </cell>
          <cell r="K4687">
            <v>1</v>
          </cell>
        </row>
        <row r="4688">
          <cell r="A4688" t="str">
            <v>M2</v>
          </cell>
          <cell r="B4688" t="str">
            <v>A5C</v>
          </cell>
          <cell r="C4688" t="str">
            <v>P</v>
          </cell>
          <cell r="D4688" t="str">
            <v>23235</v>
          </cell>
          <cell r="E4688" t="str">
            <v>CHECK VA</v>
          </cell>
          <cell r="F4688">
            <v>6</v>
          </cell>
          <cell r="G4688" t="str">
            <v>VCB8010400000100</v>
          </cell>
          <cell r="H4688">
            <v>1</v>
          </cell>
          <cell r="I4688" t="str">
            <v>--</v>
          </cell>
          <cell r="J4688">
            <v>1</v>
          </cell>
          <cell r="K4688">
            <v>1</v>
          </cell>
        </row>
        <row r="4689">
          <cell r="A4689" t="str">
            <v>M2</v>
          </cell>
          <cell r="B4689" t="str">
            <v>A5C</v>
          </cell>
          <cell r="C4689" t="str">
            <v>P</v>
          </cell>
          <cell r="D4689" t="str">
            <v>23239</v>
          </cell>
          <cell r="E4689" t="str">
            <v>CHECK VA</v>
          </cell>
          <cell r="F4689">
            <v>6</v>
          </cell>
          <cell r="G4689" t="str">
            <v>VCB8010400000100</v>
          </cell>
          <cell r="H4689">
            <v>1</v>
          </cell>
          <cell r="I4689" t="str">
            <v>--</v>
          </cell>
          <cell r="J4689">
            <v>1</v>
          </cell>
          <cell r="K4689">
            <v>1</v>
          </cell>
        </row>
        <row r="4690">
          <cell r="A4690" t="str">
            <v>M2</v>
          </cell>
          <cell r="B4690" t="str">
            <v>A5C</v>
          </cell>
          <cell r="C4690" t="str">
            <v>P</v>
          </cell>
          <cell r="D4690" t="str">
            <v>23245</v>
          </cell>
          <cell r="E4690" t="str">
            <v>CHECK VA</v>
          </cell>
          <cell r="F4690">
            <v>6</v>
          </cell>
          <cell r="G4690" t="str">
            <v>VCB8010400000100</v>
          </cell>
          <cell r="H4690">
            <v>1</v>
          </cell>
          <cell r="I4690" t="str">
            <v>--</v>
          </cell>
          <cell r="J4690">
            <v>1</v>
          </cell>
          <cell r="K4690">
            <v>1</v>
          </cell>
        </row>
        <row r="4691">
          <cell r="A4691" t="str">
            <v>M2</v>
          </cell>
          <cell r="B4691" t="str">
            <v>A5C</v>
          </cell>
          <cell r="C4691" t="str">
            <v>P</v>
          </cell>
          <cell r="D4691" t="str">
            <v>23252</v>
          </cell>
          <cell r="E4691" t="str">
            <v>CHECK VA</v>
          </cell>
          <cell r="F4691">
            <v>6</v>
          </cell>
          <cell r="G4691" t="str">
            <v>VCB8010400000100</v>
          </cell>
          <cell r="H4691">
            <v>1</v>
          </cell>
          <cell r="I4691" t="str">
            <v>--</v>
          </cell>
          <cell r="J4691">
            <v>1</v>
          </cell>
          <cell r="K4691">
            <v>1</v>
          </cell>
        </row>
        <row r="4692">
          <cell r="A4692" t="str">
            <v>M2</v>
          </cell>
          <cell r="B4692" t="str">
            <v>A5C</v>
          </cell>
          <cell r="C4692" t="str">
            <v>P</v>
          </cell>
          <cell r="D4692" t="str">
            <v>24008</v>
          </cell>
          <cell r="E4692" t="str">
            <v>CHECK VA</v>
          </cell>
          <cell r="F4692">
            <v>6</v>
          </cell>
          <cell r="G4692" t="str">
            <v>VCB8010400000100</v>
          </cell>
          <cell r="H4692">
            <v>1</v>
          </cell>
          <cell r="I4692" t="str">
            <v>--</v>
          </cell>
          <cell r="J4692">
            <v>1</v>
          </cell>
          <cell r="K4692">
            <v>1</v>
          </cell>
        </row>
        <row r="4693">
          <cell r="A4693" t="str">
            <v>M2</v>
          </cell>
          <cell r="B4693" t="str">
            <v>A5C</v>
          </cell>
          <cell r="C4693" t="str">
            <v>P</v>
          </cell>
          <cell r="D4693" t="str">
            <v>24020</v>
          </cell>
          <cell r="E4693" t="str">
            <v>CHECK VA</v>
          </cell>
          <cell r="F4693">
            <v>6</v>
          </cell>
          <cell r="G4693" t="str">
            <v>VCB8010400000100</v>
          </cell>
          <cell r="H4693">
            <v>1</v>
          </cell>
          <cell r="I4693" t="str">
            <v>--</v>
          </cell>
          <cell r="J4693">
            <v>1</v>
          </cell>
          <cell r="K4693">
            <v>1</v>
          </cell>
        </row>
        <row r="4694">
          <cell r="A4694" t="str">
            <v>M2</v>
          </cell>
          <cell r="B4694" t="str">
            <v>A5C</v>
          </cell>
          <cell r="C4694" t="str">
            <v>N</v>
          </cell>
          <cell r="D4694" t="str">
            <v>23636</v>
          </cell>
          <cell r="E4694" t="str">
            <v>CHECK VA</v>
          </cell>
          <cell r="F4694">
            <v>6</v>
          </cell>
          <cell r="G4694" t="str">
            <v>VCB8010400000100</v>
          </cell>
          <cell r="H4694">
            <v>1</v>
          </cell>
          <cell r="I4694" t="str">
            <v>--</v>
          </cell>
          <cell r="J4694">
            <v>1</v>
          </cell>
          <cell r="K4694">
            <v>1</v>
          </cell>
        </row>
        <row r="4695">
          <cell r="A4695" t="str">
            <v>M2</v>
          </cell>
          <cell r="B4695" t="str">
            <v>A5C</v>
          </cell>
          <cell r="C4695" t="str">
            <v>N</v>
          </cell>
          <cell r="D4695" t="str">
            <v>23637</v>
          </cell>
          <cell r="E4695" t="str">
            <v>CHECK VA</v>
          </cell>
          <cell r="F4695">
            <v>6</v>
          </cell>
          <cell r="G4695" t="str">
            <v>VCB8010400000100</v>
          </cell>
          <cell r="H4695">
            <v>1</v>
          </cell>
          <cell r="I4695" t="str">
            <v>--</v>
          </cell>
          <cell r="J4695">
            <v>1</v>
          </cell>
          <cell r="K4695">
            <v>1</v>
          </cell>
        </row>
        <row r="4696">
          <cell r="A4696" t="str">
            <v>M2</v>
          </cell>
          <cell r="B4696" t="str">
            <v>A5C</v>
          </cell>
          <cell r="C4696" t="str">
            <v>P</v>
          </cell>
          <cell r="D4696" t="str">
            <v>23104</v>
          </cell>
          <cell r="E4696" t="str">
            <v>CHECK VA</v>
          </cell>
          <cell r="F4696">
            <v>6</v>
          </cell>
          <cell r="G4696" t="str">
            <v>VCB8010400000100</v>
          </cell>
          <cell r="H4696">
            <v>1</v>
          </cell>
          <cell r="I4696" t="str">
            <v>--</v>
          </cell>
          <cell r="J4696">
            <v>1</v>
          </cell>
          <cell r="K4696">
            <v>1</v>
          </cell>
        </row>
        <row r="4697">
          <cell r="A4697" t="str">
            <v>M2</v>
          </cell>
          <cell r="B4697" t="str">
            <v>A5C</v>
          </cell>
          <cell r="C4697" t="str">
            <v>P</v>
          </cell>
          <cell r="D4697" t="str">
            <v>23108</v>
          </cell>
          <cell r="E4697" t="str">
            <v>CHECK VA</v>
          </cell>
          <cell r="F4697">
            <v>6</v>
          </cell>
          <cell r="G4697" t="str">
            <v>VCB8010400000100</v>
          </cell>
          <cell r="H4697">
            <v>1</v>
          </cell>
          <cell r="I4697" t="str">
            <v>--</v>
          </cell>
          <cell r="J4697">
            <v>1</v>
          </cell>
          <cell r="K4697">
            <v>1</v>
          </cell>
        </row>
        <row r="4698">
          <cell r="A4698" t="str">
            <v>M2</v>
          </cell>
          <cell r="B4698" t="str">
            <v>A5C</v>
          </cell>
          <cell r="C4698" t="str">
            <v>P</v>
          </cell>
          <cell r="D4698" t="str">
            <v>23108</v>
          </cell>
          <cell r="E4698" t="str">
            <v>CHECK VA</v>
          </cell>
          <cell r="F4698">
            <v>6</v>
          </cell>
          <cell r="G4698" t="str">
            <v>VCB8010400000100</v>
          </cell>
          <cell r="H4698">
            <v>1</v>
          </cell>
          <cell r="I4698" t="str">
            <v>--</v>
          </cell>
          <cell r="J4698">
            <v>1</v>
          </cell>
          <cell r="K4698">
            <v>1</v>
          </cell>
        </row>
        <row r="4699">
          <cell r="A4699" t="str">
            <v>M2</v>
          </cell>
          <cell r="B4699" t="str">
            <v>A5C</v>
          </cell>
          <cell r="C4699" t="str">
            <v>P</v>
          </cell>
          <cell r="D4699" t="str">
            <v>23112</v>
          </cell>
          <cell r="E4699" t="str">
            <v>CHECK VA</v>
          </cell>
          <cell r="F4699">
            <v>6</v>
          </cell>
          <cell r="G4699" t="str">
            <v>VCB8010400000100</v>
          </cell>
          <cell r="H4699">
            <v>1</v>
          </cell>
          <cell r="I4699" t="str">
            <v>--</v>
          </cell>
          <cell r="J4699">
            <v>1</v>
          </cell>
          <cell r="K4699">
            <v>1</v>
          </cell>
        </row>
        <row r="4700">
          <cell r="A4700" t="str">
            <v>M2</v>
          </cell>
          <cell r="B4700" t="str">
            <v>A5C</v>
          </cell>
          <cell r="C4700" t="str">
            <v>P</v>
          </cell>
          <cell r="D4700" t="str">
            <v>23112</v>
          </cell>
          <cell r="E4700" t="str">
            <v>CHECK VA</v>
          </cell>
          <cell r="F4700">
            <v>6</v>
          </cell>
          <cell r="G4700" t="str">
            <v>VCB8010400000100</v>
          </cell>
          <cell r="H4700">
            <v>1</v>
          </cell>
          <cell r="I4700" t="str">
            <v>--</v>
          </cell>
          <cell r="J4700">
            <v>1</v>
          </cell>
          <cell r="K4700">
            <v>1</v>
          </cell>
        </row>
        <row r="4701">
          <cell r="A4701" t="str">
            <v>M2</v>
          </cell>
          <cell r="B4701" t="str">
            <v>A5C</v>
          </cell>
          <cell r="C4701" t="str">
            <v>P</v>
          </cell>
          <cell r="D4701" t="str">
            <v>23148</v>
          </cell>
          <cell r="E4701" t="str">
            <v>CHECK VA</v>
          </cell>
          <cell r="F4701">
            <v>6</v>
          </cell>
          <cell r="G4701" t="str">
            <v>VCB8010400000100</v>
          </cell>
          <cell r="H4701">
            <v>1</v>
          </cell>
          <cell r="I4701" t="str">
            <v>--</v>
          </cell>
          <cell r="J4701">
            <v>2</v>
          </cell>
          <cell r="K4701">
            <v>2</v>
          </cell>
        </row>
        <row r="4702">
          <cell r="A4702" t="str">
            <v>M2</v>
          </cell>
          <cell r="B4702" t="str">
            <v>A5C</v>
          </cell>
          <cell r="C4702" t="str">
            <v>P</v>
          </cell>
          <cell r="D4702" t="str">
            <v>23205</v>
          </cell>
          <cell r="E4702" t="str">
            <v>CHECK VA</v>
          </cell>
          <cell r="F4702">
            <v>6</v>
          </cell>
          <cell r="G4702" t="str">
            <v>VCB8010400000100</v>
          </cell>
          <cell r="H4702">
            <v>1</v>
          </cell>
          <cell r="I4702" t="str">
            <v>--</v>
          </cell>
          <cell r="J4702">
            <v>1</v>
          </cell>
          <cell r="K4702">
            <v>1</v>
          </cell>
        </row>
        <row r="4703">
          <cell r="A4703" t="str">
            <v>M2</v>
          </cell>
          <cell r="B4703" t="str">
            <v>A5C</v>
          </cell>
          <cell r="C4703" t="str">
            <v>P</v>
          </cell>
          <cell r="D4703" t="str">
            <v>23207</v>
          </cell>
          <cell r="E4703" t="str">
            <v>CHECK VA</v>
          </cell>
          <cell r="F4703">
            <v>6</v>
          </cell>
          <cell r="G4703" t="str">
            <v>VCB8010400000100</v>
          </cell>
          <cell r="H4703">
            <v>1</v>
          </cell>
          <cell r="I4703" t="str">
            <v>--</v>
          </cell>
          <cell r="J4703">
            <v>1</v>
          </cell>
          <cell r="K4703">
            <v>1</v>
          </cell>
        </row>
        <row r="4704">
          <cell r="A4704" t="str">
            <v>M2</v>
          </cell>
          <cell r="B4704" t="str">
            <v>A5C</v>
          </cell>
          <cell r="C4704" t="str">
            <v>N</v>
          </cell>
          <cell r="D4704" t="str">
            <v>23631</v>
          </cell>
          <cell r="E4704" t="str">
            <v>GLOBE VA</v>
          </cell>
          <cell r="F4704">
            <v>6</v>
          </cell>
          <cell r="G4704" t="str">
            <v>VL8010100000100</v>
          </cell>
          <cell r="H4704">
            <v>1</v>
          </cell>
          <cell r="I4704" t="str">
            <v>--</v>
          </cell>
          <cell r="J4704">
            <v>1</v>
          </cell>
          <cell r="K4704">
            <v>1</v>
          </cell>
        </row>
        <row r="4705">
          <cell r="A4705" t="str">
            <v>M2</v>
          </cell>
          <cell r="B4705" t="str">
            <v>A5C</v>
          </cell>
          <cell r="C4705" t="str">
            <v>N</v>
          </cell>
          <cell r="D4705" t="str">
            <v>23632</v>
          </cell>
          <cell r="E4705" t="str">
            <v>GLOBE VA</v>
          </cell>
          <cell r="F4705">
            <v>6</v>
          </cell>
          <cell r="G4705" t="str">
            <v>VL8010100000100</v>
          </cell>
          <cell r="H4705">
            <v>1</v>
          </cell>
          <cell r="I4705" t="str">
            <v>--</v>
          </cell>
          <cell r="J4705">
            <v>1</v>
          </cell>
          <cell r="K4705">
            <v>1</v>
          </cell>
        </row>
        <row r="4706">
          <cell r="A4706" t="str">
            <v>M2</v>
          </cell>
          <cell r="B4706" t="str">
            <v>A5C</v>
          </cell>
          <cell r="C4706" t="str">
            <v>N</v>
          </cell>
          <cell r="D4706" t="str">
            <v>23633</v>
          </cell>
          <cell r="E4706" t="str">
            <v>GLOBE VA</v>
          </cell>
          <cell r="F4706">
            <v>6</v>
          </cell>
          <cell r="G4706" t="str">
            <v>VL8010100000100</v>
          </cell>
          <cell r="H4706">
            <v>1</v>
          </cell>
          <cell r="I4706" t="str">
            <v>--</v>
          </cell>
          <cell r="J4706">
            <v>1</v>
          </cell>
          <cell r="K4706">
            <v>1</v>
          </cell>
        </row>
        <row r="4707">
          <cell r="A4707" t="str">
            <v>M2</v>
          </cell>
          <cell r="B4707" t="str">
            <v>A5C</v>
          </cell>
          <cell r="C4707" t="str">
            <v>N</v>
          </cell>
          <cell r="D4707" t="str">
            <v>23637</v>
          </cell>
          <cell r="E4707" t="str">
            <v>GLOBE VA</v>
          </cell>
          <cell r="F4707">
            <v>6</v>
          </cell>
          <cell r="G4707" t="str">
            <v>VL8010100000100</v>
          </cell>
          <cell r="H4707">
            <v>1</v>
          </cell>
          <cell r="I4707" t="str">
            <v>--</v>
          </cell>
          <cell r="J4707">
            <v>1</v>
          </cell>
          <cell r="K4707">
            <v>1</v>
          </cell>
        </row>
        <row r="4708">
          <cell r="A4708" t="str">
            <v>M2</v>
          </cell>
          <cell r="B4708" t="str">
            <v>A5C</v>
          </cell>
          <cell r="C4708" t="str">
            <v>P</v>
          </cell>
          <cell r="D4708" t="str">
            <v>23006</v>
          </cell>
          <cell r="E4708" t="str">
            <v>GLOBE VA</v>
          </cell>
          <cell r="F4708">
            <v>6</v>
          </cell>
          <cell r="G4708" t="str">
            <v>VL8010100000100</v>
          </cell>
          <cell r="H4708">
            <v>1</v>
          </cell>
          <cell r="I4708" t="str">
            <v>--</v>
          </cell>
          <cell r="J4708">
            <v>1</v>
          </cell>
          <cell r="K4708">
            <v>1</v>
          </cell>
        </row>
        <row r="4709">
          <cell r="A4709" t="str">
            <v>M2</v>
          </cell>
          <cell r="B4709" t="str">
            <v>A5C</v>
          </cell>
          <cell r="C4709" t="str">
            <v>P</v>
          </cell>
          <cell r="D4709" t="str">
            <v>23035</v>
          </cell>
          <cell r="E4709" t="str">
            <v>GLOBE VA</v>
          </cell>
          <cell r="F4709">
            <v>6</v>
          </cell>
          <cell r="G4709" t="str">
            <v>VL8010100000100</v>
          </cell>
          <cell r="H4709">
            <v>1</v>
          </cell>
          <cell r="I4709" t="str">
            <v>--</v>
          </cell>
          <cell r="J4709">
            <v>1</v>
          </cell>
          <cell r="K4709">
            <v>1</v>
          </cell>
        </row>
        <row r="4710">
          <cell r="A4710" t="str">
            <v>M2</v>
          </cell>
          <cell r="B4710" t="str">
            <v>A5C</v>
          </cell>
          <cell r="C4710" t="str">
            <v>P</v>
          </cell>
          <cell r="D4710" t="str">
            <v>23063</v>
          </cell>
          <cell r="E4710" t="str">
            <v>GLOBE VA</v>
          </cell>
          <cell r="F4710">
            <v>6</v>
          </cell>
          <cell r="G4710" t="str">
            <v>VL8010100000100</v>
          </cell>
          <cell r="H4710">
            <v>1</v>
          </cell>
          <cell r="I4710" t="str">
            <v>--</v>
          </cell>
          <cell r="J4710">
            <v>1</v>
          </cell>
          <cell r="K4710">
            <v>1</v>
          </cell>
        </row>
        <row r="4711">
          <cell r="A4711" t="str">
            <v>M2</v>
          </cell>
          <cell r="B4711" t="str">
            <v>A5C</v>
          </cell>
          <cell r="C4711" t="str">
            <v>P</v>
          </cell>
          <cell r="D4711" t="str">
            <v>23078</v>
          </cell>
          <cell r="E4711" t="str">
            <v>GLOBE VA</v>
          </cell>
          <cell r="F4711">
            <v>6</v>
          </cell>
          <cell r="G4711" t="str">
            <v>VL8010100000100</v>
          </cell>
          <cell r="H4711">
            <v>1</v>
          </cell>
          <cell r="I4711" t="str">
            <v>--</v>
          </cell>
          <cell r="J4711">
            <v>1</v>
          </cell>
          <cell r="K4711">
            <v>1</v>
          </cell>
        </row>
        <row r="4712">
          <cell r="A4712" t="str">
            <v>M2</v>
          </cell>
          <cell r="B4712" t="str">
            <v>A5C</v>
          </cell>
          <cell r="C4712" t="str">
            <v>P</v>
          </cell>
          <cell r="D4712" t="str">
            <v>23083</v>
          </cell>
          <cell r="E4712" t="str">
            <v>GLOBE VA</v>
          </cell>
          <cell r="F4712">
            <v>6</v>
          </cell>
          <cell r="G4712" t="str">
            <v>VL8010100000100</v>
          </cell>
          <cell r="H4712">
            <v>1</v>
          </cell>
          <cell r="I4712" t="str">
            <v>--</v>
          </cell>
          <cell r="J4712">
            <v>1</v>
          </cell>
          <cell r="K4712">
            <v>1</v>
          </cell>
        </row>
        <row r="4713">
          <cell r="A4713" t="str">
            <v>M2</v>
          </cell>
          <cell r="B4713" t="str">
            <v>A5C</v>
          </cell>
          <cell r="C4713" t="str">
            <v>P</v>
          </cell>
          <cell r="D4713" t="str">
            <v>23122</v>
          </cell>
          <cell r="E4713" t="str">
            <v>GLOBE VA</v>
          </cell>
          <cell r="F4713">
            <v>6</v>
          </cell>
          <cell r="G4713" t="str">
            <v>VL8010100000100</v>
          </cell>
          <cell r="H4713">
            <v>1</v>
          </cell>
          <cell r="I4713" t="str">
            <v>--</v>
          </cell>
          <cell r="J4713">
            <v>1</v>
          </cell>
          <cell r="K4713">
            <v>1</v>
          </cell>
        </row>
        <row r="4714">
          <cell r="A4714" t="str">
            <v>M2</v>
          </cell>
          <cell r="B4714" t="str">
            <v>A5C</v>
          </cell>
          <cell r="C4714" t="str">
            <v>P</v>
          </cell>
          <cell r="D4714" t="str">
            <v>23252</v>
          </cell>
          <cell r="E4714" t="str">
            <v>GLOBE VA</v>
          </cell>
          <cell r="F4714">
            <v>6</v>
          </cell>
          <cell r="G4714" t="str">
            <v>VL8010100000100</v>
          </cell>
          <cell r="H4714">
            <v>1</v>
          </cell>
          <cell r="I4714" t="str">
            <v>--</v>
          </cell>
          <cell r="J4714">
            <v>1</v>
          </cell>
          <cell r="K4714">
            <v>1</v>
          </cell>
        </row>
        <row r="4715">
          <cell r="A4715" t="str">
            <v>M2</v>
          </cell>
          <cell r="B4715" t="str">
            <v>A5C</v>
          </cell>
          <cell r="C4715" t="str">
            <v>P</v>
          </cell>
          <cell r="D4715" t="str">
            <v>24020</v>
          </cell>
          <cell r="E4715" t="str">
            <v>GLOBE VA</v>
          </cell>
          <cell r="F4715">
            <v>6</v>
          </cell>
          <cell r="G4715" t="str">
            <v>VL8010100000100</v>
          </cell>
          <cell r="H4715">
            <v>1</v>
          </cell>
          <cell r="I4715" t="str">
            <v>--</v>
          </cell>
          <cell r="J4715">
            <v>1</v>
          </cell>
          <cell r="K4715">
            <v>1</v>
          </cell>
        </row>
        <row r="4716">
          <cell r="A4716" t="str">
            <v>M2</v>
          </cell>
          <cell r="B4716" t="str">
            <v>A5C</v>
          </cell>
          <cell r="C4716" t="str">
            <v>N</v>
          </cell>
          <cell r="D4716" t="str">
            <v>23635</v>
          </cell>
          <cell r="E4716" t="str">
            <v>GLOBE VA</v>
          </cell>
          <cell r="F4716">
            <v>6</v>
          </cell>
          <cell r="G4716" t="str">
            <v>VL8010100000100</v>
          </cell>
          <cell r="H4716">
            <v>1</v>
          </cell>
          <cell r="I4716" t="str">
            <v>--</v>
          </cell>
          <cell r="J4716">
            <v>1</v>
          </cell>
          <cell r="K4716">
            <v>1</v>
          </cell>
        </row>
        <row r="4717">
          <cell r="A4717" t="str">
            <v>M2</v>
          </cell>
          <cell r="B4717" t="str">
            <v>A5C</v>
          </cell>
          <cell r="C4717" t="str">
            <v>N</v>
          </cell>
          <cell r="D4717" t="str">
            <v>23639</v>
          </cell>
          <cell r="E4717" t="str">
            <v>GLOBE VA</v>
          </cell>
          <cell r="F4717">
            <v>6</v>
          </cell>
          <cell r="G4717" t="str">
            <v>VL8010100000100</v>
          </cell>
          <cell r="H4717">
            <v>1</v>
          </cell>
          <cell r="I4717" t="str">
            <v>--</v>
          </cell>
          <cell r="J4717">
            <v>1</v>
          </cell>
          <cell r="K4717">
            <v>1</v>
          </cell>
        </row>
        <row r="4718">
          <cell r="A4718" t="str">
            <v>M2</v>
          </cell>
          <cell r="B4718" t="str">
            <v>A5C</v>
          </cell>
          <cell r="C4718" t="str">
            <v>P</v>
          </cell>
          <cell r="D4718" t="str">
            <v>23230</v>
          </cell>
          <cell r="E4718" t="str">
            <v>GLOBE VA</v>
          </cell>
          <cell r="F4718">
            <v>6</v>
          </cell>
          <cell r="G4718" t="str">
            <v>VL8010100000100</v>
          </cell>
          <cell r="H4718">
            <v>1</v>
          </cell>
          <cell r="I4718" t="str">
            <v>--</v>
          </cell>
          <cell r="J4718">
            <v>1</v>
          </cell>
          <cell r="K4718">
            <v>1</v>
          </cell>
        </row>
        <row r="4719">
          <cell r="A4719" t="str">
            <v>M2</v>
          </cell>
          <cell r="B4719" t="str">
            <v>A5C</v>
          </cell>
          <cell r="C4719" t="str">
            <v>P</v>
          </cell>
          <cell r="D4719" t="str">
            <v>24008</v>
          </cell>
          <cell r="E4719" t="str">
            <v>GLOBE VA</v>
          </cell>
          <cell r="F4719">
            <v>6</v>
          </cell>
          <cell r="G4719" t="str">
            <v>VL8010100000100</v>
          </cell>
          <cell r="H4719">
            <v>1</v>
          </cell>
          <cell r="I4719" t="str">
            <v>--</v>
          </cell>
          <cell r="J4719">
            <v>1</v>
          </cell>
          <cell r="K4719">
            <v>1</v>
          </cell>
        </row>
        <row r="4720">
          <cell r="A4720" t="str">
            <v>M2</v>
          </cell>
          <cell r="B4720" t="str">
            <v>A5C</v>
          </cell>
          <cell r="C4720" t="str">
            <v>P</v>
          </cell>
          <cell r="D4720" t="str">
            <v>99003</v>
          </cell>
          <cell r="E4720" t="str">
            <v>GLOBE VA</v>
          </cell>
          <cell r="F4720">
            <v>6</v>
          </cell>
          <cell r="G4720" t="str">
            <v>VL8010100000100</v>
          </cell>
          <cell r="H4720">
            <v>1</v>
          </cell>
          <cell r="I4720" t="str">
            <v>--</v>
          </cell>
          <cell r="J4720">
            <v>1</v>
          </cell>
          <cell r="K4720">
            <v>1</v>
          </cell>
        </row>
        <row r="4721">
          <cell r="A4721" t="str">
            <v>M2</v>
          </cell>
          <cell r="B4721" t="str">
            <v>A5C</v>
          </cell>
          <cell r="C4721" t="str">
            <v>P</v>
          </cell>
          <cell r="D4721" t="str">
            <v>23059</v>
          </cell>
          <cell r="E4721" t="str">
            <v>BALL VA</v>
          </cell>
          <cell r="F4721">
            <v>6</v>
          </cell>
          <cell r="G4721" t="str">
            <v>VB8010600000100</v>
          </cell>
          <cell r="H4721">
            <v>1</v>
          </cell>
          <cell r="I4721" t="str">
            <v>--</v>
          </cell>
          <cell r="J4721">
            <v>2</v>
          </cell>
          <cell r="K4721">
            <v>2</v>
          </cell>
        </row>
        <row r="4722">
          <cell r="A4722" t="str">
            <v>M2</v>
          </cell>
          <cell r="B4722" t="str">
            <v>A5C</v>
          </cell>
          <cell r="C4722" t="str">
            <v>TRIM</v>
          </cell>
          <cell r="D4722" t="str">
            <v>V-2352</v>
          </cell>
          <cell r="E4722" t="str">
            <v>BALL VA</v>
          </cell>
          <cell r="F4722">
            <v>6</v>
          </cell>
          <cell r="G4722" t="str">
            <v>VB8010600000100</v>
          </cell>
          <cell r="H4722">
            <v>1</v>
          </cell>
          <cell r="I4722" t="str">
            <v>--</v>
          </cell>
          <cell r="J4722">
            <v>1</v>
          </cell>
          <cell r="K4722">
            <v>1</v>
          </cell>
        </row>
        <row r="4723">
          <cell r="A4723" t="str">
            <v>M2</v>
          </cell>
          <cell r="B4723" t="str">
            <v>A5C</v>
          </cell>
          <cell r="C4723" t="str">
            <v>P</v>
          </cell>
          <cell r="D4723" t="str">
            <v>23059</v>
          </cell>
          <cell r="E4723" t="str">
            <v>CHECK VA</v>
          </cell>
          <cell r="F4723">
            <v>6</v>
          </cell>
          <cell r="G4723" t="str">
            <v>VCB8010400000100</v>
          </cell>
          <cell r="H4723">
            <v>1</v>
          </cell>
          <cell r="I4723" t="str">
            <v>--</v>
          </cell>
          <cell r="J4723">
            <v>2</v>
          </cell>
          <cell r="K4723">
            <v>2</v>
          </cell>
        </row>
        <row r="4724">
          <cell r="A4724" t="str">
            <v>M2</v>
          </cell>
          <cell r="B4724" t="str">
            <v>A5C</v>
          </cell>
          <cell r="C4724" t="str">
            <v>P</v>
          </cell>
          <cell r="D4724" t="str">
            <v>23018</v>
          </cell>
          <cell r="E4724" t="str">
            <v>BALL VA</v>
          </cell>
          <cell r="F4724">
            <v>6</v>
          </cell>
          <cell r="G4724" t="str">
            <v>VB8010600000100</v>
          </cell>
          <cell r="H4724">
            <v>1</v>
          </cell>
          <cell r="I4724" t="str">
            <v>--</v>
          </cell>
          <cell r="J4724">
            <v>1</v>
          </cell>
          <cell r="K4724">
            <v>1</v>
          </cell>
        </row>
        <row r="4725">
          <cell r="A4725" t="str">
            <v>M2</v>
          </cell>
          <cell r="B4725" t="str">
            <v>A5C</v>
          </cell>
          <cell r="C4725" t="str">
            <v>P</v>
          </cell>
          <cell r="D4725" t="str">
            <v>23018</v>
          </cell>
          <cell r="E4725" t="str">
            <v>BALL VA</v>
          </cell>
          <cell r="F4725">
            <v>6</v>
          </cell>
          <cell r="G4725" t="str">
            <v>VB8010600000100</v>
          </cell>
          <cell r="H4725">
            <v>1</v>
          </cell>
          <cell r="I4725" t="str">
            <v>--</v>
          </cell>
          <cell r="J4725">
            <v>2</v>
          </cell>
          <cell r="K4725">
            <v>2</v>
          </cell>
        </row>
        <row r="4726">
          <cell r="A4726" t="str">
            <v>M2</v>
          </cell>
          <cell r="B4726" t="str">
            <v>A5C</v>
          </cell>
          <cell r="C4726" t="str">
            <v>P</v>
          </cell>
          <cell r="D4726" t="str">
            <v>23027</v>
          </cell>
          <cell r="E4726" t="str">
            <v>BALL VA</v>
          </cell>
          <cell r="F4726">
            <v>6</v>
          </cell>
          <cell r="G4726" t="str">
            <v>VB8010600000100</v>
          </cell>
          <cell r="H4726">
            <v>1</v>
          </cell>
          <cell r="I4726" t="str">
            <v>--</v>
          </cell>
          <cell r="J4726">
            <v>3</v>
          </cell>
          <cell r="K4726">
            <v>3</v>
          </cell>
        </row>
        <row r="4727">
          <cell r="A4727" t="str">
            <v>M2</v>
          </cell>
          <cell r="B4727" t="str">
            <v>A5C</v>
          </cell>
          <cell r="C4727" t="str">
            <v>P</v>
          </cell>
          <cell r="D4727" t="str">
            <v>23048</v>
          </cell>
          <cell r="E4727" t="str">
            <v>BALL VA</v>
          </cell>
          <cell r="F4727">
            <v>6</v>
          </cell>
          <cell r="G4727" t="str">
            <v>VB8010600000100</v>
          </cell>
          <cell r="H4727">
            <v>1</v>
          </cell>
          <cell r="I4727" t="str">
            <v>--</v>
          </cell>
          <cell r="J4727">
            <v>2</v>
          </cell>
          <cell r="K4727">
            <v>2</v>
          </cell>
        </row>
        <row r="4728">
          <cell r="A4728" t="str">
            <v>M2</v>
          </cell>
          <cell r="B4728" t="str">
            <v>A5C</v>
          </cell>
          <cell r="C4728" t="str">
            <v>P</v>
          </cell>
          <cell r="D4728" t="str">
            <v>23079</v>
          </cell>
          <cell r="E4728" t="str">
            <v>BALL VA</v>
          </cell>
          <cell r="F4728">
            <v>6</v>
          </cell>
          <cell r="G4728" t="str">
            <v>VB8010600000100</v>
          </cell>
          <cell r="H4728">
            <v>1</v>
          </cell>
          <cell r="I4728" t="str">
            <v>--</v>
          </cell>
          <cell r="J4728">
            <v>2</v>
          </cell>
          <cell r="K4728">
            <v>2</v>
          </cell>
        </row>
        <row r="4729">
          <cell r="A4729" t="str">
            <v>M2</v>
          </cell>
          <cell r="B4729" t="str">
            <v>A5C</v>
          </cell>
          <cell r="C4729" t="str">
            <v>TRIM</v>
          </cell>
          <cell r="D4729" t="str">
            <v>V-2325</v>
          </cell>
          <cell r="E4729" t="str">
            <v>BALL VA</v>
          </cell>
          <cell r="F4729">
            <v>6</v>
          </cell>
          <cell r="G4729" t="str">
            <v>VB8010600000100</v>
          </cell>
          <cell r="H4729">
            <v>1</v>
          </cell>
          <cell r="I4729" t="str">
            <v>--</v>
          </cell>
          <cell r="J4729">
            <v>2</v>
          </cell>
          <cell r="K4729">
            <v>2</v>
          </cell>
        </row>
        <row r="4730">
          <cell r="A4730" t="str">
            <v>M2</v>
          </cell>
          <cell r="B4730" t="str">
            <v>A5C</v>
          </cell>
          <cell r="C4730" t="str">
            <v>P</v>
          </cell>
          <cell r="D4730" t="str">
            <v>23074</v>
          </cell>
          <cell r="E4730" t="str">
            <v>BALL VA</v>
          </cell>
          <cell r="F4730">
            <v>6</v>
          </cell>
          <cell r="G4730" t="str">
            <v>VB8010600000100</v>
          </cell>
          <cell r="H4730">
            <v>1</v>
          </cell>
          <cell r="I4730" t="str">
            <v>--</v>
          </cell>
          <cell r="J4730">
            <v>2</v>
          </cell>
          <cell r="K4730">
            <v>2</v>
          </cell>
        </row>
        <row r="4731">
          <cell r="A4731" t="str">
            <v>M2</v>
          </cell>
          <cell r="B4731" t="str">
            <v>A5C</v>
          </cell>
          <cell r="C4731" t="str">
            <v>P</v>
          </cell>
          <cell r="D4731" t="str">
            <v>23194</v>
          </cell>
          <cell r="E4731" t="str">
            <v>BALL VA</v>
          </cell>
          <cell r="F4731">
            <v>6</v>
          </cell>
          <cell r="G4731" t="str">
            <v>VB8010600000100</v>
          </cell>
          <cell r="H4731">
            <v>1</v>
          </cell>
          <cell r="I4731" t="str">
            <v>--</v>
          </cell>
          <cell r="J4731">
            <v>1</v>
          </cell>
          <cell r="K4731">
            <v>1</v>
          </cell>
        </row>
        <row r="4732">
          <cell r="A4732" t="str">
            <v>M2</v>
          </cell>
          <cell r="B4732" t="str">
            <v>A5C</v>
          </cell>
          <cell r="C4732" t="str">
            <v>P</v>
          </cell>
          <cell r="D4732" t="str">
            <v>23223</v>
          </cell>
          <cell r="E4732" t="str">
            <v>BALL VA</v>
          </cell>
          <cell r="F4732">
            <v>6</v>
          </cell>
          <cell r="G4732" t="str">
            <v>VB8010600000100</v>
          </cell>
          <cell r="H4732">
            <v>1</v>
          </cell>
          <cell r="I4732" t="str">
            <v>--</v>
          </cell>
          <cell r="J4732">
            <v>1</v>
          </cell>
          <cell r="K4732">
            <v>1</v>
          </cell>
        </row>
        <row r="4733">
          <cell r="A4733" t="str">
            <v>M2</v>
          </cell>
          <cell r="B4733" t="str">
            <v>A5C</v>
          </cell>
          <cell r="C4733" t="str">
            <v>P</v>
          </cell>
          <cell r="D4733" t="str">
            <v>23048</v>
          </cell>
          <cell r="E4733" t="str">
            <v>CHECK VA</v>
          </cell>
          <cell r="F4733">
            <v>6</v>
          </cell>
          <cell r="G4733" t="str">
            <v>VCB8010400000100</v>
          </cell>
          <cell r="H4733">
            <v>1</v>
          </cell>
          <cell r="I4733" t="str">
            <v>--</v>
          </cell>
          <cell r="J4733">
            <v>2</v>
          </cell>
          <cell r="K4733">
            <v>2</v>
          </cell>
        </row>
        <row r="4734">
          <cell r="A4734" t="str">
            <v>M2</v>
          </cell>
          <cell r="B4734" t="str">
            <v>A5C</v>
          </cell>
          <cell r="C4734" t="str">
            <v>P</v>
          </cell>
          <cell r="D4734" t="str">
            <v>23074</v>
          </cell>
          <cell r="E4734" t="str">
            <v>CHECK VA</v>
          </cell>
          <cell r="F4734">
            <v>6</v>
          </cell>
          <cell r="G4734" t="str">
            <v>VCB8010400000100</v>
          </cell>
          <cell r="H4734">
            <v>1</v>
          </cell>
          <cell r="I4734" t="str">
            <v>--</v>
          </cell>
          <cell r="J4734">
            <v>2</v>
          </cell>
          <cell r="K4734">
            <v>2</v>
          </cell>
        </row>
        <row r="4735">
          <cell r="A4735" t="str">
            <v>M2</v>
          </cell>
          <cell r="B4735" t="str">
            <v>A5C</v>
          </cell>
          <cell r="C4735" t="str">
            <v>P</v>
          </cell>
          <cell r="D4735" t="str">
            <v>23079</v>
          </cell>
          <cell r="E4735" t="str">
            <v>CHECK VA</v>
          </cell>
          <cell r="F4735">
            <v>6</v>
          </cell>
          <cell r="G4735" t="str">
            <v>VCB8010400000100</v>
          </cell>
          <cell r="H4735">
            <v>1</v>
          </cell>
          <cell r="I4735" t="str">
            <v>--</v>
          </cell>
          <cell r="J4735">
            <v>2</v>
          </cell>
          <cell r="K4735">
            <v>2</v>
          </cell>
        </row>
        <row r="4736">
          <cell r="A4736" t="str">
            <v>M2</v>
          </cell>
          <cell r="B4736" t="str">
            <v>A5C</v>
          </cell>
          <cell r="C4736" t="str">
            <v>P</v>
          </cell>
          <cell r="D4736" t="str">
            <v>23223</v>
          </cell>
          <cell r="E4736" t="str">
            <v>CHECK VA</v>
          </cell>
          <cell r="F4736">
            <v>6</v>
          </cell>
          <cell r="G4736" t="str">
            <v>VCB8010400000100</v>
          </cell>
          <cell r="H4736">
            <v>1</v>
          </cell>
          <cell r="I4736" t="str">
            <v>--</v>
          </cell>
          <cell r="J4736">
            <v>1</v>
          </cell>
          <cell r="K4736">
            <v>1</v>
          </cell>
        </row>
        <row r="4737">
          <cell r="A4737" t="str">
            <v>M2</v>
          </cell>
          <cell r="B4737" t="str">
            <v>A5C</v>
          </cell>
          <cell r="C4737" t="str">
            <v>P</v>
          </cell>
          <cell r="D4737" t="str">
            <v>23027</v>
          </cell>
          <cell r="E4737" t="str">
            <v>GLOBE VA</v>
          </cell>
          <cell r="F4737">
            <v>6</v>
          </cell>
          <cell r="G4737" t="str">
            <v>VL8010100000100</v>
          </cell>
          <cell r="H4737">
            <v>1</v>
          </cell>
          <cell r="I4737" t="str">
            <v>--</v>
          </cell>
          <cell r="J4737">
            <v>1</v>
          </cell>
          <cell r="K4737">
            <v>1</v>
          </cell>
        </row>
        <row r="4738">
          <cell r="A4738" t="str">
            <v>M2</v>
          </cell>
          <cell r="B4738" t="str">
            <v>A5C</v>
          </cell>
          <cell r="C4738" t="str">
            <v>P</v>
          </cell>
          <cell r="D4738" t="str">
            <v>23039</v>
          </cell>
          <cell r="E4738" t="str">
            <v>GLOBE VA</v>
          </cell>
          <cell r="F4738">
            <v>6</v>
          </cell>
          <cell r="G4738" t="str">
            <v>VL8010100000100</v>
          </cell>
          <cell r="H4738">
            <v>1</v>
          </cell>
          <cell r="I4738" t="str">
            <v>--</v>
          </cell>
          <cell r="J4738">
            <v>1</v>
          </cell>
          <cell r="K4738">
            <v>1</v>
          </cell>
        </row>
        <row r="4739">
          <cell r="A4739" t="str">
            <v>M2</v>
          </cell>
          <cell r="B4739" t="str">
            <v>A5C</v>
          </cell>
          <cell r="C4739" t="str">
            <v>P</v>
          </cell>
          <cell r="D4739" t="str">
            <v>23079</v>
          </cell>
          <cell r="E4739" t="str">
            <v>GLOBE VA</v>
          </cell>
          <cell r="F4739">
            <v>6</v>
          </cell>
          <cell r="G4739" t="str">
            <v>VL8010100000100</v>
          </cell>
          <cell r="H4739">
            <v>1</v>
          </cell>
          <cell r="I4739" t="str">
            <v>--</v>
          </cell>
          <cell r="J4739">
            <v>1</v>
          </cell>
          <cell r="K4739">
            <v>1</v>
          </cell>
        </row>
        <row r="4740">
          <cell r="A4740" t="str">
            <v>M2</v>
          </cell>
          <cell r="B4740" t="str">
            <v>A5C</v>
          </cell>
          <cell r="C4740" t="str">
            <v>P</v>
          </cell>
          <cell r="D4740" t="str">
            <v>23019</v>
          </cell>
          <cell r="E4740" t="str">
            <v>GLOBE VA</v>
          </cell>
          <cell r="F4740">
            <v>6</v>
          </cell>
          <cell r="G4740" t="str">
            <v>VL8010100000100</v>
          </cell>
          <cell r="H4740">
            <v>1</v>
          </cell>
          <cell r="I4740" t="str">
            <v>--</v>
          </cell>
          <cell r="J4740">
            <v>1</v>
          </cell>
          <cell r="K4740">
            <v>1</v>
          </cell>
        </row>
        <row r="4741">
          <cell r="A4741" t="str">
            <v>M2</v>
          </cell>
          <cell r="B4741" t="str">
            <v>A5C</v>
          </cell>
          <cell r="C4741" t="str">
            <v>P</v>
          </cell>
          <cell r="D4741" t="str">
            <v>24002</v>
          </cell>
          <cell r="E4741" t="str">
            <v>BALL VA</v>
          </cell>
          <cell r="F4741">
            <v>6</v>
          </cell>
          <cell r="G4741" t="str">
            <v>VB8010600000100</v>
          </cell>
          <cell r="H4741">
            <v>1</v>
          </cell>
          <cell r="I4741" t="str">
            <v>--</v>
          </cell>
          <cell r="J4741">
            <v>3</v>
          </cell>
          <cell r="K4741">
            <v>3</v>
          </cell>
        </row>
        <row r="4742">
          <cell r="A4742" t="str">
            <v>M2</v>
          </cell>
          <cell r="B4742" t="str">
            <v>A5C</v>
          </cell>
          <cell r="C4742" t="str">
            <v>P</v>
          </cell>
          <cell r="D4742" t="str">
            <v>24004</v>
          </cell>
          <cell r="E4742" t="str">
            <v>BALL VA</v>
          </cell>
          <cell r="F4742">
            <v>6</v>
          </cell>
          <cell r="G4742" t="str">
            <v>VB8010600000100</v>
          </cell>
          <cell r="H4742">
            <v>1</v>
          </cell>
          <cell r="I4742" t="str">
            <v>--</v>
          </cell>
          <cell r="J4742">
            <v>6</v>
          </cell>
          <cell r="K4742">
            <v>6</v>
          </cell>
        </row>
        <row r="4743">
          <cell r="A4743" t="str">
            <v>M2</v>
          </cell>
          <cell r="B4743" t="str">
            <v>A5C</v>
          </cell>
          <cell r="C4743" t="str">
            <v>P</v>
          </cell>
          <cell r="D4743" t="str">
            <v>24025</v>
          </cell>
          <cell r="E4743" t="str">
            <v>BALL VA</v>
          </cell>
          <cell r="F4743">
            <v>6</v>
          </cell>
          <cell r="G4743" t="str">
            <v>VB8010600000100</v>
          </cell>
          <cell r="H4743">
            <v>1</v>
          </cell>
          <cell r="I4743" t="str">
            <v>--</v>
          </cell>
          <cell r="J4743">
            <v>2</v>
          </cell>
          <cell r="K4743">
            <v>2</v>
          </cell>
        </row>
        <row r="4744">
          <cell r="A4744" t="str">
            <v>M2</v>
          </cell>
          <cell r="B4744" t="str">
            <v>A5C</v>
          </cell>
          <cell r="C4744" t="str">
            <v>P</v>
          </cell>
          <cell r="D4744" t="str">
            <v>24026</v>
          </cell>
          <cell r="E4744" t="str">
            <v>BALL VA</v>
          </cell>
          <cell r="F4744">
            <v>6</v>
          </cell>
          <cell r="G4744" t="str">
            <v>VB8010600000100</v>
          </cell>
          <cell r="H4744">
            <v>1</v>
          </cell>
          <cell r="I4744" t="str">
            <v>--</v>
          </cell>
          <cell r="J4744">
            <v>3</v>
          </cell>
          <cell r="K4744">
            <v>3</v>
          </cell>
        </row>
        <row r="4745">
          <cell r="A4745" t="str">
            <v>M2</v>
          </cell>
          <cell r="B4745" t="str">
            <v>A5C</v>
          </cell>
          <cell r="C4745" t="str">
            <v>P</v>
          </cell>
          <cell r="D4745" t="str">
            <v>24032</v>
          </cell>
          <cell r="E4745" t="str">
            <v>BALL VA</v>
          </cell>
          <cell r="F4745">
            <v>6</v>
          </cell>
          <cell r="G4745" t="str">
            <v>VB8010600000100</v>
          </cell>
          <cell r="H4745">
            <v>1</v>
          </cell>
          <cell r="I4745" t="str">
            <v>--</v>
          </cell>
          <cell r="J4745">
            <v>1</v>
          </cell>
          <cell r="K4745">
            <v>1</v>
          </cell>
        </row>
        <row r="4746">
          <cell r="A4746" t="str">
            <v>M2</v>
          </cell>
          <cell r="B4746" t="str">
            <v>A5C</v>
          </cell>
          <cell r="C4746" t="str">
            <v>P</v>
          </cell>
          <cell r="D4746" t="str">
            <v>99004</v>
          </cell>
          <cell r="E4746" t="str">
            <v>BALL VA</v>
          </cell>
          <cell r="F4746">
            <v>6</v>
          </cell>
          <cell r="G4746" t="str">
            <v>VB8010600000100</v>
          </cell>
          <cell r="H4746">
            <v>1</v>
          </cell>
          <cell r="I4746" t="str">
            <v>--</v>
          </cell>
          <cell r="J4746">
            <v>1</v>
          </cell>
          <cell r="K4746">
            <v>1</v>
          </cell>
        </row>
        <row r="4747">
          <cell r="A4747" t="str">
            <v>M2</v>
          </cell>
          <cell r="B4747" t="str">
            <v>A5C</v>
          </cell>
          <cell r="C4747" t="str">
            <v>P</v>
          </cell>
          <cell r="D4747" t="str">
            <v>23013</v>
          </cell>
          <cell r="E4747" t="str">
            <v>BALL VA</v>
          </cell>
          <cell r="F4747">
            <v>6</v>
          </cell>
          <cell r="G4747" t="str">
            <v>VB8010600000100</v>
          </cell>
          <cell r="H4747">
            <v>1</v>
          </cell>
          <cell r="I4747" t="str">
            <v>--</v>
          </cell>
          <cell r="J4747">
            <v>2</v>
          </cell>
          <cell r="K4747">
            <v>2</v>
          </cell>
        </row>
        <row r="4748">
          <cell r="A4748" t="str">
            <v>M2</v>
          </cell>
          <cell r="B4748" t="str">
            <v>A5C</v>
          </cell>
          <cell r="C4748" t="str">
            <v>P</v>
          </cell>
          <cell r="D4748" t="str">
            <v>23154</v>
          </cell>
          <cell r="E4748" t="str">
            <v>BALL VA</v>
          </cell>
          <cell r="F4748">
            <v>6</v>
          </cell>
          <cell r="G4748" t="str">
            <v>VB8010600000100</v>
          </cell>
          <cell r="H4748">
            <v>1</v>
          </cell>
          <cell r="I4748" t="str">
            <v>--</v>
          </cell>
          <cell r="J4748">
            <v>1</v>
          </cell>
          <cell r="K4748">
            <v>1</v>
          </cell>
        </row>
        <row r="4749">
          <cell r="A4749" t="str">
            <v>M2</v>
          </cell>
          <cell r="B4749" t="str">
            <v>A5C</v>
          </cell>
          <cell r="C4749" t="str">
            <v>P</v>
          </cell>
          <cell r="D4749" t="str">
            <v>23013</v>
          </cell>
          <cell r="E4749" t="str">
            <v>CHECK VA</v>
          </cell>
          <cell r="F4749">
            <v>6</v>
          </cell>
          <cell r="G4749" t="str">
            <v>VCB8010400000100</v>
          </cell>
          <cell r="H4749">
            <v>1</v>
          </cell>
          <cell r="I4749" t="str">
            <v>--</v>
          </cell>
          <cell r="J4749">
            <v>2</v>
          </cell>
          <cell r="K4749">
            <v>2</v>
          </cell>
        </row>
        <row r="4750">
          <cell r="A4750" t="str">
            <v>M2</v>
          </cell>
          <cell r="B4750" t="str">
            <v>A5C</v>
          </cell>
          <cell r="C4750" t="str">
            <v>P</v>
          </cell>
          <cell r="D4750" t="str">
            <v>24002</v>
          </cell>
          <cell r="E4750" t="str">
            <v>CHECK VA</v>
          </cell>
          <cell r="F4750">
            <v>6</v>
          </cell>
          <cell r="G4750" t="str">
            <v>VCB8010400000100</v>
          </cell>
          <cell r="H4750">
            <v>1</v>
          </cell>
          <cell r="I4750" t="str">
            <v>--</v>
          </cell>
          <cell r="J4750">
            <v>1</v>
          </cell>
          <cell r="K4750">
            <v>1</v>
          </cell>
        </row>
        <row r="4751">
          <cell r="A4751" t="str">
            <v>M2</v>
          </cell>
          <cell r="B4751" t="str">
            <v>A5C</v>
          </cell>
          <cell r="C4751" t="str">
            <v>P</v>
          </cell>
          <cell r="D4751" t="str">
            <v>24004</v>
          </cell>
          <cell r="E4751" t="str">
            <v>CHECK VA</v>
          </cell>
          <cell r="F4751">
            <v>6</v>
          </cell>
          <cell r="G4751" t="str">
            <v>VCB8010400000100</v>
          </cell>
          <cell r="H4751">
            <v>1</v>
          </cell>
          <cell r="I4751" t="str">
            <v>--</v>
          </cell>
          <cell r="J4751">
            <v>2</v>
          </cell>
          <cell r="K4751">
            <v>2</v>
          </cell>
        </row>
        <row r="4752">
          <cell r="A4752" t="str">
            <v>M2</v>
          </cell>
          <cell r="B4752" t="str">
            <v>A5C</v>
          </cell>
          <cell r="C4752" t="str">
            <v>P</v>
          </cell>
          <cell r="D4752" t="str">
            <v>24026</v>
          </cell>
          <cell r="E4752" t="str">
            <v>CHECK VA</v>
          </cell>
          <cell r="F4752">
            <v>6</v>
          </cell>
          <cell r="G4752" t="str">
            <v>VCB8010400000100</v>
          </cell>
          <cell r="H4752">
            <v>1</v>
          </cell>
          <cell r="I4752" t="str">
            <v>--</v>
          </cell>
          <cell r="J4752">
            <v>1</v>
          </cell>
          <cell r="K4752">
            <v>1</v>
          </cell>
        </row>
        <row r="4753">
          <cell r="A4753" t="str">
            <v>M2</v>
          </cell>
          <cell r="B4753" t="str">
            <v>A5C</v>
          </cell>
          <cell r="C4753" t="str">
            <v>P</v>
          </cell>
          <cell r="D4753" t="str">
            <v>99004</v>
          </cell>
          <cell r="E4753" t="str">
            <v>CHECK VA</v>
          </cell>
          <cell r="F4753">
            <v>6</v>
          </cell>
          <cell r="G4753" t="str">
            <v>VCB8010400000100</v>
          </cell>
          <cell r="H4753">
            <v>1</v>
          </cell>
          <cell r="I4753" t="str">
            <v>--</v>
          </cell>
          <cell r="J4753">
            <v>1</v>
          </cell>
          <cell r="K4753">
            <v>1</v>
          </cell>
        </row>
        <row r="4754">
          <cell r="A4754" t="str">
            <v>M2</v>
          </cell>
          <cell r="B4754" t="str">
            <v>A5C</v>
          </cell>
          <cell r="C4754" t="str">
            <v>P</v>
          </cell>
          <cell r="D4754" t="str">
            <v>24002</v>
          </cell>
          <cell r="E4754" t="str">
            <v>GLOBE VA</v>
          </cell>
          <cell r="F4754">
            <v>6</v>
          </cell>
          <cell r="G4754" t="str">
            <v>VL8010100000100</v>
          </cell>
          <cell r="H4754">
            <v>1</v>
          </cell>
          <cell r="I4754" t="str">
            <v>--</v>
          </cell>
          <cell r="J4754">
            <v>1</v>
          </cell>
          <cell r="K4754">
            <v>1</v>
          </cell>
        </row>
        <row r="4755">
          <cell r="A4755" t="str">
            <v>M2</v>
          </cell>
          <cell r="B4755" t="str">
            <v>A5C</v>
          </cell>
          <cell r="C4755" t="str">
            <v>P</v>
          </cell>
          <cell r="D4755" t="str">
            <v>24004</v>
          </cell>
          <cell r="E4755" t="str">
            <v>GLOBE VA</v>
          </cell>
          <cell r="F4755">
            <v>6</v>
          </cell>
          <cell r="G4755" t="str">
            <v>VL8010100000100</v>
          </cell>
          <cell r="H4755">
            <v>1</v>
          </cell>
          <cell r="I4755" t="str">
            <v>--</v>
          </cell>
          <cell r="J4755">
            <v>1</v>
          </cell>
          <cell r="K4755">
            <v>1</v>
          </cell>
        </row>
        <row r="4756">
          <cell r="A4756" t="str">
            <v>M2</v>
          </cell>
          <cell r="B4756" t="str">
            <v>A5C</v>
          </cell>
          <cell r="C4756" t="str">
            <v>P</v>
          </cell>
          <cell r="D4756" t="str">
            <v>24026</v>
          </cell>
          <cell r="E4756" t="str">
            <v>GLOBE VA</v>
          </cell>
          <cell r="F4756">
            <v>6</v>
          </cell>
          <cell r="G4756" t="str">
            <v>VL8010100000100</v>
          </cell>
          <cell r="H4756">
            <v>1</v>
          </cell>
          <cell r="I4756" t="str">
            <v>--</v>
          </cell>
          <cell r="J4756">
            <v>1</v>
          </cell>
          <cell r="K4756">
            <v>1</v>
          </cell>
        </row>
        <row r="4757">
          <cell r="A4757" t="str">
            <v>M2</v>
          </cell>
          <cell r="B4757" t="str">
            <v>A5C</v>
          </cell>
          <cell r="C4757" t="str">
            <v>P</v>
          </cell>
          <cell r="D4757" t="str">
            <v>23006</v>
          </cell>
          <cell r="E4757" t="str">
            <v>BALL VA</v>
          </cell>
          <cell r="F4757">
            <v>6</v>
          </cell>
          <cell r="G4757" t="str">
            <v>VB8010600001H00</v>
          </cell>
          <cell r="H4757">
            <v>1.5</v>
          </cell>
          <cell r="I4757" t="str">
            <v>--</v>
          </cell>
          <cell r="J4757">
            <v>3</v>
          </cell>
          <cell r="K4757">
            <v>3</v>
          </cell>
        </row>
        <row r="4758">
          <cell r="A4758" t="str">
            <v>M2</v>
          </cell>
          <cell r="B4758" t="str">
            <v>A5C</v>
          </cell>
          <cell r="C4758" t="str">
            <v>P</v>
          </cell>
          <cell r="D4758" t="str">
            <v>23007</v>
          </cell>
          <cell r="E4758" t="str">
            <v>BALL VA</v>
          </cell>
          <cell r="F4758">
            <v>6</v>
          </cell>
          <cell r="G4758" t="str">
            <v>VB8010600001H00</v>
          </cell>
          <cell r="H4758">
            <v>1.5</v>
          </cell>
          <cell r="I4758" t="str">
            <v>--</v>
          </cell>
          <cell r="J4758">
            <v>1</v>
          </cell>
          <cell r="K4758">
            <v>1</v>
          </cell>
        </row>
        <row r="4759">
          <cell r="A4759" t="str">
            <v>M2</v>
          </cell>
          <cell r="B4759" t="str">
            <v>A5C</v>
          </cell>
          <cell r="C4759" t="str">
            <v>P</v>
          </cell>
          <cell r="D4759" t="str">
            <v>23035</v>
          </cell>
          <cell r="E4759" t="str">
            <v>BALL VA</v>
          </cell>
          <cell r="F4759">
            <v>6</v>
          </cell>
          <cell r="G4759" t="str">
            <v>VB8010600001H00</v>
          </cell>
          <cell r="H4759">
            <v>1.5</v>
          </cell>
          <cell r="I4759" t="str">
            <v>--</v>
          </cell>
          <cell r="J4759">
            <v>3</v>
          </cell>
          <cell r="K4759">
            <v>3</v>
          </cell>
        </row>
        <row r="4760">
          <cell r="A4760" t="str">
            <v>M2</v>
          </cell>
          <cell r="B4760" t="str">
            <v>A5C</v>
          </cell>
          <cell r="C4760" t="str">
            <v>P</v>
          </cell>
          <cell r="D4760" t="str">
            <v>23035</v>
          </cell>
          <cell r="E4760" t="str">
            <v>BALL VA</v>
          </cell>
          <cell r="F4760">
            <v>6</v>
          </cell>
          <cell r="G4760" t="str">
            <v>VB8010600001H00</v>
          </cell>
          <cell r="H4760">
            <v>1.5</v>
          </cell>
          <cell r="I4760" t="str">
            <v>--</v>
          </cell>
          <cell r="J4760">
            <v>3</v>
          </cell>
          <cell r="K4760">
            <v>3</v>
          </cell>
        </row>
        <row r="4761">
          <cell r="A4761" t="str">
            <v>M2</v>
          </cell>
          <cell r="B4761" t="str">
            <v>A5C</v>
          </cell>
          <cell r="C4761" t="str">
            <v>P</v>
          </cell>
          <cell r="D4761" t="str">
            <v>23070</v>
          </cell>
          <cell r="E4761" t="str">
            <v>BALL VA</v>
          </cell>
          <cell r="F4761">
            <v>6</v>
          </cell>
          <cell r="G4761" t="str">
            <v>VB8010600001H00</v>
          </cell>
          <cell r="H4761">
            <v>1.5</v>
          </cell>
          <cell r="I4761" t="str">
            <v>--</v>
          </cell>
          <cell r="J4761">
            <v>2</v>
          </cell>
          <cell r="K4761">
            <v>2</v>
          </cell>
        </row>
        <row r="4762">
          <cell r="A4762" t="str">
            <v>M2</v>
          </cell>
          <cell r="B4762" t="str">
            <v>A5C</v>
          </cell>
          <cell r="C4762" t="str">
            <v>P</v>
          </cell>
          <cell r="D4762" t="str">
            <v>23072</v>
          </cell>
          <cell r="E4762" t="str">
            <v>BALL VA</v>
          </cell>
          <cell r="F4762">
            <v>6</v>
          </cell>
          <cell r="G4762" t="str">
            <v>VB8010600001H00</v>
          </cell>
          <cell r="H4762">
            <v>1.5</v>
          </cell>
          <cell r="I4762" t="str">
            <v>--</v>
          </cell>
          <cell r="J4762">
            <v>1</v>
          </cell>
          <cell r="K4762">
            <v>1</v>
          </cell>
        </row>
        <row r="4763">
          <cell r="A4763" t="str">
            <v>M2</v>
          </cell>
          <cell r="B4763" t="str">
            <v>A5C</v>
          </cell>
          <cell r="C4763" t="str">
            <v>P</v>
          </cell>
          <cell r="D4763" t="str">
            <v>23103</v>
          </cell>
          <cell r="E4763" t="str">
            <v>BALL VA</v>
          </cell>
          <cell r="F4763">
            <v>6</v>
          </cell>
          <cell r="G4763" t="str">
            <v>VB8010600001H00</v>
          </cell>
          <cell r="H4763">
            <v>1.5</v>
          </cell>
          <cell r="I4763" t="str">
            <v>--</v>
          </cell>
          <cell r="J4763">
            <v>2</v>
          </cell>
          <cell r="K4763">
            <v>2</v>
          </cell>
        </row>
        <row r="4764">
          <cell r="A4764" t="str">
            <v>M2</v>
          </cell>
          <cell r="B4764" t="str">
            <v>A5C</v>
          </cell>
          <cell r="C4764" t="str">
            <v>P</v>
          </cell>
          <cell r="D4764" t="str">
            <v>23107</v>
          </cell>
          <cell r="E4764" t="str">
            <v>BALL VA</v>
          </cell>
          <cell r="F4764">
            <v>6</v>
          </cell>
          <cell r="G4764" t="str">
            <v>VB8010600001H00</v>
          </cell>
          <cell r="H4764">
            <v>1.5</v>
          </cell>
          <cell r="I4764" t="str">
            <v>--</v>
          </cell>
          <cell r="J4764">
            <v>2</v>
          </cell>
          <cell r="K4764">
            <v>2</v>
          </cell>
        </row>
        <row r="4765">
          <cell r="A4765" t="str">
            <v>M2</v>
          </cell>
          <cell r="B4765" t="str">
            <v>A5C</v>
          </cell>
          <cell r="C4765" t="str">
            <v>P</v>
          </cell>
          <cell r="D4765" t="str">
            <v>23111</v>
          </cell>
          <cell r="E4765" t="str">
            <v>BALL VA</v>
          </cell>
          <cell r="F4765">
            <v>6</v>
          </cell>
          <cell r="G4765" t="str">
            <v>VB8010600001H00</v>
          </cell>
          <cell r="H4765">
            <v>1.5</v>
          </cell>
          <cell r="I4765" t="str">
            <v>--</v>
          </cell>
          <cell r="J4765">
            <v>2</v>
          </cell>
          <cell r="K4765">
            <v>2</v>
          </cell>
        </row>
        <row r="4766">
          <cell r="A4766" t="str">
            <v>M2</v>
          </cell>
          <cell r="B4766" t="str">
            <v>A5C</v>
          </cell>
          <cell r="C4766" t="str">
            <v>P</v>
          </cell>
          <cell r="D4766" t="str">
            <v>23117</v>
          </cell>
          <cell r="E4766" t="str">
            <v>BALL VA</v>
          </cell>
          <cell r="F4766">
            <v>6</v>
          </cell>
          <cell r="G4766" t="str">
            <v>VB8010600001H00</v>
          </cell>
          <cell r="H4766">
            <v>1.5</v>
          </cell>
          <cell r="I4766" t="str">
            <v>--</v>
          </cell>
          <cell r="J4766">
            <v>2</v>
          </cell>
          <cell r="K4766">
            <v>2</v>
          </cell>
        </row>
        <row r="4767">
          <cell r="A4767" t="str">
            <v>M2</v>
          </cell>
          <cell r="B4767" t="str">
            <v>A5C</v>
          </cell>
          <cell r="C4767" t="str">
            <v>P</v>
          </cell>
          <cell r="D4767" t="str">
            <v>23143</v>
          </cell>
          <cell r="E4767" t="str">
            <v>BALL VA</v>
          </cell>
          <cell r="F4767">
            <v>6</v>
          </cell>
          <cell r="G4767" t="str">
            <v>VB8010600001H00</v>
          </cell>
          <cell r="H4767">
            <v>1.5</v>
          </cell>
          <cell r="I4767" t="str">
            <v>--</v>
          </cell>
          <cell r="J4767">
            <v>2</v>
          </cell>
          <cell r="K4767">
            <v>2</v>
          </cell>
        </row>
        <row r="4768">
          <cell r="A4768" t="str">
            <v>M2</v>
          </cell>
          <cell r="B4768" t="str">
            <v>A5C</v>
          </cell>
          <cell r="C4768" t="str">
            <v>P</v>
          </cell>
          <cell r="D4768" t="str">
            <v>23185</v>
          </cell>
          <cell r="E4768" t="str">
            <v>BALL VA</v>
          </cell>
          <cell r="F4768">
            <v>6</v>
          </cell>
          <cell r="G4768" t="str">
            <v>VB8010600001H00</v>
          </cell>
          <cell r="H4768">
            <v>1.5</v>
          </cell>
          <cell r="I4768" t="str">
            <v>--</v>
          </cell>
          <cell r="J4768">
            <v>2</v>
          </cell>
          <cell r="K4768">
            <v>2</v>
          </cell>
        </row>
        <row r="4769">
          <cell r="A4769" t="str">
            <v>M2</v>
          </cell>
          <cell r="B4769" t="str">
            <v>A5C</v>
          </cell>
          <cell r="C4769" t="str">
            <v>P</v>
          </cell>
          <cell r="D4769" t="str">
            <v>23215</v>
          </cell>
          <cell r="E4769" t="str">
            <v>BALL VA</v>
          </cell>
          <cell r="F4769">
            <v>6</v>
          </cell>
          <cell r="G4769" t="str">
            <v>VB8010600001H00</v>
          </cell>
          <cell r="H4769">
            <v>1.5</v>
          </cell>
          <cell r="I4769" t="str">
            <v>--</v>
          </cell>
          <cell r="J4769">
            <v>1</v>
          </cell>
          <cell r="K4769">
            <v>1</v>
          </cell>
        </row>
        <row r="4770">
          <cell r="A4770" t="str">
            <v>M2</v>
          </cell>
          <cell r="B4770" t="str">
            <v>A5C</v>
          </cell>
          <cell r="C4770" t="str">
            <v>P</v>
          </cell>
          <cell r="D4770" t="str">
            <v>23259</v>
          </cell>
          <cell r="E4770" t="str">
            <v>BALL VA</v>
          </cell>
          <cell r="F4770">
            <v>6</v>
          </cell>
          <cell r="G4770" t="str">
            <v>VB8010600001H00</v>
          </cell>
          <cell r="H4770">
            <v>1.5</v>
          </cell>
          <cell r="I4770" t="str">
            <v>--</v>
          </cell>
          <cell r="J4770">
            <v>2</v>
          </cell>
          <cell r="K4770">
            <v>2</v>
          </cell>
        </row>
        <row r="4771">
          <cell r="A4771" t="str">
            <v>M2</v>
          </cell>
          <cell r="B4771" t="str">
            <v>A5C</v>
          </cell>
          <cell r="C4771" t="str">
            <v>P</v>
          </cell>
          <cell r="D4771" t="str">
            <v>24014</v>
          </cell>
          <cell r="E4771" t="str">
            <v>BALL VA</v>
          </cell>
          <cell r="F4771">
            <v>6</v>
          </cell>
          <cell r="G4771" t="str">
            <v>VB8010600001H00</v>
          </cell>
          <cell r="H4771">
            <v>1.5</v>
          </cell>
          <cell r="I4771" t="str">
            <v>--</v>
          </cell>
          <cell r="J4771">
            <v>2</v>
          </cell>
          <cell r="K4771">
            <v>2</v>
          </cell>
        </row>
        <row r="4772">
          <cell r="A4772" t="str">
            <v>M2</v>
          </cell>
          <cell r="B4772" t="str">
            <v>A5C</v>
          </cell>
          <cell r="C4772" t="str">
            <v>P</v>
          </cell>
          <cell r="D4772" t="str">
            <v>99003</v>
          </cell>
          <cell r="E4772" t="str">
            <v>BALL VA</v>
          </cell>
          <cell r="F4772">
            <v>6</v>
          </cell>
          <cell r="G4772" t="str">
            <v>VB8010600001H00</v>
          </cell>
          <cell r="H4772">
            <v>1.5</v>
          </cell>
          <cell r="I4772" t="str">
            <v>--</v>
          </cell>
          <cell r="J4772">
            <v>4</v>
          </cell>
          <cell r="K4772">
            <v>4</v>
          </cell>
        </row>
        <row r="4773">
          <cell r="A4773" t="str">
            <v>M2</v>
          </cell>
          <cell r="B4773" t="str">
            <v>A5C</v>
          </cell>
          <cell r="C4773" t="str">
            <v>P</v>
          </cell>
          <cell r="D4773" t="str">
            <v>99003</v>
          </cell>
          <cell r="E4773" t="str">
            <v>BALL VA</v>
          </cell>
          <cell r="F4773">
            <v>6</v>
          </cell>
          <cell r="G4773" t="str">
            <v>VB8010600001H00</v>
          </cell>
          <cell r="H4773">
            <v>1.5</v>
          </cell>
          <cell r="I4773" t="str">
            <v>--</v>
          </cell>
          <cell r="J4773">
            <v>2</v>
          </cell>
          <cell r="K4773">
            <v>2</v>
          </cell>
        </row>
        <row r="4774">
          <cell r="A4774" t="str">
            <v>M2</v>
          </cell>
          <cell r="B4774" t="str">
            <v>A5C</v>
          </cell>
          <cell r="C4774" t="str">
            <v>TRIM</v>
          </cell>
          <cell r="D4774" t="str">
            <v>V-2301</v>
          </cell>
          <cell r="E4774" t="str">
            <v>BALL VA</v>
          </cell>
          <cell r="F4774">
            <v>6</v>
          </cell>
          <cell r="G4774" t="str">
            <v>VB8010600001H00</v>
          </cell>
          <cell r="H4774">
            <v>1.5</v>
          </cell>
          <cell r="I4774" t="str">
            <v>--</v>
          </cell>
          <cell r="J4774">
            <v>2</v>
          </cell>
          <cell r="K4774">
            <v>2</v>
          </cell>
        </row>
        <row r="4775">
          <cell r="A4775" t="str">
            <v>M2</v>
          </cell>
          <cell r="B4775" t="str">
            <v>A5C</v>
          </cell>
          <cell r="C4775" t="str">
            <v>P</v>
          </cell>
          <cell r="D4775" t="str">
            <v>22102</v>
          </cell>
          <cell r="E4775" t="str">
            <v>BALL VA</v>
          </cell>
          <cell r="F4775">
            <v>6</v>
          </cell>
          <cell r="G4775" t="str">
            <v>VB8010600001H00</v>
          </cell>
          <cell r="H4775">
            <v>1.5</v>
          </cell>
          <cell r="I4775" t="str">
            <v>--</v>
          </cell>
          <cell r="J4775">
            <v>1</v>
          </cell>
          <cell r="K4775">
            <v>1</v>
          </cell>
        </row>
        <row r="4776">
          <cell r="A4776" t="str">
            <v>M2</v>
          </cell>
          <cell r="B4776" t="str">
            <v>A5C</v>
          </cell>
          <cell r="C4776" t="str">
            <v>P</v>
          </cell>
          <cell r="D4776" t="str">
            <v>23006</v>
          </cell>
          <cell r="E4776" t="str">
            <v>BALL VA</v>
          </cell>
          <cell r="F4776">
            <v>6</v>
          </cell>
          <cell r="G4776" t="str">
            <v>VB8010600001H00</v>
          </cell>
          <cell r="H4776">
            <v>1.5</v>
          </cell>
          <cell r="I4776" t="str">
            <v>--</v>
          </cell>
          <cell r="J4776">
            <v>2</v>
          </cell>
          <cell r="K4776">
            <v>2</v>
          </cell>
        </row>
        <row r="4777">
          <cell r="A4777" t="str">
            <v>M2</v>
          </cell>
          <cell r="B4777" t="str">
            <v>A5C</v>
          </cell>
          <cell r="C4777" t="str">
            <v>P</v>
          </cell>
          <cell r="D4777" t="str">
            <v>23038</v>
          </cell>
          <cell r="E4777" t="str">
            <v>BALL VA</v>
          </cell>
          <cell r="F4777">
            <v>6</v>
          </cell>
          <cell r="G4777" t="str">
            <v>VB8010600001H00</v>
          </cell>
          <cell r="H4777">
            <v>1.5</v>
          </cell>
          <cell r="I4777" t="str">
            <v>--</v>
          </cell>
          <cell r="J4777">
            <v>2</v>
          </cell>
          <cell r="K4777">
            <v>2</v>
          </cell>
        </row>
        <row r="4778">
          <cell r="A4778" t="str">
            <v>M2</v>
          </cell>
          <cell r="B4778" t="str">
            <v>A5C</v>
          </cell>
          <cell r="C4778" t="str">
            <v>P</v>
          </cell>
          <cell r="D4778" t="str">
            <v>23116</v>
          </cell>
          <cell r="E4778" t="str">
            <v>BALL VA</v>
          </cell>
          <cell r="F4778">
            <v>6</v>
          </cell>
          <cell r="G4778" t="str">
            <v>VB8010600001H00</v>
          </cell>
          <cell r="H4778">
            <v>1.5</v>
          </cell>
          <cell r="I4778" t="str">
            <v>--</v>
          </cell>
          <cell r="J4778">
            <v>2</v>
          </cell>
          <cell r="K4778">
            <v>2</v>
          </cell>
        </row>
        <row r="4779">
          <cell r="A4779" t="str">
            <v>M2</v>
          </cell>
          <cell r="B4779" t="str">
            <v>A5C</v>
          </cell>
          <cell r="C4779" t="str">
            <v>P</v>
          </cell>
          <cell r="D4779" t="str">
            <v>23147</v>
          </cell>
          <cell r="E4779" t="str">
            <v>BALL VA</v>
          </cell>
          <cell r="F4779">
            <v>6</v>
          </cell>
          <cell r="G4779" t="str">
            <v>VB8010600001H00</v>
          </cell>
          <cell r="H4779">
            <v>1.5</v>
          </cell>
          <cell r="I4779" t="str">
            <v>--</v>
          </cell>
          <cell r="J4779">
            <v>2</v>
          </cell>
          <cell r="K4779">
            <v>2</v>
          </cell>
        </row>
        <row r="4780">
          <cell r="A4780" t="str">
            <v>M2</v>
          </cell>
          <cell r="B4780" t="str">
            <v>A5C</v>
          </cell>
          <cell r="C4780" t="str">
            <v>P</v>
          </cell>
          <cell r="D4780" t="str">
            <v>23157</v>
          </cell>
          <cell r="E4780" t="str">
            <v>BALL VA</v>
          </cell>
          <cell r="F4780">
            <v>6</v>
          </cell>
          <cell r="G4780" t="str">
            <v>VB8010600001H00</v>
          </cell>
          <cell r="H4780">
            <v>1.5</v>
          </cell>
          <cell r="I4780" t="str">
            <v>--</v>
          </cell>
          <cell r="J4780">
            <v>2</v>
          </cell>
          <cell r="K4780">
            <v>2</v>
          </cell>
        </row>
        <row r="4781">
          <cell r="A4781" t="str">
            <v>M2</v>
          </cell>
          <cell r="B4781" t="str">
            <v>A5C</v>
          </cell>
          <cell r="C4781" t="str">
            <v>P</v>
          </cell>
          <cell r="D4781" t="str">
            <v>23196</v>
          </cell>
          <cell r="E4781" t="str">
            <v>BALL VA</v>
          </cell>
          <cell r="F4781">
            <v>6</v>
          </cell>
          <cell r="G4781" t="str">
            <v>VB8010600001H00</v>
          </cell>
          <cell r="H4781">
            <v>1.5</v>
          </cell>
          <cell r="I4781" t="str">
            <v>--</v>
          </cell>
          <cell r="J4781">
            <v>2</v>
          </cell>
          <cell r="K4781">
            <v>2</v>
          </cell>
        </row>
        <row r="4782">
          <cell r="A4782" t="str">
            <v>M2</v>
          </cell>
          <cell r="B4782" t="str">
            <v>A5C</v>
          </cell>
          <cell r="C4782" t="str">
            <v>P</v>
          </cell>
          <cell r="D4782" t="str">
            <v>23217</v>
          </cell>
          <cell r="E4782" t="str">
            <v>BALL VA</v>
          </cell>
          <cell r="F4782">
            <v>6</v>
          </cell>
          <cell r="G4782" t="str">
            <v>VB8010600001H00</v>
          </cell>
          <cell r="H4782">
            <v>1.5</v>
          </cell>
          <cell r="I4782" t="str">
            <v>--</v>
          </cell>
          <cell r="J4782">
            <v>1</v>
          </cell>
          <cell r="K4782">
            <v>1</v>
          </cell>
        </row>
        <row r="4783">
          <cell r="A4783" t="str">
            <v>M2</v>
          </cell>
          <cell r="B4783" t="str">
            <v>A5C</v>
          </cell>
          <cell r="C4783" t="str">
            <v>P</v>
          </cell>
          <cell r="D4783" t="str">
            <v>23006</v>
          </cell>
          <cell r="E4783" t="str">
            <v>CHECK VA</v>
          </cell>
          <cell r="F4783">
            <v>6</v>
          </cell>
          <cell r="G4783" t="str">
            <v>VCB8010400001H00</v>
          </cell>
          <cell r="H4783">
            <v>1.5</v>
          </cell>
          <cell r="I4783" t="str">
            <v>--</v>
          </cell>
          <cell r="J4783">
            <v>2</v>
          </cell>
          <cell r="K4783">
            <v>2</v>
          </cell>
        </row>
        <row r="4784">
          <cell r="A4784" t="str">
            <v>M2</v>
          </cell>
          <cell r="B4784" t="str">
            <v>A5C</v>
          </cell>
          <cell r="C4784" t="str">
            <v>P</v>
          </cell>
          <cell r="D4784" t="str">
            <v>23007</v>
          </cell>
          <cell r="E4784" t="str">
            <v>CHECK VA</v>
          </cell>
          <cell r="F4784">
            <v>6</v>
          </cell>
          <cell r="G4784" t="str">
            <v>VCB8010400001H00</v>
          </cell>
          <cell r="H4784">
            <v>1.5</v>
          </cell>
          <cell r="I4784" t="str">
            <v>--</v>
          </cell>
          <cell r="J4784">
            <v>1</v>
          </cell>
          <cell r="K4784">
            <v>1</v>
          </cell>
        </row>
        <row r="4785">
          <cell r="A4785" t="str">
            <v>M2</v>
          </cell>
          <cell r="B4785" t="str">
            <v>A5C</v>
          </cell>
          <cell r="C4785" t="str">
            <v>P</v>
          </cell>
          <cell r="D4785" t="str">
            <v>23116</v>
          </cell>
          <cell r="E4785" t="str">
            <v>CHECK VA</v>
          </cell>
          <cell r="F4785">
            <v>6</v>
          </cell>
          <cell r="G4785" t="str">
            <v>VCB8010400001H00</v>
          </cell>
          <cell r="H4785">
            <v>1.5</v>
          </cell>
          <cell r="I4785" t="str">
            <v>--</v>
          </cell>
          <cell r="J4785">
            <v>2</v>
          </cell>
          <cell r="K4785">
            <v>2</v>
          </cell>
        </row>
        <row r="4786">
          <cell r="A4786" t="str">
            <v>M2</v>
          </cell>
          <cell r="B4786" t="str">
            <v>A5C</v>
          </cell>
          <cell r="C4786" t="str">
            <v>P</v>
          </cell>
          <cell r="D4786" t="str">
            <v>23192</v>
          </cell>
          <cell r="E4786" t="str">
            <v>GLOBE VA</v>
          </cell>
          <cell r="F4786">
            <v>6</v>
          </cell>
          <cell r="G4786" t="str">
            <v>VL8010100001H00</v>
          </cell>
          <cell r="H4786">
            <v>1.5</v>
          </cell>
          <cell r="I4786" t="str">
            <v>--</v>
          </cell>
          <cell r="J4786">
            <v>1</v>
          </cell>
          <cell r="K4786">
            <v>1</v>
          </cell>
        </row>
        <row r="4787">
          <cell r="A4787" t="str">
            <v>M2</v>
          </cell>
          <cell r="B4787" t="str">
            <v>A5C</v>
          </cell>
          <cell r="C4787" t="str">
            <v>P</v>
          </cell>
          <cell r="D4787" t="str">
            <v>23055</v>
          </cell>
          <cell r="E4787" t="str">
            <v>BALL VA</v>
          </cell>
          <cell r="F4787">
            <v>6</v>
          </cell>
          <cell r="G4787" t="str">
            <v>VB8010600001H00</v>
          </cell>
          <cell r="H4787">
            <v>1.5</v>
          </cell>
          <cell r="I4787" t="str">
            <v>--</v>
          </cell>
          <cell r="J4787">
            <v>2</v>
          </cell>
          <cell r="K4787">
            <v>2</v>
          </cell>
        </row>
        <row r="4788">
          <cell r="A4788" t="str">
            <v>M2</v>
          </cell>
          <cell r="B4788" t="str">
            <v>A5C</v>
          </cell>
          <cell r="C4788" t="str">
            <v>P</v>
          </cell>
          <cell r="D4788" t="str">
            <v>23008</v>
          </cell>
          <cell r="E4788" t="str">
            <v>BALL VA</v>
          </cell>
          <cell r="F4788">
            <v>6</v>
          </cell>
          <cell r="G4788" t="str">
            <v>VB8010600001H00</v>
          </cell>
          <cell r="H4788">
            <v>1.5</v>
          </cell>
          <cell r="I4788" t="str">
            <v>--</v>
          </cell>
          <cell r="J4788">
            <v>3</v>
          </cell>
          <cell r="K4788">
            <v>3</v>
          </cell>
        </row>
        <row r="4789">
          <cell r="A4789" t="str">
            <v>M2</v>
          </cell>
          <cell r="B4789" t="str">
            <v>A5C</v>
          </cell>
          <cell r="C4789" t="str">
            <v>P</v>
          </cell>
          <cell r="D4789" t="str">
            <v>23019</v>
          </cell>
          <cell r="E4789" t="str">
            <v>BALL VA</v>
          </cell>
          <cell r="F4789">
            <v>6</v>
          </cell>
          <cell r="G4789" t="str">
            <v>VB8010600001H00</v>
          </cell>
          <cell r="H4789">
            <v>1.5</v>
          </cell>
          <cell r="I4789" t="str">
            <v>--</v>
          </cell>
          <cell r="J4789">
            <v>2</v>
          </cell>
          <cell r="K4789">
            <v>2</v>
          </cell>
        </row>
        <row r="4790">
          <cell r="A4790" t="str">
            <v>M2</v>
          </cell>
          <cell r="B4790" t="str">
            <v>A5C</v>
          </cell>
          <cell r="C4790" t="str">
            <v>P</v>
          </cell>
          <cell r="D4790" t="str">
            <v>23039</v>
          </cell>
          <cell r="E4790" t="str">
            <v>BALL VA</v>
          </cell>
          <cell r="F4790">
            <v>6</v>
          </cell>
          <cell r="G4790" t="str">
            <v>VB8010600001H00</v>
          </cell>
          <cell r="H4790">
            <v>1.5</v>
          </cell>
          <cell r="I4790" t="str">
            <v>--</v>
          </cell>
          <cell r="J4790">
            <v>2</v>
          </cell>
          <cell r="K4790">
            <v>2</v>
          </cell>
        </row>
        <row r="4791">
          <cell r="A4791" t="str">
            <v>M2</v>
          </cell>
          <cell r="B4791" t="str">
            <v>A5C</v>
          </cell>
          <cell r="C4791" t="str">
            <v>P</v>
          </cell>
          <cell r="D4791" t="str">
            <v>23039</v>
          </cell>
          <cell r="E4791" t="str">
            <v>BALL VA</v>
          </cell>
          <cell r="F4791">
            <v>6</v>
          </cell>
          <cell r="G4791" t="str">
            <v>VB8010600001H00</v>
          </cell>
          <cell r="H4791">
            <v>1.5</v>
          </cell>
          <cell r="I4791" t="str">
            <v>--</v>
          </cell>
          <cell r="J4791">
            <v>2</v>
          </cell>
          <cell r="K4791">
            <v>2</v>
          </cell>
        </row>
        <row r="4792">
          <cell r="A4792" t="str">
            <v>M2</v>
          </cell>
          <cell r="B4792" t="str">
            <v>A5C</v>
          </cell>
          <cell r="C4792" t="str">
            <v>P</v>
          </cell>
          <cell r="D4792" t="str">
            <v>23077</v>
          </cell>
          <cell r="E4792" t="str">
            <v>BALL VA</v>
          </cell>
          <cell r="F4792">
            <v>6</v>
          </cell>
          <cell r="G4792" t="str">
            <v>VB8010600001H00</v>
          </cell>
          <cell r="H4792">
            <v>1.5</v>
          </cell>
          <cell r="I4792" t="str">
            <v>--</v>
          </cell>
          <cell r="J4792">
            <v>2</v>
          </cell>
          <cell r="K4792">
            <v>2</v>
          </cell>
        </row>
        <row r="4793">
          <cell r="A4793" t="str">
            <v>M2</v>
          </cell>
          <cell r="B4793" t="str">
            <v>A5C</v>
          </cell>
          <cell r="C4793" t="str">
            <v>P</v>
          </cell>
          <cell r="D4793" t="str">
            <v>23216</v>
          </cell>
          <cell r="E4793" t="str">
            <v>BALL VA</v>
          </cell>
          <cell r="F4793">
            <v>6</v>
          </cell>
          <cell r="G4793" t="str">
            <v>VB8010600001H00</v>
          </cell>
          <cell r="H4793">
            <v>1.5</v>
          </cell>
          <cell r="I4793" t="str">
            <v>--</v>
          </cell>
          <cell r="J4793">
            <v>1</v>
          </cell>
          <cell r="K4793">
            <v>1</v>
          </cell>
        </row>
        <row r="4794">
          <cell r="A4794" t="str">
            <v>M2</v>
          </cell>
          <cell r="B4794" t="str">
            <v>A5C</v>
          </cell>
          <cell r="C4794" t="str">
            <v>P</v>
          </cell>
          <cell r="D4794" t="str">
            <v>23218</v>
          </cell>
          <cell r="E4794" t="str">
            <v>BALL VA</v>
          </cell>
          <cell r="F4794">
            <v>6</v>
          </cell>
          <cell r="G4794" t="str">
            <v>VB8010600001H00</v>
          </cell>
          <cell r="H4794">
            <v>1.5</v>
          </cell>
          <cell r="I4794" t="str">
            <v>--</v>
          </cell>
          <cell r="J4794">
            <v>1</v>
          </cell>
          <cell r="K4794">
            <v>1</v>
          </cell>
        </row>
        <row r="4795">
          <cell r="A4795" t="str">
            <v>M2</v>
          </cell>
          <cell r="B4795" t="str">
            <v>A5C</v>
          </cell>
          <cell r="C4795" t="str">
            <v>P</v>
          </cell>
          <cell r="D4795" t="str">
            <v>23222</v>
          </cell>
          <cell r="E4795" t="str">
            <v>BALL VA</v>
          </cell>
          <cell r="F4795">
            <v>6</v>
          </cell>
          <cell r="G4795" t="str">
            <v>VB8010600001H00</v>
          </cell>
          <cell r="H4795">
            <v>1.5</v>
          </cell>
          <cell r="I4795" t="str">
            <v>--</v>
          </cell>
          <cell r="J4795">
            <v>1</v>
          </cell>
          <cell r="K4795">
            <v>1</v>
          </cell>
        </row>
        <row r="4796">
          <cell r="A4796" t="str">
            <v>M2</v>
          </cell>
          <cell r="B4796" t="str">
            <v>A5C</v>
          </cell>
          <cell r="C4796" t="str">
            <v>P</v>
          </cell>
          <cell r="D4796" t="str">
            <v>23242</v>
          </cell>
          <cell r="E4796" t="str">
            <v>BALL VA</v>
          </cell>
          <cell r="F4796">
            <v>6</v>
          </cell>
          <cell r="G4796" t="str">
            <v>VB8010600001H00</v>
          </cell>
          <cell r="H4796">
            <v>1.5</v>
          </cell>
          <cell r="I4796" t="str">
            <v>--</v>
          </cell>
          <cell r="J4796">
            <v>1</v>
          </cell>
          <cell r="K4796">
            <v>1</v>
          </cell>
        </row>
        <row r="4797">
          <cell r="A4797" t="str">
            <v>M2</v>
          </cell>
          <cell r="B4797" t="str">
            <v>A5C</v>
          </cell>
          <cell r="C4797" t="str">
            <v>TRIM</v>
          </cell>
          <cell r="D4797" t="str">
            <v>C-2304</v>
          </cell>
          <cell r="E4797" t="str">
            <v>BALL VA</v>
          </cell>
          <cell r="F4797">
            <v>6</v>
          </cell>
          <cell r="G4797" t="str">
            <v>VB8010600001H00</v>
          </cell>
          <cell r="H4797">
            <v>1.5</v>
          </cell>
          <cell r="I4797" t="str">
            <v>--</v>
          </cell>
          <cell r="J4797">
            <v>2</v>
          </cell>
          <cell r="K4797">
            <v>2</v>
          </cell>
        </row>
        <row r="4798">
          <cell r="A4798" t="str">
            <v>M2</v>
          </cell>
          <cell r="B4798" t="str">
            <v>A5C</v>
          </cell>
          <cell r="C4798" t="str">
            <v>TRIM</v>
          </cell>
          <cell r="D4798" t="str">
            <v>C-2305</v>
          </cell>
          <cell r="E4798" t="str">
            <v>BALL VA</v>
          </cell>
          <cell r="F4798">
            <v>6</v>
          </cell>
          <cell r="G4798" t="str">
            <v>VB8010600001H00</v>
          </cell>
          <cell r="H4798">
            <v>1.5</v>
          </cell>
          <cell r="I4798" t="str">
            <v>--</v>
          </cell>
          <cell r="J4798">
            <v>2</v>
          </cell>
          <cell r="K4798">
            <v>2</v>
          </cell>
        </row>
        <row r="4799">
          <cell r="A4799" t="str">
            <v>M2</v>
          </cell>
          <cell r="B4799" t="str">
            <v>A5C</v>
          </cell>
          <cell r="C4799" t="str">
            <v>TRIM</v>
          </cell>
          <cell r="D4799" t="str">
            <v>C-2306</v>
          </cell>
          <cell r="E4799" t="str">
            <v>BALL VA</v>
          </cell>
          <cell r="F4799">
            <v>6</v>
          </cell>
          <cell r="G4799" t="str">
            <v>VB8010600001H00</v>
          </cell>
          <cell r="H4799">
            <v>1.5</v>
          </cell>
          <cell r="I4799" t="str">
            <v>--</v>
          </cell>
          <cell r="J4799">
            <v>2</v>
          </cell>
          <cell r="K4799">
            <v>2</v>
          </cell>
        </row>
        <row r="4800">
          <cell r="A4800" t="str">
            <v>M2</v>
          </cell>
          <cell r="B4800" t="str">
            <v>A5C</v>
          </cell>
          <cell r="C4800" t="str">
            <v>TRIM</v>
          </cell>
          <cell r="D4800" t="str">
            <v>V-2302</v>
          </cell>
          <cell r="E4800" t="str">
            <v>BALL VA</v>
          </cell>
          <cell r="F4800">
            <v>6</v>
          </cell>
          <cell r="G4800" t="str">
            <v>VB8010600001H00</v>
          </cell>
          <cell r="H4800">
            <v>1.5</v>
          </cell>
          <cell r="I4800" t="str">
            <v>--</v>
          </cell>
          <cell r="J4800">
            <v>2</v>
          </cell>
          <cell r="K4800">
            <v>2</v>
          </cell>
        </row>
        <row r="4801">
          <cell r="A4801" t="str">
            <v>M2</v>
          </cell>
          <cell r="B4801" t="str">
            <v>A5C</v>
          </cell>
          <cell r="C4801" t="str">
            <v>TRIM</v>
          </cell>
          <cell r="D4801" t="str">
            <v>V-2306</v>
          </cell>
          <cell r="E4801" t="str">
            <v>BALL VA</v>
          </cell>
          <cell r="F4801">
            <v>6</v>
          </cell>
          <cell r="G4801" t="str">
            <v>VB8010600001H00</v>
          </cell>
          <cell r="H4801">
            <v>1.5</v>
          </cell>
          <cell r="I4801" t="str">
            <v>--</v>
          </cell>
          <cell r="J4801">
            <v>2</v>
          </cell>
          <cell r="K4801">
            <v>2</v>
          </cell>
        </row>
        <row r="4802">
          <cell r="A4802" t="str">
            <v>M2</v>
          </cell>
          <cell r="B4802" t="str">
            <v>A5C</v>
          </cell>
          <cell r="C4802" t="str">
            <v>TRIM</v>
          </cell>
          <cell r="D4802" t="str">
            <v>V-2308</v>
          </cell>
          <cell r="E4802" t="str">
            <v>BALL VA</v>
          </cell>
          <cell r="F4802">
            <v>6</v>
          </cell>
          <cell r="G4802" t="str">
            <v>VB8010600001H00</v>
          </cell>
          <cell r="H4802">
            <v>1.5</v>
          </cell>
          <cell r="I4802" t="str">
            <v>--</v>
          </cell>
          <cell r="J4802">
            <v>2</v>
          </cell>
          <cell r="K4802">
            <v>2</v>
          </cell>
        </row>
        <row r="4803">
          <cell r="A4803" t="str">
            <v>M2</v>
          </cell>
          <cell r="B4803" t="str">
            <v>A5C</v>
          </cell>
          <cell r="C4803" t="str">
            <v>TRIM</v>
          </cell>
          <cell r="D4803" t="str">
            <v>V-2310</v>
          </cell>
          <cell r="E4803" t="str">
            <v>BALL VA</v>
          </cell>
          <cell r="F4803">
            <v>6</v>
          </cell>
          <cell r="G4803" t="str">
            <v>VB8010600001H00</v>
          </cell>
          <cell r="H4803">
            <v>1.5</v>
          </cell>
          <cell r="I4803" t="str">
            <v>--</v>
          </cell>
          <cell r="J4803">
            <v>2</v>
          </cell>
          <cell r="K4803">
            <v>2</v>
          </cell>
        </row>
        <row r="4804">
          <cell r="A4804" t="str">
            <v>M2</v>
          </cell>
          <cell r="B4804" t="str">
            <v>A5C</v>
          </cell>
          <cell r="C4804" t="str">
            <v>TRIM</v>
          </cell>
          <cell r="D4804" t="str">
            <v>V-2313</v>
          </cell>
          <cell r="E4804" t="str">
            <v>BALL VA</v>
          </cell>
          <cell r="F4804">
            <v>6</v>
          </cell>
          <cell r="G4804" t="str">
            <v>VB8010600001H00</v>
          </cell>
          <cell r="H4804">
            <v>1.5</v>
          </cell>
          <cell r="I4804" t="str">
            <v>--</v>
          </cell>
          <cell r="J4804">
            <v>2</v>
          </cell>
          <cell r="K4804">
            <v>2</v>
          </cell>
        </row>
        <row r="4805">
          <cell r="A4805" t="str">
            <v>M2</v>
          </cell>
          <cell r="B4805" t="str">
            <v>A5C</v>
          </cell>
          <cell r="C4805" t="str">
            <v>P</v>
          </cell>
          <cell r="D4805" t="str">
            <v>23033</v>
          </cell>
          <cell r="E4805" t="str">
            <v>BALL VA</v>
          </cell>
          <cell r="F4805">
            <v>6</v>
          </cell>
          <cell r="G4805" t="str">
            <v>VB8010600001H00</v>
          </cell>
          <cell r="H4805">
            <v>1.5</v>
          </cell>
          <cell r="I4805" t="str">
            <v>--</v>
          </cell>
          <cell r="J4805">
            <v>2</v>
          </cell>
          <cell r="K4805">
            <v>2</v>
          </cell>
        </row>
        <row r="4806">
          <cell r="A4806" t="str">
            <v>M2</v>
          </cell>
          <cell r="B4806" t="str">
            <v>A5C</v>
          </cell>
          <cell r="C4806" t="str">
            <v>P</v>
          </cell>
          <cell r="D4806" t="str">
            <v>23033</v>
          </cell>
          <cell r="E4806" t="str">
            <v>BALL VA</v>
          </cell>
          <cell r="F4806">
            <v>6</v>
          </cell>
          <cell r="G4806" t="str">
            <v>VB8010600001H00</v>
          </cell>
          <cell r="H4806">
            <v>1.5</v>
          </cell>
          <cell r="I4806" t="str">
            <v>--</v>
          </cell>
          <cell r="J4806">
            <v>1</v>
          </cell>
          <cell r="K4806">
            <v>1</v>
          </cell>
        </row>
        <row r="4807">
          <cell r="A4807" t="str">
            <v>M2</v>
          </cell>
          <cell r="B4807" t="str">
            <v>A5C</v>
          </cell>
          <cell r="C4807" t="str">
            <v>P</v>
          </cell>
          <cell r="D4807" t="str">
            <v>23044</v>
          </cell>
          <cell r="E4807" t="str">
            <v>BALL VA</v>
          </cell>
          <cell r="F4807">
            <v>6</v>
          </cell>
          <cell r="G4807" t="str">
            <v>VB8010600001H00</v>
          </cell>
          <cell r="H4807">
            <v>1.5</v>
          </cell>
          <cell r="I4807" t="str">
            <v>--</v>
          </cell>
          <cell r="J4807">
            <v>2</v>
          </cell>
          <cell r="K4807">
            <v>2</v>
          </cell>
        </row>
        <row r="4808">
          <cell r="A4808" t="str">
            <v>M2</v>
          </cell>
          <cell r="B4808" t="str">
            <v>A5C</v>
          </cell>
          <cell r="C4808" t="str">
            <v>P</v>
          </cell>
          <cell r="D4808" t="str">
            <v>23170</v>
          </cell>
          <cell r="E4808" t="str">
            <v>BALL VA</v>
          </cell>
          <cell r="F4808">
            <v>6</v>
          </cell>
          <cell r="G4808" t="str">
            <v>VB8010600001H00</v>
          </cell>
          <cell r="H4808">
            <v>1.5</v>
          </cell>
          <cell r="I4808" t="str">
            <v>--</v>
          </cell>
          <cell r="J4808">
            <v>3</v>
          </cell>
          <cell r="K4808">
            <v>3</v>
          </cell>
        </row>
        <row r="4809">
          <cell r="A4809" t="str">
            <v>M2</v>
          </cell>
          <cell r="B4809" t="str">
            <v>A5C</v>
          </cell>
          <cell r="C4809" t="str">
            <v>TRIM</v>
          </cell>
          <cell r="D4809" t="str">
            <v>C-2303</v>
          </cell>
          <cell r="E4809" t="str">
            <v>BALL VA</v>
          </cell>
          <cell r="F4809">
            <v>6</v>
          </cell>
          <cell r="G4809" t="str">
            <v>VB8010600001H00</v>
          </cell>
          <cell r="H4809">
            <v>1.5</v>
          </cell>
          <cell r="I4809" t="str">
            <v>--</v>
          </cell>
          <cell r="J4809">
            <v>2</v>
          </cell>
          <cell r="K4809">
            <v>2</v>
          </cell>
        </row>
        <row r="4810">
          <cell r="A4810" t="str">
            <v>M2</v>
          </cell>
          <cell r="B4810" t="str">
            <v>A5C</v>
          </cell>
          <cell r="C4810" t="str">
            <v>TRIM</v>
          </cell>
          <cell r="D4810" t="str">
            <v>V-2304</v>
          </cell>
          <cell r="E4810" t="str">
            <v>BALL VA</v>
          </cell>
          <cell r="F4810">
            <v>6</v>
          </cell>
          <cell r="G4810" t="str">
            <v>VB8010600001H00</v>
          </cell>
          <cell r="H4810">
            <v>1.5</v>
          </cell>
          <cell r="I4810" t="str">
            <v>--</v>
          </cell>
          <cell r="J4810">
            <v>2</v>
          </cell>
          <cell r="K4810">
            <v>2</v>
          </cell>
        </row>
        <row r="4811">
          <cell r="A4811" t="str">
            <v>M2</v>
          </cell>
          <cell r="B4811" t="str">
            <v>A5C</v>
          </cell>
          <cell r="C4811" t="str">
            <v>P</v>
          </cell>
          <cell r="D4811" t="str">
            <v>23033</v>
          </cell>
          <cell r="E4811" t="str">
            <v>CHECK VA</v>
          </cell>
          <cell r="F4811">
            <v>6</v>
          </cell>
          <cell r="G4811" t="str">
            <v>VCB8010400001H00</v>
          </cell>
          <cell r="H4811">
            <v>1.5</v>
          </cell>
          <cell r="I4811" t="str">
            <v>--</v>
          </cell>
          <cell r="J4811">
            <v>2</v>
          </cell>
          <cell r="K4811">
            <v>2</v>
          </cell>
        </row>
        <row r="4812">
          <cell r="A4812" t="str">
            <v>M2</v>
          </cell>
          <cell r="B4812" t="str">
            <v>A5C</v>
          </cell>
          <cell r="C4812" t="str">
            <v>P</v>
          </cell>
          <cell r="D4812" t="str">
            <v>23039</v>
          </cell>
          <cell r="E4812" t="str">
            <v>CHECK VA</v>
          </cell>
          <cell r="F4812">
            <v>6</v>
          </cell>
          <cell r="G4812" t="str">
            <v>VCB8010400001H00</v>
          </cell>
          <cell r="H4812">
            <v>1.5</v>
          </cell>
          <cell r="I4812" t="str">
            <v>--</v>
          </cell>
          <cell r="J4812">
            <v>2</v>
          </cell>
          <cell r="K4812">
            <v>2</v>
          </cell>
        </row>
        <row r="4813">
          <cell r="A4813" t="str">
            <v>M2</v>
          </cell>
          <cell r="B4813" t="str">
            <v>A5C</v>
          </cell>
          <cell r="C4813" t="str">
            <v>P</v>
          </cell>
          <cell r="D4813" t="str">
            <v>23020</v>
          </cell>
          <cell r="E4813" t="str">
            <v>GLOBE VA</v>
          </cell>
          <cell r="F4813">
            <v>6</v>
          </cell>
          <cell r="G4813" t="str">
            <v>VL8010100001H00</v>
          </cell>
          <cell r="H4813">
            <v>1.5</v>
          </cell>
          <cell r="I4813" t="str">
            <v>--</v>
          </cell>
          <cell r="J4813">
            <v>1</v>
          </cell>
          <cell r="K4813">
            <v>1</v>
          </cell>
        </row>
        <row r="4814">
          <cell r="A4814" t="str">
            <v>M2</v>
          </cell>
          <cell r="B4814" t="str">
            <v>A5C</v>
          </cell>
          <cell r="C4814" t="str">
            <v>P</v>
          </cell>
          <cell r="D4814" t="str">
            <v>23220</v>
          </cell>
          <cell r="E4814" t="str">
            <v>GLOBE VA</v>
          </cell>
          <cell r="F4814">
            <v>6</v>
          </cell>
          <cell r="G4814" t="str">
            <v>VL8010100001H00</v>
          </cell>
          <cell r="H4814">
            <v>1.5</v>
          </cell>
          <cell r="I4814" t="str">
            <v>--</v>
          </cell>
          <cell r="J4814">
            <v>1</v>
          </cell>
          <cell r="K4814">
            <v>1</v>
          </cell>
        </row>
        <row r="4815">
          <cell r="A4815" t="str">
            <v>M2</v>
          </cell>
          <cell r="B4815" t="str">
            <v>A5C</v>
          </cell>
          <cell r="C4815" t="str">
            <v>P</v>
          </cell>
          <cell r="D4815" t="str">
            <v>23054</v>
          </cell>
          <cell r="E4815" t="str">
            <v>GLOBE VA</v>
          </cell>
          <cell r="F4815">
            <v>6</v>
          </cell>
          <cell r="G4815" t="str">
            <v>VL8010100001H00</v>
          </cell>
          <cell r="H4815">
            <v>1.5</v>
          </cell>
          <cell r="I4815" t="str">
            <v>--</v>
          </cell>
          <cell r="J4815">
            <v>1</v>
          </cell>
          <cell r="K4815">
            <v>1</v>
          </cell>
        </row>
        <row r="4816">
          <cell r="A4816" t="str">
            <v>M2</v>
          </cell>
          <cell r="B4816" t="str">
            <v>A5C</v>
          </cell>
          <cell r="C4816" t="str">
            <v>P</v>
          </cell>
          <cell r="D4816" t="str">
            <v>23243</v>
          </cell>
          <cell r="E4816" t="str">
            <v>GLOBE VA</v>
          </cell>
          <cell r="F4816">
            <v>6</v>
          </cell>
          <cell r="G4816" t="str">
            <v>VL8010100001H00</v>
          </cell>
          <cell r="H4816">
            <v>1.5</v>
          </cell>
          <cell r="I4816" t="str">
            <v>--</v>
          </cell>
          <cell r="J4816">
            <v>1</v>
          </cell>
          <cell r="K4816">
            <v>1</v>
          </cell>
        </row>
        <row r="4817">
          <cell r="A4817" t="str">
            <v>M2</v>
          </cell>
          <cell r="B4817" t="str">
            <v>A5C</v>
          </cell>
          <cell r="C4817" t="str">
            <v>P</v>
          </cell>
          <cell r="D4817" t="str">
            <v>23009</v>
          </cell>
          <cell r="E4817" t="str">
            <v>BALL VA</v>
          </cell>
          <cell r="F4817">
            <v>6</v>
          </cell>
          <cell r="G4817" t="str">
            <v>VB8010600001H00</v>
          </cell>
          <cell r="H4817">
            <v>1.5</v>
          </cell>
          <cell r="I4817" t="str">
            <v>--</v>
          </cell>
          <cell r="J4817">
            <v>2</v>
          </cell>
          <cell r="K4817">
            <v>2</v>
          </cell>
        </row>
        <row r="4818">
          <cell r="A4818" t="str">
            <v>M2</v>
          </cell>
          <cell r="B4818" t="str">
            <v>A5C</v>
          </cell>
          <cell r="C4818" t="str">
            <v>P</v>
          </cell>
          <cell r="D4818" t="str">
            <v>24001</v>
          </cell>
          <cell r="E4818" t="str">
            <v>BALL VA</v>
          </cell>
          <cell r="F4818">
            <v>6</v>
          </cell>
          <cell r="G4818" t="str">
            <v>VB8010600001H00</v>
          </cell>
          <cell r="H4818">
            <v>1.5</v>
          </cell>
          <cell r="I4818" t="str">
            <v>--</v>
          </cell>
          <cell r="J4818">
            <v>2</v>
          </cell>
          <cell r="K4818">
            <v>2</v>
          </cell>
        </row>
        <row r="4819">
          <cell r="A4819" t="str">
            <v>M2</v>
          </cell>
          <cell r="B4819" t="str">
            <v>A5C</v>
          </cell>
          <cell r="C4819" t="str">
            <v>TRIM</v>
          </cell>
          <cell r="D4819" t="str">
            <v>C-2301</v>
          </cell>
          <cell r="E4819" t="str">
            <v>BALL VA</v>
          </cell>
          <cell r="F4819">
            <v>6</v>
          </cell>
          <cell r="G4819" t="str">
            <v>VB8010600001H00</v>
          </cell>
          <cell r="H4819">
            <v>1.5</v>
          </cell>
          <cell r="I4819" t="str">
            <v>--</v>
          </cell>
          <cell r="J4819">
            <v>2</v>
          </cell>
          <cell r="K4819">
            <v>2</v>
          </cell>
        </row>
        <row r="4820">
          <cell r="A4820" t="str">
            <v>M2</v>
          </cell>
          <cell r="B4820" t="str">
            <v>A5C</v>
          </cell>
          <cell r="C4820" t="str">
            <v>P</v>
          </cell>
          <cell r="D4820" t="str">
            <v>24012</v>
          </cell>
          <cell r="E4820" t="str">
            <v>BALL VA</v>
          </cell>
          <cell r="F4820">
            <v>6</v>
          </cell>
          <cell r="G4820" t="str">
            <v>VB8010600001H00</v>
          </cell>
          <cell r="H4820">
            <v>1.5</v>
          </cell>
          <cell r="I4820" t="str">
            <v>--</v>
          </cell>
          <cell r="J4820">
            <v>1</v>
          </cell>
          <cell r="K4820">
            <v>1</v>
          </cell>
        </row>
        <row r="4821">
          <cell r="A4821" t="str">
            <v>M2</v>
          </cell>
          <cell r="B4821" t="str">
            <v>B2C</v>
          </cell>
          <cell r="C4821" t="str">
            <v>SCL</v>
          </cell>
          <cell r="D4821" t="str">
            <v>TRAP</v>
          </cell>
          <cell r="E4821" t="str">
            <v>STEAM TRAP</v>
          </cell>
          <cell r="F4821">
            <v>7</v>
          </cell>
          <cell r="G4821" t="str">
            <v>SP-05-100000T00</v>
          </cell>
          <cell r="H4821">
            <v>0.75</v>
          </cell>
          <cell r="I4821" t="str">
            <v>--</v>
          </cell>
          <cell r="J4821">
            <v>2</v>
          </cell>
          <cell r="K4821">
            <v>2</v>
          </cell>
        </row>
        <row r="4822">
          <cell r="A4822" t="str">
            <v>M2</v>
          </cell>
          <cell r="B4822" t="str">
            <v>B2C</v>
          </cell>
          <cell r="C4822" t="str">
            <v>SCH</v>
          </cell>
          <cell r="D4822" t="str">
            <v>23613</v>
          </cell>
          <cell r="E4822" t="str">
            <v>STEAM TRAP</v>
          </cell>
          <cell r="F4822">
            <v>7</v>
          </cell>
          <cell r="G4822" t="str">
            <v>SP-05-100000T00</v>
          </cell>
          <cell r="H4822">
            <v>0.75</v>
          </cell>
          <cell r="I4822" t="str">
            <v>--</v>
          </cell>
          <cell r="J4822">
            <v>1</v>
          </cell>
          <cell r="K4822">
            <v>1</v>
          </cell>
        </row>
        <row r="4823">
          <cell r="A4823" t="str">
            <v>M2</v>
          </cell>
          <cell r="B4823" t="str">
            <v>A5C</v>
          </cell>
          <cell r="C4823" t="str">
            <v>P</v>
          </cell>
          <cell r="D4823" t="str">
            <v>24007</v>
          </cell>
          <cell r="E4823" t="str">
            <v>T-STR</v>
          </cell>
          <cell r="F4823">
            <v>7</v>
          </cell>
          <cell r="G4823" t="str">
            <v>SP-07-108000100</v>
          </cell>
          <cell r="H4823">
            <v>1</v>
          </cell>
          <cell r="I4823" t="str">
            <v>--</v>
          </cell>
          <cell r="J4823">
            <v>1</v>
          </cell>
          <cell r="K4823">
            <v>1</v>
          </cell>
        </row>
        <row r="4824">
          <cell r="A4824" t="str">
            <v>M2</v>
          </cell>
          <cell r="B4824" t="str">
            <v>A5C</v>
          </cell>
          <cell r="C4824" t="str">
            <v>P</v>
          </cell>
          <cell r="D4824" t="str">
            <v>24025</v>
          </cell>
          <cell r="E4824" t="str">
            <v>Y-STR</v>
          </cell>
          <cell r="F4824">
            <v>7</v>
          </cell>
          <cell r="G4824" t="str">
            <v>SP-06-100000100</v>
          </cell>
          <cell r="H4824">
            <v>1</v>
          </cell>
          <cell r="I4824" t="str">
            <v>--</v>
          </cell>
          <cell r="J4824">
            <v>2</v>
          </cell>
          <cell r="K4824">
            <v>2</v>
          </cell>
        </row>
        <row r="4825">
          <cell r="A4825" t="str">
            <v>M2</v>
          </cell>
          <cell r="B4825" t="str">
            <v>A5C</v>
          </cell>
          <cell r="C4825" t="str">
            <v>P</v>
          </cell>
          <cell r="D4825" t="str">
            <v>23070</v>
          </cell>
          <cell r="E4825" t="str">
            <v>T-STR</v>
          </cell>
          <cell r="F4825">
            <v>7</v>
          </cell>
          <cell r="G4825" t="str">
            <v>SP-07-108001H00</v>
          </cell>
          <cell r="H4825">
            <v>1.5</v>
          </cell>
          <cell r="I4825" t="str">
            <v>--</v>
          </cell>
          <cell r="J4825">
            <v>2</v>
          </cell>
          <cell r="K4825">
            <v>2</v>
          </cell>
        </row>
        <row r="4826">
          <cell r="A4826" t="str">
            <v>M2</v>
          </cell>
          <cell r="B4826" t="str">
            <v>A5C</v>
          </cell>
          <cell r="C4826" t="str">
            <v>P</v>
          </cell>
          <cell r="D4826" t="str">
            <v>23103</v>
          </cell>
          <cell r="E4826" t="str">
            <v>T-STR</v>
          </cell>
          <cell r="F4826">
            <v>7</v>
          </cell>
          <cell r="G4826" t="str">
            <v>SP-07-108001H00</v>
          </cell>
          <cell r="H4826">
            <v>1.5</v>
          </cell>
          <cell r="I4826" t="str">
            <v>--</v>
          </cell>
          <cell r="J4826">
            <v>2</v>
          </cell>
          <cell r="K4826">
            <v>2</v>
          </cell>
        </row>
        <row r="4827">
          <cell r="A4827" t="str">
            <v>M2</v>
          </cell>
          <cell r="B4827" t="str">
            <v>A5C</v>
          </cell>
          <cell r="C4827" t="str">
            <v>P</v>
          </cell>
          <cell r="D4827" t="str">
            <v>23143</v>
          </cell>
          <cell r="E4827" t="str">
            <v>T-STR</v>
          </cell>
          <cell r="F4827">
            <v>7</v>
          </cell>
          <cell r="G4827" t="str">
            <v>SP-07-108001H00</v>
          </cell>
          <cell r="H4827">
            <v>1.5</v>
          </cell>
          <cell r="I4827" t="str">
            <v>--</v>
          </cell>
          <cell r="J4827">
            <v>2</v>
          </cell>
          <cell r="K4827">
            <v>2</v>
          </cell>
        </row>
        <row r="4828">
          <cell r="A4828" t="str">
            <v>M2</v>
          </cell>
          <cell r="B4828" t="str">
            <v>A5C</v>
          </cell>
          <cell r="C4828" t="str">
            <v>P</v>
          </cell>
          <cell r="D4828" t="str">
            <v>23107</v>
          </cell>
          <cell r="E4828" t="str">
            <v>T-STR</v>
          </cell>
          <cell r="F4828">
            <v>7</v>
          </cell>
          <cell r="G4828" t="str">
            <v>SP-07-108001H00</v>
          </cell>
          <cell r="H4828">
            <v>1.5</v>
          </cell>
          <cell r="I4828" t="str">
            <v>--</v>
          </cell>
          <cell r="J4828">
            <v>2</v>
          </cell>
          <cell r="K4828">
            <v>2</v>
          </cell>
        </row>
        <row r="4829">
          <cell r="A4829" t="str">
            <v>M2</v>
          </cell>
          <cell r="B4829" t="str">
            <v>A5C</v>
          </cell>
          <cell r="C4829" t="str">
            <v>P</v>
          </cell>
          <cell r="D4829" t="str">
            <v>23111</v>
          </cell>
          <cell r="E4829" t="str">
            <v>T-STR</v>
          </cell>
          <cell r="F4829">
            <v>7</v>
          </cell>
          <cell r="G4829" t="str">
            <v>SP-07-108001H00</v>
          </cell>
          <cell r="H4829">
            <v>1.5</v>
          </cell>
          <cell r="I4829" t="str">
            <v>--</v>
          </cell>
          <cell r="J4829">
            <v>2</v>
          </cell>
          <cell r="K4829">
            <v>2</v>
          </cell>
        </row>
        <row r="4830">
          <cell r="A4830" t="str">
            <v>M2</v>
          </cell>
          <cell r="B4830" t="str">
            <v>A5C</v>
          </cell>
          <cell r="C4830" t="str">
            <v>P</v>
          </cell>
          <cell r="D4830" t="str">
            <v>23147</v>
          </cell>
          <cell r="E4830" t="str">
            <v>T-STR</v>
          </cell>
          <cell r="F4830">
            <v>7</v>
          </cell>
          <cell r="G4830" t="str">
            <v>SP-07-108001H00</v>
          </cell>
          <cell r="H4830">
            <v>1.5</v>
          </cell>
          <cell r="I4830" t="str">
            <v>--</v>
          </cell>
          <cell r="J4830">
            <v>2</v>
          </cell>
          <cell r="K4830">
            <v>2</v>
          </cell>
        </row>
        <row r="4831">
          <cell r="A4831" t="str">
            <v>M2</v>
          </cell>
          <cell r="B4831" t="str">
            <v>A5C</v>
          </cell>
          <cell r="C4831" t="str">
            <v>P</v>
          </cell>
          <cell r="D4831" t="str">
            <v>23055</v>
          </cell>
          <cell r="E4831" t="str">
            <v>T-STR</v>
          </cell>
          <cell r="F4831">
            <v>7</v>
          </cell>
          <cell r="G4831" t="str">
            <v>SP-07-108001H00</v>
          </cell>
          <cell r="H4831">
            <v>1.5</v>
          </cell>
          <cell r="I4831" t="str">
            <v>--</v>
          </cell>
          <cell r="J4831">
            <v>2</v>
          </cell>
          <cell r="K4831">
            <v>2</v>
          </cell>
        </row>
        <row r="4832">
          <cell r="A4832" t="str">
            <v>M2</v>
          </cell>
          <cell r="B4832" t="str">
            <v>A5C</v>
          </cell>
          <cell r="C4832" t="str">
            <v>P</v>
          </cell>
          <cell r="D4832" t="str">
            <v>23044</v>
          </cell>
          <cell r="E4832" t="str">
            <v>T-STR</v>
          </cell>
          <cell r="F4832">
            <v>7</v>
          </cell>
          <cell r="G4832" t="str">
            <v>SP-07-108001H00</v>
          </cell>
          <cell r="H4832">
            <v>1.5</v>
          </cell>
          <cell r="I4832" t="str">
            <v>--</v>
          </cell>
          <cell r="J4832">
            <v>2</v>
          </cell>
          <cell r="K4832">
            <v>2</v>
          </cell>
        </row>
        <row r="4833">
          <cell r="A4833" t="str">
            <v>M2</v>
          </cell>
          <cell r="B4833" t="str">
            <v>A5C</v>
          </cell>
          <cell r="C4833" t="str">
            <v>P</v>
          </cell>
          <cell r="D4833" t="str">
            <v>23077</v>
          </cell>
          <cell r="E4833" t="str">
            <v>T-STR</v>
          </cell>
          <cell r="F4833">
            <v>7</v>
          </cell>
          <cell r="G4833" t="str">
            <v>SP-07-108001H00</v>
          </cell>
          <cell r="H4833">
            <v>1.5</v>
          </cell>
          <cell r="I4833" t="str">
            <v>--</v>
          </cell>
          <cell r="J4833">
            <v>2</v>
          </cell>
          <cell r="K4833">
            <v>2</v>
          </cell>
        </row>
        <row r="4834">
          <cell r="A4834" t="str">
            <v>M2</v>
          </cell>
          <cell r="B4834" t="str">
            <v>A5C</v>
          </cell>
          <cell r="C4834" t="str">
            <v>P</v>
          </cell>
          <cell r="D4834" t="str">
            <v>23009</v>
          </cell>
          <cell r="E4834" t="str">
            <v>T-STR</v>
          </cell>
          <cell r="F4834">
            <v>7</v>
          </cell>
          <cell r="G4834" t="str">
            <v>SP-07-108001H00</v>
          </cell>
          <cell r="H4834">
            <v>1.5</v>
          </cell>
          <cell r="I4834" t="str">
            <v>--</v>
          </cell>
          <cell r="J4834">
            <v>2</v>
          </cell>
          <cell r="K4834">
            <v>2</v>
          </cell>
        </row>
        <row r="4835">
          <cell r="A4835" t="str">
            <v>M2</v>
          </cell>
          <cell r="B4835" t="str">
            <v>A5C</v>
          </cell>
          <cell r="C4835" t="str">
            <v>P</v>
          </cell>
          <cell r="D4835" t="str">
            <v>24001</v>
          </cell>
          <cell r="E4835" t="str">
            <v>Y-STR</v>
          </cell>
          <cell r="F4835">
            <v>7</v>
          </cell>
          <cell r="G4835" t="str">
            <v>SP-06-100001H00</v>
          </cell>
          <cell r="H4835">
            <v>1.5</v>
          </cell>
          <cell r="I4835" t="str">
            <v>--</v>
          </cell>
          <cell r="J4835">
            <v>2</v>
          </cell>
          <cell r="K4835">
            <v>2</v>
          </cell>
        </row>
        <row r="4836">
          <cell r="A4836" t="str">
            <v>MC</v>
          </cell>
          <cell r="B4836" t="str">
            <v>CA304</v>
          </cell>
          <cell r="C4836" t="str">
            <v>SC1</v>
          </cell>
          <cell r="D4836" t="str">
            <v>HOLD</v>
          </cell>
          <cell r="E4836" t="str">
            <v>PIPE</v>
          </cell>
          <cell r="F4836">
            <v>1</v>
          </cell>
          <cell r="G4836" t="str">
            <v>CB100508000H00</v>
          </cell>
          <cell r="H4836">
            <v>0.5</v>
          </cell>
          <cell r="I4836" t="str">
            <v>--</v>
          </cell>
          <cell r="J4836">
            <v>1.5</v>
          </cell>
          <cell r="K4836">
            <v>1.5</v>
          </cell>
        </row>
        <row r="4837">
          <cell r="A4837" t="str">
            <v>MC</v>
          </cell>
          <cell r="B4837" t="str">
            <v>CA304</v>
          </cell>
          <cell r="C4837" t="str">
            <v>SCC</v>
          </cell>
          <cell r="D4837" t="str">
            <v>HOLD</v>
          </cell>
          <cell r="E4837" t="str">
            <v>PIPE</v>
          </cell>
          <cell r="F4837">
            <v>1</v>
          </cell>
          <cell r="G4837" t="str">
            <v>CB100508000H00</v>
          </cell>
          <cell r="H4837">
            <v>0.5</v>
          </cell>
          <cell r="I4837" t="str">
            <v>--</v>
          </cell>
          <cell r="J4837">
            <v>4</v>
          </cell>
          <cell r="K4837">
            <v>4</v>
          </cell>
        </row>
        <row r="4838">
          <cell r="A4838" t="str">
            <v>MC</v>
          </cell>
          <cell r="B4838" t="str">
            <v>CA304</v>
          </cell>
          <cell r="C4838" t="str">
            <v>MC</v>
          </cell>
          <cell r="D4838" t="str">
            <v>HOLD</v>
          </cell>
          <cell r="E4838" t="str">
            <v>PIPE</v>
          </cell>
          <cell r="F4838">
            <v>1</v>
          </cell>
          <cell r="G4838" t="str">
            <v>CB100508000H00</v>
          </cell>
          <cell r="H4838">
            <v>0.5</v>
          </cell>
          <cell r="I4838" t="str">
            <v>--</v>
          </cell>
          <cell r="J4838">
            <v>12</v>
          </cell>
          <cell r="K4838">
            <v>12</v>
          </cell>
        </row>
        <row r="4839">
          <cell r="A4839" t="str">
            <v>MC</v>
          </cell>
          <cell r="B4839" t="str">
            <v>BA305</v>
          </cell>
          <cell r="C4839" t="str">
            <v>VNC</v>
          </cell>
          <cell r="D4839" t="str">
            <v>2016</v>
          </cell>
          <cell r="E4839" t="str">
            <v>PIPE</v>
          </cell>
          <cell r="F4839">
            <v>1</v>
          </cell>
          <cell r="G4839" t="str">
            <v>CB100508000T00</v>
          </cell>
          <cell r="H4839">
            <v>0.75</v>
          </cell>
          <cell r="I4839" t="str">
            <v>--</v>
          </cell>
          <cell r="J4839">
            <v>0.1</v>
          </cell>
          <cell r="K4839">
            <v>0.1</v>
          </cell>
        </row>
        <row r="4840">
          <cell r="A4840" t="str">
            <v>MC</v>
          </cell>
          <cell r="B4840" t="str">
            <v>CA304</v>
          </cell>
          <cell r="C4840" t="str">
            <v>TRIM</v>
          </cell>
          <cell r="D4840" t="str">
            <v>E-1260</v>
          </cell>
          <cell r="E4840" t="str">
            <v>PIPE</v>
          </cell>
          <cell r="F4840">
            <v>1</v>
          </cell>
          <cell r="G4840" t="str">
            <v>CB100508000T00</v>
          </cell>
          <cell r="H4840">
            <v>0.75</v>
          </cell>
          <cell r="I4840" t="str">
            <v>--</v>
          </cell>
          <cell r="J4840">
            <v>0.1</v>
          </cell>
          <cell r="K4840">
            <v>0.1</v>
          </cell>
        </row>
        <row r="4841">
          <cell r="A4841" t="str">
            <v>MC</v>
          </cell>
          <cell r="B4841" t="str">
            <v>CA304</v>
          </cell>
          <cell r="C4841" t="str">
            <v>MC</v>
          </cell>
          <cell r="D4841" t="str">
            <v>2412</v>
          </cell>
          <cell r="E4841" t="str">
            <v>PIPE</v>
          </cell>
          <cell r="F4841">
            <v>1</v>
          </cell>
          <cell r="G4841" t="str">
            <v>CB100508000T00</v>
          </cell>
          <cell r="H4841">
            <v>0.75</v>
          </cell>
          <cell r="I4841" t="str">
            <v>--</v>
          </cell>
          <cell r="J4841">
            <v>0.2</v>
          </cell>
          <cell r="K4841">
            <v>0.2</v>
          </cell>
        </row>
        <row r="4842">
          <cell r="A4842" t="str">
            <v>MC</v>
          </cell>
          <cell r="B4842" t="str">
            <v>CA304</v>
          </cell>
          <cell r="C4842" t="str">
            <v>MC</v>
          </cell>
          <cell r="D4842" t="str">
            <v>2505</v>
          </cell>
          <cell r="E4842" t="str">
            <v>PIPE</v>
          </cell>
          <cell r="F4842">
            <v>1</v>
          </cell>
          <cell r="G4842" t="str">
            <v>CB100508000T00</v>
          </cell>
          <cell r="H4842">
            <v>0.75</v>
          </cell>
          <cell r="I4842" t="str">
            <v>--</v>
          </cell>
          <cell r="J4842">
            <v>0.2</v>
          </cell>
          <cell r="K4842">
            <v>0.2</v>
          </cell>
        </row>
        <row r="4843">
          <cell r="A4843" t="str">
            <v>MC</v>
          </cell>
          <cell r="B4843" t="str">
            <v>CA304</v>
          </cell>
          <cell r="C4843" t="str">
            <v>MC</v>
          </cell>
          <cell r="D4843" t="str">
            <v>2601</v>
          </cell>
          <cell r="E4843" t="str">
            <v>PIPE</v>
          </cell>
          <cell r="F4843">
            <v>1</v>
          </cell>
          <cell r="G4843" t="str">
            <v>CB100508000T00</v>
          </cell>
          <cell r="H4843">
            <v>0.75</v>
          </cell>
          <cell r="I4843" t="str">
            <v>--</v>
          </cell>
          <cell r="J4843">
            <v>0.2</v>
          </cell>
          <cell r="K4843">
            <v>0.2</v>
          </cell>
        </row>
        <row r="4844">
          <cell r="A4844" t="str">
            <v>MC</v>
          </cell>
          <cell r="B4844" t="str">
            <v>CA304</v>
          </cell>
          <cell r="C4844" t="str">
            <v>MC</v>
          </cell>
          <cell r="D4844" t="str">
            <v>2502</v>
          </cell>
          <cell r="E4844" t="str">
            <v>PIPE</v>
          </cell>
          <cell r="F4844">
            <v>1</v>
          </cell>
          <cell r="G4844" t="str">
            <v>CB100508000T00</v>
          </cell>
          <cell r="H4844">
            <v>0.75</v>
          </cell>
          <cell r="I4844" t="str">
            <v>--</v>
          </cell>
          <cell r="J4844">
            <v>0.2</v>
          </cell>
          <cell r="K4844">
            <v>0.2</v>
          </cell>
        </row>
        <row r="4845">
          <cell r="A4845" t="str">
            <v>MC</v>
          </cell>
          <cell r="B4845" t="str">
            <v>CA304</v>
          </cell>
          <cell r="C4845" t="str">
            <v>MC</v>
          </cell>
          <cell r="D4845" t="str">
            <v>2502</v>
          </cell>
          <cell r="E4845" t="str">
            <v>PIPE</v>
          </cell>
          <cell r="F4845">
            <v>1</v>
          </cell>
          <cell r="G4845" t="str">
            <v>CB100508000T00</v>
          </cell>
          <cell r="H4845">
            <v>0.75</v>
          </cell>
          <cell r="I4845" t="str">
            <v>--</v>
          </cell>
          <cell r="J4845">
            <v>0.2</v>
          </cell>
          <cell r="K4845">
            <v>0.2</v>
          </cell>
        </row>
        <row r="4846">
          <cell r="A4846" t="str">
            <v>MC</v>
          </cell>
          <cell r="B4846" t="str">
            <v>CA304</v>
          </cell>
          <cell r="C4846" t="str">
            <v>TRIM</v>
          </cell>
          <cell r="D4846" t="str">
            <v>V-1260A/B</v>
          </cell>
          <cell r="E4846" t="str">
            <v>PIPE</v>
          </cell>
          <cell r="F4846">
            <v>1</v>
          </cell>
          <cell r="G4846" t="str">
            <v>CB100508000T00</v>
          </cell>
          <cell r="H4846">
            <v>0.75</v>
          </cell>
          <cell r="I4846" t="str">
            <v>--</v>
          </cell>
          <cell r="J4846">
            <v>0.3</v>
          </cell>
          <cell r="K4846">
            <v>0.3</v>
          </cell>
        </row>
        <row r="4847">
          <cell r="A4847" t="str">
            <v>MC</v>
          </cell>
          <cell r="B4847" t="str">
            <v>B2C</v>
          </cell>
          <cell r="C4847" t="str">
            <v>SH</v>
          </cell>
          <cell r="D4847" t="str">
            <v>1360</v>
          </cell>
          <cell r="E4847" t="str">
            <v>PIPE</v>
          </cell>
          <cell r="F4847">
            <v>1</v>
          </cell>
          <cell r="G4847" t="str">
            <v>CB100508000T00</v>
          </cell>
          <cell r="H4847">
            <v>0.75</v>
          </cell>
          <cell r="I4847" t="str">
            <v>--</v>
          </cell>
          <cell r="J4847">
            <v>0.5</v>
          </cell>
          <cell r="K4847">
            <v>0.5</v>
          </cell>
        </row>
        <row r="4848">
          <cell r="A4848" t="str">
            <v>MC</v>
          </cell>
          <cell r="B4848" t="str">
            <v>B2C</v>
          </cell>
          <cell r="C4848" t="str">
            <v>SH</v>
          </cell>
          <cell r="D4848" t="str">
            <v>1260</v>
          </cell>
          <cell r="E4848" t="str">
            <v>PIPE</v>
          </cell>
          <cell r="F4848">
            <v>1</v>
          </cell>
          <cell r="G4848" t="str">
            <v>CB100508000T00</v>
          </cell>
          <cell r="H4848">
            <v>0.75</v>
          </cell>
          <cell r="I4848" t="str">
            <v>--</v>
          </cell>
          <cell r="J4848">
            <v>0.5</v>
          </cell>
          <cell r="K4848">
            <v>0.5</v>
          </cell>
        </row>
        <row r="4849">
          <cell r="A4849" t="str">
            <v>MC</v>
          </cell>
          <cell r="B4849" t="str">
            <v>B2C</v>
          </cell>
          <cell r="C4849" t="str">
            <v>SH</v>
          </cell>
          <cell r="D4849" t="str">
            <v>1460</v>
          </cell>
          <cell r="E4849" t="str">
            <v>PIPE</v>
          </cell>
          <cell r="F4849">
            <v>1</v>
          </cell>
          <cell r="G4849" t="str">
            <v>CB100508000T00</v>
          </cell>
          <cell r="H4849">
            <v>0.75</v>
          </cell>
          <cell r="I4849" t="str">
            <v>--</v>
          </cell>
          <cell r="J4849">
            <v>0.5</v>
          </cell>
          <cell r="K4849">
            <v>0.5</v>
          </cell>
        </row>
        <row r="4850">
          <cell r="A4850" t="str">
            <v>MC</v>
          </cell>
          <cell r="B4850" t="str">
            <v>CA307</v>
          </cell>
          <cell r="C4850" t="str">
            <v>HCL</v>
          </cell>
          <cell r="D4850" t="str">
            <v>1100</v>
          </cell>
          <cell r="E4850" t="str">
            <v>PIPE</v>
          </cell>
          <cell r="F4850">
            <v>1</v>
          </cell>
          <cell r="G4850" t="str">
            <v>CB100508000T00</v>
          </cell>
          <cell r="H4850">
            <v>0.75</v>
          </cell>
          <cell r="I4850" t="str">
            <v>--</v>
          </cell>
          <cell r="J4850">
            <v>0.5</v>
          </cell>
          <cell r="K4850">
            <v>0.5</v>
          </cell>
        </row>
        <row r="4851">
          <cell r="A4851" t="str">
            <v>MC</v>
          </cell>
          <cell r="B4851" t="str">
            <v>CA304</v>
          </cell>
          <cell r="C4851" t="str">
            <v>MC</v>
          </cell>
          <cell r="D4851" t="str">
            <v>2501</v>
          </cell>
          <cell r="E4851" t="str">
            <v>PIPE</v>
          </cell>
          <cell r="F4851">
            <v>1</v>
          </cell>
          <cell r="G4851" t="str">
            <v>CB100508000T00</v>
          </cell>
          <cell r="H4851">
            <v>0.75</v>
          </cell>
          <cell r="I4851" t="str">
            <v>--</v>
          </cell>
          <cell r="J4851">
            <v>0.5</v>
          </cell>
          <cell r="K4851">
            <v>0.5</v>
          </cell>
        </row>
        <row r="4852">
          <cell r="A4852" t="str">
            <v>MC</v>
          </cell>
          <cell r="B4852" t="str">
            <v>CA304</v>
          </cell>
          <cell r="C4852" t="str">
            <v>MC</v>
          </cell>
          <cell r="D4852" t="str">
            <v>2607</v>
          </cell>
          <cell r="E4852" t="str">
            <v>PIPE</v>
          </cell>
          <cell r="F4852">
            <v>1</v>
          </cell>
          <cell r="G4852" t="str">
            <v>CB100508000T00</v>
          </cell>
          <cell r="H4852">
            <v>0.75</v>
          </cell>
          <cell r="I4852" t="str">
            <v>--</v>
          </cell>
          <cell r="J4852">
            <v>0.5</v>
          </cell>
          <cell r="K4852">
            <v>0.5</v>
          </cell>
        </row>
        <row r="4853">
          <cell r="A4853" t="str">
            <v>MC</v>
          </cell>
          <cell r="B4853" t="str">
            <v>BA305</v>
          </cell>
          <cell r="C4853" t="str">
            <v>MOH</v>
          </cell>
          <cell r="D4853" t="str">
            <v>2002</v>
          </cell>
          <cell r="E4853" t="str">
            <v>PIPE</v>
          </cell>
          <cell r="F4853">
            <v>1</v>
          </cell>
          <cell r="G4853" t="str">
            <v>CB100508000T00</v>
          </cell>
          <cell r="H4853">
            <v>0.75</v>
          </cell>
          <cell r="I4853" t="str">
            <v>--</v>
          </cell>
          <cell r="J4853">
            <v>0.5</v>
          </cell>
          <cell r="K4853">
            <v>0.5</v>
          </cell>
        </row>
        <row r="4854">
          <cell r="A4854" t="str">
            <v>MC</v>
          </cell>
          <cell r="B4854" t="str">
            <v>BA302</v>
          </cell>
          <cell r="C4854" t="str">
            <v>SD20</v>
          </cell>
          <cell r="D4854" t="str">
            <v>2301</v>
          </cell>
          <cell r="E4854" t="str">
            <v>PIPE</v>
          </cell>
          <cell r="F4854">
            <v>1</v>
          </cell>
          <cell r="G4854" t="str">
            <v>CB100508000T00</v>
          </cell>
          <cell r="H4854">
            <v>0.75</v>
          </cell>
          <cell r="I4854" t="str">
            <v>--</v>
          </cell>
          <cell r="J4854">
            <v>0.5</v>
          </cell>
          <cell r="K4854">
            <v>0.5</v>
          </cell>
        </row>
        <row r="4855">
          <cell r="A4855" t="str">
            <v>MC</v>
          </cell>
          <cell r="B4855" t="str">
            <v>CA304</v>
          </cell>
          <cell r="C4855" t="str">
            <v>MC</v>
          </cell>
          <cell r="D4855" t="str">
            <v>2501</v>
          </cell>
          <cell r="E4855" t="str">
            <v>PIPE</v>
          </cell>
          <cell r="F4855">
            <v>1</v>
          </cell>
          <cell r="G4855" t="str">
            <v>CB100508000T00</v>
          </cell>
          <cell r="H4855">
            <v>0.75</v>
          </cell>
          <cell r="I4855" t="str">
            <v>--</v>
          </cell>
          <cell r="J4855">
            <v>0.5</v>
          </cell>
          <cell r="K4855">
            <v>0.5</v>
          </cell>
        </row>
        <row r="4856">
          <cell r="A4856" t="str">
            <v>MC</v>
          </cell>
          <cell r="B4856" t="str">
            <v>BA312</v>
          </cell>
          <cell r="C4856" t="str">
            <v>SA98</v>
          </cell>
          <cell r="D4856" t="str">
            <v>2411</v>
          </cell>
          <cell r="E4856" t="str">
            <v>PIPE</v>
          </cell>
          <cell r="F4856">
            <v>1</v>
          </cell>
          <cell r="G4856" t="str">
            <v>CB100508000T00</v>
          </cell>
          <cell r="H4856">
            <v>0.75</v>
          </cell>
          <cell r="I4856" t="str">
            <v>--</v>
          </cell>
          <cell r="J4856">
            <v>0.5</v>
          </cell>
          <cell r="K4856">
            <v>0.5</v>
          </cell>
        </row>
        <row r="4857">
          <cell r="A4857" t="str">
            <v>MC</v>
          </cell>
          <cell r="B4857" t="str">
            <v>CA304</v>
          </cell>
          <cell r="C4857" t="str">
            <v>TRIM</v>
          </cell>
          <cell r="D4857" t="str">
            <v>E-1261</v>
          </cell>
          <cell r="E4857" t="str">
            <v>PIPE</v>
          </cell>
          <cell r="F4857">
            <v>1</v>
          </cell>
          <cell r="G4857" t="str">
            <v>CB100508000T00</v>
          </cell>
          <cell r="H4857">
            <v>0.75</v>
          </cell>
          <cell r="I4857" t="str">
            <v>--</v>
          </cell>
          <cell r="J4857">
            <v>0.6</v>
          </cell>
          <cell r="K4857">
            <v>0.6</v>
          </cell>
        </row>
        <row r="4858">
          <cell r="A4858" t="str">
            <v>MC</v>
          </cell>
          <cell r="B4858" t="str">
            <v>CA304</v>
          </cell>
          <cell r="C4858" t="str">
            <v>TRIM</v>
          </cell>
          <cell r="D4858" t="str">
            <v>F-1251</v>
          </cell>
          <cell r="E4858" t="str">
            <v>PIPE</v>
          </cell>
          <cell r="F4858">
            <v>1</v>
          </cell>
          <cell r="G4858" t="str">
            <v>CB100508000T00</v>
          </cell>
          <cell r="H4858">
            <v>0.75</v>
          </cell>
          <cell r="I4858" t="str">
            <v>--</v>
          </cell>
          <cell r="J4858">
            <v>1</v>
          </cell>
          <cell r="K4858">
            <v>1</v>
          </cell>
        </row>
        <row r="4859">
          <cell r="A4859" t="str">
            <v>MC</v>
          </cell>
          <cell r="B4859" t="str">
            <v>CA304</v>
          </cell>
          <cell r="C4859" t="str">
            <v>MC</v>
          </cell>
          <cell r="D4859" t="str">
            <v>HOLD</v>
          </cell>
          <cell r="E4859" t="str">
            <v>PIPE</v>
          </cell>
          <cell r="F4859">
            <v>1</v>
          </cell>
          <cell r="G4859" t="str">
            <v>CB100508000T00</v>
          </cell>
          <cell r="H4859">
            <v>0.75</v>
          </cell>
          <cell r="I4859" t="str">
            <v>--</v>
          </cell>
          <cell r="J4859">
            <v>1</v>
          </cell>
          <cell r="K4859">
            <v>1</v>
          </cell>
        </row>
        <row r="4860">
          <cell r="A4860" t="str">
            <v>MC</v>
          </cell>
          <cell r="B4860" t="str">
            <v>BA305</v>
          </cell>
          <cell r="C4860" t="str">
            <v>MOH</v>
          </cell>
          <cell r="D4860" t="str">
            <v>2112</v>
          </cell>
          <cell r="E4860" t="str">
            <v>PIPE</v>
          </cell>
          <cell r="F4860">
            <v>1</v>
          </cell>
          <cell r="G4860" t="str">
            <v>CB100508000T00</v>
          </cell>
          <cell r="H4860">
            <v>0.75</v>
          </cell>
          <cell r="I4860" t="str">
            <v>--</v>
          </cell>
          <cell r="J4860">
            <v>1.5</v>
          </cell>
          <cell r="K4860">
            <v>1.5</v>
          </cell>
        </row>
        <row r="4861">
          <cell r="A4861" t="str">
            <v>MC</v>
          </cell>
          <cell r="B4861" t="str">
            <v>CA304</v>
          </cell>
          <cell r="C4861" t="str">
            <v>MC</v>
          </cell>
          <cell r="D4861" t="str">
            <v>HOLD</v>
          </cell>
          <cell r="E4861" t="str">
            <v>PIPE</v>
          </cell>
          <cell r="F4861">
            <v>1</v>
          </cell>
          <cell r="G4861" t="str">
            <v>CB100508000T00</v>
          </cell>
          <cell r="H4861">
            <v>0.75</v>
          </cell>
          <cell r="I4861" t="str">
            <v>--</v>
          </cell>
          <cell r="J4861">
            <v>2</v>
          </cell>
          <cell r="K4861">
            <v>2</v>
          </cell>
        </row>
        <row r="4862">
          <cell r="A4862" t="str">
            <v>MC</v>
          </cell>
          <cell r="B4862" t="str">
            <v>CA304</v>
          </cell>
          <cell r="C4862" t="str">
            <v>MC</v>
          </cell>
          <cell r="D4862" t="str">
            <v>2604</v>
          </cell>
          <cell r="E4862" t="str">
            <v>PIPE</v>
          </cell>
          <cell r="F4862">
            <v>1</v>
          </cell>
          <cell r="G4862" t="str">
            <v>CB100508000T00</v>
          </cell>
          <cell r="H4862">
            <v>0.75</v>
          </cell>
          <cell r="I4862" t="str">
            <v>--</v>
          </cell>
          <cell r="J4862">
            <v>2</v>
          </cell>
          <cell r="K4862">
            <v>2</v>
          </cell>
        </row>
        <row r="4863">
          <cell r="A4863" t="str">
            <v>MC</v>
          </cell>
          <cell r="B4863" t="str">
            <v>CA304</v>
          </cell>
          <cell r="C4863" t="str">
            <v>MC</v>
          </cell>
          <cell r="D4863" t="str">
            <v>HOLD</v>
          </cell>
          <cell r="E4863" t="str">
            <v>PIPE</v>
          </cell>
          <cell r="F4863">
            <v>1</v>
          </cell>
          <cell r="G4863" t="str">
            <v>CB100508000T00</v>
          </cell>
          <cell r="H4863">
            <v>0.75</v>
          </cell>
          <cell r="I4863" t="str">
            <v>--</v>
          </cell>
          <cell r="J4863">
            <v>2</v>
          </cell>
          <cell r="K4863">
            <v>2</v>
          </cell>
        </row>
        <row r="4864">
          <cell r="A4864" t="str">
            <v>MC</v>
          </cell>
          <cell r="B4864" t="str">
            <v>CA304</v>
          </cell>
          <cell r="C4864" t="str">
            <v>MC</v>
          </cell>
          <cell r="D4864" t="str">
            <v>HOLD</v>
          </cell>
          <cell r="E4864" t="str">
            <v>PIPE</v>
          </cell>
          <cell r="F4864">
            <v>1</v>
          </cell>
          <cell r="G4864" t="str">
            <v>CB100508000T00</v>
          </cell>
          <cell r="H4864">
            <v>0.75</v>
          </cell>
          <cell r="I4864" t="str">
            <v>--</v>
          </cell>
          <cell r="J4864">
            <v>2</v>
          </cell>
          <cell r="K4864">
            <v>2</v>
          </cell>
        </row>
        <row r="4865">
          <cell r="A4865" t="str">
            <v>MC</v>
          </cell>
          <cell r="B4865" t="str">
            <v>CA304</v>
          </cell>
          <cell r="C4865" t="str">
            <v>VT</v>
          </cell>
          <cell r="D4865" t="str">
            <v>HOLD</v>
          </cell>
          <cell r="E4865" t="str">
            <v>PIPE</v>
          </cell>
          <cell r="F4865">
            <v>1</v>
          </cell>
          <cell r="G4865" t="str">
            <v>CB100508000T00</v>
          </cell>
          <cell r="H4865">
            <v>0.75</v>
          </cell>
          <cell r="I4865" t="str">
            <v>--</v>
          </cell>
          <cell r="J4865">
            <v>2.4</v>
          </cell>
          <cell r="K4865">
            <v>2.4</v>
          </cell>
        </row>
        <row r="4866">
          <cell r="A4866" t="str">
            <v>MC</v>
          </cell>
          <cell r="B4866" t="str">
            <v>BA305</v>
          </cell>
          <cell r="C4866" t="str">
            <v>MOH</v>
          </cell>
          <cell r="D4866" t="str">
            <v>2000</v>
          </cell>
          <cell r="E4866" t="str">
            <v>PIPE</v>
          </cell>
          <cell r="F4866">
            <v>1</v>
          </cell>
          <cell r="G4866" t="str">
            <v>CB100508000T00</v>
          </cell>
          <cell r="H4866">
            <v>0.75</v>
          </cell>
          <cell r="I4866" t="str">
            <v>--</v>
          </cell>
          <cell r="J4866">
            <v>3</v>
          </cell>
          <cell r="K4866">
            <v>3</v>
          </cell>
        </row>
        <row r="4867">
          <cell r="A4867" t="str">
            <v>MC</v>
          </cell>
          <cell r="B4867" t="str">
            <v>CA304</v>
          </cell>
          <cell r="C4867" t="str">
            <v>SC1</v>
          </cell>
          <cell r="D4867" t="str">
            <v>HOLD</v>
          </cell>
          <cell r="E4867" t="str">
            <v>PIPE</v>
          </cell>
          <cell r="F4867">
            <v>1</v>
          </cell>
          <cell r="G4867" t="str">
            <v>CB100508000T00</v>
          </cell>
          <cell r="H4867">
            <v>0.75</v>
          </cell>
          <cell r="I4867" t="str">
            <v>--</v>
          </cell>
          <cell r="J4867">
            <v>4.5</v>
          </cell>
          <cell r="K4867">
            <v>4.5</v>
          </cell>
        </row>
        <row r="4868">
          <cell r="A4868" t="str">
            <v>MC</v>
          </cell>
          <cell r="B4868" t="str">
            <v>CA304</v>
          </cell>
          <cell r="C4868" t="str">
            <v>MC</v>
          </cell>
          <cell r="D4868" t="str">
            <v>HOLD</v>
          </cell>
          <cell r="E4868" t="str">
            <v>PIPE</v>
          </cell>
          <cell r="F4868">
            <v>1</v>
          </cell>
          <cell r="G4868" t="str">
            <v>CB100508000T00</v>
          </cell>
          <cell r="H4868">
            <v>0.75</v>
          </cell>
          <cell r="I4868" t="str">
            <v>--</v>
          </cell>
          <cell r="J4868">
            <v>5</v>
          </cell>
          <cell r="K4868">
            <v>5</v>
          </cell>
        </row>
        <row r="4869">
          <cell r="A4869" t="str">
            <v>MC</v>
          </cell>
          <cell r="B4869" t="str">
            <v>CA304</v>
          </cell>
          <cell r="C4869" t="str">
            <v>SCC</v>
          </cell>
          <cell r="D4869" t="str">
            <v>HOLD</v>
          </cell>
          <cell r="E4869" t="str">
            <v>PIPE</v>
          </cell>
          <cell r="F4869">
            <v>1</v>
          </cell>
          <cell r="G4869" t="str">
            <v>CB100508000T00</v>
          </cell>
          <cell r="H4869">
            <v>0.75</v>
          </cell>
          <cell r="I4869" t="str">
            <v>--</v>
          </cell>
          <cell r="J4869">
            <v>6</v>
          </cell>
          <cell r="K4869">
            <v>6</v>
          </cell>
        </row>
        <row r="4870">
          <cell r="A4870" t="str">
            <v>MC</v>
          </cell>
          <cell r="B4870" t="str">
            <v>CA304</v>
          </cell>
          <cell r="C4870" t="str">
            <v>MC</v>
          </cell>
          <cell r="D4870" t="str">
            <v>HOLD</v>
          </cell>
          <cell r="E4870" t="str">
            <v>PIPE</v>
          </cell>
          <cell r="F4870">
            <v>1</v>
          </cell>
          <cell r="G4870" t="str">
            <v>CB100508000T00</v>
          </cell>
          <cell r="H4870">
            <v>0.75</v>
          </cell>
          <cell r="I4870" t="str">
            <v>--</v>
          </cell>
          <cell r="J4870">
            <v>12</v>
          </cell>
          <cell r="K4870">
            <v>12</v>
          </cell>
        </row>
        <row r="4871">
          <cell r="A4871" t="str">
            <v>MC</v>
          </cell>
          <cell r="B4871" t="str">
            <v>CA304</v>
          </cell>
          <cell r="C4871" t="str">
            <v>MC</v>
          </cell>
          <cell r="D4871" t="str">
            <v>2608</v>
          </cell>
          <cell r="E4871" t="str">
            <v>PIPE</v>
          </cell>
          <cell r="F4871">
            <v>1</v>
          </cell>
          <cell r="G4871" t="str">
            <v>CB100508000100</v>
          </cell>
          <cell r="H4871">
            <v>1</v>
          </cell>
          <cell r="I4871" t="str">
            <v>--</v>
          </cell>
          <cell r="J4871">
            <v>0.4</v>
          </cell>
          <cell r="K4871">
            <v>0.4</v>
          </cell>
        </row>
        <row r="4872">
          <cell r="A4872" t="str">
            <v>MC</v>
          </cell>
          <cell r="B4872" t="str">
            <v>CA304</v>
          </cell>
          <cell r="C4872" t="str">
            <v>N</v>
          </cell>
          <cell r="D4872" t="str">
            <v>HOLD</v>
          </cell>
          <cell r="E4872" t="str">
            <v>PIPE</v>
          </cell>
          <cell r="F4872">
            <v>1</v>
          </cell>
          <cell r="G4872" t="str">
            <v>CB100508000100</v>
          </cell>
          <cell r="H4872">
            <v>1</v>
          </cell>
          <cell r="I4872" t="str">
            <v>--</v>
          </cell>
          <cell r="J4872">
            <v>1</v>
          </cell>
          <cell r="K4872">
            <v>1</v>
          </cell>
        </row>
        <row r="4873">
          <cell r="A4873" t="str">
            <v>MC</v>
          </cell>
          <cell r="B4873" t="str">
            <v>CA304</v>
          </cell>
          <cell r="C4873" t="str">
            <v>MC</v>
          </cell>
          <cell r="D4873" t="str">
            <v>HOLD</v>
          </cell>
          <cell r="E4873" t="str">
            <v>PIPE</v>
          </cell>
          <cell r="F4873">
            <v>1</v>
          </cell>
          <cell r="G4873" t="str">
            <v>CB100508000100</v>
          </cell>
          <cell r="H4873">
            <v>1</v>
          </cell>
          <cell r="I4873" t="str">
            <v>--</v>
          </cell>
          <cell r="J4873">
            <v>5</v>
          </cell>
          <cell r="K4873">
            <v>5</v>
          </cell>
        </row>
        <row r="4874">
          <cell r="A4874" t="str">
            <v>MC</v>
          </cell>
          <cell r="B4874" t="str">
            <v>BA305</v>
          </cell>
          <cell r="C4874" t="str">
            <v>VNC</v>
          </cell>
          <cell r="D4874" t="str">
            <v>2016</v>
          </cell>
          <cell r="E4874" t="str">
            <v>PIPE</v>
          </cell>
          <cell r="F4874">
            <v>1</v>
          </cell>
          <cell r="G4874" t="str">
            <v>CB100508000100</v>
          </cell>
          <cell r="H4874">
            <v>1</v>
          </cell>
          <cell r="I4874" t="str">
            <v>--</v>
          </cell>
          <cell r="J4874">
            <v>6</v>
          </cell>
          <cell r="K4874">
            <v>6</v>
          </cell>
        </row>
        <row r="4875">
          <cell r="A4875" t="str">
            <v>MC</v>
          </cell>
          <cell r="B4875" t="str">
            <v>BA305</v>
          </cell>
          <cell r="C4875" t="str">
            <v>MOH</v>
          </cell>
          <cell r="D4875" t="str">
            <v>2101</v>
          </cell>
          <cell r="E4875" t="str">
            <v>PIPE</v>
          </cell>
          <cell r="F4875">
            <v>1</v>
          </cell>
          <cell r="G4875" t="str">
            <v>CB100508000100</v>
          </cell>
          <cell r="H4875">
            <v>1</v>
          </cell>
          <cell r="I4875" t="str">
            <v>--</v>
          </cell>
          <cell r="J4875">
            <v>13</v>
          </cell>
          <cell r="K4875">
            <v>13</v>
          </cell>
        </row>
        <row r="4876">
          <cell r="A4876" t="str">
            <v>MC</v>
          </cell>
          <cell r="B4876" t="str">
            <v>BA305</v>
          </cell>
          <cell r="C4876" t="str">
            <v>MOH</v>
          </cell>
          <cell r="D4876" t="str">
            <v>2002</v>
          </cell>
          <cell r="E4876" t="str">
            <v>PIPE</v>
          </cell>
          <cell r="F4876">
            <v>1</v>
          </cell>
          <cell r="G4876" t="str">
            <v>CB100508000100</v>
          </cell>
          <cell r="H4876">
            <v>1</v>
          </cell>
          <cell r="I4876" t="str">
            <v>--</v>
          </cell>
          <cell r="J4876">
            <v>13.5</v>
          </cell>
          <cell r="K4876">
            <v>13.5</v>
          </cell>
        </row>
        <row r="4877">
          <cell r="A4877" t="str">
            <v>MC</v>
          </cell>
          <cell r="B4877" t="str">
            <v>CA304</v>
          </cell>
          <cell r="C4877" t="str">
            <v>MC</v>
          </cell>
          <cell r="D4877" t="str">
            <v>2604</v>
          </cell>
          <cell r="E4877" t="str">
            <v>PIPE</v>
          </cell>
          <cell r="F4877">
            <v>1</v>
          </cell>
          <cell r="G4877" t="str">
            <v>CB100508000100</v>
          </cell>
          <cell r="H4877">
            <v>1</v>
          </cell>
          <cell r="I4877" t="str">
            <v>--</v>
          </cell>
          <cell r="J4877">
            <v>17.5</v>
          </cell>
          <cell r="K4877">
            <v>17.5</v>
          </cell>
        </row>
        <row r="4878">
          <cell r="A4878" t="str">
            <v>MC</v>
          </cell>
          <cell r="B4878" t="str">
            <v>CA304</v>
          </cell>
          <cell r="C4878" t="str">
            <v>MC</v>
          </cell>
          <cell r="D4878" t="str">
            <v>HOLD</v>
          </cell>
          <cell r="E4878" t="str">
            <v>PIPE</v>
          </cell>
          <cell r="F4878">
            <v>1</v>
          </cell>
          <cell r="G4878" t="str">
            <v>CB100508000100</v>
          </cell>
          <cell r="H4878">
            <v>1</v>
          </cell>
          <cell r="I4878" t="str">
            <v>--</v>
          </cell>
          <cell r="J4878">
            <v>18</v>
          </cell>
          <cell r="K4878">
            <v>18</v>
          </cell>
        </row>
        <row r="4879">
          <cell r="A4879" t="str">
            <v>MC</v>
          </cell>
          <cell r="B4879" t="str">
            <v>BA305</v>
          </cell>
          <cell r="C4879" t="str">
            <v>MOH</v>
          </cell>
          <cell r="D4879" t="str">
            <v>2112</v>
          </cell>
          <cell r="E4879" t="str">
            <v>PIPE</v>
          </cell>
          <cell r="F4879">
            <v>1</v>
          </cell>
          <cell r="G4879" t="str">
            <v>CB100508000100</v>
          </cell>
          <cell r="H4879">
            <v>1</v>
          </cell>
          <cell r="I4879" t="str">
            <v>--</v>
          </cell>
          <cell r="J4879">
            <v>19.5</v>
          </cell>
          <cell r="K4879">
            <v>19.5</v>
          </cell>
        </row>
        <row r="4880">
          <cell r="A4880" t="str">
            <v>MC</v>
          </cell>
          <cell r="B4880" t="str">
            <v>BA302</v>
          </cell>
          <cell r="C4880" t="str">
            <v>SD20</v>
          </cell>
          <cell r="D4880" t="str">
            <v>2301</v>
          </cell>
          <cell r="E4880" t="str">
            <v>PIPE</v>
          </cell>
          <cell r="F4880">
            <v>1</v>
          </cell>
          <cell r="G4880" t="str">
            <v>CB100508000100</v>
          </cell>
          <cell r="H4880">
            <v>1</v>
          </cell>
          <cell r="I4880" t="str">
            <v>--</v>
          </cell>
          <cell r="J4880">
            <v>20.5</v>
          </cell>
          <cell r="K4880">
            <v>20.5</v>
          </cell>
        </row>
        <row r="4881">
          <cell r="A4881" t="str">
            <v>MC</v>
          </cell>
          <cell r="B4881" t="str">
            <v>CA304</v>
          </cell>
          <cell r="C4881" t="str">
            <v>MC</v>
          </cell>
          <cell r="D4881" t="str">
            <v>2605</v>
          </cell>
          <cell r="E4881" t="str">
            <v>PIPE</v>
          </cell>
          <cell r="F4881">
            <v>1</v>
          </cell>
          <cell r="G4881" t="str">
            <v>CB100508000100</v>
          </cell>
          <cell r="H4881">
            <v>1</v>
          </cell>
          <cell r="I4881" t="str">
            <v>--</v>
          </cell>
          <cell r="J4881">
            <v>21</v>
          </cell>
          <cell r="K4881">
            <v>21</v>
          </cell>
        </row>
        <row r="4882">
          <cell r="A4882" t="str">
            <v>MC</v>
          </cell>
          <cell r="B4882" t="str">
            <v>CA304</v>
          </cell>
          <cell r="C4882" t="str">
            <v>MC</v>
          </cell>
          <cell r="D4882" t="str">
            <v>2609</v>
          </cell>
          <cell r="E4882" t="str">
            <v>PIPE</v>
          </cell>
          <cell r="F4882">
            <v>1</v>
          </cell>
          <cell r="G4882" t="str">
            <v>CB100508000100</v>
          </cell>
          <cell r="H4882">
            <v>1</v>
          </cell>
          <cell r="I4882" t="str">
            <v>--</v>
          </cell>
          <cell r="J4882">
            <v>25</v>
          </cell>
          <cell r="K4882">
            <v>25</v>
          </cell>
        </row>
        <row r="4883">
          <cell r="A4883" t="str">
            <v>MC</v>
          </cell>
          <cell r="B4883" t="str">
            <v>BA312</v>
          </cell>
          <cell r="C4883" t="str">
            <v>SA98</v>
          </cell>
          <cell r="D4883" t="str">
            <v>2411</v>
          </cell>
          <cell r="E4883" t="str">
            <v>PIPE</v>
          </cell>
          <cell r="F4883">
            <v>1</v>
          </cell>
          <cell r="G4883" t="str">
            <v>CB100508000100</v>
          </cell>
          <cell r="H4883">
            <v>1</v>
          </cell>
          <cell r="I4883" t="str">
            <v>--</v>
          </cell>
          <cell r="J4883">
            <v>25.5</v>
          </cell>
          <cell r="K4883">
            <v>25.5</v>
          </cell>
        </row>
        <row r="4884">
          <cell r="A4884" t="str">
            <v>MC</v>
          </cell>
          <cell r="B4884" t="str">
            <v>CA304</v>
          </cell>
          <cell r="C4884" t="str">
            <v>MC</v>
          </cell>
          <cell r="D4884" t="str">
            <v>2607</v>
          </cell>
          <cell r="E4884" t="str">
            <v>PIPE</v>
          </cell>
          <cell r="F4884">
            <v>1</v>
          </cell>
          <cell r="G4884" t="str">
            <v>CB100508001H00</v>
          </cell>
          <cell r="H4884">
            <v>1.5</v>
          </cell>
          <cell r="I4884" t="str">
            <v>--</v>
          </cell>
          <cell r="J4884">
            <v>0.3</v>
          </cell>
          <cell r="K4884">
            <v>0.3</v>
          </cell>
        </row>
        <row r="4885">
          <cell r="A4885" t="str">
            <v>MC</v>
          </cell>
          <cell r="B4885" t="str">
            <v>BA312</v>
          </cell>
          <cell r="C4885" t="str">
            <v>SA98</v>
          </cell>
          <cell r="D4885" t="str">
            <v>2411</v>
          </cell>
          <cell r="E4885" t="str">
            <v>PIPE</v>
          </cell>
          <cell r="F4885">
            <v>1</v>
          </cell>
          <cell r="G4885" t="str">
            <v>CB100508001H00</v>
          </cell>
          <cell r="H4885">
            <v>1.5</v>
          </cell>
          <cell r="I4885" t="str">
            <v>--</v>
          </cell>
          <cell r="J4885">
            <v>0.5</v>
          </cell>
          <cell r="K4885">
            <v>0.5</v>
          </cell>
        </row>
        <row r="4886">
          <cell r="A4886" t="str">
            <v>MC</v>
          </cell>
          <cell r="B4886" t="str">
            <v>CA304</v>
          </cell>
          <cell r="C4886" t="str">
            <v>MC</v>
          </cell>
          <cell r="D4886" t="str">
            <v>2604</v>
          </cell>
          <cell r="E4886" t="str">
            <v>PIPE</v>
          </cell>
          <cell r="F4886">
            <v>1</v>
          </cell>
          <cell r="G4886" t="str">
            <v>CB100508001H00</v>
          </cell>
          <cell r="H4886">
            <v>1.5</v>
          </cell>
          <cell r="I4886" t="str">
            <v>--</v>
          </cell>
          <cell r="J4886">
            <v>0.5</v>
          </cell>
          <cell r="K4886">
            <v>0.5</v>
          </cell>
        </row>
        <row r="4887">
          <cell r="A4887" t="str">
            <v>MC</v>
          </cell>
          <cell r="B4887" t="str">
            <v>CA304</v>
          </cell>
          <cell r="C4887" t="str">
            <v>N</v>
          </cell>
          <cell r="D4887" t="str">
            <v>HOLD</v>
          </cell>
          <cell r="E4887" t="str">
            <v>PIPE</v>
          </cell>
          <cell r="F4887">
            <v>1</v>
          </cell>
          <cell r="G4887" t="str">
            <v>CB100508001H00</v>
          </cell>
          <cell r="H4887">
            <v>1.5</v>
          </cell>
          <cell r="I4887" t="str">
            <v>--</v>
          </cell>
          <cell r="J4887">
            <v>1</v>
          </cell>
          <cell r="K4887">
            <v>1</v>
          </cell>
        </row>
        <row r="4888">
          <cell r="A4888" t="str">
            <v>MC</v>
          </cell>
          <cell r="B4888" t="str">
            <v>CA304</v>
          </cell>
          <cell r="C4888" t="str">
            <v>TRIM</v>
          </cell>
          <cell r="D4888" t="str">
            <v>E-1261</v>
          </cell>
          <cell r="E4888" t="str">
            <v>PIPE</v>
          </cell>
          <cell r="F4888">
            <v>1</v>
          </cell>
          <cell r="G4888" t="str">
            <v>CB100508001H00</v>
          </cell>
          <cell r="H4888">
            <v>1.5</v>
          </cell>
          <cell r="I4888" t="str">
            <v>--</v>
          </cell>
          <cell r="J4888">
            <v>1</v>
          </cell>
          <cell r="K4888">
            <v>1</v>
          </cell>
        </row>
        <row r="4889">
          <cell r="A4889" t="str">
            <v>MC</v>
          </cell>
          <cell r="B4889" t="str">
            <v>CA304</v>
          </cell>
          <cell r="C4889" t="str">
            <v>TRIM</v>
          </cell>
          <cell r="D4889" t="str">
            <v>V-1260A/B</v>
          </cell>
          <cell r="E4889" t="str">
            <v>PIPE</v>
          </cell>
          <cell r="F4889">
            <v>1</v>
          </cell>
          <cell r="G4889" t="str">
            <v>CB100508001H00</v>
          </cell>
          <cell r="H4889">
            <v>1.5</v>
          </cell>
          <cell r="I4889" t="str">
            <v>--</v>
          </cell>
          <cell r="J4889">
            <v>1</v>
          </cell>
          <cell r="K4889">
            <v>1</v>
          </cell>
        </row>
        <row r="4890">
          <cell r="A4890" t="str">
            <v>MC</v>
          </cell>
          <cell r="B4890" t="str">
            <v>CA304</v>
          </cell>
          <cell r="C4890" t="str">
            <v>N</v>
          </cell>
          <cell r="D4890" t="str">
            <v>HOLD</v>
          </cell>
          <cell r="E4890" t="str">
            <v>PIPE</v>
          </cell>
          <cell r="F4890">
            <v>1</v>
          </cell>
          <cell r="G4890" t="str">
            <v>CB100508001H00</v>
          </cell>
          <cell r="H4890">
            <v>1.5</v>
          </cell>
          <cell r="I4890" t="str">
            <v>--</v>
          </cell>
          <cell r="J4890">
            <v>1</v>
          </cell>
          <cell r="K4890">
            <v>1</v>
          </cell>
        </row>
        <row r="4891">
          <cell r="A4891" t="str">
            <v>MC</v>
          </cell>
          <cell r="B4891" t="str">
            <v>BA305</v>
          </cell>
          <cell r="C4891" t="str">
            <v>VNC</v>
          </cell>
          <cell r="D4891" t="str">
            <v>2016</v>
          </cell>
          <cell r="E4891" t="str">
            <v>PIPE</v>
          </cell>
          <cell r="F4891">
            <v>1</v>
          </cell>
          <cell r="G4891" t="str">
            <v>CB100508001H00</v>
          </cell>
          <cell r="H4891">
            <v>1.5</v>
          </cell>
          <cell r="I4891" t="str">
            <v>--</v>
          </cell>
          <cell r="J4891">
            <v>2</v>
          </cell>
          <cell r="K4891">
            <v>2</v>
          </cell>
        </row>
        <row r="4892">
          <cell r="A4892" t="str">
            <v>MC</v>
          </cell>
          <cell r="B4892" t="str">
            <v>CA304</v>
          </cell>
          <cell r="C4892" t="str">
            <v>MC</v>
          </cell>
          <cell r="D4892" t="str">
            <v>2609</v>
          </cell>
          <cell r="E4892" t="str">
            <v>PIPE</v>
          </cell>
          <cell r="F4892">
            <v>1</v>
          </cell>
          <cell r="G4892" t="str">
            <v>CB100508001H00</v>
          </cell>
          <cell r="H4892">
            <v>1.5</v>
          </cell>
          <cell r="I4892" t="str">
            <v>--</v>
          </cell>
          <cell r="J4892">
            <v>2</v>
          </cell>
          <cell r="K4892">
            <v>2</v>
          </cell>
        </row>
        <row r="4893">
          <cell r="A4893" t="str">
            <v>MC</v>
          </cell>
          <cell r="B4893" t="str">
            <v>CA304</v>
          </cell>
          <cell r="C4893" t="str">
            <v>MC</v>
          </cell>
          <cell r="D4893" t="str">
            <v>HOLD</v>
          </cell>
          <cell r="E4893" t="str">
            <v>PIPE</v>
          </cell>
          <cell r="F4893">
            <v>1</v>
          </cell>
          <cell r="G4893" t="str">
            <v>CB100508001H00</v>
          </cell>
          <cell r="H4893">
            <v>1.5</v>
          </cell>
          <cell r="I4893" t="str">
            <v>--</v>
          </cell>
          <cell r="J4893">
            <v>3</v>
          </cell>
          <cell r="K4893">
            <v>3</v>
          </cell>
        </row>
        <row r="4894">
          <cell r="A4894" t="str">
            <v>MC</v>
          </cell>
          <cell r="B4894" t="str">
            <v>CA304</v>
          </cell>
          <cell r="C4894" t="str">
            <v>MC</v>
          </cell>
          <cell r="D4894" t="str">
            <v>2605</v>
          </cell>
          <cell r="E4894" t="str">
            <v>PIPE</v>
          </cell>
          <cell r="F4894">
            <v>1</v>
          </cell>
          <cell r="G4894" t="str">
            <v>CB100508001H00</v>
          </cell>
          <cell r="H4894">
            <v>1.5</v>
          </cell>
          <cell r="I4894" t="str">
            <v>--</v>
          </cell>
          <cell r="J4894">
            <v>6</v>
          </cell>
          <cell r="K4894">
            <v>6</v>
          </cell>
        </row>
        <row r="4895">
          <cell r="A4895" t="str">
            <v>MC</v>
          </cell>
          <cell r="B4895" t="str">
            <v>CA304</v>
          </cell>
          <cell r="C4895" t="str">
            <v>VT</v>
          </cell>
          <cell r="D4895" t="str">
            <v>HOLD</v>
          </cell>
          <cell r="E4895" t="str">
            <v>PIPE</v>
          </cell>
          <cell r="F4895">
            <v>1</v>
          </cell>
          <cell r="G4895" t="str">
            <v>CB100508001H00</v>
          </cell>
          <cell r="H4895">
            <v>1.5</v>
          </cell>
          <cell r="I4895" t="str">
            <v>--</v>
          </cell>
          <cell r="J4895">
            <v>10.5</v>
          </cell>
          <cell r="K4895">
            <v>10.5</v>
          </cell>
        </row>
        <row r="4896">
          <cell r="A4896" t="str">
            <v>MC</v>
          </cell>
          <cell r="B4896" t="str">
            <v>CA304</v>
          </cell>
          <cell r="C4896" t="str">
            <v>MC</v>
          </cell>
          <cell r="D4896" t="str">
            <v>2609</v>
          </cell>
          <cell r="E4896" t="str">
            <v>PIPE</v>
          </cell>
          <cell r="F4896">
            <v>1</v>
          </cell>
          <cell r="G4896" t="str">
            <v>CB100508001H00</v>
          </cell>
          <cell r="H4896">
            <v>1.5</v>
          </cell>
          <cell r="I4896" t="str">
            <v>--</v>
          </cell>
          <cell r="J4896">
            <v>18</v>
          </cell>
          <cell r="K4896">
            <v>18</v>
          </cell>
        </row>
        <row r="4897">
          <cell r="A4897" t="str">
            <v>MC</v>
          </cell>
          <cell r="B4897" t="str">
            <v>CA304</v>
          </cell>
          <cell r="C4897" t="str">
            <v>MC</v>
          </cell>
          <cell r="D4897" t="str">
            <v>2609</v>
          </cell>
          <cell r="E4897" t="str">
            <v>PIPE</v>
          </cell>
          <cell r="F4897">
            <v>1</v>
          </cell>
          <cell r="G4897" t="str">
            <v>CB100508001H00</v>
          </cell>
          <cell r="H4897">
            <v>1.5</v>
          </cell>
          <cell r="I4897" t="str">
            <v>--</v>
          </cell>
          <cell r="J4897">
            <v>20</v>
          </cell>
          <cell r="K4897">
            <v>20</v>
          </cell>
        </row>
        <row r="4898">
          <cell r="A4898" t="str">
            <v>MC</v>
          </cell>
          <cell r="B4898" t="str">
            <v>CA304</v>
          </cell>
          <cell r="C4898" t="str">
            <v>MC</v>
          </cell>
          <cell r="D4898" t="str">
            <v>2505</v>
          </cell>
          <cell r="E4898" t="str">
            <v>PIPE</v>
          </cell>
          <cell r="F4898">
            <v>1</v>
          </cell>
          <cell r="G4898" t="str">
            <v>CB100508001H00</v>
          </cell>
          <cell r="H4898">
            <v>1.5</v>
          </cell>
          <cell r="I4898" t="str">
            <v>--</v>
          </cell>
          <cell r="J4898">
            <v>21</v>
          </cell>
          <cell r="K4898">
            <v>21</v>
          </cell>
        </row>
        <row r="4899">
          <cell r="A4899" t="str">
            <v>MC</v>
          </cell>
          <cell r="B4899" t="str">
            <v>CA304</v>
          </cell>
          <cell r="C4899" t="str">
            <v>MC</v>
          </cell>
          <cell r="D4899" t="str">
            <v>2608</v>
          </cell>
          <cell r="E4899" t="str">
            <v>PIPE</v>
          </cell>
          <cell r="F4899">
            <v>1</v>
          </cell>
          <cell r="G4899" t="str">
            <v>CB100508001H00</v>
          </cell>
          <cell r="H4899">
            <v>1.5</v>
          </cell>
          <cell r="I4899" t="str">
            <v>--</v>
          </cell>
          <cell r="J4899">
            <v>21</v>
          </cell>
          <cell r="K4899">
            <v>21</v>
          </cell>
        </row>
        <row r="4900">
          <cell r="A4900" t="str">
            <v>MC</v>
          </cell>
          <cell r="B4900" t="str">
            <v>B2C</v>
          </cell>
          <cell r="C4900" t="str">
            <v>SH</v>
          </cell>
          <cell r="D4900" t="str">
            <v>HOLD</v>
          </cell>
          <cell r="E4900" t="str">
            <v>PIPE</v>
          </cell>
          <cell r="F4900">
            <v>1</v>
          </cell>
          <cell r="G4900" t="str">
            <v>CB100508001H00</v>
          </cell>
          <cell r="H4900">
            <v>1.5</v>
          </cell>
          <cell r="I4900" t="str">
            <v>--</v>
          </cell>
          <cell r="J4900">
            <v>25.3</v>
          </cell>
          <cell r="K4900">
            <v>25.3</v>
          </cell>
        </row>
        <row r="4901">
          <cell r="A4901" t="str">
            <v>MC</v>
          </cell>
          <cell r="B4901" t="str">
            <v>CA304</v>
          </cell>
          <cell r="C4901" t="str">
            <v>MC</v>
          </cell>
          <cell r="D4901" t="str">
            <v>2612</v>
          </cell>
          <cell r="E4901" t="str">
            <v>PIPE</v>
          </cell>
          <cell r="F4901">
            <v>1</v>
          </cell>
          <cell r="G4901" t="str">
            <v>CB100508001H00</v>
          </cell>
          <cell r="H4901">
            <v>1.5</v>
          </cell>
          <cell r="I4901" t="str">
            <v>--</v>
          </cell>
          <cell r="J4901">
            <v>27</v>
          </cell>
          <cell r="K4901">
            <v>27</v>
          </cell>
        </row>
        <row r="4902">
          <cell r="A4902" t="str">
            <v>MC</v>
          </cell>
          <cell r="B4902" t="str">
            <v>BA305</v>
          </cell>
          <cell r="C4902" t="str">
            <v>MOH</v>
          </cell>
          <cell r="D4902" t="str">
            <v>2100</v>
          </cell>
          <cell r="E4902" t="str">
            <v>PIPE</v>
          </cell>
          <cell r="F4902">
            <v>1</v>
          </cell>
          <cell r="G4902" t="str">
            <v>CB100508001H00</v>
          </cell>
          <cell r="H4902">
            <v>1.5</v>
          </cell>
          <cell r="I4902" t="str">
            <v>--</v>
          </cell>
          <cell r="J4902">
            <v>31</v>
          </cell>
          <cell r="K4902">
            <v>31</v>
          </cell>
        </row>
        <row r="4903">
          <cell r="A4903" t="str">
            <v>MC</v>
          </cell>
          <cell r="B4903" t="str">
            <v>CA304</v>
          </cell>
          <cell r="C4903" t="str">
            <v>TRIM</v>
          </cell>
          <cell r="D4903" t="str">
            <v>E-1261</v>
          </cell>
          <cell r="E4903" t="str">
            <v>PIPE</v>
          </cell>
          <cell r="F4903">
            <v>1</v>
          </cell>
          <cell r="G4903" t="str">
            <v>CB100405000200</v>
          </cell>
          <cell r="H4903">
            <v>2</v>
          </cell>
          <cell r="I4903" t="str">
            <v>--</v>
          </cell>
          <cell r="J4903">
            <v>2</v>
          </cell>
          <cell r="K4903">
            <v>2.2000000000000002</v>
          </cell>
        </row>
        <row r="4904">
          <cell r="A4904" t="str">
            <v>MC</v>
          </cell>
          <cell r="B4904" t="str">
            <v>CA304</v>
          </cell>
          <cell r="C4904" t="str">
            <v>MC</v>
          </cell>
          <cell r="D4904" t="str">
            <v>2607</v>
          </cell>
          <cell r="E4904" t="str">
            <v>PIPE</v>
          </cell>
          <cell r="F4904">
            <v>1</v>
          </cell>
          <cell r="G4904" t="str">
            <v>CB100405000200</v>
          </cell>
          <cell r="H4904">
            <v>2</v>
          </cell>
          <cell r="I4904" t="str">
            <v>--</v>
          </cell>
          <cell r="J4904">
            <v>2</v>
          </cell>
          <cell r="K4904">
            <v>2.2000000000000002</v>
          </cell>
        </row>
        <row r="4905">
          <cell r="A4905" t="str">
            <v>MC</v>
          </cell>
          <cell r="B4905" t="str">
            <v>CA304</v>
          </cell>
          <cell r="C4905" t="str">
            <v>N</v>
          </cell>
          <cell r="D4905" t="str">
            <v>HOLD</v>
          </cell>
          <cell r="E4905" t="str">
            <v>PIPE</v>
          </cell>
          <cell r="F4905">
            <v>1</v>
          </cell>
          <cell r="G4905" t="str">
            <v>CB100405000200</v>
          </cell>
          <cell r="H4905">
            <v>2</v>
          </cell>
          <cell r="I4905" t="str">
            <v>--</v>
          </cell>
          <cell r="J4905">
            <v>2</v>
          </cell>
          <cell r="K4905">
            <v>2.2000000000000002</v>
          </cell>
        </row>
        <row r="4906">
          <cell r="A4906" t="str">
            <v>MC</v>
          </cell>
          <cell r="B4906" t="str">
            <v>B2C</v>
          </cell>
          <cell r="C4906" t="str">
            <v>SH</v>
          </cell>
          <cell r="D4906" t="str">
            <v>HOLD</v>
          </cell>
          <cell r="E4906" t="str">
            <v>PIPE</v>
          </cell>
          <cell r="F4906">
            <v>1</v>
          </cell>
          <cell r="G4906" t="str">
            <v>CB100408000200</v>
          </cell>
          <cell r="H4906">
            <v>2</v>
          </cell>
          <cell r="I4906" t="str">
            <v>--</v>
          </cell>
          <cell r="J4906">
            <v>2.5</v>
          </cell>
          <cell r="K4906">
            <v>2.8</v>
          </cell>
        </row>
        <row r="4907">
          <cell r="A4907" t="str">
            <v>MC</v>
          </cell>
          <cell r="B4907" t="str">
            <v>CA304</v>
          </cell>
          <cell r="C4907" t="str">
            <v>MC</v>
          </cell>
          <cell r="D4907" t="str">
            <v>HOLD</v>
          </cell>
          <cell r="E4907" t="str">
            <v>PIPE</v>
          </cell>
          <cell r="F4907">
            <v>1</v>
          </cell>
          <cell r="G4907" t="str">
            <v>CB100405000200</v>
          </cell>
          <cell r="H4907">
            <v>2</v>
          </cell>
          <cell r="I4907" t="str">
            <v>--</v>
          </cell>
          <cell r="J4907">
            <v>3</v>
          </cell>
          <cell r="K4907">
            <v>3.3</v>
          </cell>
        </row>
        <row r="4908">
          <cell r="A4908" t="str">
            <v>MC</v>
          </cell>
          <cell r="B4908" t="str">
            <v>CA304</v>
          </cell>
          <cell r="C4908" t="str">
            <v>MC</v>
          </cell>
          <cell r="D4908" t="str">
            <v>HOLD</v>
          </cell>
          <cell r="E4908" t="str">
            <v>PIPE</v>
          </cell>
          <cell r="F4908">
            <v>1</v>
          </cell>
          <cell r="G4908" t="str">
            <v>CB100405000200</v>
          </cell>
          <cell r="H4908">
            <v>2</v>
          </cell>
          <cell r="I4908" t="str">
            <v>--</v>
          </cell>
          <cell r="J4908">
            <v>3</v>
          </cell>
          <cell r="K4908">
            <v>3.3</v>
          </cell>
        </row>
        <row r="4909">
          <cell r="A4909" t="str">
            <v>MC</v>
          </cell>
          <cell r="B4909" t="str">
            <v>CA304</v>
          </cell>
          <cell r="C4909" t="str">
            <v>MC</v>
          </cell>
          <cell r="D4909" t="str">
            <v>HOLD</v>
          </cell>
          <cell r="E4909" t="str">
            <v>PIPE</v>
          </cell>
          <cell r="F4909">
            <v>1</v>
          </cell>
          <cell r="G4909" t="str">
            <v>CB100405000200</v>
          </cell>
          <cell r="H4909">
            <v>2</v>
          </cell>
          <cell r="I4909" t="str">
            <v>--</v>
          </cell>
          <cell r="J4909">
            <v>3</v>
          </cell>
          <cell r="K4909">
            <v>3.3</v>
          </cell>
        </row>
        <row r="4910">
          <cell r="A4910" t="str">
            <v>MC</v>
          </cell>
          <cell r="B4910" t="str">
            <v>CA304</v>
          </cell>
          <cell r="C4910" t="str">
            <v>MC</v>
          </cell>
          <cell r="D4910" t="str">
            <v>2612</v>
          </cell>
          <cell r="E4910" t="str">
            <v>PIPE</v>
          </cell>
          <cell r="F4910">
            <v>1</v>
          </cell>
          <cell r="G4910" t="str">
            <v>CB100405000200</v>
          </cell>
          <cell r="H4910">
            <v>2</v>
          </cell>
          <cell r="I4910" t="str">
            <v>--</v>
          </cell>
          <cell r="J4910">
            <v>5</v>
          </cell>
          <cell r="K4910">
            <v>5.5</v>
          </cell>
        </row>
        <row r="4911">
          <cell r="A4911" t="str">
            <v>MC</v>
          </cell>
          <cell r="B4911" t="str">
            <v>CA304</v>
          </cell>
          <cell r="C4911" t="str">
            <v>MC</v>
          </cell>
          <cell r="D4911" t="str">
            <v>2609</v>
          </cell>
          <cell r="E4911" t="str">
            <v>PIPE</v>
          </cell>
          <cell r="F4911">
            <v>1</v>
          </cell>
          <cell r="G4911" t="str">
            <v>CB100405000200</v>
          </cell>
          <cell r="H4911">
            <v>2</v>
          </cell>
          <cell r="I4911" t="str">
            <v>--</v>
          </cell>
          <cell r="J4911">
            <v>6</v>
          </cell>
          <cell r="K4911">
            <v>6.6</v>
          </cell>
        </row>
        <row r="4912">
          <cell r="A4912" t="str">
            <v>MC</v>
          </cell>
          <cell r="B4912" t="str">
            <v>CA304</v>
          </cell>
          <cell r="C4912" t="str">
            <v>MC</v>
          </cell>
          <cell r="D4912" t="str">
            <v>2502</v>
          </cell>
          <cell r="E4912" t="str">
            <v>PIPE</v>
          </cell>
          <cell r="F4912">
            <v>1</v>
          </cell>
          <cell r="G4912" t="str">
            <v>CB100405000200</v>
          </cell>
          <cell r="H4912">
            <v>2</v>
          </cell>
          <cell r="I4912" t="str">
            <v>--</v>
          </cell>
          <cell r="J4912">
            <v>6</v>
          </cell>
          <cell r="K4912">
            <v>6.6</v>
          </cell>
        </row>
        <row r="4913">
          <cell r="A4913" t="str">
            <v>MC</v>
          </cell>
          <cell r="B4913" t="str">
            <v>CA304</v>
          </cell>
          <cell r="C4913" t="str">
            <v>MC</v>
          </cell>
          <cell r="D4913" t="str">
            <v>2502</v>
          </cell>
          <cell r="E4913" t="str">
            <v>PIPE</v>
          </cell>
          <cell r="F4913">
            <v>1</v>
          </cell>
          <cell r="G4913" t="str">
            <v>CB100405000200</v>
          </cell>
          <cell r="H4913">
            <v>2</v>
          </cell>
          <cell r="I4913" t="str">
            <v>--</v>
          </cell>
          <cell r="J4913">
            <v>6</v>
          </cell>
          <cell r="K4913">
            <v>6.6</v>
          </cell>
        </row>
        <row r="4914">
          <cell r="A4914" t="str">
            <v>MC</v>
          </cell>
          <cell r="B4914" t="str">
            <v>CA304</v>
          </cell>
          <cell r="C4914" t="str">
            <v>MC</v>
          </cell>
          <cell r="D4914" t="str">
            <v>2610</v>
          </cell>
          <cell r="E4914" t="str">
            <v>PIPE</v>
          </cell>
          <cell r="F4914">
            <v>1</v>
          </cell>
          <cell r="G4914" t="str">
            <v>CB100405000200</v>
          </cell>
          <cell r="H4914">
            <v>2</v>
          </cell>
          <cell r="I4914" t="str">
            <v>--</v>
          </cell>
          <cell r="J4914">
            <v>13</v>
          </cell>
          <cell r="K4914">
            <v>14.3</v>
          </cell>
        </row>
        <row r="4915">
          <cell r="A4915" t="str">
            <v>MC</v>
          </cell>
          <cell r="B4915" t="str">
            <v>CA304</v>
          </cell>
          <cell r="C4915" t="str">
            <v>MC</v>
          </cell>
          <cell r="D4915" t="str">
            <v>2506</v>
          </cell>
          <cell r="E4915" t="str">
            <v>PIPE</v>
          </cell>
          <cell r="F4915">
            <v>1</v>
          </cell>
          <cell r="G4915" t="str">
            <v>CB100405000200</v>
          </cell>
          <cell r="H4915">
            <v>2</v>
          </cell>
          <cell r="I4915" t="str">
            <v>--</v>
          </cell>
          <cell r="J4915">
            <v>15</v>
          </cell>
          <cell r="K4915">
            <v>16.5</v>
          </cell>
        </row>
        <row r="4916">
          <cell r="A4916" t="str">
            <v>MC</v>
          </cell>
          <cell r="B4916" t="str">
            <v>CA304</v>
          </cell>
          <cell r="C4916" t="str">
            <v>MC</v>
          </cell>
          <cell r="D4916" t="str">
            <v>HOLD</v>
          </cell>
          <cell r="E4916" t="str">
            <v>PIPE</v>
          </cell>
          <cell r="F4916">
            <v>1</v>
          </cell>
          <cell r="G4916" t="str">
            <v>CB100405000200</v>
          </cell>
          <cell r="H4916">
            <v>2</v>
          </cell>
          <cell r="I4916" t="str">
            <v>--</v>
          </cell>
          <cell r="J4916">
            <v>16</v>
          </cell>
          <cell r="K4916">
            <v>17.600000000000001</v>
          </cell>
        </row>
        <row r="4917">
          <cell r="A4917" t="str">
            <v>MC</v>
          </cell>
          <cell r="B4917" t="str">
            <v>CA304</v>
          </cell>
          <cell r="C4917" t="str">
            <v>MC</v>
          </cell>
          <cell r="D4917" t="str">
            <v>HOLD</v>
          </cell>
          <cell r="E4917" t="str">
            <v>PIPE</v>
          </cell>
          <cell r="F4917">
            <v>1</v>
          </cell>
          <cell r="G4917" t="str">
            <v>CB100405000200</v>
          </cell>
          <cell r="H4917">
            <v>2</v>
          </cell>
          <cell r="I4917" t="str">
            <v>--</v>
          </cell>
          <cell r="J4917">
            <v>18</v>
          </cell>
          <cell r="K4917">
            <v>19.8</v>
          </cell>
        </row>
        <row r="4918">
          <cell r="A4918" t="str">
            <v>MC</v>
          </cell>
          <cell r="B4918" t="str">
            <v>B2C</v>
          </cell>
          <cell r="C4918" t="str">
            <v>SH</v>
          </cell>
          <cell r="D4918" t="str">
            <v>1405</v>
          </cell>
          <cell r="E4918" t="str">
            <v>PIPE</v>
          </cell>
          <cell r="F4918">
            <v>1</v>
          </cell>
          <cell r="G4918" t="str">
            <v>CB100408000200</v>
          </cell>
          <cell r="H4918">
            <v>2</v>
          </cell>
          <cell r="I4918" t="str">
            <v>--</v>
          </cell>
          <cell r="J4918">
            <v>19</v>
          </cell>
          <cell r="K4918">
            <v>20.9</v>
          </cell>
        </row>
        <row r="4919">
          <cell r="A4919" t="str">
            <v>MC</v>
          </cell>
          <cell r="B4919" t="str">
            <v>CA304</v>
          </cell>
          <cell r="C4919" t="str">
            <v>MC</v>
          </cell>
          <cell r="D4919" t="str">
            <v>2601</v>
          </cell>
          <cell r="E4919" t="str">
            <v>PIPE</v>
          </cell>
          <cell r="F4919">
            <v>1</v>
          </cell>
          <cell r="G4919" t="str">
            <v>CB100405000200</v>
          </cell>
          <cell r="H4919">
            <v>2</v>
          </cell>
          <cell r="I4919" t="str">
            <v>--</v>
          </cell>
          <cell r="J4919">
            <v>19</v>
          </cell>
          <cell r="K4919">
            <v>20.9</v>
          </cell>
        </row>
        <row r="4920">
          <cell r="A4920" t="str">
            <v>MC</v>
          </cell>
          <cell r="B4920" t="str">
            <v>CA304</v>
          </cell>
          <cell r="C4920" t="str">
            <v>MC</v>
          </cell>
          <cell r="D4920" t="str">
            <v>HOLD</v>
          </cell>
          <cell r="E4920" t="str">
            <v>PIPE</v>
          </cell>
          <cell r="F4920">
            <v>1</v>
          </cell>
          <cell r="G4920" t="str">
            <v>CB100405000200</v>
          </cell>
          <cell r="H4920">
            <v>2</v>
          </cell>
          <cell r="I4920" t="str">
            <v>--</v>
          </cell>
          <cell r="J4920">
            <v>25</v>
          </cell>
          <cell r="K4920">
            <v>27.5</v>
          </cell>
        </row>
        <row r="4921">
          <cell r="A4921" t="str">
            <v>MC</v>
          </cell>
          <cell r="B4921" t="str">
            <v>BA305</v>
          </cell>
          <cell r="C4921" t="str">
            <v>MOH</v>
          </cell>
          <cell r="D4921" t="str">
            <v>2000</v>
          </cell>
          <cell r="E4921" t="str">
            <v>PIPE</v>
          </cell>
          <cell r="F4921">
            <v>1</v>
          </cell>
          <cell r="G4921" t="str">
            <v>CB100405000200</v>
          </cell>
          <cell r="H4921">
            <v>2</v>
          </cell>
          <cell r="I4921" t="str">
            <v>--</v>
          </cell>
          <cell r="J4921">
            <v>31</v>
          </cell>
          <cell r="K4921">
            <v>34.1</v>
          </cell>
        </row>
        <row r="4922">
          <cell r="A4922" t="str">
            <v>MC</v>
          </cell>
          <cell r="B4922" t="str">
            <v>A5C</v>
          </cell>
          <cell r="C4922" t="str">
            <v>P</v>
          </cell>
          <cell r="D4922" t="str">
            <v>23112</v>
          </cell>
          <cell r="E4922" t="str">
            <v>PIPE</v>
          </cell>
          <cell r="F4922">
            <v>1</v>
          </cell>
          <cell r="G4922" t="str">
            <v>CB100408000200</v>
          </cell>
          <cell r="H4922">
            <v>2</v>
          </cell>
          <cell r="I4922" t="str">
            <v>--</v>
          </cell>
          <cell r="J4922">
            <v>50.5</v>
          </cell>
          <cell r="K4922">
            <v>55.6</v>
          </cell>
        </row>
        <row r="4923">
          <cell r="A4923" t="str">
            <v>MC</v>
          </cell>
          <cell r="B4923" t="str">
            <v>A5C</v>
          </cell>
          <cell r="C4923" t="str">
            <v>P</v>
          </cell>
          <cell r="D4923" t="str">
            <v>23116</v>
          </cell>
          <cell r="E4923" t="str">
            <v>PIPE</v>
          </cell>
          <cell r="F4923">
            <v>1</v>
          </cell>
          <cell r="G4923" t="str">
            <v>CB100408000200</v>
          </cell>
          <cell r="H4923">
            <v>2</v>
          </cell>
          <cell r="I4923" t="str">
            <v>--</v>
          </cell>
          <cell r="J4923">
            <v>50.5</v>
          </cell>
          <cell r="K4923">
            <v>55.6</v>
          </cell>
        </row>
        <row r="4924">
          <cell r="A4924" t="str">
            <v>MC</v>
          </cell>
          <cell r="B4924" t="str">
            <v>A5C</v>
          </cell>
          <cell r="C4924" t="str">
            <v>P</v>
          </cell>
          <cell r="D4924" t="str">
            <v>23144</v>
          </cell>
          <cell r="E4924" t="str">
            <v>PIPE</v>
          </cell>
          <cell r="F4924">
            <v>1</v>
          </cell>
          <cell r="G4924" t="str">
            <v>CB100408000200</v>
          </cell>
          <cell r="H4924">
            <v>2</v>
          </cell>
          <cell r="I4924" t="str">
            <v>--</v>
          </cell>
          <cell r="J4924">
            <v>50.5</v>
          </cell>
          <cell r="K4924">
            <v>55.6</v>
          </cell>
        </row>
        <row r="4925">
          <cell r="A4925" t="str">
            <v>MC</v>
          </cell>
          <cell r="B4925" t="str">
            <v>A5C</v>
          </cell>
          <cell r="C4925" t="str">
            <v>P</v>
          </cell>
          <cell r="D4925" t="str">
            <v>23148</v>
          </cell>
          <cell r="E4925" t="str">
            <v>PIPE</v>
          </cell>
          <cell r="F4925">
            <v>1</v>
          </cell>
          <cell r="G4925" t="str">
            <v>CB100408000200</v>
          </cell>
          <cell r="H4925">
            <v>2</v>
          </cell>
          <cell r="I4925" t="str">
            <v>--</v>
          </cell>
          <cell r="J4925">
            <v>50.5</v>
          </cell>
          <cell r="K4925">
            <v>55.6</v>
          </cell>
        </row>
        <row r="4926">
          <cell r="A4926" t="str">
            <v>MC</v>
          </cell>
          <cell r="B4926" t="str">
            <v>A5C</v>
          </cell>
          <cell r="C4926" t="str">
            <v>P</v>
          </cell>
          <cell r="D4926" t="str">
            <v>23108</v>
          </cell>
          <cell r="E4926" t="str">
            <v>PIPE</v>
          </cell>
          <cell r="F4926">
            <v>1</v>
          </cell>
          <cell r="G4926" t="str">
            <v>CB100408000200</v>
          </cell>
          <cell r="H4926">
            <v>2</v>
          </cell>
          <cell r="I4926" t="str">
            <v>--</v>
          </cell>
          <cell r="J4926">
            <v>50.5</v>
          </cell>
          <cell r="K4926">
            <v>55.6</v>
          </cell>
        </row>
        <row r="4927">
          <cell r="A4927" t="str">
            <v>MC</v>
          </cell>
          <cell r="B4927" t="str">
            <v>A5C</v>
          </cell>
          <cell r="C4927" t="str">
            <v>P</v>
          </cell>
          <cell r="D4927" t="str">
            <v>23155</v>
          </cell>
          <cell r="E4927" t="str">
            <v>PIPE</v>
          </cell>
          <cell r="F4927">
            <v>1</v>
          </cell>
          <cell r="G4927" t="str">
            <v>CB100408000200</v>
          </cell>
          <cell r="H4927">
            <v>2</v>
          </cell>
          <cell r="I4927" t="str">
            <v>--</v>
          </cell>
          <cell r="J4927">
            <v>50.5</v>
          </cell>
          <cell r="K4927">
            <v>55.6</v>
          </cell>
        </row>
        <row r="4928">
          <cell r="A4928" t="str">
            <v>MC</v>
          </cell>
          <cell r="B4928" t="str">
            <v>A5C</v>
          </cell>
          <cell r="C4928" t="str">
            <v>P</v>
          </cell>
          <cell r="D4928" t="str">
            <v>HOLD2</v>
          </cell>
          <cell r="E4928" t="str">
            <v>PIPE</v>
          </cell>
          <cell r="F4928">
            <v>1</v>
          </cell>
          <cell r="G4928" t="str">
            <v>CB100408000200</v>
          </cell>
          <cell r="H4928">
            <v>2</v>
          </cell>
          <cell r="I4928" t="str">
            <v>--</v>
          </cell>
          <cell r="J4928">
            <v>306</v>
          </cell>
          <cell r="K4928">
            <v>336.6</v>
          </cell>
        </row>
        <row r="4929">
          <cell r="A4929" t="str">
            <v>MC</v>
          </cell>
          <cell r="B4929" t="str">
            <v>CA304</v>
          </cell>
          <cell r="C4929" t="str">
            <v>VT</v>
          </cell>
          <cell r="D4929" t="str">
            <v>HOLD</v>
          </cell>
          <cell r="E4929" t="str">
            <v>PIPE</v>
          </cell>
          <cell r="F4929">
            <v>1</v>
          </cell>
          <cell r="G4929" t="str">
            <v>CB100405000300</v>
          </cell>
          <cell r="H4929">
            <v>3</v>
          </cell>
          <cell r="I4929" t="str">
            <v>--</v>
          </cell>
          <cell r="J4929">
            <v>1.5</v>
          </cell>
          <cell r="K4929">
            <v>1.7</v>
          </cell>
        </row>
        <row r="4930">
          <cell r="A4930" t="str">
            <v>MC</v>
          </cell>
          <cell r="B4930" t="str">
            <v>B2C</v>
          </cell>
          <cell r="C4930" t="str">
            <v>SH</v>
          </cell>
          <cell r="D4930" t="str">
            <v>1260</v>
          </cell>
          <cell r="E4930" t="str">
            <v>PIPE</v>
          </cell>
          <cell r="F4930">
            <v>1</v>
          </cell>
          <cell r="G4930" t="str">
            <v>CB100404000300</v>
          </cell>
          <cell r="H4930">
            <v>3</v>
          </cell>
          <cell r="I4930" t="str">
            <v>--</v>
          </cell>
          <cell r="J4930">
            <v>2</v>
          </cell>
          <cell r="K4930">
            <v>2.2000000000000002</v>
          </cell>
        </row>
        <row r="4931">
          <cell r="A4931" t="str">
            <v>MC</v>
          </cell>
          <cell r="B4931" t="str">
            <v>CA304</v>
          </cell>
          <cell r="C4931" t="str">
            <v>TRIM</v>
          </cell>
          <cell r="D4931" t="str">
            <v>E-1261</v>
          </cell>
          <cell r="E4931" t="str">
            <v>PIPE</v>
          </cell>
          <cell r="F4931">
            <v>1</v>
          </cell>
          <cell r="G4931" t="str">
            <v>CB100405000300</v>
          </cell>
          <cell r="H4931">
            <v>3</v>
          </cell>
          <cell r="I4931" t="str">
            <v>--</v>
          </cell>
          <cell r="J4931">
            <v>2</v>
          </cell>
          <cell r="K4931">
            <v>2.2000000000000002</v>
          </cell>
        </row>
        <row r="4932">
          <cell r="A4932" t="str">
            <v>MC</v>
          </cell>
          <cell r="B4932" t="str">
            <v>CA304</v>
          </cell>
          <cell r="C4932" t="str">
            <v>MC</v>
          </cell>
          <cell r="D4932" t="str">
            <v>2612</v>
          </cell>
          <cell r="E4932" t="str">
            <v>PIPE</v>
          </cell>
          <cell r="F4932">
            <v>1</v>
          </cell>
          <cell r="G4932" t="str">
            <v>CB100405000300</v>
          </cell>
          <cell r="H4932">
            <v>3</v>
          </cell>
          <cell r="I4932" t="str">
            <v>--</v>
          </cell>
          <cell r="J4932">
            <v>4</v>
          </cell>
          <cell r="K4932">
            <v>4.4000000000000004</v>
          </cell>
        </row>
        <row r="4933">
          <cell r="A4933" t="str">
            <v>MC</v>
          </cell>
          <cell r="B4933" t="str">
            <v>CA304</v>
          </cell>
          <cell r="C4933" t="str">
            <v>CMC</v>
          </cell>
          <cell r="D4933" t="str">
            <v>HOLD</v>
          </cell>
          <cell r="E4933" t="str">
            <v>PIPE</v>
          </cell>
          <cell r="F4933">
            <v>1</v>
          </cell>
          <cell r="G4933" t="str">
            <v>CB100405000300</v>
          </cell>
          <cell r="H4933">
            <v>3</v>
          </cell>
          <cell r="I4933" t="str">
            <v>--</v>
          </cell>
          <cell r="J4933">
            <v>6</v>
          </cell>
          <cell r="K4933">
            <v>6.6</v>
          </cell>
        </row>
        <row r="4934">
          <cell r="A4934" t="str">
            <v>MC</v>
          </cell>
          <cell r="B4934" t="str">
            <v>CA304</v>
          </cell>
          <cell r="C4934" t="str">
            <v>MC</v>
          </cell>
          <cell r="D4934" t="str">
            <v>HOLD</v>
          </cell>
          <cell r="E4934" t="str">
            <v>PIPE</v>
          </cell>
          <cell r="F4934">
            <v>1</v>
          </cell>
          <cell r="G4934" t="str">
            <v>CB100405000300</v>
          </cell>
          <cell r="H4934">
            <v>3</v>
          </cell>
          <cell r="I4934" t="str">
            <v>--</v>
          </cell>
          <cell r="J4934">
            <v>6</v>
          </cell>
          <cell r="K4934">
            <v>6.6</v>
          </cell>
        </row>
        <row r="4935">
          <cell r="A4935" t="str">
            <v>MC</v>
          </cell>
          <cell r="B4935" t="str">
            <v>CA304</v>
          </cell>
          <cell r="C4935" t="str">
            <v>MC</v>
          </cell>
          <cell r="D4935" t="str">
            <v>HOLD</v>
          </cell>
          <cell r="E4935" t="str">
            <v>PIPE</v>
          </cell>
          <cell r="F4935">
            <v>1</v>
          </cell>
          <cell r="G4935" t="str">
            <v>CB100405000300</v>
          </cell>
          <cell r="H4935">
            <v>3</v>
          </cell>
          <cell r="I4935" t="str">
            <v>--</v>
          </cell>
          <cell r="J4935">
            <v>6</v>
          </cell>
          <cell r="K4935">
            <v>6.6</v>
          </cell>
        </row>
        <row r="4936">
          <cell r="A4936" t="str">
            <v>MC</v>
          </cell>
          <cell r="B4936" t="str">
            <v>CA304</v>
          </cell>
          <cell r="C4936" t="str">
            <v>MC</v>
          </cell>
          <cell r="D4936" t="str">
            <v>HOLD</v>
          </cell>
          <cell r="E4936" t="str">
            <v>PIPE</v>
          </cell>
          <cell r="F4936">
            <v>1</v>
          </cell>
          <cell r="G4936" t="str">
            <v>CB100405000300</v>
          </cell>
          <cell r="H4936">
            <v>3</v>
          </cell>
          <cell r="I4936" t="str">
            <v>--</v>
          </cell>
          <cell r="J4936">
            <v>6</v>
          </cell>
          <cell r="K4936">
            <v>6.6</v>
          </cell>
        </row>
        <row r="4937">
          <cell r="A4937" t="str">
            <v>MC</v>
          </cell>
          <cell r="B4937" t="str">
            <v>CA304</v>
          </cell>
          <cell r="C4937" t="str">
            <v>VT</v>
          </cell>
          <cell r="D4937" t="str">
            <v>HOLD</v>
          </cell>
          <cell r="E4937" t="str">
            <v>PIPE</v>
          </cell>
          <cell r="F4937">
            <v>1</v>
          </cell>
          <cell r="G4937" t="str">
            <v>CB100405000300</v>
          </cell>
          <cell r="H4937">
            <v>3</v>
          </cell>
          <cell r="I4937" t="str">
            <v>--</v>
          </cell>
          <cell r="J4937">
            <v>8</v>
          </cell>
          <cell r="K4937">
            <v>8.8000000000000007</v>
          </cell>
        </row>
        <row r="4938">
          <cell r="A4938" t="str">
            <v>MC</v>
          </cell>
          <cell r="B4938" t="str">
            <v>CA304</v>
          </cell>
          <cell r="C4938" t="str">
            <v>VT</v>
          </cell>
          <cell r="D4938" t="str">
            <v>HOLD</v>
          </cell>
          <cell r="E4938" t="str">
            <v>PIPE</v>
          </cell>
          <cell r="F4938">
            <v>1</v>
          </cell>
          <cell r="G4938" t="str">
            <v>CB100405000300</v>
          </cell>
          <cell r="H4938">
            <v>3</v>
          </cell>
          <cell r="I4938" t="str">
            <v>--</v>
          </cell>
          <cell r="J4938">
            <v>8.5</v>
          </cell>
          <cell r="K4938">
            <v>9.4</v>
          </cell>
        </row>
        <row r="4939">
          <cell r="A4939" t="str">
            <v>MC</v>
          </cell>
          <cell r="B4939" t="str">
            <v>CA304</v>
          </cell>
          <cell r="C4939" t="str">
            <v>MC</v>
          </cell>
          <cell r="D4939" t="str">
            <v>2606</v>
          </cell>
          <cell r="E4939" t="str">
            <v>PIPE</v>
          </cell>
          <cell r="F4939">
            <v>1</v>
          </cell>
          <cell r="G4939" t="str">
            <v>CB100405000300</v>
          </cell>
          <cell r="H4939">
            <v>3</v>
          </cell>
          <cell r="I4939" t="str">
            <v>--</v>
          </cell>
          <cell r="J4939">
            <v>14</v>
          </cell>
          <cell r="K4939">
            <v>15.4</v>
          </cell>
        </row>
        <row r="4940">
          <cell r="A4940" t="str">
            <v>MC</v>
          </cell>
          <cell r="B4940" t="str">
            <v>CA304</v>
          </cell>
          <cell r="C4940" t="str">
            <v>MC</v>
          </cell>
          <cell r="D4940" t="str">
            <v>2505</v>
          </cell>
          <cell r="E4940" t="str">
            <v>PIPE</v>
          </cell>
          <cell r="F4940">
            <v>1</v>
          </cell>
          <cell r="G4940" t="str">
            <v>CB100405000400</v>
          </cell>
          <cell r="H4940">
            <v>4</v>
          </cell>
          <cell r="I4940" t="str">
            <v>--</v>
          </cell>
          <cell r="J4940">
            <v>0.2</v>
          </cell>
          <cell r="K4940">
            <v>0.3</v>
          </cell>
        </row>
        <row r="4941">
          <cell r="A4941" t="str">
            <v>MC</v>
          </cell>
          <cell r="B4941" t="str">
            <v>CA304</v>
          </cell>
          <cell r="C4941" t="str">
            <v>MC</v>
          </cell>
          <cell r="D4941" t="str">
            <v>2605</v>
          </cell>
          <cell r="E4941" t="str">
            <v>PIPE</v>
          </cell>
          <cell r="F4941">
            <v>1</v>
          </cell>
          <cell r="G4941" t="str">
            <v>CB100405000400</v>
          </cell>
          <cell r="H4941">
            <v>4</v>
          </cell>
          <cell r="I4941" t="str">
            <v>--</v>
          </cell>
          <cell r="J4941">
            <v>0.2</v>
          </cell>
          <cell r="K4941">
            <v>0.3</v>
          </cell>
        </row>
        <row r="4942">
          <cell r="A4942" t="str">
            <v>MC</v>
          </cell>
          <cell r="B4942" t="str">
            <v>CA304</v>
          </cell>
          <cell r="C4942" t="str">
            <v>MC</v>
          </cell>
          <cell r="D4942" t="str">
            <v>2506</v>
          </cell>
          <cell r="E4942" t="str">
            <v>PIPE</v>
          </cell>
          <cell r="F4942">
            <v>1</v>
          </cell>
          <cell r="G4942" t="str">
            <v>CB100405000400</v>
          </cell>
          <cell r="H4942">
            <v>4</v>
          </cell>
          <cell r="I4942" t="str">
            <v>--</v>
          </cell>
          <cell r="J4942">
            <v>0.2</v>
          </cell>
          <cell r="K4942">
            <v>0.3</v>
          </cell>
        </row>
        <row r="4943">
          <cell r="A4943" t="str">
            <v>MC</v>
          </cell>
          <cell r="B4943" t="str">
            <v>CA304</v>
          </cell>
          <cell r="C4943" t="str">
            <v>MC</v>
          </cell>
          <cell r="D4943" t="str">
            <v>2609</v>
          </cell>
          <cell r="E4943" t="str">
            <v>PIPE</v>
          </cell>
          <cell r="F4943">
            <v>1</v>
          </cell>
          <cell r="G4943" t="str">
            <v>CB100405000400</v>
          </cell>
          <cell r="H4943">
            <v>4</v>
          </cell>
          <cell r="I4943" t="str">
            <v>--</v>
          </cell>
          <cell r="J4943">
            <v>0.2</v>
          </cell>
          <cell r="K4943">
            <v>0.3</v>
          </cell>
        </row>
        <row r="4944">
          <cell r="A4944" t="str">
            <v>MC</v>
          </cell>
          <cell r="B4944" t="str">
            <v>CA304</v>
          </cell>
          <cell r="C4944" t="str">
            <v>MC</v>
          </cell>
          <cell r="D4944" t="str">
            <v>2604</v>
          </cell>
          <cell r="E4944" t="str">
            <v>PIPE</v>
          </cell>
          <cell r="F4944">
            <v>1</v>
          </cell>
          <cell r="G4944" t="str">
            <v>CB100405000400</v>
          </cell>
          <cell r="H4944">
            <v>4</v>
          </cell>
          <cell r="I4944" t="str">
            <v>--</v>
          </cell>
          <cell r="J4944">
            <v>0.5</v>
          </cell>
          <cell r="K4944">
            <v>0.6</v>
          </cell>
        </row>
        <row r="4945">
          <cell r="A4945" t="str">
            <v>MC</v>
          </cell>
          <cell r="B4945" t="str">
            <v>B2C</v>
          </cell>
          <cell r="C4945" t="str">
            <v>SH</v>
          </cell>
          <cell r="D4945" t="str">
            <v>1460</v>
          </cell>
          <cell r="E4945" t="str">
            <v>PIPE</v>
          </cell>
          <cell r="F4945">
            <v>1</v>
          </cell>
          <cell r="G4945" t="str">
            <v>CB100404000400</v>
          </cell>
          <cell r="H4945">
            <v>4</v>
          </cell>
          <cell r="I4945" t="str">
            <v>--</v>
          </cell>
          <cell r="J4945">
            <v>1</v>
          </cell>
          <cell r="K4945">
            <v>1.2</v>
          </cell>
        </row>
        <row r="4946">
          <cell r="A4946" t="str">
            <v>MC</v>
          </cell>
          <cell r="B4946" t="str">
            <v>CA304</v>
          </cell>
          <cell r="C4946" t="str">
            <v>CMC</v>
          </cell>
          <cell r="D4946" t="str">
            <v>HOLD</v>
          </cell>
          <cell r="E4946" t="str">
            <v>PIPE</v>
          </cell>
          <cell r="F4946">
            <v>1</v>
          </cell>
          <cell r="G4946" t="str">
            <v>CB100405000400</v>
          </cell>
          <cell r="H4946">
            <v>4</v>
          </cell>
          <cell r="I4946" t="str">
            <v>--</v>
          </cell>
          <cell r="J4946">
            <v>2</v>
          </cell>
          <cell r="K4946">
            <v>2.4</v>
          </cell>
        </row>
        <row r="4947">
          <cell r="A4947" t="str">
            <v>MC</v>
          </cell>
          <cell r="B4947" t="str">
            <v>CA304</v>
          </cell>
          <cell r="C4947" t="str">
            <v>CMC</v>
          </cell>
          <cell r="D4947" t="str">
            <v>HOLD</v>
          </cell>
          <cell r="E4947" t="str">
            <v>PIPE</v>
          </cell>
          <cell r="F4947">
            <v>1</v>
          </cell>
          <cell r="G4947" t="str">
            <v>CB100405000400</v>
          </cell>
          <cell r="H4947">
            <v>4</v>
          </cell>
          <cell r="I4947" t="str">
            <v>--</v>
          </cell>
          <cell r="J4947">
            <v>2</v>
          </cell>
          <cell r="K4947">
            <v>2.4</v>
          </cell>
        </row>
        <row r="4948">
          <cell r="A4948" t="str">
            <v>MC</v>
          </cell>
          <cell r="B4948" t="str">
            <v>CA304</v>
          </cell>
          <cell r="C4948" t="str">
            <v>CMC</v>
          </cell>
          <cell r="D4948" t="str">
            <v>HOLD</v>
          </cell>
          <cell r="E4948" t="str">
            <v>PIPE</v>
          </cell>
          <cell r="F4948">
            <v>1</v>
          </cell>
          <cell r="G4948" t="str">
            <v>CB100405000400</v>
          </cell>
          <cell r="H4948">
            <v>4</v>
          </cell>
          <cell r="I4948" t="str">
            <v>--</v>
          </cell>
          <cell r="J4948">
            <v>4</v>
          </cell>
          <cell r="K4948">
            <v>4.8</v>
          </cell>
        </row>
        <row r="4949">
          <cell r="A4949" t="str">
            <v>MC</v>
          </cell>
          <cell r="B4949" t="str">
            <v>CA304</v>
          </cell>
          <cell r="C4949" t="str">
            <v>MC</v>
          </cell>
          <cell r="D4949" t="str">
            <v>2502</v>
          </cell>
          <cell r="E4949" t="str">
            <v>PIPE</v>
          </cell>
          <cell r="F4949">
            <v>1</v>
          </cell>
          <cell r="G4949" t="str">
            <v>CB100405000400</v>
          </cell>
          <cell r="H4949">
            <v>4</v>
          </cell>
          <cell r="I4949" t="str">
            <v>--</v>
          </cell>
          <cell r="J4949">
            <v>5</v>
          </cell>
          <cell r="K4949">
            <v>6</v>
          </cell>
        </row>
        <row r="4950">
          <cell r="A4950" t="str">
            <v>MC</v>
          </cell>
          <cell r="B4950" t="str">
            <v>CA304</v>
          </cell>
          <cell r="C4950" t="str">
            <v>MC</v>
          </cell>
          <cell r="D4950" t="str">
            <v>2502</v>
          </cell>
          <cell r="E4950" t="str">
            <v>PIPE</v>
          </cell>
          <cell r="F4950">
            <v>1</v>
          </cell>
          <cell r="G4950" t="str">
            <v>CB100405000400</v>
          </cell>
          <cell r="H4950">
            <v>4</v>
          </cell>
          <cell r="I4950" t="str">
            <v>--</v>
          </cell>
          <cell r="J4950">
            <v>5</v>
          </cell>
          <cell r="K4950">
            <v>6</v>
          </cell>
        </row>
        <row r="4951">
          <cell r="A4951" t="str">
            <v>MC</v>
          </cell>
          <cell r="B4951" t="str">
            <v>CA304</v>
          </cell>
          <cell r="C4951" t="str">
            <v>MC</v>
          </cell>
          <cell r="D4951" t="str">
            <v>2503</v>
          </cell>
          <cell r="E4951" t="str">
            <v>PIPE</v>
          </cell>
          <cell r="F4951">
            <v>1</v>
          </cell>
          <cell r="G4951" t="str">
            <v>CB100405000400</v>
          </cell>
          <cell r="H4951">
            <v>4</v>
          </cell>
          <cell r="I4951" t="str">
            <v>--</v>
          </cell>
          <cell r="J4951">
            <v>6</v>
          </cell>
          <cell r="K4951">
            <v>7.2</v>
          </cell>
        </row>
        <row r="4952">
          <cell r="A4952" t="str">
            <v>MC</v>
          </cell>
          <cell r="B4952" t="str">
            <v>CA304</v>
          </cell>
          <cell r="C4952" t="str">
            <v>MC</v>
          </cell>
          <cell r="D4952" t="str">
            <v>2507</v>
          </cell>
          <cell r="E4952" t="str">
            <v>PIPE</v>
          </cell>
          <cell r="F4952">
            <v>1</v>
          </cell>
          <cell r="G4952" t="str">
            <v>CB100405000400</v>
          </cell>
          <cell r="H4952">
            <v>4</v>
          </cell>
          <cell r="I4952" t="str">
            <v>--</v>
          </cell>
          <cell r="J4952">
            <v>7</v>
          </cell>
          <cell r="K4952">
            <v>8.4</v>
          </cell>
        </row>
        <row r="4953">
          <cell r="A4953" t="str">
            <v>MC</v>
          </cell>
          <cell r="B4953" t="str">
            <v>CA304</v>
          </cell>
          <cell r="C4953" t="str">
            <v>VT</v>
          </cell>
          <cell r="D4953" t="str">
            <v>HOLD</v>
          </cell>
          <cell r="E4953" t="str">
            <v>PIPE</v>
          </cell>
          <cell r="F4953">
            <v>1</v>
          </cell>
          <cell r="G4953" t="str">
            <v>CB100405000400</v>
          </cell>
          <cell r="H4953">
            <v>4</v>
          </cell>
          <cell r="I4953" t="str">
            <v>--</v>
          </cell>
          <cell r="J4953">
            <v>11.5</v>
          </cell>
          <cell r="K4953">
            <v>13.8</v>
          </cell>
        </row>
        <row r="4954">
          <cell r="A4954" t="str">
            <v>MC</v>
          </cell>
          <cell r="B4954" t="str">
            <v>CA304</v>
          </cell>
          <cell r="C4954" t="str">
            <v>MC</v>
          </cell>
          <cell r="D4954" t="str">
            <v>HOLD</v>
          </cell>
          <cell r="E4954" t="str">
            <v>PIPE</v>
          </cell>
          <cell r="F4954">
            <v>1</v>
          </cell>
          <cell r="G4954" t="str">
            <v>CB100405000400</v>
          </cell>
          <cell r="H4954">
            <v>4</v>
          </cell>
          <cell r="I4954" t="str">
            <v>--</v>
          </cell>
          <cell r="J4954">
            <v>14</v>
          </cell>
          <cell r="K4954">
            <v>16.8</v>
          </cell>
        </row>
        <row r="4955">
          <cell r="A4955" t="str">
            <v>MC</v>
          </cell>
          <cell r="B4955" t="str">
            <v>CA304</v>
          </cell>
          <cell r="C4955" t="str">
            <v>MC</v>
          </cell>
          <cell r="D4955" t="str">
            <v>HOLD</v>
          </cell>
          <cell r="E4955" t="str">
            <v>PIPE</v>
          </cell>
          <cell r="F4955">
            <v>1</v>
          </cell>
          <cell r="G4955" t="str">
            <v>CB100405000400</v>
          </cell>
          <cell r="H4955">
            <v>4</v>
          </cell>
          <cell r="I4955" t="str">
            <v>--</v>
          </cell>
          <cell r="J4955">
            <v>14</v>
          </cell>
          <cell r="K4955">
            <v>16.8</v>
          </cell>
        </row>
        <row r="4956">
          <cell r="A4956" t="str">
            <v>MC</v>
          </cell>
          <cell r="B4956" t="str">
            <v>CA304</v>
          </cell>
          <cell r="C4956" t="str">
            <v>MC</v>
          </cell>
          <cell r="D4956" t="str">
            <v>HOLD</v>
          </cell>
          <cell r="E4956" t="str">
            <v>PIPE</v>
          </cell>
          <cell r="F4956">
            <v>1</v>
          </cell>
          <cell r="G4956" t="str">
            <v>CB100405000400</v>
          </cell>
          <cell r="H4956">
            <v>4</v>
          </cell>
          <cell r="I4956" t="str">
            <v>--</v>
          </cell>
          <cell r="J4956">
            <v>14</v>
          </cell>
          <cell r="K4956">
            <v>16.8</v>
          </cell>
        </row>
        <row r="4957">
          <cell r="A4957" t="str">
            <v>MC</v>
          </cell>
          <cell r="B4957" t="str">
            <v>CA304</v>
          </cell>
          <cell r="C4957" t="str">
            <v>VT</v>
          </cell>
          <cell r="D4957" t="str">
            <v>HOLD</v>
          </cell>
          <cell r="E4957" t="str">
            <v>PIPE</v>
          </cell>
          <cell r="F4957">
            <v>1</v>
          </cell>
          <cell r="G4957" t="str">
            <v>CB100405000400</v>
          </cell>
          <cell r="H4957">
            <v>4</v>
          </cell>
          <cell r="I4957" t="str">
            <v>--</v>
          </cell>
          <cell r="J4957">
            <v>15.5</v>
          </cell>
          <cell r="K4957">
            <v>18.600000000000001</v>
          </cell>
        </row>
        <row r="4958">
          <cell r="A4958" t="str">
            <v>MC</v>
          </cell>
          <cell r="B4958" t="str">
            <v>B2C</v>
          </cell>
          <cell r="C4958" t="str">
            <v>SH</v>
          </cell>
          <cell r="D4958" t="str">
            <v>1260</v>
          </cell>
          <cell r="E4958" t="str">
            <v>PIPE</v>
          </cell>
          <cell r="F4958">
            <v>1</v>
          </cell>
          <cell r="G4958" t="str">
            <v>CB100404000400</v>
          </cell>
          <cell r="H4958">
            <v>4</v>
          </cell>
          <cell r="I4958" t="str">
            <v>--</v>
          </cell>
          <cell r="J4958">
            <v>20.5</v>
          </cell>
          <cell r="K4958">
            <v>24.6</v>
          </cell>
        </row>
        <row r="4959">
          <cell r="A4959" t="str">
            <v>MC</v>
          </cell>
          <cell r="B4959" t="str">
            <v>CA307</v>
          </cell>
          <cell r="C4959" t="str">
            <v>P</v>
          </cell>
          <cell r="D4959" t="str">
            <v>HOLD1</v>
          </cell>
          <cell r="E4959" t="str">
            <v>PIPE</v>
          </cell>
          <cell r="F4959">
            <v>1</v>
          </cell>
          <cell r="G4959" t="str">
            <v>CB100405000400</v>
          </cell>
          <cell r="H4959">
            <v>4</v>
          </cell>
          <cell r="I4959" t="str">
            <v>--</v>
          </cell>
          <cell r="J4959">
            <v>51</v>
          </cell>
          <cell r="K4959">
            <v>61.2</v>
          </cell>
        </row>
        <row r="4960">
          <cell r="A4960" t="str">
            <v>MC</v>
          </cell>
          <cell r="B4960" t="str">
            <v>B2C</v>
          </cell>
          <cell r="C4960" t="str">
            <v>SH</v>
          </cell>
          <cell r="D4960" t="str">
            <v>1000</v>
          </cell>
          <cell r="E4960" t="str">
            <v>PIPE</v>
          </cell>
          <cell r="F4960">
            <v>1</v>
          </cell>
          <cell r="G4960" t="str">
            <v>CB100404000600</v>
          </cell>
          <cell r="H4960">
            <v>6</v>
          </cell>
          <cell r="I4960" t="str">
            <v>--</v>
          </cell>
          <cell r="J4960">
            <v>1</v>
          </cell>
          <cell r="K4960">
            <v>1.2</v>
          </cell>
        </row>
        <row r="4961">
          <cell r="A4961" t="str">
            <v>MC</v>
          </cell>
          <cell r="B4961" t="str">
            <v>B2C</v>
          </cell>
          <cell r="C4961" t="str">
            <v>SH</v>
          </cell>
          <cell r="D4961" t="str">
            <v>1360</v>
          </cell>
          <cell r="E4961" t="str">
            <v>PIPE</v>
          </cell>
          <cell r="F4961">
            <v>1</v>
          </cell>
          <cell r="G4961" t="str">
            <v>CB100404000600</v>
          </cell>
          <cell r="H4961">
            <v>6</v>
          </cell>
          <cell r="I4961" t="str">
            <v>--</v>
          </cell>
          <cell r="J4961">
            <v>2</v>
          </cell>
          <cell r="K4961">
            <v>2.4</v>
          </cell>
        </row>
        <row r="4962">
          <cell r="A4962" t="str">
            <v>MC</v>
          </cell>
          <cell r="B4962" t="str">
            <v>CA304</v>
          </cell>
          <cell r="C4962" t="str">
            <v>CMC</v>
          </cell>
          <cell r="D4962" t="str">
            <v>HOLD</v>
          </cell>
          <cell r="E4962" t="str">
            <v>PIPE</v>
          </cell>
          <cell r="F4962">
            <v>1</v>
          </cell>
          <cell r="G4962" t="str">
            <v>CB100405000600</v>
          </cell>
          <cell r="H4962">
            <v>6</v>
          </cell>
          <cell r="I4962" t="str">
            <v>--</v>
          </cell>
          <cell r="J4962">
            <v>2</v>
          </cell>
          <cell r="K4962">
            <v>2.4</v>
          </cell>
        </row>
        <row r="4963">
          <cell r="A4963" t="str">
            <v>MC</v>
          </cell>
          <cell r="B4963" t="str">
            <v>CA304</v>
          </cell>
          <cell r="C4963" t="str">
            <v>CMC</v>
          </cell>
          <cell r="D4963" t="str">
            <v>HOLD</v>
          </cell>
          <cell r="E4963" t="str">
            <v>PIPE</v>
          </cell>
          <cell r="F4963">
            <v>1</v>
          </cell>
          <cell r="G4963" t="str">
            <v>CB100405000600</v>
          </cell>
          <cell r="H4963">
            <v>6</v>
          </cell>
          <cell r="I4963" t="str">
            <v>--</v>
          </cell>
          <cell r="J4963">
            <v>2</v>
          </cell>
          <cell r="K4963">
            <v>2.4</v>
          </cell>
        </row>
        <row r="4964">
          <cell r="A4964" t="str">
            <v>MC</v>
          </cell>
          <cell r="B4964" t="str">
            <v>CA304</v>
          </cell>
          <cell r="C4964" t="str">
            <v>MC</v>
          </cell>
          <cell r="D4964" t="str">
            <v>2502</v>
          </cell>
          <cell r="E4964" t="str">
            <v>PIPE</v>
          </cell>
          <cell r="F4964">
            <v>1</v>
          </cell>
          <cell r="G4964" t="str">
            <v>CB100405000600</v>
          </cell>
          <cell r="H4964">
            <v>6</v>
          </cell>
          <cell r="I4964" t="str">
            <v>--</v>
          </cell>
          <cell r="J4964">
            <v>5</v>
          </cell>
          <cell r="K4964">
            <v>6</v>
          </cell>
        </row>
        <row r="4965">
          <cell r="A4965" t="str">
            <v>MC</v>
          </cell>
          <cell r="B4965" t="str">
            <v>BA305</v>
          </cell>
          <cell r="C4965" t="str">
            <v>MOH</v>
          </cell>
          <cell r="D4965" t="str">
            <v>HOLD</v>
          </cell>
          <cell r="E4965" t="str">
            <v>PIPE</v>
          </cell>
          <cell r="F4965">
            <v>1</v>
          </cell>
          <cell r="G4965" t="str">
            <v>CB100405000600</v>
          </cell>
          <cell r="H4965">
            <v>6</v>
          </cell>
          <cell r="I4965" t="str">
            <v>--</v>
          </cell>
          <cell r="J4965">
            <v>9</v>
          </cell>
          <cell r="K4965">
            <v>10.8</v>
          </cell>
        </row>
        <row r="4966">
          <cell r="A4966" t="str">
            <v>MC</v>
          </cell>
          <cell r="B4966" t="str">
            <v>BA305</v>
          </cell>
          <cell r="C4966" t="str">
            <v>MOH</v>
          </cell>
          <cell r="D4966" t="str">
            <v>2103</v>
          </cell>
          <cell r="E4966" t="str">
            <v>PIPE</v>
          </cell>
          <cell r="F4966">
            <v>1</v>
          </cell>
          <cell r="G4966" t="str">
            <v>CB100405000600</v>
          </cell>
          <cell r="H4966">
            <v>6</v>
          </cell>
          <cell r="I4966" t="str">
            <v>--</v>
          </cell>
          <cell r="J4966">
            <v>10</v>
          </cell>
          <cell r="K4966">
            <v>12</v>
          </cell>
        </row>
        <row r="4967">
          <cell r="A4967" t="str">
            <v>MC</v>
          </cell>
          <cell r="B4967" t="str">
            <v>CA304</v>
          </cell>
          <cell r="C4967" t="str">
            <v>MC</v>
          </cell>
          <cell r="D4967" t="str">
            <v>2502</v>
          </cell>
          <cell r="E4967" t="str">
            <v>PIPE</v>
          </cell>
          <cell r="F4967">
            <v>1</v>
          </cell>
          <cell r="G4967" t="str">
            <v>CB100405000600</v>
          </cell>
          <cell r="H4967">
            <v>6</v>
          </cell>
          <cell r="I4967" t="str">
            <v>--</v>
          </cell>
          <cell r="J4967">
            <v>12</v>
          </cell>
          <cell r="K4967">
            <v>14.4</v>
          </cell>
        </row>
        <row r="4968">
          <cell r="A4968" t="str">
            <v>MC</v>
          </cell>
          <cell r="B4968" t="str">
            <v>CA304</v>
          </cell>
          <cell r="C4968" t="str">
            <v>MC</v>
          </cell>
          <cell r="D4968" t="str">
            <v>2410</v>
          </cell>
          <cell r="E4968" t="str">
            <v>PIPE</v>
          </cell>
          <cell r="F4968">
            <v>1</v>
          </cell>
          <cell r="G4968" t="str">
            <v>CB100405000600</v>
          </cell>
          <cell r="H4968">
            <v>6</v>
          </cell>
          <cell r="I4968" t="str">
            <v>--</v>
          </cell>
          <cell r="J4968">
            <v>12.5</v>
          </cell>
          <cell r="K4968">
            <v>15</v>
          </cell>
        </row>
        <row r="4969">
          <cell r="A4969" t="str">
            <v>MC</v>
          </cell>
          <cell r="B4969" t="str">
            <v>CA304</v>
          </cell>
          <cell r="C4969" t="str">
            <v>CMC</v>
          </cell>
          <cell r="D4969" t="str">
            <v>HOLD</v>
          </cell>
          <cell r="E4969" t="str">
            <v>PIPE</v>
          </cell>
          <cell r="F4969">
            <v>1</v>
          </cell>
          <cell r="G4969" t="str">
            <v>CB100405000600</v>
          </cell>
          <cell r="H4969">
            <v>6</v>
          </cell>
          <cell r="I4969" t="str">
            <v>--</v>
          </cell>
          <cell r="J4969">
            <v>14</v>
          </cell>
          <cell r="K4969">
            <v>16.8</v>
          </cell>
        </row>
        <row r="4970">
          <cell r="A4970" t="str">
            <v>MC</v>
          </cell>
          <cell r="B4970" t="str">
            <v>B2C</v>
          </cell>
          <cell r="C4970" t="str">
            <v>SH</v>
          </cell>
          <cell r="D4970" t="str">
            <v>1460</v>
          </cell>
          <cell r="E4970" t="str">
            <v>PIPE</v>
          </cell>
          <cell r="F4970">
            <v>1</v>
          </cell>
          <cell r="G4970" t="str">
            <v>CB100404000600</v>
          </cell>
          <cell r="H4970">
            <v>6</v>
          </cell>
          <cell r="I4970" t="str">
            <v>--</v>
          </cell>
          <cell r="J4970">
            <v>16</v>
          </cell>
          <cell r="K4970">
            <v>19.2</v>
          </cell>
        </row>
        <row r="4971">
          <cell r="A4971" t="str">
            <v>MC</v>
          </cell>
          <cell r="B4971" t="str">
            <v>CA304</v>
          </cell>
          <cell r="C4971" t="str">
            <v>MC</v>
          </cell>
          <cell r="D4971" t="str">
            <v>2412</v>
          </cell>
          <cell r="E4971" t="str">
            <v>PIPE</v>
          </cell>
          <cell r="F4971">
            <v>1</v>
          </cell>
          <cell r="G4971" t="str">
            <v>CB100405000600</v>
          </cell>
          <cell r="H4971">
            <v>6</v>
          </cell>
          <cell r="I4971" t="str">
            <v>--</v>
          </cell>
          <cell r="J4971">
            <v>16</v>
          </cell>
          <cell r="K4971">
            <v>19.2</v>
          </cell>
        </row>
        <row r="4972">
          <cell r="A4972" t="str">
            <v>MC</v>
          </cell>
          <cell r="B4972" t="str">
            <v>CA304</v>
          </cell>
          <cell r="C4972" t="str">
            <v>MC</v>
          </cell>
          <cell r="D4972" t="str">
            <v>2504</v>
          </cell>
          <cell r="E4972" t="str">
            <v>PIPE</v>
          </cell>
          <cell r="F4972">
            <v>1</v>
          </cell>
          <cell r="G4972" t="str">
            <v>CB100405000600</v>
          </cell>
          <cell r="H4972">
            <v>6</v>
          </cell>
          <cell r="I4972" t="str">
            <v>--</v>
          </cell>
          <cell r="J4972">
            <v>17</v>
          </cell>
          <cell r="K4972">
            <v>20.399999999999999</v>
          </cell>
        </row>
        <row r="4973">
          <cell r="A4973" t="str">
            <v>MC</v>
          </cell>
          <cell r="B4973" t="str">
            <v>CA304</v>
          </cell>
          <cell r="C4973" t="str">
            <v>MC</v>
          </cell>
          <cell r="D4973" t="str">
            <v>2613</v>
          </cell>
          <cell r="E4973" t="str">
            <v>PIPE</v>
          </cell>
          <cell r="F4973">
            <v>1</v>
          </cell>
          <cell r="G4973" t="str">
            <v>CB100405000600</v>
          </cell>
          <cell r="H4973">
            <v>6</v>
          </cell>
          <cell r="I4973" t="str">
            <v>--</v>
          </cell>
          <cell r="J4973">
            <v>23</v>
          </cell>
          <cell r="K4973">
            <v>27.6</v>
          </cell>
        </row>
        <row r="4974">
          <cell r="A4974" t="str">
            <v>MC</v>
          </cell>
          <cell r="B4974" t="str">
            <v>CA307</v>
          </cell>
          <cell r="C4974" t="str">
            <v>HCLG</v>
          </cell>
          <cell r="D4974" t="str">
            <v>1100</v>
          </cell>
          <cell r="E4974" t="str">
            <v>PIPE</v>
          </cell>
          <cell r="F4974">
            <v>1</v>
          </cell>
          <cell r="G4974" t="str">
            <v>CB100405000600</v>
          </cell>
          <cell r="H4974">
            <v>6</v>
          </cell>
          <cell r="I4974" t="str">
            <v>--</v>
          </cell>
          <cell r="J4974">
            <v>51</v>
          </cell>
          <cell r="K4974">
            <v>61.2</v>
          </cell>
        </row>
        <row r="4975">
          <cell r="A4975" t="str">
            <v>MC</v>
          </cell>
          <cell r="B4975" t="str">
            <v>CA307</v>
          </cell>
          <cell r="C4975" t="str">
            <v>HCL</v>
          </cell>
          <cell r="D4975" t="str">
            <v>1100</v>
          </cell>
          <cell r="E4975" t="str">
            <v>PIPE</v>
          </cell>
          <cell r="F4975">
            <v>1</v>
          </cell>
          <cell r="G4975" t="str">
            <v>CB100405000600</v>
          </cell>
          <cell r="H4975">
            <v>6</v>
          </cell>
          <cell r="I4975" t="str">
            <v>--</v>
          </cell>
          <cell r="J4975">
            <v>62</v>
          </cell>
          <cell r="K4975">
            <v>74.400000000000006</v>
          </cell>
        </row>
        <row r="4976">
          <cell r="A4976" t="str">
            <v>MC</v>
          </cell>
          <cell r="B4976" t="str">
            <v>CA304</v>
          </cell>
          <cell r="C4976" t="str">
            <v>MC</v>
          </cell>
          <cell r="D4976" t="str">
            <v>2501</v>
          </cell>
          <cell r="E4976" t="str">
            <v>PIPE</v>
          </cell>
          <cell r="F4976">
            <v>1</v>
          </cell>
          <cell r="G4976" t="str">
            <v>CB100405000800</v>
          </cell>
          <cell r="H4976">
            <v>8</v>
          </cell>
          <cell r="I4976" t="str">
            <v>--</v>
          </cell>
          <cell r="J4976">
            <v>5</v>
          </cell>
          <cell r="K4976">
            <v>6</v>
          </cell>
        </row>
        <row r="4977">
          <cell r="A4977" t="str">
            <v>MC</v>
          </cell>
          <cell r="B4977" t="str">
            <v>CA304</v>
          </cell>
          <cell r="C4977" t="str">
            <v>MC</v>
          </cell>
          <cell r="D4977" t="str">
            <v>2501</v>
          </cell>
          <cell r="E4977" t="str">
            <v>PIPE</v>
          </cell>
          <cell r="F4977">
            <v>1</v>
          </cell>
          <cell r="G4977" t="str">
            <v>CB100405000800</v>
          </cell>
          <cell r="H4977">
            <v>8</v>
          </cell>
          <cell r="I4977" t="str">
            <v>--</v>
          </cell>
          <cell r="J4977">
            <v>8</v>
          </cell>
          <cell r="K4977">
            <v>9.6</v>
          </cell>
        </row>
        <row r="4978">
          <cell r="A4978" t="str">
            <v>MC</v>
          </cell>
          <cell r="B4978" t="str">
            <v>CA304</v>
          </cell>
          <cell r="C4978" t="str">
            <v>MC</v>
          </cell>
          <cell r="D4978" t="str">
            <v>2501</v>
          </cell>
          <cell r="E4978" t="str">
            <v>PIPE</v>
          </cell>
          <cell r="F4978">
            <v>1</v>
          </cell>
          <cell r="G4978" t="str">
            <v>CB100405000800</v>
          </cell>
          <cell r="H4978">
            <v>8</v>
          </cell>
          <cell r="I4978" t="str">
            <v>--</v>
          </cell>
          <cell r="J4978">
            <v>11</v>
          </cell>
          <cell r="K4978">
            <v>13.2</v>
          </cell>
        </row>
        <row r="4979">
          <cell r="A4979" t="str">
            <v>MC</v>
          </cell>
          <cell r="B4979" t="str">
            <v>B2C</v>
          </cell>
          <cell r="C4979" t="str">
            <v>SH</v>
          </cell>
          <cell r="D4979" t="str">
            <v>1360</v>
          </cell>
          <cell r="E4979" t="str">
            <v>PIPE</v>
          </cell>
          <cell r="F4979">
            <v>1</v>
          </cell>
          <cell r="G4979" t="str">
            <v>CB100404000800</v>
          </cell>
          <cell r="H4979">
            <v>8</v>
          </cell>
          <cell r="I4979" t="str">
            <v>--</v>
          </cell>
          <cell r="J4979">
            <v>18</v>
          </cell>
          <cell r="K4979">
            <v>21.6</v>
          </cell>
        </row>
        <row r="4980">
          <cell r="A4980" t="str">
            <v>MC</v>
          </cell>
          <cell r="B4980" t="str">
            <v>CA304</v>
          </cell>
          <cell r="C4980" t="str">
            <v>VT</v>
          </cell>
          <cell r="D4980" t="str">
            <v>HOLD</v>
          </cell>
          <cell r="E4980" t="str">
            <v>PIPE</v>
          </cell>
          <cell r="F4980">
            <v>1</v>
          </cell>
          <cell r="G4980" t="str">
            <v>CB100405001000</v>
          </cell>
          <cell r="H4980">
            <v>10</v>
          </cell>
          <cell r="I4980" t="str">
            <v>--</v>
          </cell>
          <cell r="J4980">
            <v>37</v>
          </cell>
          <cell r="K4980">
            <v>40.700000000000003</v>
          </cell>
        </row>
        <row r="4981">
          <cell r="A4981" t="str">
            <v>MC</v>
          </cell>
          <cell r="B4981" t="str">
            <v>B2C</v>
          </cell>
          <cell r="C4981" t="str">
            <v>SH</v>
          </cell>
          <cell r="D4981" t="str">
            <v>1000</v>
          </cell>
          <cell r="E4981" t="str">
            <v>PIPE</v>
          </cell>
          <cell r="F4981">
            <v>1</v>
          </cell>
          <cell r="G4981" t="str">
            <v>CB100404001000</v>
          </cell>
          <cell r="H4981">
            <v>10</v>
          </cell>
          <cell r="I4981" t="str">
            <v>--</v>
          </cell>
          <cell r="J4981">
            <v>54</v>
          </cell>
          <cell r="K4981">
            <v>59.4</v>
          </cell>
        </row>
        <row r="4982">
          <cell r="A4982" t="str">
            <v>MC</v>
          </cell>
          <cell r="B4982" t="str">
            <v>B2C</v>
          </cell>
          <cell r="C4982" t="str">
            <v>SH</v>
          </cell>
          <cell r="D4982" t="str">
            <v>1000</v>
          </cell>
          <cell r="E4982" t="str">
            <v>NPL</v>
          </cell>
          <cell r="F4982">
            <v>2</v>
          </cell>
          <cell r="G4982" t="str">
            <v>CB132108000HVR</v>
          </cell>
          <cell r="H4982">
            <v>0.5</v>
          </cell>
          <cell r="I4982" t="str">
            <v>75mm</v>
          </cell>
          <cell r="J4982">
            <v>1</v>
          </cell>
          <cell r="K4982">
            <v>1</v>
          </cell>
        </row>
        <row r="4983">
          <cell r="A4983" t="str">
            <v>MC</v>
          </cell>
          <cell r="B4983" t="str">
            <v>B2C</v>
          </cell>
          <cell r="C4983" t="str">
            <v>SH</v>
          </cell>
          <cell r="D4983" t="str">
            <v>1260</v>
          </cell>
          <cell r="E4983" t="str">
            <v>NPL</v>
          </cell>
          <cell r="F4983">
            <v>2</v>
          </cell>
          <cell r="G4983" t="str">
            <v>CB132108000HVR</v>
          </cell>
          <cell r="H4983">
            <v>0.5</v>
          </cell>
          <cell r="I4983" t="str">
            <v>75mm</v>
          </cell>
          <cell r="J4983">
            <v>1</v>
          </cell>
          <cell r="K4983">
            <v>1</v>
          </cell>
        </row>
        <row r="4984">
          <cell r="A4984" t="str">
            <v>MC</v>
          </cell>
          <cell r="B4984" t="str">
            <v>B2C</v>
          </cell>
          <cell r="C4984" t="str">
            <v>SH</v>
          </cell>
          <cell r="D4984" t="str">
            <v>1460</v>
          </cell>
          <cell r="E4984" t="str">
            <v>NPL</v>
          </cell>
          <cell r="F4984">
            <v>2</v>
          </cell>
          <cell r="G4984" t="str">
            <v>CB132108000HVR</v>
          </cell>
          <cell r="H4984">
            <v>0.5</v>
          </cell>
          <cell r="I4984" t="str">
            <v>75mm</v>
          </cell>
          <cell r="J4984">
            <v>1</v>
          </cell>
          <cell r="K4984">
            <v>1</v>
          </cell>
        </row>
        <row r="4985">
          <cell r="A4985" t="str">
            <v>MC</v>
          </cell>
          <cell r="B4985" t="str">
            <v>B2C</v>
          </cell>
          <cell r="C4985" t="str">
            <v>SH</v>
          </cell>
          <cell r="D4985" t="str">
            <v>1460</v>
          </cell>
          <cell r="E4985" t="str">
            <v>NPL</v>
          </cell>
          <cell r="F4985">
            <v>2</v>
          </cell>
          <cell r="G4985" t="str">
            <v>CB132108000HWL</v>
          </cell>
          <cell r="H4985">
            <v>0.5</v>
          </cell>
          <cell r="I4985" t="str">
            <v>150mm</v>
          </cell>
          <cell r="J4985">
            <v>1</v>
          </cell>
          <cell r="K4985">
            <v>1</v>
          </cell>
        </row>
        <row r="4986">
          <cell r="A4986" t="str">
            <v>MC</v>
          </cell>
          <cell r="B4986" t="str">
            <v>B2C</v>
          </cell>
          <cell r="C4986" t="str">
            <v>SH</v>
          </cell>
          <cell r="D4986" t="str">
            <v>1360</v>
          </cell>
          <cell r="E4986" t="str">
            <v>NPL</v>
          </cell>
          <cell r="F4986">
            <v>2</v>
          </cell>
          <cell r="G4986" t="str">
            <v>CB132108000HVR</v>
          </cell>
          <cell r="H4986">
            <v>0.5</v>
          </cell>
          <cell r="I4986" t="str">
            <v>75mm</v>
          </cell>
          <cell r="J4986">
            <v>1</v>
          </cell>
          <cell r="K4986">
            <v>1</v>
          </cell>
        </row>
        <row r="4987">
          <cell r="A4987" t="str">
            <v>MC</v>
          </cell>
          <cell r="B4987" t="str">
            <v>B2C</v>
          </cell>
          <cell r="C4987" t="str">
            <v>SH</v>
          </cell>
          <cell r="D4987" t="str">
            <v>1360</v>
          </cell>
          <cell r="E4987" t="str">
            <v>NPL</v>
          </cell>
          <cell r="F4987">
            <v>2</v>
          </cell>
          <cell r="G4987" t="str">
            <v>CB132108000HWL</v>
          </cell>
          <cell r="H4987">
            <v>0.5</v>
          </cell>
          <cell r="I4987" t="str">
            <v>150mm</v>
          </cell>
          <cell r="J4987">
            <v>1</v>
          </cell>
          <cell r="K4987">
            <v>1</v>
          </cell>
        </row>
        <row r="4988">
          <cell r="A4988" t="str">
            <v>MC</v>
          </cell>
          <cell r="B4988" t="str">
            <v>B2C</v>
          </cell>
          <cell r="C4988" t="str">
            <v>SH</v>
          </cell>
          <cell r="D4988" t="str">
            <v>1405</v>
          </cell>
          <cell r="E4988" t="str">
            <v>NPL</v>
          </cell>
          <cell r="F4988">
            <v>2</v>
          </cell>
          <cell r="G4988" t="str">
            <v>CB132108000HVR</v>
          </cell>
          <cell r="H4988">
            <v>0.5</v>
          </cell>
          <cell r="I4988" t="str">
            <v>75mm</v>
          </cell>
          <cell r="J4988">
            <v>1</v>
          </cell>
          <cell r="K4988">
            <v>1</v>
          </cell>
        </row>
        <row r="4989">
          <cell r="A4989" t="str">
            <v>MC</v>
          </cell>
          <cell r="B4989" t="str">
            <v>B2C</v>
          </cell>
          <cell r="C4989" t="str">
            <v>SH</v>
          </cell>
          <cell r="D4989" t="str">
            <v>1405</v>
          </cell>
          <cell r="E4989" t="str">
            <v>NPL</v>
          </cell>
          <cell r="F4989">
            <v>2</v>
          </cell>
          <cell r="G4989" t="str">
            <v>CB132108000HWL</v>
          </cell>
          <cell r="H4989">
            <v>0.5</v>
          </cell>
          <cell r="I4989" t="str">
            <v>150mm</v>
          </cell>
          <cell r="J4989">
            <v>1</v>
          </cell>
          <cell r="K4989">
            <v>1</v>
          </cell>
        </row>
        <row r="4990">
          <cell r="A4990" t="str">
            <v>MC</v>
          </cell>
          <cell r="B4990" t="str">
            <v>B2C</v>
          </cell>
          <cell r="C4990" t="str">
            <v>SH</v>
          </cell>
          <cell r="D4990" t="str">
            <v>1000</v>
          </cell>
          <cell r="E4990" t="str">
            <v>NPL</v>
          </cell>
          <cell r="F4990">
            <v>2</v>
          </cell>
          <cell r="G4990" t="str">
            <v>CB132108000HWL</v>
          </cell>
          <cell r="H4990">
            <v>0.5</v>
          </cell>
          <cell r="I4990" t="str">
            <v>150mm</v>
          </cell>
          <cell r="J4990">
            <v>1</v>
          </cell>
          <cell r="K4990">
            <v>1</v>
          </cell>
        </row>
        <row r="4991">
          <cell r="A4991" t="str">
            <v>MC</v>
          </cell>
          <cell r="B4991" t="str">
            <v>B2C</v>
          </cell>
          <cell r="C4991" t="str">
            <v>SH</v>
          </cell>
          <cell r="D4991" t="str">
            <v>1260</v>
          </cell>
          <cell r="E4991" t="str">
            <v>NPL</v>
          </cell>
          <cell r="F4991">
            <v>2</v>
          </cell>
          <cell r="G4991" t="str">
            <v>CB132108000HWL</v>
          </cell>
          <cell r="H4991">
            <v>0.5</v>
          </cell>
          <cell r="I4991" t="str">
            <v>150mm</v>
          </cell>
          <cell r="J4991">
            <v>1</v>
          </cell>
          <cell r="K4991">
            <v>1</v>
          </cell>
        </row>
        <row r="4992">
          <cell r="A4992" t="str">
            <v>MC</v>
          </cell>
          <cell r="B4992" t="str">
            <v>CA307</v>
          </cell>
          <cell r="C4992" t="str">
            <v>HCL</v>
          </cell>
          <cell r="D4992" t="str">
            <v>1100</v>
          </cell>
          <cell r="E4992" t="str">
            <v>NPL</v>
          </cell>
          <cell r="F4992">
            <v>2</v>
          </cell>
          <cell r="G4992" t="str">
            <v>CB132108000HVR</v>
          </cell>
          <cell r="H4992">
            <v>0.5</v>
          </cell>
          <cell r="I4992" t="str">
            <v>75mm</v>
          </cell>
          <cell r="J4992">
            <v>1</v>
          </cell>
          <cell r="K4992">
            <v>1</v>
          </cell>
        </row>
        <row r="4993">
          <cell r="A4993" t="str">
            <v>MC</v>
          </cell>
          <cell r="B4993" t="str">
            <v>CA307</v>
          </cell>
          <cell r="C4993" t="str">
            <v>HCL</v>
          </cell>
          <cell r="D4993" t="str">
            <v>1100</v>
          </cell>
          <cell r="E4993" t="str">
            <v>NPL</v>
          </cell>
          <cell r="F4993">
            <v>2</v>
          </cell>
          <cell r="G4993" t="str">
            <v>CB132108000HWL</v>
          </cell>
          <cell r="H4993">
            <v>0.5</v>
          </cell>
          <cell r="I4993" t="str">
            <v>150mm</v>
          </cell>
          <cell r="J4993">
            <v>1</v>
          </cell>
          <cell r="K4993">
            <v>1</v>
          </cell>
        </row>
        <row r="4994">
          <cell r="A4994" t="str">
            <v>MC</v>
          </cell>
          <cell r="B4994" t="str">
            <v>CA304</v>
          </cell>
          <cell r="C4994" t="str">
            <v>MC</v>
          </cell>
          <cell r="D4994" t="str">
            <v>2501</v>
          </cell>
          <cell r="E4994" t="str">
            <v>NPL</v>
          </cell>
          <cell r="F4994">
            <v>2</v>
          </cell>
          <cell r="G4994" t="str">
            <v>CB132108000HVR</v>
          </cell>
          <cell r="H4994">
            <v>0.5</v>
          </cell>
          <cell r="I4994" t="str">
            <v>75mm</v>
          </cell>
          <cell r="J4994">
            <v>1</v>
          </cell>
          <cell r="K4994">
            <v>1</v>
          </cell>
        </row>
        <row r="4995">
          <cell r="A4995" t="str">
            <v>MC</v>
          </cell>
          <cell r="B4995" t="str">
            <v>CA304</v>
          </cell>
          <cell r="C4995" t="str">
            <v>MC</v>
          </cell>
          <cell r="D4995" t="str">
            <v>2501</v>
          </cell>
          <cell r="E4995" t="str">
            <v>NPL</v>
          </cell>
          <cell r="F4995">
            <v>2</v>
          </cell>
          <cell r="G4995" t="str">
            <v>CB132108000HWL</v>
          </cell>
          <cell r="H4995">
            <v>0.5</v>
          </cell>
          <cell r="I4995" t="str">
            <v>150mm</v>
          </cell>
          <cell r="J4995">
            <v>1</v>
          </cell>
          <cell r="K4995">
            <v>1</v>
          </cell>
        </row>
        <row r="4996">
          <cell r="A4996" t="str">
            <v>MC</v>
          </cell>
          <cell r="B4996" t="str">
            <v>CA304</v>
          </cell>
          <cell r="C4996" t="str">
            <v>MC</v>
          </cell>
          <cell r="D4996" t="str">
            <v>2505</v>
          </cell>
          <cell r="E4996" t="str">
            <v>NPL</v>
          </cell>
          <cell r="F4996">
            <v>2</v>
          </cell>
          <cell r="G4996" t="str">
            <v>CB132108000HVR</v>
          </cell>
          <cell r="H4996">
            <v>0.5</v>
          </cell>
          <cell r="I4996" t="str">
            <v>75mm</v>
          </cell>
          <cell r="J4996">
            <v>1</v>
          </cell>
          <cell r="K4996">
            <v>1</v>
          </cell>
        </row>
        <row r="4997">
          <cell r="A4997" t="str">
            <v>MC</v>
          </cell>
          <cell r="B4997" t="str">
            <v>CA304</v>
          </cell>
          <cell r="C4997" t="str">
            <v>MC</v>
          </cell>
          <cell r="D4997" t="str">
            <v>2505</v>
          </cell>
          <cell r="E4997" t="str">
            <v>NPL</v>
          </cell>
          <cell r="F4997">
            <v>2</v>
          </cell>
          <cell r="G4997" t="str">
            <v>CB132108000HWL</v>
          </cell>
          <cell r="H4997">
            <v>0.5</v>
          </cell>
          <cell r="I4997" t="str">
            <v>150mm</v>
          </cell>
          <cell r="J4997">
            <v>1</v>
          </cell>
          <cell r="K4997">
            <v>1</v>
          </cell>
        </row>
        <row r="4998">
          <cell r="A4998" t="str">
            <v>MC</v>
          </cell>
          <cell r="B4998" t="str">
            <v>BA305</v>
          </cell>
          <cell r="C4998" t="str">
            <v>MOH</v>
          </cell>
          <cell r="D4998" t="str">
            <v>2112</v>
          </cell>
          <cell r="E4998" t="str">
            <v>NPL</v>
          </cell>
          <cell r="F4998">
            <v>2</v>
          </cell>
          <cell r="G4998" t="str">
            <v>CB132108000HVR</v>
          </cell>
          <cell r="H4998">
            <v>0.5</v>
          </cell>
          <cell r="I4998" t="str">
            <v>75mm</v>
          </cell>
          <cell r="J4998">
            <v>1</v>
          </cell>
          <cell r="K4998">
            <v>1</v>
          </cell>
        </row>
        <row r="4999">
          <cell r="A4999" t="str">
            <v>MC</v>
          </cell>
          <cell r="B4999" t="str">
            <v>CA304</v>
          </cell>
          <cell r="C4999" t="str">
            <v>MC</v>
          </cell>
          <cell r="D4999" t="str">
            <v>2610</v>
          </cell>
          <cell r="E4999" t="str">
            <v>NPL</v>
          </cell>
          <cell r="F4999">
            <v>2</v>
          </cell>
          <cell r="G4999" t="str">
            <v>CB132108000HWL</v>
          </cell>
          <cell r="H4999">
            <v>0.5</v>
          </cell>
          <cell r="I4999" t="str">
            <v>150mm</v>
          </cell>
          <cell r="J4999">
            <v>1</v>
          </cell>
          <cell r="K4999">
            <v>1</v>
          </cell>
        </row>
        <row r="5000">
          <cell r="A5000" t="str">
            <v>MC</v>
          </cell>
          <cell r="B5000" t="str">
            <v>CA304</v>
          </cell>
          <cell r="C5000" t="str">
            <v>MC</v>
          </cell>
          <cell r="D5000" t="str">
            <v>2610</v>
          </cell>
          <cell r="E5000" t="str">
            <v>NPL</v>
          </cell>
          <cell r="F5000">
            <v>2</v>
          </cell>
          <cell r="G5000" t="str">
            <v>CB132108000HVR</v>
          </cell>
          <cell r="H5000">
            <v>0.5</v>
          </cell>
          <cell r="I5000" t="str">
            <v>75mm</v>
          </cell>
          <cell r="J5000">
            <v>1</v>
          </cell>
          <cell r="K5000">
            <v>1</v>
          </cell>
        </row>
        <row r="5001">
          <cell r="A5001" t="str">
            <v>MC</v>
          </cell>
          <cell r="B5001" t="str">
            <v>BA305</v>
          </cell>
          <cell r="C5001" t="str">
            <v>MOH</v>
          </cell>
          <cell r="D5001" t="str">
            <v>2100</v>
          </cell>
          <cell r="E5001" t="str">
            <v>NPL</v>
          </cell>
          <cell r="F5001">
            <v>2</v>
          </cell>
          <cell r="G5001" t="str">
            <v>CB132108000HWL</v>
          </cell>
          <cell r="H5001">
            <v>0.5</v>
          </cell>
          <cell r="I5001" t="str">
            <v>150mm</v>
          </cell>
          <cell r="J5001">
            <v>1</v>
          </cell>
          <cell r="K5001">
            <v>1</v>
          </cell>
        </row>
        <row r="5002">
          <cell r="A5002" t="str">
            <v>MC</v>
          </cell>
          <cell r="B5002" t="str">
            <v>BA305</v>
          </cell>
          <cell r="C5002" t="str">
            <v>MOH</v>
          </cell>
          <cell r="D5002" t="str">
            <v>2100</v>
          </cell>
          <cell r="E5002" t="str">
            <v>NPL</v>
          </cell>
          <cell r="F5002">
            <v>2</v>
          </cell>
          <cell r="G5002" t="str">
            <v>CB132108000HVR</v>
          </cell>
          <cell r="H5002">
            <v>0.5</v>
          </cell>
          <cell r="I5002" t="str">
            <v>75mm</v>
          </cell>
          <cell r="J5002">
            <v>1</v>
          </cell>
          <cell r="K5002">
            <v>1</v>
          </cell>
        </row>
        <row r="5003">
          <cell r="A5003" t="str">
            <v>MC</v>
          </cell>
          <cell r="B5003" t="str">
            <v>BA305</v>
          </cell>
          <cell r="C5003" t="str">
            <v>MOH</v>
          </cell>
          <cell r="D5003" t="str">
            <v>2112</v>
          </cell>
          <cell r="E5003" t="str">
            <v>NPL</v>
          </cell>
          <cell r="F5003">
            <v>2</v>
          </cell>
          <cell r="G5003" t="str">
            <v>CB132108000HWL</v>
          </cell>
          <cell r="H5003">
            <v>0.5</v>
          </cell>
          <cell r="I5003" t="str">
            <v>150mm</v>
          </cell>
          <cell r="J5003">
            <v>1</v>
          </cell>
          <cell r="K5003">
            <v>1</v>
          </cell>
        </row>
        <row r="5004">
          <cell r="A5004" t="str">
            <v>MC</v>
          </cell>
          <cell r="B5004" t="str">
            <v>BA312</v>
          </cell>
          <cell r="C5004" t="str">
            <v>SA98</v>
          </cell>
          <cell r="D5004" t="str">
            <v>2411</v>
          </cell>
          <cell r="E5004" t="str">
            <v>NPL</v>
          </cell>
          <cell r="F5004">
            <v>2</v>
          </cell>
          <cell r="G5004" t="str">
            <v>CB132108000HVR</v>
          </cell>
          <cell r="H5004">
            <v>0.5</v>
          </cell>
          <cell r="I5004" t="str">
            <v>75mm</v>
          </cell>
          <cell r="J5004">
            <v>1</v>
          </cell>
          <cell r="K5004">
            <v>1</v>
          </cell>
        </row>
        <row r="5005">
          <cell r="A5005" t="str">
            <v>MC</v>
          </cell>
          <cell r="B5005" t="str">
            <v>BA312</v>
          </cell>
          <cell r="C5005" t="str">
            <v>SA98</v>
          </cell>
          <cell r="D5005" t="str">
            <v>2411</v>
          </cell>
          <cell r="E5005" t="str">
            <v>NPL</v>
          </cell>
          <cell r="F5005">
            <v>2</v>
          </cell>
          <cell r="G5005" t="str">
            <v>CB132108000HWL</v>
          </cell>
          <cell r="H5005">
            <v>0.5</v>
          </cell>
          <cell r="I5005" t="str">
            <v>150mm</v>
          </cell>
          <cell r="J5005">
            <v>1</v>
          </cell>
          <cell r="K5005">
            <v>1</v>
          </cell>
        </row>
        <row r="5006">
          <cell r="A5006" t="str">
            <v>MC</v>
          </cell>
          <cell r="B5006" t="str">
            <v>CA304</v>
          </cell>
          <cell r="C5006" t="str">
            <v>MC</v>
          </cell>
          <cell r="D5006" t="str">
            <v>2613</v>
          </cell>
          <cell r="E5006" t="str">
            <v>NPL</v>
          </cell>
          <cell r="F5006">
            <v>2</v>
          </cell>
          <cell r="G5006" t="str">
            <v>CB132108000HVR</v>
          </cell>
          <cell r="H5006">
            <v>0.5</v>
          </cell>
          <cell r="I5006" t="str">
            <v>75mm</v>
          </cell>
          <cell r="J5006">
            <v>1</v>
          </cell>
          <cell r="K5006">
            <v>1</v>
          </cell>
        </row>
        <row r="5007">
          <cell r="A5007" t="str">
            <v>MC</v>
          </cell>
          <cell r="B5007" t="str">
            <v>CA304</v>
          </cell>
          <cell r="C5007" t="str">
            <v>MC</v>
          </cell>
          <cell r="D5007" t="str">
            <v>2613</v>
          </cell>
          <cell r="E5007" t="str">
            <v>NPL</v>
          </cell>
          <cell r="F5007">
            <v>2</v>
          </cell>
          <cell r="G5007" t="str">
            <v>CB132108000HWL</v>
          </cell>
          <cell r="H5007">
            <v>0.5</v>
          </cell>
          <cell r="I5007" t="str">
            <v>150mm</v>
          </cell>
          <cell r="J5007">
            <v>1</v>
          </cell>
          <cell r="K5007">
            <v>1</v>
          </cell>
        </row>
        <row r="5008">
          <cell r="A5008" t="str">
            <v>MC</v>
          </cell>
          <cell r="B5008" t="str">
            <v>BA305</v>
          </cell>
          <cell r="C5008" t="str">
            <v>MOH</v>
          </cell>
          <cell r="D5008" t="str">
            <v>2101</v>
          </cell>
          <cell r="E5008" t="str">
            <v>NPL</v>
          </cell>
          <cell r="F5008">
            <v>2</v>
          </cell>
          <cell r="G5008" t="str">
            <v>CB132108000HVR</v>
          </cell>
          <cell r="H5008">
            <v>0.5</v>
          </cell>
          <cell r="I5008" t="str">
            <v>75mm</v>
          </cell>
          <cell r="J5008">
            <v>1</v>
          </cell>
          <cell r="K5008">
            <v>1</v>
          </cell>
        </row>
        <row r="5009">
          <cell r="A5009" t="str">
            <v>MC</v>
          </cell>
          <cell r="B5009" t="str">
            <v>BA305</v>
          </cell>
          <cell r="C5009" t="str">
            <v>MOH</v>
          </cell>
          <cell r="D5009" t="str">
            <v>2101</v>
          </cell>
          <cell r="E5009" t="str">
            <v>NPL</v>
          </cell>
          <cell r="F5009">
            <v>2</v>
          </cell>
          <cell r="G5009" t="str">
            <v>CB132108000HWL</v>
          </cell>
          <cell r="H5009">
            <v>0.5</v>
          </cell>
          <cell r="I5009" t="str">
            <v>150mm</v>
          </cell>
          <cell r="J5009">
            <v>1</v>
          </cell>
          <cell r="K5009">
            <v>1</v>
          </cell>
        </row>
        <row r="5010">
          <cell r="A5010" t="str">
            <v>MC</v>
          </cell>
          <cell r="B5010" t="str">
            <v>CA304</v>
          </cell>
          <cell r="C5010" t="str">
            <v>SCC</v>
          </cell>
          <cell r="D5010" t="str">
            <v>HOLD</v>
          </cell>
          <cell r="E5010" t="str">
            <v>TEE</v>
          </cell>
          <cell r="F5010">
            <v>2</v>
          </cell>
          <cell r="G5010" t="str">
            <v>CB400300000H00</v>
          </cell>
          <cell r="H5010">
            <v>0.5</v>
          </cell>
          <cell r="I5010" t="str">
            <v>--</v>
          </cell>
          <cell r="J5010">
            <v>2</v>
          </cell>
          <cell r="K5010">
            <v>2</v>
          </cell>
        </row>
        <row r="5011">
          <cell r="A5011" t="str">
            <v>MC</v>
          </cell>
          <cell r="B5011" t="str">
            <v>CA304</v>
          </cell>
          <cell r="C5011" t="str">
            <v>MC</v>
          </cell>
          <cell r="D5011" t="str">
            <v>HOLD</v>
          </cell>
          <cell r="E5011" t="str">
            <v>90 ELL</v>
          </cell>
          <cell r="F5011">
            <v>2</v>
          </cell>
          <cell r="G5011" t="str">
            <v>CB400100000H00</v>
          </cell>
          <cell r="H5011">
            <v>0.5</v>
          </cell>
          <cell r="I5011" t="str">
            <v>--</v>
          </cell>
          <cell r="J5011">
            <v>6</v>
          </cell>
          <cell r="K5011">
            <v>6</v>
          </cell>
        </row>
        <row r="5012">
          <cell r="A5012" t="str">
            <v>MC</v>
          </cell>
          <cell r="B5012" t="str">
            <v>CA304</v>
          </cell>
          <cell r="C5012" t="str">
            <v>MC</v>
          </cell>
          <cell r="D5012" t="str">
            <v>2604</v>
          </cell>
          <cell r="E5012" t="str">
            <v>NPL</v>
          </cell>
          <cell r="F5012">
            <v>2</v>
          </cell>
          <cell r="G5012" t="str">
            <v>CB132108000HVR</v>
          </cell>
          <cell r="H5012">
            <v>0.5</v>
          </cell>
          <cell r="I5012" t="str">
            <v>75mm</v>
          </cell>
          <cell r="J5012">
            <v>1</v>
          </cell>
          <cell r="K5012">
            <v>1</v>
          </cell>
        </row>
        <row r="5013">
          <cell r="A5013" t="str">
            <v>MC</v>
          </cell>
          <cell r="B5013" t="str">
            <v>CA304</v>
          </cell>
          <cell r="C5013" t="str">
            <v>MC</v>
          </cell>
          <cell r="D5013" t="str">
            <v>2604</v>
          </cell>
          <cell r="E5013" t="str">
            <v>NPL</v>
          </cell>
          <cell r="F5013">
            <v>2</v>
          </cell>
          <cell r="G5013" t="str">
            <v>CB132108000HWL</v>
          </cell>
          <cell r="H5013">
            <v>0.5</v>
          </cell>
          <cell r="I5013" t="str">
            <v>150mm</v>
          </cell>
          <cell r="J5013">
            <v>1</v>
          </cell>
          <cell r="K5013">
            <v>1</v>
          </cell>
        </row>
        <row r="5014">
          <cell r="A5014" t="str">
            <v>MC</v>
          </cell>
          <cell r="B5014" t="str">
            <v>CA304</v>
          </cell>
          <cell r="C5014" t="str">
            <v>MC</v>
          </cell>
          <cell r="D5014" t="str">
            <v>2504</v>
          </cell>
          <cell r="E5014" t="str">
            <v>NPL</v>
          </cell>
          <cell r="F5014">
            <v>2</v>
          </cell>
          <cell r="G5014" t="str">
            <v>CB132108000HVR</v>
          </cell>
          <cell r="H5014">
            <v>0.5</v>
          </cell>
          <cell r="I5014" t="str">
            <v>75mm</v>
          </cell>
          <cell r="J5014">
            <v>1</v>
          </cell>
          <cell r="K5014">
            <v>1</v>
          </cell>
        </row>
        <row r="5015">
          <cell r="A5015" t="str">
            <v>MC</v>
          </cell>
          <cell r="B5015" t="str">
            <v>CA304</v>
          </cell>
          <cell r="C5015" t="str">
            <v>MC</v>
          </cell>
          <cell r="D5015" t="str">
            <v>2504</v>
          </cell>
          <cell r="E5015" t="str">
            <v>NPL</v>
          </cell>
          <cell r="F5015">
            <v>2</v>
          </cell>
          <cell r="G5015" t="str">
            <v>CB132108000HWL</v>
          </cell>
          <cell r="H5015">
            <v>0.5</v>
          </cell>
          <cell r="I5015" t="str">
            <v>150mm</v>
          </cell>
          <cell r="J5015">
            <v>1</v>
          </cell>
          <cell r="K5015">
            <v>1</v>
          </cell>
        </row>
        <row r="5016">
          <cell r="A5016" t="str">
            <v>MC</v>
          </cell>
          <cell r="B5016" t="str">
            <v>CA304</v>
          </cell>
          <cell r="C5016" t="str">
            <v>MC</v>
          </cell>
          <cell r="D5016" t="str">
            <v>HOLD</v>
          </cell>
          <cell r="E5016" t="str">
            <v>TEE</v>
          </cell>
          <cell r="F5016">
            <v>2</v>
          </cell>
          <cell r="G5016" t="str">
            <v>CB400300000H00</v>
          </cell>
          <cell r="H5016">
            <v>0.5</v>
          </cell>
          <cell r="I5016" t="str">
            <v>--</v>
          </cell>
          <cell r="J5016">
            <v>1</v>
          </cell>
          <cell r="K5016">
            <v>1</v>
          </cell>
        </row>
        <row r="5017">
          <cell r="A5017" t="str">
            <v>MC</v>
          </cell>
          <cell r="B5017" t="str">
            <v>CA304</v>
          </cell>
          <cell r="C5017" t="str">
            <v>SC1</v>
          </cell>
          <cell r="D5017" t="str">
            <v>HOLD</v>
          </cell>
          <cell r="E5017" t="str">
            <v>CAP</v>
          </cell>
          <cell r="F5017">
            <v>2</v>
          </cell>
          <cell r="G5017" t="str">
            <v>CB520700000H00</v>
          </cell>
          <cell r="H5017">
            <v>0.5</v>
          </cell>
          <cell r="I5017" t="str">
            <v>--</v>
          </cell>
          <cell r="J5017">
            <v>3</v>
          </cell>
          <cell r="K5017">
            <v>3</v>
          </cell>
        </row>
        <row r="5018">
          <cell r="A5018" t="str">
            <v>MC</v>
          </cell>
          <cell r="B5018" t="str">
            <v>CA304</v>
          </cell>
          <cell r="C5018" t="str">
            <v>SC1</v>
          </cell>
          <cell r="D5018" t="str">
            <v>HOLD</v>
          </cell>
          <cell r="E5018" t="str">
            <v>CPLG</v>
          </cell>
          <cell r="F5018">
            <v>2</v>
          </cell>
          <cell r="G5018" t="str">
            <v>CB400500000H00</v>
          </cell>
          <cell r="H5018">
            <v>0.5</v>
          </cell>
          <cell r="I5018" t="str">
            <v>--</v>
          </cell>
          <cell r="J5018">
            <v>3</v>
          </cell>
          <cell r="K5018">
            <v>3</v>
          </cell>
        </row>
        <row r="5019">
          <cell r="A5019" t="str">
            <v>MC</v>
          </cell>
          <cell r="B5019" t="str">
            <v>CA304</v>
          </cell>
          <cell r="C5019" t="str">
            <v>SC1</v>
          </cell>
          <cell r="D5019" t="str">
            <v>HOLD</v>
          </cell>
          <cell r="E5019" t="str">
            <v>NPL</v>
          </cell>
          <cell r="F5019">
            <v>2</v>
          </cell>
          <cell r="G5019" t="str">
            <v>CB132308000HVR</v>
          </cell>
          <cell r="H5019">
            <v>0.5</v>
          </cell>
          <cell r="I5019" t="str">
            <v>75mm</v>
          </cell>
          <cell r="J5019">
            <v>3</v>
          </cell>
          <cell r="K5019">
            <v>3</v>
          </cell>
        </row>
        <row r="5020">
          <cell r="A5020" t="str">
            <v>MC</v>
          </cell>
          <cell r="B5020" t="str">
            <v>B2C</v>
          </cell>
          <cell r="C5020" t="str">
            <v>SH</v>
          </cell>
          <cell r="D5020" t="str">
            <v>1260</v>
          </cell>
          <cell r="E5020" t="str">
            <v>90 ELL</v>
          </cell>
          <cell r="F5020">
            <v>2</v>
          </cell>
          <cell r="G5020" t="str">
            <v>CB400100000T00</v>
          </cell>
          <cell r="H5020">
            <v>0.75</v>
          </cell>
          <cell r="I5020" t="str">
            <v>--</v>
          </cell>
          <cell r="J5020">
            <v>1</v>
          </cell>
          <cell r="K5020">
            <v>1</v>
          </cell>
        </row>
        <row r="5021">
          <cell r="A5021" t="str">
            <v>MC</v>
          </cell>
          <cell r="B5021" t="str">
            <v>B2C</v>
          </cell>
          <cell r="C5021" t="str">
            <v>SH</v>
          </cell>
          <cell r="D5021" t="str">
            <v>1360</v>
          </cell>
          <cell r="E5021" t="str">
            <v>90 ELL</v>
          </cell>
          <cell r="F5021">
            <v>2</v>
          </cell>
          <cell r="G5021" t="str">
            <v>CB400100000T00</v>
          </cell>
          <cell r="H5021">
            <v>0.75</v>
          </cell>
          <cell r="I5021" t="str">
            <v>--</v>
          </cell>
          <cell r="J5021">
            <v>1</v>
          </cell>
          <cell r="K5021">
            <v>1</v>
          </cell>
        </row>
        <row r="5022">
          <cell r="A5022" t="str">
            <v>MC</v>
          </cell>
          <cell r="B5022" t="str">
            <v>B2C</v>
          </cell>
          <cell r="C5022" t="str">
            <v>SH</v>
          </cell>
          <cell r="D5022" t="str">
            <v>1460</v>
          </cell>
          <cell r="E5022" t="str">
            <v>90 ELL</v>
          </cell>
          <cell r="F5022">
            <v>2</v>
          </cell>
          <cell r="G5022" t="str">
            <v>CB400100000T00</v>
          </cell>
          <cell r="H5022">
            <v>0.75</v>
          </cell>
          <cell r="I5022" t="str">
            <v>--</v>
          </cell>
          <cell r="J5022">
            <v>1</v>
          </cell>
          <cell r="K5022">
            <v>1</v>
          </cell>
        </row>
        <row r="5023">
          <cell r="A5023" t="str">
            <v>MC</v>
          </cell>
          <cell r="B5023" t="str">
            <v>B2C</v>
          </cell>
          <cell r="C5023" t="str">
            <v>SH</v>
          </cell>
          <cell r="D5023" t="str">
            <v>1405</v>
          </cell>
          <cell r="E5023" t="str">
            <v>90 ELL</v>
          </cell>
          <cell r="F5023">
            <v>2</v>
          </cell>
          <cell r="G5023" t="str">
            <v>CB400100000T00</v>
          </cell>
          <cell r="H5023">
            <v>0.75</v>
          </cell>
          <cell r="I5023" t="str">
            <v>--</v>
          </cell>
          <cell r="J5023">
            <v>1</v>
          </cell>
          <cell r="K5023">
            <v>1</v>
          </cell>
        </row>
        <row r="5024">
          <cell r="A5024" t="str">
            <v>MC</v>
          </cell>
          <cell r="B5024" t="str">
            <v>B2C</v>
          </cell>
          <cell r="C5024" t="str">
            <v>SH</v>
          </cell>
          <cell r="D5024" t="str">
            <v>1000</v>
          </cell>
          <cell r="E5024" t="str">
            <v>CAP</v>
          </cell>
          <cell r="F5024">
            <v>2</v>
          </cell>
          <cell r="G5024" t="str">
            <v>CB520700000T00</v>
          </cell>
          <cell r="H5024">
            <v>0.75</v>
          </cell>
          <cell r="I5024" t="str">
            <v>--</v>
          </cell>
          <cell r="J5024">
            <v>2</v>
          </cell>
          <cell r="K5024">
            <v>2</v>
          </cell>
        </row>
        <row r="5025">
          <cell r="A5025" t="str">
            <v>MC</v>
          </cell>
          <cell r="B5025" t="str">
            <v>B2C</v>
          </cell>
          <cell r="C5025" t="str">
            <v>SH</v>
          </cell>
          <cell r="D5025" t="str">
            <v>1360</v>
          </cell>
          <cell r="E5025" t="str">
            <v>CAP</v>
          </cell>
          <cell r="F5025">
            <v>2</v>
          </cell>
          <cell r="G5025" t="str">
            <v>CB520700000T00</v>
          </cell>
          <cell r="H5025">
            <v>0.75</v>
          </cell>
          <cell r="I5025" t="str">
            <v>--</v>
          </cell>
          <cell r="J5025">
            <v>1</v>
          </cell>
          <cell r="K5025">
            <v>1</v>
          </cell>
        </row>
        <row r="5026">
          <cell r="A5026" t="str">
            <v>MC</v>
          </cell>
          <cell r="B5026" t="str">
            <v>B2C</v>
          </cell>
          <cell r="C5026" t="str">
            <v>SH</v>
          </cell>
          <cell r="D5026" t="str">
            <v>1460</v>
          </cell>
          <cell r="E5026" t="str">
            <v>CAP</v>
          </cell>
          <cell r="F5026">
            <v>2</v>
          </cell>
          <cell r="G5026" t="str">
            <v>CB520700000T00</v>
          </cell>
          <cell r="H5026">
            <v>0.75</v>
          </cell>
          <cell r="I5026" t="str">
            <v>--</v>
          </cell>
          <cell r="J5026">
            <v>2</v>
          </cell>
          <cell r="K5026">
            <v>2</v>
          </cell>
        </row>
        <row r="5027">
          <cell r="A5027" t="str">
            <v>MC</v>
          </cell>
          <cell r="B5027" t="str">
            <v>B2C</v>
          </cell>
          <cell r="C5027" t="str">
            <v>SH</v>
          </cell>
          <cell r="D5027" t="str">
            <v>1260</v>
          </cell>
          <cell r="E5027" t="str">
            <v>CAP</v>
          </cell>
          <cell r="F5027">
            <v>2</v>
          </cell>
          <cell r="G5027" t="str">
            <v>CB520700000T00</v>
          </cell>
          <cell r="H5027">
            <v>0.75</v>
          </cell>
          <cell r="I5027" t="str">
            <v>--</v>
          </cell>
          <cell r="J5027">
            <v>2</v>
          </cell>
          <cell r="K5027">
            <v>2</v>
          </cell>
        </row>
        <row r="5028">
          <cell r="A5028" t="str">
            <v>MC</v>
          </cell>
          <cell r="B5028" t="str">
            <v>B2C</v>
          </cell>
          <cell r="C5028" t="str">
            <v>SH</v>
          </cell>
          <cell r="D5028" t="str">
            <v>1405</v>
          </cell>
          <cell r="E5028" t="str">
            <v>CAP</v>
          </cell>
          <cell r="F5028">
            <v>2</v>
          </cell>
          <cell r="G5028" t="str">
            <v>CB520700000T00</v>
          </cell>
          <cell r="H5028">
            <v>0.75</v>
          </cell>
          <cell r="I5028" t="str">
            <v>--</v>
          </cell>
          <cell r="J5028">
            <v>1</v>
          </cell>
          <cell r="K5028">
            <v>1</v>
          </cell>
        </row>
        <row r="5029">
          <cell r="A5029" t="str">
            <v>MC</v>
          </cell>
          <cell r="B5029" t="str">
            <v>B2C</v>
          </cell>
          <cell r="C5029" t="str">
            <v>SH</v>
          </cell>
          <cell r="D5029" t="str">
            <v>1260</v>
          </cell>
          <cell r="E5029" t="str">
            <v>NPL</v>
          </cell>
          <cell r="F5029">
            <v>2</v>
          </cell>
          <cell r="G5029" t="str">
            <v>CB132108000TVR</v>
          </cell>
          <cell r="H5029">
            <v>0.75</v>
          </cell>
          <cell r="I5029" t="str">
            <v>75mm</v>
          </cell>
          <cell r="J5029">
            <v>3</v>
          </cell>
          <cell r="K5029">
            <v>3</v>
          </cell>
        </row>
        <row r="5030">
          <cell r="A5030" t="str">
            <v>MC</v>
          </cell>
          <cell r="B5030" t="str">
            <v>B2C</v>
          </cell>
          <cell r="C5030" t="str">
            <v>SH</v>
          </cell>
          <cell r="D5030" t="str">
            <v>1360</v>
          </cell>
          <cell r="E5030" t="str">
            <v>NPL</v>
          </cell>
          <cell r="F5030">
            <v>2</v>
          </cell>
          <cell r="G5030" t="str">
            <v>CB132308000TVR</v>
          </cell>
          <cell r="H5030">
            <v>0.75</v>
          </cell>
          <cell r="I5030" t="str">
            <v>75mm</v>
          </cell>
          <cell r="J5030">
            <v>1</v>
          </cell>
          <cell r="K5030">
            <v>1</v>
          </cell>
        </row>
        <row r="5031">
          <cell r="A5031" t="str">
            <v>MC</v>
          </cell>
          <cell r="B5031" t="str">
            <v>B2C</v>
          </cell>
          <cell r="C5031" t="str">
            <v>SH</v>
          </cell>
          <cell r="D5031" t="str">
            <v>1460</v>
          </cell>
          <cell r="E5031" t="str">
            <v>NPL</v>
          </cell>
          <cell r="F5031">
            <v>2</v>
          </cell>
          <cell r="G5031" t="str">
            <v>CB132108000TVR</v>
          </cell>
          <cell r="H5031">
            <v>0.75</v>
          </cell>
          <cell r="I5031" t="str">
            <v>75mm</v>
          </cell>
          <cell r="J5031">
            <v>3</v>
          </cell>
          <cell r="K5031">
            <v>3</v>
          </cell>
        </row>
        <row r="5032">
          <cell r="A5032" t="str">
            <v>MC</v>
          </cell>
          <cell r="B5032" t="str">
            <v>B2C</v>
          </cell>
          <cell r="C5032" t="str">
            <v>SH</v>
          </cell>
          <cell r="D5032" t="str">
            <v>1360</v>
          </cell>
          <cell r="E5032" t="str">
            <v>NPL</v>
          </cell>
          <cell r="F5032">
            <v>2</v>
          </cell>
          <cell r="G5032" t="str">
            <v>CB132108000TVR</v>
          </cell>
          <cell r="H5032">
            <v>0.75</v>
          </cell>
          <cell r="I5032" t="str">
            <v>75mm</v>
          </cell>
          <cell r="J5032">
            <v>1</v>
          </cell>
          <cell r="K5032">
            <v>1</v>
          </cell>
        </row>
        <row r="5033">
          <cell r="A5033" t="str">
            <v>MC</v>
          </cell>
          <cell r="B5033" t="str">
            <v>B2C</v>
          </cell>
          <cell r="C5033" t="str">
            <v>SH</v>
          </cell>
          <cell r="D5033" t="str">
            <v>1405</v>
          </cell>
          <cell r="E5033" t="str">
            <v>NPL</v>
          </cell>
          <cell r="F5033">
            <v>2</v>
          </cell>
          <cell r="G5033" t="str">
            <v>CB132108000TVR</v>
          </cell>
          <cell r="H5033">
            <v>0.75</v>
          </cell>
          <cell r="I5033" t="str">
            <v>75mm</v>
          </cell>
          <cell r="J5033">
            <v>3</v>
          </cell>
          <cell r="K5033">
            <v>3</v>
          </cell>
        </row>
        <row r="5034">
          <cell r="A5034" t="str">
            <v>MC</v>
          </cell>
          <cell r="B5034" t="str">
            <v>B2C</v>
          </cell>
          <cell r="C5034" t="str">
            <v>SH</v>
          </cell>
          <cell r="D5034" t="str">
            <v>1405</v>
          </cell>
          <cell r="E5034" t="str">
            <v>NPL</v>
          </cell>
          <cell r="F5034">
            <v>2</v>
          </cell>
          <cell r="G5034" t="str">
            <v>CB132308000TVR</v>
          </cell>
          <cell r="H5034">
            <v>0.75</v>
          </cell>
          <cell r="I5034" t="str">
            <v>75mm</v>
          </cell>
          <cell r="J5034">
            <v>1</v>
          </cell>
          <cell r="K5034">
            <v>1</v>
          </cell>
        </row>
        <row r="5035">
          <cell r="A5035" t="str">
            <v>MC</v>
          </cell>
          <cell r="B5035" t="str">
            <v>B2C</v>
          </cell>
          <cell r="C5035" t="str">
            <v>SH</v>
          </cell>
          <cell r="D5035" t="str">
            <v>1460</v>
          </cell>
          <cell r="E5035" t="str">
            <v>NPL</v>
          </cell>
          <cell r="F5035">
            <v>2</v>
          </cell>
          <cell r="G5035" t="str">
            <v>CB132308000TVR</v>
          </cell>
          <cell r="H5035">
            <v>0.75</v>
          </cell>
          <cell r="I5035" t="str">
            <v>75mm</v>
          </cell>
          <cell r="J5035">
            <v>2</v>
          </cell>
          <cell r="K5035">
            <v>2</v>
          </cell>
        </row>
        <row r="5036">
          <cell r="A5036" t="str">
            <v>MC</v>
          </cell>
          <cell r="B5036" t="str">
            <v>B2C</v>
          </cell>
          <cell r="C5036" t="str">
            <v>SH</v>
          </cell>
          <cell r="D5036" t="str">
            <v>1000</v>
          </cell>
          <cell r="E5036" t="str">
            <v>NPL</v>
          </cell>
          <cell r="F5036">
            <v>2</v>
          </cell>
          <cell r="G5036" t="str">
            <v>CB132108000TVR</v>
          </cell>
          <cell r="H5036">
            <v>0.75</v>
          </cell>
          <cell r="I5036" t="str">
            <v>75mm</v>
          </cell>
          <cell r="J5036">
            <v>6</v>
          </cell>
          <cell r="K5036">
            <v>6</v>
          </cell>
        </row>
        <row r="5037">
          <cell r="A5037" t="str">
            <v>MC</v>
          </cell>
          <cell r="B5037" t="str">
            <v>B2C</v>
          </cell>
          <cell r="C5037" t="str">
            <v>SH</v>
          </cell>
          <cell r="D5037" t="str">
            <v>1000</v>
          </cell>
          <cell r="E5037" t="str">
            <v>NPL</v>
          </cell>
          <cell r="F5037">
            <v>2</v>
          </cell>
          <cell r="G5037" t="str">
            <v>CB132308000TVR</v>
          </cell>
          <cell r="H5037">
            <v>0.75</v>
          </cell>
          <cell r="I5037" t="str">
            <v>75mm</v>
          </cell>
          <cell r="J5037">
            <v>2</v>
          </cell>
          <cell r="K5037">
            <v>2</v>
          </cell>
        </row>
        <row r="5038">
          <cell r="A5038" t="str">
            <v>MC</v>
          </cell>
          <cell r="B5038" t="str">
            <v>B2C</v>
          </cell>
          <cell r="C5038" t="str">
            <v>SH</v>
          </cell>
          <cell r="D5038" t="str">
            <v>1260</v>
          </cell>
          <cell r="E5038" t="str">
            <v>NPL</v>
          </cell>
          <cell r="F5038">
            <v>2</v>
          </cell>
          <cell r="G5038" t="str">
            <v>CB132308000TVR</v>
          </cell>
          <cell r="H5038">
            <v>0.75</v>
          </cell>
          <cell r="I5038" t="str">
            <v>75mm</v>
          </cell>
          <cell r="J5038">
            <v>2</v>
          </cell>
          <cell r="K5038">
            <v>2</v>
          </cell>
        </row>
        <row r="5039">
          <cell r="A5039" t="str">
            <v>MC</v>
          </cell>
          <cell r="B5039" t="str">
            <v>CA304</v>
          </cell>
          <cell r="C5039" t="str">
            <v>CMC</v>
          </cell>
          <cell r="D5039" t="str">
            <v>HOLD</v>
          </cell>
          <cell r="E5039" t="str">
            <v>90 ELL</v>
          </cell>
          <cell r="F5039">
            <v>2</v>
          </cell>
          <cell r="G5039" t="str">
            <v>CB400100000T00</v>
          </cell>
          <cell r="H5039">
            <v>0.75</v>
          </cell>
          <cell r="I5039" t="str">
            <v>--</v>
          </cell>
          <cell r="J5039">
            <v>2</v>
          </cell>
          <cell r="K5039">
            <v>2</v>
          </cell>
        </row>
        <row r="5040">
          <cell r="A5040" t="str">
            <v>MC</v>
          </cell>
          <cell r="B5040" t="str">
            <v>CA304</v>
          </cell>
          <cell r="C5040" t="str">
            <v>CMC</v>
          </cell>
          <cell r="D5040" t="str">
            <v>HOLD</v>
          </cell>
          <cell r="E5040" t="str">
            <v>90 ELL</v>
          </cell>
          <cell r="F5040">
            <v>2</v>
          </cell>
          <cell r="G5040" t="str">
            <v>CB400100000T00</v>
          </cell>
          <cell r="H5040">
            <v>0.75</v>
          </cell>
          <cell r="I5040" t="str">
            <v>--</v>
          </cell>
          <cell r="J5040">
            <v>2</v>
          </cell>
          <cell r="K5040">
            <v>2</v>
          </cell>
        </row>
        <row r="5041">
          <cell r="A5041" t="str">
            <v>MC</v>
          </cell>
          <cell r="B5041" t="str">
            <v>CA304</v>
          </cell>
          <cell r="C5041" t="str">
            <v>CMC</v>
          </cell>
          <cell r="D5041" t="str">
            <v>HOLD</v>
          </cell>
          <cell r="E5041" t="str">
            <v>90 ELL</v>
          </cell>
          <cell r="F5041">
            <v>2</v>
          </cell>
          <cell r="G5041" t="str">
            <v>CB400100000T00</v>
          </cell>
          <cell r="H5041">
            <v>0.75</v>
          </cell>
          <cell r="I5041" t="str">
            <v>--</v>
          </cell>
          <cell r="J5041">
            <v>4</v>
          </cell>
          <cell r="K5041">
            <v>4</v>
          </cell>
        </row>
        <row r="5042">
          <cell r="A5042" t="str">
            <v>MC</v>
          </cell>
          <cell r="B5042" t="str">
            <v>CA304</v>
          </cell>
          <cell r="C5042" t="str">
            <v>TRIM</v>
          </cell>
          <cell r="D5042" t="str">
            <v>E-1261</v>
          </cell>
          <cell r="E5042" t="str">
            <v>90 ELL</v>
          </cell>
          <cell r="F5042">
            <v>2</v>
          </cell>
          <cell r="G5042" t="str">
            <v>CB400100000T00</v>
          </cell>
          <cell r="H5042">
            <v>0.75</v>
          </cell>
          <cell r="I5042" t="str">
            <v>--</v>
          </cell>
          <cell r="J5042">
            <v>1</v>
          </cell>
          <cell r="K5042">
            <v>1</v>
          </cell>
        </row>
        <row r="5043">
          <cell r="A5043" t="str">
            <v>MC</v>
          </cell>
          <cell r="B5043" t="str">
            <v>CA304</v>
          </cell>
          <cell r="C5043" t="str">
            <v>SCC</v>
          </cell>
          <cell r="D5043" t="str">
            <v>HOLD</v>
          </cell>
          <cell r="E5043" t="str">
            <v>C SWG</v>
          </cell>
          <cell r="F5043">
            <v>2</v>
          </cell>
          <cell r="G5043" t="str">
            <v>CB161308080T0Q</v>
          </cell>
          <cell r="H5043">
            <v>0.75</v>
          </cell>
          <cell r="I5043">
            <v>0.25</v>
          </cell>
          <cell r="J5043">
            <v>4</v>
          </cell>
          <cell r="K5043">
            <v>4</v>
          </cell>
        </row>
        <row r="5044">
          <cell r="A5044" t="str">
            <v>MC</v>
          </cell>
          <cell r="B5044" t="str">
            <v>CA304</v>
          </cell>
          <cell r="C5044" t="str">
            <v>CMC</v>
          </cell>
          <cell r="D5044" t="str">
            <v>HOLD</v>
          </cell>
          <cell r="E5044" t="str">
            <v>CAP</v>
          </cell>
          <cell r="F5044">
            <v>2</v>
          </cell>
          <cell r="G5044" t="str">
            <v>CB520700000T00</v>
          </cell>
          <cell r="H5044">
            <v>0.75</v>
          </cell>
          <cell r="I5044" t="str">
            <v>--</v>
          </cell>
          <cell r="J5044">
            <v>1</v>
          </cell>
          <cell r="K5044">
            <v>1</v>
          </cell>
        </row>
        <row r="5045">
          <cell r="A5045" t="str">
            <v>MC</v>
          </cell>
          <cell r="B5045" t="str">
            <v>CA304</v>
          </cell>
          <cell r="C5045" t="str">
            <v>CMC</v>
          </cell>
          <cell r="D5045" t="str">
            <v>HOLD</v>
          </cell>
          <cell r="E5045" t="str">
            <v>CAP</v>
          </cell>
          <cell r="F5045">
            <v>2</v>
          </cell>
          <cell r="G5045" t="str">
            <v>CB520700000T00</v>
          </cell>
          <cell r="H5045">
            <v>0.75</v>
          </cell>
          <cell r="I5045" t="str">
            <v>--</v>
          </cell>
          <cell r="J5045">
            <v>1</v>
          </cell>
          <cell r="K5045">
            <v>1</v>
          </cell>
        </row>
        <row r="5046">
          <cell r="A5046" t="str">
            <v>MC</v>
          </cell>
          <cell r="B5046" t="str">
            <v>CA304</v>
          </cell>
          <cell r="C5046" t="str">
            <v>CMC</v>
          </cell>
          <cell r="D5046" t="str">
            <v>HOLD</v>
          </cell>
          <cell r="E5046" t="str">
            <v>CAP</v>
          </cell>
          <cell r="F5046">
            <v>2</v>
          </cell>
          <cell r="G5046" t="str">
            <v>CB520700000T00</v>
          </cell>
          <cell r="H5046">
            <v>0.75</v>
          </cell>
          <cell r="I5046" t="str">
            <v>--</v>
          </cell>
          <cell r="J5046">
            <v>2</v>
          </cell>
          <cell r="K5046">
            <v>2</v>
          </cell>
        </row>
        <row r="5047">
          <cell r="A5047" t="str">
            <v>MC</v>
          </cell>
          <cell r="B5047" t="str">
            <v>CA307</v>
          </cell>
          <cell r="C5047" t="str">
            <v>HCL</v>
          </cell>
          <cell r="D5047" t="str">
            <v>1100</v>
          </cell>
          <cell r="E5047" t="str">
            <v>CAP</v>
          </cell>
          <cell r="F5047">
            <v>2</v>
          </cell>
          <cell r="G5047" t="str">
            <v>CB520700000T00</v>
          </cell>
          <cell r="H5047">
            <v>0.75</v>
          </cell>
          <cell r="I5047" t="str">
            <v>--</v>
          </cell>
          <cell r="J5047">
            <v>2</v>
          </cell>
          <cell r="K5047">
            <v>2</v>
          </cell>
        </row>
        <row r="5048">
          <cell r="A5048" t="str">
            <v>MC</v>
          </cell>
          <cell r="B5048" t="str">
            <v>CA304</v>
          </cell>
          <cell r="C5048" t="str">
            <v>MC</v>
          </cell>
          <cell r="D5048" t="str">
            <v>2410</v>
          </cell>
          <cell r="E5048" t="str">
            <v>CAP</v>
          </cell>
          <cell r="F5048">
            <v>2</v>
          </cell>
          <cell r="G5048" t="str">
            <v>CB520700000T00</v>
          </cell>
          <cell r="H5048">
            <v>0.75</v>
          </cell>
          <cell r="I5048" t="str">
            <v>--</v>
          </cell>
          <cell r="J5048">
            <v>1</v>
          </cell>
          <cell r="K5048">
            <v>1</v>
          </cell>
        </row>
        <row r="5049">
          <cell r="A5049" t="str">
            <v>MC</v>
          </cell>
          <cell r="B5049" t="str">
            <v>CA304</v>
          </cell>
          <cell r="C5049" t="str">
            <v>MC</v>
          </cell>
          <cell r="D5049" t="str">
            <v>2607</v>
          </cell>
          <cell r="E5049" t="str">
            <v>CAP</v>
          </cell>
          <cell r="F5049">
            <v>2</v>
          </cell>
          <cell r="G5049" t="str">
            <v>CB520700000T00</v>
          </cell>
          <cell r="H5049">
            <v>0.75</v>
          </cell>
          <cell r="I5049" t="str">
            <v>--</v>
          </cell>
          <cell r="J5049">
            <v>1</v>
          </cell>
          <cell r="K5049">
            <v>1</v>
          </cell>
        </row>
        <row r="5050">
          <cell r="A5050" t="str">
            <v>MC</v>
          </cell>
          <cell r="B5050" t="str">
            <v>CA304</v>
          </cell>
          <cell r="C5050" t="str">
            <v>MC</v>
          </cell>
          <cell r="D5050" t="str">
            <v>2612</v>
          </cell>
          <cell r="E5050" t="str">
            <v>CAP</v>
          </cell>
          <cell r="F5050">
            <v>2</v>
          </cell>
          <cell r="G5050" t="str">
            <v>CB520700000T00</v>
          </cell>
          <cell r="H5050">
            <v>0.75</v>
          </cell>
          <cell r="I5050" t="str">
            <v>--</v>
          </cell>
          <cell r="J5050">
            <v>3</v>
          </cell>
          <cell r="K5050">
            <v>3</v>
          </cell>
        </row>
        <row r="5051">
          <cell r="A5051" t="str">
            <v>MC</v>
          </cell>
          <cell r="B5051" t="str">
            <v>BA305</v>
          </cell>
          <cell r="C5051" t="str">
            <v>MOH</v>
          </cell>
          <cell r="D5051" t="str">
            <v>2002</v>
          </cell>
          <cell r="E5051" t="str">
            <v>CAP</v>
          </cell>
          <cell r="F5051">
            <v>2</v>
          </cell>
          <cell r="G5051" t="str">
            <v>CB520700000T00</v>
          </cell>
          <cell r="H5051">
            <v>0.75</v>
          </cell>
          <cell r="I5051" t="str">
            <v>--</v>
          </cell>
          <cell r="J5051">
            <v>1</v>
          </cell>
          <cell r="K5051">
            <v>1</v>
          </cell>
        </row>
        <row r="5052">
          <cell r="A5052" t="str">
            <v>MC</v>
          </cell>
          <cell r="B5052" t="str">
            <v>BA305</v>
          </cell>
          <cell r="C5052" t="str">
            <v>MOH</v>
          </cell>
          <cell r="D5052" t="str">
            <v>2100</v>
          </cell>
          <cell r="E5052" t="str">
            <v>CAP</v>
          </cell>
          <cell r="F5052">
            <v>2</v>
          </cell>
          <cell r="G5052" t="str">
            <v>CB520700000T00</v>
          </cell>
          <cell r="H5052">
            <v>0.75</v>
          </cell>
          <cell r="I5052" t="str">
            <v>--</v>
          </cell>
          <cell r="J5052">
            <v>1</v>
          </cell>
          <cell r="K5052">
            <v>1</v>
          </cell>
        </row>
        <row r="5053">
          <cell r="A5053" t="str">
            <v>MC</v>
          </cell>
          <cell r="B5053" t="str">
            <v>BA305</v>
          </cell>
          <cell r="C5053" t="str">
            <v>MOH</v>
          </cell>
          <cell r="D5053" t="str">
            <v>2101</v>
          </cell>
          <cell r="E5053" t="str">
            <v>CAP</v>
          </cell>
          <cell r="F5053">
            <v>2</v>
          </cell>
          <cell r="G5053" t="str">
            <v>CB520700000T00</v>
          </cell>
          <cell r="H5053">
            <v>0.75</v>
          </cell>
          <cell r="I5053" t="str">
            <v>--</v>
          </cell>
          <cell r="J5053">
            <v>2</v>
          </cell>
          <cell r="K5053">
            <v>2</v>
          </cell>
        </row>
        <row r="5054">
          <cell r="A5054" t="str">
            <v>MC</v>
          </cell>
          <cell r="B5054" t="str">
            <v>BA305</v>
          </cell>
          <cell r="C5054" t="str">
            <v>MOH</v>
          </cell>
          <cell r="D5054" t="str">
            <v>2112</v>
          </cell>
          <cell r="E5054" t="str">
            <v>CAP</v>
          </cell>
          <cell r="F5054">
            <v>2</v>
          </cell>
          <cell r="G5054" t="str">
            <v>CB520700000T00</v>
          </cell>
          <cell r="H5054">
            <v>0.75</v>
          </cell>
          <cell r="I5054" t="str">
            <v>--</v>
          </cell>
          <cell r="J5054">
            <v>1</v>
          </cell>
          <cell r="K5054">
            <v>1</v>
          </cell>
        </row>
        <row r="5055">
          <cell r="A5055" t="str">
            <v>MC</v>
          </cell>
          <cell r="B5055" t="str">
            <v>CA304</v>
          </cell>
          <cell r="C5055" t="str">
            <v>TRIM</v>
          </cell>
          <cell r="D5055" t="str">
            <v>F-1251</v>
          </cell>
          <cell r="E5055" t="str">
            <v>CAP</v>
          </cell>
          <cell r="F5055">
            <v>2</v>
          </cell>
          <cell r="G5055" t="str">
            <v>CB520700000T00</v>
          </cell>
          <cell r="H5055">
            <v>0.75</v>
          </cell>
          <cell r="I5055" t="str">
            <v>--</v>
          </cell>
          <cell r="J5055">
            <v>2</v>
          </cell>
          <cell r="K5055">
            <v>2</v>
          </cell>
        </row>
        <row r="5056">
          <cell r="A5056" t="str">
            <v>MC</v>
          </cell>
          <cell r="B5056" t="str">
            <v>BA302</v>
          </cell>
          <cell r="C5056" t="str">
            <v>SD20</v>
          </cell>
          <cell r="D5056" t="str">
            <v>2301</v>
          </cell>
          <cell r="E5056" t="str">
            <v>CAP</v>
          </cell>
          <cell r="F5056">
            <v>2</v>
          </cell>
          <cell r="G5056" t="str">
            <v>CB520700000T00</v>
          </cell>
          <cell r="H5056">
            <v>0.75</v>
          </cell>
          <cell r="I5056" t="str">
            <v>--</v>
          </cell>
          <cell r="J5056">
            <v>2</v>
          </cell>
          <cell r="K5056">
            <v>2</v>
          </cell>
        </row>
        <row r="5057">
          <cell r="A5057" t="str">
            <v>MC</v>
          </cell>
          <cell r="B5057" t="str">
            <v>CA304</v>
          </cell>
          <cell r="C5057" t="str">
            <v>VT</v>
          </cell>
          <cell r="D5057" t="str">
            <v>HOLD</v>
          </cell>
          <cell r="E5057" t="str">
            <v>CAP</v>
          </cell>
          <cell r="F5057">
            <v>2</v>
          </cell>
          <cell r="G5057" t="str">
            <v>CB520700000T00</v>
          </cell>
          <cell r="H5057">
            <v>0.75</v>
          </cell>
          <cell r="I5057" t="str">
            <v>--</v>
          </cell>
          <cell r="J5057">
            <v>4</v>
          </cell>
          <cell r="K5057">
            <v>4</v>
          </cell>
        </row>
        <row r="5058">
          <cell r="A5058" t="str">
            <v>MC</v>
          </cell>
          <cell r="B5058" t="str">
            <v>CA304</v>
          </cell>
          <cell r="C5058" t="str">
            <v>TRIM</v>
          </cell>
          <cell r="D5058" t="str">
            <v>E-1260</v>
          </cell>
          <cell r="E5058" t="str">
            <v>CAP</v>
          </cell>
          <cell r="F5058">
            <v>2</v>
          </cell>
          <cell r="G5058" t="str">
            <v>CB520700000T00</v>
          </cell>
          <cell r="H5058">
            <v>0.75</v>
          </cell>
          <cell r="I5058" t="str">
            <v>--</v>
          </cell>
          <cell r="J5058">
            <v>1</v>
          </cell>
          <cell r="K5058">
            <v>1</v>
          </cell>
        </row>
        <row r="5059">
          <cell r="A5059" t="str">
            <v>MC</v>
          </cell>
          <cell r="B5059" t="str">
            <v>CA304</v>
          </cell>
          <cell r="C5059" t="str">
            <v>MC</v>
          </cell>
          <cell r="D5059" t="str">
            <v>2506</v>
          </cell>
          <cell r="E5059" t="str">
            <v>CAP</v>
          </cell>
          <cell r="F5059">
            <v>2</v>
          </cell>
          <cell r="G5059" t="str">
            <v>CB520700000T00</v>
          </cell>
          <cell r="H5059">
            <v>0.75</v>
          </cell>
          <cell r="I5059" t="str">
            <v>--</v>
          </cell>
          <cell r="J5059">
            <v>1</v>
          </cell>
          <cell r="K5059">
            <v>1</v>
          </cell>
        </row>
        <row r="5060">
          <cell r="A5060" t="str">
            <v>MC</v>
          </cell>
          <cell r="B5060" t="str">
            <v>CA304</v>
          </cell>
          <cell r="C5060" t="str">
            <v>MC</v>
          </cell>
          <cell r="D5060" t="str">
            <v>2601</v>
          </cell>
          <cell r="E5060" t="str">
            <v>CAP</v>
          </cell>
          <cell r="F5060">
            <v>2</v>
          </cell>
          <cell r="G5060" t="str">
            <v>CB520700000T00</v>
          </cell>
          <cell r="H5060">
            <v>0.75</v>
          </cell>
          <cell r="I5060" t="str">
            <v>--</v>
          </cell>
          <cell r="J5060">
            <v>1</v>
          </cell>
          <cell r="K5060">
            <v>1</v>
          </cell>
        </row>
        <row r="5061">
          <cell r="A5061" t="str">
            <v>MC</v>
          </cell>
          <cell r="B5061" t="str">
            <v>CA304</v>
          </cell>
          <cell r="C5061" t="str">
            <v>MC</v>
          </cell>
          <cell r="D5061" t="str">
            <v>2609</v>
          </cell>
          <cell r="E5061" t="str">
            <v>CAP</v>
          </cell>
          <cell r="F5061">
            <v>2</v>
          </cell>
          <cell r="G5061" t="str">
            <v>CB520700000T00</v>
          </cell>
          <cell r="H5061">
            <v>0.75</v>
          </cell>
          <cell r="I5061" t="str">
            <v>--</v>
          </cell>
          <cell r="J5061">
            <v>1</v>
          </cell>
          <cell r="K5061">
            <v>1</v>
          </cell>
        </row>
        <row r="5062">
          <cell r="A5062" t="str">
            <v>MC</v>
          </cell>
          <cell r="B5062" t="str">
            <v>BA305</v>
          </cell>
          <cell r="C5062" t="str">
            <v>MOH</v>
          </cell>
          <cell r="D5062" t="str">
            <v>2100</v>
          </cell>
          <cell r="E5062" t="str">
            <v>CPLG</v>
          </cell>
          <cell r="F5062">
            <v>2</v>
          </cell>
          <cell r="G5062" t="str">
            <v>CB400500000T00</v>
          </cell>
          <cell r="H5062">
            <v>0.75</v>
          </cell>
          <cell r="I5062" t="str">
            <v>--</v>
          </cell>
          <cell r="J5062">
            <v>1</v>
          </cell>
          <cell r="K5062">
            <v>1</v>
          </cell>
        </row>
        <row r="5063">
          <cell r="A5063" t="str">
            <v>MC</v>
          </cell>
          <cell r="B5063" t="str">
            <v>CA307</v>
          </cell>
          <cell r="C5063" t="str">
            <v>HCL</v>
          </cell>
          <cell r="D5063" t="str">
            <v>1100</v>
          </cell>
          <cell r="E5063" t="str">
            <v>NPL</v>
          </cell>
          <cell r="F5063">
            <v>2</v>
          </cell>
          <cell r="G5063" t="str">
            <v>CB132308000TVR</v>
          </cell>
          <cell r="H5063">
            <v>0.75</v>
          </cell>
          <cell r="I5063" t="str">
            <v>75mm</v>
          </cell>
          <cell r="J5063">
            <v>2</v>
          </cell>
          <cell r="K5063">
            <v>2</v>
          </cell>
        </row>
        <row r="5064">
          <cell r="A5064" t="str">
            <v>MC</v>
          </cell>
          <cell r="B5064" t="str">
            <v>CA304</v>
          </cell>
          <cell r="C5064" t="str">
            <v>MC</v>
          </cell>
          <cell r="D5064" t="str">
            <v>2606</v>
          </cell>
          <cell r="E5064" t="str">
            <v>NPL</v>
          </cell>
          <cell r="F5064">
            <v>2</v>
          </cell>
          <cell r="G5064" t="str">
            <v>CB132108000TVR</v>
          </cell>
          <cell r="H5064">
            <v>0.75</v>
          </cell>
          <cell r="I5064" t="str">
            <v>75mm</v>
          </cell>
          <cell r="J5064">
            <v>1</v>
          </cell>
          <cell r="K5064">
            <v>1</v>
          </cell>
        </row>
        <row r="5065">
          <cell r="A5065" t="str">
            <v>MC</v>
          </cell>
          <cell r="B5065" t="str">
            <v>BA302</v>
          </cell>
          <cell r="C5065" t="str">
            <v>SD20</v>
          </cell>
          <cell r="D5065" t="str">
            <v>2301</v>
          </cell>
          <cell r="E5065" t="str">
            <v>NPL</v>
          </cell>
          <cell r="F5065">
            <v>2</v>
          </cell>
          <cell r="G5065" t="str">
            <v>CB132308000TVR</v>
          </cell>
          <cell r="H5065">
            <v>0.75</v>
          </cell>
          <cell r="I5065" t="str">
            <v>75mm</v>
          </cell>
          <cell r="J5065">
            <v>2</v>
          </cell>
          <cell r="K5065">
            <v>2</v>
          </cell>
        </row>
        <row r="5066">
          <cell r="A5066" t="str">
            <v>MC</v>
          </cell>
          <cell r="B5066" t="str">
            <v>CA304</v>
          </cell>
          <cell r="C5066" t="str">
            <v>TRIM</v>
          </cell>
          <cell r="D5066" t="str">
            <v>F-1251</v>
          </cell>
          <cell r="E5066" t="str">
            <v>NPL</v>
          </cell>
          <cell r="F5066">
            <v>2</v>
          </cell>
          <cell r="G5066" t="str">
            <v>CB132308000TVR</v>
          </cell>
          <cell r="H5066">
            <v>0.75</v>
          </cell>
          <cell r="I5066" t="str">
            <v>75mm</v>
          </cell>
          <cell r="J5066">
            <v>2</v>
          </cell>
          <cell r="K5066">
            <v>2</v>
          </cell>
        </row>
        <row r="5067">
          <cell r="A5067" t="str">
            <v>MC</v>
          </cell>
          <cell r="B5067" t="str">
            <v>CA304</v>
          </cell>
          <cell r="C5067" t="str">
            <v>VT</v>
          </cell>
          <cell r="D5067" t="str">
            <v>HOLD</v>
          </cell>
          <cell r="E5067" t="str">
            <v>NPL</v>
          </cell>
          <cell r="F5067">
            <v>2</v>
          </cell>
          <cell r="G5067" t="str">
            <v>CB132308000TVR</v>
          </cell>
          <cell r="H5067">
            <v>0.75</v>
          </cell>
          <cell r="I5067" t="str">
            <v>75mm</v>
          </cell>
          <cell r="J5067">
            <v>4</v>
          </cell>
          <cell r="K5067">
            <v>4</v>
          </cell>
        </row>
        <row r="5068">
          <cell r="A5068" t="str">
            <v>MC</v>
          </cell>
          <cell r="B5068" t="str">
            <v>CA304</v>
          </cell>
          <cell r="C5068" t="str">
            <v>TRIM</v>
          </cell>
          <cell r="D5068" t="str">
            <v>E-1260</v>
          </cell>
          <cell r="E5068" t="str">
            <v>NPL</v>
          </cell>
          <cell r="F5068">
            <v>2</v>
          </cell>
          <cell r="G5068" t="str">
            <v>CB132308000TVR</v>
          </cell>
          <cell r="H5068">
            <v>0.75</v>
          </cell>
          <cell r="I5068" t="str">
            <v>75mm</v>
          </cell>
          <cell r="J5068">
            <v>1</v>
          </cell>
          <cell r="K5068">
            <v>1</v>
          </cell>
        </row>
        <row r="5069">
          <cell r="A5069" t="str">
            <v>MC</v>
          </cell>
          <cell r="B5069" t="str">
            <v>CA304</v>
          </cell>
          <cell r="C5069" t="str">
            <v>SCC</v>
          </cell>
          <cell r="D5069" t="str">
            <v>HOLD</v>
          </cell>
          <cell r="E5069" t="str">
            <v>R TEE</v>
          </cell>
          <cell r="F5069">
            <v>2</v>
          </cell>
          <cell r="G5069" t="str">
            <v>CB400400000T0H</v>
          </cell>
          <cell r="H5069">
            <v>0.75</v>
          </cell>
          <cell r="I5069">
            <v>0.5</v>
          </cell>
          <cell r="J5069">
            <v>2</v>
          </cell>
          <cell r="K5069">
            <v>2</v>
          </cell>
        </row>
        <row r="5070">
          <cell r="A5070" t="str">
            <v>MC</v>
          </cell>
          <cell r="B5070" t="str">
            <v>CA304</v>
          </cell>
          <cell r="C5070" t="str">
            <v>CMC</v>
          </cell>
          <cell r="D5070" t="str">
            <v>HOLD</v>
          </cell>
          <cell r="E5070" t="str">
            <v>TEE</v>
          </cell>
          <cell r="F5070">
            <v>2</v>
          </cell>
          <cell r="G5070" t="str">
            <v>CB400300000T00</v>
          </cell>
          <cell r="H5070">
            <v>0.75</v>
          </cell>
          <cell r="I5070" t="str">
            <v>--</v>
          </cell>
          <cell r="J5070">
            <v>2</v>
          </cell>
          <cell r="K5070">
            <v>2</v>
          </cell>
        </row>
        <row r="5071">
          <cell r="A5071" t="str">
            <v>MC</v>
          </cell>
          <cell r="B5071" t="str">
            <v>CA304</v>
          </cell>
          <cell r="C5071" t="str">
            <v>CMC</v>
          </cell>
          <cell r="D5071" t="str">
            <v>HOLD</v>
          </cell>
          <cell r="E5071" t="str">
            <v>TEE</v>
          </cell>
          <cell r="F5071">
            <v>2</v>
          </cell>
          <cell r="G5071" t="str">
            <v>CB400300000T00</v>
          </cell>
          <cell r="H5071">
            <v>0.75</v>
          </cell>
          <cell r="I5071" t="str">
            <v>--</v>
          </cell>
          <cell r="J5071">
            <v>2</v>
          </cell>
          <cell r="K5071">
            <v>2</v>
          </cell>
        </row>
        <row r="5072">
          <cell r="A5072" t="str">
            <v>MC</v>
          </cell>
          <cell r="B5072" t="str">
            <v>CA304</v>
          </cell>
          <cell r="C5072" t="str">
            <v>CMC</v>
          </cell>
          <cell r="D5072" t="str">
            <v>HOLD</v>
          </cell>
          <cell r="E5072" t="str">
            <v>TEE</v>
          </cell>
          <cell r="F5072">
            <v>2</v>
          </cell>
          <cell r="G5072" t="str">
            <v>CB400300000T00</v>
          </cell>
          <cell r="H5072">
            <v>0.75</v>
          </cell>
          <cell r="I5072" t="str">
            <v>--</v>
          </cell>
          <cell r="J5072">
            <v>4</v>
          </cell>
          <cell r="K5072">
            <v>4</v>
          </cell>
        </row>
        <row r="5073">
          <cell r="A5073" t="str">
            <v>MC</v>
          </cell>
          <cell r="B5073" t="str">
            <v>CA304</v>
          </cell>
          <cell r="C5073" t="str">
            <v>MC</v>
          </cell>
          <cell r="D5073" t="str">
            <v>2607</v>
          </cell>
          <cell r="E5073" t="str">
            <v>TEE</v>
          </cell>
          <cell r="F5073">
            <v>2</v>
          </cell>
          <cell r="G5073" t="str">
            <v>CB400300000T00</v>
          </cell>
          <cell r="H5073">
            <v>0.75</v>
          </cell>
          <cell r="I5073" t="str">
            <v>--</v>
          </cell>
          <cell r="J5073">
            <v>1</v>
          </cell>
          <cell r="K5073">
            <v>1</v>
          </cell>
        </row>
        <row r="5074">
          <cell r="A5074" t="str">
            <v>MC</v>
          </cell>
          <cell r="B5074" t="str">
            <v>CA304</v>
          </cell>
          <cell r="C5074" t="str">
            <v>VT</v>
          </cell>
          <cell r="D5074" t="str">
            <v>HOLD</v>
          </cell>
          <cell r="E5074" t="str">
            <v>TEE</v>
          </cell>
          <cell r="F5074">
            <v>2</v>
          </cell>
          <cell r="G5074" t="str">
            <v>CB400300000T00</v>
          </cell>
          <cell r="H5074">
            <v>0.75</v>
          </cell>
          <cell r="I5074" t="str">
            <v>--</v>
          </cell>
          <cell r="J5074">
            <v>8</v>
          </cell>
          <cell r="K5074">
            <v>8</v>
          </cell>
        </row>
        <row r="5075">
          <cell r="A5075" t="str">
            <v>MC</v>
          </cell>
          <cell r="B5075" t="str">
            <v>CA304</v>
          </cell>
          <cell r="C5075" t="str">
            <v>TRIM</v>
          </cell>
          <cell r="D5075" t="str">
            <v>E-1261</v>
          </cell>
          <cell r="E5075" t="str">
            <v>TEE</v>
          </cell>
          <cell r="F5075">
            <v>2</v>
          </cell>
          <cell r="G5075" t="str">
            <v>CB400300000T00</v>
          </cell>
          <cell r="H5075">
            <v>0.75</v>
          </cell>
          <cell r="I5075" t="str">
            <v>--</v>
          </cell>
          <cell r="J5075">
            <v>1</v>
          </cell>
          <cell r="K5075">
            <v>1</v>
          </cell>
        </row>
        <row r="5076">
          <cell r="A5076" t="str">
            <v>MC</v>
          </cell>
          <cell r="B5076" t="str">
            <v>BA305</v>
          </cell>
          <cell r="C5076" t="str">
            <v>MOH</v>
          </cell>
          <cell r="D5076" t="str">
            <v>2000</v>
          </cell>
          <cell r="E5076" t="str">
            <v>90 ELL</v>
          </cell>
          <cell r="F5076">
            <v>2</v>
          </cell>
          <cell r="G5076" t="str">
            <v>CB400100000T00</v>
          </cell>
          <cell r="H5076">
            <v>0.75</v>
          </cell>
          <cell r="I5076" t="str">
            <v>--</v>
          </cell>
          <cell r="J5076">
            <v>4</v>
          </cell>
          <cell r="K5076">
            <v>4</v>
          </cell>
        </row>
        <row r="5077">
          <cell r="A5077" t="str">
            <v>MC</v>
          </cell>
          <cell r="B5077" t="str">
            <v>CA304</v>
          </cell>
          <cell r="C5077" t="str">
            <v>MC</v>
          </cell>
          <cell r="D5077" t="str">
            <v>2604</v>
          </cell>
          <cell r="E5077" t="str">
            <v>90 ELL</v>
          </cell>
          <cell r="F5077">
            <v>2</v>
          </cell>
          <cell r="G5077" t="str">
            <v>CB400100000T00</v>
          </cell>
          <cell r="H5077">
            <v>0.75</v>
          </cell>
          <cell r="I5077" t="str">
            <v>--</v>
          </cell>
          <cell r="J5077">
            <v>2</v>
          </cell>
          <cell r="K5077">
            <v>2</v>
          </cell>
        </row>
        <row r="5078">
          <cell r="A5078" t="str">
            <v>MC</v>
          </cell>
          <cell r="B5078" t="str">
            <v>CA304</v>
          </cell>
          <cell r="C5078" t="str">
            <v>MC</v>
          </cell>
          <cell r="D5078" t="str">
            <v>HOLD</v>
          </cell>
          <cell r="E5078" t="str">
            <v>90 ELL</v>
          </cell>
          <cell r="F5078">
            <v>2</v>
          </cell>
          <cell r="G5078" t="str">
            <v>CB400100000T00</v>
          </cell>
          <cell r="H5078">
            <v>0.75</v>
          </cell>
          <cell r="I5078" t="str">
            <v>--</v>
          </cell>
          <cell r="J5078">
            <v>4</v>
          </cell>
          <cell r="K5078">
            <v>4</v>
          </cell>
        </row>
        <row r="5079">
          <cell r="A5079" t="str">
            <v>MC</v>
          </cell>
          <cell r="B5079" t="str">
            <v>CA304</v>
          </cell>
          <cell r="C5079" t="str">
            <v>MC</v>
          </cell>
          <cell r="D5079" t="str">
            <v>HOLD</v>
          </cell>
          <cell r="E5079" t="str">
            <v>90 ELL</v>
          </cell>
          <cell r="F5079">
            <v>2</v>
          </cell>
          <cell r="G5079" t="str">
            <v>CB400100000T00</v>
          </cell>
          <cell r="H5079">
            <v>0.75</v>
          </cell>
          <cell r="I5079" t="str">
            <v>--</v>
          </cell>
          <cell r="J5079">
            <v>4</v>
          </cell>
          <cell r="K5079">
            <v>4</v>
          </cell>
        </row>
        <row r="5080">
          <cell r="A5080" t="str">
            <v>MC</v>
          </cell>
          <cell r="B5080" t="str">
            <v>CA304</v>
          </cell>
          <cell r="C5080" t="str">
            <v>MC</v>
          </cell>
          <cell r="D5080" t="str">
            <v>HOLD</v>
          </cell>
          <cell r="E5080" t="str">
            <v>90 ELL</v>
          </cell>
          <cell r="F5080">
            <v>2</v>
          </cell>
          <cell r="G5080" t="str">
            <v>CB400100000T00</v>
          </cell>
          <cell r="H5080">
            <v>0.75</v>
          </cell>
          <cell r="I5080" t="str">
            <v>--</v>
          </cell>
          <cell r="J5080">
            <v>4</v>
          </cell>
          <cell r="K5080">
            <v>4</v>
          </cell>
        </row>
        <row r="5081">
          <cell r="A5081" t="str">
            <v>MC</v>
          </cell>
          <cell r="B5081" t="str">
            <v>CA304</v>
          </cell>
          <cell r="C5081" t="str">
            <v>MC</v>
          </cell>
          <cell r="D5081" t="str">
            <v>HOLD</v>
          </cell>
          <cell r="E5081" t="str">
            <v>90 ELL</v>
          </cell>
          <cell r="F5081">
            <v>2</v>
          </cell>
          <cell r="G5081" t="str">
            <v>CB400100000T00</v>
          </cell>
          <cell r="H5081">
            <v>0.75</v>
          </cell>
          <cell r="I5081" t="str">
            <v>--</v>
          </cell>
          <cell r="J5081">
            <v>11</v>
          </cell>
          <cell r="K5081">
            <v>11</v>
          </cell>
        </row>
        <row r="5082">
          <cell r="A5082" t="str">
            <v>MC</v>
          </cell>
          <cell r="B5082" t="str">
            <v>CA304</v>
          </cell>
          <cell r="C5082" t="str">
            <v>MC</v>
          </cell>
          <cell r="D5082" t="str">
            <v>HOLD</v>
          </cell>
          <cell r="E5082" t="str">
            <v>90 ELL</v>
          </cell>
          <cell r="F5082">
            <v>2</v>
          </cell>
          <cell r="G5082" t="str">
            <v>CB400100000T00</v>
          </cell>
          <cell r="H5082">
            <v>0.75</v>
          </cell>
          <cell r="I5082" t="str">
            <v>--</v>
          </cell>
          <cell r="J5082">
            <v>4</v>
          </cell>
          <cell r="K5082">
            <v>4</v>
          </cell>
        </row>
        <row r="5083">
          <cell r="A5083" t="str">
            <v>MC</v>
          </cell>
          <cell r="B5083" t="str">
            <v>CA304</v>
          </cell>
          <cell r="C5083" t="str">
            <v>MC</v>
          </cell>
          <cell r="D5083" t="str">
            <v>2502</v>
          </cell>
          <cell r="E5083" t="str">
            <v>CAP</v>
          </cell>
          <cell r="F5083">
            <v>2</v>
          </cell>
          <cell r="G5083" t="str">
            <v>CB520700000T00</v>
          </cell>
          <cell r="H5083">
            <v>0.75</v>
          </cell>
          <cell r="I5083" t="str">
            <v>--</v>
          </cell>
          <cell r="J5083">
            <v>2</v>
          </cell>
          <cell r="K5083">
            <v>2</v>
          </cell>
        </row>
        <row r="5084">
          <cell r="A5084" t="str">
            <v>MC</v>
          </cell>
          <cell r="B5084" t="str">
            <v>CA304</v>
          </cell>
          <cell r="C5084" t="str">
            <v>MC</v>
          </cell>
          <cell r="D5084" t="str">
            <v>2502</v>
          </cell>
          <cell r="E5084" t="str">
            <v>CAP</v>
          </cell>
          <cell r="F5084">
            <v>2</v>
          </cell>
          <cell r="G5084" t="str">
            <v>CB520700000T00</v>
          </cell>
          <cell r="H5084">
            <v>0.75</v>
          </cell>
          <cell r="I5084" t="str">
            <v>--</v>
          </cell>
          <cell r="J5084">
            <v>1</v>
          </cell>
          <cell r="K5084">
            <v>1</v>
          </cell>
        </row>
        <row r="5085">
          <cell r="A5085" t="str">
            <v>MC</v>
          </cell>
          <cell r="B5085" t="str">
            <v>CA304</v>
          </cell>
          <cell r="C5085" t="str">
            <v>MC</v>
          </cell>
          <cell r="D5085" t="str">
            <v>2502</v>
          </cell>
          <cell r="E5085" t="str">
            <v>CAP</v>
          </cell>
          <cell r="F5085">
            <v>2</v>
          </cell>
          <cell r="G5085" t="str">
            <v>CB520700000T00</v>
          </cell>
          <cell r="H5085">
            <v>0.75</v>
          </cell>
          <cell r="I5085" t="str">
            <v>--</v>
          </cell>
          <cell r="J5085">
            <v>1</v>
          </cell>
          <cell r="K5085">
            <v>1</v>
          </cell>
        </row>
        <row r="5086">
          <cell r="A5086" t="str">
            <v>MC</v>
          </cell>
          <cell r="B5086" t="str">
            <v>CA304</v>
          </cell>
          <cell r="C5086" t="str">
            <v>MC</v>
          </cell>
          <cell r="D5086" t="str">
            <v>2502</v>
          </cell>
          <cell r="E5086" t="str">
            <v>CAP</v>
          </cell>
          <cell r="F5086">
            <v>2</v>
          </cell>
          <cell r="G5086" t="str">
            <v>CB520700000T00</v>
          </cell>
          <cell r="H5086">
            <v>0.75</v>
          </cell>
          <cell r="I5086" t="str">
            <v>--</v>
          </cell>
          <cell r="J5086">
            <v>2</v>
          </cell>
          <cell r="K5086">
            <v>2</v>
          </cell>
        </row>
        <row r="5087">
          <cell r="A5087" t="str">
            <v>MC</v>
          </cell>
          <cell r="B5087" t="str">
            <v>CA304</v>
          </cell>
          <cell r="C5087" t="str">
            <v>MC</v>
          </cell>
          <cell r="D5087" t="str">
            <v>HOLD</v>
          </cell>
          <cell r="E5087" t="str">
            <v>CAP</v>
          </cell>
          <cell r="F5087">
            <v>2</v>
          </cell>
          <cell r="G5087" t="str">
            <v>CB520700000T00</v>
          </cell>
          <cell r="H5087">
            <v>0.75</v>
          </cell>
          <cell r="I5087" t="str">
            <v>--</v>
          </cell>
          <cell r="J5087">
            <v>2</v>
          </cell>
          <cell r="K5087">
            <v>2</v>
          </cell>
        </row>
        <row r="5088">
          <cell r="A5088" t="str">
            <v>MC</v>
          </cell>
          <cell r="B5088" t="str">
            <v>CA304</v>
          </cell>
          <cell r="C5088" t="str">
            <v>MC</v>
          </cell>
          <cell r="D5088" t="str">
            <v>HOLD</v>
          </cell>
          <cell r="E5088" t="str">
            <v>CAP</v>
          </cell>
          <cell r="F5088">
            <v>2</v>
          </cell>
          <cell r="G5088" t="str">
            <v>CB520700000T00</v>
          </cell>
          <cell r="H5088">
            <v>0.75</v>
          </cell>
          <cell r="I5088" t="str">
            <v>--</v>
          </cell>
          <cell r="J5088">
            <v>2</v>
          </cell>
          <cell r="K5088">
            <v>2</v>
          </cell>
        </row>
        <row r="5089">
          <cell r="A5089" t="str">
            <v>MC</v>
          </cell>
          <cell r="B5089" t="str">
            <v>CA304</v>
          </cell>
          <cell r="C5089" t="str">
            <v>MC</v>
          </cell>
          <cell r="D5089" t="str">
            <v>HOLD</v>
          </cell>
          <cell r="E5089" t="str">
            <v>CAP</v>
          </cell>
          <cell r="F5089">
            <v>2</v>
          </cell>
          <cell r="G5089" t="str">
            <v>CB520700000T00</v>
          </cell>
          <cell r="H5089">
            <v>0.75</v>
          </cell>
          <cell r="I5089" t="str">
            <v>--</v>
          </cell>
          <cell r="J5089">
            <v>2</v>
          </cell>
          <cell r="K5089">
            <v>2</v>
          </cell>
        </row>
        <row r="5090">
          <cell r="A5090" t="str">
            <v>MC</v>
          </cell>
          <cell r="B5090" t="str">
            <v>CA304</v>
          </cell>
          <cell r="C5090" t="str">
            <v>MC</v>
          </cell>
          <cell r="D5090" t="str">
            <v>HOLD</v>
          </cell>
          <cell r="E5090" t="str">
            <v>CAP</v>
          </cell>
          <cell r="F5090">
            <v>2</v>
          </cell>
          <cell r="G5090" t="str">
            <v>CB520700000T00</v>
          </cell>
          <cell r="H5090">
            <v>0.75</v>
          </cell>
          <cell r="I5090" t="str">
            <v>--</v>
          </cell>
          <cell r="J5090">
            <v>2</v>
          </cell>
          <cell r="K5090">
            <v>2</v>
          </cell>
        </row>
        <row r="5091">
          <cell r="A5091" t="str">
            <v>MC</v>
          </cell>
          <cell r="B5091" t="str">
            <v>CA304</v>
          </cell>
          <cell r="C5091" t="str">
            <v>MC</v>
          </cell>
          <cell r="D5091" t="str">
            <v>2502</v>
          </cell>
          <cell r="E5091" t="str">
            <v>NPL</v>
          </cell>
          <cell r="F5091">
            <v>2</v>
          </cell>
          <cell r="G5091" t="str">
            <v>CB132308000TVR</v>
          </cell>
          <cell r="H5091">
            <v>0.75</v>
          </cell>
          <cell r="I5091" t="str">
            <v>75mm</v>
          </cell>
          <cell r="J5091">
            <v>4</v>
          </cell>
          <cell r="K5091">
            <v>4</v>
          </cell>
        </row>
        <row r="5092">
          <cell r="A5092" t="str">
            <v>MC</v>
          </cell>
          <cell r="B5092" t="str">
            <v>CA304</v>
          </cell>
          <cell r="C5092" t="str">
            <v>MC</v>
          </cell>
          <cell r="D5092" t="str">
            <v>2502</v>
          </cell>
          <cell r="E5092" t="str">
            <v>NPL</v>
          </cell>
          <cell r="F5092">
            <v>2</v>
          </cell>
          <cell r="G5092" t="str">
            <v>CB132308000TVR</v>
          </cell>
          <cell r="H5092">
            <v>0.75</v>
          </cell>
          <cell r="I5092" t="str">
            <v>75mm</v>
          </cell>
          <cell r="J5092">
            <v>2</v>
          </cell>
          <cell r="K5092">
            <v>2</v>
          </cell>
        </row>
        <row r="5093">
          <cell r="A5093" t="str">
            <v>MC</v>
          </cell>
          <cell r="B5093" t="str">
            <v>CA304</v>
          </cell>
          <cell r="C5093" t="str">
            <v>MC</v>
          </cell>
          <cell r="D5093" t="str">
            <v>2502</v>
          </cell>
          <cell r="E5093" t="str">
            <v>NPL</v>
          </cell>
          <cell r="F5093">
            <v>2</v>
          </cell>
          <cell r="G5093" t="str">
            <v>CB132308000TVR</v>
          </cell>
          <cell r="H5093">
            <v>0.75</v>
          </cell>
          <cell r="I5093" t="str">
            <v>75mm</v>
          </cell>
          <cell r="J5093">
            <v>2</v>
          </cell>
          <cell r="K5093">
            <v>2</v>
          </cell>
        </row>
        <row r="5094">
          <cell r="A5094" t="str">
            <v>MC</v>
          </cell>
          <cell r="B5094" t="str">
            <v>CA304</v>
          </cell>
          <cell r="C5094" t="str">
            <v>MC</v>
          </cell>
          <cell r="D5094" t="str">
            <v>2502</v>
          </cell>
          <cell r="E5094" t="str">
            <v>NPL</v>
          </cell>
          <cell r="F5094">
            <v>2</v>
          </cell>
          <cell r="G5094" t="str">
            <v>CB132308000TVR</v>
          </cell>
          <cell r="H5094">
            <v>0.75</v>
          </cell>
          <cell r="I5094" t="str">
            <v>75mm</v>
          </cell>
          <cell r="J5094">
            <v>4</v>
          </cell>
          <cell r="K5094">
            <v>4</v>
          </cell>
        </row>
        <row r="5095">
          <cell r="A5095" t="str">
            <v>MC</v>
          </cell>
          <cell r="B5095" t="str">
            <v>CA304</v>
          </cell>
          <cell r="C5095" t="str">
            <v>MC</v>
          </cell>
          <cell r="D5095" t="str">
            <v>HOLD</v>
          </cell>
          <cell r="E5095" t="str">
            <v>TEE</v>
          </cell>
          <cell r="F5095">
            <v>2</v>
          </cell>
          <cell r="G5095" t="str">
            <v>CB400300000T00</v>
          </cell>
          <cell r="H5095">
            <v>0.75</v>
          </cell>
          <cell r="I5095" t="str">
            <v>--</v>
          </cell>
          <cell r="J5095">
            <v>4</v>
          </cell>
          <cell r="K5095">
            <v>4</v>
          </cell>
        </row>
        <row r="5096">
          <cell r="A5096" t="str">
            <v>MC</v>
          </cell>
          <cell r="B5096" t="str">
            <v>CA304</v>
          </cell>
          <cell r="C5096" t="str">
            <v>MC</v>
          </cell>
          <cell r="D5096" t="str">
            <v>HOLD</v>
          </cell>
          <cell r="E5096" t="str">
            <v>TEE</v>
          </cell>
          <cell r="F5096">
            <v>2</v>
          </cell>
          <cell r="G5096" t="str">
            <v>CB400300000T00</v>
          </cell>
          <cell r="H5096">
            <v>0.75</v>
          </cell>
          <cell r="I5096" t="str">
            <v>--</v>
          </cell>
          <cell r="J5096">
            <v>4</v>
          </cell>
          <cell r="K5096">
            <v>4</v>
          </cell>
        </row>
        <row r="5097">
          <cell r="A5097" t="str">
            <v>MC</v>
          </cell>
          <cell r="B5097" t="str">
            <v>CA304</v>
          </cell>
          <cell r="C5097" t="str">
            <v>MC</v>
          </cell>
          <cell r="D5097" t="str">
            <v>HOLD</v>
          </cell>
          <cell r="E5097" t="str">
            <v>TEE</v>
          </cell>
          <cell r="F5097">
            <v>2</v>
          </cell>
          <cell r="G5097" t="str">
            <v>CB400300000T00</v>
          </cell>
          <cell r="H5097">
            <v>0.75</v>
          </cell>
          <cell r="I5097" t="str">
            <v>--</v>
          </cell>
          <cell r="J5097">
            <v>4</v>
          </cell>
          <cell r="K5097">
            <v>4</v>
          </cell>
        </row>
        <row r="5098">
          <cell r="A5098" t="str">
            <v>MC</v>
          </cell>
          <cell r="B5098" t="str">
            <v>CA304</v>
          </cell>
          <cell r="C5098" t="str">
            <v>MC</v>
          </cell>
          <cell r="D5098" t="str">
            <v>HOLD</v>
          </cell>
          <cell r="E5098" t="str">
            <v>TEE</v>
          </cell>
          <cell r="F5098">
            <v>2</v>
          </cell>
          <cell r="G5098" t="str">
            <v>CB400300000T00</v>
          </cell>
          <cell r="H5098">
            <v>0.75</v>
          </cell>
          <cell r="I5098" t="str">
            <v>--</v>
          </cell>
          <cell r="J5098">
            <v>2</v>
          </cell>
          <cell r="K5098">
            <v>2</v>
          </cell>
        </row>
        <row r="5099">
          <cell r="A5099" t="str">
            <v>MC</v>
          </cell>
          <cell r="B5099" t="str">
            <v>CA304</v>
          </cell>
          <cell r="C5099" t="str">
            <v>MC</v>
          </cell>
          <cell r="D5099" t="str">
            <v>HOLD</v>
          </cell>
          <cell r="E5099" t="str">
            <v>TEE</v>
          </cell>
          <cell r="F5099">
            <v>2</v>
          </cell>
          <cell r="G5099" t="str">
            <v>CB400300000T00</v>
          </cell>
          <cell r="H5099">
            <v>0.75</v>
          </cell>
          <cell r="I5099" t="str">
            <v>--</v>
          </cell>
          <cell r="J5099">
            <v>4</v>
          </cell>
          <cell r="K5099">
            <v>4</v>
          </cell>
        </row>
        <row r="5100">
          <cell r="A5100" t="str">
            <v>MC</v>
          </cell>
          <cell r="B5100" t="str">
            <v>CA304</v>
          </cell>
          <cell r="C5100" t="str">
            <v>SC1</v>
          </cell>
          <cell r="D5100" t="str">
            <v>HOLD</v>
          </cell>
          <cell r="E5100" t="str">
            <v>C SWG</v>
          </cell>
          <cell r="F5100">
            <v>2</v>
          </cell>
          <cell r="G5100" t="str">
            <v>CB161108080T0H</v>
          </cell>
          <cell r="H5100">
            <v>0.75</v>
          </cell>
          <cell r="I5100">
            <v>0.5</v>
          </cell>
          <cell r="J5100">
            <v>3</v>
          </cell>
          <cell r="K5100">
            <v>3</v>
          </cell>
        </row>
        <row r="5101">
          <cell r="A5101" t="str">
            <v>MC</v>
          </cell>
          <cell r="B5101" t="str">
            <v>CA304</v>
          </cell>
          <cell r="C5101" t="str">
            <v>MC</v>
          </cell>
          <cell r="D5101" t="str">
            <v>2605</v>
          </cell>
          <cell r="E5101" t="str">
            <v>90 ELL</v>
          </cell>
          <cell r="F5101">
            <v>2</v>
          </cell>
          <cell r="G5101" t="str">
            <v>CB400100000100</v>
          </cell>
          <cell r="H5101">
            <v>1</v>
          </cell>
          <cell r="I5101" t="str">
            <v>--</v>
          </cell>
          <cell r="J5101">
            <v>6</v>
          </cell>
          <cell r="K5101">
            <v>6</v>
          </cell>
        </row>
        <row r="5102">
          <cell r="A5102" t="str">
            <v>MC</v>
          </cell>
          <cell r="B5102" t="str">
            <v>CA304</v>
          </cell>
          <cell r="C5102" t="str">
            <v>MC</v>
          </cell>
          <cell r="D5102" t="str">
            <v>2609</v>
          </cell>
          <cell r="E5102" t="str">
            <v>90 ELL</v>
          </cell>
          <cell r="F5102">
            <v>2</v>
          </cell>
          <cell r="G5102" t="str">
            <v>CB400100000100</v>
          </cell>
          <cell r="H5102">
            <v>1</v>
          </cell>
          <cell r="I5102" t="str">
            <v>--</v>
          </cell>
          <cell r="J5102">
            <v>7</v>
          </cell>
          <cell r="K5102">
            <v>7</v>
          </cell>
        </row>
        <row r="5103">
          <cell r="A5103" t="str">
            <v>MC</v>
          </cell>
          <cell r="B5103" t="str">
            <v>BA305</v>
          </cell>
          <cell r="C5103" t="str">
            <v>MOH</v>
          </cell>
          <cell r="D5103" t="str">
            <v>2002</v>
          </cell>
          <cell r="E5103" t="str">
            <v>90 ELL</v>
          </cell>
          <cell r="F5103">
            <v>2</v>
          </cell>
          <cell r="G5103" t="str">
            <v>CB400100000100</v>
          </cell>
          <cell r="H5103">
            <v>1</v>
          </cell>
          <cell r="I5103" t="str">
            <v>--</v>
          </cell>
          <cell r="J5103">
            <v>6</v>
          </cell>
          <cell r="K5103">
            <v>6</v>
          </cell>
        </row>
        <row r="5104">
          <cell r="A5104" t="str">
            <v>MC</v>
          </cell>
          <cell r="B5104" t="str">
            <v>BA305</v>
          </cell>
          <cell r="C5104" t="str">
            <v>MOH</v>
          </cell>
          <cell r="D5104" t="str">
            <v>2100</v>
          </cell>
          <cell r="E5104" t="str">
            <v>90 ELL</v>
          </cell>
          <cell r="F5104">
            <v>2</v>
          </cell>
          <cell r="G5104" t="str">
            <v>CB400100000100</v>
          </cell>
          <cell r="H5104">
            <v>1</v>
          </cell>
          <cell r="I5104" t="str">
            <v>--</v>
          </cell>
          <cell r="J5104">
            <v>2</v>
          </cell>
          <cell r="K5104">
            <v>2</v>
          </cell>
        </row>
        <row r="5105">
          <cell r="A5105" t="str">
            <v>MC</v>
          </cell>
          <cell r="B5105" t="str">
            <v>BA305</v>
          </cell>
          <cell r="C5105" t="str">
            <v>MOH</v>
          </cell>
          <cell r="D5105" t="str">
            <v>2101</v>
          </cell>
          <cell r="E5105" t="str">
            <v>90 ELL</v>
          </cell>
          <cell r="F5105">
            <v>2</v>
          </cell>
          <cell r="G5105" t="str">
            <v>CB400100000100</v>
          </cell>
          <cell r="H5105">
            <v>1</v>
          </cell>
          <cell r="I5105" t="str">
            <v>--</v>
          </cell>
          <cell r="J5105">
            <v>6</v>
          </cell>
          <cell r="K5105">
            <v>6</v>
          </cell>
        </row>
        <row r="5106">
          <cell r="A5106" t="str">
            <v>MC</v>
          </cell>
          <cell r="B5106" t="str">
            <v>CA304</v>
          </cell>
          <cell r="C5106" t="str">
            <v>N</v>
          </cell>
          <cell r="D5106" t="str">
            <v>HOLD</v>
          </cell>
          <cell r="E5106" t="str">
            <v>90 ELL</v>
          </cell>
          <cell r="F5106">
            <v>2</v>
          </cell>
          <cell r="G5106" t="str">
            <v>CB400100000100</v>
          </cell>
          <cell r="H5106">
            <v>1</v>
          </cell>
          <cell r="I5106" t="str">
            <v>--</v>
          </cell>
          <cell r="J5106">
            <v>1</v>
          </cell>
          <cell r="K5106">
            <v>1</v>
          </cell>
        </row>
        <row r="5107">
          <cell r="A5107" t="str">
            <v>MC</v>
          </cell>
          <cell r="B5107" t="str">
            <v>BA312</v>
          </cell>
          <cell r="C5107" t="str">
            <v>SA98</v>
          </cell>
          <cell r="D5107" t="str">
            <v>2411</v>
          </cell>
          <cell r="E5107" t="str">
            <v>90 ELL</v>
          </cell>
          <cell r="F5107">
            <v>2</v>
          </cell>
          <cell r="G5107" t="str">
            <v>CB300108000100</v>
          </cell>
          <cell r="H5107">
            <v>1</v>
          </cell>
          <cell r="I5107" t="str">
            <v>--</v>
          </cell>
          <cell r="J5107">
            <v>9</v>
          </cell>
          <cell r="K5107">
            <v>9</v>
          </cell>
        </row>
        <row r="5108">
          <cell r="A5108" t="str">
            <v>MC</v>
          </cell>
          <cell r="B5108" t="str">
            <v>BA302</v>
          </cell>
          <cell r="C5108" t="str">
            <v>SD20</v>
          </cell>
          <cell r="D5108" t="str">
            <v>2301</v>
          </cell>
          <cell r="E5108" t="str">
            <v>90 ELL</v>
          </cell>
          <cell r="F5108">
            <v>2</v>
          </cell>
          <cell r="G5108" t="str">
            <v>CB400100000100</v>
          </cell>
          <cell r="H5108">
            <v>1</v>
          </cell>
          <cell r="I5108" t="str">
            <v>--</v>
          </cell>
          <cell r="J5108">
            <v>10</v>
          </cell>
          <cell r="K5108">
            <v>10</v>
          </cell>
        </row>
        <row r="5109">
          <cell r="A5109" t="str">
            <v>MC</v>
          </cell>
          <cell r="B5109" t="str">
            <v>BA305</v>
          </cell>
          <cell r="C5109" t="str">
            <v>MOH</v>
          </cell>
          <cell r="D5109" t="str">
            <v>2112</v>
          </cell>
          <cell r="E5109" t="str">
            <v>90 ELL</v>
          </cell>
          <cell r="F5109">
            <v>2</v>
          </cell>
          <cell r="G5109" t="str">
            <v>CB400100000100</v>
          </cell>
          <cell r="H5109">
            <v>1</v>
          </cell>
          <cell r="I5109" t="str">
            <v>--</v>
          </cell>
          <cell r="J5109">
            <v>7</v>
          </cell>
          <cell r="K5109">
            <v>7</v>
          </cell>
        </row>
        <row r="5110">
          <cell r="A5110" t="str">
            <v>MC</v>
          </cell>
          <cell r="B5110" t="str">
            <v>BA305</v>
          </cell>
          <cell r="C5110" t="str">
            <v>VNC</v>
          </cell>
          <cell r="D5110" t="str">
            <v>2016</v>
          </cell>
          <cell r="E5110" t="str">
            <v>90 ELL</v>
          </cell>
          <cell r="F5110">
            <v>2</v>
          </cell>
          <cell r="G5110" t="str">
            <v>CB400100000100</v>
          </cell>
          <cell r="H5110">
            <v>1</v>
          </cell>
          <cell r="I5110" t="str">
            <v>--</v>
          </cell>
          <cell r="J5110">
            <v>2</v>
          </cell>
          <cell r="K5110">
            <v>2</v>
          </cell>
        </row>
        <row r="5111">
          <cell r="A5111" t="str">
            <v>MC</v>
          </cell>
          <cell r="B5111" t="str">
            <v>BA305</v>
          </cell>
          <cell r="C5111" t="str">
            <v>MOH</v>
          </cell>
          <cell r="D5111" t="str">
            <v>2100</v>
          </cell>
          <cell r="E5111" t="str">
            <v>C SWG</v>
          </cell>
          <cell r="F5111">
            <v>2</v>
          </cell>
          <cell r="G5111" t="str">
            <v>CB16110808010T</v>
          </cell>
          <cell r="H5111">
            <v>1</v>
          </cell>
          <cell r="I5111">
            <v>0.75</v>
          </cell>
          <cell r="J5111">
            <v>1</v>
          </cell>
          <cell r="K5111">
            <v>1</v>
          </cell>
        </row>
        <row r="5112">
          <cell r="A5112" t="str">
            <v>MC</v>
          </cell>
          <cell r="B5112" t="str">
            <v>BA305</v>
          </cell>
          <cell r="C5112" t="str">
            <v>VNC</v>
          </cell>
          <cell r="D5112" t="str">
            <v>2016</v>
          </cell>
          <cell r="E5112" t="str">
            <v>C SWG</v>
          </cell>
          <cell r="F5112">
            <v>2</v>
          </cell>
          <cell r="G5112" t="str">
            <v>CB16110808010T</v>
          </cell>
          <cell r="H5112">
            <v>1</v>
          </cell>
          <cell r="I5112">
            <v>0.75</v>
          </cell>
          <cell r="J5112">
            <v>1</v>
          </cell>
          <cell r="K5112">
            <v>1</v>
          </cell>
        </row>
        <row r="5113">
          <cell r="A5113" t="str">
            <v>MC</v>
          </cell>
          <cell r="B5113" t="str">
            <v>BA312</v>
          </cell>
          <cell r="C5113" t="str">
            <v>SA98</v>
          </cell>
          <cell r="D5113" t="str">
            <v>2411</v>
          </cell>
          <cell r="E5113" t="str">
            <v>CPLG</v>
          </cell>
          <cell r="F5113">
            <v>2</v>
          </cell>
          <cell r="G5113" t="str">
            <v>CB400500000100</v>
          </cell>
          <cell r="H5113">
            <v>1</v>
          </cell>
          <cell r="I5113" t="str">
            <v>--</v>
          </cell>
          <cell r="J5113">
            <v>5</v>
          </cell>
          <cell r="K5113">
            <v>5</v>
          </cell>
        </row>
        <row r="5114">
          <cell r="A5114" t="str">
            <v>MC</v>
          </cell>
          <cell r="B5114" t="str">
            <v>BA302</v>
          </cell>
          <cell r="C5114" t="str">
            <v>SD20</v>
          </cell>
          <cell r="D5114" t="str">
            <v>2301</v>
          </cell>
          <cell r="E5114" t="str">
            <v>CPLG</v>
          </cell>
          <cell r="F5114">
            <v>2</v>
          </cell>
          <cell r="G5114" t="str">
            <v>CB400500000100</v>
          </cell>
          <cell r="H5114">
            <v>1</v>
          </cell>
          <cell r="I5114" t="str">
            <v>--</v>
          </cell>
          <cell r="J5114">
            <v>3</v>
          </cell>
          <cell r="K5114">
            <v>3</v>
          </cell>
        </row>
        <row r="5115">
          <cell r="A5115" t="str">
            <v>MC</v>
          </cell>
          <cell r="B5115" t="str">
            <v>BA305</v>
          </cell>
          <cell r="C5115" t="str">
            <v>VNC</v>
          </cell>
          <cell r="D5115" t="str">
            <v>2016</v>
          </cell>
          <cell r="E5115" t="str">
            <v>CPLG</v>
          </cell>
          <cell r="F5115">
            <v>2</v>
          </cell>
          <cell r="G5115" t="str">
            <v>CB400500000100</v>
          </cell>
          <cell r="H5115">
            <v>1</v>
          </cell>
          <cell r="I5115" t="str">
            <v>--</v>
          </cell>
          <cell r="J5115">
            <v>1</v>
          </cell>
          <cell r="K5115">
            <v>1</v>
          </cell>
        </row>
        <row r="5116">
          <cell r="A5116" t="str">
            <v>MC</v>
          </cell>
          <cell r="B5116" t="str">
            <v>BA305</v>
          </cell>
          <cell r="C5116" t="str">
            <v>MOH</v>
          </cell>
          <cell r="D5116" t="str">
            <v>2101</v>
          </cell>
          <cell r="E5116" t="str">
            <v>E SWG</v>
          </cell>
          <cell r="F5116">
            <v>2</v>
          </cell>
          <cell r="G5116" t="str">
            <v>CB16210808010T</v>
          </cell>
          <cell r="H5116">
            <v>1</v>
          </cell>
          <cell r="I5116">
            <v>0.75</v>
          </cell>
          <cell r="J5116">
            <v>2</v>
          </cell>
          <cell r="K5116">
            <v>2</v>
          </cell>
        </row>
        <row r="5117">
          <cell r="A5117" t="str">
            <v>MC</v>
          </cell>
          <cell r="B5117" t="str">
            <v>BA305</v>
          </cell>
          <cell r="C5117" t="str">
            <v>MOH</v>
          </cell>
          <cell r="D5117" t="str">
            <v>2112</v>
          </cell>
          <cell r="E5117" t="str">
            <v>E SWG</v>
          </cell>
          <cell r="F5117">
            <v>2</v>
          </cell>
          <cell r="G5117" t="str">
            <v>CB16210808010T</v>
          </cell>
          <cell r="H5117">
            <v>1</v>
          </cell>
          <cell r="I5117">
            <v>0.75</v>
          </cell>
          <cell r="J5117">
            <v>2</v>
          </cell>
          <cell r="K5117">
            <v>2</v>
          </cell>
        </row>
        <row r="5118">
          <cell r="A5118" t="str">
            <v>MC</v>
          </cell>
          <cell r="B5118" t="str">
            <v>BA312</v>
          </cell>
          <cell r="C5118" t="str">
            <v>SA98</v>
          </cell>
          <cell r="D5118" t="str">
            <v>2411</v>
          </cell>
          <cell r="E5118" t="str">
            <v>E SWG</v>
          </cell>
          <cell r="F5118">
            <v>2</v>
          </cell>
          <cell r="G5118" t="str">
            <v>CB16210808010T</v>
          </cell>
          <cell r="H5118">
            <v>1</v>
          </cell>
          <cell r="I5118">
            <v>0.75</v>
          </cell>
          <cell r="J5118">
            <v>2</v>
          </cell>
          <cell r="K5118">
            <v>2</v>
          </cell>
        </row>
        <row r="5119">
          <cell r="A5119" t="str">
            <v>MC</v>
          </cell>
          <cell r="B5119" t="str">
            <v>BA302</v>
          </cell>
          <cell r="C5119" t="str">
            <v>SD20</v>
          </cell>
          <cell r="D5119" t="str">
            <v>2301</v>
          </cell>
          <cell r="E5119" t="str">
            <v>E SWG</v>
          </cell>
          <cell r="F5119">
            <v>2</v>
          </cell>
          <cell r="G5119" t="str">
            <v>CB16210808010T</v>
          </cell>
          <cell r="H5119">
            <v>1</v>
          </cell>
          <cell r="I5119">
            <v>0.75</v>
          </cell>
          <cell r="J5119">
            <v>2</v>
          </cell>
          <cell r="K5119">
            <v>2</v>
          </cell>
        </row>
        <row r="5120">
          <cell r="A5120" t="str">
            <v>MC</v>
          </cell>
          <cell r="B5120" t="str">
            <v>BA305</v>
          </cell>
          <cell r="C5120" t="str">
            <v>MOH</v>
          </cell>
          <cell r="D5120" t="str">
            <v>2002</v>
          </cell>
          <cell r="E5120" t="str">
            <v>R TEE</v>
          </cell>
          <cell r="F5120">
            <v>2</v>
          </cell>
          <cell r="G5120" t="str">
            <v>CB40040000010T</v>
          </cell>
          <cell r="H5120">
            <v>1</v>
          </cell>
          <cell r="I5120">
            <v>0.75</v>
          </cell>
          <cell r="J5120">
            <v>2</v>
          </cell>
          <cell r="K5120">
            <v>2</v>
          </cell>
        </row>
        <row r="5121">
          <cell r="A5121" t="str">
            <v>MC</v>
          </cell>
          <cell r="B5121" t="str">
            <v>BA305</v>
          </cell>
          <cell r="C5121" t="str">
            <v>MOH</v>
          </cell>
          <cell r="D5121" t="str">
            <v>2101</v>
          </cell>
          <cell r="E5121" t="str">
            <v>R TEE</v>
          </cell>
          <cell r="F5121">
            <v>2</v>
          </cell>
          <cell r="G5121" t="str">
            <v>CB40040000010T</v>
          </cell>
          <cell r="H5121">
            <v>1</v>
          </cell>
          <cell r="I5121">
            <v>0.75</v>
          </cell>
          <cell r="J5121">
            <v>2</v>
          </cell>
          <cell r="K5121">
            <v>2</v>
          </cell>
        </row>
        <row r="5122">
          <cell r="A5122" t="str">
            <v>MC</v>
          </cell>
          <cell r="B5122" t="str">
            <v>BA305</v>
          </cell>
          <cell r="C5122" t="str">
            <v>MOH</v>
          </cell>
          <cell r="D5122" t="str">
            <v>2100</v>
          </cell>
          <cell r="E5122" t="str">
            <v>R TEE</v>
          </cell>
          <cell r="F5122">
            <v>2</v>
          </cell>
          <cell r="G5122" t="str">
            <v>CB40040000010T</v>
          </cell>
          <cell r="H5122">
            <v>1</v>
          </cell>
          <cell r="I5122">
            <v>0.75</v>
          </cell>
          <cell r="J5122">
            <v>1</v>
          </cell>
          <cell r="K5122">
            <v>1</v>
          </cell>
        </row>
        <row r="5123">
          <cell r="A5123" t="str">
            <v>MC</v>
          </cell>
          <cell r="B5123" t="str">
            <v>BA305</v>
          </cell>
          <cell r="C5123" t="str">
            <v>MOH</v>
          </cell>
          <cell r="D5123" t="str">
            <v>2112</v>
          </cell>
          <cell r="E5123" t="str">
            <v>R TEE</v>
          </cell>
          <cell r="F5123">
            <v>2</v>
          </cell>
          <cell r="G5123" t="str">
            <v>CB40040000010T</v>
          </cell>
          <cell r="H5123">
            <v>1</v>
          </cell>
          <cell r="I5123">
            <v>0.75</v>
          </cell>
          <cell r="J5123">
            <v>3</v>
          </cell>
          <cell r="K5123">
            <v>3</v>
          </cell>
        </row>
        <row r="5124">
          <cell r="A5124" t="str">
            <v>MC</v>
          </cell>
          <cell r="B5124" t="str">
            <v>BA302</v>
          </cell>
          <cell r="C5124" t="str">
            <v>SD20</v>
          </cell>
          <cell r="D5124" t="str">
            <v>2301</v>
          </cell>
          <cell r="E5124" t="str">
            <v>R TEE</v>
          </cell>
          <cell r="F5124">
            <v>2</v>
          </cell>
          <cell r="G5124" t="str">
            <v>CB40040000010T</v>
          </cell>
          <cell r="H5124">
            <v>1</v>
          </cell>
          <cell r="I5124">
            <v>0.75</v>
          </cell>
          <cell r="J5124">
            <v>2</v>
          </cell>
          <cell r="K5124">
            <v>2</v>
          </cell>
        </row>
        <row r="5125">
          <cell r="A5125" t="str">
            <v>MC</v>
          </cell>
          <cell r="B5125" t="str">
            <v>BA312</v>
          </cell>
          <cell r="C5125" t="str">
            <v>SA98</v>
          </cell>
          <cell r="D5125" t="str">
            <v>2411</v>
          </cell>
          <cell r="E5125" t="str">
            <v>R TEE</v>
          </cell>
          <cell r="F5125">
            <v>2</v>
          </cell>
          <cell r="G5125" t="str">
            <v>CB40040000010T</v>
          </cell>
          <cell r="H5125">
            <v>1</v>
          </cell>
          <cell r="I5125">
            <v>0.75</v>
          </cell>
          <cell r="J5125">
            <v>3</v>
          </cell>
          <cell r="K5125">
            <v>3</v>
          </cell>
        </row>
        <row r="5126">
          <cell r="A5126" t="str">
            <v>MC</v>
          </cell>
          <cell r="B5126" t="str">
            <v>BA312</v>
          </cell>
          <cell r="C5126" t="str">
            <v>SA98</v>
          </cell>
          <cell r="D5126" t="str">
            <v>2411</v>
          </cell>
          <cell r="E5126" t="str">
            <v>TEE</v>
          </cell>
          <cell r="F5126">
            <v>2</v>
          </cell>
          <cell r="G5126" t="str">
            <v>CB300308000100</v>
          </cell>
          <cell r="H5126">
            <v>1</v>
          </cell>
          <cell r="I5126" t="str">
            <v>--</v>
          </cell>
          <cell r="J5126">
            <v>2</v>
          </cell>
          <cell r="K5126">
            <v>2</v>
          </cell>
        </row>
        <row r="5127">
          <cell r="A5127" t="str">
            <v>MC</v>
          </cell>
          <cell r="B5127" t="str">
            <v>BA302</v>
          </cell>
          <cell r="C5127" t="str">
            <v>SD20</v>
          </cell>
          <cell r="D5127" t="str">
            <v>2301</v>
          </cell>
          <cell r="E5127" t="str">
            <v>TEE</v>
          </cell>
          <cell r="F5127">
            <v>2</v>
          </cell>
          <cell r="G5127" t="str">
            <v>CB400300000100</v>
          </cell>
          <cell r="H5127">
            <v>1</v>
          </cell>
          <cell r="I5127" t="str">
            <v>--</v>
          </cell>
          <cell r="J5127">
            <v>2</v>
          </cell>
          <cell r="K5127">
            <v>2</v>
          </cell>
        </row>
        <row r="5128">
          <cell r="A5128" t="str">
            <v>MC</v>
          </cell>
          <cell r="B5128" t="str">
            <v>BA305</v>
          </cell>
          <cell r="C5128" t="str">
            <v>MOH</v>
          </cell>
          <cell r="D5128" t="str">
            <v>2100</v>
          </cell>
          <cell r="E5128" t="str">
            <v>TEE</v>
          </cell>
          <cell r="F5128">
            <v>2</v>
          </cell>
          <cell r="G5128" t="str">
            <v>CB400300000100</v>
          </cell>
          <cell r="H5128">
            <v>1</v>
          </cell>
          <cell r="I5128" t="str">
            <v>--</v>
          </cell>
          <cell r="J5128">
            <v>1</v>
          </cell>
          <cell r="K5128">
            <v>1</v>
          </cell>
        </row>
        <row r="5129">
          <cell r="A5129" t="str">
            <v>MC</v>
          </cell>
          <cell r="B5129" t="str">
            <v>BA305</v>
          </cell>
          <cell r="C5129" t="str">
            <v>MOH</v>
          </cell>
          <cell r="D5129" t="str">
            <v>2101</v>
          </cell>
          <cell r="E5129" t="str">
            <v>TEE</v>
          </cell>
          <cell r="F5129">
            <v>2</v>
          </cell>
          <cell r="G5129" t="str">
            <v>CB400300000100</v>
          </cell>
          <cell r="H5129">
            <v>1</v>
          </cell>
          <cell r="I5129" t="str">
            <v>--</v>
          </cell>
          <cell r="J5129">
            <v>2</v>
          </cell>
          <cell r="K5129">
            <v>2</v>
          </cell>
        </row>
        <row r="5130">
          <cell r="A5130" t="str">
            <v>MC</v>
          </cell>
          <cell r="B5130" t="str">
            <v>CA304</v>
          </cell>
          <cell r="C5130" t="str">
            <v>MC</v>
          </cell>
          <cell r="D5130" t="str">
            <v>2604</v>
          </cell>
          <cell r="E5130" t="str">
            <v>90 ELL</v>
          </cell>
          <cell r="F5130">
            <v>2</v>
          </cell>
          <cell r="G5130" t="str">
            <v>CB400100000100</v>
          </cell>
          <cell r="H5130">
            <v>1</v>
          </cell>
          <cell r="I5130" t="str">
            <v>--</v>
          </cell>
          <cell r="J5130">
            <v>8</v>
          </cell>
          <cell r="K5130">
            <v>8</v>
          </cell>
        </row>
        <row r="5131">
          <cell r="A5131" t="str">
            <v>MC</v>
          </cell>
          <cell r="B5131" t="str">
            <v>CA304</v>
          </cell>
          <cell r="C5131" t="str">
            <v>MC</v>
          </cell>
          <cell r="D5131" t="str">
            <v>HOLD</v>
          </cell>
          <cell r="E5131" t="str">
            <v>90 ELL</v>
          </cell>
          <cell r="F5131">
            <v>2</v>
          </cell>
          <cell r="G5131" t="str">
            <v>CB400100000100</v>
          </cell>
          <cell r="H5131">
            <v>1</v>
          </cell>
          <cell r="I5131" t="str">
            <v>--</v>
          </cell>
          <cell r="J5131">
            <v>3</v>
          </cell>
          <cell r="K5131">
            <v>3</v>
          </cell>
        </row>
        <row r="5132">
          <cell r="A5132" t="str">
            <v>MC</v>
          </cell>
          <cell r="B5132" t="str">
            <v>CA304</v>
          </cell>
          <cell r="C5132" t="str">
            <v>MC</v>
          </cell>
          <cell r="D5132" t="str">
            <v>HOLD</v>
          </cell>
          <cell r="E5132" t="str">
            <v>90 ELL</v>
          </cell>
          <cell r="F5132">
            <v>2</v>
          </cell>
          <cell r="G5132" t="str">
            <v>CB400100000100</v>
          </cell>
          <cell r="H5132">
            <v>1</v>
          </cell>
          <cell r="I5132" t="str">
            <v>--</v>
          </cell>
          <cell r="J5132">
            <v>2</v>
          </cell>
          <cell r="K5132">
            <v>2</v>
          </cell>
        </row>
        <row r="5133">
          <cell r="A5133" t="str">
            <v>MC</v>
          </cell>
          <cell r="B5133" t="str">
            <v>CA304</v>
          </cell>
          <cell r="C5133" t="str">
            <v>MC</v>
          </cell>
          <cell r="D5133" t="str">
            <v>2604</v>
          </cell>
          <cell r="E5133" t="str">
            <v>C SWG</v>
          </cell>
          <cell r="F5133">
            <v>2</v>
          </cell>
          <cell r="G5133" t="str">
            <v>CB16110808010T</v>
          </cell>
          <cell r="H5133">
            <v>1</v>
          </cell>
          <cell r="I5133">
            <v>0.75</v>
          </cell>
          <cell r="J5133">
            <v>2</v>
          </cell>
          <cell r="K5133">
            <v>2</v>
          </cell>
        </row>
        <row r="5134">
          <cell r="A5134" t="str">
            <v>MC</v>
          </cell>
          <cell r="B5134" t="str">
            <v>CA304</v>
          </cell>
          <cell r="C5134" t="str">
            <v>MC</v>
          </cell>
          <cell r="D5134" t="str">
            <v>2604</v>
          </cell>
          <cell r="E5134" t="str">
            <v>E SWG</v>
          </cell>
          <cell r="F5134">
            <v>2</v>
          </cell>
          <cell r="G5134" t="str">
            <v>CB16210808010T</v>
          </cell>
          <cell r="H5134">
            <v>1</v>
          </cell>
          <cell r="I5134">
            <v>0.75</v>
          </cell>
          <cell r="J5134">
            <v>2</v>
          </cell>
          <cell r="K5134">
            <v>2</v>
          </cell>
        </row>
        <row r="5135">
          <cell r="A5135" t="str">
            <v>MC</v>
          </cell>
          <cell r="B5135" t="str">
            <v>CA304</v>
          </cell>
          <cell r="C5135" t="str">
            <v>MC</v>
          </cell>
          <cell r="D5135" t="str">
            <v>HOLD</v>
          </cell>
          <cell r="E5135" t="str">
            <v>E SWG</v>
          </cell>
          <cell r="F5135">
            <v>2</v>
          </cell>
          <cell r="G5135" t="str">
            <v>CB16210808010T</v>
          </cell>
          <cell r="H5135">
            <v>1</v>
          </cell>
          <cell r="I5135">
            <v>0.75</v>
          </cell>
          <cell r="J5135">
            <v>2</v>
          </cell>
          <cell r="K5135">
            <v>2</v>
          </cell>
        </row>
        <row r="5136">
          <cell r="A5136" t="str">
            <v>MC</v>
          </cell>
          <cell r="B5136" t="str">
            <v>CA304</v>
          </cell>
          <cell r="C5136" t="str">
            <v>MC</v>
          </cell>
          <cell r="D5136" t="str">
            <v>2604</v>
          </cell>
          <cell r="E5136" t="str">
            <v>R TEE</v>
          </cell>
          <cell r="F5136">
            <v>2</v>
          </cell>
          <cell r="G5136" t="str">
            <v>CB40040000010T</v>
          </cell>
          <cell r="H5136">
            <v>1</v>
          </cell>
          <cell r="I5136">
            <v>0.75</v>
          </cell>
          <cell r="J5136">
            <v>4</v>
          </cell>
          <cell r="K5136">
            <v>4</v>
          </cell>
        </row>
        <row r="5137">
          <cell r="A5137" t="str">
            <v>MC</v>
          </cell>
          <cell r="B5137" t="str">
            <v>CA304</v>
          </cell>
          <cell r="C5137" t="str">
            <v>MC</v>
          </cell>
          <cell r="D5137" t="str">
            <v>HOLD</v>
          </cell>
          <cell r="E5137" t="str">
            <v>R TEE</v>
          </cell>
          <cell r="F5137">
            <v>2</v>
          </cell>
          <cell r="G5137" t="str">
            <v>CB40040000010T</v>
          </cell>
          <cell r="H5137">
            <v>1</v>
          </cell>
          <cell r="I5137">
            <v>0.75</v>
          </cell>
          <cell r="J5137">
            <v>2</v>
          </cell>
          <cell r="K5137">
            <v>2</v>
          </cell>
        </row>
        <row r="5138">
          <cell r="A5138" t="str">
            <v>MC</v>
          </cell>
          <cell r="B5138" t="str">
            <v>CA304</v>
          </cell>
          <cell r="C5138" t="str">
            <v>MC</v>
          </cell>
          <cell r="D5138" t="str">
            <v>HOLD</v>
          </cell>
          <cell r="E5138" t="str">
            <v>R TEE</v>
          </cell>
          <cell r="F5138">
            <v>2</v>
          </cell>
          <cell r="G5138" t="str">
            <v>CB40040000010T</v>
          </cell>
          <cell r="H5138">
            <v>1</v>
          </cell>
          <cell r="I5138">
            <v>0.75</v>
          </cell>
          <cell r="J5138">
            <v>2</v>
          </cell>
          <cell r="K5138">
            <v>2</v>
          </cell>
        </row>
        <row r="5139">
          <cell r="A5139" t="str">
            <v>MC</v>
          </cell>
          <cell r="B5139" t="str">
            <v>CA304</v>
          </cell>
          <cell r="C5139" t="str">
            <v>MC</v>
          </cell>
          <cell r="D5139" t="str">
            <v>2604</v>
          </cell>
          <cell r="E5139" t="str">
            <v>TEE</v>
          </cell>
          <cell r="F5139">
            <v>2</v>
          </cell>
          <cell r="G5139" t="str">
            <v>CB400300000100</v>
          </cell>
          <cell r="H5139">
            <v>1</v>
          </cell>
          <cell r="I5139" t="str">
            <v>--</v>
          </cell>
          <cell r="J5139">
            <v>1</v>
          </cell>
          <cell r="K5139">
            <v>1</v>
          </cell>
        </row>
        <row r="5140">
          <cell r="A5140" t="str">
            <v>MC</v>
          </cell>
          <cell r="B5140" t="str">
            <v>CA304</v>
          </cell>
          <cell r="C5140" t="str">
            <v>MC</v>
          </cell>
          <cell r="D5140" t="str">
            <v>HOLD</v>
          </cell>
          <cell r="E5140" t="str">
            <v>TEE</v>
          </cell>
          <cell r="F5140">
            <v>2</v>
          </cell>
          <cell r="G5140" t="str">
            <v>CB400300000100</v>
          </cell>
          <cell r="H5140">
            <v>1</v>
          </cell>
          <cell r="I5140" t="str">
            <v>--</v>
          </cell>
          <cell r="J5140">
            <v>5</v>
          </cell>
          <cell r="K5140">
            <v>5</v>
          </cell>
        </row>
        <row r="5141">
          <cell r="A5141" t="str">
            <v>MC</v>
          </cell>
          <cell r="B5141" t="str">
            <v>B2C</v>
          </cell>
          <cell r="C5141" t="str">
            <v>SH</v>
          </cell>
          <cell r="D5141" t="str">
            <v>HOLD</v>
          </cell>
          <cell r="E5141" t="str">
            <v>90 ELL</v>
          </cell>
          <cell r="F5141">
            <v>2</v>
          </cell>
          <cell r="G5141" t="str">
            <v>CB400100001H00</v>
          </cell>
          <cell r="H5141">
            <v>1.5</v>
          </cell>
          <cell r="I5141" t="str">
            <v>--</v>
          </cell>
          <cell r="J5141">
            <v>10</v>
          </cell>
          <cell r="K5141">
            <v>10</v>
          </cell>
        </row>
        <row r="5142">
          <cell r="A5142" t="str">
            <v>MC</v>
          </cell>
          <cell r="B5142" t="str">
            <v>CA304</v>
          </cell>
          <cell r="C5142" t="str">
            <v>MC</v>
          </cell>
          <cell r="D5142" t="str">
            <v>2505</v>
          </cell>
          <cell r="E5142" t="str">
            <v>90 ELL</v>
          </cell>
          <cell r="F5142">
            <v>2</v>
          </cell>
          <cell r="G5142" t="str">
            <v>CB400100001H00</v>
          </cell>
          <cell r="H5142">
            <v>1.5</v>
          </cell>
          <cell r="I5142" t="str">
            <v>--</v>
          </cell>
          <cell r="J5142">
            <v>5</v>
          </cell>
          <cell r="K5142">
            <v>5</v>
          </cell>
        </row>
        <row r="5143">
          <cell r="A5143" t="str">
            <v>MC</v>
          </cell>
          <cell r="B5143" t="str">
            <v>CA304</v>
          </cell>
          <cell r="C5143" t="str">
            <v>MC</v>
          </cell>
          <cell r="D5143" t="str">
            <v>2605</v>
          </cell>
          <cell r="E5143" t="str">
            <v>90 ELL</v>
          </cell>
          <cell r="F5143">
            <v>2</v>
          </cell>
          <cell r="G5143" t="str">
            <v>CB400100001H00</v>
          </cell>
          <cell r="H5143">
            <v>1.5</v>
          </cell>
          <cell r="I5143" t="str">
            <v>--</v>
          </cell>
          <cell r="J5143">
            <v>2</v>
          </cell>
          <cell r="K5143">
            <v>2</v>
          </cell>
        </row>
        <row r="5144">
          <cell r="A5144" t="str">
            <v>MC</v>
          </cell>
          <cell r="B5144" t="str">
            <v>CA304</v>
          </cell>
          <cell r="C5144" t="str">
            <v>MC</v>
          </cell>
          <cell r="D5144" t="str">
            <v>2608</v>
          </cell>
          <cell r="E5144" t="str">
            <v>90 ELL</v>
          </cell>
          <cell r="F5144">
            <v>2</v>
          </cell>
          <cell r="G5144" t="str">
            <v>CB400100001H00</v>
          </cell>
          <cell r="H5144">
            <v>1.5</v>
          </cell>
          <cell r="I5144" t="str">
            <v>--</v>
          </cell>
          <cell r="J5144">
            <v>5</v>
          </cell>
          <cell r="K5144">
            <v>5</v>
          </cell>
        </row>
        <row r="5145">
          <cell r="A5145" t="str">
            <v>MC</v>
          </cell>
          <cell r="B5145" t="str">
            <v>CA304</v>
          </cell>
          <cell r="C5145" t="str">
            <v>MC</v>
          </cell>
          <cell r="D5145" t="str">
            <v>2609</v>
          </cell>
          <cell r="E5145" t="str">
            <v>90 ELL</v>
          </cell>
          <cell r="F5145">
            <v>2</v>
          </cell>
          <cell r="G5145" t="str">
            <v>CB400100001H00</v>
          </cell>
          <cell r="H5145">
            <v>1.5</v>
          </cell>
          <cell r="I5145" t="str">
            <v>--</v>
          </cell>
          <cell r="J5145">
            <v>11</v>
          </cell>
          <cell r="K5145">
            <v>11</v>
          </cell>
        </row>
        <row r="5146">
          <cell r="A5146" t="str">
            <v>MC</v>
          </cell>
          <cell r="B5146" t="str">
            <v>CA304</v>
          </cell>
          <cell r="C5146" t="str">
            <v>MC</v>
          </cell>
          <cell r="D5146" t="str">
            <v>2609</v>
          </cell>
          <cell r="E5146" t="str">
            <v>90 ELL</v>
          </cell>
          <cell r="F5146">
            <v>2</v>
          </cell>
          <cell r="G5146" t="str">
            <v>CB400100001H00</v>
          </cell>
          <cell r="H5146">
            <v>1.5</v>
          </cell>
          <cell r="I5146" t="str">
            <v>--</v>
          </cell>
          <cell r="J5146">
            <v>5</v>
          </cell>
          <cell r="K5146">
            <v>5</v>
          </cell>
        </row>
        <row r="5147">
          <cell r="A5147" t="str">
            <v>MC</v>
          </cell>
          <cell r="B5147" t="str">
            <v>CA304</v>
          </cell>
          <cell r="C5147" t="str">
            <v>MC</v>
          </cell>
          <cell r="D5147" t="str">
            <v>2612</v>
          </cell>
          <cell r="E5147" t="str">
            <v>90 ELL</v>
          </cell>
          <cell r="F5147">
            <v>2</v>
          </cell>
          <cell r="G5147" t="str">
            <v>CB400100001H00</v>
          </cell>
          <cell r="H5147">
            <v>1.5</v>
          </cell>
          <cell r="I5147" t="str">
            <v>--</v>
          </cell>
          <cell r="J5147">
            <v>5</v>
          </cell>
          <cell r="K5147">
            <v>5</v>
          </cell>
        </row>
        <row r="5148">
          <cell r="A5148" t="str">
            <v>MC</v>
          </cell>
          <cell r="B5148" t="str">
            <v>BA305</v>
          </cell>
          <cell r="C5148" t="str">
            <v>MOH</v>
          </cell>
          <cell r="D5148" t="str">
            <v>2100</v>
          </cell>
          <cell r="E5148" t="str">
            <v>90 ELL</v>
          </cell>
          <cell r="F5148">
            <v>2</v>
          </cell>
          <cell r="G5148" t="str">
            <v>CB400100001H00</v>
          </cell>
          <cell r="H5148">
            <v>1.5</v>
          </cell>
          <cell r="I5148" t="str">
            <v>--</v>
          </cell>
          <cell r="J5148">
            <v>5</v>
          </cell>
          <cell r="K5148">
            <v>5</v>
          </cell>
        </row>
        <row r="5149">
          <cell r="A5149" t="str">
            <v>MC</v>
          </cell>
          <cell r="B5149" t="str">
            <v>CA304</v>
          </cell>
          <cell r="C5149" t="str">
            <v>N</v>
          </cell>
          <cell r="D5149" t="str">
            <v>HOLD</v>
          </cell>
          <cell r="E5149" t="str">
            <v>90 ELL</v>
          </cell>
          <cell r="F5149">
            <v>2</v>
          </cell>
          <cell r="G5149" t="str">
            <v>CB400100001H00</v>
          </cell>
          <cell r="H5149">
            <v>1.5</v>
          </cell>
          <cell r="I5149" t="str">
            <v>--</v>
          </cell>
          <cell r="J5149">
            <v>1</v>
          </cell>
          <cell r="K5149">
            <v>1</v>
          </cell>
        </row>
        <row r="5150">
          <cell r="A5150" t="str">
            <v>MC</v>
          </cell>
          <cell r="B5150" t="str">
            <v>CA304</v>
          </cell>
          <cell r="C5150" t="str">
            <v>N</v>
          </cell>
          <cell r="D5150" t="str">
            <v>HOLD</v>
          </cell>
          <cell r="E5150" t="str">
            <v>90 ELL</v>
          </cell>
          <cell r="F5150">
            <v>2</v>
          </cell>
          <cell r="G5150" t="str">
            <v>CB400100001H00</v>
          </cell>
          <cell r="H5150">
            <v>1.5</v>
          </cell>
          <cell r="I5150" t="str">
            <v>--</v>
          </cell>
          <cell r="J5150">
            <v>1</v>
          </cell>
          <cell r="K5150">
            <v>1</v>
          </cell>
        </row>
        <row r="5151">
          <cell r="A5151" t="str">
            <v>MC</v>
          </cell>
          <cell r="B5151" t="str">
            <v>BA305</v>
          </cell>
          <cell r="C5151" t="str">
            <v>VNC</v>
          </cell>
          <cell r="D5151" t="str">
            <v>2016</v>
          </cell>
          <cell r="E5151" t="str">
            <v>90 ELL</v>
          </cell>
          <cell r="F5151">
            <v>2</v>
          </cell>
          <cell r="G5151" t="str">
            <v>CB400100001H00</v>
          </cell>
          <cell r="H5151">
            <v>1.5</v>
          </cell>
          <cell r="I5151" t="str">
            <v>--</v>
          </cell>
          <cell r="J5151">
            <v>1</v>
          </cell>
          <cell r="K5151">
            <v>1</v>
          </cell>
        </row>
        <row r="5152">
          <cell r="A5152" t="str">
            <v>MC</v>
          </cell>
          <cell r="B5152" t="str">
            <v>BA312</v>
          </cell>
          <cell r="C5152" t="str">
            <v>SA98</v>
          </cell>
          <cell r="D5152" t="str">
            <v>2411</v>
          </cell>
          <cell r="E5152" t="str">
            <v>90 ELL</v>
          </cell>
          <cell r="F5152">
            <v>2</v>
          </cell>
          <cell r="G5152" t="str">
            <v>CB300108001H00</v>
          </cell>
          <cell r="H5152">
            <v>1.5</v>
          </cell>
          <cell r="I5152" t="str">
            <v>--</v>
          </cell>
          <cell r="J5152">
            <v>1</v>
          </cell>
          <cell r="K5152">
            <v>1</v>
          </cell>
        </row>
        <row r="5153">
          <cell r="A5153" t="str">
            <v>MC</v>
          </cell>
          <cell r="B5153" t="str">
            <v>CA304</v>
          </cell>
          <cell r="C5153" t="str">
            <v>VT</v>
          </cell>
          <cell r="D5153" t="str">
            <v>HOLD</v>
          </cell>
          <cell r="E5153" t="str">
            <v>90 ELL</v>
          </cell>
          <cell r="F5153">
            <v>2</v>
          </cell>
          <cell r="G5153" t="str">
            <v>CB400100001H00</v>
          </cell>
          <cell r="H5153">
            <v>1.5</v>
          </cell>
          <cell r="I5153" t="str">
            <v>--</v>
          </cell>
          <cell r="J5153">
            <v>3</v>
          </cell>
          <cell r="K5153">
            <v>3</v>
          </cell>
        </row>
        <row r="5154">
          <cell r="A5154" t="str">
            <v>MC</v>
          </cell>
          <cell r="B5154" t="str">
            <v>CA304</v>
          </cell>
          <cell r="C5154" t="str">
            <v>MC</v>
          </cell>
          <cell r="D5154" t="str">
            <v>2608</v>
          </cell>
          <cell r="E5154" t="str">
            <v>C SWG</v>
          </cell>
          <cell r="F5154">
            <v>2</v>
          </cell>
          <cell r="G5154" t="str">
            <v>CB161108081H01</v>
          </cell>
          <cell r="H5154">
            <v>1.5</v>
          </cell>
          <cell r="I5154">
            <v>1</v>
          </cell>
          <cell r="J5154">
            <v>2</v>
          </cell>
          <cell r="K5154">
            <v>2</v>
          </cell>
        </row>
        <row r="5155">
          <cell r="A5155" t="str">
            <v>MC</v>
          </cell>
          <cell r="B5155" t="str">
            <v>BA305</v>
          </cell>
          <cell r="C5155" t="str">
            <v>MOH</v>
          </cell>
          <cell r="D5155" t="str">
            <v>2100</v>
          </cell>
          <cell r="E5155" t="str">
            <v>C SWG</v>
          </cell>
          <cell r="F5155">
            <v>2</v>
          </cell>
          <cell r="G5155" t="str">
            <v>CB161108081H01</v>
          </cell>
          <cell r="H5155">
            <v>1.5</v>
          </cell>
          <cell r="I5155">
            <v>1</v>
          </cell>
          <cell r="J5155">
            <v>1</v>
          </cell>
          <cell r="K5155">
            <v>1</v>
          </cell>
        </row>
        <row r="5156">
          <cell r="A5156" t="str">
            <v>MC</v>
          </cell>
          <cell r="B5156" t="str">
            <v>CA304</v>
          </cell>
          <cell r="C5156" t="str">
            <v>MC</v>
          </cell>
          <cell r="D5156" t="str">
            <v>2609</v>
          </cell>
          <cell r="E5156" t="str">
            <v>C SWG</v>
          </cell>
          <cell r="F5156">
            <v>2</v>
          </cell>
          <cell r="G5156" t="str">
            <v>CB161108081H01</v>
          </cell>
          <cell r="H5156">
            <v>1.5</v>
          </cell>
          <cell r="I5156">
            <v>1</v>
          </cell>
          <cell r="J5156">
            <v>2</v>
          </cell>
          <cell r="K5156">
            <v>2</v>
          </cell>
        </row>
        <row r="5157">
          <cell r="A5157" t="str">
            <v>MC</v>
          </cell>
          <cell r="B5157" t="str">
            <v>BA312</v>
          </cell>
          <cell r="C5157" t="str">
            <v>SA98</v>
          </cell>
          <cell r="D5157" t="str">
            <v>2411</v>
          </cell>
          <cell r="E5157" t="str">
            <v>C SWG</v>
          </cell>
          <cell r="F5157">
            <v>2</v>
          </cell>
          <cell r="G5157" t="str">
            <v>CB161108081H01</v>
          </cell>
          <cell r="H5157">
            <v>1.5</v>
          </cell>
          <cell r="I5157">
            <v>1</v>
          </cell>
          <cell r="J5157">
            <v>1</v>
          </cell>
          <cell r="K5157">
            <v>1</v>
          </cell>
        </row>
        <row r="5158">
          <cell r="A5158" t="str">
            <v>MC</v>
          </cell>
          <cell r="B5158" t="str">
            <v>BA305</v>
          </cell>
          <cell r="C5158" t="str">
            <v>VNC</v>
          </cell>
          <cell r="D5158" t="str">
            <v>2016</v>
          </cell>
          <cell r="E5158" t="str">
            <v>C SWG</v>
          </cell>
          <cell r="F5158">
            <v>2</v>
          </cell>
          <cell r="G5158" t="str">
            <v>CB161108081H01</v>
          </cell>
          <cell r="H5158">
            <v>1.5</v>
          </cell>
          <cell r="I5158">
            <v>1</v>
          </cell>
          <cell r="J5158">
            <v>1</v>
          </cell>
          <cell r="K5158">
            <v>1</v>
          </cell>
        </row>
        <row r="5159">
          <cell r="A5159" t="str">
            <v>MC</v>
          </cell>
          <cell r="B5159" t="str">
            <v>CA304</v>
          </cell>
          <cell r="C5159" t="str">
            <v>MC</v>
          </cell>
          <cell r="D5159" t="str">
            <v>2605</v>
          </cell>
          <cell r="E5159" t="str">
            <v>C SWG</v>
          </cell>
          <cell r="F5159">
            <v>2</v>
          </cell>
          <cell r="G5159" t="str">
            <v>CB161108081H0T</v>
          </cell>
          <cell r="H5159">
            <v>1.5</v>
          </cell>
          <cell r="I5159">
            <v>0.75</v>
          </cell>
          <cell r="J5159">
            <v>1</v>
          </cell>
          <cell r="K5159">
            <v>1</v>
          </cell>
        </row>
        <row r="5160">
          <cell r="A5160" t="str">
            <v>MC</v>
          </cell>
          <cell r="B5160" t="str">
            <v>CA304</v>
          </cell>
          <cell r="C5160" t="str">
            <v>TRIM</v>
          </cell>
          <cell r="D5160" t="str">
            <v>V-1260A/B</v>
          </cell>
          <cell r="E5160" t="str">
            <v>C SWG</v>
          </cell>
          <cell r="F5160">
            <v>2</v>
          </cell>
          <cell r="G5160" t="str">
            <v>CB161108081H0T</v>
          </cell>
          <cell r="H5160">
            <v>1.5</v>
          </cell>
          <cell r="I5160">
            <v>0.75</v>
          </cell>
          <cell r="J5160">
            <v>1</v>
          </cell>
          <cell r="K5160">
            <v>1</v>
          </cell>
        </row>
        <row r="5161">
          <cell r="A5161" t="str">
            <v>MC</v>
          </cell>
          <cell r="B5161" t="str">
            <v>CA304</v>
          </cell>
          <cell r="C5161" t="str">
            <v>MC</v>
          </cell>
          <cell r="D5161" t="str">
            <v>2606</v>
          </cell>
          <cell r="E5161" t="str">
            <v>CPLG</v>
          </cell>
          <cell r="F5161">
            <v>2</v>
          </cell>
          <cell r="G5161" t="str">
            <v>CB400500001H00</v>
          </cell>
          <cell r="H5161">
            <v>1.5</v>
          </cell>
          <cell r="I5161" t="str">
            <v>--</v>
          </cell>
          <cell r="J5161">
            <v>2</v>
          </cell>
          <cell r="K5161">
            <v>2</v>
          </cell>
        </row>
        <row r="5162">
          <cell r="A5162" t="str">
            <v>MC</v>
          </cell>
          <cell r="B5162" t="str">
            <v>BA305</v>
          </cell>
          <cell r="C5162" t="str">
            <v>MOH</v>
          </cell>
          <cell r="D5162" t="str">
            <v>2100</v>
          </cell>
          <cell r="E5162" t="str">
            <v>CPLG</v>
          </cell>
          <cell r="F5162">
            <v>2</v>
          </cell>
          <cell r="G5162" t="str">
            <v>CB400500001H00</v>
          </cell>
          <cell r="H5162">
            <v>1.5</v>
          </cell>
          <cell r="I5162" t="str">
            <v>--</v>
          </cell>
          <cell r="J5162">
            <v>3</v>
          </cell>
          <cell r="K5162">
            <v>3</v>
          </cell>
        </row>
        <row r="5163">
          <cell r="A5163" t="str">
            <v>MC</v>
          </cell>
          <cell r="B5163" t="str">
            <v>BA305</v>
          </cell>
          <cell r="C5163" t="str">
            <v>MOH</v>
          </cell>
          <cell r="D5163" t="str">
            <v>2100</v>
          </cell>
          <cell r="E5163" t="str">
            <v>E SWG</v>
          </cell>
          <cell r="F5163">
            <v>2</v>
          </cell>
          <cell r="G5163" t="str">
            <v>CB162108081H01</v>
          </cell>
          <cell r="H5163">
            <v>1.5</v>
          </cell>
          <cell r="I5163">
            <v>1</v>
          </cell>
          <cell r="J5163">
            <v>3</v>
          </cell>
          <cell r="K5163">
            <v>3</v>
          </cell>
        </row>
        <row r="5164">
          <cell r="A5164" t="str">
            <v>MC</v>
          </cell>
          <cell r="B5164" t="str">
            <v>CA304</v>
          </cell>
          <cell r="C5164" t="str">
            <v>MC</v>
          </cell>
          <cell r="D5164" t="str">
            <v>2505</v>
          </cell>
          <cell r="E5164" t="str">
            <v>R TEE</v>
          </cell>
          <cell r="F5164">
            <v>2</v>
          </cell>
          <cell r="G5164" t="str">
            <v>CB400400001H0T</v>
          </cell>
          <cell r="H5164">
            <v>1.5</v>
          </cell>
          <cell r="I5164">
            <v>0.75</v>
          </cell>
          <cell r="J5164">
            <v>4</v>
          </cell>
          <cell r="K5164">
            <v>4</v>
          </cell>
        </row>
        <row r="5165">
          <cell r="A5165" t="str">
            <v>MC</v>
          </cell>
          <cell r="B5165" t="str">
            <v>CA304</v>
          </cell>
          <cell r="C5165" t="str">
            <v>MC</v>
          </cell>
          <cell r="D5165" t="str">
            <v>2505</v>
          </cell>
          <cell r="E5165" t="str">
            <v>R TEE</v>
          </cell>
          <cell r="F5165">
            <v>2</v>
          </cell>
          <cell r="G5165" t="str">
            <v>CB400400001H01</v>
          </cell>
          <cell r="H5165">
            <v>1.5</v>
          </cell>
          <cell r="I5165">
            <v>1</v>
          </cell>
          <cell r="J5165">
            <v>4</v>
          </cell>
          <cell r="K5165">
            <v>4</v>
          </cell>
        </row>
        <row r="5166">
          <cell r="A5166" t="str">
            <v>MC</v>
          </cell>
          <cell r="B5166" t="str">
            <v>CA304</v>
          </cell>
          <cell r="C5166" t="str">
            <v>MC</v>
          </cell>
          <cell r="D5166" t="str">
            <v>2612</v>
          </cell>
          <cell r="E5166" t="str">
            <v>R TEE</v>
          </cell>
          <cell r="F5166">
            <v>2</v>
          </cell>
          <cell r="G5166" t="str">
            <v>CB400400001H0T</v>
          </cell>
          <cell r="H5166">
            <v>1.5</v>
          </cell>
          <cell r="I5166">
            <v>0.75</v>
          </cell>
          <cell r="J5166">
            <v>2</v>
          </cell>
          <cell r="K5166">
            <v>2</v>
          </cell>
        </row>
        <row r="5167">
          <cell r="A5167" t="str">
            <v>MC</v>
          </cell>
          <cell r="B5167" t="str">
            <v>BA305</v>
          </cell>
          <cell r="C5167" t="str">
            <v>MOH</v>
          </cell>
          <cell r="D5167" t="str">
            <v>2100</v>
          </cell>
          <cell r="E5167" t="str">
            <v>R TEE</v>
          </cell>
          <cell r="F5167">
            <v>2</v>
          </cell>
          <cell r="G5167" t="str">
            <v>CB400400001H0T</v>
          </cell>
          <cell r="H5167">
            <v>1.5</v>
          </cell>
          <cell r="I5167">
            <v>0.75</v>
          </cell>
          <cell r="J5167">
            <v>1</v>
          </cell>
          <cell r="K5167">
            <v>1</v>
          </cell>
        </row>
        <row r="5168">
          <cell r="A5168" t="str">
            <v>MC</v>
          </cell>
          <cell r="B5168" t="str">
            <v>BA305</v>
          </cell>
          <cell r="C5168" t="str">
            <v>MOH</v>
          </cell>
          <cell r="D5168" t="str">
            <v>2100</v>
          </cell>
          <cell r="E5168" t="str">
            <v>R TEE</v>
          </cell>
          <cell r="F5168">
            <v>2</v>
          </cell>
          <cell r="G5168" t="str">
            <v>CB400400001H01</v>
          </cell>
          <cell r="H5168">
            <v>1.5</v>
          </cell>
          <cell r="I5168">
            <v>1</v>
          </cell>
          <cell r="J5168">
            <v>3</v>
          </cell>
          <cell r="K5168">
            <v>3</v>
          </cell>
        </row>
        <row r="5169">
          <cell r="A5169" t="str">
            <v>MC</v>
          </cell>
          <cell r="B5169" t="str">
            <v>CA304</v>
          </cell>
          <cell r="C5169" t="str">
            <v>MC</v>
          </cell>
          <cell r="D5169" t="str">
            <v>2505</v>
          </cell>
          <cell r="E5169" t="str">
            <v>TEE</v>
          </cell>
          <cell r="F5169">
            <v>2</v>
          </cell>
          <cell r="G5169" t="str">
            <v>CB400300001H00</v>
          </cell>
          <cell r="H5169">
            <v>1.5</v>
          </cell>
          <cell r="I5169" t="str">
            <v>--</v>
          </cell>
          <cell r="J5169">
            <v>1</v>
          </cell>
          <cell r="K5169">
            <v>1</v>
          </cell>
        </row>
        <row r="5170">
          <cell r="A5170" t="str">
            <v>MC</v>
          </cell>
          <cell r="B5170" t="str">
            <v>CA304</v>
          </cell>
          <cell r="C5170" t="str">
            <v>MC</v>
          </cell>
          <cell r="D5170" t="str">
            <v>2605</v>
          </cell>
          <cell r="E5170" t="str">
            <v>TEE</v>
          </cell>
          <cell r="F5170">
            <v>2</v>
          </cell>
          <cell r="G5170" t="str">
            <v>CB400300001H00</v>
          </cell>
          <cell r="H5170">
            <v>1.5</v>
          </cell>
          <cell r="I5170" t="str">
            <v>--</v>
          </cell>
          <cell r="J5170">
            <v>1</v>
          </cell>
          <cell r="K5170">
            <v>1</v>
          </cell>
        </row>
        <row r="5171">
          <cell r="A5171" t="str">
            <v>MC</v>
          </cell>
          <cell r="B5171" t="str">
            <v>CA304</v>
          </cell>
          <cell r="C5171" t="str">
            <v>MC</v>
          </cell>
          <cell r="D5171" t="str">
            <v>2608</v>
          </cell>
          <cell r="E5171" t="str">
            <v>TEE</v>
          </cell>
          <cell r="F5171">
            <v>2</v>
          </cell>
          <cell r="G5171" t="str">
            <v>CB400300001H00</v>
          </cell>
          <cell r="H5171">
            <v>1.5</v>
          </cell>
          <cell r="I5171" t="str">
            <v>--</v>
          </cell>
          <cell r="J5171">
            <v>5</v>
          </cell>
          <cell r="K5171">
            <v>5</v>
          </cell>
        </row>
        <row r="5172">
          <cell r="A5172" t="str">
            <v>MC</v>
          </cell>
          <cell r="B5172" t="str">
            <v>CA304</v>
          </cell>
          <cell r="C5172" t="str">
            <v>MC</v>
          </cell>
          <cell r="D5172" t="str">
            <v>2609</v>
          </cell>
          <cell r="E5172" t="str">
            <v>TEE</v>
          </cell>
          <cell r="F5172">
            <v>2</v>
          </cell>
          <cell r="G5172" t="str">
            <v>CB400300001H00</v>
          </cell>
          <cell r="H5172">
            <v>1.5</v>
          </cell>
          <cell r="I5172" t="str">
            <v>--</v>
          </cell>
          <cell r="J5172">
            <v>1</v>
          </cell>
          <cell r="K5172">
            <v>1</v>
          </cell>
        </row>
        <row r="5173">
          <cell r="A5173" t="str">
            <v>MC</v>
          </cell>
          <cell r="B5173" t="str">
            <v>CA304</v>
          </cell>
          <cell r="C5173" t="str">
            <v>MC</v>
          </cell>
          <cell r="D5173" t="str">
            <v>HOLD</v>
          </cell>
          <cell r="E5173" t="str">
            <v>90 ELL</v>
          </cell>
          <cell r="F5173">
            <v>2</v>
          </cell>
          <cell r="G5173" t="str">
            <v>CB400100001H00</v>
          </cell>
          <cell r="H5173">
            <v>1.5</v>
          </cell>
          <cell r="I5173" t="str">
            <v>--</v>
          </cell>
          <cell r="J5173">
            <v>2</v>
          </cell>
          <cell r="K5173">
            <v>2</v>
          </cell>
        </row>
        <row r="5174">
          <cell r="A5174" t="str">
            <v>MC</v>
          </cell>
          <cell r="B5174" t="str">
            <v>CA304</v>
          </cell>
          <cell r="C5174" t="str">
            <v>MC</v>
          </cell>
          <cell r="D5174" t="str">
            <v>2604</v>
          </cell>
          <cell r="E5174" t="str">
            <v>C SWG</v>
          </cell>
          <cell r="F5174">
            <v>2</v>
          </cell>
          <cell r="G5174" t="str">
            <v>CB161108081H01</v>
          </cell>
          <cell r="H5174">
            <v>1.5</v>
          </cell>
          <cell r="I5174">
            <v>1</v>
          </cell>
          <cell r="J5174">
            <v>1</v>
          </cell>
          <cell r="K5174">
            <v>1</v>
          </cell>
        </row>
        <row r="5175">
          <cell r="A5175" t="str">
            <v>MC</v>
          </cell>
          <cell r="B5175" t="str">
            <v>B2C</v>
          </cell>
          <cell r="C5175" t="str">
            <v>SH</v>
          </cell>
          <cell r="D5175" t="str">
            <v>1405</v>
          </cell>
          <cell r="E5175" t="str">
            <v>90 ELL</v>
          </cell>
          <cell r="F5175">
            <v>2</v>
          </cell>
          <cell r="G5175" t="str">
            <v>CB300108000200</v>
          </cell>
          <cell r="H5175">
            <v>2</v>
          </cell>
          <cell r="I5175" t="str">
            <v>--</v>
          </cell>
          <cell r="J5175">
            <v>7</v>
          </cell>
          <cell r="K5175">
            <v>8</v>
          </cell>
        </row>
        <row r="5176">
          <cell r="A5176" t="str">
            <v>MC</v>
          </cell>
          <cell r="B5176" t="str">
            <v>B2C</v>
          </cell>
          <cell r="C5176" t="str">
            <v>SH</v>
          </cell>
          <cell r="D5176" t="str">
            <v>HOLD</v>
          </cell>
          <cell r="E5176" t="str">
            <v>90 ELL</v>
          </cell>
          <cell r="F5176">
            <v>2</v>
          </cell>
          <cell r="G5176" t="str">
            <v>CB300108000200</v>
          </cell>
          <cell r="H5176">
            <v>2</v>
          </cell>
          <cell r="I5176" t="str">
            <v>--</v>
          </cell>
          <cell r="J5176">
            <v>1</v>
          </cell>
          <cell r="K5176">
            <v>2</v>
          </cell>
        </row>
        <row r="5177">
          <cell r="A5177" t="str">
            <v>MC</v>
          </cell>
          <cell r="B5177" t="str">
            <v>B2C</v>
          </cell>
          <cell r="C5177" t="str">
            <v>SH</v>
          </cell>
          <cell r="D5177" t="str">
            <v>1405</v>
          </cell>
          <cell r="E5177" t="str">
            <v>SOL</v>
          </cell>
          <cell r="F5177">
            <v>2</v>
          </cell>
          <cell r="G5177" t="str">
            <v>CB39020000020T</v>
          </cell>
          <cell r="H5177">
            <v>2</v>
          </cell>
          <cell r="I5177">
            <v>0.75</v>
          </cell>
          <cell r="J5177">
            <v>2</v>
          </cell>
          <cell r="K5177">
            <v>3</v>
          </cell>
        </row>
        <row r="5178">
          <cell r="A5178" t="str">
            <v>MC</v>
          </cell>
          <cell r="B5178" t="str">
            <v>A5C</v>
          </cell>
          <cell r="C5178" t="str">
            <v>P</v>
          </cell>
          <cell r="D5178" t="str">
            <v>23112</v>
          </cell>
          <cell r="E5178" t="str">
            <v>90 ELL</v>
          </cell>
          <cell r="F5178">
            <v>2</v>
          </cell>
          <cell r="G5178" t="str">
            <v>CB300108000200</v>
          </cell>
          <cell r="H5178">
            <v>2</v>
          </cell>
          <cell r="I5178" t="str">
            <v>--</v>
          </cell>
          <cell r="J5178">
            <v>3</v>
          </cell>
          <cell r="K5178">
            <v>4</v>
          </cell>
        </row>
        <row r="5179">
          <cell r="A5179" t="str">
            <v>MC</v>
          </cell>
          <cell r="B5179" t="str">
            <v>A5C</v>
          </cell>
          <cell r="C5179" t="str">
            <v>P</v>
          </cell>
          <cell r="D5179" t="str">
            <v>23116</v>
          </cell>
          <cell r="E5179" t="str">
            <v>90 ELL</v>
          </cell>
          <cell r="F5179">
            <v>2</v>
          </cell>
          <cell r="G5179" t="str">
            <v>CB300108000200</v>
          </cell>
          <cell r="H5179">
            <v>2</v>
          </cell>
          <cell r="I5179" t="str">
            <v>--</v>
          </cell>
          <cell r="J5179">
            <v>3</v>
          </cell>
          <cell r="K5179">
            <v>4</v>
          </cell>
        </row>
        <row r="5180">
          <cell r="A5180" t="str">
            <v>MC</v>
          </cell>
          <cell r="B5180" t="str">
            <v>A5C</v>
          </cell>
          <cell r="C5180" t="str">
            <v>P</v>
          </cell>
          <cell r="D5180" t="str">
            <v>23144</v>
          </cell>
          <cell r="E5180" t="str">
            <v>90 ELL</v>
          </cell>
          <cell r="F5180">
            <v>2</v>
          </cell>
          <cell r="G5180" t="str">
            <v>CB300108000200</v>
          </cell>
          <cell r="H5180">
            <v>2</v>
          </cell>
          <cell r="I5180" t="str">
            <v>--</v>
          </cell>
          <cell r="J5180">
            <v>3</v>
          </cell>
          <cell r="K5180">
            <v>4</v>
          </cell>
        </row>
        <row r="5181">
          <cell r="A5181" t="str">
            <v>MC</v>
          </cell>
          <cell r="B5181" t="str">
            <v>A5C</v>
          </cell>
          <cell r="C5181" t="str">
            <v>P</v>
          </cell>
          <cell r="D5181" t="str">
            <v>23148</v>
          </cell>
          <cell r="E5181" t="str">
            <v>90 ELL</v>
          </cell>
          <cell r="F5181">
            <v>2</v>
          </cell>
          <cell r="G5181" t="str">
            <v>CB300108000200</v>
          </cell>
          <cell r="H5181">
            <v>2</v>
          </cell>
          <cell r="I5181" t="str">
            <v>--</v>
          </cell>
          <cell r="J5181">
            <v>3</v>
          </cell>
          <cell r="K5181">
            <v>4</v>
          </cell>
        </row>
        <row r="5182">
          <cell r="A5182" t="str">
            <v>MC</v>
          </cell>
          <cell r="B5182" t="str">
            <v>A5C</v>
          </cell>
          <cell r="C5182" t="str">
            <v>P</v>
          </cell>
          <cell r="D5182" t="str">
            <v>23155</v>
          </cell>
          <cell r="E5182" t="str">
            <v>90 ELL</v>
          </cell>
          <cell r="F5182">
            <v>2</v>
          </cell>
          <cell r="G5182" t="str">
            <v>CB300108000200</v>
          </cell>
          <cell r="H5182">
            <v>2</v>
          </cell>
          <cell r="I5182" t="str">
            <v>--</v>
          </cell>
          <cell r="J5182">
            <v>3</v>
          </cell>
          <cell r="K5182">
            <v>4</v>
          </cell>
        </row>
        <row r="5183">
          <cell r="A5183" t="str">
            <v>MC</v>
          </cell>
          <cell r="B5183" t="str">
            <v>A5C</v>
          </cell>
          <cell r="C5183" t="str">
            <v>P</v>
          </cell>
          <cell r="D5183" t="str">
            <v>HOLD2</v>
          </cell>
          <cell r="E5183" t="str">
            <v>90 ELL</v>
          </cell>
          <cell r="F5183">
            <v>2</v>
          </cell>
          <cell r="G5183" t="str">
            <v>CB300108000200</v>
          </cell>
          <cell r="H5183">
            <v>2</v>
          </cell>
          <cell r="I5183" t="str">
            <v>--</v>
          </cell>
          <cell r="J5183">
            <v>18</v>
          </cell>
          <cell r="K5183">
            <v>20</v>
          </cell>
        </row>
        <row r="5184">
          <cell r="A5184" t="str">
            <v>MC</v>
          </cell>
          <cell r="B5184" t="str">
            <v>CA304</v>
          </cell>
          <cell r="C5184" t="str">
            <v>MC</v>
          </cell>
          <cell r="D5184" t="str">
            <v>2609</v>
          </cell>
          <cell r="E5184" t="str">
            <v>90 ELL</v>
          </cell>
          <cell r="F5184">
            <v>2</v>
          </cell>
          <cell r="G5184" t="str">
            <v>CB300105000200</v>
          </cell>
          <cell r="H5184">
            <v>2</v>
          </cell>
          <cell r="I5184" t="str">
            <v>--</v>
          </cell>
          <cell r="J5184">
            <v>2</v>
          </cell>
          <cell r="K5184">
            <v>3</v>
          </cell>
        </row>
        <row r="5185">
          <cell r="A5185" t="str">
            <v>MC</v>
          </cell>
          <cell r="B5185" t="str">
            <v>CA304</v>
          </cell>
          <cell r="C5185" t="str">
            <v>MC</v>
          </cell>
          <cell r="D5185" t="str">
            <v>2612</v>
          </cell>
          <cell r="E5185" t="str">
            <v>90 ELL</v>
          </cell>
          <cell r="F5185">
            <v>2</v>
          </cell>
          <cell r="G5185" t="str">
            <v>CB300105000200</v>
          </cell>
          <cell r="H5185">
            <v>2</v>
          </cell>
          <cell r="I5185" t="str">
            <v>--</v>
          </cell>
          <cell r="J5185">
            <v>1</v>
          </cell>
          <cell r="K5185">
            <v>2</v>
          </cell>
        </row>
        <row r="5186">
          <cell r="A5186" t="str">
            <v>MC</v>
          </cell>
          <cell r="B5186" t="str">
            <v>CA304</v>
          </cell>
          <cell r="C5186" t="str">
            <v>MC</v>
          </cell>
          <cell r="D5186" t="str">
            <v>2601</v>
          </cell>
          <cell r="E5186" t="str">
            <v>90 ELL</v>
          </cell>
          <cell r="F5186">
            <v>2</v>
          </cell>
          <cell r="G5186" t="str">
            <v>CB300105000200</v>
          </cell>
          <cell r="H5186">
            <v>2</v>
          </cell>
          <cell r="I5186" t="str">
            <v>--</v>
          </cell>
          <cell r="J5186">
            <v>8</v>
          </cell>
          <cell r="K5186">
            <v>9</v>
          </cell>
        </row>
        <row r="5187">
          <cell r="A5187" t="str">
            <v>MC</v>
          </cell>
          <cell r="B5187" t="str">
            <v>CA304</v>
          </cell>
          <cell r="C5187" t="str">
            <v>MC</v>
          </cell>
          <cell r="D5187" t="str">
            <v>2610</v>
          </cell>
          <cell r="E5187" t="str">
            <v>90 ELL</v>
          </cell>
          <cell r="F5187">
            <v>2</v>
          </cell>
          <cell r="G5187" t="str">
            <v>CB300105000200</v>
          </cell>
          <cell r="H5187">
            <v>2</v>
          </cell>
          <cell r="I5187" t="str">
            <v>--</v>
          </cell>
          <cell r="J5187">
            <v>3</v>
          </cell>
          <cell r="K5187">
            <v>4</v>
          </cell>
        </row>
        <row r="5188">
          <cell r="A5188" t="str">
            <v>MC</v>
          </cell>
          <cell r="B5188" t="str">
            <v>CA304</v>
          </cell>
          <cell r="C5188" t="str">
            <v>N</v>
          </cell>
          <cell r="D5188" t="str">
            <v>HOLD</v>
          </cell>
          <cell r="E5188" t="str">
            <v>90 ELL</v>
          </cell>
          <cell r="F5188">
            <v>2</v>
          </cell>
          <cell r="G5188" t="str">
            <v>CB300105000200</v>
          </cell>
          <cell r="H5188">
            <v>2</v>
          </cell>
          <cell r="I5188" t="str">
            <v>--</v>
          </cell>
          <cell r="J5188">
            <v>1</v>
          </cell>
          <cell r="K5188">
            <v>2</v>
          </cell>
        </row>
        <row r="5189">
          <cell r="A5189" t="str">
            <v>MC</v>
          </cell>
          <cell r="B5189" t="str">
            <v>A5C</v>
          </cell>
          <cell r="C5189" t="str">
            <v>P</v>
          </cell>
          <cell r="D5189" t="str">
            <v>23108</v>
          </cell>
          <cell r="E5189" t="str">
            <v>90 ELL</v>
          </cell>
          <cell r="F5189">
            <v>2</v>
          </cell>
          <cell r="G5189" t="str">
            <v>CB300108000200</v>
          </cell>
          <cell r="H5189">
            <v>2</v>
          </cell>
          <cell r="I5189" t="str">
            <v>--</v>
          </cell>
          <cell r="J5189">
            <v>3</v>
          </cell>
          <cell r="K5189">
            <v>4</v>
          </cell>
        </row>
        <row r="5190">
          <cell r="A5190" t="str">
            <v>MC</v>
          </cell>
          <cell r="B5190" t="str">
            <v>CA304</v>
          </cell>
          <cell r="C5190" t="str">
            <v>MC</v>
          </cell>
          <cell r="D5190" t="str">
            <v>2506</v>
          </cell>
          <cell r="E5190" t="str">
            <v>90 ELL</v>
          </cell>
          <cell r="F5190">
            <v>2</v>
          </cell>
          <cell r="G5190" t="str">
            <v>CB300105000200</v>
          </cell>
          <cell r="H5190">
            <v>2</v>
          </cell>
          <cell r="I5190" t="str">
            <v>--</v>
          </cell>
          <cell r="J5190">
            <v>7</v>
          </cell>
          <cell r="K5190">
            <v>8</v>
          </cell>
        </row>
        <row r="5191">
          <cell r="A5191" t="str">
            <v>MC</v>
          </cell>
          <cell r="B5191" t="str">
            <v>CA304</v>
          </cell>
          <cell r="C5191" t="str">
            <v>MC</v>
          </cell>
          <cell r="D5191" t="str">
            <v>2505</v>
          </cell>
          <cell r="E5191" t="str">
            <v>C SWG</v>
          </cell>
          <cell r="F5191">
            <v>2</v>
          </cell>
          <cell r="G5191" t="str">
            <v>CB1614050802IH</v>
          </cell>
          <cell r="H5191">
            <v>2</v>
          </cell>
          <cell r="I5191">
            <v>1.5</v>
          </cell>
          <cell r="J5191">
            <v>1</v>
          </cell>
          <cell r="K5191">
            <v>2</v>
          </cell>
        </row>
        <row r="5192">
          <cell r="A5192" t="str">
            <v>MC</v>
          </cell>
          <cell r="B5192" t="str">
            <v>CA304</v>
          </cell>
          <cell r="C5192" t="str">
            <v>MC</v>
          </cell>
          <cell r="D5192" t="str">
            <v>2607</v>
          </cell>
          <cell r="E5192" t="str">
            <v>C SWG</v>
          </cell>
          <cell r="F5192">
            <v>2</v>
          </cell>
          <cell r="G5192" t="str">
            <v>CB1614050802IH</v>
          </cell>
          <cell r="H5192">
            <v>2</v>
          </cell>
          <cell r="I5192">
            <v>1.5</v>
          </cell>
          <cell r="J5192">
            <v>1</v>
          </cell>
          <cell r="K5192">
            <v>2</v>
          </cell>
        </row>
        <row r="5193">
          <cell r="A5193" t="str">
            <v>MC</v>
          </cell>
          <cell r="B5193" t="str">
            <v>CA304</v>
          </cell>
          <cell r="C5193" t="str">
            <v>MC</v>
          </cell>
          <cell r="D5193" t="str">
            <v>2605</v>
          </cell>
          <cell r="E5193" t="str">
            <v>C SWG</v>
          </cell>
          <cell r="F5193">
            <v>2</v>
          </cell>
          <cell r="G5193" t="str">
            <v>CB161405080201</v>
          </cell>
          <cell r="H5193">
            <v>2</v>
          </cell>
          <cell r="I5193">
            <v>1</v>
          </cell>
          <cell r="J5193">
            <v>2</v>
          </cell>
          <cell r="K5193">
            <v>3</v>
          </cell>
        </row>
        <row r="5194">
          <cell r="A5194" t="str">
            <v>MC</v>
          </cell>
          <cell r="B5194" t="str">
            <v>CA304</v>
          </cell>
          <cell r="C5194" t="str">
            <v>MC</v>
          </cell>
          <cell r="D5194" t="str">
            <v>2608</v>
          </cell>
          <cell r="E5194" t="str">
            <v>C SWG</v>
          </cell>
          <cell r="F5194">
            <v>2</v>
          </cell>
          <cell r="G5194" t="str">
            <v>CB1614050802IH</v>
          </cell>
          <cell r="H5194">
            <v>2</v>
          </cell>
          <cell r="I5194">
            <v>1.5</v>
          </cell>
          <cell r="J5194">
            <v>2</v>
          </cell>
          <cell r="K5194">
            <v>3</v>
          </cell>
        </row>
        <row r="5195">
          <cell r="A5195" t="str">
            <v>MC</v>
          </cell>
          <cell r="B5195" t="str">
            <v>BA305</v>
          </cell>
          <cell r="C5195" t="str">
            <v>MOH</v>
          </cell>
          <cell r="D5195" t="str">
            <v>2002</v>
          </cell>
          <cell r="E5195" t="str">
            <v>C SWG</v>
          </cell>
          <cell r="F5195">
            <v>2</v>
          </cell>
          <cell r="G5195" t="str">
            <v>CB161405080201</v>
          </cell>
          <cell r="H5195">
            <v>2</v>
          </cell>
          <cell r="I5195">
            <v>1</v>
          </cell>
          <cell r="J5195">
            <v>2</v>
          </cell>
          <cell r="K5195">
            <v>3</v>
          </cell>
        </row>
        <row r="5196">
          <cell r="A5196" t="str">
            <v>MC</v>
          </cell>
          <cell r="B5196" t="str">
            <v>CA304</v>
          </cell>
          <cell r="C5196" t="str">
            <v>MC</v>
          </cell>
          <cell r="D5196" t="str">
            <v>2505</v>
          </cell>
          <cell r="E5196" t="str">
            <v>E SWG</v>
          </cell>
          <cell r="F5196">
            <v>2</v>
          </cell>
          <cell r="G5196" t="str">
            <v>CB1624050802IH</v>
          </cell>
          <cell r="H5196">
            <v>2</v>
          </cell>
          <cell r="I5196">
            <v>1.5</v>
          </cell>
          <cell r="J5196">
            <v>2</v>
          </cell>
          <cell r="K5196">
            <v>3</v>
          </cell>
        </row>
        <row r="5197">
          <cell r="A5197" t="str">
            <v>MC</v>
          </cell>
          <cell r="B5197" t="str">
            <v>CA304</v>
          </cell>
          <cell r="C5197" t="str">
            <v>MC</v>
          </cell>
          <cell r="D5197" t="str">
            <v>2506</v>
          </cell>
          <cell r="E5197" t="str">
            <v>SOL</v>
          </cell>
          <cell r="F5197">
            <v>2</v>
          </cell>
          <cell r="G5197" t="str">
            <v>CB39020000020T</v>
          </cell>
          <cell r="H5197">
            <v>2</v>
          </cell>
          <cell r="I5197">
            <v>0.75</v>
          </cell>
          <cell r="J5197">
            <v>1</v>
          </cell>
          <cell r="K5197">
            <v>2</v>
          </cell>
        </row>
        <row r="5198">
          <cell r="A5198" t="str">
            <v>MC</v>
          </cell>
          <cell r="B5198" t="str">
            <v>CA304</v>
          </cell>
          <cell r="C5198" t="str">
            <v>MC</v>
          </cell>
          <cell r="D5198" t="str">
            <v>2506</v>
          </cell>
          <cell r="E5198" t="str">
            <v>SOL</v>
          </cell>
          <cell r="F5198">
            <v>2</v>
          </cell>
          <cell r="G5198" t="str">
            <v>CB390200000201</v>
          </cell>
          <cell r="H5198">
            <v>2</v>
          </cell>
          <cell r="I5198">
            <v>1</v>
          </cell>
          <cell r="J5198">
            <v>1</v>
          </cell>
          <cell r="K5198">
            <v>2</v>
          </cell>
        </row>
        <row r="5199">
          <cell r="A5199" t="str">
            <v>MC</v>
          </cell>
          <cell r="B5199" t="str">
            <v>CA304</v>
          </cell>
          <cell r="C5199" t="str">
            <v>MC</v>
          </cell>
          <cell r="D5199" t="str">
            <v>2609</v>
          </cell>
          <cell r="E5199" t="str">
            <v>SOL</v>
          </cell>
          <cell r="F5199">
            <v>2</v>
          </cell>
          <cell r="G5199" t="str">
            <v>CB39020000020T</v>
          </cell>
          <cell r="H5199">
            <v>2</v>
          </cell>
          <cell r="I5199">
            <v>0.75</v>
          </cell>
          <cell r="J5199">
            <v>1</v>
          </cell>
          <cell r="K5199">
            <v>2</v>
          </cell>
        </row>
        <row r="5200">
          <cell r="A5200" t="str">
            <v>MC</v>
          </cell>
          <cell r="B5200" t="str">
            <v>CA304</v>
          </cell>
          <cell r="C5200" t="str">
            <v>MC</v>
          </cell>
          <cell r="D5200" t="str">
            <v>2601</v>
          </cell>
          <cell r="E5200" t="str">
            <v>SOL</v>
          </cell>
          <cell r="F5200">
            <v>2</v>
          </cell>
          <cell r="G5200" t="str">
            <v>CB390200000201</v>
          </cell>
          <cell r="H5200">
            <v>2</v>
          </cell>
          <cell r="I5200">
            <v>1</v>
          </cell>
          <cell r="J5200">
            <v>1</v>
          </cell>
          <cell r="K5200">
            <v>2</v>
          </cell>
        </row>
        <row r="5201">
          <cell r="A5201" t="str">
            <v>MC</v>
          </cell>
          <cell r="B5201" t="str">
            <v>CA304</v>
          </cell>
          <cell r="C5201" t="str">
            <v>MC</v>
          </cell>
          <cell r="D5201" t="str">
            <v>2601</v>
          </cell>
          <cell r="E5201" t="str">
            <v>SOL</v>
          </cell>
          <cell r="F5201">
            <v>2</v>
          </cell>
          <cell r="G5201" t="str">
            <v>CB39020000020T</v>
          </cell>
          <cell r="H5201">
            <v>2</v>
          </cell>
          <cell r="I5201">
            <v>0.75</v>
          </cell>
          <cell r="J5201">
            <v>1</v>
          </cell>
          <cell r="K5201">
            <v>2</v>
          </cell>
        </row>
        <row r="5202">
          <cell r="A5202" t="str">
            <v>MC</v>
          </cell>
          <cell r="B5202" t="str">
            <v>CA304</v>
          </cell>
          <cell r="C5202" t="str">
            <v>MC</v>
          </cell>
          <cell r="D5202" t="str">
            <v>2607</v>
          </cell>
          <cell r="E5202" t="str">
            <v>SOL</v>
          </cell>
          <cell r="F5202">
            <v>2</v>
          </cell>
          <cell r="G5202" t="str">
            <v>CB39020000020T</v>
          </cell>
          <cell r="H5202">
            <v>2</v>
          </cell>
          <cell r="I5202">
            <v>0.75</v>
          </cell>
          <cell r="J5202">
            <v>3</v>
          </cell>
          <cell r="K5202">
            <v>4</v>
          </cell>
        </row>
        <row r="5203">
          <cell r="A5203" t="str">
            <v>MC</v>
          </cell>
          <cell r="B5203" t="str">
            <v>A5C</v>
          </cell>
          <cell r="C5203" t="str">
            <v>P</v>
          </cell>
          <cell r="D5203" t="str">
            <v>HOLD2</v>
          </cell>
          <cell r="E5203" t="str">
            <v>TOL</v>
          </cell>
          <cell r="F5203">
            <v>2</v>
          </cell>
          <cell r="G5203" t="str">
            <v>CB39030000020T</v>
          </cell>
          <cell r="H5203">
            <v>2</v>
          </cell>
          <cell r="I5203">
            <v>0.75</v>
          </cell>
          <cell r="J5203">
            <v>6</v>
          </cell>
          <cell r="K5203">
            <v>7</v>
          </cell>
        </row>
        <row r="5204">
          <cell r="A5204" t="str">
            <v>MC</v>
          </cell>
          <cell r="B5204" t="str">
            <v>BA305</v>
          </cell>
          <cell r="C5204" t="str">
            <v>MOH</v>
          </cell>
          <cell r="D5204" t="str">
            <v>2000</v>
          </cell>
          <cell r="E5204" t="str">
            <v>90 ELL</v>
          </cell>
          <cell r="F5204">
            <v>2</v>
          </cell>
          <cell r="G5204" t="str">
            <v>CB300105000200</v>
          </cell>
          <cell r="H5204">
            <v>2</v>
          </cell>
          <cell r="I5204" t="str">
            <v>--</v>
          </cell>
          <cell r="J5204">
            <v>14</v>
          </cell>
          <cell r="K5204">
            <v>16</v>
          </cell>
        </row>
        <row r="5205">
          <cell r="A5205" t="str">
            <v>MC</v>
          </cell>
          <cell r="B5205" t="str">
            <v>BA305</v>
          </cell>
          <cell r="C5205" t="str">
            <v>MOH</v>
          </cell>
          <cell r="D5205" t="str">
            <v>2000</v>
          </cell>
          <cell r="E5205" t="str">
            <v>SOL</v>
          </cell>
          <cell r="F5205">
            <v>2</v>
          </cell>
          <cell r="G5205" t="str">
            <v>CB39020000020T</v>
          </cell>
          <cell r="H5205">
            <v>2</v>
          </cell>
          <cell r="I5205">
            <v>0.75</v>
          </cell>
          <cell r="J5205">
            <v>2</v>
          </cell>
          <cell r="K5205">
            <v>3</v>
          </cell>
        </row>
        <row r="5206">
          <cell r="A5206" t="str">
            <v>MC</v>
          </cell>
          <cell r="B5206" t="str">
            <v>BA305</v>
          </cell>
          <cell r="C5206" t="str">
            <v>MOH</v>
          </cell>
          <cell r="D5206" t="str">
            <v>2000</v>
          </cell>
          <cell r="E5206" t="str">
            <v>TEE</v>
          </cell>
          <cell r="F5206">
            <v>2</v>
          </cell>
          <cell r="G5206" t="str">
            <v>CB300305000200</v>
          </cell>
          <cell r="H5206">
            <v>2</v>
          </cell>
          <cell r="I5206" t="str">
            <v>--</v>
          </cell>
          <cell r="J5206">
            <v>1</v>
          </cell>
          <cell r="K5206">
            <v>2</v>
          </cell>
        </row>
        <row r="5207">
          <cell r="A5207" t="str">
            <v>MC</v>
          </cell>
          <cell r="B5207" t="str">
            <v>CA304</v>
          </cell>
          <cell r="C5207" t="str">
            <v>MC</v>
          </cell>
          <cell r="D5207" t="str">
            <v>2502</v>
          </cell>
          <cell r="E5207" t="str">
            <v>90 ELL</v>
          </cell>
          <cell r="F5207">
            <v>2</v>
          </cell>
          <cell r="G5207" t="str">
            <v>CB300105000200</v>
          </cell>
          <cell r="H5207">
            <v>2</v>
          </cell>
          <cell r="I5207" t="str">
            <v>--</v>
          </cell>
          <cell r="J5207">
            <v>4</v>
          </cell>
          <cell r="K5207">
            <v>5</v>
          </cell>
        </row>
        <row r="5208">
          <cell r="A5208" t="str">
            <v>MC</v>
          </cell>
          <cell r="B5208" t="str">
            <v>CA304</v>
          </cell>
          <cell r="C5208" t="str">
            <v>MC</v>
          </cell>
          <cell r="D5208" t="str">
            <v>2502</v>
          </cell>
          <cell r="E5208" t="str">
            <v>90 ELL</v>
          </cell>
          <cell r="F5208">
            <v>2</v>
          </cell>
          <cell r="G5208" t="str">
            <v>CB300105000200</v>
          </cell>
          <cell r="H5208">
            <v>2</v>
          </cell>
          <cell r="I5208" t="str">
            <v>--</v>
          </cell>
          <cell r="J5208">
            <v>4</v>
          </cell>
          <cell r="K5208">
            <v>5</v>
          </cell>
        </row>
        <row r="5209">
          <cell r="A5209" t="str">
            <v>MC</v>
          </cell>
          <cell r="B5209" t="str">
            <v>CA304</v>
          </cell>
          <cell r="C5209" t="str">
            <v>MC</v>
          </cell>
          <cell r="D5209" t="str">
            <v>HOLD</v>
          </cell>
          <cell r="E5209" t="str">
            <v>90 ELL</v>
          </cell>
          <cell r="F5209">
            <v>2</v>
          </cell>
          <cell r="G5209" t="str">
            <v>CB300105000200</v>
          </cell>
          <cell r="H5209">
            <v>2</v>
          </cell>
          <cell r="I5209" t="str">
            <v>--</v>
          </cell>
          <cell r="J5209">
            <v>7</v>
          </cell>
          <cell r="K5209">
            <v>8</v>
          </cell>
        </row>
        <row r="5210">
          <cell r="A5210" t="str">
            <v>MC</v>
          </cell>
          <cell r="B5210" t="str">
            <v>CA304</v>
          </cell>
          <cell r="C5210" t="str">
            <v>MC</v>
          </cell>
          <cell r="D5210" t="str">
            <v>HOLD</v>
          </cell>
          <cell r="E5210" t="str">
            <v>90 ELL</v>
          </cell>
          <cell r="F5210">
            <v>2</v>
          </cell>
          <cell r="G5210" t="str">
            <v>CB300105000200</v>
          </cell>
          <cell r="H5210">
            <v>2</v>
          </cell>
          <cell r="I5210" t="str">
            <v>--</v>
          </cell>
          <cell r="J5210">
            <v>4</v>
          </cell>
          <cell r="K5210">
            <v>5</v>
          </cell>
        </row>
        <row r="5211">
          <cell r="A5211" t="str">
            <v>MC</v>
          </cell>
          <cell r="B5211" t="str">
            <v>CA304</v>
          </cell>
          <cell r="C5211" t="str">
            <v>MC</v>
          </cell>
          <cell r="D5211" t="str">
            <v>HOLD</v>
          </cell>
          <cell r="E5211" t="str">
            <v>90 ELL</v>
          </cell>
          <cell r="F5211">
            <v>2</v>
          </cell>
          <cell r="G5211" t="str">
            <v>CB300105000200</v>
          </cell>
          <cell r="H5211">
            <v>2</v>
          </cell>
          <cell r="I5211" t="str">
            <v>--</v>
          </cell>
          <cell r="J5211">
            <v>4</v>
          </cell>
          <cell r="K5211">
            <v>5</v>
          </cell>
        </row>
        <row r="5212">
          <cell r="A5212" t="str">
            <v>MC</v>
          </cell>
          <cell r="B5212" t="str">
            <v>CA304</v>
          </cell>
          <cell r="C5212" t="str">
            <v>MC</v>
          </cell>
          <cell r="D5212" t="str">
            <v>2604</v>
          </cell>
          <cell r="E5212" t="str">
            <v>C SWG</v>
          </cell>
          <cell r="F5212">
            <v>2</v>
          </cell>
          <cell r="G5212" t="str">
            <v>CB161405080201</v>
          </cell>
          <cell r="H5212">
            <v>2</v>
          </cell>
          <cell r="I5212">
            <v>1</v>
          </cell>
          <cell r="J5212">
            <v>2</v>
          </cell>
          <cell r="K5212">
            <v>3</v>
          </cell>
        </row>
        <row r="5213">
          <cell r="A5213" t="str">
            <v>MC</v>
          </cell>
          <cell r="B5213" t="str">
            <v>CA304</v>
          </cell>
          <cell r="C5213" t="str">
            <v>MC</v>
          </cell>
          <cell r="D5213" t="str">
            <v>HOLD</v>
          </cell>
          <cell r="E5213" t="str">
            <v>E SWG</v>
          </cell>
          <cell r="F5213">
            <v>2</v>
          </cell>
          <cell r="G5213" t="str">
            <v>CB162405080201</v>
          </cell>
          <cell r="H5213">
            <v>2</v>
          </cell>
          <cell r="I5213">
            <v>1</v>
          </cell>
          <cell r="J5213">
            <v>1</v>
          </cell>
          <cell r="K5213">
            <v>2</v>
          </cell>
        </row>
        <row r="5214">
          <cell r="A5214" t="str">
            <v>MC</v>
          </cell>
          <cell r="B5214" t="str">
            <v>CA304</v>
          </cell>
          <cell r="C5214" t="str">
            <v>MC</v>
          </cell>
          <cell r="D5214" t="str">
            <v>HOLD</v>
          </cell>
          <cell r="E5214" t="str">
            <v>SOL</v>
          </cell>
          <cell r="F5214">
            <v>2</v>
          </cell>
          <cell r="G5214" t="str">
            <v>CB39020000020T</v>
          </cell>
          <cell r="H5214">
            <v>2</v>
          </cell>
          <cell r="I5214">
            <v>0.75</v>
          </cell>
          <cell r="J5214">
            <v>2</v>
          </cell>
          <cell r="K5214">
            <v>3</v>
          </cell>
        </row>
        <row r="5215">
          <cell r="A5215" t="str">
            <v>MC</v>
          </cell>
          <cell r="B5215" t="str">
            <v>CA304</v>
          </cell>
          <cell r="C5215" t="str">
            <v>MC</v>
          </cell>
          <cell r="D5215" t="str">
            <v>HOLD</v>
          </cell>
          <cell r="E5215" t="str">
            <v>SOL</v>
          </cell>
          <cell r="F5215">
            <v>2</v>
          </cell>
          <cell r="G5215" t="str">
            <v>CB3902000002IH</v>
          </cell>
          <cell r="H5215">
            <v>2</v>
          </cell>
          <cell r="I5215">
            <v>1.5</v>
          </cell>
          <cell r="J5215">
            <v>1</v>
          </cell>
          <cell r="K5215">
            <v>2</v>
          </cell>
        </row>
        <row r="5216">
          <cell r="A5216" t="str">
            <v>MC</v>
          </cell>
          <cell r="B5216" t="str">
            <v>CA304</v>
          </cell>
          <cell r="C5216" t="str">
            <v>MC</v>
          </cell>
          <cell r="D5216" t="str">
            <v>2502</v>
          </cell>
          <cell r="E5216" t="str">
            <v>TEE</v>
          </cell>
          <cell r="F5216">
            <v>2</v>
          </cell>
          <cell r="G5216" t="str">
            <v>CB300305000200</v>
          </cell>
          <cell r="H5216">
            <v>2</v>
          </cell>
          <cell r="I5216" t="str">
            <v>--</v>
          </cell>
          <cell r="J5216">
            <v>1</v>
          </cell>
          <cell r="K5216">
            <v>2</v>
          </cell>
        </row>
        <row r="5217">
          <cell r="A5217" t="str">
            <v>MC</v>
          </cell>
          <cell r="B5217" t="str">
            <v>CA304</v>
          </cell>
          <cell r="C5217" t="str">
            <v>MC</v>
          </cell>
          <cell r="D5217" t="str">
            <v>2502</v>
          </cell>
          <cell r="E5217" t="str">
            <v>TEE</v>
          </cell>
          <cell r="F5217">
            <v>2</v>
          </cell>
          <cell r="G5217" t="str">
            <v>CB300305000200</v>
          </cell>
          <cell r="H5217">
            <v>2</v>
          </cell>
          <cell r="I5217" t="str">
            <v>--</v>
          </cell>
          <cell r="J5217">
            <v>1</v>
          </cell>
          <cell r="K5217">
            <v>2</v>
          </cell>
        </row>
        <row r="5218">
          <cell r="A5218" t="str">
            <v>MC</v>
          </cell>
          <cell r="B5218" t="str">
            <v>CA304</v>
          </cell>
          <cell r="C5218" t="str">
            <v>MC</v>
          </cell>
          <cell r="D5218" t="str">
            <v>HOLD</v>
          </cell>
          <cell r="E5218" t="str">
            <v>TEE</v>
          </cell>
          <cell r="F5218">
            <v>2</v>
          </cell>
          <cell r="G5218" t="str">
            <v>CB300305000200</v>
          </cell>
          <cell r="H5218">
            <v>2</v>
          </cell>
          <cell r="I5218" t="str">
            <v>--</v>
          </cell>
          <cell r="J5218">
            <v>1</v>
          </cell>
          <cell r="K5218">
            <v>2</v>
          </cell>
        </row>
        <row r="5219">
          <cell r="A5219" t="str">
            <v>MC</v>
          </cell>
          <cell r="B5219" t="str">
            <v>B2C</v>
          </cell>
          <cell r="C5219" t="str">
            <v>SH</v>
          </cell>
          <cell r="D5219" t="str">
            <v>1260</v>
          </cell>
          <cell r="E5219" t="str">
            <v>90 ELL</v>
          </cell>
          <cell r="F5219">
            <v>2</v>
          </cell>
          <cell r="G5219" t="str">
            <v>CB300104000300</v>
          </cell>
          <cell r="H5219">
            <v>3</v>
          </cell>
          <cell r="I5219" t="str">
            <v>--</v>
          </cell>
          <cell r="J5219">
            <v>1</v>
          </cell>
          <cell r="K5219">
            <v>2</v>
          </cell>
        </row>
        <row r="5220">
          <cell r="A5220" t="str">
            <v>MC</v>
          </cell>
          <cell r="B5220" t="str">
            <v>CA304</v>
          </cell>
          <cell r="C5220" t="str">
            <v>CMC</v>
          </cell>
          <cell r="D5220" t="str">
            <v>HOLD</v>
          </cell>
          <cell r="E5220" t="str">
            <v>90 ELL</v>
          </cell>
          <cell r="F5220">
            <v>2</v>
          </cell>
          <cell r="G5220" t="str">
            <v>CB300105000300</v>
          </cell>
          <cell r="H5220">
            <v>3</v>
          </cell>
          <cell r="I5220" t="str">
            <v>--</v>
          </cell>
          <cell r="J5220">
            <v>2</v>
          </cell>
          <cell r="K5220">
            <v>3</v>
          </cell>
        </row>
        <row r="5221">
          <cell r="A5221" t="str">
            <v>MC</v>
          </cell>
          <cell r="B5221" t="str">
            <v>CA304</v>
          </cell>
          <cell r="C5221" t="str">
            <v>MC</v>
          </cell>
          <cell r="D5221" t="str">
            <v>2612</v>
          </cell>
          <cell r="E5221" t="str">
            <v>90 ELL</v>
          </cell>
          <cell r="F5221">
            <v>2</v>
          </cell>
          <cell r="G5221" t="str">
            <v>CB300105000300</v>
          </cell>
          <cell r="H5221">
            <v>3</v>
          </cell>
          <cell r="I5221" t="str">
            <v>--</v>
          </cell>
          <cell r="J5221">
            <v>3</v>
          </cell>
          <cell r="K5221">
            <v>4</v>
          </cell>
        </row>
        <row r="5222">
          <cell r="A5222" t="str">
            <v>MC</v>
          </cell>
          <cell r="B5222" t="str">
            <v>CA304</v>
          </cell>
          <cell r="C5222" t="str">
            <v>VT</v>
          </cell>
          <cell r="D5222" t="str">
            <v>HOLD</v>
          </cell>
          <cell r="E5222" t="str">
            <v>90 ELL</v>
          </cell>
          <cell r="F5222">
            <v>2</v>
          </cell>
          <cell r="G5222" t="str">
            <v>CB300105000300</v>
          </cell>
          <cell r="H5222">
            <v>3</v>
          </cell>
          <cell r="I5222" t="str">
            <v>--</v>
          </cell>
          <cell r="J5222">
            <v>4</v>
          </cell>
          <cell r="K5222">
            <v>5</v>
          </cell>
        </row>
        <row r="5223">
          <cell r="A5223" t="str">
            <v>MC</v>
          </cell>
          <cell r="B5223" t="str">
            <v>CA304</v>
          </cell>
          <cell r="C5223" t="str">
            <v>VT</v>
          </cell>
          <cell r="D5223" t="str">
            <v>HOLD</v>
          </cell>
          <cell r="E5223" t="str">
            <v>90 ELL</v>
          </cell>
          <cell r="F5223">
            <v>2</v>
          </cell>
          <cell r="G5223" t="str">
            <v>CB300105000300</v>
          </cell>
          <cell r="H5223">
            <v>3</v>
          </cell>
          <cell r="I5223" t="str">
            <v>--</v>
          </cell>
          <cell r="J5223">
            <v>6</v>
          </cell>
          <cell r="K5223">
            <v>7</v>
          </cell>
        </row>
        <row r="5224">
          <cell r="A5224" t="str">
            <v>MC</v>
          </cell>
          <cell r="B5224" t="str">
            <v>CA304</v>
          </cell>
          <cell r="C5224" t="str">
            <v>MC</v>
          </cell>
          <cell r="D5224" t="str">
            <v>2606</v>
          </cell>
          <cell r="E5224" t="str">
            <v>90 ELL</v>
          </cell>
          <cell r="F5224">
            <v>2</v>
          </cell>
          <cell r="G5224" t="str">
            <v>CB300105000300</v>
          </cell>
          <cell r="H5224">
            <v>3</v>
          </cell>
          <cell r="I5224" t="str">
            <v>--</v>
          </cell>
          <cell r="J5224">
            <v>3</v>
          </cell>
          <cell r="K5224">
            <v>4</v>
          </cell>
        </row>
        <row r="5225">
          <cell r="A5225" t="str">
            <v>MC</v>
          </cell>
          <cell r="B5225" t="str">
            <v>CA304</v>
          </cell>
          <cell r="C5225" t="str">
            <v>VT</v>
          </cell>
          <cell r="D5225" t="str">
            <v>HOLD</v>
          </cell>
          <cell r="E5225" t="str">
            <v>C RED</v>
          </cell>
          <cell r="F5225">
            <v>2</v>
          </cell>
          <cell r="G5225" t="str">
            <v>CB300505050302</v>
          </cell>
          <cell r="H5225">
            <v>3</v>
          </cell>
          <cell r="I5225">
            <v>2</v>
          </cell>
          <cell r="J5225">
            <v>1</v>
          </cell>
          <cell r="K5225">
            <v>2</v>
          </cell>
        </row>
        <row r="5226">
          <cell r="A5226" t="str">
            <v>MC</v>
          </cell>
          <cell r="B5226" t="str">
            <v>CA304</v>
          </cell>
          <cell r="C5226" t="str">
            <v>VT</v>
          </cell>
          <cell r="D5226" t="str">
            <v>HOLD</v>
          </cell>
          <cell r="E5226" t="str">
            <v>C RED</v>
          </cell>
          <cell r="F5226">
            <v>2</v>
          </cell>
          <cell r="G5226" t="str">
            <v>CB300505050302</v>
          </cell>
          <cell r="H5226">
            <v>3</v>
          </cell>
          <cell r="I5226">
            <v>2</v>
          </cell>
          <cell r="J5226">
            <v>4</v>
          </cell>
          <cell r="K5226">
            <v>5</v>
          </cell>
        </row>
        <row r="5227">
          <cell r="A5227" t="str">
            <v>MC</v>
          </cell>
          <cell r="B5227" t="str">
            <v>CA304</v>
          </cell>
          <cell r="C5227" t="str">
            <v>MC</v>
          </cell>
          <cell r="D5227" t="str">
            <v>2601</v>
          </cell>
          <cell r="E5227" t="str">
            <v>C RED</v>
          </cell>
          <cell r="F5227">
            <v>2</v>
          </cell>
          <cell r="G5227" t="str">
            <v>CB300505050302</v>
          </cell>
          <cell r="H5227">
            <v>3</v>
          </cell>
          <cell r="I5227">
            <v>2</v>
          </cell>
          <cell r="J5227">
            <v>2</v>
          </cell>
          <cell r="K5227">
            <v>3</v>
          </cell>
        </row>
        <row r="5228">
          <cell r="A5228" t="str">
            <v>MC</v>
          </cell>
          <cell r="B5228" t="str">
            <v>BA305</v>
          </cell>
          <cell r="C5228" t="str">
            <v>MOH</v>
          </cell>
          <cell r="D5228" t="str">
            <v>2002</v>
          </cell>
          <cell r="E5228" t="str">
            <v>C RED</v>
          </cell>
          <cell r="F5228">
            <v>2</v>
          </cell>
          <cell r="G5228" t="str">
            <v>CB300505050302</v>
          </cell>
          <cell r="H5228">
            <v>3</v>
          </cell>
          <cell r="I5228">
            <v>2</v>
          </cell>
          <cell r="J5228">
            <v>1</v>
          </cell>
          <cell r="K5228">
            <v>2</v>
          </cell>
        </row>
        <row r="5229">
          <cell r="A5229" t="str">
            <v>MC</v>
          </cell>
          <cell r="B5229" t="str">
            <v>CA304</v>
          </cell>
          <cell r="C5229" t="str">
            <v>MC</v>
          </cell>
          <cell r="D5229" t="str">
            <v>2605</v>
          </cell>
          <cell r="E5229" t="str">
            <v>C SWG</v>
          </cell>
          <cell r="F5229">
            <v>2</v>
          </cell>
          <cell r="G5229" t="str">
            <v>CB1614050803IH</v>
          </cell>
          <cell r="H5229">
            <v>3</v>
          </cell>
          <cell r="I5229">
            <v>1.5</v>
          </cell>
          <cell r="J5229">
            <v>2</v>
          </cell>
          <cell r="K5229">
            <v>3</v>
          </cell>
        </row>
        <row r="5230">
          <cell r="A5230" t="str">
            <v>MC</v>
          </cell>
          <cell r="B5230" t="str">
            <v>CA304</v>
          </cell>
          <cell r="C5230" t="str">
            <v>MC</v>
          </cell>
          <cell r="D5230" t="str">
            <v>2505</v>
          </cell>
          <cell r="E5230" t="str">
            <v>C SWG</v>
          </cell>
          <cell r="F5230">
            <v>2</v>
          </cell>
          <cell r="G5230" t="str">
            <v>CB1614050803IH</v>
          </cell>
          <cell r="H5230">
            <v>3</v>
          </cell>
          <cell r="I5230">
            <v>1.5</v>
          </cell>
          <cell r="J5230">
            <v>2</v>
          </cell>
          <cell r="K5230">
            <v>3</v>
          </cell>
        </row>
        <row r="5231">
          <cell r="A5231" t="str">
            <v>MC</v>
          </cell>
          <cell r="B5231" t="str">
            <v>CA304</v>
          </cell>
          <cell r="C5231" t="str">
            <v>MC</v>
          </cell>
          <cell r="D5231" t="str">
            <v>2606</v>
          </cell>
          <cell r="E5231" t="str">
            <v>C SWG</v>
          </cell>
          <cell r="F5231">
            <v>2</v>
          </cell>
          <cell r="G5231" t="str">
            <v>CB1614050803IH</v>
          </cell>
          <cell r="H5231">
            <v>3</v>
          </cell>
          <cell r="I5231">
            <v>1.5</v>
          </cell>
          <cell r="J5231">
            <v>2</v>
          </cell>
          <cell r="K5231">
            <v>3</v>
          </cell>
        </row>
        <row r="5232">
          <cell r="A5232" t="str">
            <v>MC</v>
          </cell>
          <cell r="B5232" t="str">
            <v>CA304</v>
          </cell>
          <cell r="C5232" t="str">
            <v>MC</v>
          </cell>
          <cell r="D5232" t="str">
            <v>2612</v>
          </cell>
          <cell r="E5232" t="str">
            <v>C SWG</v>
          </cell>
          <cell r="F5232">
            <v>2</v>
          </cell>
          <cell r="G5232" t="str">
            <v>CB1614050803IH</v>
          </cell>
          <cell r="H5232">
            <v>3</v>
          </cell>
          <cell r="I5232">
            <v>1.5</v>
          </cell>
          <cell r="J5232">
            <v>1</v>
          </cell>
          <cell r="K5232">
            <v>2</v>
          </cell>
        </row>
        <row r="5233">
          <cell r="A5233" t="str">
            <v>MC</v>
          </cell>
          <cell r="B5233" t="str">
            <v>CA304</v>
          </cell>
          <cell r="C5233" t="str">
            <v>MC</v>
          </cell>
          <cell r="D5233" t="str">
            <v>2506</v>
          </cell>
          <cell r="E5233" t="str">
            <v>E RED</v>
          </cell>
          <cell r="F5233">
            <v>2</v>
          </cell>
          <cell r="G5233" t="str">
            <v>CB300605050302</v>
          </cell>
          <cell r="H5233">
            <v>3</v>
          </cell>
          <cell r="I5233">
            <v>2</v>
          </cell>
          <cell r="J5233">
            <v>1</v>
          </cell>
          <cell r="K5233">
            <v>2</v>
          </cell>
        </row>
        <row r="5234">
          <cell r="A5234" t="str">
            <v>MC</v>
          </cell>
          <cell r="B5234" t="str">
            <v>CA304</v>
          </cell>
          <cell r="C5234" t="str">
            <v>MC</v>
          </cell>
          <cell r="D5234" t="str">
            <v>2606</v>
          </cell>
          <cell r="E5234" t="str">
            <v>E RED</v>
          </cell>
          <cell r="F5234">
            <v>2</v>
          </cell>
          <cell r="G5234" t="str">
            <v>CB300605050302</v>
          </cell>
          <cell r="H5234">
            <v>3</v>
          </cell>
          <cell r="I5234">
            <v>2</v>
          </cell>
          <cell r="J5234">
            <v>1</v>
          </cell>
          <cell r="K5234">
            <v>2</v>
          </cell>
        </row>
        <row r="5235">
          <cell r="A5235" t="str">
            <v>MC</v>
          </cell>
          <cell r="B5235" t="str">
            <v>CA304</v>
          </cell>
          <cell r="C5235" t="str">
            <v>MC</v>
          </cell>
          <cell r="D5235" t="str">
            <v>2612</v>
          </cell>
          <cell r="E5235" t="str">
            <v>E RED</v>
          </cell>
          <cell r="F5235">
            <v>2</v>
          </cell>
          <cell r="G5235" t="str">
            <v>CB300605050302</v>
          </cell>
          <cell r="H5235">
            <v>3</v>
          </cell>
          <cell r="I5235">
            <v>2</v>
          </cell>
          <cell r="J5235">
            <v>2</v>
          </cell>
          <cell r="K5235">
            <v>3</v>
          </cell>
        </row>
        <row r="5236">
          <cell r="A5236" t="str">
            <v>MC</v>
          </cell>
          <cell r="B5236" t="str">
            <v>CA304</v>
          </cell>
          <cell r="C5236" t="str">
            <v>MC</v>
          </cell>
          <cell r="D5236" t="str">
            <v>2612</v>
          </cell>
          <cell r="E5236" t="str">
            <v>E SWG</v>
          </cell>
          <cell r="F5236">
            <v>2</v>
          </cell>
          <cell r="G5236" t="str">
            <v>CB1624050803IH</v>
          </cell>
          <cell r="H5236">
            <v>3</v>
          </cell>
          <cell r="I5236">
            <v>1.5</v>
          </cell>
          <cell r="J5236">
            <v>2</v>
          </cell>
          <cell r="K5236">
            <v>3</v>
          </cell>
        </row>
        <row r="5237">
          <cell r="A5237" t="str">
            <v>MC</v>
          </cell>
          <cell r="B5237" t="str">
            <v>CA304</v>
          </cell>
          <cell r="C5237" t="str">
            <v>CMC</v>
          </cell>
          <cell r="D5237" t="str">
            <v>HOLD</v>
          </cell>
          <cell r="E5237" t="str">
            <v>SOL</v>
          </cell>
          <cell r="F5237">
            <v>2</v>
          </cell>
          <cell r="G5237" t="str">
            <v>CB39020000030T</v>
          </cell>
          <cell r="H5237">
            <v>3</v>
          </cell>
          <cell r="I5237">
            <v>0.75</v>
          </cell>
          <cell r="J5237">
            <v>2</v>
          </cell>
          <cell r="K5237">
            <v>3</v>
          </cell>
        </row>
        <row r="5238">
          <cell r="A5238" t="str">
            <v>MC</v>
          </cell>
          <cell r="B5238" t="str">
            <v>CA304</v>
          </cell>
          <cell r="C5238" t="str">
            <v>MC</v>
          </cell>
          <cell r="D5238" t="str">
            <v>2612</v>
          </cell>
          <cell r="E5238" t="str">
            <v>SOL</v>
          </cell>
          <cell r="F5238">
            <v>2</v>
          </cell>
          <cell r="G5238" t="str">
            <v>CB39020000030T</v>
          </cell>
          <cell r="H5238">
            <v>3</v>
          </cell>
          <cell r="I5238">
            <v>0.75</v>
          </cell>
          <cell r="J5238">
            <v>2</v>
          </cell>
          <cell r="K5238">
            <v>3</v>
          </cell>
        </row>
        <row r="5239">
          <cell r="A5239" t="str">
            <v>MC</v>
          </cell>
          <cell r="B5239" t="str">
            <v>CA304</v>
          </cell>
          <cell r="C5239" t="str">
            <v>MC</v>
          </cell>
          <cell r="D5239" t="str">
            <v>2606</v>
          </cell>
          <cell r="E5239" t="str">
            <v>SOL</v>
          </cell>
          <cell r="F5239">
            <v>2</v>
          </cell>
          <cell r="G5239" t="str">
            <v>CB39020000030T</v>
          </cell>
          <cell r="H5239">
            <v>3</v>
          </cell>
          <cell r="I5239">
            <v>0.75</v>
          </cell>
          <cell r="J5239">
            <v>2</v>
          </cell>
          <cell r="K5239">
            <v>3</v>
          </cell>
        </row>
        <row r="5240">
          <cell r="A5240" t="str">
            <v>MC</v>
          </cell>
          <cell r="B5240" t="str">
            <v>CA304</v>
          </cell>
          <cell r="C5240" t="str">
            <v>VT</v>
          </cell>
          <cell r="D5240" t="str">
            <v>HOLD</v>
          </cell>
          <cell r="E5240" t="str">
            <v>SOL</v>
          </cell>
          <cell r="F5240">
            <v>2</v>
          </cell>
          <cell r="G5240" t="str">
            <v>CB39020000030T</v>
          </cell>
          <cell r="H5240">
            <v>3</v>
          </cell>
          <cell r="I5240">
            <v>0.75</v>
          </cell>
          <cell r="J5240">
            <v>4</v>
          </cell>
          <cell r="K5240">
            <v>5</v>
          </cell>
        </row>
        <row r="5241">
          <cell r="A5241" t="str">
            <v>MC</v>
          </cell>
          <cell r="B5241" t="str">
            <v>CA304</v>
          </cell>
          <cell r="C5241" t="str">
            <v>MC</v>
          </cell>
          <cell r="D5241" t="str">
            <v>2606</v>
          </cell>
          <cell r="E5241" t="str">
            <v>TEE</v>
          </cell>
          <cell r="F5241">
            <v>2</v>
          </cell>
          <cell r="G5241" t="str">
            <v>CB300305000300</v>
          </cell>
          <cell r="H5241">
            <v>3</v>
          </cell>
          <cell r="I5241" t="str">
            <v>--</v>
          </cell>
          <cell r="J5241">
            <v>3</v>
          </cell>
          <cell r="K5241">
            <v>4</v>
          </cell>
        </row>
        <row r="5242">
          <cell r="A5242" t="str">
            <v>MC</v>
          </cell>
          <cell r="B5242" t="str">
            <v>CA304</v>
          </cell>
          <cell r="C5242" t="str">
            <v>MC</v>
          </cell>
          <cell r="D5242" t="str">
            <v>HOLD</v>
          </cell>
          <cell r="E5242" t="str">
            <v>90 ELL</v>
          </cell>
          <cell r="F5242">
            <v>2</v>
          </cell>
          <cell r="G5242" t="str">
            <v>CB300105000300</v>
          </cell>
          <cell r="H5242">
            <v>3</v>
          </cell>
          <cell r="I5242" t="str">
            <v>--</v>
          </cell>
          <cell r="J5242">
            <v>2</v>
          </cell>
          <cell r="K5242">
            <v>3</v>
          </cell>
        </row>
        <row r="5243">
          <cell r="A5243" t="str">
            <v>MC</v>
          </cell>
          <cell r="B5243" t="str">
            <v>CA304</v>
          </cell>
          <cell r="C5243" t="str">
            <v>MC</v>
          </cell>
          <cell r="D5243" t="str">
            <v>HOLD</v>
          </cell>
          <cell r="E5243" t="str">
            <v>90 ELL</v>
          </cell>
          <cell r="F5243">
            <v>2</v>
          </cell>
          <cell r="G5243" t="str">
            <v>CB300105000300</v>
          </cell>
          <cell r="H5243">
            <v>3</v>
          </cell>
          <cell r="I5243" t="str">
            <v>--</v>
          </cell>
          <cell r="J5243">
            <v>2</v>
          </cell>
          <cell r="K5243">
            <v>3</v>
          </cell>
        </row>
        <row r="5244">
          <cell r="A5244" t="str">
            <v>MC</v>
          </cell>
          <cell r="B5244" t="str">
            <v>CA304</v>
          </cell>
          <cell r="C5244" t="str">
            <v>MC</v>
          </cell>
          <cell r="D5244" t="str">
            <v>HOLD</v>
          </cell>
          <cell r="E5244" t="str">
            <v>90 ELL</v>
          </cell>
          <cell r="F5244">
            <v>2</v>
          </cell>
          <cell r="G5244" t="str">
            <v>CB300105000300</v>
          </cell>
          <cell r="H5244">
            <v>3</v>
          </cell>
          <cell r="I5244" t="str">
            <v>--</v>
          </cell>
          <cell r="J5244">
            <v>2</v>
          </cell>
          <cell r="K5244">
            <v>3</v>
          </cell>
        </row>
        <row r="5245">
          <cell r="A5245" t="str">
            <v>MC</v>
          </cell>
          <cell r="B5245" t="str">
            <v>CA304</v>
          </cell>
          <cell r="C5245" t="str">
            <v>MC</v>
          </cell>
          <cell r="D5245" t="str">
            <v>2502</v>
          </cell>
          <cell r="E5245" t="str">
            <v>SOL</v>
          </cell>
          <cell r="F5245">
            <v>2</v>
          </cell>
          <cell r="G5245" t="str">
            <v>CB39020000030T</v>
          </cell>
          <cell r="H5245">
            <v>3</v>
          </cell>
          <cell r="I5245">
            <v>0.75</v>
          </cell>
          <cell r="J5245">
            <v>1</v>
          </cell>
          <cell r="K5245">
            <v>2</v>
          </cell>
        </row>
        <row r="5246">
          <cell r="A5246" t="str">
            <v>MC</v>
          </cell>
          <cell r="B5246" t="str">
            <v>CA304</v>
          </cell>
          <cell r="C5246" t="str">
            <v>MC</v>
          </cell>
          <cell r="D5246" t="str">
            <v>2502</v>
          </cell>
          <cell r="E5246" t="str">
            <v>SOL</v>
          </cell>
          <cell r="F5246">
            <v>2</v>
          </cell>
          <cell r="G5246" t="str">
            <v>CB39020000030T</v>
          </cell>
          <cell r="H5246">
            <v>3</v>
          </cell>
          <cell r="I5246">
            <v>0.75</v>
          </cell>
          <cell r="J5246">
            <v>1</v>
          </cell>
          <cell r="K5246">
            <v>2</v>
          </cell>
        </row>
        <row r="5247">
          <cell r="A5247" t="str">
            <v>MC</v>
          </cell>
          <cell r="B5247" t="str">
            <v>B2C</v>
          </cell>
          <cell r="C5247" t="str">
            <v>SH</v>
          </cell>
          <cell r="D5247" t="str">
            <v>1260</v>
          </cell>
          <cell r="E5247" t="str">
            <v>90 ELL</v>
          </cell>
          <cell r="F5247">
            <v>2</v>
          </cell>
          <cell r="G5247" t="str">
            <v>CB300104000400</v>
          </cell>
          <cell r="H5247">
            <v>4</v>
          </cell>
          <cell r="I5247" t="str">
            <v>--</v>
          </cell>
          <cell r="J5247">
            <v>9</v>
          </cell>
          <cell r="K5247">
            <v>11</v>
          </cell>
        </row>
        <row r="5248">
          <cell r="A5248" t="str">
            <v>MC</v>
          </cell>
          <cell r="B5248" t="str">
            <v>B2C</v>
          </cell>
          <cell r="C5248" t="str">
            <v>SH</v>
          </cell>
          <cell r="D5248" t="str">
            <v>1260</v>
          </cell>
          <cell r="E5248" t="str">
            <v>E RED</v>
          </cell>
          <cell r="F5248">
            <v>2</v>
          </cell>
          <cell r="G5248" t="str">
            <v>CB300604040403</v>
          </cell>
          <cell r="H5248">
            <v>4</v>
          </cell>
          <cell r="I5248">
            <v>3</v>
          </cell>
          <cell r="J5248">
            <v>2</v>
          </cell>
          <cell r="K5248">
            <v>3</v>
          </cell>
        </row>
        <row r="5249">
          <cell r="A5249" t="str">
            <v>MC</v>
          </cell>
          <cell r="B5249" t="str">
            <v>B2C</v>
          </cell>
          <cell r="C5249" t="str">
            <v>SH</v>
          </cell>
          <cell r="D5249" t="str">
            <v>1260</v>
          </cell>
          <cell r="E5249" t="str">
            <v>SOL</v>
          </cell>
          <cell r="F5249">
            <v>2</v>
          </cell>
          <cell r="G5249" t="str">
            <v>CB39020000040T</v>
          </cell>
          <cell r="H5249">
            <v>4</v>
          </cell>
          <cell r="I5249">
            <v>0.75</v>
          </cell>
          <cell r="J5249">
            <v>3</v>
          </cell>
          <cell r="K5249">
            <v>4</v>
          </cell>
        </row>
        <row r="5250">
          <cell r="A5250" t="str">
            <v>MC</v>
          </cell>
          <cell r="B5250" t="str">
            <v>CA304</v>
          </cell>
          <cell r="C5250" t="str">
            <v>CMC</v>
          </cell>
          <cell r="D5250" t="str">
            <v>HOLD</v>
          </cell>
          <cell r="E5250" t="str">
            <v>45 ELL</v>
          </cell>
          <cell r="F5250">
            <v>2</v>
          </cell>
          <cell r="G5250" t="str">
            <v>CB300205000400</v>
          </cell>
          <cell r="H5250">
            <v>4</v>
          </cell>
          <cell r="I5250" t="str">
            <v>--</v>
          </cell>
          <cell r="J5250">
            <v>1</v>
          </cell>
          <cell r="K5250">
            <v>2</v>
          </cell>
        </row>
        <row r="5251">
          <cell r="A5251" t="str">
            <v>MC</v>
          </cell>
          <cell r="B5251" t="str">
            <v>CA307</v>
          </cell>
          <cell r="C5251" t="str">
            <v>P</v>
          </cell>
          <cell r="D5251" t="str">
            <v>HOLD1</v>
          </cell>
          <cell r="E5251" t="str">
            <v>90 ELL</v>
          </cell>
          <cell r="F5251">
            <v>2</v>
          </cell>
          <cell r="G5251" t="str">
            <v>CB300105000400</v>
          </cell>
          <cell r="H5251">
            <v>4</v>
          </cell>
          <cell r="I5251" t="str">
            <v>--</v>
          </cell>
          <cell r="J5251">
            <v>2</v>
          </cell>
          <cell r="K5251">
            <v>3</v>
          </cell>
        </row>
        <row r="5252">
          <cell r="A5252" t="str">
            <v>MC</v>
          </cell>
          <cell r="B5252" t="str">
            <v>CA304</v>
          </cell>
          <cell r="C5252" t="str">
            <v>CMC</v>
          </cell>
          <cell r="D5252" t="str">
            <v>HOLD</v>
          </cell>
          <cell r="E5252" t="str">
            <v>90 ELL</v>
          </cell>
          <cell r="F5252">
            <v>2</v>
          </cell>
          <cell r="G5252" t="str">
            <v>CB300105000400</v>
          </cell>
          <cell r="H5252">
            <v>4</v>
          </cell>
          <cell r="I5252" t="str">
            <v>--</v>
          </cell>
          <cell r="J5252">
            <v>2</v>
          </cell>
          <cell r="K5252">
            <v>3</v>
          </cell>
        </row>
        <row r="5253">
          <cell r="A5253" t="str">
            <v>MC</v>
          </cell>
          <cell r="B5253" t="str">
            <v>CA304</v>
          </cell>
          <cell r="C5253" t="str">
            <v>MC</v>
          </cell>
          <cell r="D5253" t="str">
            <v>2507</v>
          </cell>
          <cell r="E5253" t="str">
            <v>90 ELL</v>
          </cell>
          <cell r="F5253">
            <v>2</v>
          </cell>
          <cell r="G5253" t="str">
            <v>CB300105000400</v>
          </cell>
          <cell r="H5253">
            <v>4</v>
          </cell>
          <cell r="I5253" t="str">
            <v>--</v>
          </cell>
          <cell r="J5253">
            <v>3</v>
          </cell>
          <cell r="K5253">
            <v>4</v>
          </cell>
        </row>
        <row r="5254">
          <cell r="A5254" t="str">
            <v>MC</v>
          </cell>
          <cell r="B5254" t="str">
            <v>CA304</v>
          </cell>
          <cell r="C5254" t="str">
            <v>VT</v>
          </cell>
          <cell r="D5254" t="str">
            <v>HOLD</v>
          </cell>
          <cell r="E5254" t="str">
            <v>90 ELL</v>
          </cell>
          <cell r="F5254">
            <v>2</v>
          </cell>
          <cell r="G5254" t="str">
            <v>CB300105000400</v>
          </cell>
          <cell r="H5254">
            <v>4</v>
          </cell>
          <cell r="I5254" t="str">
            <v>--</v>
          </cell>
          <cell r="J5254">
            <v>3</v>
          </cell>
          <cell r="K5254">
            <v>4</v>
          </cell>
        </row>
        <row r="5255">
          <cell r="A5255" t="str">
            <v>MC</v>
          </cell>
          <cell r="B5255" t="str">
            <v>CA304</v>
          </cell>
          <cell r="C5255" t="str">
            <v>VT</v>
          </cell>
          <cell r="D5255" t="str">
            <v>HOLD</v>
          </cell>
          <cell r="E5255" t="str">
            <v>90 ELL</v>
          </cell>
          <cell r="F5255">
            <v>2</v>
          </cell>
          <cell r="G5255" t="str">
            <v>CB300105000400</v>
          </cell>
          <cell r="H5255">
            <v>4</v>
          </cell>
          <cell r="I5255" t="str">
            <v>--</v>
          </cell>
          <cell r="J5255">
            <v>4</v>
          </cell>
          <cell r="K5255">
            <v>5</v>
          </cell>
        </row>
        <row r="5256">
          <cell r="A5256" t="str">
            <v>MC</v>
          </cell>
          <cell r="B5256" t="str">
            <v>CA304</v>
          </cell>
          <cell r="C5256" t="str">
            <v>MC</v>
          </cell>
          <cell r="D5256" t="str">
            <v>2605</v>
          </cell>
          <cell r="E5256" t="str">
            <v>C RED</v>
          </cell>
          <cell r="F5256">
            <v>2</v>
          </cell>
          <cell r="G5256" t="str">
            <v>CB300505050402</v>
          </cell>
          <cell r="H5256">
            <v>4</v>
          </cell>
          <cell r="I5256">
            <v>2</v>
          </cell>
          <cell r="J5256">
            <v>2</v>
          </cell>
          <cell r="K5256">
            <v>3</v>
          </cell>
        </row>
        <row r="5257">
          <cell r="A5257" t="str">
            <v>MC</v>
          </cell>
          <cell r="B5257" t="str">
            <v>CA304</v>
          </cell>
          <cell r="C5257" t="str">
            <v>MC</v>
          </cell>
          <cell r="D5257" t="str">
            <v>2506</v>
          </cell>
          <cell r="E5257" t="str">
            <v>C RED</v>
          </cell>
          <cell r="F5257">
            <v>2</v>
          </cell>
          <cell r="G5257" t="str">
            <v>CB300505050402</v>
          </cell>
          <cell r="H5257">
            <v>4</v>
          </cell>
          <cell r="I5257">
            <v>2</v>
          </cell>
          <cell r="J5257">
            <v>2</v>
          </cell>
          <cell r="K5257">
            <v>3</v>
          </cell>
        </row>
        <row r="5258">
          <cell r="A5258" t="str">
            <v>MC</v>
          </cell>
          <cell r="B5258" t="str">
            <v>CA304</v>
          </cell>
          <cell r="C5258" t="str">
            <v>MC</v>
          </cell>
          <cell r="D5258" t="str">
            <v>2609</v>
          </cell>
          <cell r="E5258" t="str">
            <v>C SWG</v>
          </cell>
          <cell r="F5258">
            <v>2</v>
          </cell>
          <cell r="G5258" t="str">
            <v>CB1614050804IH</v>
          </cell>
          <cell r="H5258">
            <v>4</v>
          </cell>
          <cell r="I5258">
            <v>1.5</v>
          </cell>
          <cell r="J5258">
            <v>2</v>
          </cell>
          <cell r="K5258">
            <v>3</v>
          </cell>
        </row>
        <row r="5259">
          <cell r="A5259" t="str">
            <v>MC</v>
          </cell>
          <cell r="B5259" t="str">
            <v>CA304</v>
          </cell>
          <cell r="C5259" t="str">
            <v>MC</v>
          </cell>
          <cell r="D5259" t="str">
            <v>2505</v>
          </cell>
          <cell r="E5259" t="str">
            <v>E RED</v>
          </cell>
          <cell r="F5259">
            <v>2</v>
          </cell>
          <cell r="G5259" t="str">
            <v>CB300605050402</v>
          </cell>
          <cell r="H5259">
            <v>4</v>
          </cell>
          <cell r="I5259">
            <v>2</v>
          </cell>
          <cell r="J5259">
            <v>2</v>
          </cell>
          <cell r="K5259">
            <v>3</v>
          </cell>
        </row>
        <row r="5260">
          <cell r="A5260" t="str">
            <v>MC</v>
          </cell>
          <cell r="B5260" t="str">
            <v>CA304</v>
          </cell>
          <cell r="C5260" t="str">
            <v>CMC</v>
          </cell>
          <cell r="D5260" t="str">
            <v>HOLD</v>
          </cell>
          <cell r="E5260" t="str">
            <v>SOL</v>
          </cell>
          <cell r="F5260">
            <v>2</v>
          </cell>
          <cell r="G5260" t="str">
            <v>CB39020000040T</v>
          </cell>
          <cell r="H5260">
            <v>4</v>
          </cell>
          <cell r="I5260">
            <v>0.75</v>
          </cell>
          <cell r="J5260">
            <v>1</v>
          </cell>
          <cell r="K5260">
            <v>2</v>
          </cell>
        </row>
        <row r="5261">
          <cell r="A5261" t="str">
            <v>MC</v>
          </cell>
          <cell r="B5261" t="str">
            <v>CA304</v>
          </cell>
          <cell r="C5261" t="str">
            <v>CMC</v>
          </cell>
          <cell r="D5261" t="str">
            <v>HOLD</v>
          </cell>
          <cell r="E5261" t="str">
            <v>SOL</v>
          </cell>
          <cell r="F5261">
            <v>2</v>
          </cell>
          <cell r="G5261" t="str">
            <v>CB39020000040T</v>
          </cell>
          <cell r="H5261">
            <v>4</v>
          </cell>
          <cell r="I5261">
            <v>0.75</v>
          </cell>
          <cell r="J5261">
            <v>1</v>
          </cell>
          <cell r="K5261">
            <v>2</v>
          </cell>
        </row>
        <row r="5262">
          <cell r="A5262" t="str">
            <v>MC</v>
          </cell>
          <cell r="B5262" t="str">
            <v>CA304</v>
          </cell>
          <cell r="C5262" t="str">
            <v>CMC</v>
          </cell>
          <cell r="D5262" t="str">
            <v>HOLD</v>
          </cell>
          <cell r="E5262" t="str">
            <v>TEE</v>
          </cell>
          <cell r="F5262">
            <v>2</v>
          </cell>
          <cell r="G5262" t="str">
            <v>CB300305000400</v>
          </cell>
          <cell r="H5262">
            <v>4</v>
          </cell>
          <cell r="I5262" t="str">
            <v>--</v>
          </cell>
          <cell r="J5262">
            <v>1</v>
          </cell>
          <cell r="K5262">
            <v>2</v>
          </cell>
        </row>
        <row r="5263">
          <cell r="A5263" t="str">
            <v>MC</v>
          </cell>
          <cell r="B5263" t="str">
            <v>CA304</v>
          </cell>
          <cell r="C5263" t="str">
            <v>VT</v>
          </cell>
          <cell r="D5263" t="str">
            <v>HOLD</v>
          </cell>
          <cell r="E5263" t="str">
            <v>TEE</v>
          </cell>
          <cell r="F5263">
            <v>2</v>
          </cell>
          <cell r="G5263" t="str">
            <v>CB300305000400</v>
          </cell>
          <cell r="H5263">
            <v>4</v>
          </cell>
          <cell r="I5263" t="str">
            <v>--</v>
          </cell>
          <cell r="J5263">
            <v>1</v>
          </cell>
          <cell r="K5263">
            <v>2</v>
          </cell>
        </row>
        <row r="5264">
          <cell r="A5264" t="str">
            <v>MC</v>
          </cell>
          <cell r="B5264" t="str">
            <v>CA307</v>
          </cell>
          <cell r="C5264" t="str">
            <v>P</v>
          </cell>
          <cell r="D5264" t="str">
            <v>HOLD1</v>
          </cell>
          <cell r="E5264" t="str">
            <v>TOL</v>
          </cell>
          <cell r="F5264">
            <v>2</v>
          </cell>
          <cell r="G5264" t="str">
            <v>CB39030000040T</v>
          </cell>
          <cell r="H5264">
            <v>4</v>
          </cell>
          <cell r="I5264">
            <v>0.75</v>
          </cell>
          <cell r="J5264">
            <v>1</v>
          </cell>
          <cell r="K5264">
            <v>2</v>
          </cell>
        </row>
        <row r="5265">
          <cell r="A5265" t="str">
            <v>MC</v>
          </cell>
          <cell r="B5265" t="str">
            <v>CA304</v>
          </cell>
          <cell r="C5265" t="str">
            <v>MC</v>
          </cell>
          <cell r="D5265" t="str">
            <v>2502</v>
          </cell>
          <cell r="E5265" t="str">
            <v>90 ELL</v>
          </cell>
          <cell r="F5265">
            <v>2</v>
          </cell>
          <cell r="G5265" t="str">
            <v>CB300105000400</v>
          </cell>
          <cell r="H5265">
            <v>4</v>
          </cell>
          <cell r="I5265" t="str">
            <v>--</v>
          </cell>
          <cell r="J5265">
            <v>8</v>
          </cell>
          <cell r="K5265">
            <v>10</v>
          </cell>
        </row>
        <row r="5266">
          <cell r="A5266" t="str">
            <v>MC</v>
          </cell>
          <cell r="B5266" t="str">
            <v>CA304</v>
          </cell>
          <cell r="C5266" t="str">
            <v>MC</v>
          </cell>
          <cell r="D5266" t="str">
            <v>2502</v>
          </cell>
          <cell r="E5266" t="str">
            <v>90 ELL</v>
          </cell>
          <cell r="F5266">
            <v>2</v>
          </cell>
          <cell r="G5266" t="str">
            <v>CB300105000400</v>
          </cell>
          <cell r="H5266">
            <v>4</v>
          </cell>
          <cell r="I5266" t="str">
            <v>--</v>
          </cell>
          <cell r="J5266">
            <v>7</v>
          </cell>
          <cell r="K5266">
            <v>9</v>
          </cell>
        </row>
        <row r="5267">
          <cell r="A5267" t="str">
            <v>MC</v>
          </cell>
          <cell r="B5267" t="str">
            <v>CA304</v>
          </cell>
          <cell r="C5267" t="str">
            <v>MC</v>
          </cell>
          <cell r="D5267" t="str">
            <v>HOLD</v>
          </cell>
          <cell r="E5267" t="str">
            <v>90 ELL</v>
          </cell>
          <cell r="F5267">
            <v>2</v>
          </cell>
          <cell r="G5267" t="str">
            <v>CB300105000400</v>
          </cell>
          <cell r="H5267">
            <v>4</v>
          </cell>
          <cell r="I5267" t="str">
            <v>--</v>
          </cell>
          <cell r="J5267">
            <v>5</v>
          </cell>
          <cell r="K5267">
            <v>6</v>
          </cell>
        </row>
        <row r="5268">
          <cell r="A5268" t="str">
            <v>MC</v>
          </cell>
          <cell r="B5268" t="str">
            <v>CA304</v>
          </cell>
          <cell r="C5268" t="str">
            <v>MC</v>
          </cell>
          <cell r="D5268" t="str">
            <v>HOLD</v>
          </cell>
          <cell r="E5268" t="str">
            <v>90 ELL</v>
          </cell>
          <cell r="F5268">
            <v>2</v>
          </cell>
          <cell r="G5268" t="str">
            <v>CB300105000400</v>
          </cell>
          <cell r="H5268">
            <v>4</v>
          </cell>
          <cell r="I5268" t="str">
            <v>--</v>
          </cell>
          <cell r="J5268">
            <v>5</v>
          </cell>
          <cell r="K5268">
            <v>6</v>
          </cell>
        </row>
        <row r="5269">
          <cell r="A5269" t="str">
            <v>MC</v>
          </cell>
          <cell r="B5269" t="str">
            <v>CA304</v>
          </cell>
          <cell r="C5269" t="str">
            <v>MC</v>
          </cell>
          <cell r="D5269" t="str">
            <v>2503</v>
          </cell>
          <cell r="E5269" t="str">
            <v>90 ELL</v>
          </cell>
          <cell r="F5269">
            <v>2</v>
          </cell>
          <cell r="G5269" t="str">
            <v>CB300105000400</v>
          </cell>
          <cell r="H5269">
            <v>4</v>
          </cell>
          <cell r="I5269" t="str">
            <v>--</v>
          </cell>
          <cell r="J5269">
            <v>3</v>
          </cell>
          <cell r="K5269">
            <v>4</v>
          </cell>
        </row>
        <row r="5270">
          <cell r="A5270" t="str">
            <v>MC</v>
          </cell>
          <cell r="B5270" t="str">
            <v>CA304</v>
          </cell>
          <cell r="C5270" t="str">
            <v>MC</v>
          </cell>
          <cell r="D5270" t="str">
            <v>HOLD</v>
          </cell>
          <cell r="E5270" t="str">
            <v>90 ELL</v>
          </cell>
          <cell r="F5270">
            <v>2</v>
          </cell>
          <cell r="G5270" t="str">
            <v>CB300105000400</v>
          </cell>
          <cell r="H5270">
            <v>4</v>
          </cell>
          <cell r="I5270" t="str">
            <v>--</v>
          </cell>
          <cell r="J5270">
            <v>5</v>
          </cell>
          <cell r="K5270">
            <v>6</v>
          </cell>
        </row>
        <row r="5271">
          <cell r="A5271" t="str">
            <v>MC</v>
          </cell>
          <cell r="B5271" t="str">
            <v>CA304</v>
          </cell>
          <cell r="C5271" t="str">
            <v>MC</v>
          </cell>
          <cell r="D5271" t="str">
            <v>2604</v>
          </cell>
          <cell r="E5271" t="str">
            <v>C RED</v>
          </cell>
          <cell r="F5271">
            <v>2</v>
          </cell>
          <cell r="G5271" t="str">
            <v>CB300505050402</v>
          </cell>
          <cell r="H5271">
            <v>4</v>
          </cell>
          <cell r="I5271">
            <v>2</v>
          </cell>
          <cell r="J5271">
            <v>2</v>
          </cell>
          <cell r="K5271">
            <v>3</v>
          </cell>
        </row>
        <row r="5272">
          <cell r="A5272" t="str">
            <v>MC</v>
          </cell>
          <cell r="B5272" t="str">
            <v>CA304</v>
          </cell>
          <cell r="C5272" t="str">
            <v>MC</v>
          </cell>
          <cell r="D5272" t="str">
            <v>2502</v>
          </cell>
          <cell r="E5272" t="str">
            <v>E RED</v>
          </cell>
          <cell r="F5272">
            <v>2</v>
          </cell>
          <cell r="G5272" t="str">
            <v>CB300605050403</v>
          </cell>
          <cell r="H5272">
            <v>4</v>
          </cell>
          <cell r="I5272">
            <v>3</v>
          </cell>
          <cell r="J5272">
            <v>2</v>
          </cell>
          <cell r="K5272">
            <v>3</v>
          </cell>
        </row>
        <row r="5273">
          <cell r="A5273" t="str">
            <v>MC</v>
          </cell>
          <cell r="B5273" t="str">
            <v>CA304</v>
          </cell>
          <cell r="C5273" t="str">
            <v>MC</v>
          </cell>
          <cell r="D5273" t="str">
            <v>2502</v>
          </cell>
          <cell r="E5273" t="str">
            <v>E RED</v>
          </cell>
          <cell r="F5273">
            <v>2</v>
          </cell>
          <cell r="G5273" t="str">
            <v>CB300605050403</v>
          </cell>
          <cell r="H5273">
            <v>4</v>
          </cell>
          <cell r="I5273">
            <v>3</v>
          </cell>
          <cell r="J5273">
            <v>2</v>
          </cell>
          <cell r="K5273">
            <v>3</v>
          </cell>
        </row>
        <row r="5274">
          <cell r="A5274" t="str">
            <v>MC</v>
          </cell>
          <cell r="B5274" t="str">
            <v>CA304</v>
          </cell>
          <cell r="C5274" t="str">
            <v>MC</v>
          </cell>
          <cell r="D5274" t="str">
            <v>2502</v>
          </cell>
          <cell r="E5274" t="str">
            <v>SOL</v>
          </cell>
          <cell r="F5274">
            <v>2</v>
          </cell>
          <cell r="G5274" t="str">
            <v>CB39020000040T</v>
          </cell>
          <cell r="H5274">
            <v>4</v>
          </cell>
          <cell r="I5274">
            <v>0.75</v>
          </cell>
          <cell r="J5274">
            <v>1</v>
          </cell>
          <cell r="K5274">
            <v>2</v>
          </cell>
        </row>
        <row r="5275">
          <cell r="A5275" t="str">
            <v>MC</v>
          </cell>
          <cell r="B5275" t="str">
            <v>B2C</v>
          </cell>
          <cell r="C5275" t="str">
            <v>SH</v>
          </cell>
          <cell r="D5275" t="str">
            <v>1360</v>
          </cell>
          <cell r="E5275" t="str">
            <v>90 ELL</v>
          </cell>
          <cell r="F5275">
            <v>2</v>
          </cell>
          <cell r="G5275" t="str">
            <v>CB300104000600</v>
          </cell>
          <cell r="H5275">
            <v>6</v>
          </cell>
          <cell r="I5275" t="str">
            <v>--</v>
          </cell>
          <cell r="J5275">
            <v>2</v>
          </cell>
          <cell r="K5275">
            <v>3</v>
          </cell>
        </row>
        <row r="5276">
          <cell r="A5276" t="str">
            <v>MC</v>
          </cell>
          <cell r="B5276" t="str">
            <v>B2C</v>
          </cell>
          <cell r="C5276" t="str">
            <v>SH</v>
          </cell>
          <cell r="D5276" t="str">
            <v>1460</v>
          </cell>
          <cell r="E5276" t="str">
            <v>90 ELL</v>
          </cell>
          <cell r="F5276">
            <v>2</v>
          </cell>
          <cell r="G5276" t="str">
            <v>CB300104000600</v>
          </cell>
          <cell r="H5276">
            <v>6</v>
          </cell>
          <cell r="I5276" t="str">
            <v>--</v>
          </cell>
          <cell r="J5276">
            <v>7</v>
          </cell>
          <cell r="K5276">
            <v>9</v>
          </cell>
        </row>
        <row r="5277">
          <cell r="A5277" t="str">
            <v>MC</v>
          </cell>
          <cell r="B5277" t="str">
            <v>B2C</v>
          </cell>
          <cell r="C5277" t="str">
            <v>SH</v>
          </cell>
          <cell r="D5277" t="str">
            <v>1000</v>
          </cell>
          <cell r="E5277" t="str">
            <v>CAP</v>
          </cell>
          <cell r="F5277">
            <v>2</v>
          </cell>
          <cell r="G5277" t="str">
            <v>CB300704000600</v>
          </cell>
          <cell r="H5277">
            <v>6</v>
          </cell>
          <cell r="I5277" t="str">
            <v>--</v>
          </cell>
          <cell r="J5277">
            <v>2</v>
          </cell>
          <cell r="K5277">
            <v>3</v>
          </cell>
        </row>
        <row r="5278">
          <cell r="A5278" t="str">
            <v>MC</v>
          </cell>
          <cell r="B5278" t="str">
            <v>B2C</v>
          </cell>
          <cell r="C5278" t="str">
            <v>SH</v>
          </cell>
          <cell r="D5278" t="str">
            <v>1460</v>
          </cell>
          <cell r="E5278" t="str">
            <v>E RED</v>
          </cell>
          <cell r="F5278">
            <v>2</v>
          </cell>
          <cell r="G5278" t="str">
            <v>CB300604040604</v>
          </cell>
          <cell r="H5278">
            <v>6</v>
          </cell>
          <cell r="I5278">
            <v>4</v>
          </cell>
          <cell r="J5278">
            <v>2</v>
          </cell>
          <cell r="K5278">
            <v>3</v>
          </cell>
        </row>
        <row r="5279">
          <cell r="A5279" t="str">
            <v>MC</v>
          </cell>
          <cell r="B5279" t="str">
            <v>B2C</v>
          </cell>
          <cell r="C5279" t="str">
            <v>SH</v>
          </cell>
          <cell r="D5279" t="str">
            <v>1460</v>
          </cell>
          <cell r="E5279" t="str">
            <v>SOL</v>
          </cell>
          <cell r="F5279">
            <v>2</v>
          </cell>
          <cell r="G5279" t="str">
            <v>CB39020000060T</v>
          </cell>
          <cell r="H5279">
            <v>6</v>
          </cell>
          <cell r="I5279">
            <v>0.75</v>
          </cell>
          <cell r="J5279">
            <v>3</v>
          </cell>
          <cell r="K5279">
            <v>4</v>
          </cell>
        </row>
        <row r="5280">
          <cell r="A5280" t="str">
            <v>MC</v>
          </cell>
          <cell r="B5280" t="str">
            <v>B2C</v>
          </cell>
          <cell r="C5280" t="str">
            <v>SH</v>
          </cell>
          <cell r="D5280" t="str">
            <v>1000</v>
          </cell>
          <cell r="E5280" t="str">
            <v>SOL</v>
          </cell>
          <cell r="F5280">
            <v>2</v>
          </cell>
          <cell r="G5280" t="str">
            <v>CB39020000060T</v>
          </cell>
          <cell r="H5280">
            <v>6</v>
          </cell>
          <cell r="I5280">
            <v>0.75</v>
          </cell>
          <cell r="J5280">
            <v>4</v>
          </cell>
          <cell r="K5280">
            <v>5</v>
          </cell>
        </row>
        <row r="5281">
          <cell r="A5281" t="str">
            <v>MC</v>
          </cell>
          <cell r="B5281" t="str">
            <v>CA307</v>
          </cell>
          <cell r="C5281" t="str">
            <v>HCLG</v>
          </cell>
          <cell r="D5281" t="str">
            <v>1100</v>
          </cell>
          <cell r="E5281" t="str">
            <v>90 ELL</v>
          </cell>
          <cell r="F5281">
            <v>2</v>
          </cell>
          <cell r="G5281" t="str">
            <v>CB300105000600</v>
          </cell>
          <cell r="H5281">
            <v>6</v>
          </cell>
          <cell r="I5281" t="str">
            <v>--</v>
          </cell>
          <cell r="J5281">
            <v>2</v>
          </cell>
          <cell r="K5281">
            <v>3</v>
          </cell>
        </row>
        <row r="5282">
          <cell r="A5282" t="str">
            <v>MC</v>
          </cell>
          <cell r="B5282" t="str">
            <v>CA304</v>
          </cell>
          <cell r="C5282" t="str">
            <v>CMC</v>
          </cell>
          <cell r="D5282" t="str">
            <v>HOLD</v>
          </cell>
          <cell r="E5282" t="str">
            <v>90 ELL</v>
          </cell>
          <cell r="F5282">
            <v>2</v>
          </cell>
          <cell r="G5282" t="str">
            <v>CB300105000600</v>
          </cell>
          <cell r="H5282">
            <v>6</v>
          </cell>
          <cell r="I5282" t="str">
            <v>--</v>
          </cell>
          <cell r="J5282">
            <v>1</v>
          </cell>
          <cell r="K5282">
            <v>2</v>
          </cell>
        </row>
        <row r="5283">
          <cell r="A5283" t="str">
            <v>MC</v>
          </cell>
          <cell r="B5283" t="str">
            <v>CA304</v>
          </cell>
          <cell r="C5283" t="str">
            <v>CMC</v>
          </cell>
          <cell r="D5283" t="str">
            <v>HOLD</v>
          </cell>
          <cell r="E5283" t="str">
            <v>90 ELL</v>
          </cell>
          <cell r="F5283">
            <v>2</v>
          </cell>
          <cell r="G5283" t="str">
            <v>CB300105000600</v>
          </cell>
          <cell r="H5283">
            <v>6</v>
          </cell>
          <cell r="I5283" t="str">
            <v>--</v>
          </cell>
          <cell r="J5283">
            <v>4</v>
          </cell>
          <cell r="K5283">
            <v>5</v>
          </cell>
        </row>
        <row r="5284">
          <cell r="A5284" t="str">
            <v>MC</v>
          </cell>
          <cell r="B5284" t="str">
            <v>CA304</v>
          </cell>
          <cell r="C5284" t="str">
            <v>CMC</v>
          </cell>
          <cell r="D5284" t="str">
            <v>HOLD</v>
          </cell>
          <cell r="E5284" t="str">
            <v>90 ELL</v>
          </cell>
          <cell r="F5284">
            <v>2</v>
          </cell>
          <cell r="G5284" t="str">
            <v>CB300105000600</v>
          </cell>
          <cell r="H5284">
            <v>6</v>
          </cell>
          <cell r="I5284" t="str">
            <v>--</v>
          </cell>
          <cell r="J5284">
            <v>1</v>
          </cell>
          <cell r="K5284">
            <v>2</v>
          </cell>
        </row>
        <row r="5285">
          <cell r="A5285" t="str">
            <v>MC</v>
          </cell>
          <cell r="B5285" t="str">
            <v>CA307</v>
          </cell>
          <cell r="C5285" t="str">
            <v>HCL</v>
          </cell>
          <cell r="D5285" t="str">
            <v>1100</v>
          </cell>
          <cell r="E5285" t="str">
            <v>90 ELL</v>
          </cell>
          <cell r="F5285">
            <v>2</v>
          </cell>
          <cell r="G5285" t="str">
            <v>CB300105000600</v>
          </cell>
          <cell r="H5285">
            <v>6</v>
          </cell>
          <cell r="I5285" t="str">
            <v>--</v>
          </cell>
          <cell r="J5285">
            <v>13</v>
          </cell>
          <cell r="K5285">
            <v>15</v>
          </cell>
        </row>
        <row r="5286">
          <cell r="A5286" t="str">
            <v>MC</v>
          </cell>
          <cell r="B5286" t="str">
            <v>CA304</v>
          </cell>
          <cell r="C5286" t="str">
            <v>MC</v>
          </cell>
          <cell r="D5286" t="str">
            <v>2410</v>
          </cell>
          <cell r="E5286" t="str">
            <v>90 ELL</v>
          </cell>
          <cell r="F5286">
            <v>2</v>
          </cell>
          <cell r="G5286" t="str">
            <v>CB300105000600</v>
          </cell>
          <cell r="H5286">
            <v>6</v>
          </cell>
          <cell r="I5286" t="str">
            <v>--</v>
          </cell>
          <cell r="J5286">
            <v>3</v>
          </cell>
          <cell r="K5286">
            <v>4</v>
          </cell>
        </row>
        <row r="5287">
          <cell r="A5287" t="str">
            <v>MC</v>
          </cell>
          <cell r="B5287" t="str">
            <v>CA304</v>
          </cell>
          <cell r="C5287" t="str">
            <v>MC</v>
          </cell>
          <cell r="D5287" t="str">
            <v>2412</v>
          </cell>
          <cell r="E5287" t="str">
            <v>90 ELL</v>
          </cell>
          <cell r="F5287">
            <v>2</v>
          </cell>
          <cell r="G5287" t="str">
            <v>CB300105000600</v>
          </cell>
          <cell r="H5287">
            <v>6</v>
          </cell>
          <cell r="I5287" t="str">
            <v>--</v>
          </cell>
          <cell r="J5287">
            <v>4</v>
          </cell>
          <cell r="K5287">
            <v>5</v>
          </cell>
        </row>
        <row r="5288">
          <cell r="A5288" t="str">
            <v>MC</v>
          </cell>
          <cell r="B5288" t="str">
            <v>BA305</v>
          </cell>
          <cell r="C5288" t="str">
            <v>MOH</v>
          </cell>
          <cell r="D5288" t="str">
            <v>HOLD</v>
          </cell>
          <cell r="E5288" t="str">
            <v>90 ELL</v>
          </cell>
          <cell r="F5288">
            <v>2</v>
          </cell>
          <cell r="G5288" t="str">
            <v>CB300105000600</v>
          </cell>
          <cell r="H5288">
            <v>6</v>
          </cell>
          <cell r="I5288" t="str">
            <v>--</v>
          </cell>
          <cell r="J5288">
            <v>3</v>
          </cell>
          <cell r="K5288">
            <v>4</v>
          </cell>
        </row>
        <row r="5289">
          <cell r="A5289" t="str">
            <v>MC</v>
          </cell>
          <cell r="B5289" t="str">
            <v>CA304</v>
          </cell>
          <cell r="C5289" t="str">
            <v>MC</v>
          </cell>
          <cell r="D5289" t="str">
            <v>2613</v>
          </cell>
          <cell r="E5289" t="str">
            <v>90 ELL</v>
          </cell>
          <cell r="F5289">
            <v>2</v>
          </cell>
          <cell r="G5289" t="str">
            <v>CB300105000600</v>
          </cell>
          <cell r="H5289">
            <v>6</v>
          </cell>
          <cell r="I5289" t="str">
            <v>--</v>
          </cell>
          <cell r="J5289">
            <v>9</v>
          </cell>
          <cell r="K5289">
            <v>11</v>
          </cell>
        </row>
        <row r="5290">
          <cell r="A5290" t="str">
            <v>MC</v>
          </cell>
          <cell r="B5290" t="str">
            <v>CA307</v>
          </cell>
          <cell r="C5290" t="str">
            <v>HCL</v>
          </cell>
          <cell r="D5290" t="str">
            <v>1100</v>
          </cell>
          <cell r="E5290" t="str">
            <v>SOL</v>
          </cell>
          <cell r="F5290">
            <v>2</v>
          </cell>
          <cell r="G5290" t="str">
            <v>CB39020000060T</v>
          </cell>
          <cell r="H5290">
            <v>6</v>
          </cell>
          <cell r="I5290">
            <v>0.75</v>
          </cell>
          <cell r="J5290">
            <v>4</v>
          </cell>
          <cell r="K5290">
            <v>5</v>
          </cell>
        </row>
        <row r="5291">
          <cell r="A5291" t="str">
            <v>MC</v>
          </cell>
          <cell r="B5291" t="str">
            <v>CA304</v>
          </cell>
          <cell r="C5291" t="str">
            <v>MC</v>
          </cell>
          <cell r="D5291" t="str">
            <v>2410</v>
          </cell>
          <cell r="E5291" t="str">
            <v>SOL</v>
          </cell>
          <cell r="F5291">
            <v>2</v>
          </cell>
          <cell r="G5291" t="str">
            <v>CB39020000060T</v>
          </cell>
          <cell r="H5291">
            <v>6</v>
          </cell>
          <cell r="I5291">
            <v>0.75</v>
          </cell>
          <cell r="J5291">
            <v>3</v>
          </cell>
          <cell r="K5291">
            <v>4</v>
          </cell>
        </row>
        <row r="5292">
          <cell r="A5292" t="str">
            <v>MC</v>
          </cell>
          <cell r="B5292" t="str">
            <v>CA304</v>
          </cell>
          <cell r="C5292" t="str">
            <v>MC</v>
          </cell>
          <cell r="D5292" t="str">
            <v>2412</v>
          </cell>
          <cell r="E5292" t="str">
            <v>SOL</v>
          </cell>
          <cell r="F5292">
            <v>2</v>
          </cell>
          <cell r="G5292" t="str">
            <v>CB39020000060T</v>
          </cell>
          <cell r="H5292">
            <v>6</v>
          </cell>
          <cell r="I5292">
            <v>0.75</v>
          </cell>
          <cell r="J5292">
            <v>1</v>
          </cell>
          <cell r="K5292">
            <v>2</v>
          </cell>
        </row>
        <row r="5293">
          <cell r="A5293" t="str">
            <v>MC</v>
          </cell>
          <cell r="B5293" t="str">
            <v>CA304</v>
          </cell>
          <cell r="C5293" t="str">
            <v>CMC</v>
          </cell>
          <cell r="D5293" t="str">
            <v>HOLD</v>
          </cell>
          <cell r="E5293" t="str">
            <v>TEE</v>
          </cell>
          <cell r="F5293">
            <v>2</v>
          </cell>
          <cell r="G5293" t="str">
            <v>CB300305000600</v>
          </cell>
          <cell r="H5293">
            <v>6</v>
          </cell>
          <cell r="I5293" t="str">
            <v>--</v>
          </cell>
          <cell r="J5293">
            <v>1</v>
          </cell>
          <cell r="K5293">
            <v>2</v>
          </cell>
        </row>
        <row r="5294">
          <cell r="A5294" t="str">
            <v>MC</v>
          </cell>
          <cell r="B5294" t="str">
            <v>CA307</v>
          </cell>
          <cell r="C5294" t="str">
            <v>HCL</v>
          </cell>
          <cell r="D5294" t="str">
            <v>1100</v>
          </cell>
          <cell r="E5294" t="str">
            <v>TEE</v>
          </cell>
          <cell r="F5294">
            <v>2</v>
          </cell>
          <cell r="G5294" t="str">
            <v>CB300305000600</v>
          </cell>
          <cell r="H5294">
            <v>6</v>
          </cell>
          <cell r="I5294" t="str">
            <v>--</v>
          </cell>
          <cell r="J5294">
            <v>1</v>
          </cell>
          <cell r="K5294">
            <v>2</v>
          </cell>
        </row>
        <row r="5295">
          <cell r="A5295" t="str">
            <v>MC</v>
          </cell>
          <cell r="B5295" t="str">
            <v>CA307</v>
          </cell>
          <cell r="C5295" t="str">
            <v>HCLG</v>
          </cell>
          <cell r="D5295" t="str">
            <v>1100</v>
          </cell>
          <cell r="E5295" t="str">
            <v>TOL</v>
          </cell>
          <cell r="F5295">
            <v>2</v>
          </cell>
          <cell r="G5295" t="str">
            <v>CB39030000060T</v>
          </cell>
          <cell r="H5295">
            <v>6</v>
          </cell>
          <cell r="I5295">
            <v>0.75</v>
          </cell>
          <cell r="J5295">
            <v>1</v>
          </cell>
          <cell r="K5295">
            <v>2</v>
          </cell>
        </row>
        <row r="5296">
          <cell r="A5296" t="str">
            <v>MC</v>
          </cell>
          <cell r="B5296" t="str">
            <v>CA304</v>
          </cell>
          <cell r="C5296" t="str">
            <v>MC</v>
          </cell>
          <cell r="D5296" t="str">
            <v>2502</v>
          </cell>
          <cell r="E5296" t="str">
            <v>45 ELL</v>
          </cell>
          <cell r="F5296">
            <v>2</v>
          </cell>
          <cell r="G5296" t="str">
            <v>CB300205000600</v>
          </cell>
          <cell r="H5296">
            <v>6</v>
          </cell>
          <cell r="I5296" t="str">
            <v>--</v>
          </cell>
          <cell r="J5296">
            <v>1</v>
          </cell>
          <cell r="K5296">
            <v>2</v>
          </cell>
        </row>
        <row r="5297">
          <cell r="A5297" t="str">
            <v>MC</v>
          </cell>
          <cell r="B5297" t="str">
            <v>CA304</v>
          </cell>
          <cell r="C5297" t="str">
            <v>MC</v>
          </cell>
          <cell r="D5297" t="str">
            <v>2504</v>
          </cell>
          <cell r="E5297" t="str">
            <v>90 ELL</v>
          </cell>
          <cell r="F5297">
            <v>2</v>
          </cell>
          <cell r="G5297" t="str">
            <v>CB300105000600</v>
          </cell>
          <cell r="H5297">
            <v>6</v>
          </cell>
          <cell r="I5297" t="str">
            <v>--</v>
          </cell>
          <cell r="J5297">
            <v>7</v>
          </cell>
          <cell r="K5297">
            <v>9</v>
          </cell>
        </row>
        <row r="5298">
          <cell r="A5298" t="str">
            <v>MC</v>
          </cell>
          <cell r="B5298" t="str">
            <v>BA305</v>
          </cell>
          <cell r="C5298" t="str">
            <v>MOH</v>
          </cell>
          <cell r="D5298" t="str">
            <v>2103</v>
          </cell>
          <cell r="E5298" t="str">
            <v>90 ELL</v>
          </cell>
          <cell r="F5298">
            <v>2</v>
          </cell>
          <cell r="G5298" t="str">
            <v>CB300105000600</v>
          </cell>
          <cell r="H5298">
            <v>6</v>
          </cell>
          <cell r="I5298" t="str">
            <v>--</v>
          </cell>
          <cell r="J5298">
            <v>5</v>
          </cell>
          <cell r="K5298">
            <v>6</v>
          </cell>
        </row>
        <row r="5299">
          <cell r="A5299" t="str">
            <v>MC</v>
          </cell>
          <cell r="B5299" t="str">
            <v>CA304</v>
          </cell>
          <cell r="C5299" t="str">
            <v>MC</v>
          </cell>
          <cell r="D5299" t="str">
            <v>2502</v>
          </cell>
          <cell r="E5299" t="str">
            <v>90 ELL</v>
          </cell>
          <cell r="F5299">
            <v>2</v>
          </cell>
          <cell r="G5299" t="str">
            <v>CB300105000600</v>
          </cell>
          <cell r="H5299">
            <v>6</v>
          </cell>
          <cell r="I5299" t="str">
            <v>--</v>
          </cell>
          <cell r="J5299">
            <v>4</v>
          </cell>
          <cell r="K5299">
            <v>5</v>
          </cell>
        </row>
        <row r="5300">
          <cell r="A5300" t="str">
            <v>MC</v>
          </cell>
          <cell r="B5300" t="str">
            <v>CA304</v>
          </cell>
          <cell r="C5300" t="str">
            <v>MC</v>
          </cell>
          <cell r="D5300" t="str">
            <v>2502</v>
          </cell>
          <cell r="E5300" t="str">
            <v>90 ELL</v>
          </cell>
          <cell r="F5300">
            <v>2</v>
          </cell>
          <cell r="G5300" t="str">
            <v>CB300105000600</v>
          </cell>
          <cell r="H5300">
            <v>6</v>
          </cell>
          <cell r="I5300" t="str">
            <v>--</v>
          </cell>
          <cell r="J5300">
            <v>6</v>
          </cell>
          <cell r="K5300">
            <v>7</v>
          </cell>
        </row>
        <row r="5301">
          <cell r="A5301" t="str">
            <v>MC</v>
          </cell>
          <cell r="B5301" t="str">
            <v>BA305</v>
          </cell>
          <cell r="C5301" t="str">
            <v>MOH</v>
          </cell>
          <cell r="D5301" t="str">
            <v>2103</v>
          </cell>
          <cell r="E5301" t="str">
            <v>E RED</v>
          </cell>
          <cell r="F5301">
            <v>2</v>
          </cell>
          <cell r="G5301" t="str">
            <v>CB300605050604</v>
          </cell>
          <cell r="H5301">
            <v>6</v>
          </cell>
          <cell r="I5301">
            <v>4</v>
          </cell>
          <cell r="J5301">
            <v>2</v>
          </cell>
          <cell r="K5301">
            <v>3</v>
          </cell>
        </row>
        <row r="5302">
          <cell r="A5302" t="str">
            <v>MC</v>
          </cell>
          <cell r="B5302" t="str">
            <v>CA304</v>
          </cell>
          <cell r="C5302" t="str">
            <v>MC</v>
          </cell>
          <cell r="D5302" t="str">
            <v>2502</v>
          </cell>
          <cell r="E5302" t="str">
            <v>SOL</v>
          </cell>
          <cell r="F5302">
            <v>2</v>
          </cell>
          <cell r="G5302" t="str">
            <v>CB39020000060T</v>
          </cell>
          <cell r="H5302">
            <v>6</v>
          </cell>
          <cell r="I5302">
            <v>0.75</v>
          </cell>
          <cell r="J5302">
            <v>2</v>
          </cell>
          <cell r="K5302">
            <v>3</v>
          </cell>
        </row>
        <row r="5303">
          <cell r="A5303" t="str">
            <v>MC</v>
          </cell>
          <cell r="B5303" t="str">
            <v>CA304</v>
          </cell>
          <cell r="C5303" t="str">
            <v>MC</v>
          </cell>
          <cell r="D5303" t="str">
            <v>2502</v>
          </cell>
          <cell r="E5303" t="str">
            <v>SOL</v>
          </cell>
          <cell r="F5303">
            <v>2</v>
          </cell>
          <cell r="G5303" t="str">
            <v>CB39020000060T</v>
          </cell>
          <cell r="H5303">
            <v>6</v>
          </cell>
          <cell r="I5303">
            <v>0.75</v>
          </cell>
          <cell r="J5303">
            <v>1</v>
          </cell>
          <cell r="K5303">
            <v>2</v>
          </cell>
        </row>
        <row r="5304">
          <cell r="A5304" t="str">
            <v>MC</v>
          </cell>
          <cell r="B5304" t="str">
            <v>CA304</v>
          </cell>
          <cell r="C5304" t="str">
            <v>MC</v>
          </cell>
          <cell r="D5304" t="str">
            <v>2504</v>
          </cell>
          <cell r="E5304" t="str">
            <v>SOL</v>
          </cell>
          <cell r="F5304">
            <v>2</v>
          </cell>
          <cell r="G5304" t="str">
            <v>CB3902000006IH</v>
          </cell>
          <cell r="H5304">
            <v>6</v>
          </cell>
          <cell r="I5304">
            <v>1.5</v>
          </cell>
          <cell r="J5304">
            <v>2</v>
          </cell>
          <cell r="K5304">
            <v>3</v>
          </cell>
        </row>
        <row r="5305">
          <cell r="A5305" t="str">
            <v>MC</v>
          </cell>
          <cell r="B5305" t="str">
            <v>CA304</v>
          </cell>
          <cell r="C5305" t="str">
            <v>MC</v>
          </cell>
          <cell r="D5305" t="str">
            <v>2502</v>
          </cell>
          <cell r="E5305" t="str">
            <v>SOL</v>
          </cell>
          <cell r="F5305">
            <v>2</v>
          </cell>
          <cell r="G5305" t="str">
            <v>CB39020000060T</v>
          </cell>
          <cell r="H5305">
            <v>6</v>
          </cell>
          <cell r="I5305">
            <v>0.75</v>
          </cell>
          <cell r="J5305">
            <v>2</v>
          </cell>
          <cell r="K5305">
            <v>3</v>
          </cell>
        </row>
        <row r="5306">
          <cell r="A5306" t="str">
            <v>MC</v>
          </cell>
          <cell r="B5306" t="str">
            <v>CA304</v>
          </cell>
          <cell r="C5306" t="str">
            <v>MC</v>
          </cell>
          <cell r="D5306" t="str">
            <v>2504</v>
          </cell>
          <cell r="E5306" t="str">
            <v>SOL</v>
          </cell>
          <cell r="F5306">
            <v>2</v>
          </cell>
          <cell r="G5306" t="str">
            <v>CB39020000060T</v>
          </cell>
          <cell r="H5306">
            <v>6</v>
          </cell>
          <cell r="I5306">
            <v>0.75</v>
          </cell>
          <cell r="J5306">
            <v>3</v>
          </cell>
          <cell r="K5306">
            <v>4</v>
          </cell>
        </row>
        <row r="5307">
          <cell r="A5307" t="str">
            <v>MC</v>
          </cell>
          <cell r="B5307" t="str">
            <v>CA304</v>
          </cell>
          <cell r="C5307" t="str">
            <v>MC</v>
          </cell>
          <cell r="D5307" t="str">
            <v>2502</v>
          </cell>
          <cell r="E5307" t="str">
            <v>TEE</v>
          </cell>
          <cell r="F5307">
            <v>2</v>
          </cell>
          <cell r="G5307" t="str">
            <v>CB300305000600</v>
          </cell>
          <cell r="H5307">
            <v>6</v>
          </cell>
          <cell r="I5307" t="str">
            <v>--</v>
          </cell>
          <cell r="J5307">
            <v>1</v>
          </cell>
          <cell r="K5307">
            <v>2</v>
          </cell>
        </row>
        <row r="5308">
          <cell r="A5308" t="str">
            <v>MC</v>
          </cell>
          <cell r="B5308" t="str">
            <v>BA305</v>
          </cell>
          <cell r="C5308" t="str">
            <v>MOH</v>
          </cell>
          <cell r="D5308" t="str">
            <v>2103</v>
          </cell>
          <cell r="E5308" t="str">
            <v>TEE</v>
          </cell>
          <cell r="F5308">
            <v>2</v>
          </cell>
          <cell r="G5308" t="str">
            <v>CB300305000600</v>
          </cell>
          <cell r="H5308">
            <v>6</v>
          </cell>
          <cell r="I5308" t="str">
            <v>--</v>
          </cell>
          <cell r="J5308">
            <v>1</v>
          </cell>
          <cell r="K5308">
            <v>2</v>
          </cell>
        </row>
        <row r="5309">
          <cell r="A5309" t="str">
            <v>MC</v>
          </cell>
          <cell r="B5309" t="str">
            <v>B2C</v>
          </cell>
          <cell r="C5309" t="str">
            <v>SH</v>
          </cell>
          <cell r="D5309" t="str">
            <v>1360</v>
          </cell>
          <cell r="E5309" t="str">
            <v>90 ELL</v>
          </cell>
          <cell r="F5309">
            <v>2</v>
          </cell>
          <cell r="G5309" t="str">
            <v>CB300104000800</v>
          </cell>
          <cell r="H5309">
            <v>8</v>
          </cell>
          <cell r="I5309" t="str">
            <v>--</v>
          </cell>
          <cell r="J5309">
            <v>7</v>
          </cell>
          <cell r="K5309">
            <v>9</v>
          </cell>
        </row>
        <row r="5310">
          <cell r="A5310" t="str">
            <v>MC</v>
          </cell>
          <cell r="B5310" t="str">
            <v>B2C</v>
          </cell>
          <cell r="C5310" t="str">
            <v>SH</v>
          </cell>
          <cell r="D5310" t="str">
            <v>1360</v>
          </cell>
          <cell r="E5310" t="str">
            <v>E RED</v>
          </cell>
          <cell r="F5310">
            <v>2</v>
          </cell>
          <cell r="G5310" t="str">
            <v>CB300604040806</v>
          </cell>
          <cell r="H5310">
            <v>8</v>
          </cell>
          <cell r="I5310">
            <v>6</v>
          </cell>
          <cell r="J5310">
            <v>2</v>
          </cell>
          <cell r="K5310">
            <v>3</v>
          </cell>
        </row>
        <row r="5311">
          <cell r="A5311" t="str">
            <v>MC</v>
          </cell>
          <cell r="B5311" t="str">
            <v>B2C</v>
          </cell>
          <cell r="C5311" t="str">
            <v>SH</v>
          </cell>
          <cell r="D5311" t="str">
            <v>1360</v>
          </cell>
          <cell r="E5311" t="str">
            <v>SOL</v>
          </cell>
          <cell r="F5311">
            <v>2</v>
          </cell>
          <cell r="G5311" t="str">
            <v>CB39020000080T</v>
          </cell>
          <cell r="H5311">
            <v>8</v>
          </cell>
          <cell r="I5311">
            <v>0.75</v>
          </cell>
          <cell r="J5311">
            <v>2</v>
          </cell>
          <cell r="K5311">
            <v>3</v>
          </cell>
        </row>
        <row r="5312">
          <cell r="A5312" t="str">
            <v>MC</v>
          </cell>
          <cell r="B5312" t="str">
            <v>CA304</v>
          </cell>
          <cell r="C5312" t="str">
            <v>MC</v>
          </cell>
          <cell r="D5312" t="str">
            <v>2501</v>
          </cell>
          <cell r="E5312" t="str">
            <v>90 ELL</v>
          </cell>
          <cell r="F5312">
            <v>2</v>
          </cell>
          <cell r="G5312" t="str">
            <v>CB300105000800</v>
          </cell>
          <cell r="H5312">
            <v>8</v>
          </cell>
          <cell r="I5312" t="str">
            <v>--</v>
          </cell>
          <cell r="J5312">
            <v>3</v>
          </cell>
          <cell r="K5312">
            <v>4</v>
          </cell>
        </row>
        <row r="5313">
          <cell r="A5313" t="str">
            <v>MC</v>
          </cell>
          <cell r="B5313" t="str">
            <v>CA304</v>
          </cell>
          <cell r="C5313" t="str">
            <v>MC</v>
          </cell>
          <cell r="D5313" t="str">
            <v>2501</v>
          </cell>
          <cell r="E5313" t="str">
            <v>90 ELL</v>
          </cell>
          <cell r="F5313">
            <v>2</v>
          </cell>
          <cell r="G5313" t="str">
            <v>CB300105000800</v>
          </cell>
          <cell r="H5313">
            <v>8</v>
          </cell>
          <cell r="I5313" t="str">
            <v>--</v>
          </cell>
          <cell r="J5313">
            <v>3</v>
          </cell>
          <cell r="K5313">
            <v>4</v>
          </cell>
        </row>
        <row r="5314">
          <cell r="A5314" t="str">
            <v>MC</v>
          </cell>
          <cell r="B5314" t="str">
            <v>CA304</v>
          </cell>
          <cell r="C5314" t="str">
            <v>MC</v>
          </cell>
          <cell r="D5314" t="str">
            <v>2501</v>
          </cell>
          <cell r="E5314" t="str">
            <v>90 ELL</v>
          </cell>
          <cell r="F5314">
            <v>2</v>
          </cell>
          <cell r="G5314" t="str">
            <v>CB300105000800</v>
          </cell>
          <cell r="H5314">
            <v>8</v>
          </cell>
          <cell r="I5314" t="str">
            <v>--</v>
          </cell>
          <cell r="J5314">
            <v>4</v>
          </cell>
          <cell r="K5314">
            <v>5</v>
          </cell>
        </row>
        <row r="5315">
          <cell r="A5315" t="str">
            <v>MC</v>
          </cell>
          <cell r="B5315" t="str">
            <v>CA304</v>
          </cell>
          <cell r="C5315" t="str">
            <v>MC</v>
          </cell>
          <cell r="D5315" t="str">
            <v>2501</v>
          </cell>
          <cell r="E5315" t="str">
            <v>E RED</v>
          </cell>
          <cell r="F5315">
            <v>2</v>
          </cell>
          <cell r="G5315" t="str">
            <v>CB300605050806</v>
          </cell>
          <cell r="H5315">
            <v>8</v>
          </cell>
          <cell r="I5315">
            <v>6</v>
          </cell>
          <cell r="J5315">
            <v>1</v>
          </cell>
          <cell r="K5315">
            <v>2</v>
          </cell>
        </row>
        <row r="5316">
          <cell r="A5316" t="str">
            <v>MC</v>
          </cell>
          <cell r="B5316" t="str">
            <v>CA304</v>
          </cell>
          <cell r="C5316" t="str">
            <v>MC</v>
          </cell>
          <cell r="D5316" t="str">
            <v>2501</v>
          </cell>
          <cell r="E5316" t="str">
            <v>SOL</v>
          </cell>
          <cell r="F5316">
            <v>2</v>
          </cell>
          <cell r="G5316" t="str">
            <v>CB39020000080T</v>
          </cell>
          <cell r="H5316">
            <v>8</v>
          </cell>
          <cell r="I5316">
            <v>0.75</v>
          </cell>
          <cell r="J5316">
            <v>1</v>
          </cell>
          <cell r="K5316">
            <v>2</v>
          </cell>
        </row>
        <row r="5317">
          <cell r="A5317" t="str">
            <v>MC</v>
          </cell>
          <cell r="B5317" t="str">
            <v>CA304</v>
          </cell>
          <cell r="C5317" t="str">
            <v>MC</v>
          </cell>
          <cell r="D5317" t="str">
            <v>2501</v>
          </cell>
          <cell r="E5317" t="str">
            <v>SOL</v>
          </cell>
          <cell r="F5317">
            <v>2</v>
          </cell>
          <cell r="G5317" t="str">
            <v>CB39020000080T</v>
          </cell>
          <cell r="H5317">
            <v>8</v>
          </cell>
          <cell r="I5317">
            <v>0.75</v>
          </cell>
          <cell r="J5317">
            <v>3</v>
          </cell>
          <cell r="K5317">
            <v>4</v>
          </cell>
        </row>
        <row r="5318">
          <cell r="A5318" t="str">
            <v>MC</v>
          </cell>
          <cell r="B5318" t="str">
            <v>CA304</v>
          </cell>
          <cell r="C5318" t="str">
            <v>MC</v>
          </cell>
          <cell r="D5318" t="str">
            <v>2501</v>
          </cell>
          <cell r="E5318" t="str">
            <v>SOL</v>
          </cell>
          <cell r="F5318">
            <v>2</v>
          </cell>
          <cell r="G5318" t="str">
            <v>CB39020000080T</v>
          </cell>
          <cell r="H5318">
            <v>8</v>
          </cell>
          <cell r="I5318">
            <v>0.75</v>
          </cell>
          <cell r="J5318">
            <v>3</v>
          </cell>
          <cell r="K5318">
            <v>4</v>
          </cell>
        </row>
        <row r="5319">
          <cell r="A5319" t="str">
            <v>MC</v>
          </cell>
          <cell r="B5319" t="str">
            <v>CA304</v>
          </cell>
          <cell r="C5319" t="str">
            <v>MC</v>
          </cell>
          <cell r="D5319" t="str">
            <v>2501</v>
          </cell>
          <cell r="E5319" t="str">
            <v>TEE</v>
          </cell>
          <cell r="F5319">
            <v>2</v>
          </cell>
          <cell r="G5319" t="str">
            <v>CB300305000800</v>
          </cell>
          <cell r="H5319">
            <v>8</v>
          </cell>
          <cell r="I5319" t="str">
            <v>--</v>
          </cell>
          <cell r="J5319">
            <v>1</v>
          </cell>
          <cell r="K5319">
            <v>2</v>
          </cell>
        </row>
        <row r="5320">
          <cell r="A5320" t="str">
            <v>MC</v>
          </cell>
          <cell r="B5320" t="str">
            <v>B2C</v>
          </cell>
          <cell r="C5320" t="str">
            <v>SH</v>
          </cell>
          <cell r="D5320" t="str">
            <v>1000</v>
          </cell>
          <cell r="E5320" t="str">
            <v>90 ELL</v>
          </cell>
          <cell r="F5320">
            <v>2</v>
          </cell>
          <cell r="G5320" t="str">
            <v>CB300104001000</v>
          </cell>
          <cell r="H5320">
            <v>10</v>
          </cell>
          <cell r="I5320" t="str">
            <v>--</v>
          </cell>
          <cell r="J5320">
            <v>6</v>
          </cell>
          <cell r="K5320">
            <v>7</v>
          </cell>
        </row>
        <row r="5321">
          <cell r="A5321" t="str">
            <v>MC</v>
          </cell>
          <cell r="B5321" t="str">
            <v>B2C</v>
          </cell>
          <cell r="C5321" t="str">
            <v>SH</v>
          </cell>
          <cell r="D5321" t="str">
            <v>1000</v>
          </cell>
          <cell r="E5321" t="str">
            <v>SOL</v>
          </cell>
          <cell r="F5321">
            <v>2</v>
          </cell>
          <cell r="G5321" t="str">
            <v>CB3902000010IH</v>
          </cell>
          <cell r="H5321">
            <v>10</v>
          </cell>
          <cell r="I5321">
            <v>1.5</v>
          </cell>
          <cell r="J5321">
            <v>1</v>
          </cell>
          <cell r="K5321">
            <v>2</v>
          </cell>
        </row>
        <row r="5322">
          <cell r="A5322" t="str">
            <v>MC</v>
          </cell>
          <cell r="B5322" t="str">
            <v>B2C</v>
          </cell>
          <cell r="C5322" t="str">
            <v>SH</v>
          </cell>
          <cell r="D5322" t="str">
            <v>1000</v>
          </cell>
          <cell r="E5322" t="str">
            <v>SOL</v>
          </cell>
          <cell r="F5322">
            <v>2</v>
          </cell>
          <cell r="G5322" t="str">
            <v>CB39020000100T</v>
          </cell>
          <cell r="H5322">
            <v>10</v>
          </cell>
          <cell r="I5322">
            <v>0.75</v>
          </cell>
          <cell r="J5322">
            <v>1</v>
          </cell>
          <cell r="K5322">
            <v>2</v>
          </cell>
        </row>
        <row r="5323">
          <cell r="A5323" t="str">
            <v>MC</v>
          </cell>
          <cell r="B5323" t="str">
            <v>CA304</v>
          </cell>
          <cell r="C5323" t="str">
            <v>VT</v>
          </cell>
          <cell r="D5323" t="str">
            <v>HOLD</v>
          </cell>
          <cell r="E5323" t="str">
            <v>90 ELL</v>
          </cell>
          <cell r="F5323">
            <v>2</v>
          </cell>
          <cell r="G5323" t="str">
            <v>CB300105001000</v>
          </cell>
          <cell r="H5323">
            <v>10</v>
          </cell>
          <cell r="I5323" t="str">
            <v>--</v>
          </cell>
          <cell r="J5323">
            <v>3</v>
          </cell>
          <cell r="K5323">
            <v>4</v>
          </cell>
        </row>
        <row r="5324">
          <cell r="A5324" t="str">
            <v>MC</v>
          </cell>
          <cell r="B5324" t="str">
            <v>CA304</v>
          </cell>
          <cell r="C5324" t="str">
            <v>VT</v>
          </cell>
          <cell r="D5324" t="str">
            <v>HOLD</v>
          </cell>
          <cell r="E5324" t="str">
            <v>SOL</v>
          </cell>
          <cell r="F5324">
            <v>2</v>
          </cell>
          <cell r="G5324" t="str">
            <v>CB3902000010IH</v>
          </cell>
          <cell r="H5324">
            <v>10</v>
          </cell>
          <cell r="I5324">
            <v>1.5</v>
          </cell>
          <cell r="J5324">
            <v>1</v>
          </cell>
          <cell r="K5324">
            <v>2</v>
          </cell>
        </row>
        <row r="5325">
          <cell r="A5325" t="str">
            <v>MC</v>
          </cell>
          <cell r="B5325" t="str">
            <v>BA312</v>
          </cell>
          <cell r="C5325" t="str">
            <v>SA98</v>
          </cell>
          <cell r="D5325" t="str">
            <v>2411</v>
          </cell>
          <cell r="E5325" t="str">
            <v>WN FLG</v>
          </cell>
          <cell r="F5325">
            <v>3</v>
          </cell>
          <cell r="G5325" t="str">
            <v>CB200208000H00</v>
          </cell>
          <cell r="H5325">
            <v>0.5</v>
          </cell>
          <cell r="I5325" t="str">
            <v>--</v>
          </cell>
          <cell r="J5325">
            <v>2</v>
          </cell>
          <cell r="K5325">
            <v>2</v>
          </cell>
        </row>
        <row r="5326">
          <cell r="A5326" t="str">
            <v>MC</v>
          </cell>
          <cell r="B5326" t="str">
            <v>CA304</v>
          </cell>
          <cell r="C5326" t="str">
            <v>MC</v>
          </cell>
          <cell r="D5326" t="str">
            <v>HOLD</v>
          </cell>
          <cell r="E5326" t="str">
            <v>SW FLG</v>
          </cell>
          <cell r="F5326">
            <v>3</v>
          </cell>
          <cell r="G5326" t="str">
            <v>CB241208000H00</v>
          </cell>
          <cell r="H5326">
            <v>0.5</v>
          </cell>
          <cell r="I5326" t="str">
            <v>--</v>
          </cell>
          <cell r="J5326">
            <v>1</v>
          </cell>
          <cell r="K5326">
            <v>1</v>
          </cell>
        </row>
        <row r="5327">
          <cell r="A5327" t="str">
            <v>MC</v>
          </cell>
          <cell r="B5327" t="str">
            <v>BA305</v>
          </cell>
          <cell r="C5327" t="str">
            <v>MOH</v>
          </cell>
          <cell r="D5327" t="str">
            <v>2112</v>
          </cell>
          <cell r="E5327" t="str">
            <v>SW FLG</v>
          </cell>
          <cell r="F5327">
            <v>3</v>
          </cell>
          <cell r="G5327" t="str">
            <v>CB240208000T00</v>
          </cell>
          <cell r="H5327">
            <v>0.75</v>
          </cell>
          <cell r="I5327" t="str">
            <v>--</v>
          </cell>
          <cell r="J5327">
            <v>4</v>
          </cell>
          <cell r="K5327">
            <v>4</v>
          </cell>
        </row>
        <row r="5328">
          <cell r="A5328" t="str">
            <v>MC</v>
          </cell>
          <cell r="B5328" t="str">
            <v>BA302</v>
          </cell>
          <cell r="C5328" t="str">
            <v>SD20</v>
          </cell>
          <cell r="D5328" t="str">
            <v>2301</v>
          </cell>
          <cell r="E5328" t="str">
            <v>SW FLG</v>
          </cell>
          <cell r="F5328">
            <v>3</v>
          </cell>
          <cell r="G5328" t="str">
            <v>CB240208000T00</v>
          </cell>
          <cell r="H5328">
            <v>0.75</v>
          </cell>
          <cell r="I5328" t="str">
            <v>--</v>
          </cell>
          <cell r="J5328">
            <v>2</v>
          </cell>
          <cell r="K5328">
            <v>2</v>
          </cell>
        </row>
        <row r="5329">
          <cell r="A5329" t="str">
            <v>MC</v>
          </cell>
          <cell r="B5329" t="str">
            <v>CA304</v>
          </cell>
          <cell r="C5329" t="str">
            <v>TRIM</v>
          </cell>
          <cell r="D5329" t="str">
            <v>F-1251</v>
          </cell>
          <cell r="E5329" t="str">
            <v>SW FLG</v>
          </cell>
          <cell r="F5329">
            <v>3</v>
          </cell>
          <cell r="G5329" t="str">
            <v>CB241208000T00</v>
          </cell>
          <cell r="H5329">
            <v>0.75</v>
          </cell>
          <cell r="I5329" t="str">
            <v>--</v>
          </cell>
          <cell r="J5329">
            <v>2</v>
          </cell>
          <cell r="K5329">
            <v>2</v>
          </cell>
        </row>
        <row r="5330">
          <cell r="A5330" t="str">
            <v>MC</v>
          </cell>
          <cell r="B5330" t="str">
            <v>CA304</v>
          </cell>
          <cell r="C5330" t="str">
            <v>TRIM</v>
          </cell>
          <cell r="D5330" t="str">
            <v>E-1260</v>
          </cell>
          <cell r="E5330" t="str">
            <v>SW FLG</v>
          </cell>
          <cell r="F5330">
            <v>3</v>
          </cell>
          <cell r="G5330" t="str">
            <v>CB241208000T00</v>
          </cell>
          <cell r="H5330">
            <v>0.75</v>
          </cell>
          <cell r="I5330" t="str">
            <v>--</v>
          </cell>
          <cell r="J5330">
            <v>1</v>
          </cell>
          <cell r="K5330">
            <v>1</v>
          </cell>
        </row>
        <row r="5331">
          <cell r="A5331" t="str">
            <v>MC</v>
          </cell>
          <cell r="B5331" t="str">
            <v>CA304</v>
          </cell>
          <cell r="C5331" t="str">
            <v>TRIM</v>
          </cell>
          <cell r="D5331" t="str">
            <v>V-1260A/B</v>
          </cell>
          <cell r="E5331" t="str">
            <v>SW FLG</v>
          </cell>
          <cell r="F5331">
            <v>3</v>
          </cell>
          <cell r="G5331" t="str">
            <v>CB241208000T00</v>
          </cell>
          <cell r="H5331">
            <v>0.75</v>
          </cell>
          <cell r="I5331" t="str">
            <v>--</v>
          </cell>
          <cell r="J5331">
            <v>1</v>
          </cell>
          <cell r="K5331">
            <v>1</v>
          </cell>
        </row>
        <row r="5332">
          <cell r="A5332" t="str">
            <v>MC</v>
          </cell>
          <cell r="B5332" t="str">
            <v>BA305</v>
          </cell>
          <cell r="C5332" t="str">
            <v>VNC</v>
          </cell>
          <cell r="D5332" t="str">
            <v>2016</v>
          </cell>
          <cell r="E5332" t="str">
            <v>SW FLG</v>
          </cell>
          <cell r="F5332">
            <v>3</v>
          </cell>
          <cell r="G5332" t="str">
            <v>CB240208000T00</v>
          </cell>
          <cell r="H5332">
            <v>0.75</v>
          </cell>
          <cell r="I5332" t="str">
            <v>--</v>
          </cell>
          <cell r="J5332">
            <v>1</v>
          </cell>
          <cell r="K5332">
            <v>1</v>
          </cell>
        </row>
        <row r="5333">
          <cell r="A5333" t="str">
            <v>MC</v>
          </cell>
          <cell r="B5333" t="str">
            <v>BA305</v>
          </cell>
          <cell r="C5333" t="str">
            <v>MOH</v>
          </cell>
          <cell r="D5333" t="str">
            <v>2101</v>
          </cell>
          <cell r="E5333" t="str">
            <v>SW FLG</v>
          </cell>
          <cell r="F5333">
            <v>3</v>
          </cell>
          <cell r="G5333" t="str">
            <v>CB240208000T00</v>
          </cell>
          <cell r="H5333">
            <v>0.75</v>
          </cell>
          <cell r="I5333" t="str">
            <v>--</v>
          </cell>
          <cell r="J5333">
            <v>2</v>
          </cell>
          <cell r="K5333">
            <v>2</v>
          </cell>
        </row>
        <row r="5334">
          <cell r="A5334" t="str">
            <v>MC</v>
          </cell>
          <cell r="B5334" t="str">
            <v>CA304</v>
          </cell>
          <cell r="C5334" t="str">
            <v>TRIM</v>
          </cell>
          <cell r="D5334" t="str">
            <v>E-1261</v>
          </cell>
          <cell r="E5334" t="str">
            <v>SW FLG</v>
          </cell>
          <cell r="F5334">
            <v>3</v>
          </cell>
          <cell r="G5334" t="str">
            <v>CB241208000T00</v>
          </cell>
          <cell r="H5334">
            <v>0.75</v>
          </cell>
          <cell r="I5334" t="str">
            <v>--</v>
          </cell>
          <cell r="J5334">
            <v>2</v>
          </cell>
          <cell r="K5334">
            <v>2</v>
          </cell>
        </row>
        <row r="5335">
          <cell r="A5335" t="str">
            <v>MC</v>
          </cell>
          <cell r="B5335" t="str">
            <v>BA312</v>
          </cell>
          <cell r="C5335" t="str">
            <v>SA98</v>
          </cell>
          <cell r="D5335" t="str">
            <v>2411</v>
          </cell>
          <cell r="E5335" t="str">
            <v>WN FLG</v>
          </cell>
          <cell r="F5335">
            <v>3</v>
          </cell>
          <cell r="G5335" t="str">
            <v>CB200208000T00</v>
          </cell>
          <cell r="H5335">
            <v>0.75</v>
          </cell>
          <cell r="I5335" t="str">
            <v>--</v>
          </cell>
          <cell r="J5335">
            <v>4</v>
          </cell>
          <cell r="K5335">
            <v>4</v>
          </cell>
        </row>
        <row r="5336">
          <cell r="A5336" t="str">
            <v>MC</v>
          </cell>
          <cell r="B5336" t="str">
            <v>CA304</v>
          </cell>
          <cell r="C5336" t="str">
            <v>MC</v>
          </cell>
          <cell r="D5336" t="str">
            <v>2604</v>
          </cell>
          <cell r="E5336" t="str">
            <v>SW FLG</v>
          </cell>
          <cell r="F5336">
            <v>3</v>
          </cell>
          <cell r="G5336" t="str">
            <v>CB241208000T00</v>
          </cell>
          <cell r="H5336">
            <v>0.75</v>
          </cell>
          <cell r="I5336" t="str">
            <v>--</v>
          </cell>
          <cell r="J5336">
            <v>5</v>
          </cell>
          <cell r="K5336">
            <v>5</v>
          </cell>
        </row>
        <row r="5337">
          <cell r="A5337" t="str">
            <v>MC</v>
          </cell>
          <cell r="B5337" t="str">
            <v>CA304</v>
          </cell>
          <cell r="C5337" t="str">
            <v>MC</v>
          </cell>
          <cell r="D5337" t="str">
            <v>HOLD</v>
          </cell>
          <cell r="E5337" t="str">
            <v>SW FLG</v>
          </cell>
          <cell r="F5337">
            <v>3</v>
          </cell>
          <cell r="G5337" t="str">
            <v>CB241208000T00</v>
          </cell>
          <cell r="H5337">
            <v>0.75</v>
          </cell>
          <cell r="I5337" t="str">
            <v>--</v>
          </cell>
          <cell r="J5337">
            <v>3</v>
          </cell>
          <cell r="K5337">
            <v>3</v>
          </cell>
        </row>
        <row r="5338">
          <cell r="A5338" t="str">
            <v>MC</v>
          </cell>
          <cell r="B5338" t="str">
            <v>CA304</v>
          </cell>
          <cell r="C5338" t="str">
            <v>MC</v>
          </cell>
          <cell r="D5338" t="str">
            <v>2410</v>
          </cell>
          <cell r="E5338" t="str">
            <v>LWN FLG</v>
          </cell>
          <cell r="F5338">
            <v>3</v>
          </cell>
          <cell r="G5338" t="str">
            <v>CB2912000001WL</v>
          </cell>
          <cell r="H5338">
            <v>1</v>
          </cell>
          <cell r="I5338" t="str">
            <v>150mm</v>
          </cell>
          <cell r="J5338">
            <v>1</v>
          </cell>
          <cell r="K5338">
            <v>1</v>
          </cell>
        </row>
        <row r="5339">
          <cell r="A5339" t="str">
            <v>MC</v>
          </cell>
          <cell r="B5339" t="str">
            <v>CA304</v>
          </cell>
          <cell r="C5339" t="str">
            <v>MC</v>
          </cell>
          <cell r="D5339" t="str">
            <v>2412</v>
          </cell>
          <cell r="E5339" t="str">
            <v>LWN FLG</v>
          </cell>
          <cell r="F5339">
            <v>3</v>
          </cell>
          <cell r="G5339" t="str">
            <v>CB2912000001WL</v>
          </cell>
          <cell r="H5339">
            <v>1</v>
          </cell>
          <cell r="I5339" t="str">
            <v>150mm</v>
          </cell>
          <cell r="J5339">
            <v>1</v>
          </cell>
          <cell r="K5339">
            <v>1</v>
          </cell>
        </row>
        <row r="5340">
          <cell r="A5340" t="str">
            <v>MC</v>
          </cell>
          <cell r="B5340" t="str">
            <v>CA304</v>
          </cell>
          <cell r="C5340" t="str">
            <v>MC</v>
          </cell>
          <cell r="D5340" t="str">
            <v>2505</v>
          </cell>
          <cell r="E5340" t="str">
            <v>LWN FLG</v>
          </cell>
          <cell r="F5340">
            <v>3</v>
          </cell>
          <cell r="G5340" t="str">
            <v>CB2912000001WL</v>
          </cell>
          <cell r="H5340">
            <v>1</v>
          </cell>
          <cell r="I5340" t="str">
            <v>150mm</v>
          </cell>
          <cell r="J5340">
            <v>1</v>
          </cell>
          <cell r="K5340">
            <v>1</v>
          </cell>
        </row>
        <row r="5341">
          <cell r="A5341" t="str">
            <v>MC</v>
          </cell>
          <cell r="B5341" t="str">
            <v>CA304</v>
          </cell>
          <cell r="C5341" t="str">
            <v>MC</v>
          </cell>
          <cell r="D5341" t="str">
            <v>2506</v>
          </cell>
          <cell r="E5341" t="str">
            <v>LWN FLG</v>
          </cell>
          <cell r="F5341">
            <v>3</v>
          </cell>
          <cell r="G5341" t="str">
            <v>CB2912000001WL</v>
          </cell>
          <cell r="H5341">
            <v>1</v>
          </cell>
          <cell r="I5341" t="str">
            <v>150mm</v>
          </cell>
          <cell r="J5341">
            <v>1</v>
          </cell>
          <cell r="K5341">
            <v>1</v>
          </cell>
        </row>
        <row r="5342">
          <cell r="A5342" t="str">
            <v>MC</v>
          </cell>
          <cell r="B5342" t="str">
            <v>CA304</v>
          </cell>
          <cell r="C5342" t="str">
            <v>MC</v>
          </cell>
          <cell r="D5342" t="str">
            <v>2609</v>
          </cell>
          <cell r="E5342" t="str">
            <v>LWN FLG</v>
          </cell>
          <cell r="F5342">
            <v>3</v>
          </cell>
          <cell r="G5342" t="str">
            <v>CB2912000001WL</v>
          </cell>
          <cell r="H5342">
            <v>1</v>
          </cell>
          <cell r="I5342" t="str">
            <v>150mm</v>
          </cell>
          <cell r="J5342">
            <v>1</v>
          </cell>
          <cell r="K5342">
            <v>1</v>
          </cell>
        </row>
        <row r="5343">
          <cell r="A5343" t="str">
            <v>MC</v>
          </cell>
          <cell r="B5343" t="str">
            <v>CA304</v>
          </cell>
          <cell r="C5343" t="str">
            <v>MC</v>
          </cell>
          <cell r="D5343" t="str">
            <v>2501</v>
          </cell>
          <cell r="E5343" t="str">
            <v>LWN FLG</v>
          </cell>
          <cell r="F5343">
            <v>3</v>
          </cell>
          <cell r="G5343" t="str">
            <v>CB2912000001WL</v>
          </cell>
          <cell r="H5343">
            <v>1</v>
          </cell>
          <cell r="I5343" t="str">
            <v>150mm</v>
          </cell>
          <cell r="J5343">
            <v>1</v>
          </cell>
          <cell r="K5343">
            <v>1</v>
          </cell>
        </row>
        <row r="5344">
          <cell r="A5344" t="str">
            <v>MC</v>
          </cell>
          <cell r="B5344" t="str">
            <v>CA304</v>
          </cell>
          <cell r="C5344" t="str">
            <v>MC</v>
          </cell>
          <cell r="D5344" t="str">
            <v>2605</v>
          </cell>
          <cell r="E5344" t="str">
            <v>LWN FLG</v>
          </cell>
          <cell r="F5344">
            <v>3</v>
          </cell>
          <cell r="G5344" t="str">
            <v>CB2912000001WL</v>
          </cell>
          <cell r="H5344">
            <v>1</v>
          </cell>
          <cell r="I5344" t="str">
            <v>150mm</v>
          </cell>
          <cell r="J5344">
            <v>1</v>
          </cell>
          <cell r="K5344">
            <v>1</v>
          </cell>
        </row>
        <row r="5345">
          <cell r="A5345" t="str">
            <v>MC</v>
          </cell>
          <cell r="B5345" t="str">
            <v>CA304</v>
          </cell>
          <cell r="C5345" t="str">
            <v>MC</v>
          </cell>
          <cell r="D5345" t="str">
            <v>2608</v>
          </cell>
          <cell r="E5345" t="str">
            <v>SW FLG</v>
          </cell>
          <cell r="F5345">
            <v>3</v>
          </cell>
          <cell r="G5345" t="str">
            <v>CB241208000100</v>
          </cell>
          <cell r="H5345">
            <v>1</v>
          </cell>
          <cell r="I5345" t="str">
            <v>--</v>
          </cell>
          <cell r="J5345">
            <v>2</v>
          </cell>
          <cell r="K5345">
            <v>2</v>
          </cell>
        </row>
        <row r="5346">
          <cell r="A5346" t="str">
            <v>MC</v>
          </cell>
          <cell r="B5346" t="str">
            <v>BA305</v>
          </cell>
          <cell r="C5346" t="str">
            <v>MOH</v>
          </cell>
          <cell r="D5346" t="str">
            <v>2112</v>
          </cell>
          <cell r="E5346" t="str">
            <v>SW FLG</v>
          </cell>
          <cell r="F5346">
            <v>3</v>
          </cell>
          <cell r="G5346" t="str">
            <v>CB240208000100</v>
          </cell>
          <cell r="H5346">
            <v>1</v>
          </cell>
          <cell r="I5346" t="str">
            <v>--</v>
          </cell>
          <cell r="J5346">
            <v>1</v>
          </cell>
          <cell r="K5346">
            <v>1</v>
          </cell>
        </row>
        <row r="5347">
          <cell r="A5347" t="str">
            <v>MC</v>
          </cell>
          <cell r="B5347" t="str">
            <v>BA302</v>
          </cell>
          <cell r="C5347" t="str">
            <v>SD20</v>
          </cell>
          <cell r="D5347" t="str">
            <v>2301</v>
          </cell>
          <cell r="E5347" t="str">
            <v>SW FLG</v>
          </cell>
          <cell r="F5347">
            <v>3</v>
          </cell>
          <cell r="G5347" t="str">
            <v>CB240208000100</v>
          </cell>
          <cell r="H5347">
            <v>1</v>
          </cell>
          <cell r="I5347" t="str">
            <v>--</v>
          </cell>
          <cell r="J5347">
            <v>1</v>
          </cell>
          <cell r="K5347">
            <v>1</v>
          </cell>
        </row>
        <row r="5348">
          <cell r="A5348" t="str">
            <v>MC</v>
          </cell>
          <cell r="B5348" t="str">
            <v>BA305</v>
          </cell>
          <cell r="C5348" t="str">
            <v>VNC</v>
          </cell>
          <cell r="D5348" t="str">
            <v>2016</v>
          </cell>
          <cell r="E5348" t="str">
            <v>SW FLG</v>
          </cell>
          <cell r="F5348">
            <v>3</v>
          </cell>
          <cell r="G5348" t="str">
            <v>CB240208000100</v>
          </cell>
          <cell r="H5348">
            <v>1</v>
          </cell>
          <cell r="I5348" t="str">
            <v>--</v>
          </cell>
          <cell r="J5348">
            <v>2</v>
          </cell>
          <cell r="K5348">
            <v>2</v>
          </cell>
        </row>
        <row r="5349">
          <cell r="A5349" t="str">
            <v>MC</v>
          </cell>
          <cell r="B5349" t="str">
            <v>BA305</v>
          </cell>
          <cell r="C5349" t="str">
            <v>MOH</v>
          </cell>
          <cell r="D5349" t="str">
            <v>2100</v>
          </cell>
          <cell r="E5349" t="str">
            <v>SW FLG</v>
          </cell>
          <cell r="F5349">
            <v>3</v>
          </cell>
          <cell r="G5349" t="str">
            <v>CB240208000100</v>
          </cell>
          <cell r="H5349">
            <v>1</v>
          </cell>
          <cell r="I5349" t="str">
            <v>--</v>
          </cell>
          <cell r="J5349">
            <v>2</v>
          </cell>
          <cell r="K5349">
            <v>2</v>
          </cell>
        </row>
        <row r="5350">
          <cell r="A5350" t="str">
            <v>MC</v>
          </cell>
          <cell r="B5350" t="str">
            <v>BA305</v>
          </cell>
          <cell r="C5350" t="str">
            <v>MOH</v>
          </cell>
          <cell r="D5350" t="str">
            <v>2101</v>
          </cell>
          <cell r="E5350" t="str">
            <v>SW FLG</v>
          </cell>
          <cell r="F5350">
            <v>3</v>
          </cell>
          <cell r="G5350" t="str">
            <v>CB240208000100</v>
          </cell>
          <cell r="H5350">
            <v>1</v>
          </cell>
          <cell r="I5350" t="str">
            <v>--</v>
          </cell>
          <cell r="J5350">
            <v>1</v>
          </cell>
          <cell r="K5350">
            <v>1</v>
          </cell>
        </row>
        <row r="5351">
          <cell r="A5351" t="str">
            <v>MC</v>
          </cell>
          <cell r="B5351" t="str">
            <v>BA312</v>
          </cell>
          <cell r="C5351" t="str">
            <v>SA98</v>
          </cell>
          <cell r="D5351" t="str">
            <v>2411</v>
          </cell>
          <cell r="E5351" t="str">
            <v>WN FLG</v>
          </cell>
          <cell r="F5351">
            <v>3</v>
          </cell>
          <cell r="G5351" t="str">
            <v>CB200208000100</v>
          </cell>
          <cell r="H5351">
            <v>1</v>
          </cell>
          <cell r="I5351" t="str">
            <v>--</v>
          </cell>
          <cell r="J5351">
            <v>6</v>
          </cell>
          <cell r="K5351">
            <v>6</v>
          </cell>
        </row>
        <row r="5352">
          <cell r="A5352" t="str">
            <v>MC</v>
          </cell>
          <cell r="B5352" t="str">
            <v>CA304</v>
          </cell>
          <cell r="C5352" t="str">
            <v>MC</v>
          </cell>
          <cell r="D5352" t="str">
            <v>2502</v>
          </cell>
          <cell r="E5352" t="str">
            <v>LWN FLG</v>
          </cell>
          <cell r="F5352">
            <v>3</v>
          </cell>
          <cell r="G5352" t="str">
            <v>CB2912000001WL</v>
          </cell>
          <cell r="H5352">
            <v>1</v>
          </cell>
          <cell r="I5352" t="str">
            <v>150mm</v>
          </cell>
          <cell r="J5352">
            <v>1</v>
          </cell>
          <cell r="K5352">
            <v>1</v>
          </cell>
        </row>
        <row r="5353">
          <cell r="A5353" t="str">
            <v>MC</v>
          </cell>
          <cell r="B5353" t="str">
            <v>CA304</v>
          </cell>
          <cell r="C5353" t="str">
            <v>MC</v>
          </cell>
          <cell r="D5353" t="str">
            <v>2604</v>
          </cell>
          <cell r="E5353" t="str">
            <v>LWN FLG</v>
          </cell>
          <cell r="F5353">
            <v>3</v>
          </cell>
          <cell r="G5353" t="str">
            <v>CB2912000001WL</v>
          </cell>
          <cell r="H5353">
            <v>1</v>
          </cell>
          <cell r="I5353" t="str">
            <v>150mm</v>
          </cell>
          <cell r="J5353">
            <v>1</v>
          </cell>
          <cell r="K5353">
            <v>1</v>
          </cell>
        </row>
        <row r="5354">
          <cell r="A5354" t="str">
            <v>MC</v>
          </cell>
          <cell r="B5354" t="str">
            <v>CA304</v>
          </cell>
          <cell r="C5354" t="str">
            <v>MC</v>
          </cell>
          <cell r="D5354" t="str">
            <v>2604</v>
          </cell>
          <cell r="E5354" t="str">
            <v>SW FLG</v>
          </cell>
          <cell r="F5354">
            <v>3</v>
          </cell>
          <cell r="G5354" t="str">
            <v>CB241208000100</v>
          </cell>
          <cell r="H5354">
            <v>1</v>
          </cell>
          <cell r="I5354" t="str">
            <v>--</v>
          </cell>
          <cell r="J5354">
            <v>1</v>
          </cell>
          <cell r="K5354">
            <v>1</v>
          </cell>
        </row>
        <row r="5355">
          <cell r="A5355" t="str">
            <v>MC</v>
          </cell>
          <cell r="B5355" t="str">
            <v>CA304</v>
          </cell>
          <cell r="C5355" t="str">
            <v>MC</v>
          </cell>
          <cell r="D5355" t="str">
            <v>HOLD</v>
          </cell>
          <cell r="E5355" t="str">
            <v>SW FLG</v>
          </cell>
          <cell r="F5355">
            <v>3</v>
          </cell>
          <cell r="G5355" t="str">
            <v>CB241208000100</v>
          </cell>
          <cell r="H5355">
            <v>1</v>
          </cell>
          <cell r="I5355" t="str">
            <v>--</v>
          </cell>
          <cell r="J5355">
            <v>9</v>
          </cell>
          <cell r="K5355">
            <v>9</v>
          </cell>
        </row>
        <row r="5356">
          <cell r="A5356" t="str">
            <v>MC</v>
          </cell>
          <cell r="B5356" t="str">
            <v>B2C</v>
          </cell>
          <cell r="C5356" t="str">
            <v>SH</v>
          </cell>
          <cell r="D5356" t="str">
            <v>HOLD</v>
          </cell>
          <cell r="E5356" t="str">
            <v>SW FLG</v>
          </cell>
          <cell r="F5356">
            <v>3</v>
          </cell>
          <cell r="G5356" t="str">
            <v>CB240208001H00</v>
          </cell>
          <cell r="H5356">
            <v>1.5</v>
          </cell>
          <cell r="I5356" t="str">
            <v>--</v>
          </cell>
          <cell r="J5356">
            <v>1</v>
          </cell>
          <cell r="K5356">
            <v>1</v>
          </cell>
        </row>
        <row r="5357">
          <cell r="A5357" t="str">
            <v>MC</v>
          </cell>
          <cell r="B5357" t="str">
            <v>CA304</v>
          </cell>
          <cell r="C5357" t="str">
            <v>MC</v>
          </cell>
          <cell r="D5357" t="str">
            <v>2605</v>
          </cell>
          <cell r="E5357" t="str">
            <v>SW FLG</v>
          </cell>
          <cell r="F5357">
            <v>3</v>
          </cell>
          <cell r="G5357" t="str">
            <v>CB241208001H00</v>
          </cell>
          <cell r="H5357">
            <v>1.5</v>
          </cell>
          <cell r="I5357" t="str">
            <v>--</v>
          </cell>
          <cell r="J5357">
            <v>1</v>
          </cell>
          <cell r="K5357">
            <v>1</v>
          </cell>
        </row>
        <row r="5358">
          <cell r="A5358" t="str">
            <v>MC</v>
          </cell>
          <cell r="B5358" t="str">
            <v>CA304</v>
          </cell>
          <cell r="C5358" t="str">
            <v>MC</v>
          </cell>
          <cell r="D5358" t="str">
            <v>2608</v>
          </cell>
          <cell r="E5358" t="str">
            <v>SW FLG</v>
          </cell>
          <cell r="F5358">
            <v>3</v>
          </cell>
          <cell r="G5358" t="str">
            <v>CB241208001H00</v>
          </cell>
          <cell r="H5358">
            <v>1.5</v>
          </cell>
          <cell r="I5358" t="str">
            <v>--</v>
          </cell>
          <cell r="J5358">
            <v>6</v>
          </cell>
          <cell r="K5358">
            <v>6</v>
          </cell>
        </row>
        <row r="5359">
          <cell r="A5359" t="str">
            <v>MC</v>
          </cell>
          <cell r="B5359" t="str">
            <v>CA304</v>
          </cell>
          <cell r="C5359" t="str">
            <v>N</v>
          </cell>
          <cell r="D5359" t="str">
            <v>HOLD</v>
          </cell>
          <cell r="E5359" t="str">
            <v>SW FLG</v>
          </cell>
          <cell r="F5359">
            <v>3</v>
          </cell>
          <cell r="G5359" t="str">
            <v>CB241208001H00</v>
          </cell>
          <cell r="H5359">
            <v>1.5</v>
          </cell>
          <cell r="I5359" t="str">
            <v>--</v>
          </cell>
          <cell r="J5359">
            <v>1</v>
          </cell>
          <cell r="K5359">
            <v>1</v>
          </cell>
        </row>
        <row r="5360">
          <cell r="A5360" t="str">
            <v>MC</v>
          </cell>
          <cell r="B5360" t="str">
            <v>CA304</v>
          </cell>
          <cell r="C5360" t="str">
            <v>TRIM</v>
          </cell>
          <cell r="D5360" t="str">
            <v>V-1260A/B</v>
          </cell>
          <cell r="E5360" t="str">
            <v>SW FLG</v>
          </cell>
          <cell r="F5360">
            <v>3</v>
          </cell>
          <cell r="G5360" t="str">
            <v>CB241208001H00</v>
          </cell>
          <cell r="H5360">
            <v>1.5</v>
          </cell>
          <cell r="I5360" t="str">
            <v>--</v>
          </cell>
          <cell r="J5360">
            <v>12</v>
          </cell>
          <cell r="K5360">
            <v>12</v>
          </cell>
        </row>
        <row r="5361">
          <cell r="A5361" t="str">
            <v>MC</v>
          </cell>
          <cell r="B5361" t="str">
            <v>CA304</v>
          </cell>
          <cell r="C5361" t="str">
            <v>TRIM</v>
          </cell>
          <cell r="D5361" t="str">
            <v>E-1261</v>
          </cell>
          <cell r="E5361" t="str">
            <v>SW FLG</v>
          </cell>
          <cell r="F5361">
            <v>3</v>
          </cell>
          <cell r="G5361" t="str">
            <v>CB241208001H00</v>
          </cell>
          <cell r="H5361">
            <v>1.5</v>
          </cell>
          <cell r="I5361" t="str">
            <v>--</v>
          </cell>
          <cell r="J5361">
            <v>2</v>
          </cell>
          <cell r="K5361">
            <v>2</v>
          </cell>
        </row>
        <row r="5362">
          <cell r="A5362" t="str">
            <v>MC</v>
          </cell>
          <cell r="B5362" t="str">
            <v>CA304</v>
          </cell>
          <cell r="C5362" t="str">
            <v>MC</v>
          </cell>
          <cell r="D5362" t="str">
            <v>2505</v>
          </cell>
          <cell r="E5362" t="str">
            <v>SW FLG</v>
          </cell>
          <cell r="F5362">
            <v>3</v>
          </cell>
          <cell r="G5362" t="str">
            <v>CB241208001H00</v>
          </cell>
          <cell r="H5362">
            <v>1.5</v>
          </cell>
          <cell r="I5362" t="str">
            <v>--</v>
          </cell>
          <cell r="J5362">
            <v>6</v>
          </cell>
          <cell r="K5362">
            <v>6</v>
          </cell>
        </row>
        <row r="5363">
          <cell r="A5363" t="str">
            <v>MC</v>
          </cell>
          <cell r="B5363" t="str">
            <v>CA304</v>
          </cell>
          <cell r="C5363" t="str">
            <v>MC</v>
          </cell>
          <cell r="D5363" t="str">
            <v>2607</v>
          </cell>
          <cell r="E5363" t="str">
            <v>SW FLG</v>
          </cell>
          <cell r="F5363">
            <v>3</v>
          </cell>
          <cell r="G5363" t="str">
            <v>CB241208001H00</v>
          </cell>
          <cell r="H5363">
            <v>1.5</v>
          </cell>
          <cell r="I5363" t="str">
            <v>--</v>
          </cell>
          <cell r="J5363">
            <v>1</v>
          </cell>
          <cell r="K5363">
            <v>1</v>
          </cell>
        </row>
        <row r="5364">
          <cell r="A5364" t="str">
            <v>MC</v>
          </cell>
          <cell r="B5364" t="str">
            <v>CA304</v>
          </cell>
          <cell r="C5364" t="str">
            <v>MC</v>
          </cell>
          <cell r="D5364" t="str">
            <v>2609</v>
          </cell>
          <cell r="E5364" t="str">
            <v>SW FLG</v>
          </cell>
          <cell r="F5364">
            <v>3</v>
          </cell>
          <cell r="G5364" t="str">
            <v>CB241208001H00</v>
          </cell>
          <cell r="H5364">
            <v>1.5</v>
          </cell>
          <cell r="I5364" t="str">
            <v>--</v>
          </cell>
          <cell r="J5364">
            <v>2</v>
          </cell>
          <cell r="K5364">
            <v>2</v>
          </cell>
        </row>
        <row r="5365">
          <cell r="A5365" t="str">
            <v>MC</v>
          </cell>
          <cell r="B5365" t="str">
            <v>BA305</v>
          </cell>
          <cell r="C5365" t="str">
            <v>MOH</v>
          </cell>
          <cell r="D5365" t="str">
            <v>2100</v>
          </cell>
          <cell r="E5365" t="str">
            <v>SW FLG</v>
          </cell>
          <cell r="F5365">
            <v>3</v>
          </cell>
          <cell r="G5365" t="str">
            <v>CB240208001H00</v>
          </cell>
          <cell r="H5365">
            <v>1.5</v>
          </cell>
          <cell r="I5365" t="str">
            <v>--</v>
          </cell>
          <cell r="J5365">
            <v>1</v>
          </cell>
          <cell r="K5365">
            <v>1</v>
          </cell>
        </row>
        <row r="5366">
          <cell r="A5366" t="str">
            <v>MC</v>
          </cell>
          <cell r="B5366" t="str">
            <v>CA304</v>
          </cell>
          <cell r="C5366" t="str">
            <v>N</v>
          </cell>
          <cell r="D5366" t="str">
            <v>HOLD</v>
          </cell>
          <cell r="E5366" t="str">
            <v>SW FLG</v>
          </cell>
          <cell r="F5366">
            <v>3</v>
          </cell>
          <cell r="G5366" t="str">
            <v>CB241208001H00</v>
          </cell>
          <cell r="H5366">
            <v>1.5</v>
          </cell>
          <cell r="I5366" t="str">
            <v>--</v>
          </cell>
          <cell r="J5366">
            <v>1</v>
          </cell>
          <cell r="K5366">
            <v>1</v>
          </cell>
        </row>
        <row r="5367">
          <cell r="A5367" t="str">
            <v>MC</v>
          </cell>
          <cell r="B5367" t="str">
            <v>CA304</v>
          </cell>
          <cell r="C5367" t="str">
            <v>MC</v>
          </cell>
          <cell r="D5367" t="str">
            <v>2604</v>
          </cell>
          <cell r="E5367" t="str">
            <v>SW FLG</v>
          </cell>
          <cell r="F5367">
            <v>3</v>
          </cell>
          <cell r="G5367" t="str">
            <v>CB241208001H00</v>
          </cell>
          <cell r="H5367">
            <v>1.5</v>
          </cell>
          <cell r="I5367" t="str">
            <v>--</v>
          </cell>
          <cell r="J5367">
            <v>1</v>
          </cell>
          <cell r="K5367">
            <v>1</v>
          </cell>
        </row>
        <row r="5368">
          <cell r="A5368" t="str">
            <v>MC</v>
          </cell>
          <cell r="B5368" t="str">
            <v>CA304</v>
          </cell>
          <cell r="C5368" t="str">
            <v>MC</v>
          </cell>
          <cell r="D5368" t="str">
            <v>HOLD</v>
          </cell>
          <cell r="E5368" t="str">
            <v>SW FLG</v>
          </cell>
          <cell r="F5368">
            <v>3</v>
          </cell>
          <cell r="G5368" t="str">
            <v>CB241208001H00</v>
          </cell>
          <cell r="H5368">
            <v>1.5</v>
          </cell>
          <cell r="I5368" t="str">
            <v>--</v>
          </cell>
          <cell r="J5368">
            <v>5</v>
          </cell>
          <cell r="K5368">
            <v>5</v>
          </cell>
        </row>
        <row r="5369">
          <cell r="A5369" t="str">
            <v>MC</v>
          </cell>
          <cell r="B5369" t="str">
            <v>B2C</v>
          </cell>
          <cell r="C5369" t="str">
            <v>SH</v>
          </cell>
          <cell r="D5369" t="str">
            <v>1405</v>
          </cell>
          <cell r="E5369" t="str">
            <v>WN FLG</v>
          </cell>
          <cell r="F5369">
            <v>3</v>
          </cell>
          <cell r="G5369" t="str">
            <v>CB200208000200</v>
          </cell>
          <cell r="H5369">
            <v>2</v>
          </cell>
          <cell r="I5369" t="str">
            <v>--</v>
          </cell>
          <cell r="J5369">
            <v>7</v>
          </cell>
          <cell r="K5369">
            <v>8</v>
          </cell>
        </row>
        <row r="5370">
          <cell r="A5370" t="str">
            <v>MC</v>
          </cell>
          <cell r="B5370" t="str">
            <v>B2C</v>
          </cell>
          <cell r="C5370" t="str">
            <v>SH</v>
          </cell>
          <cell r="D5370" t="str">
            <v>HOLD</v>
          </cell>
          <cell r="E5370" t="str">
            <v>WN FLG</v>
          </cell>
          <cell r="F5370">
            <v>3</v>
          </cell>
          <cell r="G5370" t="str">
            <v>CB200208000200</v>
          </cell>
          <cell r="H5370">
            <v>2</v>
          </cell>
          <cell r="I5370" t="str">
            <v>--</v>
          </cell>
          <cell r="J5370">
            <v>4</v>
          </cell>
          <cell r="K5370">
            <v>5</v>
          </cell>
        </row>
        <row r="5371">
          <cell r="A5371" t="str">
            <v>MC</v>
          </cell>
          <cell r="B5371" t="str">
            <v>CA304</v>
          </cell>
          <cell r="C5371" t="str">
            <v>MC</v>
          </cell>
          <cell r="D5371" t="str">
            <v>2610</v>
          </cell>
          <cell r="E5371" t="str">
            <v>WN FLG</v>
          </cell>
          <cell r="F5371">
            <v>3</v>
          </cell>
          <cell r="G5371" t="str">
            <v>CB201205000200</v>
          </cell>
          <cell r="H5371">
            <v>2</v>
          </cell>
          <cell r="I5371" t="str">
            <v>--</v>
          </cell>
          <cell r="J5371">
            <v>4</v>
          </cell>
          <cell r="K5371">
            <v>5</v>
          </cell>
        </row>
        <row r="5372">
          <cell r="A5372" t="str">
            <v>MC</v>
          </cell>
          <cell r="B5372" t="str">
            <v>CA304</v>
          </cell>
          <cell r="C5372" t="str">
            <v>MC</v>
          </cell>
          <cell r="D5372" t="str">
            <v>2505</v>
          </cell>
          <cell r="E5372" t="str">
            <v>WN FLG</v>
          </cell>
          <cell r="F5372">
            <v>3</v>
          </cell>
          <cell r="G5372" t="str">
            <v>CB201205000200</v>
          </cell>
          <cell r="H5372">
            <v>2</v>
          </cell>
          <cell r="I5372" t="str">
            <v>--</v>
          </cell>
          <cell r="J5372">
            <v>1</v>
          </cell>
          <cell r="K5372">
            <v>2</v>
          </cell>
        </row>
        <row r="5373">
          <cell r="A5373" t="str">
            <v>MC</v>
          </cell>
          <cell r="B5373" t="str">
            <v>CA304</v>
          </cell>
          <cell r="C5373" t="str">
            <v>MC</v>
          </cell>
          <cell r="D5373" t="str">
            <v>2506</v>
          </cell>
          <cell r="E5373" t="str">
            <v>WN FLG</v>
          </cell>
          <cell r="F5373">
            <v>3</v>
          </cell>
          <cell r="G5373" t="str">
            <v>CB201205000200</v>
          </cell>
          <cell r="H5373">
            <v>2</v>
          </cell>
          <cell r="I5373" t="str">
            <v>--</v>
          </cell>
          <cell r="J5373">
            <v>1</v>
          </cell>
          <cell r="K5373">
            <v>2</v>
          </cell>
        </row>
        <row r="5374">
          <cell r="A5374" t="str">
            <v>MC</v>
          </cell>
          <cell r="B5374" t="str">
            <v>CA304</v>
          </cell>
          <cell r="C5374" t="str">
            <v>MC</v>
          </cell>
          <cell r="D5374" t="str">
            <v>2607</v>
          </cell>
          <cell r="E5374" t="str">
            <v>WN FLG</v>
          </cell>
          <cell r="F5374">
            <v>3</v>
          </cell>
          <cell r="G5374" t="str">
            <v>CB201205000200</v>
          </cell>
          <cell r="H5374">
            <v>2</v>
          </cell>
          <cell r="I5374" t="str">
            <v>--</v>
          </cell>
          <cell r="J5374">
            <v>4</v>
          </cell>
          <cell r="K5374">
            <v>5</v>
          </cell>
        </row>
        <row r="5375">
          <cell r="A5375" t="str">
            <v>MC</v>
          </cell>
          <cell r="B5375" t="str">
            <v>CA304</v>
          </cell>
          <cell r="C5375" t="str">
            <v>MC</v>
          </cell>
          <cell r="D5375" t="str">
            <v>2606</v>
          </cell>
          <cell r="E5375" t="str">
            <v>WN FLG</v>
          </cell>
          <cell r="F5375">
            <v>3</v>
          </cell>
          <cell r="G5375" t="str">
            <v>CB201205000200</v>
          </cell>
          <cell r="H5375">
            <v>2</v>
          </cell>
          <cell r="I5375" t="str">
            <v>--</v>
          </cell>
          <cell r="J5375">
            <v>1</v>
          </cell>
          <cell r="K5375">
            <v>2</v>
          </cell>
        </row>
        <row r="5376">
          <cell r="A5376" t="str">
            <v>MC</v>
          </cell>
          <cell r="B5376" t="str">
            <v>CA304</v>
          </cell>
          <cell r="C5376" t="str">
            <v>MC</v>
          </cell>
          <cell r="D5376" t="str">
            <v>2608</v>
          </cell>
          <cell r="E5376" t="str">
            <v>WN FLG</v>
          </cell>
          <cell r="F5376">
            <v>3</v>
          </cell>
          <cell r="G5376" t="str">
            <v>CB201205000200</v>
          </cell>
          <cell r="H5376">
            <v>2</v>
          </cell>
          <cell r="I5376" t="str">
            <v>--</v>
          </cell>
          <cell r="J5376">
            <v>2</v>
          </cell>
          <cell r="K5376">
            <v>3</v>
          </cell>
        </row>
        <row r="5377">
          <cell r="A5377" t="str">
            <v>MC</v>
          </cell>
          <cell r="B5377" t="str">
            <v>CA304</v>
          </cell>
          <cell r="C5377" t="str">
            <v>MC</v>
          </cell>
          <cell r="D5377" t="str">
            <v>2609</v>
          </cell>
          <cell r="E5377" t="str">
            <v>WN FLG</v>
          </cell>
          <cell r="F5377">
            <v>3</v>
          </cell>
          <cell r="G5377" t="str">
            <v>CB201205000200</v>
          </cell>
          <cell r="H5377">
            <v>2</v>
          </cell>
          <cell r="I5377" t="str">
            <v>--</v>
          </cell>
          <cell r="J5377">
            <v>2</v>
          </cell>
          <cell r="K5377">
            <v>3</v>
          </cell>
        </row>
        <row r="5378">
          <cell r="A5378" t="str">
            <v>MC</v>
          </cell>
          <cell r="B5378" t="str">
            <v>BA305</v>
          </cell>
          <cell r="C5378" t="str">
            <v>MOH</v>
          </cell>
          <cell r="D5378" t="str">
            <v>2002</v>
          </cell>
          <cell r="E5378" t="str">
            <v>WN FLG</v>
          </cell>
          <cell r="F5378">
            <v>3</v>
          </cell>
          <cell r="G5378" t="str">
            <v>CB200105000200</v>
          </cell>
          <cell r="H5378">
            <v>2</v>
          </cell>
          <cell r="I5378" t="str">
            <v>--</v>
          </cell>
          <cell r="J5378">
            <v>1</v>
          </cell>
          <cell r="K5378">
            <v>2</v>
          </cell>
        </row>
        <row r="5379">
          <cell r="A5379" t="str">
            <v>MC</v>
          </cell>
          <cell r="B5379" t="str">
            <v>CA304</v>
          </cell>
          <cell r="C5379" t="str">
            <v>N</v>
          </cell>
          <cell r="D5379" t="str">
            <v>HOLD</v>
          </cell>
          <cell r="E5379" t="str">
            <v>WN FLG</v>
          </cell>
          <cell r="F5379">
            <v>3</v>
          </cell>
          <cell r="G5379" t="str">
            <v>CB201205000200</v>
          </cell>
          <cell r="H5379">
            <v>2</v>
          </cell>
          <cell r="I5379" t="str">
            <v>--</v>
          </cell>
          <cell r="J5379">
            <v>1</v>
          </cell>
          <cell r="K5379">
            <v>2</v>
          </cell>
        </row>
        <row r="5380">
          <cell r="A5380" t="str">
            <v>MC</v>
          </cell>
          <cell r="B5380" t="str">
            <v>BA312</v>
          </cell>
          <cell r="C5380" t="str">
            <v>SA98</v>
          </cell>
          <cell r="D5380" t="str">
            <v>2411</v>
          </cell>
          <cell r="E5380" t="str">
            <v>WN FLG</v>
          </cell>
          <cell r="F5380">
            <v>3</v>
          </cell>
          <cell r="G5380" t="str">
            <v>CB200105000200</v>
          </cell>
          <cell r="H5380">
            <v>2</v>
          </cell>
          <cell r="I5380" t="str">
            <v>--</v>
          </cell>
          <cell r="J5380">
            <v>1</v>
          </cell>
          <cell r="K5380">
            <v>2</v>
          </cell>
        </row>
        <row r="5381">
          <cell r="A5381" t="str">
            <v>MC</v>
          </cell>
          <cell r="B5381" t="str">
            <v>CA304</v>
          </cell>
          <cell r="C5381" t="str">
            <v>TRIM</v>
          </cell>
          <cell r="D5381" t="str">
            <v>E-1261</v>
          </cell>
          <cell r="E5381" t="str">
            <v>WN FLG</v>
          </cell>
          <cell r="F5381">
            <v>3</v>
          </cell>
          <cell r="G5381" t="str">
            <v>CB201205000200</v>
          </cell>
          <cell r="H5381">
            <v>2</v>
          </cell>
          <cell r="I5381" t="str">
            <v>--</v>
          </cell>
          <cell r="J5381">
            <v>2</v>
          </cell>
          <cell r="K5381">
            <v>3</v>
          </cell>
        </row>
        <row r="5382">
          <cell r="A5382" t="str">
            <v>MC</v>
          </cell>
          <cell r="B5382" t="str">
            <v>CA304</v>
          </cell>
          <cell r="C5382" t="str">
            <v>VT</v>
          </cell>
          <cell r="D5382" t="str">
            <v>HOLD</v>
          </cell>
          <cell r="E5382" t="str">
            <v>WN FLG</v>
          </cell>
          <cell r="F5382">
            <v>3</v>
          </cell>
          <cell r="G5382" t="str">
            <v>CB201205000200</v>
          </cell>
          <cell r="H5382">
            <v>2</v>
          </cell>
          <cell r="I5382" t="str">
            <v>--</v>
          </cell>
          <cell r="J5382">
            <v>4</v>
          </cell>
          <cell r="K5382">
            <v>5</v>
          </cell>
        </row>
        <row r="5383">
          <cell r="A5383" t="str">
            <v>MC</v>
          </cell>
          <cell r="B5383" t="str">
            <v>CA304</v>
          </cell>
          <cell r="C5383" t="str">
            <v>VT</v>
          </cell>
          <cell r="D5383" t="str">
            <v>HOLD</v>
          </cell>
          <cell r="E5383" t="str">
            <v>WN FLG</v>
          </cell>
          <cell r="F5383">
            <v>3</v>
          </cell>
          <cell r="G5383" t="str">
            <v>CB201205000200</v>
          </cell>
          <cell r="H5383">
            <v>2</v>
          </cell>
          <cell r="I5383" t="str">
            <v>--</v>
          </cell>
          <cell r="J5383">
            <v>1</v>
          </cell>
          <cell r="K5383">
            <v>2</v>
          </cell>
        </row>
        <row r="5384">
          <cell r="A5384" t="str">
            <v>MC</v>
          </cell>
          <cell r="B5384" t="str">
            <v>BA305</v>
          </cell>
          <cell r="C5384" t="str">
            <v>MOH</v>
          </cell>
          <cell r="D5384" t="str">
            <v>2000</v>
          </cell>
          <cell r="E5384" t="str">
            <v>WN FLG</v>
          </cell>
          <cell r="F5384">
            <v>3</v>
          </cell>
          <cell r="G5384" t="str">
            <v>CB200105000200</v>
          </cell>
          <cell r="H5384">
            <v>2</v>
          </cell>
          <cell r="I5384" t="str">
            <v>--</v>
          </cell>
          <cell r="J5384">
            <v>4</v>
          </cell>
          <cell r="K5384">
            <v>5</v>
          </cell>
        </row>
        <row r="5385">
          <cell r="A5385" t="str">
            <v>MC</v>
          </cell>
          <cell r="B5385" t="str">
            <v>CA304</v>
          </cell>
          <cell r="C5385" t="str">
            <v>MC</v>
          </cell>
          <cell r="D5385" t="str">
            <v>2502</v>
          </cell>
          <cell r="E5385" t="str">
            <v>WN FLG</v>
          </cell>
          <cell r="F5385">
            <v>3</v>
          </cell>
          <cell r="G5385" t="str">
            <v>CB201205000200</v>
          </cell>
          <cell r="H5385">
            <v>2</v>
          </cell>
          <cell r="I5385" t="str">
            <v>--</v>
          </cell>
          <cell r="J5385">
            <v>4</v>
          </cell>
          <cell r="K5385">
            <v>5</v>
          </cell>
        </row>
        <row r="5386">
          <cell r="A5386" t="str">
            <v>MC</v>
          </cell>
          <cell r="B5386" t="str">
            <v>CA304</v>
          </cell>
          <cell r="C5386" t="str">
            <v>MC</v>
          </cell>
          <cell r="D5386" t="str">
            <v>2502</v>
          </cell>
          <cell r="E5386" t="str">
            <v>WN FLG</v>
          </cell>
          <cell r="F5386">
            <v>3</v>
          </cell>
          <cell r="G5386" t="str">
            <v>CB201205000200</v>
          </cell>
          <cell r="H5386">
            <v>2</v>
          </cell>
          <cell r="I5386" t="str">
            <v>--</v>
          </cell>
          <cell r="J5386">
            <v>4</v>
          </cell>
          <cell r="K5386">
            <v>5</v>
          </cell>
        </row>
        <row r="5387">
          <cell r="A5387" t="str">
            <v>MC</v>
          </cell>
          <cell r="B5387" t="str">
            <v>CA304</v>
          </cell>
          <cell r="C5387" t="str">
            <v>MC</v>
          </cell>
          <cell r="D5387" t="str">
            <v>HOLD</v>
          </cell>
          <cell r="E5387" t="str">
            <v>WN FLG</v>
          </cell>
          <cell r="F5387">
            <v>3</v>
          </cell>
          <cell r="G5387" t="str">
            <v>CB201205000200</v>
          </cell>
          <cell r="H5387">
            <v>2</v>
          </cell>
          <cell r="I5387" t="str">
            <v>--</v>
          </cell>
          <cell r="J5387">
            <v>2</v>
          </cell>
          <cell r="K5387">
            <v>3</v>
          </cell>
        </row>
        <row r="5388">
          <cell r="A5388" t="str">
            <v>MC</v>
          </cell>
          <cell r="B5388" t="str">
            <v>CA304</v>
          </cell>
          <cell r="C5388" t="str">
            <v>MC</v>
          </cell>
          <cell r="D5388" t="str">
            <v>HOLD</v>
          </cell>
          <cell r="E5388" t="str">
            <v>WN FLG</v>
          </cell>
          <cell r="F5388">
            <v>3</v>
          </cell>
          <cell r="G5388" t="str">
            <v>CB201205000200</v>
          </cell>
          <cell r="H5388">
            <v>2</v>
          </cell>
          <cell r="I5388" t="str">
            <v>--</v>
          </cell>
          <cell r="J5388">
            <v>2</v>
          </cell>
          <cell r="K5388">
            <v>3</v>
          </cell>
        </row>
        <row r="5389">
          <cell r="A5389" t="str">
            <v>MC</v>
          </cell>
          <cell r="B5389" t="str">
            <v>CA304</v>
          </cell>
          <cell r="C5389" t="str">
            <v>MC</v>
          </cell>
          <cell r="D5389" t="str">
            <v>HOLD</v>
          </cell>
          <cell r="E5389" t="str">
            <v>WN FLG</v>
          </cell>
          <cell r="F5389">
            <v>3</v>
          </cell>
          <cell r="G5389" t="str">
            <v>CB201205000200</v>
          </cell>
          <cell r="H5389">
            <v>2</v>
          </cell>
          <cell r="I5389" t="str">
            <v>--</v>
          </cell>
          <cell r="J5389">
            <v>9</v>
          </cell>
          <cell r="K5389">
            <v>10</v>
          </cell>
        </row>
        <row r="5390">
          <cell r="A5390" t="str">
            <v>MC</v>
          </cell>
          <cell r="B5390" t="str">
            <v>CA304</v>
          </cell>
          <cell r="C5390" t="str">
            <v>MC</v>
          </cell>
          <cell r="D5390" t="str">
            <v>HOLD</v>
          </cell>
          <cell r="E5390" t="str">
            <v>WN FLG</v>
          </cell>
          <cell r="F5390">
            <v>3</v>
          </cell>
          <cell r="G5390" t="str">
            <v>CB201205000200</v>
          </cell>
          <cell r="H5390">
            <v>2</v>
          </cell>
          <cell r="I5390" t="str">
            <v>--</v>
          </cell>
          <cell r="J5390">
            <v>5</v>
          </cell>
          <cell r="K5390">
            <v>6</v>
          </cell>
        </row>
        <row r="5391">
          <cell r="A5391" t="str">
            <v>MC</v>
          </cell>
          <cell r="B5391" t="str">
            <v>CA304</v>
          </cell>
          <cell r="C5391" t="str">
            <v>MC</v>
          </cell>
          <cell r="D5391" t="str">
            <v>HOLD</v>
          </cell>
          <cell r="E5391" t="str">
            <v>WN FLG</v>
          </cell>
          <cell r="F5391">
            <v>3</v>
          </cell>
          <cell r="G5391" t="str">
            <v>CB201205000200</v>
          </cell>
          <cell r="H5391">
            <v>2</v>
          </cell>
          <cell r="I5391" t="str">
            <v>--</v>
          </cell>
          <cell r="J5391">
            <v>2</v>
          </cell>
          <cell r="K5391">
            <v>3</v>
          </cell>
        </row>
        <row r="5392">
          <cell r="A5392" t="str">
            <v>MC</v>
          </cell>
          <cell r="B5392" t="str">
            <v>CA304</v>
          </cell>
          <cell r="C5392" t="str">
            <v>MC</v>
          </cell>
          <cell r="D5392" t="str">
            <v>HOLD</v>
          </cell>
          <cell r="E5392" t="str">
            <v>WN FLG</v>
          </cell>
          <cell r="F5392">
            <v>3</v>
          </cell>
          <cell r="G5392" t="str">
            <v>CB201205000200</v>
          </cell>
          <cell r="H5392">
            <v>2</v>
          </cell>
          <cell r="I5392" t="str">
            <v>--</v>
          </cell>
          <cell r="J5392">
            <v>2</v>
          </cell>
          <cell r="K5392">
            <v>3</v>
          </cell>
        </row>
        <row r="5393">
          <cell r="A5393" t="str">
            <v>MC</v>
          </cell>
          <cell r="B5393" t="str">
            <v>B2C</v>
          </cell>
          <cell r="C5393" t="str">
            <v>SH</v>
          </cell>
          <cell r="D5393" t="str">
            <v>1260</v>
          </cell>
          <cell r="E5393" t="str">
            <v>WN FLG</v>
          </cell>
          <cell r="F5393">
            <v>3</v>
          </cell>
          <cell r="G5393" t="str">
            <v>CB200204000300</v>
          </cell>
          <cell r="H5393">
            <v>3</v>
          </cell>
          <cell r="I5393" t="str">
            <v>--</v>
          </cell>
          <cell r="J5393">
            <v>4</v>
          </cell>
          <cell r="K5393">
            <v>5</v>
          </cell>
        </row>
        <row r="5394">
          <cell r="A5394" t="str">
            <v>MC</v>
          </cell>
          <cell r="B5394" t="str">
            <v>CA304</v>
          </cell>
          <cell r="C5394" t="str">
            <v>CMC</v>
          </cell>
          <cell r="D5394" t="str">
            <v>HOLD</v>
          </cell>
          <cell r="E5394" t="str">
            <v>WN FLG</v>
          </cell>
          <cell r="F5394">
            <v>3</v>
          </cell>
          <cell r="G5394" t="str">
            <v>CB201205000300</v>
          </cell>
          <cell r="H5394">
            <v>3</v>
          </cell>
          <cell r="I5394" t="str">
            <v>--</v>
          </cell>
          <cell r="J5394">
            <v>10</v>
          </cell>
          <cell r="K5394">
            <v>11</v>
          </cell>
        </row>
        <row r="5395">
          <cell r="A5395" t="str">
            <v>MC</v>
          </cell>
          <cell r="B5395" t="str">
            <v>CA304</v>
          </cell>
          <cell r="C5395" t="str">
            <v>MC</v>
          </cell>
          <cell r="D5395" t="str">
            <v>2505</v>
          </cell>
          <cell r="E5395" t="str">
            <v>WN FLG</v>
          </cell>
          <cell r="F5395">
            <v>3</v>
          </cell>
          <cell r="G5395" t="str">
            <v>CB201205000300</v>
          </cell>
          <cell r="H5395">
            <v>3</v>
          </cell>
          <cell r="I5395" t="str">
            <v>--</v>
          </cell>
          <cell r="J5395">
            <v>2</v>
          </cell>
          <cell r="K5395">
            <v>3</v>
          </cell>
        </row>
        <row r="5396">
          <cell r="A5396" t="str">
            <v>MC</v>
          </cell>
          <cell r="B5396" t="str">
            <v>CA304</v>
          </cell>
          <cell r="C5396" t="str">
            <v>MC</v>
          </cell>
          <cell r="D5396" t="str">
            <v>2605</v>
          </cell>
          <cell r="E5396" t="str">
            <v>WN FLG</v>
          </cell>
          <cell r="F5396">
            <v>3</v>
          </cell>
          <cell r="G5396" t="str">
            <v>CB201205000300</v>
          </cell>
          <cell r="H5396">
            <v>3</v>
          </cell>
          <cell r="I5396" t="str">
            <v>--</v>
          </cell>
          <cell r="J5396">
            <v>2</v>
          </cell>
          <cell r="K5396">
            <v>3</v>
          </cell>
        </row>
        <row r="5397">
          <cell r="A5397" t="str">
            <v>MC</v>
          </cell>
          <cell r="B5397" t="str">
            <v>CA304</v>
          </cell>
          <cell r="C5397" t="str">
            <v>MC</v>
          </cell>
          <cell r="D5397" t="str">
            <v>2506</v>
          </cell>
          <cell r="E5397" t="str">
            <v>WN FLG</v>
          </cell>
          <cell r="F5397">
            <v>3</v>
          </cell>
          <cell r="G5397" t="str">
            <v>CB201205000300</v>
          </cell>
          <cell r="H5397">
            <v>3</v>
          </cell>
          <cell r="I5397" t="str">
            <v>--</v>
          </cell>
          <cell r="J5397">
            <v>1</v>
          </cell>
          <cell r="K5397">
            <v>2</v>
          </cell>
        </row>
        <row r="5398">
          <cell r="A5398" t="str">
            <v>MC</v>
          </cell>
          <cell r="B5398" t="str">
            <v>BA305</v>
          </cell>
          <cell r="C5398" t="str">
            <v>MOH</v>
          </cell>
          <cell r="D5398" t="str">
            <v>2002</v>
          </cell>
          <cell r="E5398" t="str">
            <v>WN FLG</v>
          </cell>
          <cell r="F5398">
            <v>3</v>
          </cell>
          <cell r="G5398" t="str">
            <v>CB200105000300</v>
          </cell>
          <cell r="H5398">
            <v>3</v>
          </cell>
          <cell r="I5398" t="str">
            <v>--</v>
          </cell>
          <cell r="J5398">
            <v>1</v>
          </cell>
          <cell r="K5398">
            <v>2</v>
          </cell>
        </row>
        <row r="5399">
          <cell r="A5399" t="str">
            <v>MC</v>
          </cell>
          <cell r="B5399" t="str">
            <v>CA304</v>
          </cell>
          <cell r="C5399" t="str">
            <v>VT</v>
          </cell>
          <cell r="D5399" t="str">
            <v>HOLD</v>
          </cell>
          <cell r="E5399" t="str">
            <v>WN FLG</v>
          </cell>
          <cell r="F5399">
            <v>3</v>
          </cell>
          <cell r="G5399" t="str">
            <v>CB201205000300</v>
          </cell>
          <cell r="H5399">
            <v>3</v>
          </cell>
          <cell r="I5399" t="str">
            <v>--</v>
          </cell>
          <cell r="J5399">
            <v>1</v>
          </cell>
          <cell r="K5399">
            <v>2</v>
          </cell>
        </row>
        <row r="5400">
          <cell r="A5400" t="str">
            <v>MC</v>
          </cell>
          <cell r="B5400" t="str">
            <v>CA304</v>
          </cell>
          <cell r="C5400" t="str">
            <v>MC</v>
          </cell>
          <cell r="D5400" t="str">
            <v>2601</v>
          </cell>
          <cell r="E5400" t="str">
            <v>WN FLG</v>
          </cell>
          <cell r="F5400">
            <v>3</v>
          </cell>
          <cell r="G5400" t="str">
            <v>CB201205000300</v>
          </cell>
          <cell r="H5400">
            <v>3</v>
          </cell>
          <cell r="I5400" t="str">
            <v>--</v>
          </cell>
          <cell r="J5400">
            <v>2</v>
          </cell>
          <cell r="K5400">
            <v>3</v>
          </cell>
        </row>
        <row r="5401">
          <cell r="A5401" t="str">
            <v>MC</v>
          </cell>
          <cell r="B5401" t="str">
            <v>CA304</v>
          </cell>
          <cell r="C5401" t="str">
            <v>MC</v>
          </cell>
          <cell r="D5401" t="str">
            <v>2606</v>
          </cell>
          <cell r="E5401" t="str">
            <v>WN FLG</v>
          </cell>
          <cell r="F5401">
            <v>3</v>
          </cell>
          <cell r="G5401" t="str">
            <v>CB201205000300</v>
          </cell>
          <cell r="H5401">
            <v>3</v>
          </cell>
          <cell r="I5401" t="str">
            <v>--</v>
          </cell>
          <cell r="J5401">
            <v>8</v>
          </cell>
          <cell r="K5401">
            <v>9</v>
          </cell>
        </row>
        <row r="5402">
          <cell r="A5402" t="str">
            <v>MC</v>
          </cell>
          <cell r="B5402" t="str">
            <v>CA304</v>
          </cell>
          <cell r="C5402" t="str">
            <v>MC</v>
          </cell>
          <cell r="D5402" t="str">
            <v>2612</v>
          </cell>
          <cell r="E5402" t="str">
            <v>WN FLG</v>
          </cell>
          <cell r="F5402">
            <v>3</v>
          </cell>
          <cell r="G5402" t="str">
            <v>CB201205000300</v>
          </cell>
          <cell r="H5402">
            <v>3</v>
          </cell>
          <cell r="I5402" t="str">
            <v>--</v>
          </cell>
          <cell r="J5402">
            <v>7</v>
          </cell>
          <cell r="K5402">
            <v>8</v>
          </cell>
        </row>
        <row r="5403">
          <cell r="A5403" t="str">
            <v>MC</v>
          </cell>
          <cell r="B5403" t="str">
            <v>CA304</v>
          </cell>
          <cell r="C5403" t="str">
            <v>VT</v>
          </cell>
          <cell r="D5403" t="str">
            <v>HOLD</v>
          </cell>
          <cell r="E5403" t="str">
            <v>WN FLG</v>
          </cell>
          <cell r="F5403">
            <v>3</v>
          </cell>
          <cell r="G5403" t="str">
            <v>CB201205000300</v>
          </cell>
          <cell r="H5403">
            <v>3</v>
          </cell>
          <cell r="I5403" t="str">
            <v>--</v>
          </cell>
          <cell r="J5403">
            <v>16</v>
          </cell>
          <cell r="K5403">
            <v>18</v>
          </cell>
        </row>
        <row r="5404">
          <cell r="A5404" t="str">
            <v>MC</v>
          </cell>
          <cell r="B5404" t="str">
            <v>CA304</v>
          </cell>
          <cell r="C5404" t="str">
            <v>MC</v>
          </cell>
          <cell r="D5404" t="str">
            <v>2502</v>
          </cell>
          <cell r="E5404" t="str">
            <v>WN FLG</v>
          </cell>
          <cell r="F5404">
            <v>3</v>
          </cell>
          <cell r="G5404" t="str">
            <v>CB201205000300</v>
          </cell>
          <cell r="H5404">
            <v>3</v>
          </cell>
          <cell r="I5404" t="str">
            <v>--</v>
          </cell>
          <cell r="J5404">
            <v>2</v>
          </cell>
          <cell r="K5404">
            <v>3</v>
          </cell>
        </row>
        <row r="5405">
          <cell r="A5405" t="str">
            <v>MC</v>
          </cell>
          <cell r="B5405" t="str">
            <v>CA304</v>
          </cell>
          <cell r="C5405" t="str">
            <v>MC</v>
          </cell>
          <cell r="D5405" t="str">
            <v>2502</v>
          </cell>
          <cell r="E5405" t="str">
            <v>WN FLG</v>
          </cell>
          <cell r="F5405">
            <v>3</v>
          </cell>
          <cell r="G5405" t="str">
            <v>CB201205000300</v>
          </cell>
          <cell r="H5405">
            <v>3</v>
          </cell>
          <cell r="I5405" t="str">
            <v>--</v>
          </cell>
          <cell r="J5405">
            <v>2</v>
          </cell>
          <cell r="K5405">
            <v>3</v>
          </cell>
        </row>
        <row r="5406">
          <cell r="A5406" t="str">
            <v>MC</v>
          </cell>
          <cell r="B5406" t="str">
            <v>CA304</v>
          </cell>
          <cell r="C5406" t="str">
            <v>MC</v>
          </cell>
          <cell r="D5406" t="str">
            <v>HOLD</v>
          </cell>
          <cell r="E5406" t="str">
            <v>WN FLG</v>
          </cell>
          <cell r="F5406">
            <v>3</v>
          </cell>
          <cell r="G5406" t="str">
            <v>CB201205000300</v>
          </cell>
          <cell r="H5406">
            <v>3</v>
          </cell>
          <cell r="I5406" t="str">
            <v>--</v>
          </cell>
          <cell r="J5406">
            <v>9</v>
          </cell>
          <cell r="K5406">
            <v>10</v>
          </cell>
        </row>
        <row r="5407">
          <cell r="A5407" t="str">
            <v>MC</v>
          </cell>
          <cell r="B5407" t="str">
            <v>CA304</v>
          </cell>
          <cell r="C5407" t="str">
            <v>MC</v>
          </cell>
          <cell r="D5407" t="str">
            <v>HOLD</v>
          </cell>
          <cell r="E5407" t="str">
            <v>WN FLG</v>
          </cell>
          <cell r="F5407">
            <v>3</v>
          </cell>
          <cell r="G5407" t="str">
            <v>CB201205000300</v>
          </cell>
          <cell r="H5407">
            <v>3</v>
          </cell>
          <cell r="I5407" t="str">
            <v>--</v>
          </cell>
          <cell r="J5407">
            <v>9</v>
          </cell>
          <cell r="K5407">
            <v>10</v>
          </cell>
        </row>
        <row r="5408">
          <cell r="A5408" t="str">
            <v>MC</v>
          </cell>
          <cell r="B5408" t="str">
            <v>CA304</v>
          </cell>
          <cell r="C5408" t="str">
            <v>MC</v>
          </cell>
          <cell r="D5408" t="str">
            <v>HOLD</v>
          </cell>
          <cell r="E5408" t="str">
            <v>WN FLG</v>
          </cell>
          <cell r="F5408">
            <v>3</v>
          </cell>
          <cell r="G5408" t="str">
            <v>CB201205000300</v>
          </cell>
          <cell r="H5408">
            <v>3</v>
          </cell>
          <cell r="I5408" t="str">
            <v>--</v>
          </cell>
          <cell r="J5408">
            <v>9</v>
          </cell>
          <cell r="K5408">
            <v>10</v>
          </cell>
        </row>
        <row r="5409">
          <cell r="A5409" t="str">
            <v>MC</v>
          </cell>
          <cell r="B5409" t="str">
            <v>B2C</v>
          </cell>
          <cell r="C5409" t="str">
            <v>SH</v>
          </cell>
          <cell r="D5409" t="str">
            <v>1260</v>
          </cell>
          <cell r="E5409" t="str">
            <v>WN FLG</v>
          </cell>
          <cell r="F5409">
            <v>3</v>
          </cell>
          <cell r="G5409" t="str">
            <v>CB200204000400</v>
          </cell>
          <cell r="H5409">
            <v>4</v>
          </cell>
          <cell r="I5409" t="str">
            <v>--</v>
          </cell>
          <cell r="J5409">
            <v>9</v>
          </cell>
          <cell r="K5409">
            <v>11</v>
          </cell>
        </row>
        <row r="5410">
          <cell r="A5410" t="str">
            <v>MC</v>
          </cell>
          <cell r="B5410" t="str">
            <v>B2C</v>
          </cell>
          <cell r="C5410" t="str">
            <v>SH</v>
          </cell>
          <cell r="D5410" t="str">
            <v>1460</v>
          </cell>
          <cell r="E5410" t="str">
            <v>WN FLG</v>
          </cell>
          <cell r="F5410">
            <v>3</v>
          </cell>
          <cell r="G5410" t="str">
            <v>CB200204000400</v>
          </cell>
          <cell r="H5410">
            <v>4</v>
          </cell>
          <cell r="I5410" t="str">
            <v>--</v>
          </cell>
          <cell r="J5410">
            <v>4</v>
          </cell>
          <cell r="K5410">
            <v>5</v>
          </cell>
        </row>
        <row r="5411">
          <cell r="A5411" t="str">
            <v>MC</v>
          </cell>
          <cell r="B5411" t="str">
            <v>CA304</v>
          </cell>
          <cell r="C5411" t="str">
            <v>CMC</v>
          </cell>
          <cell r="D5411" t="str">
            <v>HOLD</v>
          </cell>
          <cell r="E5411" t="str">
            <v>WN FLG</v>
          </cell>
          <cell r="F5411">
            <v>3</v>
          </cell>
          <cell r="G5411" t="str">
            <v>CB201205000400</v>
          </cell>
          <cell r="H5411">
            <v>4</v>
          </cell>
          <cell r="I5411" t="str">
            <v>--</v>
          </cell>
          <cell r="J5411">
            <v>3</v>
          </cell>
          <cell r="K5411">
            <v>4</v>
          </cell>
        </row>
        <row r="5412">
          <cell r="A5412" t="str">
            <v>MC</v>
          </cell>
          <cell r="B5412" t="str">
            <v>CA304</v>
          </cell>
          <cell r="C5412" t="str">
            <v>CMC</v>
          </cell>
          <cell r="D5412" t="str">
            <v>HOLD</v>
          </cell>
          <cell r="E5412" t="str">
            <v>WN FLG</v>
          </cell>
          <cell r="F5412">
            <v>3</v>
          </cell>
          <cell r="G5412" t="str">
            <v>CB201205000400</v>
          </cell>
          <cell r="H5412">
            <v>4</v>
          </cell>
          <cell r="I5412" t="str">
            <v>--</v>
          </cell>
          <cell r="J5412">
            <v>3</v>
          </cell>
          <cell r="K5412">
            <v>4</v>
          </cell>
        </row>
        <row r="5413">
          <cell r="A5413" t="str">
            <v>MC</v>
          </cell>
          <cell r="B5413" t="str">
            <v>CA304</v>
          </cell>
          <cell r="C5413" t="str">
            <v>CMC</v>
          </cell>
          <cell r="D5413" t="str">
            <v>HOLD</v>
          </cell>
          <cell r="E5413" t="str">
            <v>WN FLG</v>
          </cell>
          <cell r="F5413">
            <v>3</v>
          </cell>
          <cell r="G5413" t="str">
            <v>CB201205000400</v>
          </cell>
          <cell r="H5413">
            <v>4</v>
          </cell>
          <cell r="I5413" t="str">
            <v>--</v>
          </cell>
          <cell r="J5413">
            <v>2</v>
          </cell>
          <cell r="K5413">
            <v>3</v>
          </cell>
        </row>
        <row r="5414">
          <cell r="A5414" t="str">
            <v>MC</v>
          </cell>
          <cell r="B5414" t="str">
            <v>CA304</v>
          </cell>
          <cell r="C5414" t="str">
            <v>MC</v>
          </cell>
          <cell r="D5414" t="str">
            <v>2507</v>
          </cell>
          <cell r="E5414" t="str">
            <v>WN FLG</v>
          </cell>
          <cell r="F5414">
            <v>3</v>
          </cell>
          <cell r="G5414" t="str">
            <v>CB201205000400</v>
          </cell>
          <cell r="H5414">
            <v>4</v>
          </cell>
          <cell r="I5414" t="str">
            <v>--</v>
          </cell>
          <cell r="J5414">
            <v>1</v>
          </cell>
          <cell r="K5414">
            <v>2</v>
          </cell>
        </row>
        <row r="5415">
          <cell r="A5415" t="str">
            <v>MC</v>
          </cell>
          <cell r="B5415" t="str">
            <v>CA304</v>
          </cell>
          <cell r="C5415" t="str">
            <v>VT</v>
          </cell>
          <cell r="D5415" t="str">
            <v>HOLD</v>
          </cell>
          <cell r="E5415" t="str">
            <v>WN FLG</v>
          </cell>
          <cell r="F5415">
            <v>3</v>
          </cell>
          <cell r="G5415" t="str">
            <v>CB201205000400</v>
          </cell>
          <cell r="H5415">
            <v>4</v>
          </cell>
          <cell r="I5415" t="str">
            <v>--</v>
          </cell>
          <cell r="J5415">
            <v>1</v>
          </cell>
          <cell r="K5415">
            <v>2</v>
          </cell>
        </row>
        <row r="5416">
          <cell r="A5416" t="str">
            <v>MC</v>
          </cell>
          <cell r="B5416" t="str">
            <v>CA304</v>
          </cell>
          <cell r="C5416" t="str">
            <v>VT</v>
          </cell>
          <cell r="D5416" t="str">
            <v>HOLD</v>
          </cell>
          <cell r="E5416" t="str">
            <v>WN FLG</v>
          </cell>
          <cell r="F5416">
            <v>3</v>
          </cell>
          <cell r="G5416" t="str">
            <v>CB201205000400</v>
          </cell>
          <cell r="H5416">
            <v>4</v>
          </cell>
          <cell r="I5416" t="str">
            <v>--</v>
          </cell>
          <cell r="J5416">
            <v>10</v>
          </cell>
          <cell r="K5416">
            <v>12</v>
          </cell>
        </row>
        <row r="5417">
          <cell r="A5417" t="str">
            <v>MC</v>
          </cell>
          <cell r="B5417" t="str">
            <v>CA304</v>
          </cell>
          <cell r="C5417" t="str">
            <v>MC</v>
          </cell>
          <cell r="D5417" t="str">
            <v>2503</v>
          </cell>
          <cell r="E5417" t="str">
            <v>WN FLG</v>
          </cell>
          <cell r="F5417">
            <v>3</v>
          </cell>
          <cell r="G5417" t="str">
            <v>CB201205000400</v>
          </cell>
          <cell r="H5417">
            <v>4</v>
          </cell>
          <cell r="I5417" t="str">
            <v>--</v>
          </cell>
          <cell r="J5417">
            <v>1</v>
          </cell>
          <cell r="K5417">
            <v>2</v>
          </cell>
        </row>
        <row r="5418">
          <cell r="A5418" t="str">
            <v>MC</v>
          </cell>
          <cell r="B5418" t="str">
            <v>CA304</v>
          </cell>
          <cell r="C5418" t="str">
            <v>MC</v>
          </cell>
          <cell r="D5418" t="str">
            <v>HOLD</v>
          </cell>
          <cell r="E5418" t="str">
            <v>WN FLG</v>
          </cell>
          <cell r="F5418">
            <v>3</v>
          </cell>
          <cell r="G5418" t="str">
            <v>CB201205000400</v>
          </cell>
          <cell r="H5418">
            <v>4</v>
          </cell>
          <cell r="I5418" t="str">
            <v>--</v>
          </cell>
          <cell r="J5418">
            <v>5</v>
          </cell>
          <cell r="K5418">
            <v>6</v>
          </cell>
        </row>
        <row r="5419">
          <cell r="A5419" t="str">
            <v>MC</v>
          </cell>
          <cell r="B5419" t="str">
            <v>CA304</v>
          </cell>
          <cell r="C5419" t="str">
            <v>MC</v>
          </cell>
          <cell r="D5419" t="str">
            <v>HOLD</v>
          </cell>
          <cell r="E5419" t="str">
            <v>WN FLG</v>
          </cell>
          <cell r="F5419">
            <v>3</v>
          </cell>
          <cell r="G5419" t="str">
            <v>CB201205000400</v>
          </cell>
          <cell r="H5419">
            <v>4</v>
          </cell>
          <cell r="I5419" t="str">
            <v>--</v>
          </cell>
          <cell r="J5419">
            <v>5</v>
          </cell>
          <cell r="K5419">
            <v>6</v>
          </cell>
        </row>
        <row r="5420">
          <cell r="A5420" t="str">
            <v>MC</v>
          </cell>
          <cell r="B5420" t="str">
            <v>CA304</v>
          </cell>
          <cell r="C5420" t="str">
            <v>MC</v>
          </cell>
          <cell r="D5420" t="str">
            <v>HOLD</v>
          </cell>
          <cell r="E5420" t="str">
            <v>WN FLG</v>
          </cell>
          <cell r="F5420">
            <v>3</v>
          </cell>
          <cell r="G5420" t="str">
            <v>CB201205000400</v>
          </cell>
          <cell r="H5420">
            <v>4</v>
          </cell>
          <cell r="I5420" t="str">
            <v>--</v>
          </cell>
          <cell r="J5420">
            <v>5</v>
          </cell>
          <cell r="K5420">
            <v>6</v>
          </cell>
        </row>
        <row r="5421">
          <cell r="A5421" t="str">
            <v>MC</v>
          </cell>
          <cell r="B5421" t="str">
            <v>BA305</v>
          </cell>
          <cell r="C5421" t="str">
            <v>MOH</v>
          </cell>
          <cell r="D5421" t="str">
            <v>2103</v>
          </cell>
          <cell r="E5421" t="str">
            <v>WN FLG</v>
          </cell>
          <cell r="F5421">
            <v>3</v>
          </cell>
          <cell r="G5421" t="str">
            <v>CB200205000400</v>
          </cell>
          <cell r="H5421">
            <v>4</v>
          </cell>
          <cell r="I5421" t="str">
            <v>--</v>
          </cell>
          <cell r="J5421">
            <v>2</v>
          </cell>
          <cell r="K5421">
            <v>3</v>
          </cell>
        </row>
        <row r="5422">
          <cell r="A5422" t="str">
            <v>MC</v>
          </cell>
          <cell r="B5422" t="str">
            <v>B2C</v>
          </cell>
          <cell r="C5422" t="str">
            <v>SH</v>
          </cell>
          <cell r="D5422" t="str">
            <v>1460</v>
          </cell>
          <cell r="E5422" t="str">
            <v>WN FLG</v>
          </cell>
          <cell r="F5422">
            <v>3</v>
          </cell>
          <cell r="G5422" t="str">
            <v>CB200204000600</v>
          </cell>
          <cell r="H5422">
            <v>6</v>
          </cell>
          <cell r="I5422" t="str">
            <v>--</v>
          </cell>
          <cell r="J5422">
            <v>9</v>
          </cell>
          <cell r="K5422">
            <v>11</v>
          </cell>
        </row>
        <row r="5423">
          <cell r="A5423" t="str">
            <v>MC</v>
          </cell>
          <cell r="B5423" t="str">
            <v>B2C</v>
          </cell>
          <cell r="C5423" t="str">
            <v>SH</v>
          </cell>
          <cell r="D5423" t="str">
            <v>1360</v>
          </cell>
          <cell r="E5423" t="str">
            <v>WN FLG</v>
          </cell>
          <cell r="F5423">
            <v>3</v>
          </cell>
          <cell r="G5423" t="str">
            <v>CB200204000600</v>
          </cell>
          <cell r="H5423">
            <v>6</v>
          </cell>
          <cell r="I5423" t="str">
            <v>--</v>
          </cell>
          <cell r="J5423">
            <v>4</v>
          </cell>
          <cell r="K5423">
            <v>5</v>
          </cell>
        </row>
        <row r="5424">
          <cell r="A5424" t="str">
            <v>MC</v>
          </cell>
          <cell r="B5424" t="str">
            <v>CA304</v>
          </cell>
          <cell r="C5424" t="str">
            <v>CMC</v>
          </cell>
          <cell r="D5424" t="str">
            <v>HOLD</v>
          </cell>
          <cell r="E5424" t="str">
            <v>WN FLG</v>
          </cell>
          <cell r="F5424">
            <v>3</v>
          </cell>
          <cell r="G5424" t="str">
            <v>CB201205000600</v>
          </cell>
          <cell r="H5424">
            <v>6</v>
          </cell>
          <cell r="I5424" t="str">
            <v>--</v>
          </cell>
          <cell r="J5424">
            <v>1</v>
          </cell>
          <cell r="K5424">
            <v>2</v>
          </cell>
        </row>
        <row r="5425">
          <cell r="A5425" t="str">
            <v>MC</v>
          </cell>
          <cell r="B5425" t="str">
            <v>CA304</v>
          </cell>
          <cell r="C5425" t="str">
            <v>CMC</v>
          </cell>
          <cell r="D5425" t="str">
            <v>HOLD</v>
          </cell>
          <cell r="E5425" t="str">
            <v>WN FLG</v>
          </cell>
          <cell r="F5425">
            <v>3</v>
          </cell>
          <cell r="G5425" t="str">
            <v>CB201205000600</v>
          </cell>
          <cell r="H5425">
            <v>6</v>
          </cell>
          <cell r="I5425" t="str">
            <v>--</v>
          </cell>
          <cell r="J5425">
            <v>1</v>
          </cell>
          <cell r="K5425">
            <v>2</v>
          </cell>
        </row>
        <row r="5426">
          <cell r="A5426" t="str">
            <v>MC</v>
          </cell>
          <cell r="B5426" t="str">
            <v>CA307</v>
          </cell>
          <cell r="C5426" t="str">
            <v>HCL</v>
          </cell>
          <cell r="D5426" t="str">
            <v>1100</v>
          </cell>
          <cell r="E5426" t="str">
            <v>WN FLG</v>
          </cell>
          <cell r="F5426">
            <v>3</v>
          </cell>
          <cell r="G5426" t="str">
            <v>CB203205000600</v>
          </cell>
          <cell r="H5426">
            <v>6</v>
          </cell>
          <cell r="I5426" t="str">
            <v>--</v>
          </cell>
          <cell r="J5426">
            <v>2</v>
          </cell>
          <cell r="K5426">
            <v>3</v>
          </cell>
        </row>
        <row r="5427">
          <cell r="A5427" t="str">
            <v>MC</v>
          </cell>
          <cell r="B5427" t="str">
            <v>CA304</v>
          </cell>
          <cell r="C5427" t="str">
            <v>MC</v>
          </cell>
          <cell r="D5427" t="str">
            <v>2410</v>
          </cell>
          <cell r="E5427" t="str">
            <v>WN FLG</v>
          </cell>
          <cell r="F5427">
            <v>3</v>
          </cell>
          <cell r="G5427" t="str">
            <v>CB201205000600</v>
          </cell>
          <cell r="H5427">
            <v>6</v>
          </cell>
          <cell r="I5427" t="str">
            <v>--</v>
          </cell>
          <cell r="J5427">
            <v>2</v>
          </cell>
          <cell r="K5427">
            <v>3</v>
          </cell>
        </row>
        <row r="5428">
          <cell r="A5428" t="str">
            <v>MC</v>
          </cell>
          <cell r="B5428" t="str">
            <v>CA304</v>
          </cell>
          <cell r="C5428" t="str">
            <v>MC</v>
          </cell>
          <cell r="D5428" t="str">
            <v>2412</v>
          </cell>
          <cell r="E5428" t="str">
            <v>WN FLG</v>
          </cell>
          <cell r="F5428">
            <v>3</v>
          </cell>
          <cell r="G5428" t="str">
            <v>CB201205000600</v>
          </cell>
          <cell r="H5428">
            <v>6</v>
          </cell>
          <cell r="I5428" t="str">
            <v>--</v>
          </cell>
          <cell r="J5428">
            <v>1</v>
          </cell>
          <cell r="K5428">
            <v>2</v>
          </cell>
        </row>
        <row r="5429">
          <cell r="A5429" t="str">
            <v>MC</v>
          </cell>
          <cell r="B5429" t="str">
            <v>BA305</v>
          </cell>
          <cell r="C5429" t="str">
            <v>MOH</v>
          </cell>
          <cell r="D5429" t="str">
            <v>HOLD</v>
          </cell>
          <cell r="E5429" t="str">
            <v>WN FLG</v>
          </cell>
          <cell r="F5429">
            <v>3</v>
          </cell>
          <cell r="G5429" t="str">
            <v>CB200105000600</v>
          </cell>
          <cell r="H5429">
            <v>6</v>
          </cell>
          <cell r="I5429" t="str">
            <v>--</v>
          </cell>
          <cell r="J5429">
            <v>2</v>
          </cell>
          <cell r="K5429">
            <v>3</v>
          </cell>
        </row>
        <row r="5430">
          <cell r="A5430" t="str">
            <v>MC</v>
          </cell>
          <cell r="B5430" t="str">
            <v>CA304</v>
          </cell>
          <cell r="C5430" t="str">
            <v>MC</v>
          </cell>
          <cell r="D5430" t="str">
            <v>2613</v>
          </cell>
          <cell r="E5430" t="str">
            <v>WN FLG</v>
          </cell>
          <cell r="F5430">
            <v>3</v>
          </cell>
          <cell r="G5430" t="str">
            <v>CB201205000600</v>
          </cell>
          <cell r="H5430">
            <v>6</v>
          </cell>
          <cell r="I5430" t="str">
            <v>--</v>
          </cell>
          <cell r="J5430">
            <v>2</v>
          </cell>
          <cell r="K5430">
            <v>3</v>
          </cell>
        </row>
        <row r="5431">
          <cell r="A5431" t="str">
            <v>MC</v>
          </cell>
          <cell r="B5431" t="str">
            <v>CA304</v>
          </cell>
          <cell r="C5431" t="str">
            <v>MC</v>
          </cell>
          <cell r="D5431" t="str">
            <v>2502</v>
          </cell>
          <cell r="E5431" t="str">
            <v>WN FLG</v>
          </cell>
          <cell r="F5431">
            <v>3</v>
          </cell>
          <cell r="G5431" t="str">
            <v>CB201205000600</v>
          </cell>
          <cell r="H5431">
            <v>6</v>
          </cell>
          <cell r="I5431" t="str">
            <v>--</v>
          </cell>
          <cell r="J5431">
            <v>5</v>
          </cell>
          <cell r="K5431">
            <v>6</v>
          </cell>
        </row>
        <row r="5432">
          <cell r="A5432" t="str">
            <v>MC</v>
          </cell>
          <cell r="B5432" t="str">
            <v>CA304</v>
          </cell>
          <cell r="C5432" t="str">
            <v>MC</v>
          </cell>
          <cell r="D5432" t="str">
            <v>2502</v>
          </cell>
          <cell r="E5432" t="str">
            <v>WN FLG</v>
          </cell>
          <cell r="F5432">
            <v>3</v>
          </cell>
          <cell r="G5432" t="str">
            <v>CB201205000600</v>
          </cell>
          <cell r="H5432">
            <v>6</v>
          </cell>
          <cell r="I5432" t="str">
            <v>--</v>
          </cell>
          <cell r="J5432">
            <v>5</v>
          </cell>
          <cell r="K5432">
            <v>6</v>
          </cell>
        </row>
        <row r="5433">
          <cell r="A5433" t="str">
            <v>MC</v>
          </cell>
          <cell r="B5433" t="str">
            <v>BA305</v>
          </cell>
          <cell r="C5433" t="str">
            <v>MOH</v>
          </cell>
          <cell r="D5433" t="str">
            <v>2103</v>
          </cell>
          <cell r="E5433" t="str">
            <v>WN FLG</v>
          </cell>
          <cell r="F5433">
            <v>3</v>
          </cell>
          <cell r="G5433" t="str">
            <v>CB200105000600</v>
          </cell>
          <cell r="H5433">
            <v>6</v>
          </cell>
          <cell r="I5433" t="str">
            <v>--</v>
          </cell>
          <cell r="J5433">
            <v>4</v>
          </cell>
          <cell r="K5433">
            <v>5</v>
          </cell>
        </row>
        <row r="5434">
          <cell r="A5434" t="str">
            <v>MC</v>
          </cell>
          <cell r="B5434" t="str">
            <v>CA304</v>
          </cell>
          <cell r="C5434" t="str">
            <v>MC</v>
          </cell>
          <cell r="D5434" t="str">
            <v>2504</v>
          </cell>
          <cell r="E5434" t="str">
            <v>WN FLG</v>
          </cell>
          <cell r="F5434">
            <v>3</v>
          </cell>
          <cell r="G5434" t="str">
            <v>CB201205000600</v>
          </cell>
          <cell r="H5434">
            <v>6</v>
          </cell>
          <cell r="I5434" t="str">
            <v>--</v>
          </cell>
          <cell r="J5434">
            <v>1</v>
          </cell>
          <cell r="K5434">
            <v>2</v>
          </cell>
        </row>
        <row r="5435">
          <cell r="A5435" t="str">
            <v>MC</v>
          </cell>
          <cell r="B5435" t="str">
            <v>B2C</v>
          </cell>
          <cell r="C5435" t="str">
            <v>SH</v>
          </cell>
          <cell r="D5435" t="str">
            <v>1360</v>
          </cell>
          <cell r="E5435" t="str">
            <v>WN FLG</v>
          </cell>
          <cell r="F5435">
            <v>3</v>
          </cell>
          <cell r="G5435" t="str">
            <v>CB200204000800</v>
          </cell>
          <cell r="H5435">
            <v>8</v>
          </cell>
          <cell r="I5435" t="str">
            <v>--</v>
          </cell>
          <cell r="J5435">
            <v>9</v>
          </cell>
          <cell r="K5435">
            <v>11</v>
          </cell>
        </row>
        <row r="5436">
          <cell r="A5436" t="str">
            <v>MC</v>
          </cell>
          <cell r="B5436" t="str">
            <v>CA304</v>
          </cell>
          <cell r="C5436" t="str">
            <v>MC</v>
          </cell>
          <cell r="D5436" t="str">
            <v>2501</v>
          </cell>
          <cell r="E5436" t="str">
            <v>WN FLG</v>
          </cell>
          <cell r="F5436">
            <v>3</v>
          </cell>
          <cell r="G5436" t="str">
            <v>CB201205000800</v>
          </cell>
          <cell r="H5436">
            <v>8</v>
          </cell>
          <cell r="I5436" t="str">
            <v>--</v>
          </cell>
          <cell r="J5436">
            <v>3</v>
          </cell>
          <cell r="K5436">
            <v>4</v>
          </cell>
        </row>
        <row r="5437">
          <cell r="A5437" t="str">
            <v>MC</v>
          </cell>
          <cell r="B5437" t="str">
            <v>CA304</v>
          </cell>
          <cell r="C5437" t="str">
            <v>MC</v>
          </cell>
          <cell r="D5437" t="str">
            <v>2501</v>
          </cell>
          <cell r="E5437" t="str">
            <v>WN FLG</v>
          </cell>
          <cell r="F5437">
            <v>3</v>
          </cell>
          <cell r="G5437" t="str">
            <v>CB201205000800</v>
          </cell>
          <cell r="H5437">
            <v>8</v>
          </cell>
          <cell r="I5437" t="str">
            <v>--</v>
          </cell>
          <cell r="J5437">
            <v>3</v>
          </cell>
          <cell r="K5437">
            <v>4</v>
          </cell>
        </row>
        <row r="5438">
          <cell r="A5438" t="str">
            <v>MC</v>
          </cell>
          <cell r="B5438" t="str">
            <v>B2C</v>
          </cell>
          <cell r="C5438" t="str">
            <v>SH</v>
          </cell>
          <cell r="D5438" t="str">
            <v>1000</v>
          </cell>
          <cell r="E5438" t="str">
            <v>WN FLG</v>
          </cell>
          <cell r="F5438">
            <v>3</v>
          </cell>
          <cell r="G5438" t="str">
            <v>CB200204001000</v>
          </cell>
          <cell r="H5438">
            <v>10</v>
          </cell>
          <cell r="I5438" t="str">
            <v>--</v>
          </cell>
          <cell r="J5438">
            <v>3</v>
          </cell>
          <cell r="K5438">
            <v>4</v>
          </cell>
        </row>
        <row r="5439">
          <cell r="A5439" t="str">
            <v>MC</v>
          </cell>
          <cell r="B5439" t="str">
            <v>CA304</v>
          </cell>
          <cell r="C5439" t="str">
            <v>VT</v>
          </cell>
          <cell r="D5439" t="str">
            <v>HOLD</v>
          </cell>
          <cell r="E5439" t="str">
            <v>WN FLG</v>
          </cell>
          <cell r="F5439">
            <v>3</v>
          </cell>
          <cell r="G5439" t="str">
            <v>CB201205001000</v>
          </cell>
          <cell r="H5439">
            <v>10</v>
          </cell>
          <cell r="I5439" t="str">
            <v>--</v>
          </cell>
          <cell r="J5439">
            <v>1</v>
          </cell>
          <cell r="K5439">
            <v>2</v>
          </cell>
        </row>
        <row r="5440">
          <cell r="A5440" t="str">
            <v>MC</v>
          </cell>
          <cell r="B5440" t="str">
            <v>B2C</v>
          </cell>
          <cell r="C5440" t="str">
            <v>SH</v>
          </cell>
          <cell r="D5440" t="str">
            <v>1000</v>
          </cell>
          <cell r="E5440" t="str">
            <v>GATE VA</v>
          </cell>
          <cell r="F5440">
            <v>6</v>
          </cell>
          <cell r="G5440" t="str">
            <v>VG8010400000H00</v>
          </cell>
          <cell r="H5440">
            <v>0.5</v>
          </cell>
          <cell r="I5440" t="str">
            <v>--</v>
          </cell>
          <cell r="J5440">
            <v>2</v>
          </cell>
          <cell r="K5440">
            <v>2</v>
          </cell>
        </row>
        <row r="5441">
          <cell r="A5441" t="str">
            <v>MC</v>
          </cell>
          <cell r="B5441" t="str">
            <v>B2C</v>
          </cell>
          <cell r="C5441" t="str">
            <v>SH</v>
          </cell>
          <cell r="D5441" t="str">
            <v>1260</v>
          </cell>
          <cell r="E5441" t="str">
            <v>GATE VA</v>
          </cell>
          <cell r="F5441">
            <v>6</v>
          </cell>
          <cell r="G5441" t="str">
            <v>VG8010400000H00</v>
          </cell>
          <cell r="H5441">
            <v>0.5</v>
          </cell>
          <cell r="I5441" t="str">
            <v>--</v>
          </cell>
          <cell r="J5441">
            <v>2</v>
          </cell>
          <cell r="K5441">
            <v>2</v>
          </cell>
        </row>
        <row r="5442">
          <cell r="A5442" t="str">
            <v>MC</v>
          </cell>
          <cell r="B5442" t="str">
            <v>B2C</v>
          </cell>
          <cell r="C5442" t="str">
            <v>SH</v>
          </cell>
          <cell r="D5442" t="str">
            <v>1360</v>
          </cell>
          <cell r="E5442" t="str">
            <v>GATE VA</v>
          </cell>
          <cell r="F5442">
            <v>6</v>
          </cell>
          <cell r="G5442" t="str">
            <v>VG8010400000H00</v>
          </cell>
          <cell r="H5442">
            <v>0.5</v>
          </cell>
          <cell r="I5442" t="str">
            <v>--</v>
          </cell>
          <cell r="J5442">
            <v>2</v>
          </cell>
          <cell r="K5442">
            <v>2</v>
          </cell>
        </row>
        <row r="5443">
          <cell r="A5443" t="str">
            <v>MC</v>
          </cell>
          <cell r="B5443" t="str">
            <v>B2C</v>
          </cell>
          <cell r="C5443" t="str">
            <v>SH</v>
          </cell>
          <cell r="D5443" t="str">
            <v>1405</v>
          </cell>
          <cell r="E5443" t="str">
            <v>GATE VA</v>
          </cell>
          <cell r="F5443">
            <v>6</v>
          </cell>
          <cell r="G5443" t="str">
            <v>VG8010400000H00</v>
          </cell>
          <cell r="H5443">
            <v>0.5</v>
          </cell>
          <cell r="I5443" t="str">
            <v>--</v>
          </cell>
          <cell r="J5443">
            <v>2</v>
          </cell>
          <cell r="K5443">
            <v>2</v>
          </cell>
        </row>
        <row r="5444">
          <cell r="A5444" t="str">
            <v>MC</v>
          </cell>
          <cell r="B5444" t="str">
            <v>B2C</v>
          </cell>
          <cell r="C5444" t="str">
            <v>SH</v>
          </cell>
          <cell r="D5444" t="str">
            <v>1460</v>
          </cell>
          <cell r="E5444" t="str">
            <v>GATE VA</v>
          </cell>
          <cell r="F5444">
            <v>6</v>
          </cell>
          <cell r="G5444" t="str">
            <v>VG8010400000H00</v>
          </cell>
          <cell r="H5444">
            <v>0.5</v>
          </cell>
          <cell r="I5444" t="str">
            <v>--</v>
          </cell>
          <cell r="J5444">
            <v>2</v>
          </cell>
          <cell r="K5444">
            <v>2</v>
          </cell>
        </row>
        <row r="5445">
          <cell r="A5445" t="str">
            <v>MC</v>
          </cell>
          <cell r="B5445" t="str">
            <v>CA304</v>
          </cell>
          <cell r="C5445" t="str">
            <v>MC</v>
          </cell>
          <cell r="D5445" t="str">
            <v>2505</v>
          </cell>
          <cell r="E5445" t="str">
            <v>BALL VA</v>
          </cell>
          <cell r="F5445">
            <v>6</v>
          </cell>
          <cell r="G5445" t="str">
            <v>VB8010100000H00</v>
          </cell>
          <cell r="H5445">
            <v>0.5</v>
          </cell>
          <cell r="I5445" t="str">
            <v>--</v>
          </cell>
          <cell r="J5445">
            <v>2</v>
          </cell>
          <cell r="K5445">
            <v>2</v>
          </cell>
        </row>
        <row r="5446">
          <cell r="A5446" t="str">
            <v>MC</v>
          </cell>
          <cell r="B5446" t="str">
            <v>CA304</v>
          </cell>
          <cell r="C5446" t="str">
            <v>MC</v>
          </cell>
          <cell r="D5446" t="str">
            <v>2501</v>
          </cell>
          <cell r="E5446" t="str">
            <v>BALL VA</v>
          </cell>
          <cell r="F5446">
            <v>6</v>
          </cell>
          <cell r="G5446" t="str">
            <v>VB8010100000H00</v>
          </cell>
          <cell r="H5446">
            <v>0.5</v>
          </cell>
          <cell r="I5446" t="str">
            <v>--</v>
          </cell>
          <cell r="J5446">
            <v>2</v>
          </cell>
          <cell r="K5446">
            <v>2</v>
          </cell>
        </row>
        <row r="5447">
          <cell r="A5447" t="str">
            <v>MC</v>
          </cell>
          <cell r="B5447" t="str">
            <v>BA305</v>
          </cell>
          <cell r="C5447" t="str">
            <v>MOH</v>
          </cell>
          <cell r="D5447" t="str">
            <v>2100</v>
          </cell>
          <cell r="E5447" t="str">
            <v>BALL VA</v>
          </cell>
          <cell r="F5447">
            <v>6</v>
          </cell>
          <cell r="G5447" t="str">
            <v>VB8010100000H00</v>
          </cell>
          <cell r="H5447">
            <v>0.5</v>
          </cell>
          <cell r="I5447" t="str">
            <v>--</v>
          </cell>
          <cell r="J5447">
            <v>2</v>
          </cell>
          <cell r="K5447">
            <v>2</v>
          </cell>
        </row>
        <row r="5448">
          <cell r="A5448" t="str">
            <v>MC</v>
          </cell>
          <cell r="B5448" t="str">
            <v>BA305</v>
          </cell>
          <cell r="C5448" t="str">
            <v>MOH</v>
          </cell>
          <cell r="D5448" t="str">
            <v>2101</v>
          </cell>
          <cell r="E5448" t="str">
            <v>BALL VA</v>
          </cell>
          <cell r="F5448">
            <v>6</v>
          </cell>
          <cell r="G5448" t="str">
            <v>VB8010100000H00</v>
          </cell>
          <cell r="H5448">
            <v>0.5</v>
          </cell>
          <cell r="I5448" t="str">
            <v>--</v>
          </cell>
          <cell r="J5448">
            <v>2</v>
          </cell>
          <cell r="K5448">
            <v>2</v>
          </cell>
        </row>
        <row r="5449">
          <cell r="A5449" t="str">
            <v>MC</v>
          </cell>
          <cell r="B5449" t="str">
            <v>CA304</v>
          </cell>
          <cell r="C5449" t="str">
            <v>MC</v>
          </cell>
          <cell r="D5449" t="str">
            <v>2610</v>
          </cell>
          <cell r="E5449" t="str">
            <v>BALL VA</v>
          </cell>
          <cell r="F5449">
            <v>6</v>
          </cell>
          <cell r="G5449" t="str">
            <v>VB8010100000H00</v>
          </cell>
          <cell r="H5449">
            <v>0.5</v>
          </cell>
          <cell r="I5449" t="str">
            <v>--</v>
          </cell>
          <cell r="J5449">
            <v>2</v>
          </cell>
          <cell r="K5449">
            <v>2</v>
          </cell>
        </row>
        <row r="5450">
          <cell r="A5450" t="str">
            <v>MC</v>
          </cell>
          <cell r="B5450" t="str">
            <v>BA312</v>
          </cell>
          <cell r="C5450" t="str">
            <v>SA98</v>
          </cell>
          <cell r="D5450" t="str">
            <v>2411</v>
          </cell>
          <cell r="E5450" t="str">
            <v>BALL VA</v>
          </cell>
          <cell r="F5450">
            <v>6</v>
          </cell>
          <cell r="G5450" t="str">
            <v>VB3110100000H00</v>
          </cell>
          <cell r="H5450">
            <v>0.5</v>
          </cell>
          <cell r="I5450" t="str">
            <v>--</v>
          </cell>
          <cell r="J5450">
            <v>2</v>
          </cell>
          <cell r="K5450">
            <v>2</v>
          </cell>
        </row>
        <row r="5451">
          <cell r="A5451" t="str">
            <v>MC</v>
          </cell>
          <cell r="B5451" t="str">
            <v>CA304</v>
          </cell>
          <cell r="C5451" t="str">
            <v>MC</v>
          </cell>
          <cell r="D5451" t="str">
            <v>2613</v>
          </cell>
          <cell r="E5451" t="str">
            <v>BALL VA</v>
          </cell>
          <cell r="F5451">
            <v>6</v>
          </cell>
          <cell r="G5451" t="str">
            <v>VB8010100000H00</v>
          </cell>
          <cell r="H5451">
            <v>0.5</v>
          </cell>
          <cell r="I5451" t="str">
            <v>--</v>
          </cell>
          <cell r="J5451">
            <v>2</v>
          </cell>
          <cell r="K5451">
            <v>2</v>
          </cell>
        </row>
        <row r="5452">
          <cell r="A5452" t="str">
            <v>MC</v>
          </cell>
          <cell r="B5452" t="str">
            <v>BA305</v>
          </cell>
          <cell r="C5452" t="str">
            <v>MOH</v>
          </cell>
          <cell r="D5452" t="str">
            <v>2112</v>
          </cell>
          <cell r="E5452" t="str">
            <v>BALL VA</v>
          </cell>
          <cell r="F5452">
            <v>6</v>
          </cell>
          <cell r="G5452" t="str">
            <v>VB8010100000H00</v>
          </cell>
          <cell r="H5452">
            <v>0.5</v>
          </cell>
          <cell r="I5452" t="str">
            <v>--</v>
          </cell>
          <cell r="J5452">
            <v>2</v>
          </cell>
          <cell r="K5452">
            <v>2</v>
          </cell>
        </row>
        <row r="5453">
          <cell r="A5453" t="str">
            <v>MC</v>
          </cell>
          <cell r="B5453" t="str">
            <v>CA304</v>
          </cell>
          <cell r="C5453" t="str">
            <v>SCC</v>
          </cell>
          <cell r="D5453" t="str">
            <v>HOLD</v>
          </cell>
          <cell r="E5453" t="str">
            <v>BALL VA</v>
          </cell>
          <cell r="F5453">
            <v>6</v>
          </cell>
          <cell r="G5453" t="str">
            <v>VB8010100000H00</v>
          </cell>
          <cell r="H5453">
            <v>0.5</v>
          </cell>
          <cell r="I5453" t="str">
            <v>--</v>
          </cell>
          <cell r="J5453">
            <v>2</v>
          </cell>
          <cell r="K5453">
            <v>2</v>
          </cell>
        </row>
        <row r="5454">
          <cell r="A5454" t="str">
            <v>MC</v>
          </cell>
          <cell r="B5454" t="str">
            <v>CA304</v>
          </cell>
          <cell r="C5454" t="str">
            <v>SCC</v>
          </cell>
          <cell r="D5454" t="str">
            <v>HOLD</v>
          </cell>
          <cell r="E5454" t="str">
            <v>BELLOWS VA</v>
          </cell>
          <cell r="F5454">
            <v>6</v>
          </cell>
          <cell r="G5454" t="str">
            <v>VBE8010100000H00</v>
          </cell>
          <cell r="H5454">
            <v>0.5</v>
          </cell>
          <cell r="I5454" t="str">
            <v>--</v>
          </cell>
          <cell r="J5454">
            <v>2</v>
          </cell>
          <cell r="K5454">
            <v>2</v>
          </cell>
        </row>
        <row r="5455">
          <cell r="A5455" t="str">
            <v>MC</v>
          </cell>
          <cell r="B5455" t="str">
            <v>CA307</v>
          </cell>
          <cell r="C5455" t="str">
            <v>HCL</v>
          </cell>
          <cell r="D5455" t="str">
            <v>1100</v>
          </cell>
          <cell r="E5455" t="str">
            <v>GATE VA</v>
          </cell>
          <cell r="F5455">
            <v>6</v>
          </cell>
          <cell r="G5455" t="str">
            <v>VG8010700000H00</v>
          </cell>
          <cell r="H5455">
            <v>0.5</v>
          </cell>
          <cell r="I5455" t="str">
            <v>--</v>
          </cell>
          <cell r="J5455">
            <v>2</v>
          </cell>
          <cell r="K5455">
            <v>2</v>
          </cell>
        </row>
        <row r="5456">
          <cell r="A5456" t="str">
            <v>MC</v>
          </cell>
          <cell r="B5456" t="str">
            <v>CA304</v>
          </cell>
          <cell r="C5456" t="str">
            <v>MC</v>
          </cell>
          <cell r="D5456" t="str">
            <v>2504</v>
          </cell>
          <cell r="E5456" t="str">
            <v>BALL VA</v>
          </cell>
          <cell r="F5456">
            <v>6</v>
          </cell>
          <cell r="G5456" t="str">
            <v>VB8010100000H00</v>
          </cell>
          <cell r="H5456">
            <v>0.5</v>
          </cell>
          <cell r="I5456" t="str">
            <v>--</v>
          </cell>
          <cell r="J5456">
            <v>2</v>
          </cell>
          <cell r="K5456">
            <v>2</v>
          </cell>
        </row>
        <row r="5457">
          <cell r="A5457" t="str">
            <v>MC</v>
          </cell>
          <cell r="B5457" t="str">
            <v>CA304</v>
          </cell>
          <cell r="C5457" t="str">
            <v>MC</v>
          </cell>
          <cell r="D5457" t="str">
            <v>2604</v>
          </cell>
          <cell r="E5457" t="str">
            <v>BALL VA</v>
          </cell>
          <cell r="F5457">
            <v>6</v>
          </cell>
          <cell r="G5457" t="str">
            <v>VB8010100000H00</v>
          </cell>
          <cell r="H5457">
            <v>0.5</v>
          </cell>
          <cell r="I5457" t="str">
            <v>--</v>
          </cell>
          <cell r="J5457">
            <v>2</v>
          </cell>
          <cell r="K5457">
            <v>2</v>
          </cell>
        </row>
        <row r="5458">
          <cell r="A5458" t="str">
            <v>MC</v>
          </cell>
          <cell r="B5458" t="str">
            <v>CA304</v>
          </cell>
          <cell r="C5458" t="str">
            <v>MC</v>
          </cell>
          <cell r="D5458" t="str">
            <v>HOLD</v>
          </cell>
          <cell r="E5458" t="str">
            <v>BALL VA</v>
          </cell>
          <cell r="F5458">
            <v>6</v>
          </cell>
          <cell r="G5458" t="str">
            <v>VB8010100000H00</v>
          </cell>
          <cell r="H5458">
            <v>0.5</v>
          </cell>
          <cell r="I5458" t="str">
            <v>--</v>
          </cell>
          <cell r="J5458">
            <v>1</v>
          </cell>
          <cell r="K5458">
            <v>1</v>
          </cell>
        </row>
        <row r="5459">
          <cell r="A5459" t="str">
            <v>MC</v>
          </cell>
          <cell r="B5459" t="str">
            <v>CA304</v>
          </cell>
          <cell r="C5459" t="str">
            <v>MC</v>
          </cell>
          <cell r="D5459" t="str">
            <v>HOLD</v>
          </cell>
          <cell r="E5459" t="str">
            <v>CHECK VA</v>
          </cell>
          <cell r="F5459">
            <v>6</v>
          </cell>
          <cell r="G5459" t="str">
            <v>VCB8010600000H00</v>
          </cell>
          <cell r="H5459">
            <v>0.5</v>
          </cell>
          <cell r="I5459" t="str">
            <v>--</v>
          </cell>
          <cell r="J5459">
            <v>1</v>
          </cell>
          <cell r="K5459">
            <v>1</v>
          </cell>
        </row>
        <row r="5460">
          <cell r="A5460" t="str">
            <v>MC</v>
          </cell>
          <cell r="B5460" t="str">
            <v>CA304</v>
          </cell>
          <cell r="C5460" t="str">
            <v>SC1</v>
          </cell>
          <cell r="D5460" t="str">
            <v>HOLD</v>
          </cell>
          <cell r="E5460" t="str">
            <v>BELLOWS VA</v>
          </cell>
          <cell r="F5460">
            <v>6</v>
          </cell>
          <cell r="G5460" t="str">
            <v>VBE8010100000H00</v>
          </cell>
          <cell r="H5460">
            <v>0.5</v>
          </cell>
          <cell r="I5460" t="str">
            <v>--</v>
          </cell>
          <cell r="J5460">
            <v>3</v>
          </cell>
          <cell r="K5460">
            <v>3</v>
          </cell>
        </row>
        <row r="5461">
          <cell r="A5461" t="str">
            <v>MC</v>
          </cell>
          <cell r="B5461" t="str">
            <v>B2C</v>
          </cell>
          <cell r="C5461" t="str">
            <v>SH</v>
          </cell>
          <cell r="D5461" t="str">
            <v>1000</v>
          </cell>
          <cell r="E5461" t="str">
            <v>GATE VA</v>
          </cell>
          <cell r="F5461">
            <v>6</v>
          </cell>
          <cell r="G5461" t="str">
            <v>VG8010100000T00</v>
          </cell>
          <cell r="H5461">
            <v>0.75</v>
          </cell>
          <cell r="I5461" t="str">
            <v>--</v>
          </cell>
          <cell r="J5461">
            <v>6</v>
          </cell>
          <cell r="K5461">
            <v>6</v>
          </cell>
        </row>
        <row r="5462">
          <cell r="A5462" t="str">
            <v>MC</v>
          </cell>
          <cell r="B5462" t="str">
            <v>B2C</v>
          </cell>
          <cell r="C5462" t="str">
            <v>SH</v>
          </cell>
          <cell r="D5462" t="str">
            <v>1260</v>
          </cell>
          <cell r="E5462" t="str">
            <v>GATE VA</v>
          </cell>
          <cell r="F5462">
            <v>6</v>
          </cell>
          <cell r="G5462" t="str">
            <v>VG8010400000T00</v>
          </cell>
          <cell r="H5462">
            <v>0.75</v>
          </cell>
          <cell r="I5462" t="str">
            <v>--</v>
          </cell>
          <cell r="J5462">
            <v>1</v>
          </cell>
          <cell r="K5462">
            <v>1</v>
          </cell>
        </row>
        <row r="5463">
          <cell r="A5463" t="str">
            <v>MC</v>
          </cell>
          <cell r="B5463" t="str">
            <v>B2C</v>
          </cell>
          <cell r="C5463" t="str">
            <v>SH</v>
          </cell>
          <cell r="D5463" t="str">
            <v>1260</v>
          </cell>
          <cell r="E5463" t="str">
            <v>GATE VA</v>
          </cell>
          <cell r="F5463">
            <v>6</v>
          </cell>
          <cell r="G5463" t="str">
            <v>VG8010100000T00</v>
          </cell>
          <cell r="H5463">
            <v>0.75</v>
          </cell>
          <cell r="I5463" t="str">
            <v>--</v>
          </cell>
          <cell r="J5463">
            <v>2</v>
          </cell>
          <cell r="K5463">
            <v>2</v>
          </cell>
        </row>
        <row r="5464">
          <cell r="A5464" t="str">
            <v>MC</v>
          </cell>
          <cell r="B5464" t="str">
            <v>B2C</v>
          </cell>
          <cell r="C5464" t="str">
            <v>SH</v>
          </cell>
          <cell r="D5464" t="str">
            <v>1360</v>
          </cell>
          <cell r="E5464" t="str">
            <v>GATE VA</v>
          </cell>
          <cell r="F5464">
            <v>6</v>
          </cell>
          <cell r="G5464" t="str">
            <v>VG8010400000T00</v>
          </cell>
          <cell r="H5464">
            <v>0.75</v>
          </cell>
          <cell r="I5464" t="str">
            <v>--</v>
          </cell>
          <cell r="J5464">
            <v>1</v>
          </cell>
          <cell r="K5464">
            <v>1</v>
          </cell>
        </row>
        <row r="5465">
          <cell r="A5465" t="str">
            <v>MC</v>
          </cell>
          <cell r="B5465" t="str">
            <v>B2C</v>
          </cell>
          <cell r="C5465" t="str">
            <v>SH</v>
          </cell>
          <cell r="D5465" t="str">
            <v>1360</v>
          </cell>
          <cell r="E5465" t="str">
            <v>GATE VA</v>
          </cell>
          <cell r="F5465">
            <v>6</v>
          </cell>
          <cell r="G5465" t="str">
            <v>VG8010100000T00</v>
          </cell>
          <cell r="H5465">
            <v>0.75</v>
          </cell>
          <cell r="I5465" t="str">
            <v>--</v>
          </cell>
          <cell r="J5465">
            <v>1</v>
          </cell>
          <cell r="K5465">
            <v>1</v>
          </cell>
        </row>
        <row r="5466">
          <cell r="A5466" t="str">
            <v>MC</v>
          </cell>
          <cell r="B5466" t="str">
            <v>B2C</v>
          </cell>
          <cell r="C5466" t="str">
            <v>SH</v>
          </cell>
          <cell r="D5466" t="str">
            <v>1460</v>
          </cell>
          <cell r="E5466" t="str">
            <v>GATE VA</v>
          </cell>
          <cell r="F5466">
            <v>6</v>
          </cell>
          <cell r="G5466" t="str">
            <v>VG8010100000T00</v>
          </cell>
          <cell r="H5466">
            <v>0.75</v>
          </cell>
          <cell r="I5466" t="str">
            <v>--</v>
          </cell>
          <cell r="J5466">
            <v>2</v>
          </cell>
          <cell r="K5466">
            <v>2</v>
          </cell>
        </row>
        <row r="5467">
          <cell r="A5467" t="str">
            <v>MC</v>
          </cell>
          <cell r="B5467" t="str">
            <v>B2C</v>
          </cell>
          <cell r="C5467" t="str">
            <v>SH</v>
          </cell>
          <cell r="D5467" t="str">
            <v>1405</v>
          </cell>
          <cell r="E5467" t="str">
            <v>GATE VA</v>
          </cell>
          <cell r="F5467">
            <v>6</v>
          </cell>
          <cell r="G5467" t="str">
            <v>VG8010100000T00</v>
          </cell>
          <cell r="H5467">
            <v>0.75</v>
          </cell>
          <cell r="I5467" t="str">
            <v>--</v>
          </cell>
          <cell r="J5467">
            <v>1</v>
          </cell>
          <cell r="K5467">
            <v>1</v>
          </cell>
        </row>
        <row r="5468">
          <cell r="A5468" t="str">
            <v>MC</v>
          </cell>
          <cell r="B5468" t="str">
            <v>B2C</v>
          </cell>
          <cell r="C5468" t="str">
            <v>SH</v>
          </cell>
          <cell r="D5468" t="str">
            <v>1405</v>
          </cell>
          <cell r="E5468" t="str">
            <v>GATE VA</v>
          </cell>
          <cell r="F5468">
            <v>6</v>
          </cell>
          <cell r="G5468" t="str">
            <v>VG8010400000T00</v>
          </cell>
          <cell r="H5468">
            <v>0.75</v>
          </cell>
          <cell r="I5468" t="str">
            <v>--</v>
          </cell>
          <cell r="J5468">
            <v>1</v>
          </cell>
          <cell r="K5468">
            <v>1</v>
          </cell>
        </row>
        <row r="5469">
          <cell r="A5469" t="str">
            <v>MC</v>
          </cell>
          <cell r="B5469" t="str">
            <v>B2C</v>
          </cell>
          <cell r="C5469" t="str">
            <v>SH</v>
          </cell>
          <cell r="D5469" t="str">
            <v>1460</v>
          </cell>
          <cell r="E5469" t="str">
            <v>GATE VA</v>
          </cell>
          <cell r="F5469">
            <v>6</v>
          </cell>
          <cell r="G5469" t="str">
            <v>VG8010400000T00</v>
          </cell>
          <cell r="H5469">
            <v>0.75</v>
          </cell>
          <cell r="I5469" t="str">
            <v>--</v>
          </cell>
          <cell r="J5469">
            <v>1</v>
          </cell>
          <cell r="K5469">
            <v>1</v>
          </cell>
        </row>
        <row r="5470">
          <cell r="A5470" t="str">
            <v>MC</v>
          </cell>
          <cell r="B5470" t="str">
            <v>CA304</v>
          </cell>
          <cell r="C5470" t="str">
            <v>CMC</v>
          </cell>
          <cell r="D5470" t="str">
            <v>HOLD</v>
          </cell>
          <cell r="E5470" t="str">
            <v>BALL VA</v>
          </cell>
          <cell r="F5470">
            <v>6</v>
          </cell>
          <cell r="G5470" t="str">
            <v>VB8010100000T00</v>
          </cell>
          <cell r="H5470">
            <v>0.75</v>
          </cell>
          <cell r="I5470" t="str">
            <v>--</v>
          </cell>
          <cell r="J5470">
            <v>1</v>
          </cell>
          <cell r="K5470">
            <v>1</v>
          </cell>
        </row>
        <row r="5471">
          <cell r="A5471" t="str">
            <v>MC</v>
          </cell>
          <cell r="B5471" t="str">
            <v>CA304</v>
          </cell>
          <cell r="C5471" t="str">
            <v>CMC</v>
          </cell>
          <cell r="D5471" t="str">
            <v>HOLD</v>
          </cell>
          <cell r="E5471" t="str">
            <v>BALL VA</v>
          </cell>
          <cell r="F5471">
            <v>6</v>
          </cell>
          <cell r="G5471" t="str">
            <v>VB8010100000T00</v>
          </cell>
          <cell r="H5471">
            <v>0.75</v>
          </cell>
          <cell r="I5471" t="str">
            <v>--</v>
          </cell>
          <cell r="J5471">
            <v>2</v>
          </cell>
          <cell r="K5471">
            <v>2</v>
          </cell>
        </row>
        <row r="5472">
          <cell r="A5472" t="str">
            <v>MC</v>
          </cell>
          <cell r="B5472" t="str">
            <v>CA304</v>
          </cell>
          <cell r="C5472" t="str">
            <v>CMC</v>
          </cell>
          <cell r="D5472" t="str">
            <v>HOLD</v>
          </cell>
          <cell r="E5472" t="str">
            <v>BALL VA</v>
          </cell>
          <cell r="F5472">
            <v>6</v>
          </cell>
          <cell r="G5472" t="str">
            <v>VB8010100000T00</v>
          </cell>
          <cell r="H5472">
            <v>0.75</v>
          </cell>
          <cell r="I5472" t="str">
            <v>--</v>
          </cell>
          <cell r="J5472">
            <v>2</v>
          </cell>
          <cell r="K5472">
            <v>2</v>
          </cell>
        </row>
        <row r="5473">
          <cell r="A5473" t="str">
            <v>MC</v>
          </cell>
          <cell r="B5473" t="str">
            <v>CA304</v>
          </cell>
          <cell r="C5473" t="str">
            <v>CMC</v>
          </cell>
          <cell r="D5473" t="str">
            <v>HOLD</v>
          </cell>
          <cell r="E5473" t="str">
            <v>BALL VA</v>
          </cell>
          <cell r="F5473">
            <v>6</v>
          </cell>
          <cell r="G5473" t="str">
            <v>VB8010100000T00</v>
          </cell>
          <cell r="H5473">
            <v>0.75</v>
          </cell>
          <cell r="I5473" t="str">
            <v>--</v>
          </cell>
          <cell r="J5473">
            <v>1</v>
          </cell>
          <cell r="K5473">
            <v>1</v>
          </cell>
        </row>
        <row r="5474">
          <cell r="A5474" t="str">
            <v>MC</v>
          </cell>
          <cell r="B5474" t="str">
            <v>CA304</v>
          </cell>
          <cell r="C5474" t="str">
            <v>CMC</v>
          </cell>
          <cell r="D5474" t="str">
            <v>HOLD</v>
          </cell>
          <cell r="E5474" t="str">
            <v>BALL VA</v>
          </cell>
          <cell r="F5474">
            <v>6</v>
          </cell>
          <cell r="G5474" t="str">
            <v>VB8010100000T00</v>
          </cell>
          <cell r="H5474">
            <v>0.75</v>
          </cell>
          <cell r="I5474" t="str">
            <v>--</v>
          </cell>
          <cell r="J5474">
            <v>2</v>
          </cell>
          <cell r="K5474">
            <v>2</v>
          </cell>
        </row>
        <row r="5475">
          <cell r="A5475" t="str">
            <v>MC</v>
          </cell>
          <cell r="B5475" t="str">
            <v>CA304</v>
          </cell>
          <cell r="C5475" t="str">
            <v>CMC</v>
          </cell>
          <cell r="D5475" t="str">
            <v>HOLD</v>
          </cell>
          <cell r="E5475" t="str">
            <v>BALL VA</v>
          </cell>
          <cell r="F5475">
            <v>6</v>
          </cell>
          <cell r="G5475" t="str">
            <v>VB8010100000T00</v>
          </cell>
          <cell r="H5475">
            <v>0.75</v>
          </cell>
          <cell r="I5475" t="str">
            <v>--</v>
          </cell>
          <cell r="J5475">
            <v>4</v>
          </cell>
          <cell r="K5475">
            <v>4</v>
          </cell>
        </row>
        <row r="5476">
          <cell r="A5476" t="str">
            <v>MC</v>
          </cell>
          <cell r="B5476" t="str">
            <v>CA304</v>
          </cell>
          <cell r="C5476" t="str">
            <v>MC</v>
          </cell>
          <cell r="D5476" t="str">
            <v>2410</v>
          </cell>
          <cell r="E5476" t="str">
            <v>BALL VA</v>
          </cell>
          <cell r="F5476">
            <v>6</v>
          </cell>
          <cell r="G5476" t="str">
            <v>VB8010100000T00</v>
          </cell>
          <cell r="H5476">
            <v>0.75</v>
          </cell>
          <cell r="I5476" t="str">
            <v>--</v>
          </cell>
          <cell r="J5476">
            <v>1</v>
          </cell>
          <cell r="K5476">
            <v>1</v>
          </cell>
        </row>
        <row r="5477">
          <cell r="A5477" t="str">
            <v>MC</v>
          </cell>
          <cell r="B5477" t="str">
            <v>CA304</v>
          </cell>
          <cell r="C5477" t="str">
            <v>MC</v>
          </cell>
          <cell r="D5477" t="str">
            <v>2410</v>
          </cell>
          <cell r="E5477" t="str">
            <v>BALL VA</v>
          </cell>
          <cell r="F5477">
            <v>6</v>
          </cell>
          <cell r="G5477" t="str">
            <v>VB8010100000T00</v>
          </cell>
          <cell r="H5477">
            <v>0.75</v>
          </cell>
          <cell r="I5477" t="str">
            <v>--</v>
          </cell>
          <cell r="J5477">
            <v>1</v>
          </cell>
          <cell r="K5477">
            <v>1</v>
          </cell>
        </row>
        <row r="5478">
          <cell r="A5478" t="str">
            <v>MC</v>
          </cell>
          <cell r="B5478" t="str">
            <v>CA304</v>
          </cell>
          <cell r="C5478" t="str">
            <v>MC</v>
          </cell>
          <cell r="D5478" t="str">
            <v>2505</v>
          </cell>
          <cell r="E5478" t="str">
            <v>BALL VA</v>
          </cell>
          <cell r="F5478">
            <v>6</v>
          </cell>
          <cell r="G5478" t="str">
            <v>VB8010100000T00</v>
          </cell>
          <cell r="H5478">
            <v>0.75</v>
          </cell>
          <cell r="I5478" t="str">
            <v>--</v>
          </cell>
          <cell r="J5478">
            <v>2</v>
          </cell>
          <cell r="K5478">
            <v>2</v>
          </cell>
        </row>
        <row r="5479">
          <cell r="A5479" t="str">
            <v>MC</v>
          </cell>
          <cell r="B5479" t="str">
            <v>CA304</v>
          </cell>
          <cell r="C5479" t="str">
            <v>MC</v>
          </cell>
          <cell r="D5479" t="str">
            <v>2601</v>
          </cell>
          <cell r="E5479" t="str">
            <v>BALL VA</v>
          </cell>
          <cell r="F5479">
            <v>6</v>
          </cell>
          <cell r="G5479" t="str">
            <v>VB8010100000T00</v>
          </cell>
          <cell r="H5479">
            <v>0.75</v>
          </cell>
          <cell r="I5479" t="str">
            <v>--</v>
          </cell>
          <cell r="J5479">
            <v>1</v>
          </cell>
          <cell r="K5479">
            <v>1</v>
          </cell>
        </row>
        <row r="5480">
          <cell r="A5480" t="str">
            <v>MC</v>
          </cell>
          <cell r="B5480" t="str">
            <v>CA304</v>
          </cell>
          <cell r="C5480" t="str">
            <v>MC</v>
          </cell>
          <cell r="D5480" t="str">
            <v>2607</v>
          </cell>
          <cell r="E5480" t="str">
            <v>BALL VA</v>
          </cell>
          <cell r="F5480">
            <v>6</v>
          </cell>
          <cell r="G5480" t="str">
            <v>VB8010100000T00</v>
          </cell>
          <cell r="H5480">
            <v>0.75</v>
          </cell>
          <cell r="I5480" t="str">
            <v>--</v>
          </cell>
          <cell r="J5480">
            <v>1</v>
          </cell>
          <cell r="K5480">
            <v>1</v>
          </cell>
        </row>
        <row r="5481">
          <cell r="A5481" t="str">
            <v>MC</v>
          </cell>
          <cell r="B5481" t="str">
            <v>CA304</v>
          </cell>
          <cell r="C5481" t="str">
            <v>MC</v>
          </cell>
          <cell r="D5481" t="str">
            <v>2609</v>
          </cell>
          <cell r="E5481" t="str">
            <v>BALL VA</v>
          </cell>
          <cell r="F5481">
            <v>6</v>
          </cell>
          <cell r="G5481" t="str">
            <v>VB8010100000T00</v>
          </cell>
          <cell r="H5481">
            <v>0.75</v>
          </cell>
          <cell r="I5481" t="str">
            <v>--</v>
          </cell>
          <cell r="J5481">
            <v>1</v>
          </cell>
          <cell r="K5481">
            <v>1</v>
          </cell>
        </row>
        <row r="5482">
          <cell r="A5482" t="str">
            <v>MC</v>
          </cell>
          <cell r="B5482" t="str">
            <v>CA304</v>
          </cell>
          <cell r="C5482" t="str">
            <v>MC</v>
          </cell>
          <cell r="D5482" t="str">
            <v>2412</v>
          </cell>
          <cell r="E5482" t="str">
            <v>BALL VA</v>
          </cell>
          <cell r="F5482">
            <v>6</v>
          </cell>
          <cell r="G5482" t="str">
            <v>VB8010100000T00</v>
          </cell>
          <cell r="H5482">
            <v>0.75</v>
          </cell>
          <cell r="I5482" t="str">
            <v>--</v>
          </cell>
          <cell r="J5482">
            <v>1</v>
          </cell>
          <cell r="K5482">
            <v>1</v>
          </cell>
        </row>
        <row r="5483">
          <cell r="A5483" t="str">
            <v>MC</v>
          </cell>
          <cell r="B5483" t="str">
            <v>CA304</v>
          </cell>
          <cell r="C5483" t="str">
            <v>MC</v>
          </cell>
          <cell r="D5483" t="str">
            <v>2501</v>
          </cell>
          <cell r="E5483" t="str">
            <v>BALL VA</v>
          </cell>
          <cell r="F5483">
            <v>6</v>
          </cell>
          <cell r="G5483" t="str">
            <v>VB8010100000T00</v>
          </cell>
          <cell r="H5483">
            <v>0.75</v>
          </cell>
          <cell r="I5483" t="str">
            <v>--</v>
          </cell>
          <cell r="J5483">
            <v>1</v>
          </cell>
          <cell r="K5483">
            <v>1</v>
          </cell>
        </row>
        <row r="5484">
          <cell r="A5484" t="str">
            <v>MC</v>
          </cell>
          <cell r="B5484" t="str">
            <v>CA304</v>
          </cell>
          <cell r="C5484" t="str">
            <v>MC</v>
          </cell>
          <cell r="D5484" t="str">
            <v>2501</v>
          </cell>
          <cell r="E5484" t="str">
            <v>BALL VA</v>
          </cell>
          <cell r="F5484">
            <v>6</v>
          </cell>
          <cell r="G5484" t="str">
            <v>VB8010100000T00</v>
          </cell>
          <cell r="H5484">
            <v>0.75</v>
          </cell>
          <cell r="I5484" t="str">
            <v>--</v>
          </cell>
          <cell r="J5484">
            <v>3</v>
          </cell>
          <cell r="K5484">
            <v>3</v>
          </cell>
        </row>
        <row r="5485">
          <cell r="A5485" t="str">
            <v>MC</v>
          </cell>
          <cell r="B5485" t="str">
            <v>CA304</v>
          </cell>
          <cell r="C5485" t="str">
            <v>MC</v>
          </cell>
          <cell r="D5485" t="str">
            <v>2501</v>
          </cell>
          <cell r="E5485" t="str">
            <v>BALL VA</v>
          </cell>
          <cell r="F5485">
            <v>6</v>
          </cell>
          <cell r="G5485" t="str">
            <v>VB8010100000T00</v>
          </cell>
          <cell r="H5485">
            <v>0.75</v>
          </cell>
          <cell r="I5485" t="str">
            <v>--</v>
          </cell>
          <cell r="J5485">
            <v>3</v>
          </cell>
          <cell r="K5485">
            <v>3</v>
          </cell>
        </row>
        <row r="5486">
          <cell r="A5486" t="str">
            <v>MC</v>
          </cell>
          <cell r="B5486" t="str">
            <v>CA304</v>
          </cell>
          <cell r="C5486" t="str">
            <v>MC</v>
          </cell>
          <cell r="D5486" t="str">
            <v>2612</v>
          </cell>
          <cell r="E5486" t="str">
            <v>BALL VA</v>
          </cell>
          <cell r="F5486">
            <v>6</v>
          </cell>
          <cell r="G5486" t="str">
            <v>VB8010100000T00</v>
          </cell>
          <cell r="H5486">
            <v>0.75</v>
          </cell>
          <cell r="I5486" t="str">
            <v>--</v>
          </cell>
          <cell r="J5486">
            <v>4</v>
          </cell>
          <cell r="K5486">
            <v>4</v>
          </cell>
        </row>
        <row r="5487">
          <cell r="A5487" t="str">
            <v>MC</v>
          </cell>
          <cell r="B5487" t="str">
            <v>BA305</v>
          </cell>
          <cell r="C5487" t="str">
            <v>MOH</v>
          </cell>
          <cell r="D5487" t="str">
            <v>2100</v>
          </cell>
          <cell r="E5487" t="str">
            <v>BALL VA</v>
          </cell>
          <cell r="F5487">
            <v>6</v>
          </cell>
          <cell r="G5487" t="str">
            <v>VB8010100000T00</v>
          </cell>
          <cell r="H5487">
            <v>0.75</v>
          </cell>
          <cell r="I5487" t="str">
            <v>--</v>
          </cell>
          <cell r="J5487">
            <v>1</v>
          </cell>
          <cell r="K5487">
            <v>1</v>
          </cell>
        </row>
        <row r="5488">
          <cell r="A5488" t="str">
            <v>MC</v>
          </cell>
          <cell r="B5488" t="str">
            <v>BA305</v>
          </cell>
          <cell r="C5488" t="str">
            <v>MOH</v>
          </cell>
          <cell r="D5488" t="str">
            <v>2101</v>
          </cell>
          <cell r="E5488" t="str">
            <v>BALL VA</v>
          </cell>
          <cell r="F5488">
            <v>6</v>
          </cell>
          <cell r="G5488" t="str">
            <v>VB8010100000T00</v>
          </cell>
          <cell r="H5488">
            <v>0.75</v>
          </cell>
          <cell r="I5488" t="str">
            <v>--</v>
          </cell>
          <cell r="J5488">
            <v>2</v>
          </cell>
          <cell r="K5488">
            <v>2</v>
          </cell>
        </row>
        <row r="5489">
          <cell r="A5489" t="str">
            <v>MC</v>
          </cell>
          <cell r="B5489" t="str">
            <v>BA312</v>
          </cell>
          <cell r="C5489" t="str">
            <v>SA98</v>
          </cell>
          <cell r="D5489" t="str">
            <v>2411</v>
          </cell>
          <cell r="E5489" t="str">
            <v>BALL VA</v>
          </cell>
          <cell r="F5489">
            <v>6</v>
          </cell>
          <cell r="G5489" t="str">
            <v>VB3110100000T00</v>
          </cell>
          <cell r="H5489">
            <v>0.75</v>
          </cell>
          <cell r="I5489" t="str">
            <v>--</v>
          </cell>
          <cell r="J5489">
            <v>2</v>
          </cell>
          <cell r="K5489">
            <v>2</v>
          </cell>
        </row>
        <row r="5490">
          <cell r="A5490" t="str">
            <v>MC</v>
          </cell>
          <cell r="B5490" t="str">
            <v>CA304</v>
          </cell>
          <cell r="C5490" t="str">
            <v>TRIM</v>
          </cell>
          <cell r="D5490" t="str">
            <v>V-1260A/B</v>
          </cell>
          <cell r="E5490" t="str">
            <v>BALL VA</v>
          </cell>
          <cell r="F5490">
            <v>6</v>
          </cell>
          <cell r="G5490" t="str">
            <v>VB8010100000T00</v>
          </cell>
          <cell r="H5490">
            <v>0.75</v>
          </cell>
          <cell r="I5490" t="str">
            <v>--</v>
          </cell>
          <cell r="J5490">
            <v>2</v>
          </cell>
          <cell r="K5490">
            <v>2</v>
          </cell>
        </row>
        <row r="5491">
          <cell r="A5491" t="str">
            <v>MC</v>
          </cell>
          <cell r="B5491" t="str">
            <v>BA302</v>
          </cell>
          <cell r="C5491" t="str">
            <v>SD20</v>
          </cell>
          <cell r="D5491" t="str">
            <v>2301</v>
          </cell>
          <cell r="E5491" t="str">
            <v>BALL VA</v>
          </cell>
          <cell r="F5491">
            <v>6</v>
          </cell>
          <cell r="G5491" t="str">
            <v>VB8010100000T00</v>
          </cell>
          <cell r="H5491">
            <v>0.75</v>
          </cell>
          <cell r="I5491" t="str">
            <v>--</v>
          </cell>
          <cell r="J5491">
            <v>2</v>
          </cell>
          <cell r="K5491">
            <v>2</v>
          </cell>
        </row>
        <row r="5492">
          <cell r="A5492" t="str">
            <v>MC</v>
          </cell>
          <cell r="B5492" t="str">
            <v>CA304</v>
          </cell>
          <cell r="C5492" t="str">
            <v>VT</v>
          </cell>
          <cell r="D5492" t="str">
            <v>HOLD</v>
          </cell>
          <cell r="E5492" t="str">
            <v>BALL VA</v>
          </cell>
          <cell r="F5492">
            <v>6</v>
          </cell>
          <cell r="G5492" t="str">
            <v>VB8010100000T00</v>
          </cell>
          <cell r="H5492">
            <v>0.75</v>
          </cell>
          <cell r="I5492" t="str">
            <v>--</v>
          </cell>
          <cell r="J5492">
            <v>8</v>
          </cell>
          <cell r="K5492">
            <v>8</v>
          </cell>
        </row>
        <row r="5493">
          <cell r="A5493" t="str">
            <v>MC</v>
          </cell>
          <cell r="B5493" t="str">
            <v>CA304</v>
          </cell>
          <cell r="C5493" t="str">
            <v>VT</v>
          </cell>
          <cell r="D5493" t="str">
            <v>HOLD</v>
          </cell>
          <cell r="E5493" t="str">
            <v>BALL VA</v>
          </cell>
          <cell r="F5493">
            <v>6</v>
          </cell>
          <cell r="G5493" t="str">
            <v>VB8010100000T00</v>
          </cell>
          <cell r="H5493">
            <v>0.75</v>
          </cell>
          <cell r="I5493" t="str">
            <v>--</v>
          </cell>
          <cell r="J5493">
            <v>4</v>
          </cell>
          <cell r="K5493">
            <v>4</v>
          </cell>
        </row>
        <row r="5494">
          <cell r="A5494" t="str">
            <v>MC</v>
          </cell>
          <cell r="B5494" t="str">
            <v>CA304</v>
          </cell>
          <cell r="C5494" t="str">
            <v>TRIM</v>
          </cell>
          <cell r="D5494" t="str">
            <v>E-1260</v>
          </cell>
          <cell r="E5494" t="str">
            <v>BALL VA</v>
          </cell>
          <cell r="F5494">
            <v>6</v>
          </cell>
          <cell r="G5494" t="str">
            <v>VB8010100000T00</v>
          </cell>
          <cell r="H5494">
            <v>0.75</v>
          </cell>
          <cell r="I5494" t="str">
            <v>--</v>
          </cell>
          <cell r="J5494">
            <v>1</v>
          </cell>
          <cell r="K5494">
            <v>1</v>
          </cell>
        </row>
        <row r="5495">
          <cell r="A5495" t="str">
            <v>MC</v>
          </cell>
          <cell r="B5495" t="str">
            <v>CA304</v>
          </cell>
          <cell r="C5495" t="str">
            <v>TRIM</v>
          </cell>
          <cell r="D5495" t="str">
            <v>F-1251</v>
          </cell>
          <cell r="E5495" t="str">
            <v>BALL VA</v>
          </cell>
          <cell r="F5495">
            <v>6</v>
          </cell>
          <cell r="G5495" t="str">
            <v>VB8010100000T00</v>
          </cell>
          <cell r="H5495">
            <v>0.75</v>
          </cell>
          <cell r="I5495" t="str">
            <v>--</v>
          </cell>
          <cell r="J5495">
            <v>2</v>
          </cell>
          <cell r="K5495">
            <v>2</v>
          </cell>
        </row>
        <row r="5496">
          <cell r="A5496" t="str">
            <v>MC</v>
          </cell>
          <cell r="B5496" t="str">
            <v>CA304</v>
          </cell>
          <cell r="C5496" t="str">
            <v>TRIM</v>
          </cell>
          <cell r="D5496" t="str">
            <v>V-1260A/B</v>
          </cell>
          <cell r="E5496" t="str">
            <v>BALL VA</v>
          </cell>
          <cell r="F5496">
            <v>6</v>
          </cell>
          <cell r="G5496" t="str">
            <v>VB8010100000T00</v>
          </cell>
          <cell r="H5496">
            <v>0.75</v>
          </cell>
          <cell r="I5496" t="str">
            <v>--</v>
          </cell>
          <cell r="J5496">
            <v>2</v>
          </cell>
          <cell r="K5496">
            <v>2</v>
          </cell>
        </row>
        <row r="5497">
          <cell r="A5497" t="str">
            <v>MC</v>
          </cell>
          <cell r="B5497" t="str">
            <v>CA304</v>
          </cell>
          <cell r="C5497" t="str">
            <v>MC</v>
          </cell>
          <cell r="D5497" t="str">
            <v>2506</v>
          </cell>
          <cell r="E5497" t="str">
            <v>BALL VA</v>
          </cell>
          <cell r="F5497">
            <v>6</v>
          </cell>
          <cell r="G5497" t="str">
            <v>VB8010100000T00</v>
          </cell>
          <cell r="H5497">
            <v>0.75</v>
          </cell>
          <cell r="I5497" t="str">
            <v>--</v>
          </cell>
          <cell r="J5497">
            <v>1</v>
          </cell>
          <cell r="K5497">
            <v>1</v>
          </cell>
        </row>
        <row r="5498">
          <cell r="A5498" t="str">
            <v>MC</v>
          </cell>
          <cell r="B5498" t="str">
            <v>CA304</v>
          </cell>
          <cell r="C5498" t="str">
            <v>MC</v>
          </cell>
          <cell r="D5498" t="str">
            <v>2607</v>
          </cell>
          <cell r="E5498" t="str">
            <v>BALL VA</v>
          </cell>
          <cell r="F5498">
            <v>6</v>
          </cell>
          <cell r="G5498" t="str">
            <v>VB8010100000T00</v>
          </cell>
          <cell r="H5498">
            <v>0.75</v>
          </cell>
          <cell r="I5498" t="str">
            <v>--</v>
          </cell>
          <cell r="J5498">
            <v>2</v>
          </cell>
          <cell r="K5498">
            <v>2</v>
          </cell>
        </row>
        <row r="5499">
          <cell r="A5499" t="str">
            <v>MC</v>
          </cell>
          <cell r="B5499" t="str">
            <v>BA305</v>
          </cell>
          <cell r="C5499" t="str">
            <v>MOH</v>
          </cell>
          <cell r="D5499" t="str">
            <v>2002</v>
          </cell>
          <cell r="E5499" t="str">
            <v>BALL VA</v>
          </cell>
          <cell r="F5499">
            <v>6</v>
          </cell>
          <cell r="G5499" t="str">
            <v>VB8010100000T00</v>
          </cell>
          <cell r="H5499">
            <v>0.75</v>
          </cell>
          <cell r="I5499" t="str">
            <v>--</v>
          </cell>
          <cell r="J5499">
            <v>1</v>
          </cell>
          <cell r="K5499">
            <v>1</v>
          </cell>
        </row>
        <row r="5500">
          <cell r="A5500" t="str">
            <v>MC</v>
          </cell>
          <cell r="B5500" t="str">
            <v>BA305</v>
          </cell>
          <cell r="C5500" t="str">
            <v>MOH</v>
          </cell>
          <cell r="D5500" t="str">
            <v>2112</v>
          </cell>
          <cell r="E5500" t="str">
            <v>BALL VA</v>
          </cell>
          <cell r="F5500">
            <v>6</v>
          </cell>
          <cell r="G5500" t="str">
            <v>VB8010100000T00</v>
          </cell>
          <cell r="H5500">
            <v>0.75</v>
          </cell>
          <cell r="I5500" t="str">
            <v>--</v>
          </cell>
          <cell r="J5500">
            <v>1</v>
          </cell>
          <cell r="K5500">
            <v>1</v>
          </cell>
        </row>
        <row r="5501">
          <cell r="A5501" t="str">
            <v>MC</v>
          </cell>
          <cell r="B5501" t="str">
            <v>CA304</v>
          </cell>
          <cell r="C5501" t="str">
            <v>SCC</v>
          </cell>
          <cell r="D5501" t="str">
            <v>HOLD</v>
          </cell>
          <cell r="E5501" t="str">
            <v>BALL VA</v>
          </cell>
          <cell r="F5501">
            <v>6</v>
          </cell>
          <cell r="G5501" t="str">
            <v>VB8010100000T00</v>
          </cell>
          <cell r="H5501">
            <v>0.75</v>
          </cell>
          <cell r="I5501" t="str">
            <v>--</v>
          </cell>
          <cell r="J5501">
            <v>6</v>
          </cell>
          <cell r="K5501">
            <v>6</v>
          </cell>
        </row>
        <row r="5502">
          <cell r="A5502" t="str">
            <v>MC</v>
          </cell>
          <cell r="B5502" t="str">
            <v>CA304</v>
          </cell>
          <cell r="C5502" t="str">
            <v>TRIM</v>
          </cell>
          <cell r="D5502" t="str">
            <v>E-1261</v>
          </cell>
          <cell r="E5502" t="str">
            <v>BALL VA</v>
          </cell>
          <cell r="F5502">
            <v>6</v>
          </cell>
          <cell r="G5502" t="str">
            <v>VB8010100000T00</v>
          </cell>
          <cell r="H5502">
            <v>0.75</v>
          </cell>
          <cell r="I5502" t="str">
            <v>--</v>
          </cell>
          <cell r="J5502">
            <v>9</v>
          </cell>
          <cell r="K5502">
            <v>9</v>
          </cell>
        </row>
        <row r="5503">
          <cell r="A5503" t="str">
            <v>MC</v>
          </cell>
          <cell r="B5503" t="str">
            <v>CA307</v>
          </cell>
          <cell r="C5503" t="str">
            <v>HCL</v>
          </cell>
          <cell r="D5503" t="str">
            <v>1100</v>
          </cell>
          <cell r="E5503" t="str">
            <v>GATE VA</v>
          </cell>
          <cell r="F5503">
            <v>6</v>
          </cell>
          <cell r="G5503" t="str">
            <v>VG8010700000T00</v>
          </cell>
          <cell r="H5503">
            <v>0.75</v>
          </cell>
          <cell r="I5503" t="str">
            <v>--</v>
          </cell>
          <cell r="J5503">
            <v>2</v>
          </cell>
          <cell r="K5503">
            <v>2</v>
          </cell>
        </row>
        <row r="5504">
          <cell r="A5504" t="str">
            <v>MC</v>
          </cell>
          <cell r="B5504" t="str">
            <v>CA307</v>
          </cell>
          <cell r="C5504" t="str">
            <v>HCL</v>
          </cell>
          <cell r="D5504" t="str">
            <v>1100</v>
          </cell>
          <cell r="E5504" t="str">
            <v>GATE VA</v>
          </cell>
          <cell r="F5504">
            <v>6</v>
          </cell>
          <cell r="G5504" t="str">
            <v>VG8010200000T00</v>
          </cell>
          <cell r="H5504">
            <v>0.75</v>
          </cell>
          <cell r="I5504" t="str">
            <v>--</v>
          </cell>
          <cell r="J5504">
            <v>2</v>
          </cell>
          <cell r="K5504">
            <v>2</v>
          </cell>
        </row>
        <row r="5505">
          <cell r="A5505" t="str">
            <v>MC</v>
          </cell>
          <cell r="B5505" t="str">
            <v>BA305</v>
          </cell>
          <cell r="C5505" t="str">
            <v>MOH</v>
          </cell>
          <cell r="D5505" t="str">
            <v>2112</v>
          </cell>
          <cell r="E5505" t="str">
            <v>GLOBE VA</v>
          </cell>
          <cell r="F5505">
            <v>6</v>
          </cell>
          <cell r="G5505" t="str">
            <v>VL8010700000T00</v>
          </cell>
          <cell r="H5505">
            <v>0.75</v>
          </cell>
          <cell r="I5505" t="str">
            <v>--</v>
          </cell>
          <cell r="J5505">
            <v>1</v>
          </cell>
          <cell r="K5505">
            <v>1</v>
          </cell>
        </row>
        <row r="5506">
          <cell r="A5506" t="str">
            <v>MC</v>
          </cell>
          <cell r="B5506" t="str">
            <v>BA305</v>
          </cell>
          <cell r="C5506" t="str">
            <v>MOH</v>
          </cell>
          <cell r="D5506" t="str">
            <v>2000</v>
          </cell>
          <cell r="E5506" t="str">
            <v>BALL VA</v>
          </cell>
          <cell r="F5506">
            <v>6</v>
          </cell>
          <cell r="G5506" t="str">
            <v>VB8010100000T00</v>
          </cell>
          <cell r="H5506">
            <v>0.75</v>
          </cell>
          <cell r="I5506" t="str">
            <v>--</v>
          </cell>
          <cell r="J5506">
            <v>2</v>
          </cell>
          <cell r="K5506">
            <v>2</v>
          </cell>
        </row>
        <row r="5507">
          <cell r="A5507" t="str">
            <v>MC</v>
          </cell>
          <cell r="B5507" t="str">
            <v>CA304</v>
          </cell>
          <cell r="C5507" t="str">
            <v>MC</v>
          </cell>
          <cell r="D5507" t="str">
            <v>2502</v>
          </cell>
          <cell r="E5507" t="str">
            <v>BALL VA</v>
          </cell>
          <cell r="F5507">
            <v>6</v>
          </cell>
          <cell r="G5507" t="str">
            <v>VB8010100000T00</v>
          </cell>
          <cell r="H5507">
            <v>0.75</v>
          </cell>
          <cell r="I5507" t="str">
            <v>--</v>
          </cell>
          <cell r="J5507">
            <v>2</v>
          </cell>
          <cell r="K5507">
            <v>2</v>
          </cell>
        </row>
        <row r="5508">
          <cell r="A5508" t="str">
            <v>MC</v>
          </cell>
          <cell r="B5508" t="str">
            <v>CA304</v>
          </cell>
          <cell r="C5508" t="str">
            <v>MC</v>
          </cell>
          <cell r="D5508" t="str">
            <v>2502</v>
          </cell>
          <cell r="E5508" t="str">
            <v>BALL VA</v>
          </cell>
          <cell r="F5508">
            <v>6</v>
          </cell>
          <cell r="G5508" t="str">
            <v>VB8010100000T00</v>
          </cell>
          <cell r="H5508">
            <v>0.75</v>
          </cell>
          <cell r="I5508" t="str">
            <v>--</v>
          </cell>
          <cell r="J5508">
            <v>2</v>
          </cell>
          <cell r="K5508">
            <v>2</v>
          </cell>
        </row>
        <row r="5509">
          <cell r="A5509" t="str">
            <v>MC</v>
          </cell>
          <cell r="B5509" t="str">
            <v>CA304</v>
          </cell>
          <cell r="C5509" t="str">
            <v>MC</v>
          </cell>
          <cell r="D5509" t="str">
            <v>2502</v>
          </cell>
          <cell r="E5509" t="str">
            <v>BALL VA</v>
          </cell>
          <cell r="F5509">
            <v>6</v>
          </cell>
          <cell r="G5509" t="str">
            <v>VB8010100000T00</v>
          </cell>
          <cell r="H5509">
            <v>0.75</v>
          </cell>
          <cell r="I5509" t="str">
            <v>--</v>
          </cell>
          <cell r="J5509">
            <v>2</v>
          </cell>
          <cell r="K5509">
            <v>2</v>
          </cell>
        </row>
        <row r="5510">
          <cell r="A5510" t="str">
            <v>MC</v>
          </cell>
          <cell r="B5510" t="str">
            <v>CA304</v>
          </cell>
          <cell r="C5510" t="str">
            <v>MC</v>
          </cell>
          <cell r="D5510" t="str">
            <v>2502</v>
          </cell>
          <cell r="E5510" t="str">
            <v>BALL VA</v>
          </cell>
          <cell r="F5510">
            <v>6</v>
          </cell>
          <cell r="G5510" t="str">
            <v>VB8010100000T00</v>
          </cell>
          <cell r="H5510">
            <v>0.75</v>
          </cell>
          <cell r="I5510" t="str">
            <v>--</v>
          </cell>
          <cell r="J5510">
            <v>1</v>
          </cell>
          <cell r="K5510">
            <v>1</v>
          </cell>
        </row>
        <row r="5511">
          <cell r="A5511" t="str">
            <v>MC</v>
          </cell>
          <cell r="B5511" t="str">
            <v>CA304</v>
          </cell>
          <cell r="C5511" t="str">
            <v>MC</v>
          </cell>
          <cell r="D5511" t="str">
            <v>2502</v>
          </cell>
          <cell r="E5511" t="str">
            <v>BALL VA</v>
          </cell>
          <cell r="F5511">
            <v>6</v>
          </cell>
          <cell r="G5511" t="str">
            <v>VB8010100000T00</v>
          </cell>
          <cell r="H5511">
            <v>0.75</v>
          </cell>
          <cell r="I5511" t="str">
            <v>--</v>
          </cell>
          <cell r="J5511">
            <v>2</v>
          </cell>
          <cell r="K5511">
            <v>2</v>
          </cell>
        </row>
        <row r="5512">
          <cell r="A5512" t="str">
            <v>MC</v>
          </cell>
          <cell r="B5512" t="str">
            <v>CA304</v>
          </cell>
          <cell r="C5512" t="str">
            <v>MC</v>
          </cell>
          <cell r="D5512" t="str">
            <v>2504</v>
          </cell>
          <cell r="E5512" t="str">
            <v>BALL VA</v>
          </cell>
          <cell r="F5512">
            <v>6</v>
          </cell>
          <cell r="G5512" t="str">
            <v>VB8010100000T00</v>
          </cell>
          <cell r="H5512">
            <v>0.75</v>
          </cell>
          <cell r="I5512" t="str">
            <v>--</v>
          </cell>
          <cell r="J5512">
            <v>2</v>
          </cell>
          <cell r="K5512">
            <v>2</v>
          </cell>
        </row>
        <row r="5513">
          <cell r="A5513" t="str">
            <v>MC</v>
          </cell>
          <cell r="B5513" t="str">
            <v>CA304</v>
          </cell>
          <cell r="C5513" t="str">
            <v>MC</v>
          </cell>
          <cell r="D5513" t="str">
            <v>HOLD</v>
          </cell>
          <cell r="E5513" t="str">
            <v>BALL VA</v>
          </cell>
          <cell r="F5513">
            <v>6</v>
          </cell>
          <cell r="G5513" t="str">
            <v>VB8010100000T00</v>
          </cell>
          <cell r="H5513">
            <v>0.75</v>
          </cell>
          <cell r="I5513" t="str">
            <v>--</v>
          </cell>
          <cell r="J5513">
            <v>4</v>
          </cell>
          <cell r="K5513">
            <v>4</v>
          </cell>
        </row>
        <row r="5514">
          <cell r="A5514" t="str">
            <v>MC</v>
          </cell>
          <cell r="B5514" t="str">
            <v>CA304</v>
          </cell>
          <cell r="C5514" t="str">
            <v>MC</v>
          </cell>
          <cell r="D5514" t="str">
            <v>HOLD</v>
          </cell>
          <cell r="E5514" t="str">
            <v>BALL VA</v>
          </cell>
          <cell r="F5514">
            <v>6</v>
          </cell>
          <cell r="G5514" t="str">
            <v>VB8010100000T00</v>
          </cell>
          <cell r="H5514">
            <v>0.75</v>
          </cell>
          <cell r="I5514" t="str">
            <v>--</v>
          </cell>
          <cell r="J5514">
            <v>2</v>
          </cell>
          <cell r="K5514">
            <v>2</v>
          </cell>
        </row>
        <row r="5515">
          <cell r="A5515" t="str">
            <v>MC</v>
          </cell>
          <cell r="B5515" t="str">
            <v>CA304</v>
          </cell>
          <cell r="C5515" t="str">
            <v>MC</v>
          </cell>
          <cell r="D5515" t="str">
            <v>HOLD</v>
          </cell>
          <cell r="E5515" t="str">
            <v>BALL VA</v>
          </cell>
          <cell r="F5515">
            <v>6</v>
          </cell>
          <cell r="G5515" t="str">
            <v>VB8010100000T00</v>
          </cell>
          <cell r="H5515">
            <v>0.75</v>
          </cell>
          <cell r="I5515" t="str">
            <v>--</v>
          </cell>
          <cell r="J5515">
            <v>4</v>
          </cell>
          <cell r="K5515">
            <v>4</v>
          </cell>
        </row>
        <row r="5516">
          <cell r="A5516" t="str">
            <v>MC</v>
          </cell>
          <cell r="B5516" t="str">
            <v>CA304</v>
          </cell>
          <cell r="C5516" t="str">
            <v>MC</v>
          </cell>
          <cell r="D5516" t="str">
            <v>HOLD</v>
          </cell>
          <cell r="E5516" t="str">
            <v>BALL VA</v>
          </cell>
          <cell r="F5516">
            <v>6</v>
          </cell>
          <cell r="G5516" t="str">
            <v>VB8010100000T00</v>
          </cell>
          <cell r="H5516">
            <v>0.75</v>
          </cell>
          <cell r="I5516" t="str">
            <v>--</v>
          </cell>
          <cell r="J5516">
            <v>2</v>
          </cell>
          <cell r="K5516">
            <v>2</v>
          </cell>
        </row>
        <row r="5517">
          <cell r="A5517" t="str">
            <v>MC</v>
          </cell>
          <cell r="B5517" t="str">
            <v>CA304</v>
          </cell>
          <cell r="C5517" t="str">
            <v>MC</v>
          </cell>
          <cell r="D5517" t="str">
            <v>HOLD</v>
          </cell>
          <cell r="E5517" t="str">
            <v>BALL VA</v>
          </cell>
          <cell r="F5517">
            <v>6</v>
          </cell>
          <cell r="G5517" t="str">
            <v>VB8010100000T00</v>
          </cell>
          <cell r="H5517">
            <v>0.75</v>
          </cell>
          <cell r="I5517" t="str">
            <v>--</v>
          </cell>
          <cell r="J5517">
            <v>4</v>
          </cell>
          <cell r="K5517">
            <v>4</v>
          </cell>
        </row>
        <row r="5518">
          <cell r="A5518" t="str">
            <v>MC</v>
          </cell>
          <cell r="B5518" t="str">
            <v>CA304</v>
          </cell>
          <cell r="C5518" t="str">
            <v>MC</v>
          </cell>
          <cell r="D5518" t="str">
            <v>HOLD</v>
          </cell>
          <cell r="E5518" t="str">
            <v>BALL VA</v>
          </cell>
          <cell r="F5518">
            <v>6</v>
          </cell>
          <cell r="G5518" t="str">
            <v>VB8010100000T00</v>
          </cell>
          <cell r="H5518">
            <v>0.75</v>
          </cell>
          <cell r="I5518" t="str">
            <v>--</v>
          </cell>
          <cell r="J5518">
            <v>9</v>
          </cell>
          <cell r="K5518">
            <v>9</v>
          </cell>
        </row>
        <row r="5519">
          <cell r="A5519" t="str">
            <v>MC</v>
          </cell>
          <cell r="B5519" t="str">
            <v>CA304</v>
          </cell>
          <cell r="C5519" t="str">
            <v>MC</v>
          </cell>
          <cell r="D5519" t="str">
            <v>HOLD</v>
          </cell>
          <cell r="E5519" t="str">
            <v>BALL VA</v>
          </cell>
          <cell r="F5519">
            <v>6</v>
          </cell>
          <cell r="G5519" t="str">
            <v>VB8010100000T00</v>
          </cell>
          <cell r="H5519">
            <v>0.75</v>
          </cell>
          <cell r="I5519" t="str">
            <v>--</v>
          </cell>
          <cell r="J5519">
            <v>2</v>
          </cell>
          <cell r="K5519">
            <v>2</v>
          </cell>
        </row>
        <row r="5520">
          <cell r="A5520" t="str">
            <v>MC</v>
          </cell>
          <cell r="B5520" t="str">
            <v>CA304</v>
          </cell>
          <cell r="C5520" t="str">
            <v>MC</v>
          </cell>
          <cell r="D5520" t="str">
            <v>HOLD</v>
          </cell>
          <cell r="E5520" t="str">
            <v>BALL VA</v>
          </cell>
          <cell r="F5520">
            <v>6</v>
          </cell>
          <cell r="G5520" t="str">
            <v>VB8010100000T00</v>
          </cell>
          <cell r="H5520">
            <v>0.75</v>
          </cell>
          <cell r="I5520" t="str">
            <v>--</v>
          </cell>
          <cell r="J5520">
            <v>4</v>
          </cell>
          <cell r="K5520">
            <v>4</v>
          </cell>
        </row>
        <row r="5521">
          <cell r="A5521" t="str">
            <v>MC</v>
          </cell>
          <cell r="B5521" t="str">
            <v>CA304</v>
          </cell>
          <cell r="C5521" t="str">
            <v>MC</v>
          </cell>
          <cell r="D5521" t="str">
            <v>2604</v>
          </cell>
          <cell r="E5521" t="str">
            <v>BALL VA</v>
          </cell>
          <cell r="F5521">
            <v>6</v>
          </cell>
          <cell r="G5521" t="str">
            <v>VB8010100000T00</v>
          </cell>
          <cell r="H5521">
            <v>0.75</v>
          </cell>
          <cell r="I5521" t="str">
            <v>--</v>
          </cell>
          <cell r="J5521">
            <v>2</v>
          </cell>
          <cell r="K5521">
            <v>2</v>
          </cell>
        </row>
        <row r="5522">
          <cell r="A5522" t="str">
            <v>MC</v>
          </cell>
          <cell r="B5522" t="str">
            <v>CA304</v>
          </cell>
          <cell r="C5522" t="str">
            <v>MC</v>
          </cell>
          <cell r="D5522" t="str">
            <v>HOLD</v>
          </cell>
          <cell r="E5522" t="str">
            <v>BALL VA</v>
          </cell>
          <cell r="F5522">
            <v>6</v>
          </cell>
          <cell r="G5522" t="str">
            <v>VB8010100000T00</v>
          </cell>
          <cell r="H5522">
            <v>0.75</v>
          </cell>
          <cell r="I5522" t="str">
            <v>--</v>
          </cell>
          <cell r="J5522">
            <v>2</v>
          </cell>
          <cell r="K5522">
            <v>2</v>
          </cell>
        </row>
        <row r="5523">
          <cell r="A5523" t="str">
            <v>MC</v>
          </cell>
          <cell r="B5523" t="str">
            <v>CA304</v>
          </cell>
          <cell r="C5523" t="str">
            <v>MC</v>
          </cell>
          <cell r="D5523" t="str">
            <v>HOLD</v>
          </cell>
          <cell r="E5523" t="str">
            <v>BALL VA</v>
          </cell>
          <cell r="F5523">
            <v>6</v>
          </cell>
          <cell r="G5523" t="str">
            <v>VB8010100000T00</v>
          </cell>
          <cell r="H5523">
            <v>0.75</v>
          </cell>
          <cell r="I5523" t="str">
            <v>--</v>
          </cell>
          <cell r="J5523">
            <v>2</v>
          </cell>
          <cell r="K5523">
            <v>2</v>
          </cell>
        </row>
        <row r="5524">
          <cell r="A5524" t="str">
            <v>MC</v>
          </cell>
          <cell r="B5524" t="str">
            <v>CA304</v>
          </cell>
          <cell r="C5524" t="str">
            <v>MC</v>
          </cell>
          <cell r="D5524" t="str">
            <v>2502</v>
          </cell>
          <cell r="E5524" t="str">
            <v>BELLOWS VA</v>
          </cell>
          <cell r="F5524">
            <v>6</v>
          </cell>
          <cell r="G5524" t="str">
            <v>VBE8010300000T00</v>
          </cell>
          <cell r="H5524">
            <v>0.75</v>
          </cell>
          <cell r="I5524" t="str">
            <v>--</v>
          </cell>
          <cell r="J5524">
            <v>1</v>
          </cell>
          <cell r="K5524">
            <v>1</v>
          </cell>
        </row>
        <row r="5525">
          <cell r="A5525" t="str">
            <v>MC</v>
          </cell>
          <cell r="B5525" t="str">
            <v>CA304</v>
          </cell>
          <cell r="C5525" t="str">
            <v>MC</v>
          </cell>
          <cell r="D5525" t="str">
            <v>2604</v>
          </cell>
          <cell r="E5525" t="str">
            <v>BELLOWS VA</v>
          </cell>
          <cell r="F5525">
            <v>6</v>
          </cell>
          <cell r="G5525" t="str">
            <v>VBE8010100000T00</v>
          </cell>
          <cell r="H5525">
            <v>0.75</v>
          </cell>
          <cell r="I5525" t="str">
            <v>--</v>
          </cell>
          <cell r="J5525">
            <v>1</v>
          </cell>
          <cell r="K5525">
            <v>1</v>
          </cell>
        </row>
        <row r="5526">
          <cell r="A5526" t="str">
            <v>MC</v>
          </cell>
          <cell r="B5526" t="str">
            <v>CA304</v>
          </cell>
          <cell r="C5526" t="str">
            <v>SC1</v>
          </cell>
          <cell r="D5526" t="str">
            <v>HOLD</v>
          </cell>
          <cell r="E5526" t="str">
            <v>BALL VA</v>
          </cell>
          <cell r="F5526">
            <v>6</v>
          </cell>
          <cell r="G5526" t="str">
            <v>VB8010100000T00</v>
          </cell>
          <cell r="H5526">
            <v>0.75</v>
          </cell>
          <cell r="I5526" t="str">
            <v>--</v>
          </cell>
          <cell r="J5526">
            <v>3</v>
          </cell>
          <cell r="K5526">
            <v>3</v>
          </cell>
        </row>
        <row r="5527">
          <cell r="A5527" t="str">
            <v>MC</v>
          </cell>
          <cell r="B5527" t="str">
            <v>BA305</v>
          </cell>
          <cell r="C5527" t="str">
            <v>MOH</v>
          </cell>
          <cell r="D5527" t="str">
            <v>2100</v>
          </cell>
          <cell r="E5527" t="str">
            <v>BALL VA</v>
          </cell>
          <cell r="F5527">
            <v>6</v>
          </cell>
          <cell r="G5527" t="str">
            <v>VB8010100000100</v>
          </cell>
          <cell r="H5527">
            <v>1</v>
          </cell>
          <cell r="I5527" t="str">
            <v>--</v>
          </cell>
          <cell r="J5527">
            <v>1</v>
          </cell>
          <cell r="K5527">
            <v>1</v>
          </cell>
        </row>
        <row r="5528">
          <cell r="A5528" t="str">
            <v>MC</v>
          </cell>
          <cell r="B5528" t="str">
            <v>BA305</v>
          </cell>
          <cell r="C5528" t="str">
            <v>MOH</v>
          </cell>
          <cell r="D5528" t="str">
            <v>2101</v>
          </cell>
          <cell r="E5528" t="str">
            <v>BALL VA</v>
          </cell>
          <cell r="F5528">
            <v>6</v>
          </cell>
          <cell r="G5528" t="str">
            <v>VB8010100000100</v>
          </cell>
          <cell r="H5528">
            <v>1</v>
          </cell>
          <cell r="I5528" t="str">
            <v>--</v>
          </cell>
          <cell r="J5528">
            <v>4</v>
          </cell>
          <cell r="K5528">
            <v>4</v>
          </cell>
        </row>
        <row r="5529">
          <cell r="A5529" t="str">
            <v>MC</v>
          </cell>
          <cell r="B5529" t="str">
            <v>CA304</v>
          </cell>
          <cell r="C5529" t="str">
            <v>N</v>
          </cell>
          <cell r="D5529" t="str">
            <v>HOLD</v>
          </cell>
          <cell r="E5529" t="str">
            <v>BALL VA</v>
          </cell>
          <cell r="F5529">
            <v>6</v>
          </cell>
          <cell r="G5529" t="str">
            <v>VB8010100000100</v>
          </cell>
          <cell r="H5529">
            <v>1</v>
          </cell>
          <cell r="I5529" t="str">
            <v>--</v>
          </cell>
          <cell r="J5529">
            <v>1</v>
          </cell>
          <cell r="K5529">
            <v>1</v>
          </cell>
        </row>
        <row r="5530">
          <cell r="A5530" t="str">
            <v>MC</v>
          </cell>
          <cell r="B5530" t="str">
            <v>BA312</v>
          </cell>
          <cell r="C5530" t="str">
            <v>SA98</v>
          </cell>
          <cell r="D5530" t="str">
            <v>2411</v>
          </cell>
          <cell r="E5530" t="str">
            <v>BALL VA</v>
          </cell>
          <cell r="F5530">
            <v>6</v>
          </cell>
          <cell r="G5530" t="str">
            <v>VB3110100000100</v>
          </cell>
          <cell r="H5530">
            <v>1</v>
          </cell>
          <cell r="I5530" t="str">
            <v>--</v>
          </cell>
          <cell r="J5530">
            <v>2</v>
          </cell>
          <cell r="K5530">
            <v>2</v>
          </cell>
        </row>
        <row r="5531">
          <cell r="A5531" t="str">
            <v>MC</v>
          </cell>
          <cell r="B5531" t="str">
            <v>BA302</v>
          </cell>
          <cell r="C5531" t="str">
            <v>SD20</v>
          </cell>
          <cell r="D5531" t="str">
            <v>2301</v>
          </cell>
          <cell r="E5531" t="str">
            <v>BALL VA</v>
          </cell>
          <cell r="F5531">
            <v>6</v>
          </cell>
          <cell r="G5531" t="str">
            <v>VB8010100000100</v>
          </cell>
          <cell r="H5531">
            <v>1</v>
          </cell>
          <cell r="I5531" t="str">
            <v>--</v>
          </cell>
          <cell r="J5531">
            <v>2</v>
          </cell>
          <cell r="K5531">
            <v>2</v>
          </cell>
        </row>
        <row r="5532">
          <cell r="A5532" t="str">
            <v>MC</v>
          </cell>
          <cell r="B5532" t="str">
            <v>BA305</v>
          </cell>
          <cell r="C5532" t="str">
            <v>MOH</v>
          </cell>
          <cell r="D5532" t="str">
            <v>2002</v>
          </cell>
          <cell r="E5532" t="str">
            <v>BALL VA</v>
          </cell>
          <cell r="F5532">
            <v>6</v>
          </cell>
          <cell r="G5532" t="str">
            <v>VB8010100000100</v>
          </cell>
          <cell r="H5532">
            <v>1</v>
          </cell>
          <cell r="I5532" t="str">
            <v>--</v>
          </cell>
          <cell r="J5532">
            <v>1</v>
          </cell>
          <cell r="K5532">
            <v>1</v>
          </cell>
        </row>
        <row r="5533">
          <cell r="A5533" t="str">
            <v>MC</v>
          </cell>
          <cell r="B5533" t="str">
            <v>BA305</v>
          </cell>
          <cell r="C5533" t="str">
            <v>MOH</v>
          </cell>
          <cell r="D5533" t="str">
            <v>2112</v>
          </cell>
          <cell r="E5533" t="str">
            <v>BALL VA</v>
          </cell>
          <cell r="F5533">
            <v>6</v>
          </cell>
          <cell r="G5533" t="str">
            <v>VB8010100000100</v>
          </cell>
          <cell r="H5533">
            <v>1</v>
          </cell>
          <cell r="I5533" t="str">
            <v>--</v>
          </cell>
          <cell r="J5533">
            <v>2</v>
          </cell>
          <cell r="K5533">
            <v>2</v>
          </cell>
        </row>
        <row r="5534">
          <cell r="A5534" t="str">
            <v>MC</v>
          </cell>
          <cell r="B5534" t="str">
            <v>BA305</v>
          </cell>
          <cell r="C5534" t="str">
            <v>VNC</v>
          </cell>
          <cell r="D5534" t="str">
            <v>2016</v>
          </cell>
          <cell r="E5534" t="str">
            <v>BALL VA</v>
          </cell>
          <cell r="F5534">
            <v>6</v>
          </cell>
          <cell r="G5534" t="str">
            <v>VB8010100000100</v>
          </cell>
          <cell r="H5534">
            <v>1</v>
          </cell>
          <cell r="I5534" t="str">
            <v>--</v>
          </cell>
          <cell r="J5534">
            <v>1</v>
          </cell>
          <cell r="K5534">
            <v>1</v>
          </cell>
        </row>
        <row r="5535">
          <cell r="A5535" t="str">
            <v>MC</v>
          </cell>
          <cell r="B5535" t="str">
            <v>BA305</v>
          </cell>
          <cell r="C5535" t="str">
            <v>MOH</v>
          </cell>
          <cell r="D5535" t="str">
            <v>2100</v>
          </cell>
          <cell r="E5535" t="str">
            <v>CHECK VA</v>
          </cell>
          <cell r="F5535">
            <v>6</v>
          </cell>
          <cell r="G5535" t="str">
            <v>VCB8010800000100</v>
          </cell>
          <cell r="H5535">
            <v>1</v>
          </cell>
          <cell r="I5535" t="str">
            <v>--</v>
          </cell>
          <cell r="J5535">
            <v>1</v>
          </cell>
          <cell r="K5535">
            <v>1</v>
          </cell>
        </row>
        <row r="5536">
          <cell r="A5536" t="str">
            <v>MC</v>
          </cell>
          <cell r="B5536" t="str">
            <v>BA305</v>
          </cell>
          <cell r="C5536" t="str">
            <v>MOH</v>
          </cell>
          <cell r="D5536" t="str">
            <v>2101</v>
          </cell>
          <cell r="E5536" t="str">
            <v>CHECK VA</v>
          </cell>
          <cell r="F5536">
            <v>6</v>
          </cell>
          <cell r="G5536" t="str">
            <v>VCB8010800000100</v>
          </cell>
          <cell r="H5536">
            <v>1</v>
          </cell>
          <cell r="I5536" t="str">
            <v>--</v>
          </cell>
          <cell r="J5536">
            <v>1</v>
          </cell>
          <cell r="K5536">
            <v>1</v>
          </cell>
        </row>
        <row r="5537">
          <cell r="A5537" t="str">
            <v>MC</v>
          </cell>
          <cell r="B5537" t="str">
            <v>CA304</v>
          </cell>
          <cell r="C5537" t="str">
            <v>N</v>
          </cell>
          <cell r="D5537" t="str">
            <v>HOLD</v>
          </cell>
          <cell r="E5537" t="str">
            <v>CHECK VA</v>
          </cell>
          <cell r="F5537">
            <v>6</v>
          </cell>
          <cell r="G5537" t="str">
            <v>VCB8010600000100</v>
          </cell>
          <cell r="H5537">
            <v>1</v>
          </cell>
          <cell r="I5537" t="str">
            <v>--</v>
          </cell>
          <cell r="J5537">
            <v>1</v>
          </cell>
          <cell r="K5537">
            <v>1</v>
          </cell>
        </row>
        <row r="5538">
          <cell r="A5538" t="str">
            <v>MC</v>
          </cell>
          <cell r="B5538" t="str">
            <v>BA305</v>
          </cell>
          <cell r="C5538" t="str">
            <v>MOH</v>
          </cell>
          <cell r="D5538" t="str">
            <v>2112</v>
          </cell>
          <cell r="E5538" t="str">
            <v>CHECK VA</v>
          </cell>
          <cell r="F5538">
            <v>6</v>
          </cell>
          <cell r="G5538" t="str">
            <v>VCB8010800000100</v>
          </cell>
          <cell r="H5538">
            <v>1</v>
          </cell>
          <cell r="I5538" t="str">
            <v>--</v>
          </cell>
          <cell r="J5538">
            <v>1</v>
          </cell>
          <cell r="K5538">
            <v>1</v>
          </cell>
        </row>
        <row r="5539">
          <cell r="A5539" t="str">
            <v>MC</v>
          </cell>
          <cell r="B5539" t="str">
            <v>BA305</v>
          </cell>
          <cell r="C5539" t="str">
            <v>MOH</v>
          </cell>
          <cell r="D5539" t="str">
            <v>2100</v>
          </cell>
          <cell r="E5539" t="str">
            <v>GLOBE VA</v>
          </cell>
          <cell r="F5539">
            <v>6</v>
          </cell>
          <cell r="G5539" t="str">
            <v>VL8010700000100</v>
          </cell>
          <cell r="H5539">
            <v>1</v>
          </cell>
          <cell r="I5539" t="str">
            <v>--</v>
          </cell>
          <cell r="J5539">
            <v>2</v>
          </cell>
          <cell r="K5539">
            <v>2</v>
          </cell>
        </row>
        <row r="5540">
          <cell r="A5540" t="str">
            <v>MC</v>
          </cell>
          <cell r="B5540" t="str">
            <v>BA305</v>
          </cell>
          <cell r="C5540" t="str">
            <v>MOH</v>
          </cell>
          <cell r="D5540" t="str">
            <v>2101</v>
          </cell>
          <cell r="E5540" t="str">
            <v>GLOBE VA</v>
          </cell>
          <cell r="F5540">
            <v>6</v>
          </cell>
          <cell r="G5540" t="str">
            <v>VL8010700000100</v>
          </cell>
          <cell r="H5540">
            <v>1</v>
          </cell>
          <cell r="I5540" t="str">
            <v>--</v>
          </cell>
          <cell r="J5540">
            <v>1</v>
          </cell>
          <cell r="K5540">
            <v>1</v>
          </cell>
        </row>
        <row r="5541">
          <cell r="A5541" t="str">
            <v>MC</v>
          </cell>
          <cell r="B5541" t="str">
            <v>BA312</v>
          </cell>
          <cell r="C5541" t="str">
            <v>SA98</v>
          </cell>
          <cell r="D5541" t="str">
            <v>2411</v>
          </cell>
          <cell r="E5541" t="str">
            <v>GLOBE VA</v>
          </cell>
          <cell r="F5541">
            <v>6</v>
          </cell>
          <cell r="G5541" t="str">
            <v>VL3110100000100</v>
          </cell>
          <cell r="H5541">
            <v>1</v>
          </cell>
          <cell r="I5541" t="str">
            <v>--</v>
          </cell>
          <cell r="J5541">
            <v>1</v>
          </cell>
          <cell r="K5541">
            <v>1</v>
          </cell>
        </row>
        <row r="5542">
          <cell r="A5542" t="str">
            <v>MC</v>
          </cell>
          <cell r="B5542" t="str">
            <v>BA302</v>
          </cell>
          <cell r="C5542" t="str">
            <v>SD20</v>
          </cell>
          <cell r="D5542" t="str">
            <v>2301</v>
          </cell>
          <cell r="E5542" t="str">
            <v>GLOBE VA</v>
          </cell>
          <cell r="F5542">
            <v>6</v>
          </cell>
          <cell r="G5542" t="str">
            <v>VL8010500000100</v>
          </cell>
          <cell r="H5542">
            <v>1</v>
          </cell>
          <cell r="I5542" t="str">
            <v>--</v>
          </cell>
          <cell r="J5542">
            <v>1</v>
          </cell>
          <cell r="K5542">
            <v>1</v>
          </cell>
        </row>
        <row r="5543">
          <cell r="A5543" t="str">
            <v>MC</v>
          </cell>
          <cell r="B5543" t="str">
            <v>CA304</v>
          </cell>
          <cell r="C5543" t="str">
            <v>MC</v>
          </cell>
          <cell r="D5543" t="str">
            <v>HOLD</v>
          </cell>
          <cell r="E5543" t="str">
            <v>BALL VA</v>
          </cell>
          <cell r="F5543">
            <v>6</v>
          </cell>
          <cell r="G5543" t="str">
            <v>VB8010100000100</v>
          </cell>
          <cell r="H5543">
            <v>1</v>
          </cell>
          <cell r="I5543" t="str">
            <v>--</v>
          </cell>
          <cell r="J5543">
            <v>4</v>
          </cell>
          <cell r="K5543">
            <v>4</v>
          </cell>
        </row>
        <row r="5544">
          <cell r="A5544" t="str">
            <v>MC</v>
          </cell>
          <cell r="B5544" t="str">
            <v>CA304</v>
          </cell>
          <cell r="C5544" t="str">
            <v>MC</v>
          </cell>
          <cell r="D5544" t="str">
            <v>2604</v>
          </cell>
          <cell r="E5544" t="str">
            <v>BALL VA</v>
          </cell>
          <cell r="F5544">
            <v>6</v>
          </cell>
          <cell r="G5544" t="str">
            <v>VB8010100000100</v>
          </cell>
          <cell r="H5544">
            <v>1</v>
          </cell>
          <cell r="I5544" t="str">
            <v>--</v>
          </cell>
          <cell r="J5544">
            <v>3</v>
          </cell>
          <cell r="K5544">
            <v>3</v>
          </cell>
        </row>
        <row r="5545">
          <cell r="A5545" t="str">
            <v>MC</v>
          </cell>
          <cell r="B5545" t="str">
            <v>B2C</v>
          </cell>
          <cell r="C5545" t="str">
            <v>SH</v>
          </cell>
          <cell r="D5545" t="str">
            <v>HOLD</v>
          </cell>
          <cell r="E5545" t="str">
            <v>GATE VA</v>
          </cell>
          <cell r="F5545">
            <v>6</v>
          </cell>
          <cell r="G5545" t="str">
            <v>VG8010100001H00</v>
          </cell>
          <cell r="H5545">
            <v>1.5</v>
          </cell>
          <cell r="I5545" t="str">
            <v>--</v>
          </cell>
          <cell r="J5545">
            <v>2</v>
          </cell>
          <cell r="K5545">
            <v>2</v>
          </cell>
        </row>
        <row r="5546">
          <cell r="A5546" t="str">
            <v>MC</v>
          </cell>
          <cell r="B5546" t="str">
            <v>CA304</v>
          </cell>
          <cell r="C5546" t="str">
            <v>MC</v>
          </cell>
          <cell r="D5546" t="str">
            <v>2505</v>
          </cell>
          <cell r="E5546" t="str">
            <v>BALL VA</v>
          </cell>
          <cell r="F5546">
            <v>6</v>
          </cell>
          <cell r="G5546" t="str">
            <v>VB8010100001H00</v>
          </cell>
          <cell r="H5546">
            <v>1.5</v>
          </cell>
          <cell r="I5546" t="str">
            <v>--</v>
          </cell>
          <cell r="J5546">
            <v>2</v>
          </cell>
          <cell r="K5546">
            <v>2</v>
          </cell>
        </row>
        <row r="5547">
          <cell r="A5547" t="str">
            <v>MC</v>
          </cell>
          <cell r="B5547" t="str">
            <v>CA304</v>
          </cell>
          <cell r="C5547" t="str">
            <v>MC</v>
          </cell>
          <cell r="D5547" t="str">
            <v>2605</v>
          </cell>
          <cell r="E5547" t="str">
            <v>BALL VA</v>
          </cell>
          <cell r="F5547">
            <v>6</v>
          </cell>
          <cell r="G5547" t="str">
            <v>VB8010100001H00</v>
          </cell>
          <cell r="H5547">
            <v>1.5</v>
          </cell>
          <cell r="I5547" t="str">
            <v>--</v>
          </cell>
          <cell r="J5547">
            <v>2</v>
          </cell>
          <cell r="K5547">
            <v>2</v>
          </cell>
        </row>
        <row r="5548">
          <cell r="A5548" t="str">
            <v>MC</v>
          </cell>
          <cell r="B5548" t="str">
            <v>CA304</v>
          </cell>
          <cell r="C5548" t="str">
            <v>MC</v>
          </cell>
          <cell r="D5548" t="str">
            <v>2609</v>
          </cell>
          <cell r="E5548" t="str">
            <v>BALL VA</v>
          </cell>
          <cell r="F5548">
            <v>6</v>
          </cell>
          <cell r="G5548" t="str">
            <v>VB8010100001H00</v>
          </cell>
          <cell r="H5548">
            <v>1.5</v>
          </cell>
          <cell r="I5548" t="str">
            <v>--</v>
          </cell>
          <cell r="J5548">
            <v>1</v>
          </cell>
          <cell r="K5548">
            <v>1</v>
          </cell>
        </row>
        <row r="5549">
          <cell r="A5549" t="str">
            <v>MC</v>
          </cell>
          <cell r="B5549" t="str">
            <v>CA304</v>
          </cell>
          <cell r="C5549" t="str">
            <v>MC</v>
          </cell>
          <cell r="D5549" t="str">
            <v>2612</v>
          </cell>
          <cell r="E5549" t="str">
            <v>BALL VA</v>
          </cell>
          <cell r="F5549">
            <v>6</v>
          </cell>
          <cell r="G5549" t="str">
            <v>VB8010100001H00</v>
          </cell>
          <cell r="H5549">
            <v>1.5</v>
          </cell>
          <cell r="I5549" t="str">
            <v>--</v>
          </cell>
          <cell r="J5549">
            <v>3</v>
          </cell>
          <cell r="K5549">
            <v>3</v>
          </cell>
        </row>
        <row r="5550">
          <cell r="A5550" t="str">
            <v>MC</v>
          </cell>
          <cell r="B5550" t="str">
            <v>BA305</v>
          </cell>
          <cell r="C5550" t="str">
            <v>MOH</v>
          </cell>
          <cell r="D5550" t="str">
            <v>2100</v>
          </cell>
          <cell r="E5550" t="str">
            <v>BALL VA</v>
          </cell>
          <cell r="F5550">
            <v>6</v>
          </cell>
          <cell r="G5550" t="str">
            <v>VB8010100001H00</v>
          </cell>
          <cell r="H5550">
            <v>1.5</v>
          </cell>
          <cell r="I5550" t="str">
            <v>--</v>
          </cell>
          <cell r="J5550">
            <v>2</v>
          </cell>
          <cell r="K5550">
            <v>2</v>
          </cell>
        </row>
        <row r="5551">
          <cell r="A5551" t="str">
            <v>MC</v>
          </cell>
          <cell r="B5551" t="str">
            <v>CA304</v>
          </cell>
          <cell r="C5551" t="str">
            <v>MC</v>
          </cell>
          <cell r="D5551" t="str">
            <v>2609</v>
          </cell>
          <cell r="E5551" t="str">
            <v>BALL VA</v>
          </cell>
          <cell r="F5551">
            <v>6</v>
          </cell>
          <cell r="G5551" t="str">
            <v>VB8010100001H00</v>
          </cell>
          <cell r="H5551">
            <v>1.5</v>
          </cell>
          <cell r="I5551" t="str">
            <v>--</v>
          </cell>
          <cell r="J5551">
            <v>1</v>
          </cell>
          <cell r="K5551">
            <v>1</v>
          </cell>
        </row>
        <row r="5552">
          <cell r="A5552" t="str">
            <v>MC</v>
          </cell>
          <cell r="B5552" t="str">
            <v>CA304</v>
          </cell>
          <cell r="C5552" t="str">
            <v>N</v>
          </cell>
          <cell r="D5552" t="str">
            <v>HOLD</v>
          </cell>
          <cell r="E5552" t="str">
            <v>BALL VA</v>
          </cell>
          <cell r="F5552">
            <v>6</v>
          </cell>
          <cell r="G5552" t="str">
            <v>VB8010100001H00</v>
          </cell>
          <cell r="H5552">
            <v>1.5</v>
          </cell>
          <cell r="I5552" t="str">
            <v>--</v>
          </cell>
          <cell r="J5552">
            <v>1</v>
          </cell>
          <cell r="K5552">
            <v>1</v>
          </cell>
        </row>
        <row r="5553">
          <cell r="A5553" t="str">
            <v>MC</v>
          </cell>
          <cell r="B5553" t="str">
            <v>CA304</v>
          </cell>
          <cell r="C5553" t="str">
            <v>N</v>
          </cell>
          <cell r="D5553" t="str">
            <v>HOLD</v>
          </cell>
          <cell r="E5553" t="str">
            <v>BALL VA</v>
          </cell>
          <cell r="F5553">
            <v>6</v>
          </cell>
          <cell r="G5553" t="str">
            <v>VB8010100001H00</v>
          </cell>
          <cell r="H5553">
            <v>1.5</v>
          </cell>
          <cell r="I5553" t="str">
            <v>--</v>
          </cell>
          <cell r="J5553">
            <v>1</v>
          </cell>
          <cell r="K5553">
            <v>1</v>
          </cell>
        </row>
        <row r="5554">
          <cell r="A5554" t="str">
            <v>MC</v>
          </cell>
          <cell r="B5554" t="str">
            <v>CA304</v>
          </cell>
          <cell r="C5554" t="str">
            <v>TRIM</v>
          </cell>
          <cell r="D5554" t="str">
            <v>V-1260A/B</v>
          </cell>
          <cell r="E5554" t="str">
            <v>BALL VA</v>
          </cell>
          <cell r="F5554">
            <v>6</v>
          </cell>
          <cell r="G5554" t="str">
            <v>VB8010100001H00</v>
          </cell>
          <cell r="H5554">
            <v>1.5</v>
          </cell>
          <cell r="I5554" t="str">
            <v>--</v>
          </cell>
          <cell r="J5554">
            <v>8</v>
          </cell>
          <cell r="K5554">
            <v>8</v>
          </cell>
        </row>
        <row r="5555">
          <cell r="A5555" t="str">
            <v>MC</v>
          </cell>
          <cell r="B5555" t="str">
            <v>CA304</v>
          </cell>
          <cell r="C5555" t="str">
            <v>MC</v>
          </cell>
          <cell r="D5555" t="str">
            <v>2608</v>
          </cell>
          <cell r="E5555" t="str">
            <v>BALL VA</v>
          </cell>
          <cell r="F5555">
            <v>6</v>
          </cell>
          <cell r="G5555" t="str">
            <v>VB8010100001H00</v>
          </cell>
          <cell r="H5555">
            <v>1.5</v>
          </cell>
          <cell r="I5555" t="str">
            <v>--</v>
          </cell>
          <cell r="J5555">
            <v>2</v>
          </cell>
          <cell r="K5555">
            <v>2</v>
          </cell>
        </row>
        <row r="5556">
          <cell r="A5556" t="str">
            <v>MC</v>
          </cell>
          <cell r="B5556" t="str">
            <v>CA304</v>
          </cell>
          <cell r="C5556" t="str">
            <v>MC</v>
          </cell>
          <cell r="D5556" t="str">
            <v>2609</v>
          </cell>
          <cell r="E5556" t="str">
            <v>BALL VA</v>
          </cell>
          <cell r="F5556">
            <v>6</v>
          </cell>
          <cell r="G5556" t="str">
            <v>VB8010100001H00</v>
          </cell>
          <cell r="H5556">
            <v>1.5</v>
          </cell>
          <cell r="I5556" t="str">
            <v>--</v>
          </cell>
          <cell r="J5556">
            <v>2</v>
          </cell>
          <cell r="K5556">
            <v>2</v>
          </cell>
        </row>
        <row r="5557">
          <cell r="A5557" t="str">
            <v>MC</v>
          </cell>
          <cell r="B5557" t="str">
            <v>CA304</v>
          </cell>
          <cell r="C5557" t="str">
            <v>TRIM</v>
          </cell>
          <cell r="D5557" t="str">
            <v>E-1261</v>
          </cell>
          <cell r="E5557" t="str">
            <v>BALL VA</v>
          </cell>
          <cell r="F5557">
            <v>6</v>
          </cell>
          <cell r="G5557" t="str">
            <v>VB8010100001H00</v>
          </cell>
          <cell r="H5557">
            <v>1.5</v>
          </cell>
          <cell r="I5557" t="str">
            <v>--</v>
          </cell>
          <cell r="J5557">
            <v>2</v>
          </cell>
          <cell r="K5557">
            <v>2</v>
          </cell>
        </row>
        <row r="5558">
          <cell r="A5558" t="str">
            <v>MC</v>
          </cell>
          <cell r="B5558" t="str">
            <v>CA304</v>
          </cell>
          <cell r="C5558" t="str">
            <v>MC</v>
          </cell>
          <cell r="D5558" t="str">
            <v>2608</v>
          </cell>
          <cell r="E5558" t="str">
            <v>BELLOWS VA</v>
          </cell>
          <cell r="F5558">
            <v>6</v>
          </cell>
          <cell r="G5558" t="str">
            <v>VBE8010100001H00</v>
          </cell>
          <cell r="H5558">
            <v>1.5</v>
          </cell>
          <cell r="I5558" t="str">
            <v>--</v>
          </cell>
          <cell r="J5558">
            <v>2</v>
          </cell>
          <cell r="K5558">
            <v>2</v>
          </cell>
        </row>
        <row r="5559">
          <cell r="A5559" t="str">
            <v>MC</v>
          </cell>
          <cell r="B5559" t="str">
            <v>CA304</v>
          </cell>
          <cell r="C5559" t="str">
            <v>N</v>
          </cell>
          <cell r="D5559" t="str">
            <v>HOLD</v>
          </cell>
          <cell r="E5559" t="str">
            <v>CHECK VA</v>
          </cell>
          <cell r="F5559">
            <v>6</v>
          </cell>
          <cell r="G5559" t="str">
            <v>VCB8010600001H00</v>
          </cell>
          <cell r="H5559">
            <v>1.5</v>
          </cell>
          <cell r="I5559" t="str">
            <v>--</v>
          </cell>
          <cell r="J5559">
            <v>1</v>
          </cell>
          <cell r="K5559">
            <v>1</v>
          </cell>
        </row>
        <row r="5560">
          <cell r="A5560" t="str">
            <v>MC</v>
          </cell>
          <cell r="B5560" t="str">
            <v>CA304</v>
          </cell>
          <cell r="C5560" t="str">
            <v>N</v>
          </cell>
          <cell r="D5560" t="str">
            <v>HOLD</v>
          </cell>
          <cell r="E5560" t="str">
            <v>CHECK VA</v>
          </cell>
          <cell r="F5560">
            <v>6</v>
          </cell>
          <cell r="G5560" t="str">
            <v>VCB8010600001H00</v>
          </cell>
          <cell r="H5560">
            <v>1.5</v>
          </cell>
          <cell r="I5560" t="str">
            <v>--</v>
          </cell>
          <cell r="J5560">
            <v>1</v>
          </cell>
          <cell r="K5560">
            <v>1</v>
          </cell>
        </row>
        <row r="5561">
          <cell r="A5561" t="str">
            <v>MC</v>
          </cell>
          <cell r="B5561" t="str">
            <v>CA304</v>
          </cell>
          <cell r="C5561" t="str">
            <v>MC</v>
          </cell>
          <cell r="D5561" t="str">
            <v>2604</v>
          </cell>
          <cell r="E5561" t="str">
            <v>BALL VA</v>
          </cell>
          <cell r="F5561">
            <v>6</v>
          </cell>
          <cell r="G5561" t="str">
            <v>VB8010100001H00</v>
          </cell>
          <cell r="H5561">
            <v>1.5</v>
          </cell>
          <cell r="I5561" t="str">
            <v>--</v>
          </cell>
          <cell r="J5561">
            <v>1</v>
          </cell>
          <cell r="K5561">
            <v>1</v>
          </cell>
        </row>
        <row r="5562">
          <cell r="A5562" t="str">
            <v>UT</v>
          </cell>
          <cell r="B5562" t="str">
            <v>A5C</v>
          </cell>
          <cell r="C5562" t="str">
            <v>WW</v>
          </cell>
          <cell r="D5562" t="str">
            <v>002</v>
          </cell>
          <cell r="E5562" t="str">
            <v>PIPE</v>
          </cell>
          <cell r="F5562">
            <v>1</v>
          </cell>
          <cell r="G5562" t="str">
            <v>CB100404000600</v>
          </cell>
          <cell r="H5562">
            <v>6</v>
          </cell>
          <cell r="I5562" t="str">
            <v>--</v>
          </cell>
          <cell r="J5562">
            <v>10</v>
          </cell>
          <cell r="K5562" t="str">
            <v>-</v>
          </cell>
        </row>
        <row r="5563">
          <cell r="A5563" t="str">
            <v>UT</v>
          </cell>
          <cell r="B5563" t="str">
            <v>A5C</v>
          </cell>
          <cell r="C5563" t="str">
            <v>WW</v>
          </cell>
          <cell r="D5563" t="str">
            <v>002</v>
          </cell>
          <cell r="E5563" t="str">
            <v>PIPE</v>
          </cell>
          <cell r="F5563">
            <v>1</v>
          </cell>
          <cell r="G5563" t="str">
            <v>CB100404000800</v>
          </cell>
          <cell r="H5563">
            <v>8</v>
          </cell>
          <cell r="I5563" t="str">
            <v>--</v>
          </cell>
          <cell r="J5563">
            <v>20</v>
          </cell>
          <cell r="K5563" t="str">
            <v>-</v>
          </cell>
        </row>
        <row r="5564">
          <cell r="A5564" t="str">
            <v>UT</v>
          </cell>
          <cell r="B5564" t="str">
            <v>B2C</v>
          </cell>
          <cell r="C5564" t="str">
            <v>SCL</v>
          </cell>
          <cell r="D5564" t="str">
            <v>002</v>
          </cell>
          <cell r="E5564" t="str">
            <v>PIPE</v>
          </cell>
          <cell r="F5564">
            <v>1</v>
          </cell>
          <cell r="G5564" t="str">
            <v>CB100508000T00</v>
          </cell>
          <cell r="H5564">
            <v>0.75</v>
          </cell>
          <cell r="I5564" t="str">
            <v>--</v>
          </cell>
          <cell r="J5564">
            <v>33</v>
          </cell>
          <cell r="K5564" t="str">
            <v>-</v>
          </cell>
        </row>
        <row r="5565">
          <cell r="A5565" t="str">
            <v>UT</v>
          </cell>
          <cell r="B5565" t="str">
            <v>B2C</v>
          </cell>
          <cell r="C5565" t="str">
            <v>SH</v>
          </cell>
          <cell r="D5565" t="str">
            <v>001</v>
          </cell>
          <cell r="E5565" t="str">
            <v>PIPE</v>
          </cell>
          <cell r="F5565">
            <v>1</v>
          </cell>
          <cell r="G5565" t="str">
            <v>CB100404000300</v>
          </cell>
          <cell r="H5565">
            <v>3</v>
          </cell>
          <cell r="I5565" t="str">
            <v>--</v>
          </cell>
          <cell r="J5565">
            <v>40</v>
          </cell>
          <cell r="K5565" t="str">
            <v>-</v>
          </cell>
        </row>
        <row r="5566">
          <cell r="A5566" t="str">
            <v>UT</v>
          </cell>
          <cell r="B5566" t="str">
            <v>CA307</v>
          </cell>
          <cell r="C5566" t="str">
            <v>P</v>
          </cell>
          <cell r="D5566" t="str">
            <v>HOLD7</v>
          </cell>
          <cell r="E5566" t="str">
            <v>PIPE</v>
          </cell>
          <cell r="F5566">
            <v>1</v>
          </cell>
          <cell r="G5566" t="str">
            <v>CB100405000400</v>
          </cell>
          <cell r="H5566">
            <v>4</v>
          </cell>
          <cell r="I5566" t="str">
            <v>--</v>
          </cell>
          <cell r="J5566">
            <v>43</v>
          </cell>
          <cell r="K5566" t="str">
            <v>-</v>
          </cell>
        </row>
        <row r="5567">
          <cell r="A5567" t="str">
            <v>UT</v>
          </cell>
          <cell r="B5567" t="str">
            <v>B2C</v>
          </cell>
          <cell r="C5567" t="str">
            <v>SH</v>
          </cell>
          <cell r="D5567" t="str">
            <v>001</v>
          </cell>
          <cell r="E5567" t="str">
            <v>PIPE</v>
          </cell>
          <cell r="F5567">
            <v>1</v>
          </cell>
          <cell r="G5567" t="str">
            <v>CB100404000400</v>
          </cell>
          <cell r="H5567">
            <v>4</v>
          </cell>
          <cell r="I5567" t="str">
            <v>--</v>
          </cell>
          <cell r="J5567">
            <v>43.5</v>
          </cell>
          <cell r="K5567" t="str">
            <v>-</v>
          </cell>
        </row>
        <row r="5568">
          <cell r="A5568" t="str">
            <v>UT</v>
          </cell>
          <cell r="B5568" t="str">
            <v>A5C</v>
          </cell>
          <cell r="C5568" t="str">
            <v>P</v>
          </cell>
          <cell r="D5568" t="str">
            <v>23116</v>
          </cell>
          <cell r="E5568" t="str">
            <v>PIPE</v>
          </cell>
          <cell r="F5568">
            <v>1</v>
          </cell>
          <cell r="G5568" t="str">
            <v>CB100408000200</v>
          </cell>
          <cell r="H5568">
            <v>2</v>
          </cell>
          <cell r="I5568" t="str">
            <v>--</v>
          </cell>
          <cell r="J5568">
            <v>55.8</v>
          </cell>
          <cell r="K5568" t="str">
            <v>-</v>
          </cell>
        </row>
        <row r="5569">
          <cell r="A5569" t="str">
            <v>UT</v>
          </cell>
          <cell r="B5569" t="str">
            <v>A5C</v>
          </cell>
          <cell r="C5569" t="str">
            <v>P</v>
          </cell>
          <cell r="D5569" t="str">
            <v>23112</v>
          </cell>
          <cell r="E5569" t="str">
            <v>PIPE</v>
          </cell>
          <cell r="F5569">
            <v>1</v>
          </cell>
          <cell r="G5569" t="str">
            <v>CB100408000200</v>
          </cell>
          <cell r="H5569">
            <v>2</v>
          </cell>
          <cell r="I5569" t="str">
            <v>--</v>
          </cell>
          <cell r="J5569">
            <v>57</v>
          </cell>
          <cell r="K5569" t="str">
            <v>-</v>
          </cell>
        </row>
        <row r="5570">
          <cell r="A5570" t="str">
            <v>UT</v>
          </cell>
          <cell r="B5570" t="str">
            <v>CA304</v>
          </cell>
          <cell r="C5570" t="str">
            <v>MC</v>
          </cell>
          <cell r="D5570" t="str">
            <v>12014</v>
          </cell>
          <cell r="E5570" t="str">
            <v>PIPE</v>
          </cell>
          <cell r="F5570">
            <v>1</v>
          </cell>
          <cell r="G5570" t="str">
            <v>CB100405000200</v>
          </cell>
          <cell r="H5570">
            <v>2</v>
          </cell>
          <cell r="I5570" t="str">
            <v>--</v>
          </cell>
          <cell r="J5570">
            <v>58.5</v>
          </cell>
          <cell r="K5570" t="str">
            <v>-</v>
          </cell>
        </row>
        <row r="5571">
          <cell r="A5571" t="str">
            <v>UT</v>
          </cell>
          <cell r="B5571" t="str">
            <v>A5C</v>
          </cell>
          <cell r="C5571" t="str">
            <v>P</v>
          </cell>
          <cell r="D5571" t="str">
            <v>23148</v>
          </cell>
          <cell r="E5571" t="str">
            <v>PIPE</v>
          </cell>
          <cell r="F5571">
            <v>1</v>
          </cell>
          <cell r="G5571" t="str">
            <v>CB100408000200</v>
          </cell>
          <cell r="H5571">
            <v>2</v>
          </cell>
          <cell r="I5571" t="str">
            <v>--</v>
          </cell>
          <cell r="J5571">
            <v>59.6</v>
          </cell>
          <cell r="K5571" t="str">
            <v>-</v>
          </cell>
        </row>
        <row r="5572">
          <cell r="A5572" t="str">
            <v>UT</v>
          </cell>
          <cell r="B5572" t="str">
            <v>A5C</v>
          </cell>
          <cell r="C5572" t="str">
            <v>P</v>
          </cell>
          <cell r="D5572" t="str">
            <v>23155</v>
          </cell>
          <cell r="E5572" t="str">
            <v>PIPE</v>
          </cell>
          <cell r="F5572">
            <v>1</v>
          </cell>
          <cell r="G5572" t="str">
            <v>CB100408000200</v>
          </cell>
          <cell r="H5572">
            <v>2</v>
          </cell>
          <cell r="I5572" t="str">
            <v>--</v>
          </cell>
          <cell r="J5572">
            <v>60.5</v>
          </cell>
          <cell r="K5572" t="str">
            <v>-</v>
          </cell>
        </row>
        <row r="5573">
          <cell r="A5573" t="str">
            <v>UT</v>
          </cell>
          <cell r="B5573" t="str">
            <v>A5C</v>
          </cell>
          <cell r="C5573" t="str">
            <v>P</v>
          </cell>
          <cell r="D5573" t="str">
            <v>23144</v>
          </cell>
          <cell r="E5573" t="str">
            <v>PIPE</v>
          </cell>
          <cell r="F5573">
            <v>1</v>
          </cell>
          <cell r="G5573" t="str">
            <v>CB100408000200</v>
          </cell>
          <cell r="H5573">
            <v>2</v>
          </cell>
          <cell r="I5573" t="str">
            <v>--</v>
          </cell>
          <cell r="J5573">
            <v>62.5</v>
          </cell>
          <cell r="K5573" t="str">
            <v>-</v>
          </cell>
        </row>
        <row r="5574">
          <cell r="A5574" t="str">
            <v>UT</v>
          </cell>
          <cell r="B5574" t="str">
            <v>A5C</v>
          </cell>
          <cell r="C5574" t="str">
            <v>P</v>
          </cell>
          <cell r="D5574" t="str">
            <v>23108</v>
          </cell>
          <cell r="E5574" t="str">
            <v>PIPE</v>
          </cell>
          <cell r="F5574">
            <v>1</v>
          </cell>
          <cell r="G5574" t="str">
            <v>CB100408000200</v>
          </cell>
          <cell r="H5574">
            <v>2</v>
          </cell>
          <cell r="I5574" t="str">
            <v>--</v>
          </cell>
          <cell r="J5574">
            <v>64</v>
          </cell>
          <cell r="K5574" t="str">
            <v>-</v>
          </cell>
        </row>
        <row r="5575">
          <cell r="A5575" t="str">
            <v>UT</v>
          </cell>
          <cell r="B5575" t="str">
            <v>A5C</v>
          </cell>
          <cell r="C5575" t="str">
            <v>P</v>
          </cell>
          <cell r="D5575" t="str">
            <v>HOLD4</v>
          </cell>
          <cell r="E5575" t="str">
            <v>PIPE</v>
          </cell>
          <cell r="F5575">
            <v>1</v>
          </cell>
          <cell r="G5575" t="str">
            <v>CB100408000200</v>
          </cell>
          <cell r="H5575">
            <v>2</v>
          </cell>
          <cell r="I5575" t="str">
            <v>--</v>
          </cell>
          <cell r="J5575">
            <v>82</v>
          </cell>
          <cell r="K5575" t="str">
            <v>-</v>
          </cell>
        </row>
        <row r="5576">
          <cell r="A5576" t="str">
            <v>UT</v>
          </cell>
          <cell r="B5576" t="str">
            <v>A5C</v>
          </cell>
          <cell r="C5576" t="str">
            <v>P</v>
          </cell>
          <cell r="D5576" t="str">
            <v>HOLD6</v>
          </cell>
          <cell r="E5576" t="str">
            <v>PIPE</v>
          </cell>
          <cell r="F5576">
            <v>1</v>
          </cell>
          <cell r="G5576" t="str">
            <v>CB100404000400</v>
          </cell>
          <cell r="H5576">
            <v>4</v>
          </cell>
          <cell r="I5576" t="str">
            <v>--</v>
          </cell>
          <cell r="J5576">
            <v>83</v>
          </cell>
          <cell r="K5576" t="str">
            <v>-</v>
          </cell>
        </row>
        <row r="5577">
          <cell r="A5577" t="str">
            <v>UT</v>
          </cell>
          <cell r="B5577" t="str">
            <v>A5C</v>
          </cell>
          <cell r="C5577" t="str">
            <v>P</v>
          </cell>
          <cell r="D5577" t="str">
            <v>HOLD3</v>
          </cell>
          <cell r="E5577" t="str">
            <v>PIPE</v>
          </cell>
          <cell r="F5577">
            <v>1</v>
          </cell>
          <cell r="G5577" t="str">
            <v>CB100408000200</v>
          </cell>
          <cell r="H5577">
            <v>2</v>
          </cell>
          <cell r="I5577" t="str">
            <v>--</v>
          </cell>
          <cell r="J5577">
            <v>85</v>
          </cell>
          <cell r="K5577" t="str">
            <v>-</v>
          </cell>
        </row>
        <row r="5578">
          <cell r="A5578" t="str">
            <v>UT</v>
          </cell>
          <cell r="B5578" t="str">
            <v>CA307</v>
          </cell>
          <cell r="C5578" t="str">
            <v>HCLG</v>
          </cell>
          <cell r="D5578" t="str">
            <v>1100</v>
          </cell>
          <cell r="E5578" t="str">
            <v>PIPE</v>
          </cell>
          <cell r="F5578">
            <v>1</v>
          </cell>
          <cell r="G5578" t="str">
            <v>CB100405000600</v>
          </cell>
          <cell r="H5578">
            <v>6</v>
          </cell>
          <cell r="I5578" t="str">
            <v>--</v>
          </cell>
          <cell r="J5578">
            <v>97</v>
          </cell>
          <cell r="K5578" t="str">
            <v>-</v>
          </cell>
        </row>
        <row r="5579">
          <cell r="A5579" t="str">
            <v>UT</v>
          </cell>
          <cell r="B5579" t="str">
            <v>A5C</v>
          </cell>
          <cell r="C5579" t="str">
            <v>P</v>
          </cell>
          <cell r="D5579" t="str">
            <v>HOLD1</v>
          </cell>
          <cell r="E5579" t="str">
            <v>PIPE</v>
          </cell>
          <cell r="F5579">
            <v>1</v>
          </cell>
          <cell r="G5579" t="str">
            <v>CB100408000200</v>
          </cell>
          <cell r="H5579">
            <v>2</v>
          </cell>
          <cell r="I5579" t="str">
            <v>--</v>
          </cell>
          <cell r="J5579">
            <v>142</v>
          </cell>
          <cell r="K5579" t="str">
            <v>-</v>
          </cell>
        </row>
        <row r="5580">
          <cell r="A5580" t="str">
            <v>UT</v>
          </cell>
          <cell r="B5580" t="str">
            <v>A5C</v>
          </cell>
          <cell r="C5580" t="str">
            <v>WW</v>
          </cell>
          <cell r="D5580" t="str">
            <v>003</v>
          </cell>
          <cell r="E5580" t="str">
            <v>PIPE</v>
          </cell>
          <cell r="F5580">
            <v>1</v>
          </cell>
          <cell r="G5580" t="str">
            <v>CB100404000300</v>
          </cell>
          <cell r="H5580">
            <v>3</v>
          </cell>
          <cell r="I5580" t="str">
            <v>--</v>
          </cell>
          <cell r="J5580">
            <v>144</v>
          </cell>
          <cell r="K5580" t="str">
            <v>-</v>
          </cell>
        </row>
        <row r="5581">
          <cell r="A5581" t="str">
            <v>UT</v>
          </cell>
          <cell r="B5581" t="str">
            <v>A5C</v>
          </cell>
          <cell r="C5581" t="str">
            <v>P</v>
          </cell>
          <cell r="D5581" t="str">
            <v>HOLD5</v>
          </cell>
          <cell r="E5581" t="str">
            <v>PIPE</v>
          </cell>
          <cell r="F5581">
            <v>1</v>
          </cell>
          <cell r="G5581" t="str">
            <v>CB100404000400</v>
          </cell>
          <cell r="H5581">
            <v>4</v>
          </cell>
          <cell r="I5581" t="str">
            <v>--</v>
          </cell>
          <cell r="J5581">
            <v>228</v>
          </cell>
          <cell r="K5581" t="str">
            <v>-</v>
          </cell>
        </row>
        <row r="5582">
          <cell r="A5582" t="str">
            <v>UT</v>
          </cell>
          <cell r="B5582" t="str">
            <v>B2C</v>
          </cell>
          <cell r="C5582" t="str">
            <v>SH</v>
          </cell>
          <cell r="D5582" t="str">
            <v>001</v>
          </cell>
          <cell r="E5582" t="str">
            <v>PIPE</v>
          </cell>
          <cell r="F5582">
            <v>1</v>
          </cell>
          <cell r="G5582" t="str">
            <v>CB100404000800</v>
          </cell>
          <cell r="H5582">
            <v>8</v>
          </cell>
          <cell r="I5582" t="str">
            <v>--</v>
          </cell>
          <cell r="J5582">
            <v>240</v>
          </cell>
          <cell r="K5582" t="str">
            <v>-</v>
          </cell>
        </row>
        <row r="5583">
          <cell r="A5583" t="str">
            <v>UT</v>
          </cell>
          <cell r="B5583" t="str">
            <v>A5C</v>
          </cell>
          <cell r="C5583" t="str">
            <v>P</v>
          </cell>
          <cell r="D5583" t="str">
            <v>HOLD2</v>
          </cell>
          <cell r="E5583" t="str">
            <v>PIPE</v>
          </cell>
          <cell r="F5583">
            <v>1</v>
          </cell>
          <cell r="G5583" t="str">
            <v>CB100408000200</v>
          </cell>
          <cell r="H5583">
            <v>2</v>
          </cell>
          <cell r="I5583" t="str">
            <v>--</v>
          </cell>
          <cell r="J5583">
            <v>312</v>
          </cell>
          <cell r="K5583" t="str">
            <v>-</v>
          </cell>
        </row>
        <row r="5584">
          <cell r="A5584" t="str">
            <v>UT</v>
          </cell>
          <cell r="B5584" t="str">
            <v>A5C</v>
          </cell>
          <cell r="C5584" t="str">
            <v>WW</v>
          </cell>
          <cell r="D5584" t="str">
            <v>002</v>
          </cell>
          <cell r="E5584" t="str">
            <v>PIPE</v>
          </cell>
          <cell r="F5584">
            <v>1</v>
          </cell>
          <cell r="G5584" t="str">
            <v>CB100404001200</v>
          </cell>
          <cell r="H5584">
            <v>12</v>
          </cell>
          <cell r="I5584" t="str">
            <v>--</v>
          </cell>
          <cell r="J5584">
            <v>358</v>
          </cell>
          <cell r="K5584" t="str">
            <v>-</v>
          </cell>
        </row>
        <row r="5585">
          <cell r="A5585" t="str">
            <v>UT</v>
          </cell>
          <cell r="B5585" t="str">
            <v>B2C</v>
          </cell>
          <cell r="C5585" t="str">
            <v>SCL</v>
          </cell>
          <cell r="D5585" t="str">
            <v>002</v>
          </cell>
          <cell r="E5585" t="str">
            <v>PIPE</v>
          </cell>
          <cell r="F5585">
            <v>1</v>
          </cell>
          <cell r="G5585" t="str">
            <v>CB100508000T00</v>
          </cell>
          <cell r="H5585">
            <v>0.75</v>
          </cell>
          <cell r="I5585" t="str">
            <v>--</v>
          </cell>
          <cell r="J5585" t="str">
            <v>-</v>
          </cell>
          <cell r="K5585">
            <v>33</v>
          </cell>
        </row>
        <row r="5586">
          <cell r="A5586" t="str">
            <v>UT</v>
          </cell>
          <cell r="B5586" t="str">
            <v>A5C</v>
          </cell>
          <cell r="C5586" t="str">
            <v>P</v>
          </cell>
          <cell r="D5586" t="str">
            <v>23116</v>
          </cell>
          <cell r="E5586" t="str">
            <v>PIPE</v>
          </cell>
          <cell r="F5586">
            <v>1</v>
          </cell>
          <cell r="G5586" t="str">
            <v>CB100408000200</v>
          </cell>
          <cell r="H5586">
            <v>2</v>
          </cell>
          <cell r="I5586" t="str">
            <v>--</v>
          </cell>
          <cell r="J5586" t="str">
            <v>-</v>
          </cell>
          <cell r="K5586">
            <v>55.8</v>
          </cell>
        </row>
        <row r="5587">
          <cell r="A5587" t="str">
            <v>UT</v>
          </cell>
          <cell r="B5587" t="str">
            <v>A5C</v>
          </cell>
          <cell r="C5587" t="str">
            <v>P</v>
          </cell>
          <cell r="D5587" t="str">
            <v>23112</v>
          </cell>
          <cell r="E5587" t="str">
            <v>PIPE</v>
          </cell>
          <cell r="F5587">
            <v>1</v>
          </cell>
          <cell r="G5587" t="str">
            <v>CB100408000200</v>
          </cell>
          <cell r="H5587">
            <v>2</v>
          </cell>
          <cell r="I5587" t="str">
            <v>--</v>
          </cell>
          <cell r="J5587" t="str">
            <v>-</v>
          </cell>
          <cell r="K5587">
            <v>57</v>
          </cell>
        </row>
        <row r="5588">
          <cell r="A5588" t="str">
            <v>UT</v>
          </cell>
          <cell r="B5588" t="str">
            <v>CA304</v>
          </cell>
          <cell r="C5588" t="str">
            <v>MC</v>
          </cell>
          <cell r="D5588" t="str">
            <v>12014</v>
          </cell>
          <cell r="E5588" t="str">
            <v>PIPE</v>
          </cell>
          <cell r="F5588">
            <v>1</v>
          </cell>
          <cell r="G5588" t="str">
            <v>CB100405000200</v>
          </cell>
          <cell r="H5588">
            <v>2</v>
          </cell>
          <cell r="I5588" t="str">
            <v>--</v>
          </cell>
          <cell r="J5588" t="str">
            <v>-</v>
          </cell>
          <cell r="K5588">
            <v>58.5</v>
          </cell>
        </row>
        <row r="5589">
          <cell r="A5589" t="str">
            <v>UT</v>
          </cell>
          <cell r="B5589" t="str">
            <v>A5C</v>
          </cell>
          <cell r="C5589" t="str">
            <v>P</v>
          </cell>
          <cell r="D5589" t="str">
            <v>23148</v>
          </cell>
          <cell r="E5589" t="str">
            <v>PIPE</v>
          </cell>
          <cell r="F5589">
            <v>1</v>
          </cell>
          <cell r="G5589" t="str">
            <v>CB100408000200</v>
          </cell>
          <cell r="H5589">
            <v>2</v>
          </cell>
          <cell r="I5589" t="str">
            <v>--</v>
          </cell>
          <cell r="J5589" t="str">
            <v>-</v>
          </cell>
          <cell r="K5589">
            <v>59.6</v>
          </cell>
        </row>
        <row r="5590">
          <cell r="A5590" t="str">
            <v>UT</v>
          </cell>
          <cell r="B5590" t="str">
            <v>A5C</v>
          </cell>
          <cell r="C5590" t="str">
            <v>P</v>
          </cell>
          <cell r="D5590" t="str">
            <v>23155</v>
          </cell>
          <cell r="E5590" t="str">
            <v>PIPE</v>
          </cell>
          <cell r="F5590">
            <v>1</v>
          </cell>
          <cell r="G5590" t="str">
            <v>CB100408000200</v>
          </cell>
          <cell r="H5590">
            <v>2</v>
          </cell>
          <cell r="I5590" t="str">
            <v>--</v>
          </cell>
          <cell r="J5590" t="str">
            <v>-</v>
          </cell>
          <cell r="K5590">
            <v>60.5</v>
          </cell>
        </row>
        <row r="5591">
          <cell r="A5591" t="str">
            <v>UT</v>
          </cell>
          <cell r="B5591" t="str">
            <v>A5C</v>
          </cell>
          <cell r="C5591" t="str">
            <v>P</v>
          </cell>
          <cell r="D5591" t="str">
            <v>23144</v>
          </cell>
          <cell r="E5591" t="str">
            <v>PIPE</v>
          </cell>
          <cell r="F5591">
            <v>1</v>
          </cell>
          <cell r="G5591" t="str">
            <v>CB100408000200</v>
          </cell>
          <cell r="H5591">
            <v>2</v>
          </cell>
          <cell r="I5591" t="str">
            <v>--</v>
          </cell>
          <cell r="J5591" t="str">
            <v>-</v>
          </cell>
          <cell r="K5591">
            <v>62.5</v>
          </cell>
        </row>
        <row r="5592">
          <cell r="A5592" t="str">
            <v>UT</v>
          </cell>
          <cell r="B5592" t="str">
            <v>A5C</v>
          </cell>
          <cell r="C5592" t="str">
            <v>P</v>
          </cell>
          <cell r="D5592" t="str">
            <v>23108</v>
          </cell>
          <cell r="E5592" t="str">
            <v>PIPE</v>
          </cell>
          <cell r="F5592">
            <v>1</v>
          </cell>
          <cell r="G5592" t="str">
            <v>CB100408000200</v>
          </cell>
          <cell r="H5592">
            <v>2</v>
          </cell>
          <cell r="I5592" t="str">
            <v>--</v>
          </cell>
          <cell r="J5592" t="str">
            <v>-</v>
          </cell>
          <cell r="K5592">
            <v>64</v>
          </cell>
        </row>
        <row r="5593">
          <cell r="A5593" t="str">
            <v>UT</v>
          </cell>
          <cell r="B5593" t="str">
            <v>A5C</v>
          </cell>
          <cell r="C5593" t="str">
            <v>P</v>
          </cell>
          <cell r="D5593" t="str">
            <v>HOLD4</v>
          </cell>
          <cell r="E5593" t="str">
            <v>PIPE</v>
          </cell>
          <cell r="F5593">
            <v>1</v>
          </cell>
          <cell r="G5593" t="str">
            <v>CB100408000200</v>
          </cell>
          <cell r="H5593">
            <v>2</v>
          </cell>
          <cell r="I5593" t="str">
            <v>--</v>
          </cell>
          <cell r="J5593" t="str">
            <v>-</v>
          </cell>
          <cell r="K5593">
            <v>82</v>
          </cell>
        </row>
        <row r="5594">
          <cell r="A5594" t="str">
            <v>UT</v>
          </cell>
          <cell r="B5594" t="str">
            <v>A5C</v>
          </cell>
          <cell r="C5594" t="str">
            <v>P</v>
          </cell>
          <cell r="D5594" t="str">
            <v>HOLD3</v>
          </cell>
          <cell r="E5594" t="str">
            <v>PIPE</v>
          </cell>
          <cell r="F5594">
            <v>1</v>
          </cell>
          <cell r="G5594" t="str">
            <v>CB100408000200</v>
          </cell>
          <cell r="H5594">
            <v>2</v>
          </cell>
          <cell r="I5594" t="str">
            <v>--</v>
          </cell>
          <cell r="J5594" t="str">
            <v>-</v>
          </cell>
          <cell r="K5594">
            <v>85</v>
          </cell>
        </row>
        <row r="5595">
          <cell r="A5595" t="str">
            <v>UT</v>
          </cell>
          <cell r="B5595" t="str">
            <v>A5C</v>
          </cell>
          <cell r="C5595" t="str">
            <v>P</v>
          </cell>
          <cell r="D5595" t="str">
            <v>HOLD1</v>
          </cell>
          <cell r="E5595" t="str">
            <v>PIPE</v>
          </cell>
          <cell r="F5595">
            <v>1</v>
          </cell>
          <cell r="G5595" t="str">
            <v>CB100408000200</v>
          </cell>
          <cell r="H5595">
            <v>2</v>
          </cell>
          <cell r="I5595" t="str">
            <v>--</v>
          </cell>
          <cell r="J5595" t="str">
            <v>-</v>
          </cell>
          <cell r="K5595">
            <v>142</v>
          </cell>
        </row>
        <row r="5596">
          <cell r="A5596" t="str">
            <v>UT</v>
          </cell>
          <cell r="B5596" t="str">
            <v>A5C</v>
          </cell>
          <cell r="C5596" t="str">
            <v>P</v>
          </cell>
          <cell r="D5596" t="str">
            <v>HOLD2</v>
          </cell>
          <cell r="E5596" t="str">
            <v>PIPE</v>
          </cell>
          <cell r="F5596">
            <v>1</v>
          </cell>
          <cell r="G5596" t="str">
            <v>CB100408000200</v>
          </cell>
          <cell r="H5596">
            <v>2</v>
          </cell>
          <cell r="I5596" t="str">
            <v>--</v>
          </cell>
          <cell r="J5596" t="str">
            <v>-</v>
          </cell>
          <cell r="K5596">
            <v>312</v>
          </cell>
        </row>
        <row r="5597">
          <cell r="A5597" t="str">
            <v>UT</v>
          </cell>
          <cell r="B5597" t="str">
            <v>B2C</v>
          </cell>
          <cell r="C5597" t="str">
            <v>SH</v>
          </cell>
          <cell r="D5597" t="str">
            <v>001</v>
          </cell>
          <cell r="E5597" t="str">
            <v>PIPE</v>
          </cell>
          <cell r="F5597">
            <v>1</v>
          </cell>
          <cell r="G5597" t="str">
            <v>CB100404000300</v>
          </cell>
          <cell r="H5597">
            <v>3</v>
          </cell>
          <cell r="I5597" t="str">
            <v>--</v>
          </cell>
          <cell r="J5597" t="str">
            <v>-</v>
          </cell>
          <cell r="K5597">
            <v>40</v>
          </cell>
        </row>
        <row r="5598">
          <cell r="A5598" t="str">
            <v>UT</v>
          </cell>
          <cell r="B5598" t="str">
            <v>B2C</v>
          </cell>
          <cell r="C5598" t="str">
            <v>SH</v>
          </cell>
          <cell r="D5598" t="str">
            <v>001</v>
          </cell>
          <cell r="E5598" t="str">
            <v>PIPE</v>
          </cell>
          <cell r="F5598">
            <v>1</v>
          </cell>
          <cell r="G5598" t="str">
            <v>CB100404001200</v>
          </cell>
          <cell r="H5598">
            <v>12</v>
          </cell>
          <cell r="I5598" t="str">
            <v>--</v>
          </cell>
          <cell r="J5598" t="str">
            <v>-</v>
          </cell>
          <cell r="K5598">
            <v>230</v>
          </cell>
        </row>
        <row r="5599">
          <cell r="A5599" t="str">
            <v>UT</v>
          </cell>
          <cell r="B5599" t="str">
            <v>A5C</v>
          </cell>
          <cell r="C5599" t="str">
            <v>WW</v>
          </cell>
          <cell r="D5599" t="str">
            <v>002</v>
          </cell>
          <cell r="E5599" t="str">
            <v>PIPE</v>
          </cell>
          <cell r="F5599">
            <v>1</v>
          </cell>
          <cell r="G5599" t="str">
            <v>CB100404001200</v>
          </cell>
          <cell r="H5599">
            <v>12</v>
          </cell>
          <cell r="I5599" t="str">
            <v>--</v>
          </cell>
          <cell r="J5599" t="str">
            <v>-</v>
          </cell>
          <cell r="K5599">
            <v>10</v>
          </cell>
        </row>
        <row r="5600">
          <cell r="A5600" t="str">
            <v>UT</v>
          </cell>
          <cell r="B5600" t="str">
            <v>A5C</v>
          </cell>
          <cell r="C5600" t="str">
            <v>WW</v>
          </cell>
          <cell r="D5600" t="str">
            <v>002</v>
          </cell>
          <cell r="E5600" t="str">
            <v>PIPE</v>
          </cell>
          <cell r="F5600">
            <v>1</v>
          </cell>
          <cell r="G5600" t="str">
            <v>CB100404002000</v>
          </cell>
          <cell r="H5600">
            <v>20</v>
          </cell>
          <cell r="I5600" t="str">
            <v>--</v>
          </cell>
          <cell r="J5600" t="str">
            <v>-</v>
          </cell>
          <cell r="K5600">
            <v>348</v>
          </cell>
        </row>
        <row r="5601">
          <cell r="A5601" t="str">
            <v>UT</v>
          </cell>
          <cell r="B5601" t="str">
            <v>B2C</v>
          </cell>
          <cell r="C5601" t="str">
            <v>SH</v>
          </cell>
          <cell r="D5601" t="str">
            <v>001</v>
          </cell>
          <cell r="E5601" t="str">
            <v>PIPE</v>
          </cell>
          <cell r="F5601">
            <v>1</v>
          </cell>
          <cell r="G5601" t="str">
            <v>CB100404000400</v>
          </cell>
          <cell r="H5601">
            <v>4</v>
          </cell>
          <cell r="I5601" t="str">
            <v>--</v>
          </cell>
          <cell r="J5601" t="str">
            <v>-</v>
          </cell>
          <cell r="K5601">
            <v>41.5</v>
          </cell>
        </row>
        <row r="5602">
          <cell r="A5602" t="str">
            <v>UT</v>
          </cell>
          <cell r="B5602" t="str">
            <v>CA307</v>
          </cell>
          <cell r="C5602" t="str">
            <v>P</v>
          </cell>
          <cell r="D5602" t="str">
            <v>HOLD7</v>
          </cell>
          <cell r="E5602" t="str">
            <v>PIPE</v>
          </cell>
          <cell r="F5602">
            <v>1</v>
          </cell>
          <cell r="G5602" t="str">
            <v>CB100405000400</v>
          </cell>
          <cell r="H5602">
            <v>4</v>
          </cell>
          <cell r="I5602" t="str">
            <v>--</v>
          </cell>
          <cell r="J5602" t="str">
            <v>-</v>
          </cell>
          <cell r="K5602">
            <v>43</v>
          </cell>
        </row>
        <row r="5603">
          <cell r="A5603" t="str">
            <v>UT</v>
          </cell>
          <cell r="B5603" t="str">
            <v>A5C</v>
          </cell>
          <cell r="C5603" t="str">
            <v>P</v>
          </cell>
          <cell r="D5603" t="str">
            <v>HOLD6</v>
          </cell>
          <cell r="E5603" t="str">
            <v>PIPE</v>
          </cell>
          <cell r="F5603">
            <v>1</v>
          </cell>
          <cell r="G5603" t="str">
            <v>CB100404000400</v>
          </cell>
          <cell r="H5603">
            <v>4</v>
          </cell>
          <cell r="I5603" t="str">
            <v>--</v>
          </cell>
          <cell r="J5603" t="str">
            <v>-</v>
          </cell>
          <cell r="K5603">
            <v>83</v>
          </cell>
        </row>
        <row r="5604">
          <cell r="A5604" t="str">
            <v>UT</v>
          </cell>
          <cell r="B5604" t="str">
            <v>A5C</v>
          </cell>
          <cell r="C5604" t="str">
            <v>P</v>
          </cell>
          <cell r="D5604" t="str">
            <v>HOLD5</v>
          </cell>
          <cell r="E5604" t="str">
            <v>PIPE</v>
          </cell>
          <cell r="F5604">
            <v>1</v>
          </cell>
          <cell r="G5604" t="str">
            <v>CB100404000400</v>
          </cell>
          <cell r="H5604">
            <v>4</v>
          </cell>
          <cell r="I5604" t="str">
            <v>--</v>
          </cell>
          <cell r="J5604" t="str">
            <v>-</v>
          </cell>
          <cell r="K5604">
            <v>228</v>
          </cell>
        </row>
        <row r="5605">
          <cell r="A5605" t="str">
            <v>UT</v>
          </cell>
          <cell r="B5605" t="str">
            <v>A5C</v>
          </cell>
          <cell r="C5605" t="str">
            <v>WW</v>
          </cell>
          <cell r="D5605" t="str">
            <v>003</v>
          </cell>
          <cell r="E5605" t="str">
            <v>PIPE</v>
          </cell>
          <cell r="F5605">
            <v>1</v>
          </cell>
          <cell r="G5605" t="str">
            <v>CB100404000400</v>
          </cell>
          <cell r="H5605">
            <v>4</v>
          </cell>
          <cell r="I5605" t="str">
            <v>--</v>
          </cell>
          <cell r="J5605" t="str">
            <v>-</v>
          </cell>
          <cell r="K5605">
            <v>144</v>
          </cell>
        </row>
        <row r="5606">
          <cell r="A5606" t="str">
            <v>UT</v>
          </cell>
          <cell r="B5606" t="str">
            <v>B2C</v>
          </cell>
          <cell r="C5606" t="str">
            <v>SH</v>
          </cell>
          <cell r="D5606" t="str">
            <v>001</v>
          </cell>
          <cell r="E5606" t="str">
            <v>PIPE</v>
          </cell>
          <cell r="F5606">
            <v>1</v>
          </cell>
          <cell r="G5606" t="str">
            <v>CB100404000600</v>
          </cell>
          <cell r="H5606">
            <v>6</v>
          </cell>
          <cell r="I5606" t="str">
            <v>--</v>
          </cell>
          <cell r="J5606" t="str">
            <v>-</v>
          </cell>
          <cell r="K5606">
            <v>2</v>
          </cell>
        </row>
        <row r="5607">
          <cell r="A5607" t="str">
            <v>UT</v>
          </cell>
          <cell r="B5607" t="str">
            <v>CA307</v>
          </cell>
          <cell r="C5607" t="str">
            <v>HCLG</v>
          </cell>
          <cell r="D5607" t="str">
            <v>1100</v>
          </cell>
          <cell r="E5607" t="str">
            <v>PIPE</v>
          </cell>
          <cell r="F5607">
            <v>1</v>
          </cell>
          <cell r="G5607" t="str">
            <v>CB100405000600</v>
          </cell>
          <cell r="H5607">
            <v>6</v>
          </cell>
          <cell r="I5607" t="str">
            <v>--</v>
          </cell>
          <cell r="J5607" t="str">
            <v>-</v>
          </cell>
          <cell r="K5607">
            <v>97</v>
          </cell>
        </row>
        <row r="5608">
          <cell r="A5608" t="str">
            <v>UT</v>
          </cell>
          <cell r="B5608" t="str">
            <v>A5C</v>
          </cell>
          <cell r="C5608" t="str">
            <v>WW</v>
          </cell>
          <cell r="D5608" t="str">
            <v>002</v>
          </cell>
          <cell r="E5608" t="str">
            <v>PIPE</v>
          </cell>
          <cell r="F5608">
            <v>1</v>
          </cell>
          <cell r="G5608" t="str">
            <v>CB100404000600</v>
          </cell>
          <cell r="H5608">
            <v>6</v>
          </cell>
          <cell r="I5608" t="str">
            <v>--</v>
          </cell>
          <cell r="J5608" t="str">
            <v>-</v>
          </cell>
          <cell r="K5608">
            <v>10</v>
          </cell>
        </row>
        <row r="5609">
          <cell r="A5609" t="str">
            <v>UT</v>
          </cell>
          <cell r="B5609" t="str">
            <v>B2C</v>
          </cell>
          <cell r="C5609" t="str">
            <v>SH</v>
          </cell>
          <cell r="D5609" t="str">
            <v>001</v>
          </cell>
          <cell r="E5609" t="str">
            <v>PIPE</v>
          </cell>
          <cell r="F5609">
            <v>1</v>
          </cell>
          <cell r="G5609" t="str">
            <v>CB100404000800</v>
          </cell>
          <cell r="H5609">
            <v>8</v>
          </cell>
          <cell r="I5609" t="str">
            <v>--</v>
          </cell>
          <cell r="J5609" t="str">
            <v>-</v>
          </cell>
          <cell r="K5609">
            <v>10</v>
          </cell>
        </row>
        <row r="5610">
          <cell r="A5610" t="str">
            <v>UT</v>
          </cell>
          <cell r="B5610" t="str">
            <v>A5C</v>
          </cell>
          <cell r="C5610" t="str">
            <v>WW</v>
          </cell>
          <cell r="D5610" t="str">
            <v>002</v>
          </cell>
          <cell r="E5610" t="str">
            <v>PIPE</v>
          </cell>
          <cell r="F5610">
            <v>1</v>
          </cell>
          <cell r="G5610" t="str">
            <v>CB100404000800</v>
          </cell>
          <cell r="H5610">
            <v>8</v>
          </cell>
          <cell r="I5610" t="str">
            <v>--</v>
          </cell>
          <cell r="J5610" t="str">
            <v>-</v>
          </cell>
          <cell r="K5610">
            <v>20</v>
          </cell>
        </row>
        <row r="5611">
          <cell r="A5611" t="str">
            <v>UT</v>
          </cell>
          <cell r="B5611" t="str">
            <v>B2C</v>
          </cell>
          <cell r="C5611" t="str">
            <v>SCL</v>
          </cell>
          <cell r="D5611" t="str">
            <v>002</v>
          </cell>
          <cell r="E5611" t="str">
            <v>NPL</v>
          </cell>
          <cell r="F5611">
            <v>2</v>
          </cell>
          <cell r="G5611" t="str">
            <v>CB132308000TVR</v>
          </cell>
          <cell r="H5611">
            <v>0.75</v>
          </cell>
          <cell r="I5611" t="str">
            <v>75mm</v>
          </cell>
          <cell r="J5611" t="str">
            <v>-</v>
          </cell>
          <cell r="K5611">
            <v>3</v>
          </cell>
        </row>
        <row r="5612">
          <cell r="A5612" t="str">
            <v>UT</v>
          </cell>
          <cell r="B5612" t="str">
            <v>B2C</v>
          </cell>
          <cell r="C5612" t="str">
            <v>SCL</v>
          </cell>
          <cell r="D5612" t="str">
            <v>002</v>
          </cell>
          <cell r="E5612" t="str">
            <v>TEE</v>
          </cell>
          <cell r="F5612">
            <v>2</v>
          </cell>
          <cell r="G5612" t="str">
            <v>CB400300000T00</v>
          </cell>
          <cell r="H5612">
            <v>0.75</v>
          </cell>
          <cell r="I5612" t="str">
            <v>--</v>
          </cell>
          <cell r="J5612" t="str">
            <v>-</v>
          </cell>
          <cell r="K5612">
            <v>6</v>
          </cell>
        </row>
        <row r="5613">
          <cell r="A5613" t="str">
            <v>UT</v>
          </cell>
          <cell r="B5613" t="str">
            <v>B2C</v>
          </cell>
          <cell r="C5613" t="str">
            <v>SCL</v>
          </cell>
          <cell r="D5613" t="str">
            <v>002</v>
          </cell>
          <cell r="E5613" t="str">
            <v>90 ELL</v>
          </cell>
          <cell r="F5613">
            <v>2</v>
          </cell>
          <cell r="G5613" t="str">
            <v>CB400100000T00</v>
          </cell>
          <cell r="H5613">
            <v>0.75</v>
          </cell>
          <cell r="I5613" t="str">
            <v>--</v>
          </cell>
          <cell r="J5613" t="str">
            <v>-</v>
          </cell>
          <cell r="K5613">
            <v>8</v>
          </cell>
        </row>
        <row r="5614">
          <cell r="A5614" t="str">
            <v>UT</v>
          </cell>
          <cell r="B5614" t="str">
            <v>B2C</v>
          </cell>
          <cell r="C5614" t="str">
            <v>SH</v>
          </cell>
          <cell r="D5614" t="str">
            <v>001</v>
          </cell>
          <cell r="E5614" t="str">
            <v>NPL</v>
          </cell>
          <cell r="F5614">
            <v>2</v>
          </cell>
          <cell r="G5614" t="str">
            <v>CB132308000TVR</v>
          </cell>
          <cell r="H5614">
            <v>0.75</v>
          </cell>
          <cell r="I5614" t="str">
            <v>75mm</v>
          </cell>
          <cell r="J5614" t="str">
            <v>-</v>
          </cell>
          <cell r="K5614">
            <v>12</v>
          </cell>
        </row>
        <row r="5615">
          <cell r="A5615" t="str">
            <v>UT</v>
          </cell>
          <cell r="B5615" t="str">
            <v>B2C</v>
          </cell>
          <cell r="C5615" t="str">
            <v>SCL</v>
          </cell>
          <cell r="D5615" t="str">
            <v>002</v>
          </cell>
          <cell r="E5615" t="str">
            <v>90 ELL</v>
          </cell>
          <cell r="F5615">
            <v>2</v>
          </cell>
          <cell r="G5615" t="str">
            <v>CB400100000T00</v>
          </cell>
          <cell r="H5615">
            <v>0.75</v>
          </cell>
          <cell r="I5615" t="str">
            <v>--</v>
          </cell>
          <cell r="J5615">
            <v>8</v>
          </cell>
          <cell r="K5615" t="str">
            <v>-</v>
          </cell>
        </row>
        <row r="5616">
          <cell r="A5616" t="str">
            <v>UT</v>
          </cell>
          <cell r="B5616" t="str">
            <v>B2C</v>
          </cell>
          <cell r="C5616" t="str">
            <v>SCL</v>
          </cell>
          <cell r="D5616" t="str">
            <v>002</v>
          </cell>
          <cell r="E5616" t="str">
            <v>NPL</v>
          </cell>
          <cell r="F5616">
            <v>2</v>
          </cell>
          <cell r="G5616" t="str">
            <v>CB132308000TVR</v>
          </cell>
          <cell r="H5616">
            <v>0.75</v>
          </cell>
          <cell r="I5616" t="str">
            <v>75mm</v>
          </cell>
          <cell r="J5616">
            <v>3</v>
          </cell>
          <cell r="K5616" t="str">
            <v>-</v>
          </cell>
        </row>
        <row r="5617">
          <cell r="A5617" t="str">
            <v>UT</v>
          </cell>
          <cell r="B5617" t="str">
            <v>B2C</v>
          </cell>
          <cell r="C5617" t="str">
            <v>SH</v>
          </cell>
          <cell r="D5617" t="str">
            <v>001</v>
          </cell>
          <cell r="E5617" t="str">
            <v>NPL</v>
          </cell>
          <cell r="F5617">
            <v>2</v>
          </cell>
          <cell r="G5617" t="str">
            <v>CB132308000TVR</v>
          </cell>
          <cell r="H5617">
            <v>0.75</v>
          </cell>
          <cell r="I5617" t="str">
            <v>75mm</v>
          </cell>
          <cell r="J5617">
            <v>12</v>
          </cell>
          <cell r="K5617" t="str">
            <v>-</v>
          </cell>
        </row>
        <row r="5618">
          <cell r="A5618" t="str">
            <v>UT</v>
          </cell>
          <cell r="B5618" t="str">
            <v>B2C</v>
          </cell>
          <cell r="C5618" t="str">
            <v>SCL</v>
          </cell>
          <cell r="D5618" t="str">
            <v>002</v>
          </cell>
          <cell r="E5618" t="str">
            <v>TEE</v>
          </cell>
          <cell r="F5618">
            <v>2</v>
          </cell>
          <cell r="G5618" t="str">
            <v>CB400300000T00</v>
          </cell>
          <cell r="H5618">
            <v>0.75</v>
          </cell>
          <cell r="I5618" t="str">
            <v>--</v>
          </cell>
          <cell r="J5618">
            <v>6</v>
          </cell>
          <cell r="K5618" t="str">
            <v>-</v>
          </cell>
        </row>
        <row r="5619">
          <cell r="A5619" t="str">
            <v>UT</v>
          </cell>
          <cell r="B5619" t="str">
            <v>CA307</v>
          </cell>
          <cell r="C5619" t="str">
            <v>P</v>
          </cell>
          <cell r="D5619" t="str">
            <v>HOLD7</v>
          </cell>
          <cell r="E5619" t="str">
            <v>CAP</v>
          </cell>
          <cell r="F5619">
            <v>2</v>
          </cell>
          <cell r="G5619" t="str">
            <v>CB520700000T00</v>
          </cell>
          <cell r="H5619">
            <v>0.75</v>
          </cell>
          <cell r="I5619" t="str">
            <v>--</v>
          </cell>
          <cell r="K5619">
            <v>1</v>
          </cell>
        </row>
        <row r="5620">
          <cell r="A5620" t="str">
            <v>UT</v>
          </cell>
          <cell r="B5620" t="str">
            <v>CA307</v>
          </cell>
          <cell r="C5620" t="str">
            <v>P</v>
          </cell>
          <cell r="D5620" t="str">
            <v>HOLD7</v>
          </cell>
          <cell r="E5620" t="str">
            <v>CAP</v>
          </cell>
          <cell r="F5620">
            <v>2</v>
          </cell>
          <cell r="G5620" t="str">
            <v>CB520700000T00</v>
          </cell>
          <cell r="H5620">
            <v>0.75</v>
          </cell>
          <cell r="I5620" t="str">
            <v>--</v>
          </cell>
          <cell r="J5620">
            <v>1</v>
          </cell>
          <cell r="K5620" t="str">
            <v>-</v>
          </cell>
        </row>
        <row r="5621">
          <cell r="A5621" t="str">
            <v>UT</v>
          </cell>
          <cell r="B5621" t="str">
            <v>CA307</v>
          </cell>
          <cell r="C5621" t="str">
            <v>HCLG</v>
          </cell>
          <cell r="D5621" t="str">
            <v>1100</v>
          </cell>
          <cell r="E5621" t="str">
            <v>CAP</v>
          </cell>
          <cell r="F5621">
            <v>2</v>
          </cell>
          <cell r="G5621" t="str">
            <v>CB520700000T00</v>
          </cell>
          <cell r="H5621">
            <v>0.75</v>
          </cell>
          <cell r="I5621" t="str">
            <v>--</v>
          </cell>
          <cell r="J5621" t="str">
            <v>-</v>
          </cell>
          <cell r="K5621">
            <v>1</v>
          </cell>
        </row>
        <row r="5622">
          <cell r="A5622" t="str">
            <v>UT</v>
          </cell>
          <cell r="B5622" t="str">
            <v>A5C</v>
          </cell>
          <cell r="C5622" t="str">
            <v>P</v>
          </cell>
          <cell r="D5622" t="str">
            <v>HOLD4</v>
          </cell>
          <cell r="E5622" t="str">
            <v>CAP</v>
          </cell>
          <cell r="F5622">
            <v>2</v>
          </cell>
          <cell r="G5622" t="str">
            <v>CB520700000T00</v>
          </cell>
          <cell r="H5622">
            <v>0.75</v>
          </cell>
          <cell r="I5622" t="str">
            <v>--</v>
          </cell>
          <cell r="J5622" t="str">
            <v>-</v>
          </cell>
          <cell r="K5622">
            <v>1</v>
          </cell>
        </row>
        <row r="5623">
          <cell r="A5623" t="str">
            <v>UT</v>
          </cell>
          <cell r="B5623" t="str">
            <v>A5C</v>
          </cell>
          <cell r="C5623" t="str">
            <v>P</v>
          </cell>
          <cell r="D5623" t="str">
            <v>HOLD6</v>
          </cell>
          <cell r="E5623" t="str">
            <v>CAP</v>
          </cell>
          <cell r="F5623">
            <v>2</v>
          </cell>
          <cell r="G5623" t="str">
            <v>CB520700000T00</v>
          </cell>
          <cell r="H5623">
            <v>0.75</v>
          </cell>
          <cell r="I5623" t="str">
            <v>--</v>
          </cell>
          <cell r="J5623" t="str">
            <v>-</v>
          </cell>
          <cell r="K5623">
            <v>1</v>
          </cell>
        </row>
        <row r="5624">
          <cell r="A5624" t="str">
            <v>UT</v>
          </cell>
          <cell r="B5624" t="str">
            <v>A5C</v>
          </cell>
          <cell r="C5624" t="str">
            <v>P</v>
          </cell>
          <cell r="D5624" t="str">
            <v>HOLD1</v>
          </cell>
          <cell r="E5624" t="str">
            <v>CAP</v>
          </cell>
          <cell r="F5624">
            <v>2</v>
          </cell>
          <cell r="G5624" t="str">
            <v>CB520700000T00</v>
          </cell>
          <cell r="H5624">
            <v>0.75</v>
          </cell>
          <cell r="I5624" t="str">
            <v>--</v>
          </cell>
          <cell r="J5624" t="str">
            <v>-</v>
          </cell>
          <cell r="K5624">
            <v>2</v>
          </cell>
        </row>
        <row r="5625">
          <cell r="A5625" t="str">
            <v>UT</v>
          </cell>
          <cell r="B5625" t="str">
            <v>A5C</v>
          </cell>
          <cell r="C5625" t="str">
            <v>P</v>
          </cell>
          <cell r="D5625" t="str">
            <v>HOLD3</v>
          </cell>
          <cell r="E5625" t="str">
            <v>CAP</v>
          </cell>
          <cell r="F5625">
            <v>2</v>
          </cell>
          <cell r="G5625" t="str">
            <v>CB520700000T00</v>
          </cell>
          <cell r="H5625">
            <v>0.75</v>
          </cell>
          <cell r="I5625" t="str">
            <v>--</v>
          </cell>
          <cell r="J5625" t="str">
            <v>-</v>
          </cell>
          <cell r="K5625">
            <v>2</v>
          </cell>
        </row>
        <row r="5626">
          <cell r="A5626" t="str">
            <v>UT</v>
          </cell>
          <cell r="B5626" t="str">
            <v>A5C</v>
          </cell>
          <cell r="C5626" t="str">
            <v>P</v>
          </cell>
          <cell r="D5626" t="str">
            <v>HOLD2</v>
          </cell>
          <cell r="E5626" t="str">
            <v>CAP</v>
          </cell>
          <cell r="F5626">
            <v>2</v>
          </cell>
          <cell r="G5626" t="str">
            <v>CB520700000T00</v>
          </cell>
          <cell r="H5626">
            <v>0.75</v>
          </cell>
          <cell r="I5626" t="str">
            <v>--</v>
          </cell>
          <cell r="J5626" t="str">
            <v>-</v>
          </cell>
          <cell r="K5626">
            <v>4</v>
          </cell>
        </row>
        <row r="5627">
          <cell r="A5627" t="str">
            <v>UT</v>
          </cell>
          <cell r="B5627" t="str">
            <v>A5C</v>
          </cell>
          <cell r="C5627" t="str">
            <v>P</v>
          </cell>
          <cell r="D5627" t="str">
            <v>HOLD5</v>
          </cell>
          <cell r="E5627" t="str">
            <v>CAP</v>
          </cell>
          <cell r="F5627">
            <v>2</v>
          </cell>
          <cell r="G5627" t="str">
            <v>CB520700000T00</v>
          </cell>
          <cell r="H5627">
            <v>0.75</v>
          </cell>
          <cell r="I5627" t="str">
            <v>--</v>
          </cell>
          <cell r="J5627" t="str">
            <v>-</v>
          </cell>
          <cell r="K5627">
            <v>4</v>
          </cell>
        </row>
        <row r="5628">
          <cell r="A5628" t="str">
            <v>UT</v>
          </cell>
          <cell r="B5628" t="str">
            <v>CA307</v>
          </cell>
          <cell r="C5628" t="str">
            <v>HCLG</v>
          </cell>
          <cell r="D5628" t="str">
            <v>1100</v>
          </cell>
          <cell r="E5628" t="str">
            <v>CAP</v>
          </cell>
          <cell r="F5628">
            <v>2</v>
          </cell>
          <cell r="G5628" t="str">
            <v>CB520700000T00</v>
          </cell>
          <cell r="H5628">
            <v>0.75</v>
          </cell>
          <cell r="I5628" t="str">
            <v>--</v>
          </cell>
          <cell r="J5628">
            <v>1</v>
          </cell>
          <cell r="K5628" t="str">
            <v>-</v>
          </cell>
        </row>
        <row r="5629">
          <cell r="A5629" t="str">
            <v>UT</v>
          </cell>
          <cell r="B5629" t="str">
            <v>A5C</v>
          </cell>
          <cell r="C5629" t="str">
            <v>P</v>
          </cell>
          <cell r="D5629" t="str">
            <v>HOLD1</v>
          </cell>
          <cell r="E5629" t="str">
            <v>CAP</v>
          </cell>
          <cell r="F5629">
            <v>2</v>
          </cell>
          <cell r="G5629" t="str">
            <v>CB520700000T00</v>
          </cell>
          <cell r="H5629">
            <v>0.75</v>
          </cell>
          <cell r="I5629" t="str">
            <v>--</v>
          </cell>
          <cell r="J5629">
            <v>2</v>
          </cell>
          <cell r="K5629" t="str">
            <v>-</v>
          </cell>
        </row>
        <row r="5630">
          <cell r="A5630" t="str">
            <v>UT</v>
          </cell>
          <cell r="B5630" t="str">
            <v>A5C</v>
          </cell>
          <cell r="C5630" t="str">
            <v>P</v>
          </cell>
          <cell r="D5630" t="str">
            <v>HOLD2</v>
          </cell>
          <cell r="E5630" t="str">
            <v>CAP</v>
          </cell>
          <cell r="F5630">
            <v>2</v>
          </cell>
          <cell r="G5630" t="str">
            <v>CB520700000T00</v>
          </cell>
          <cell r="H5630">
            <v>0.75</v>
          </cell>
          <cell r="I5630" t="str">
            <v>--</v>
          </cell>
          <cell r="J5630">
            <v>4</v>
          </cell>
          <cell r="K5630" t="str">
            <v>-</v>
          </cell>
        </row>
        <row r="5631">
          <cell r="A5631" t="str">
            <v>UT</v>
          </cell>
          <cell r="B5631" t="str">
            <v>A5C</v>
          </cell>
          <cell r="C5631" t="str">
            <v>P</v>
          </cell>
          <cell r="D5631" t="str">
            <v>HOLD3</v>
          </cell>
          <cell r="E5631" t="str">
            <v>CAP</v>
          </cell>
          <cell r="F5631">
            <v>2</v>
          </cell>
          <cell r="G5631" t="str">
            <v>CB520700000T00</v>
          </cell>
          <cell r="H5631">
            <v>0.75</v>
          </cell>
          <cell r="I5631" t="str">
            <v>--</v>
          </cell>
          <cell r="J5631">
            <v>2</v>
          </cell>
          <cell r="K5631" t="str">
            <v>-</v>
          </cell>
        </row>
        <row r="5632">
          <cell r="A5632" t="str">
            <v>UT</v>
          </cell>
          <cell r="B5632" t="str">
            <v>A5C</v>
          </cell>
          <cell r="C5632" t="str">
            <v>P</v>
          </cell>
          <cell r="D5632" t="str">
            <v>HOLD4</v>
          </cell>
          <cell r="E5632" t="str">
            <v>CAP</v>
          </cell>
          <cell r="F5632">
            <v>2</v>
          </cell>
          <cell r="G5632" t="str">
            <v>CB520700000T00</v>
          </cell>
          <cell r="H5632">
            <v>0.75</v>
          </cell>
          <cell r="I5632" t="str">
            <v>--</v>
          </cell>
          <cell r="J5632">
            <v>1</v>
          </cell>
          <cell r="K5632" t="str">
            <v>-</v>
          </cell>
        </row>
        <row r="5633">
          <cell r="A5633" t="str">
            <v>UT</v>
          </cell>
          <cell r="B5633" t="str">
            <v>A5C</v>
          </cell>
          <cell r="C5633" t="str">
            <v>P</v>
          </cell>
          <cell r="D5633" t="str">
            <v>HOLD5</v>
          </cell>
          <cell r="E5633" t="str">
            <v>CAP</v>
          </cell>
          <cell r="F5633">
            <v>2</v>
          </cell>
          <cell r="G5633" t="str">
            <v>CB520700000T00</v>
          </cell>
          <cell r="H5633">
            <v>0.75</v>
          </cell>
          <cell r="I5633" t="str">
            <v>--</v>
          </cell>
          <cell r="J5633">
            <v>4</v>
          </cell>
          <cell r="K5633" t="str">
            <v>-</v>
          </cell>
        </row>
        <row r="5634">
          <cell r="A5634" t="str">
            <v>UT</v>
          </cell>
          <cell r="B5634" t="str">
            <v>A5C</v>
          </cell>
          <cell r="C5634" t="str">
            <v>P</v>
          </cell>
          <cell r="D5634" t="str">
            <v>HOLD6</v>
          </cell>
          <cell r="E5634" t="str">
            <v>CAP</v>
          </cell>
          <cell r="F5634">
            <v>2</v>
          </cell>
          <cell r="G5634" t="str">
            <v>CB520700000T00</v>
          </cell>
          <cell r="H5634">
            <v>0.75</v>
          </cell>
          <cell r="I5634" t="str">
            <v>--</v>
          </cell>
          <cell r="J5634">
            <v>1</v>
          </cell>
          <cell r="K5634" t="str">
            <v>-</v>
          </cell>
        </row>
        <row r="5635">
          <cell r="A5635" t="str">
            <v>UT</v>
          </cell>
          <cell r="B5635" t="str">
            <v>A5C</v>
          </cell>
          <cell r="C5635" t="str">
            <v>WW</v>
          </cell>
          <cell r="D5635" t="str">
            <v>003</v>
          </cell>
          <cell r="E5635" t="str">
            <v>NPL</v>
          </cell>
          <cell r="F5635">
            <v>2</v>
          </cell>
          <cell r="G5635" t="str">
            <v>CB132308000TVR</v>
          </cell>
          <cell r="H5635">
            <v>0.75</v>
          </cell>
          <cell r="I5635" t="str">
            <v>75mm</v>
          </cell>
          <cell r="J5635" t="str">
            <v>-</v>
          </cell>
          <cell r="K5635">
            <v>1</v>
          </cell>
        </row>
        <row r="5636">
          <cell r="A5636" t="str">
            <v>UT</v>
          </cell>
          <cell r="B5636" t="str">
            <v>A5C</v>
          </cell>
          <cell r="C5636" t="str">
            <v>WW</v>
          </cell>
          <cell r="D5636" t="str">
            <v>002</v>
          </cell>
          <cell r="E5636" t="str">
            <v>NPL</v>
          </cell>
          <cell r="F5636">
            <v>2</v>
          </cell>
          <cell r="G5636" t="str">
            <v>CB132108000TVR</v>
          </cell>
          <cell r="H5636">
            <v>0.75</v>
          </cell>
          <cell r="I5636" t="str">
            <v>75mm</v>
          </cell>
          <cell r="J5636" t="str">
            <v>-</v>
          </cell>
          <cell r="K5636">
            <v>4</v>
          </cell>
        </row>
        <row r="5637">
          <cell r="A5637" t="str">
            <v>UT</v>
          </cell>
          <cell r="B5637" t="str">
            <v>A5C</v>
          </cell>
          <cell r="C5637" t="str">
            <v>WW</v>
          </cell>
          <cell r="D5637" t="str">
            <v>002</v>
          </cell>
          <cell r="E5637" t="str">
            <v>NPL</v>
          </cell>
          <cell r="F5637">
            <v>2</v>
          </cell>
          <cell r="G5637" t="str">
            <v>CB132108000TVR</v>
          </cell>
          <cell r="H5637">
            <v>0.75</v>
          </cell>
          <cell r="I5637" t="str">
            <v>75mm</v>
          </cell>
          <cell r="J5637">
            <v>4</v>
          </cell>
          <cell r="K5637" t="str">
            <v>-</v>
          </cell>
        </row>
        <row r="5638">
          <cell r="A5638" t="str">
            <v>UT</v>
          </cell>
          <cell r="B5638" t="str">
            <v>A5C</v>
          </cell>
          <cell r="C5638" t="str">
            <v>WW</v>
          </cell>
          <cell r="D5638" t="str">
            <v>003</v>
          </cell>
          <cell r="E5638" t="str">
            <v>NPL</v>
          </cell>
          <cell r="F5638">
            <v>2</v>
          </cell>
          <cell r="G5638" t="str">
            <v>CB132308000TVR</v>
          </cell>
          <cell r="H5638">
            <v>0.75</v>
          </cell>
          <cell r="I5638" t="str">
            <v>75mm</v>
          </cell>
          <cell r="J5638">
            <v>1</v>
          </cell>
          <cell r="K5638" t="str">
            <v>-</v>
          </cell>
        </row>
        <row r="5639">
          <cell r="A5639" t="str">
            <v>UT</v>
          </cell>
          <cell r="B5639" t="str">
            <v>A5C</v>
          </cell>
          <cell r="C5639" t="str">
            <v>P</v>
          </cell>
          <cell r="D5639" t="str">
            <v>HOLD4</v>
          </cell>
          <cell r="E5639" t="str">
            <v>SOL</v>
          </cell>
          <cell r="F5639">
            <v>2</v>
          </cell>
          <cell r="G5639" t="str">
            <v>CB39020000020T</v>
          </cell>
          <cell r="H5639">
            <v>2</v>
          </cell>
          <cell r="I5639">
            <v>0.75</v>
          </cell>
          <cell r="J5639" t="str">
            <v>-</v>
          </cell>
          <cell r="K5639">
            <v>1</v>
          </cell>
        </row>
        <row r="5640">
          <cell r="A5640" t="str">
            <v>UT</v>
          </cell>
          <cell r="B5640" t="str">
            <v>CA304</v>
          </cell>
          <cell r="C5640" t="str">
            <v>MC</v>
          </cell>
          <cell r="D5640" t="str">
            <v>12014</v>
          </cell>
          <cell r="E5640" t="str">
            <v>TOL</v>
          </cell>
          <cell r="F5640">
            <v>2</v>
          </cell>
          <cell r="G5640" t="str">
            <v>CB39030000020T</v>
          </cell>
          <cell r="H5640">
            <v>2</v>
          </cell>
          <cell r="I5640">
            <v>0.75</v>
          </cell>
          <cell r="J5640" t="str">
            <v>-</v>
          </cell>
          <cell r="K5640">
            <v>1</v>
          </cell>
        </row>
        <row r="5641">
          <cell r="A5641" t="str">
            <v>UT</v>
          </cell>
          <cell r="B5641" t="str">
            <v>A5C</v>
          </cell>
          <cell r="C5641" t="str">
            <v>P</v>
          </cell>
          <cell r="D5641" t="str">
            <v>23108</v>
          </cell>
          <cell r="E5641" t="str">
            <v>TOL</v>
          </cell>
          <cell r="F5641">
            <v>2</v>
          </cell>
          <cell r="G5641" t="str">
            <v>CB39030000020T</v>
          </cell>
          <cell r="H5641">
            <v>2</v>
          </cell>
          <cell r="I5641">
            <v>0.75</v>
          </cell>
          <cell r="J5641" t="str">
            <v>-</v>
          </cell>
          <cell r="K5641">
            <v>1</v>
          </cell>
        </row>
        <row r="5642">
          <cell r="A5642" t="str">
            <v>UT</v>
          </cell>
          <cell r="B5642" t="str">
            <v>A5C</v>
          </cell>
          <cell r="C5642" t="str">
            <v>P</v>
          </cell>
          <cell r="D5642" t="str">
            <v>23112</v>
          </cell>
          <cell r="E5642" t="str">
            <v>TOL</v>
          </cell>
          <cell r="F5642">
            <v>2</v>
          </cell>
          <cell r="G5642" t="str">
            <v>CB39030000020T</v>
          </cell>
          <cell r="H5642">
            <v>2</v>
          </cell>
          <cell r="I5642">
            <v>0.75</v>
          </cell>
          <cell r="J5642" t="str">
            <v>-</v>
          </cell>
          <cell r="K5642">
            <v>1</v>
          </cell>
        </row>
        <row r="5643">
          <cell r="A5643" t="str">
            <v>UT</v>
          </cell>
          <cell r="B5643" t="str">
            <v>A5C</v>
          </cell>
          <cell r="C5643" t="str">
            <v>P</v>
          </cell>
          <cell r="D5643" t="str">
            <v>23116</v>
          </cell>
          <cell r="E5643" t="str">
            <v>TOL</v>
          </cell>
          <cell r="F5643">
            <v>2</v>
          </cell>
          <cell r="G5643" t="str">
            <v>CB39030000020T</v>
          </cell>
          <cell r="H5643">
            <v>2</v>
          </cell>
          <cell r="I5643">
            <v>0.75</v>
          </cell>
          <cell r="J5643" t="str">
            <v>-</v>
          </cell>
          <cell r="K5643">
            <v>1</v>
          </cell>
        </row>
        <row r="5644">
          <cell r="A5644" t="str">
            <v>UT</v>
          </cell>
          <cell r="B5644" t="str">
            <v>A5C</v>
          </cell>
          <cell r="C5644" t="str">
            <v>P</v>
          </cell>
          <cell r="D5644" t="str">
            <v>23144</v>
          </cell>
          <cell r="E5644" t="str">
            <v>TOL</v>
          </cell>
          <cell r="F5644">
            <v>2</v>
          </cell>
          <cell r="G5644" t="str">
            <v>CB39030000020T</v>
          </cell>
          <cell r="H5644">
            <v>2</v>
          </cell>
          <cell r="I5644">
            <v>0.75</v>
          </cell>
          <cell r="J5644" t="str">
            <v>-</v>
          </cell>
          <cell r="K5644">
            <v>1</v>
          </cell>
        </row>
        <row r="5645">
          <cell r="A5645" t="str">
            <v>UT</v>
          </cell>
          <cell r="B5645" t="str">
            <v>A5C</v>
          </cell>
          <cell r="C5645" t="str">
            <v>P</v>
          </cell>
          <cell r="D5645" t="str">
            <v>23148</v>
          </cell>
          <cell r="E5645" t="str">
            <v>TOL</v>
          </cell>
          <cell r="F5645">
            <v>2</v>
          </cell>
          <cell r="G5645" t="str">
            <v>CB39030000020T</v>
          </cell>
          <cell r="H5645">
            <v>2</v>
          </cell>
          <cell r="I5645">
            <v>0.75</v>
          </cell>
          <cell r="J5645" t="str">
            <v>-</v>
          </cell>
          <cell r="K5645">
            <v>1</v>
          </cell>
        </row>
        <row r="5646">
          <cell r="A5646" t="str">
            <v>UT</v>
          </cell>
          <cell r="B5646" t="str">
            <v>A5C</v>
          </cell>
          <cell r="C5646" t="str">
            <v>P</v>
          </cell>
          <cell r="D5646" t="str">
            <v>23155</v>
          </cell>
          <cell r="E5646" t="str">
            <v>TOL</v>
          </cell>
          <cell r="F5646">
            <v>2</v>
          </cell>
          <cell r="G5646" t="str">
            <v>CB39030000020T</v>
          </cell>
          <cell r="H5646">
            <v>2</v>
          </cell>
          <cell r="I5646">
            <v>0.75</v>
          </cell>
          <cell r="J5646" t="str">
            <v>-</v>
          </cell>
          <cell r="K5646">
            <v>1</v>
          </cell>
        </row>
        <row r="5647">
          <cell r="A5647" t="str">
            <v>UT</v>
          </cell>
          <cell r="B5647" t="str">
            <v>A5C</v>
          </cell>
          <cell r="C5647" t="str">
            <v>P</v>
          </cell>
          <cell r="D5647" t="str">
            <v>HOLD4</v>
          </cell>
          <cell r="E5647" t="str">
            <v>TOL</v>
          </cell>
          <cell r="F5647">
            <v>2</v>
          </cell>
          <cell r="G5647" t="str">
            <v>CB39030000020T</v>
          </cell>
          <cell r="H5647">
            <v>2</v>
          </cell>
          <cell r="I5647">
            <v>0.75</v>
          </cell>
          <cell r="J5647" t="str">
            <v>-</v>
          </cell>
          <cell r="K5647">
            <v>1</v>
          </cell>
        </row>
        <row r="5648">
          <cell r="A5648" t="str">
            <v>UT</v>
          </cell>
          <cell r="B5648" t="str">
            <v>A5C</v>
          </cell>
          <cell r="C5648" t="str">
            <v>P</v>
          </cell>
          <cell r="D5648" t="str">
            <v>HOLD1</v>
          </cell>
          <cell r="E5648" t="str">
            <v>SOL</v>
          </cell>
          <cell r="F5648">
            <v>2</v>
          </cell>
          <cell r="G5648" t="str">
            <v>CB39020000020T</v>
          </cell>
          <cell r="H5648">
            <v>2</v>
          </cell>
          <cell r="I5648">
            <v>0.75</v>
          </cell>
          <cell r="J5648" t="str">
            <v>-</v>
          </cell>
          <cell r="K5648">
            <v>2</v>
          </cell>
        </row>
        <row r="5649">
          <cell r="A5649" t="str">
            <v>UT</v>
          </cell>
          <cell r="B5649" t="str">
            <v>A5C</v>
          </cell>
          <cell r="C5649" t="str">
            <v>P</v>
          </cell>
          <cell r="D5649" t="str">
            <v>HOLD3</v>
          </cell>
          <cell r="E5649" t="str">
            <v>SOL</v>
          </cell>
          <cell r="F5649">
            <v>2</v>
          </cell>
          <cell r="G5649" t="str">
            <v>CB39020000020T</v>
          </cell>
          <cell r="H5649">
            <v>2</v>
          </cell>
          <cell r="I5649">
            <v>0.75</v>
          </cell>
          <cell r="J5649" t="str">
            <v>-</v>
          </cell>
          <cell r="K5649">
            <v>2</v>
          </cell>
        </row>
        <row r="5650">
          <cell r="A5650" t="str">
            <v>UT</v>
          </cell>
          <cell r="B5650" t="str">
            <v>A5C</v>
          </cell>
          <cell r="C5650" t="str">
            <v>P</v>
          </cell>
          <cell r="D5650" t="str">
            <v>HOLD3</v>
          </cell>
          <cell r="E5650" t="str">
            <v>TOL</v>
          </cell>
          <cell r="F5650">
            <v>2</v>
          </cell>
          <cell r="G5650" t="str">
            <v>CB39030000020T</v>
          </cell>
          <cell r="H5650">
            <v>2</v>
          </cell>
          <cell r="I5650">
            <v>0.75</v>
          </cell>
          <cell r="J5650" t="str">
            <v>-</v>
          </cell>
          <cell r="K5650">
            <v>2</v>
          </cell>
        </row>
        <row r="5651">
          <cell r="A5651" t="str">
            <v>UT</v>
          </cell>
          <cell r="B5651" t="str">
            <v>CA304</v>
          </cell>
          <cell r="C5651" t="str">
            <v>MC</v>
          </cell>
          <cell r="D5651" t="str">
            <v>12014</v>
          </cell>
          <cell r="E5651" t="str">
            <v>90 ELL</v>
          </cell>
          <cell r="F5651">
            <v>2</v>
          </cell>
          <cell r="G5651" t="str">
            <v>CB300105000200</v>
          </cell>
          <cell r="H5651">
            <v>2</v>
          </cell>
          <cell r="I5651" t="str">
            <v>--</v>
          </cell>
          <cell r="J5651" t="str">
            <v>-</v>
          </cell>
          <cell r="K5651">
            <v>4</v>
          </cell>
        </row>
        <row r="5652">
          <cell r="A5652" t="str">
            <v>UT</v>
          </cell>
          <cell r="B5652" t="str">
            <v>A5C</v>
          </cell>
          <cell r="C5652" t="str">
            <v>P</v>
          </cell>
          <cell r="D5652" t="str">
            <v>23108</v>
          </cell>
          <cell r="E5652" t="str">
            <v>90 ELL</v>
          </cell>
          <cell r="F5652">
            <v>2</v>
          </cell>
          <cell r="G5652" t="str">
            <v>CB300108000200</v>
          </cell>
          <cell r="H5652">
            <v>2</v>
          </cell>
          <cell r="I5652" t="str">
            <v>--</v>
          </cell>
          <cell r="J5652" t="str">
            <v>-</v>
          </cell>
          <cell r="K5652">
            <v>4</v>
          </cell>
        </row>
        <row r="5653">
          <cell r="A5653" t="str">
            <v>UT</v>
          </cell>
          <cell r="B5653" t="str">
            <v>A5C</v>
          </cell>
          <cell r="C5653" t="str">
            <v>P</v>
          </cell>
          <cell r="D5653" t="str">
            <v>23112</v>
          </cell>
          <cell r="E5653" t="str">
            <v>90 ELL</v>
          </cell>
          <cell r="F5653">
            <v>2</v>
          </cell>
          <cell r="G5653" t="str">
            <v>CB300108000200</v>
          </cell>
          <cell r="H5653">
            <v>2</v>
          </cell>
          <cell r="I5653" t="str">
            <v>--</v>
          </cell>
          <cell r="J5653" t="str">
            <v>-</v>
          </cell>
          <cell r="K5653">
            <v>4</v>
          </cell>
        </row>
        <row r="5654">
          <cell r="A5654" t="str">
            <v>UT</v>
          </cell>
          <cell r="B5654" t="str">
            <v>A5C</v>
          </cell>
          <cell r="C5654" t="str">
            <v>P</v>
          </cell>
          <cell r="D5654" t="str">
            <v>23116</v>
          </cell>
          <cell r="E5654" t="str">
            <v>90 ELL</v>
          </cell>
          <cell r="F5654">
            <v>2</v>
          </cell>
          <cell r="G5654" t="str">
            <v>CB300108000200</v>
          </cell>
          <cell r="H5654">
            <v>2</v>
          </cell>
          <cell r="I5654" t="str">
            <v>--</v>
          </cell>
          <cell r="J5654" t="str">
            <v>-</v>
          </cell>
          <cell r="K5654">
            <v>4</v>
          </cell>
        </row>
        <row r="5655">
          <cell r="A5655" t="str">
            <v>UT</v>
          </cell>
          <cell r="B5655" t="str">
            <v>A5C</v>
          </cell>
          <cell r="C5655" t="str">
            <v>P</v>
          </cell>
          <cell r="D5655" t="str">
            <v>23144</v>
          </cell>
          <cell r="E5655" t="str">
            <v>90 ELL</v>
          </cell>
          <cell r="F5655">
            <v>2</v>
          </cell>
          <cell r="G5655" t="str">
            <v>CB300108000200</v>
          </cell>
          <cell r="H5655">
            <v>2</v>
          </cell>
          <cell r="I5655" t="str">
            <v>--</v>
          </cell>
          <cell r="J5655" t="str">
            <v>-</v>
          </cell>
          <cell r="K5655">
            <v>4</v>
          </cell>
        </row>
        <row r="5656">
          <cell r="A5656" t="str">
            <v>UT</v>
          </cell>
          <cell r="B5656" t="str">
            <v>A5C</v>
          </cell>
          <cell r="C5656" t="str">
            <v>P</v>
          </cell>
          <cell r="D5656" t="str">
            <v>23148</v>
          </cell>
          <cell r="E5656" t="str">
            <v>90 ELL</v>
          </cell>
          <cell r="F5656">
            <v>2</v>
          </cell>
          <cell r="G5656" t="str">
            <v>CB300108000200</v>
          </cell>
          <cell r="H5656">
            <v>2</v>
          </cell>
          <cell r="I5656" t="str">
            <v>--</v>
          </cell>
          <cell r="J5656" t="str">
            <v>-</v>
          </cell>
          <cell r="K5656">
            <v>4</v>
          </cell>
        </row>
        <row r="5657">
          <cell r="A5657" t="str">
            <v>UT</v>
          </cell>
          <cell r="B5657" t="str">
            <v>A5C</v>
          </cell>
          <cell r="C5657" t="str">
            <v>P</v>
          </cell>
          <cell r="D5657" t="str">
            <v>23155</v>
          </cell>
          <cell r="E5657" t="str">
            <v>90 ELL</v>
          </cell>
          <cell r="F5657">
            <v>2</v>
          </cell>
          <cell r="G5657" t="str">
            <v>CB300108000200</v>
          </cell>
          <cell r="H5657">
            <v>2</v>
          </cell>
          <cell r="I5657" t="str">
            <v>--</v>
          </cell>
          <cell r="J5657" t="str">
            <v>-</v>
          </cell>
          <cell r="K5657">
            <v>4</v>
          </cell>
        </row>
        <row r="5658">
          <cell r="A5658" t="str">
            <v>UT</v>
          </cell>
          <cell r="B5658" t="str">
            <v>A5C</v>
          </cell>
          <cell r="C5658" t="str">
            <v>P</v>
          </cell>
          <cell r="D5658" t="str">
            <v>HOLD2</v>
          </cell>
          <cell r="E5658" t="str">
            <v>SOL</v>
          </cell>
          <cell r="F5658">
            <v>2</v>
          </cell>
          <cell r="G5658" t="str">
            <v>CB39020000020T</v>
          </cell>
          <cell r="H5658">
            <v>2</v>
          </cell>
          <cell r="I5658">
            <v>0.75</v>
          </cell>
          <cell r="J5658" t="str">
            <v>-</v>
          </cell>
          <cell r="K5658">
            <v>4</v>
          </cell>
        </row>
        <row r="5659">
          <cell r="A5659" t="str">
            <v>UT</v>
          </cell>
          <cell r="B5659" t="str">
            <v>A5C</v>
          </cell>
          <cell r="C5659" t="str">
            <v>P</v>
          </cell>
          <cell r="D5659" t="str">
            <v>HOLD1</v>
          </cell>
          <cell r="E5659" t="str">
            <v>TOL</v>
          </cell>
          <cell r="F5659">
            <v>2</v>
          </cell>
          <cell r="G5659" t="str">
            <v>CB39030000020T</v>
          </cell>
          <cell r="H5659">
            <v>2</v>
          </cell>
          <cell r="I5659">
            <v>0.75</v>
          </cell>
          <cell r="J5659" t="str">
            <v>-</v>
          </cell>
          <cell r="K5659">
            <v>4</v>
          </cell>
        </row>
        <row r="5660">
          <cell r="A5660" t="str">
            <v>UT</v>
          </cell>
          <cell r="B5660" t="str">
            <v>A5C</v>
          </cell>
          <cell r="C5660" t="str">
            <v>P</v>
          </cell>
          <cell r="D5660" t="str">
            <v>HOLD2</v>
          </cell>
          <cell r="E5660" t="str">
            <v>TOL</v>
          </cell>
          <cell r="F5660">
            <v>2</v>
          </cell>
          <cell r="G5660" t="str">
            <v>CB39030000020T</v>
          </cell>
          <cell r="H5660">
            <v>2</v>
          </cell>
          <cell r="I5660">
            <v>0.75</v>
          </cell>
          <cell r="J5660" t="str">
            <v>-</v>
          </cell>
          <cell r="K5660">
            <v>4</v>
          </cell>
        </row>
        <row r="5661">
          <cell r="A5661" t="str">
            <v>UT</v>
          </cell>
          <cell r="B5661" t="str">
            <v>A5C</v>
          </cell>
          <cell r="C5661" t="str">
            <v>P</v>
          </cell>
          <cell r="D5661" t="str">
            <v>HOLD4</v>
          </cell>
          <cell r="E5661" t="str">
            <v>90 ELL</v>
          </cell>
          <cell r="F5661">
            <v>2</v>
          </cell>
          <cell r="G5661" t="str">
            <v>CB300108000200</v>
          </cell>
          <cell r="H5661">
            <v>2</v>
          </cell>
          <cell r="I5661" t="str">
            <v>--</v>
          </cell>
          <cell r="J5661" t="str">
            <v>-</v>
          </cell>
          <cell r="K5661">
            <v>6</v>
          </cell>
        </row>
        <row r="5662">
          <cell r="A5662" t="str">
            <v>UT</v>
          </cell>
          <cell r="B5662" t="str">
            <v>A5C</v>
          </cell>
          <cell r="C5662" t="str">
            <v>P</v>
          </cell>
          <cell r="D5662" t="str">
            <v>HOLD3</v>
          </cell>
          <cell r="E5662" t="str">
            <v>90 ELL</v>
          </cell>
          <cell r="F5662">
            <v>2</v>
          </cell>
          <cell r="G5662" t="str">
            <v>CB300108000200</v>
          </cell>
          <cell r="H5662">
            <v>2</v>
          </cell>
          <cell r="I5662" t="str">
            <v>--</v>
          </cell>
          <cell r="J5662" t="str">
            <v>-</v>
          </cell>
          <cell r="K5662">
            <v>12</v>
          </cell>
        </row>
        <row r="5663">
          <cell r="A5663" t="str">
            <v>UT</v>
          </cell>
          <cell r="B5663" t="str">
            <v>A5C</v>
          </cell>
          <cell r="C5663" t="str">
            <v>P</v>
          </cell>
          <cell r="D5663" t="str">
            <v>HOLD1</v>
          </cell>
          <cell r="E5663" t="str">
            <v>90 ELL</v>
          </cell>
          <cell r="F5663">
            <v>2</v>
          </cell>
          <cell r="G5663" t="str">
            <v>CB300108000200</v>
          </cell>
          <cell r="H5663">
            <v>2</v>
          </cell>
          <cell r="I5663" t="str">
            <v>--</v>
          </cell>
          <cell r="J5663" t="str">
            <v>-</v>
          </cell>
          <cell r="K5663">
            <v>16</v>
          </cell>
        </row>
        <row r="5664">
          <cell r="A5664" t="str">
            <v>UT</v>
          </cell>
          <cell r="B5664" t="str">
            <v>A5C</v>
          </cell>
          <cell r="C5664" t="str">
            <v>P</v>
          </cell>
          <cell r="D5664" t="str">
            <v>HOLD2</v>
          </cell>
          <cell r="E5664" t="str">
            <v>90 ELL</v>
          </cell>
          <cell r="F5664">
            <v>2</v>
          </cell>
          <cell r="G5664" t="str">
            <v>CB300108000200</v>
          </cell>
          <cell r="H5664">
            <v>2</v>
          </cell>
          <cell r="I5664" t="str">
            <v>--</v>
          </cell>
          <cell r="J5664" t="str">
            <v>-</v>
          </cell>
          <cell r="K5664">
            <v>24</v>
          </cell>
        </row>
        <row r="5665">
          <cell r="A5665" t="str">
            <v>UT</v>
          </cell>
          <cell r="B5665" t="str">
            <v>CA304</v>
          </cell>
          <cell r="C5665" t="str">
            <v>MC</v>
          </cell>
          <cell r="D5665" t="str">
            <v>12014</v>
          </cell>
          <cell r="E5665" t="str">
            <v>90 ELL</v>
          </cell>
          <cell r="F5665">
            <v>2</v>
          </cell>
          <cell r="G5665" t="str">
            <v>CB300105000200</v>
          </cell>
          <cell r="H5665">
            <v>2</v>
          </cell>
          <cell r="I5665" t="str">
            <v>--</v>
          </cell>
          <cell r="J5665">
            <v>4</v>
          </cell>
          <cell r="K5665" t="str">
            <v>-</v>
          </cell>
        </row>
        <row r="5666">
          <cell r="A5666" t="str">
            <v>UT</v>
          </cell>
          <cell r="B5666" t="str">
            <v>A5C</v>
          </cell>
          <cell r="C5666" t="str">
            <v>P</v>
          </cell>
          <cell r="D5666" t="str">
            <v>23108</v>
          </cell>
          <cell r="E5666" t="str">
            <v>90 ELL</v>
          </cell>
          <cell r="F5666">
            <v>2</v>
          </cell>
          <cell r="G5666" t="str">
            <v>CB300108000200</v>
          </cell>
          <cell r="H5666">
            <v>2</v>
          </cell>
          <cell r="I5666" t="str">
            <v>--</v>
          </cell>
          <cell r="J5666">
            <v>4</v>
          </cell>
          <cell r="K5666" t="str">
            <v>-</v>
          </cell>
        </row>
        <row r="5667">
          <cell r="A5667" t="str">
            <v>UT</v>
          </cell>
          <cell r="B5667" t="str">
            <v>A5C</v>
          </cell>
          <cell r="C5667" t="str">
            <v>P</v>
          </cell>
          <cell r="D5667" t="str">
            <v>23112</v>
          </cell>
          <cell r="E5667" t="str">
            <v>90 ELL</v>
          </cell>
          <cell r="F5667">
            <v>2</v>
          </cell>
          <cell r="G5667" t="str">
            <v>CB300108000200</v>
          </cell>
          <cell r="H5667">
            <v>2</v>
          </cell>
          <cell r="I5667" t="str">
            <v>--</v>
          </cell>
          <cell r="J5667">
            <v>4</v>
          </cell>
          <cell r="K5667" t="str">
            <v>-</v>
          </cell>
        </row>
        <row r="5668">
          <cell r="A5668" t="str">
            <v>UT</v>
          </cell>
          <cell r="B5668" t="str">
            <v>A5C</v>
          </cell>
          <cell r="C5668" t="str">
            <v>P</v>
          </cell>
          <cell r="D5668" t="str">
            <v>23116</v>
          </cell>
          <cell r="E5668" t="str">
            <v>90 ELL</v>
          </cell>
          <cell r="F5668">
            <v>2</v>
          </cell>
          <cell r="G5668" t="str">
            <v>CB300108000200</v>
          </cell>
          <cell r="H5668">
            <v>2</v>
          </cell>
          <cell r="I5668" t="str">
            <v>--</v>
          </cell>
          <cell r="J5668">
            <v>4</v>
          </cell>
          <cell r="K5668" t="str">
            <v>-</v>
          </cell>
        </row>
        <row r="5669">
          <cell r="A5669" t="str">
            <v>UT</v>
          </cell>
          <cell r="B5669" t="str">
            <v>A5C</v>
          </cell>
          <cell r="C5669" t="str">
            <v>P</v>
          </cell>
          <cell r="D5669" t="str">
            <v>23144</v>
          </cell>
          <cell r="E5669" t="str">
            <v>90 ELL</v>
          </cell>
          <cell r="F5669">
            <v>2</v>
          </cell>
          <cell r="G5669" t="str">
            <v>CB300108000200</v>
          </cell>
          <cell r="H5669">
            <v>2</v>
          </cell>
          <cell r="I5669" t="str">
            <v>--</v>
          </cell>
          <cell r="J5669">
            <v>4</v>
          </cell>
          <cell r="K5669" t="str">
            <v>-</v>
          </cell>
        </row>
        <row r="5670">
          <cell r="A5670" t="str">
            <v>UT</v>
          </cell>
          <cell r="B5670" t="str">
            <v>A5C</v>
          </cell>
          <cell r="C5670" t="str">
            <v>P</v>
          </cell>
          <cell r="D5670" t="str">
            <v>23148</v>
          </cell>
          <cell r="E5670" t="str">
            <v>90 ELL</v>
          </cell>
          <cell r="F5670">
            <v>2</v>
          </cell>
          <cell r="G5670" t="str">
            <v>CB300108000200</v>
          </cell>
          <cell r="H5670">
            <v>2</v>
          </cell>
          <cell r="I5670" t="str">
            <v>--</v>
          </cell>
          <cell r="J5670">
            <v>4</v>
          </cell>
          <cell r="K5670" t="str">
            <v>-</v>
          </cell>
        </row>
        <row r="5671">
          <cell r="A5671" t="str">
            <v>UT</v>
          </cell>
          <cell r="B5671" t="str">
            <v>A5C</v>
          </cell>
          <cell r="C5671" t="str">
            <v>P</v>
          </cell>
          <cell r="D5671" t="str">
            <v>23155</v>
          </cell>
          <cell r="E5671" t="str">
            <v>90 ELL</v>
          </cell>
          <cell r="F5671">
            <v>2</v>
          </cell>
          <cell r="G5671" t="str">
            <v>CB300108000200</v>
          </cell>
          <cell r="H5671">
            <v>2</v>
          </cell>
          <cell r="I5671" t="str">
            <v>--</v>
          </cell>
          <cell r="J5671">
            <v>4</v>
          </cell>
          <cell r="K5671" t="str">
            <v>-</v>
          </cell>
        </row>
        <row r="5672">
          <cell r="A5672" t="str">
            <v>UT</v>
          </cell>
          <cell r="B5672" t="str">
            <v>A5C</v>
          </cell>
          <cell r="C5672" t="str">
            <v>P</v>
          </cell>
          <cell r="D5672" t="str">
            <v>HOLD1</v>
          </cell>
          <cell r="E5672" t="str">
            <v>90 ELL</v>
          </cell>
          <cell r="F5672">
            <v>2</v>
          </cell>
          <cell r="G5672" t="str">
            <v>CB300108000200</v>
          </cell>
          <cell r="H5672">
            <v>2</v>
          </cell>
          <cell r="I5672" t="str">
            <v>--</v>
          </cell>
          <cell r="J5672">
            <v>16</v>
          </cell>
          <cell r="K5672" t="str">
            <v>-</v>
          </cell>
        </row>
        <row r="5673">
          <cell r="A5673" t="str">
            <v>UT</v>
          </cell>
          <cell r="B5673" t="str">
            <v>A5C</v>
          </cell>
          <cell r="C5673" t="str">
            <v>P</v>
          </cell>
          <cell r="D5673" t="str">
            <v>HOLD2</v>
          </cell>
          <cell r="E5673" t="str">
            <v>90 ELL</v>
          </cell>
          <cell r="F5673">
            <v>2</v>
          </cell>
          <cell r="G5673" t="str">
            <v>CB300108000200</v>
          </cell>
          <cell r="H5673">
            <v>2</v>
          </cell>
          <cell r="I5673" t="str">
            <v>--</v>
          </cell>
          <cell r="J5673">
            <v>24</v>
          </cell>
          <cell r="K5673" t="str">
            <v>-</v>
          </cell>
        </row>
        <row r="5674">
          <cell r="A5674" t="str">
            <v>UT</v>
          </cell>
          <cell r="B5674" t="str">
            <v>A5C</v>
          </cell>
          <cell r="C5674" t="str">
            <v>P</v>
          </cell>
          <cell r="D5674" t="str">
            <v>HOLD3</v>
          </cell>
          <cell r="E5674" t="str">
            <v>90 ELL</v>
          </cell>
          <cell r="F5674">
            <v>2</v>
          </cell>
          <cell r="G5674" t="str">
            <v>CB300108000200</v>
          </cell>
          <cell r="H5674">
            <v>2</v>
          </cell>
          <cell r="I5674" t="str">
            <v>--</v>
          </cell>
          <cell r="J5674">
            <v>12</v>
          </cell>
          <cell r="K5674" t="str">
            <v>-</v>
          </cell>
        </row>
        <row r="5675">
          <cell r="A5675" t="str">
            <v>UT</v>
          </cell>
          <cell r="B5675" t="str">
            <v>A5C</v>
          </cell>
          <cell r="C5675" t="str">
            <v>P</v>
          </cell>
          <cell r="D5675" t="str">
            <v>HOLD4</v>
          </cell>
          <cell r="E5675" t="str">
            <v>90 ELL</v>
          </cell>
          <cell r="F5675">
            <v>2</v>
          </cell>
          <cell r="G5675" t="str">
            <v>CB300108000200</v>
          </cell>
          <cell r="H5675">
            <v>2</v>
          </cell>
          <cell r="I5675" t="str">
            <v>--</v>
          </cell>
          <cell r="J5675">
            <v>6</v>
          </cell>
          <cell r="K5675" t="str">
            <v>-</v>
          </cell>
        </row>
        <row r="5676">
          <cell r="A5676" t="str">
            <v>UT</v>
          </cell>
          <cell r="B5676" t="str">
            <v>A5C</v>
          </cell>
          <cell r="C5676" t="str">
            <v>P</v>
          </cell>
          <cell r="D5676" t="str">
            <v>HOLD1</v>
          </cell>
          <cell r="E5676" t="str">
            <v>SOL</v>
          </cell>
          <cell r="F5676">
            <v>2</v>
          </cell>
          <cell r="G5676" t="str">
            <v>CB39020000020T</v>
          </cell>
          <cell r="H5676">
            <v>2</v>
          </cell>
          <cell r="I5676">
            <v>0.75</v>
          </cell>
          <cell r="J5676">
            <v>2</v>
          </cell>
          <cell r="K5676" t="str">
            <v>-</v>
          </cell>
        </row>
        <row r="5677">
          <cell r="A5677" t="str">
            <v>UT</v>
          </cell>
          <cell r="B5677" t="str">
            <v>A5C</v>
          </cell>
          <cell r="C5677" t="str">
            <v>P</v>
          </cell>
          <cell r="D5677" t="str">
            <v>HOLD2</v>
          </cell>
          <cell r="E5677" t="str">
            <v>SOL</v>
          </cell>
          <cell r="F5677">
            <v>2</v>
          </cell>
          <cell r="G5677" t="str">
            <v>CB39020000020T</v>
          </cell>
          <cell r="H5677">
            <v>2</v>
          </cell>
          <cell r="I5677">
            <v>0.75</v>
          </cell>
          <cell r="J5677">
            <v>4</v>
          </cell>
          <cell r="K5677" t="str">
            <v>-</v>
          </cell>
        </row>
        <row r="5678">
          <cell r="A5678" t="str">
            <v>UT</v>
          </cell>
          <cell r="B5678" t="str">
            <v>A5C</v>
          </cell>
          <cell r="C5678" t="str">
            <v>P</v>
          </cell>
          <cell r="D5678" t="str">
            <v>HOLD3</v>
          </cell>
          <cell r="E5678" t="str">
            <v>SOL</v>
          </cell>
          <cell r="F5678">
            <v>2</v>
          </cell>
          <cell r="G5678" t="str">
            <v>CB39020000020T</v>
          </cell>
          <cell r="H5678">
            <v>2</v>
          </cell>
          <cell r="I5678">
            <v>0.75</v>
          </cell>
          <cell r="J5678">
            <v>2</v>
          </cell>
          <cell r="K5678" t="str">
            <v>-</v>
          </cell>
        </row>
        <row r="5679">
          <cell r="A5679" t="str">
            <v>UT</v>
          </cell>
          <cell r="B5679" t="str">
            <v>A5C</v>
          </cell>
          <cell r="C5679" t="str">
            <v>P</v>
          </cell>
          <cell r="D5679" t="str">
            <v>HOLD4</v>
          </cell>
          <cell r="E5679" t="str">
            <v>SOL</v>
          </cell>
          <cell r="F5679">
            <v>2</v>
          </cell>
          <cell r="G5679" t="str">
            <v>CB39020000020T</v>
          </cell>
          <cell r="H5679">
            <v>2</v>
          </cell>
          <cell r="I5679">
            <v>0.75</v>
          </cell>
          <cell r="J5679">
            <v>1</v>
          </cell>
          <cell r="K5679" t="str">
            <v>-</v>
          </cell>
        </row>
        <row r="5680">
          <cell r="A5680" t="str">
            <v>UT</v>
          </cell>
          <cell r="B5680" t="str">
            <v>CA304</v>
          </cell>
          <cell r="C5680" t="str">
            <v>MC</v>
          </cell>
          <cell r="D5680" t="str">
            <v>12014</v>
          </cell>
          <cell r="E5680" t="str">
            <v>TOL</v>
          </cell>
          <cell r="F5680">
            <v>2</v>
          </cell>
          <cell r="G5680" t="str">
            <v>CB39030000020T</v>
          </cell>
          <cell r="H5680">
            <v>2</v>
          </cell>
          <cell r="I5680">
            <v>0.75</v>
          </cell>
          <cell r="J5680">
            <v>1</v>
          </cell>
          <cell r="K5680" t="str">
            <v>-</v>
          </cell>
        </row>
        <row r="5681">
          <cell r="A5681" t="str">
            <v>UT</v>
          </cell>
          <cell r="B5681" t="str">
            <v>A5C</v>
          </cell>
          <cell r="C5681" t="str">
            <v>P</v>
          </cell>
          <cell r="D5681" t="str">
            <v>23108</v>
          </cell>
          <cell r="E5681" t="str">
            <v>TOL</v>
          </cell>
          <cell r="F5681">
            <v>2</v>
          </cell>
          <cell r="G5681" t="str">
            <v>CB39030000020T</v>
          </cell>
          <cell r="H5681">
            <v>2</v>
          </cell>
          <cell r="I5681">
            <v>0.75</v>
          </cell>
          <cell r="J5681">
            <v>1</v>
          </cell>
          <cell r="K5681" t="str">
            <v>-</v>
          </cell>
        </row>
        <row r="5682">
          <cell r="A5682" t="str">
            <v>UT</v>
          </cell>
          <cell r="B5682" t="str">
            <v>A5C</v>
          </cell>
          <cell r="C5682" t="str">
            <v>P</v>
          </cell>
          <cell r="D5682" t="str">
            <v>23112</v>
          </cell>
          <cell r="E5682" t="str">
            <v>TOL</v>
          </cell>
          <cell r="F5682">
            <v>2</v>
          </cell>
          <cell r="G5682" t="str">
            <v>CB39030000020T</v>
          </cell>
          <cell r="H5682">
            <v>2</v>
          </cell>
          <cell r="I5682">
            <v>0.75</v>
          </cell>
          <cell r="J5682">
            <v>1</v>
          </cell>
          <cell r="K5682" t="str">
            <v>-</v>
          </cell>
        </row>
        <row r="5683">
          <cell r="A5683" t="str">
            <v>UT</v>
          </cell>
          <cell r="B5683" t="str">
            <v>A5C</v>
          </cell>
          <cell r="C5683" t="str">
            <v>P</v>
          </cell>
          <cell r="D5683" t="str">
            <v>23116</v>
          </cell>
          <cell r="E5683" t="str">
            <v>TOL</v>
          </cell>
          <cell r="F5683">
            <v>2</v>
          </cell>
          <cell r="G5683" t="str">
            <v>CB39030000020T</v>
          </cell>
          <cell r="H5683">
            <v>2</v>
          </cell>
          <cell r="I5683">
            <v>0.75</v>
          </cell>
          <cell r="J5683">
            <v>1</v>
          </cell>
          <cell r="K5683" t="str">
            <v>-</v>
          </cell>
        </row>
        <row r="5684">
          <cell r="A5684" t="str">
            <v>UT</v>
          </cell>
          <cell r="B5684" t="str">
            <v>A5C</v>
          </cell>
          <cell r="C5684" t="str">
            <v>P</v>
          </cell>
          <cell r="D5684" t="str">
            <v>23144</v>
          </cell>
          <cell r="E5684" t="str">
            <v>TOL</v>
          </cell>
          <cell r="F5684">
            <v>2</v>
          </cell>
          <cell r="G5684" t="str">
            <v>CB39030000020T</v>
          </cell>
          <cell r="H5684">
            <v>2</v>
          </cell>
          <cell r="I5684">
            <v>0.75</v>
          </cell>
          <cell r="J5684">
            <v>1</v>
          </cell>
          <cell r="K5684" t="str">
            <v>-</v>
          </cell>
        </row>
        <row r="5685">
          <cell r="A5685" t="str">
            <v>UT</v>
          </cell>
          <cell r="B5685" t="str">
            <v>A5C</v>
          </cell>
          <cell r="C5685" t="str">
            <v>P</v>
          </cell>
          <cell r="D5685" t="str">
            <v>23148</v>
          </cell>
          <cell r="E5685" t="str">
            <v>TOL</v>
          </cell>
          <cell r="F5685">
            <v>2</v>
          </cell>
          <cell r="G5685" t="str">
            <v>CB39030000020T</v>
          </cell>
          <cell r="H5685">
            <v>2</v>
          </cell>
          <cell r="I5685">
            <v>0.75</v>
          </cell>
          <cell r="J5685">
            <v>1</v>
          </cell>
          <cell r="K5685" t="str">
            <v>-</v>
          </cell>
        </row>
        <row r="5686">
          <cell r="A5686" t="str">
            <v>UT</v>
          </cell>
          <cell r="B5686" t="str">
            <v>A5C</v>
          </cell>
          <cell r="C5686" t="str">
            <v>P</v>
          </cell>
          <cell r="D5686" t="str">
            <v>23155</v>
          </cell>
          <cell r="E5686" t="str">
            <v>TOL</v>
          </cell>
          <cell r="F5686">
            <v>2</v>
          </cell>
          <cell r="G5686" t="str">
            <v>CB39030000020T</v>
          </cell>
          <cell r="H5686">
            <v>2</v>
          </cell>
          <cell r="I5686">
            <v>0.75</v>
          </cell>
          <cell r="J5686">
            <v>1</v>
          </cell>
          <cell r="K5686" t="str">
            <v>-</v>
          </cell>
        </row>
        <row r="5687">
          <cell r="A5687" t="str">
            <v>UT</v>
          </cell>
          <cell r="B5687" t="str">
            <v>A5C</v>
          </cell>
          <cell r="C5687" t="str">
            <v>P</v>
          </cell>
          <cell r="D5687" t="str">
            <v>HOLD1</v>
          </cell>
          <cell r="E5687" t="str">
            <v>TOL</v>
          </cell>
          <cell r="F5687">
            <v>2</v>
          </cell>
          <cell r="G5687" t="str">
            <v>CB39030000020T</v>
          </cell>
          <cell r="H5687">
            <v>2</v>
          </cell>
          <cell r="I5687">
            <v>0.75</v>
          </cell>
          <cell r="J5687">
            <v>4</v>
          </cell>
          <cell r="K5687" t="str">
            <v>-</v>
          </cell>
        </row>
        <row r="5688">
          <cell r="A5688" t="str">
            <v>UT</v>
          </cell>
          <cell r="B5688" t="str">
            <v>A5C</v>
          </cell>
          <cell r="C5688" t="str">
            <v>P</v>
          </cell>
          <cell r="D5688" t="str">
            <v>HOLD2</v>
          </cell>
          <cell r="E5688" t="str">
            <v>TOL</v>
          </cell>
          <cell r="F5688">
            <v>2</v>
          </cell>
          <cell r="G5688" t="str">
            <v>CB39030000020T</v>
          </cell>
          <cell r="H5688">
            <v>2</v>
          </cell>
          <cell r="I5688">
            <v>0.75</v>
          </cell>
          <cell r="J5688">
            <v>4</v>
          </cell>
          <cell r="K5688" t="str">
            <v>-</v>
          </cell>
        </row>
        <row r="5689">
          <cell r="A5689" t="str">
            <v>UT</v>
          </cell>
          <cell r="B5689" t="str">
            <v>A5C</v>
          </cell>
          <cell r="C5689" t="str">
            <v>P</v>
          </cell>
          <cell r="D5689" t="str">
            <v>HOLD3</v>
          </cell>
          <cell r="E5689" t="str">
            <v>TOL</v>
          </cell>
          <cell r="F5689">
            <v>2</v>
          </cell>
          <cell r="G5689" t="str">
            <v>CB39030000020T</v>
          </cell>
          <cell r="H5689">
            <v>2</v>
          </cell>
          <cell r="I5689">
            <v>0.75</v>
          </cell>
          <cell r="J5689">
            <v>2</v>
          </cell>
          <cell r="K5689" t="str">
            <v>-</v>
          </cell>
        </row>
        <row r="5690">
          <cell r="A5690" t="str">
            <v>UT</v>
          </cell>
          <cell r="B5690" t="str">
            <v>A5C</v>
          </cell>
          <cell r="C5690" t="str">
            <v>P</v>
          </cell>
          <cell r="D5690" t="str">
            <v>HOLD4</v>
          </cell>
          <cell r="E5690" t="str">
            <v>TOL</v>
          </cell>
          <cell r="F5690">
            <v>2</v>
          </cell>
          <cell r="G5690" t="str">
            <v>CB39030000020T</v>
          </cell>
          <cell r="H5690">
            <v>2</v>
          </cell>
          <cell r="I5690">
            <v>0.75</v>
          </cell>
          <cell r="J5690">
            <v>1</v>
          </cell>
          <cell r="K5690" t="str">
            <v>-</v>
          </cell>
        </row>
        <row r="5691">
          <cell r="A5691" t="str">
            <v>UT</v>
          </cell>
          <cell r="B5691" t="str">
            <v>B2C</v>
          </cell>
          <cell r="C5691" t="str">
            <v>SH</v>
          </cell>
          <cell r="D5691" t="str">
            <v>001</v>
          </cell>
          <cell r="E5691" t="str">
            <v>SOL</v>
          </cell>
          <cell r="F5691">
            <v>2</v>
          </cell>
          <cell r="G5691" t="str">
            <v>CB39020000030T</v>
          </cell>
          <cell r="H5691">
            <v>3</v>
          </cell>
          <cell r="I5691">
            <v>0.75</v>
          </cell>
          <cell r="J5691" t="str">
            <v>-</v>
          </cell>
          <cell r="K5691">
            <v>2</v>
          </cell>
        </row>
        <row r="5692">
          <cell r="A5692" t="str">
            <v>UT</v>
          </cell>
          <cell r="B5692" t="str">
            <v>B2C</v>
          </cell>
          <cell r="C5692" t="str">
            <v>SH</v>
          </cell>
          <cell r="D5692" t="str">
            <v>001</v>
          </cell>
          <cell r="E5692" t="str">
            <v>TOL</v>
          </cell>
          <cell r="F5692">
            <v>2</v>
          </cell>
          <cell r="G5692" t="str">
            <v>CB39030000030T</v>
          </cell>
          <cell r="H5692">
            <v>3</v>
          </cell>
          <cell r="I5692">
            <v>0.75</v>
          </cell>
          <cell r="J5692" t="str">
            <v>-</v>
          </cell>
          <cell r="K5692">
            <v>2</v>
          </cell>
        </row>
        <row r="5693">
          <cell r="A5693" t="str">
            <v>UT</v>
          </cell>
          <cell r="B5693" t="str">
            <v>B2C</v>
          </cell>
          <cell r="C5693" t="str">
            <v>SH</v>
          </cell>
          <cell r="D5693" t="str">
            <v>001</v>
          </cell>
          <cell r="E5693" t="str">
            <v>90 ELL</v>
          </cell>
          <cell r="F5693">
            <v>2</v>
          </cell>
          <cell r="G5693" t="str">
            <v>CB300104000300</v>
          </cell>
          <cell r="H5693">
            <v>3</v>
          </cell>
          <cell r="I5693" t="str">
            <v>--</v>
          </cell>
          <cell r="J5693" t="str">
            <v>-</v>
          </cell>
          <cell r="K5693">
            <v>6</v>
          </cell>
        </row>
        <row r="5694">
          <cell r="A5694" t="str">
            <v>UT</v>
          </cell>
          <cell r="B5694" t="str">
            <v>B2C</v>
          </cell>
          <cell r="C5694" t="str">
            <v>SH</v>
          </cell>
          <cell r="D5694" t="str">
            <v>001</v>
          </cell>
          <cell r="E5694" t="str">
            <v>90 ELL</v>
          </cell>
          <cell r="F5694">
            <v>2</v>
          </cell>
          <cell r="G5694" t="str">
            <v>CB300104000300</v>
          </cell>
          <cell r="H5694">
            <v>3</v>
          </cell>
          <cell r="I5694" t="str">
            <v>--</v>
          </cell>
          <cell r="J5694">
            <v>6</v>
          </cell>
          <cell r="K5694" t="str">
            <v>-</v>
          </cell>
        </row>
        <row r="5695">
          <cell r="A5695" t="str">
            <v>UT</v>
          </cell>
          <cell r="B5695" t="str">
            <v>B2C</v>
          </cell>
          <cell r="C5695" t="str">
            <v>SH</v>
          </cell>
          <cell r="D5695" t="str">
            <v>001</v>
          </cell>
          <cell r="E5695" t="str">
            <v>SOL</v>
          </cell>
          <cell r="F5695">
            <v>2</v>
          </cell>
          <cell r="G5695" t="str">
            <v>CB39020000030T</v>
          </cell>
          <cell r="H5695">
            <v>3</v>
          </cell>
          <cell r="I5695">
            <v>0.75</v>
          </cell>
          <cell r="J5695">
            <v>2</v>
          </cell>
          <cell r="K5695" t="str">
            <v>-</v>
          </cell>
        </row>
        <row r="5696">
          <cell r="A5696" t="str">
            <v>UT</v>
          </cell>
          <cell r="B5696" t="str">
            <v>B2C</v>
          </cell>
          <cell r="C5696" t="str">
            <v>SH</v>
          </cell>
          <cell r="D5696" t="str">
            <v>001</v>
          </cell>
          <cell r="E5696" t="str">
            <v>TOL</v>
          </cell>
          <cell r="F5696">
            <v>2</v>
          </cell>
          <cell r="G5696" t="str">
            <v>CB39030000030T</v>
          </cell>
          <cell r="H5696">
            <v>3</v>
          </cell>
          <cell r="I5696">
            <v>0.75</v>
          </cell>
          <cell r="J5696">
            <v>2</v>
          </cell>
          <cell r="K5696" t="str">
            <v>-</v>
          </cell>
        </row>
        <row r="5697">
          <cell r="A5697" t="str">
            <v>UT</v>
          </cell>
          <cell r="B5697" t="str">
            <v>A5C</v>
          </cell>
          <cell r="C5697" t="str">
            <v>WW</v>
          </cell>
          <cell r="D5697" t="str">
            <v>003</v>
          </cell>
          <cell r="E5697" t="str">
            <v>90 ELL</v>
          </cell>
          <cell r="F5697">
            <v>2</v>
          </cell>
          <cell r="G5697" t="str">
            <v>CB300104000300</v>
          </cell>
          <cell r="H5697">
            <v>3</v>
          </cell>
          <cell r="I5697" t="str">
            <v>--</v>
          </cell>
          <cell r="J5697">
            <v>4</v>
          </cell>
          <cell r="K5697" t="str">
            <v>-</v>
          </cell>
        </row>
        <row r="5698">
          <cell r="A5698" t="str">
            <v>UT</v>
          </cell>
          <cell r="B5698" t="str">
            <v>A5C</v>
          </cell>
          <cell r="C5698" t="str">
            <v>WW</v>
          </cell>
          <cell r="D5698" t="str">
            <v>003</v>
          </cell>
          <cell r="E5698" t="str">
            <v>SOL</v>
          </cell>
          <cell r="F5698">
            <v>2</v>
          </cell>
          <cell r="G5698" t="str">
            <v>CB39020000030T</v>
          </cell>
          <cell r="H5698">
            <v>3</v>
          </cell>
          <cell r="I5698">
            <v>0.75</v>
          </cell>
          <cell r="J5698">
            <v>1</v>
          </cell>
          <cell r="K5698" t="str">
            <v>-</v>
          </cell>
        </row>
        <row r="5699">
          <cell r="A5699" t="str">
            <v>UT</v>
          </cell>
          <cell r="B5699" t="str">
            <v>A5C</v>
          </cell>
          <cell r="C5699" t="str">
            <v>WW</v>
          </cell>
          <cell r="D5699" t="str">
            <v>003</v>
          </cell>
          <cell r="E5699" t="str">
            <v>TOL</v>
          </cell>
          <cell r="F5699">
            <v>2</v>
          </cell>
          <cell r="G5699" t="str">
            <v>CB39030000030T</v>
          </cell>
          <cell r="H5699">
            <v>3</v>
          </cell>
          <cell r="I5699">
            <v>0.75</v>
          </cell>
          <cell r="J5699">
            <v>1</v>
          </cell>
          <cell r="K5699" t="str">
            <v>-</v>
          </cell>
        </row>
        <row r="5700">
          <cell r="A5700" t="str">
            <v>UT</v>
          </cell>
          <cell r="B5700" t="str">
            <v>B2C</v>
          </cell>
          <cell r="C5700" t="str">
            <v>SH</v>
          </cell>
          <cell r="D5700" t="str">
            <v>001</v>
          </cell>
          <cell r="E5700" t="str">
            <v>90 ELL</v>
          </cell>
          <cell r="F5700">
            <v>2</v>
          </cell>
          <cell r="G5700" t="str">
            <v>CB300104000400</v>
          </cell>
          <cell r="H5700">
            <v>4</v>
          </cell>
          <cell r="I5700" t="str">
            <v>--</v>
          </cell>
          <cell r="J5700">
            <v>9</v>
          </cell>
          <cell r="K5700" t="str">
            <v>-</v>
          </cell>
        </row>
        <row r="5701">
          <cell r="A5701" t="str">
            <v>UT</v>
          </cell>
          <cell r="B5701" t="str">
            <v>B2C</v>
          </cell>
          <cell r="C5701" t="str">
            <v>SH</v>
          </cell>
          <cell r="D5701" t="str">
            <v>001</v>
          </cell>
          <cell r="E5701" t="str">
            <v>CAP</v>
          </cell>
          <cell r="F5701">
            <v>2</v>
          </cell>
          <cell r="G5701" t="str">
            <v>CB300704000400</v>
          </cell>
          <cell r="H5701">
            <v>4</v>
          </cell>
          <cell r="I5701" t="str">
            <v>--</v>
          </cell>
          <cell r="J5701">
            <v>3</v>
          </cell>
          <cell r="K5701" t="str">
            <v>-</v>
          </cell>
        </row>
        <row r="5702">
          <cell r="A5702" t="str">
            <v>UT</v>
          </cell>
          <cell r="B5702" t="str">
            <v>B2C</v>
          </cell>
          <cell r="C5702" t="str">
            <v>SH</v>
          </cell>
          <cell r="D5702" t="str">
            <v>001</v>
          </cell>
          <cell r="E5702" t="str">
            <v>SOL</v>
          </cell>
          <cell r="F5702">
            <v>2</v>
          </cell>
          <cell r="G5702" t="str">
            <v>CB39020000040T</v>
          </cell>
          <cell r="H5702">
            <v>4</v>
          </cell>
          <cell r="I5702">
            <v>0.75</v>
          </cell>
          <cell r="J5702">
            <v>9</v>
          </cell>
          <cell r="K5702" t="str">
            <v>-</v>
          </cell>
        </row>
        <row r="5703">
          <cell r="A5703" t="str">
            <v>UT</v>
          </cell>
          <cell r="B5703" t="str">
            <v>B2C</v>
          </cell>
          <cell r="C5703" t="str">
            <v>SH</v>
          </cell>
          <cell r="D5703" t="str">
            <v>001</v>
          </cell>
          <cell r="E5703" t="str">
            <v>TOL</v>
          </cell>
          <cell r="F5703">
            <v>2</v>
          </cell>
          <cell r="G5703" t="str">
            <v>CB39030000040T</v>
          </cell>
          <cell r="H5703">
            <v>4</v>
          </cell>
          <cell r="I5703">
            <v>0.75</v>
          </cell>
          <cell r="J5703">
            <v>3</v>
          </cell>
          <cell r="K5703" t="str">
            <v>-</v>
          </cell>
        </row>
        <row r="5704">
          <cell r="A5704" t="str">
            <v>UT</v>
          </cell>
          <cell r="B5704" t="str">
            <v>CA307</v>
          </cell>
          <cell r="C5704" t="str">
            <v>P</v>
          </cell>
          <cell r="D5704" t="str">
            <v>HOLD7</v>
          </cell>
          <cell r="E5704" t="str">
            <v>90 ELL</v>
          </cell>
          <cell r="F5704">
            <v>2</v>
          </cell>
          <cell r="G5704" t="str">
            <v>CB300105000400</v>
          </cell>
          <cell r="H5704">
            <v>4</v>
          </cell>
          <cell r="I5704" t="str">
            <v>--</v>
          </cell>
          <cell r="J5704">
            <v>6</v>
          </cell>
          <cell r="K5704" t="str">
            <v>-</v>
          </cell>
        </row>
        <row r="5705">
          <cell r="A5705" t="str">
            <v>UT</v>
          </cell>
          <cell r="B5705" t="str">
            <v>CA307</v>
          </cell>
          <cell r="C5705" t="str">
            <v>P</v>
          </cell>
          <cell r="D5705" t="str">
            <v>HOLD7</v>
          </cell>
          <cell r="E5705" t="str">
            <v>SOL</v>
          </cell>
          <cell r="F5705">
            <v>2</v>
          </cell>
          <cell r="G5705" t="str">
            <v>CB39020000040T</v>
          </cell>
          <cell r="H5705">
            <v>4</v>
          </cell>
          <cell r="I5705">
            <v>0.75</v>
          </cell>
          <cell r="J5705">
            <v>1</v>
          </cell>
          <cell r="K5705" t="str">
            <v>-</v>
          </cell>
        </row>
        <row r="5706">
          <cell r="A5706" t="str">
            <v>UT</v>
          </cell>
          <cell r="B5706" t="str">
            <v>CA307</v>
          </cell>
          <cell r="C5706" t="str">
            <v>P</v>
          </cell>
          <cell r="D5706" t="str">
            <v>HOLD7</v>
          </cell>
          <cell r="E5706" t="str">
            <v>TOL</v>
          </cell>
          <cell r="F5706">
            <v>2</v>
          </cell>
          <cell r="G5706" t="str">
            <v>CB39030000040T</v>
          </cell>
          <cell r="H5706">
            <v>4</v>
          </cell>
          <cell r="I5706">
            <v>0.75</v>
          </cell>
          <cell r="J5706">
            <v>1</v>
          </cell>
          <cell r="K5706" t="str">
            <v>-</v>
          </cell>
        </row>
        <row r="5707">
          <cell r="A5707" t="str">
            <v>UT</v>
          </cell>
          <cell r="B5707" t="str">
            <v>A5C</v>
          </cell>
          <cell r="C5707" t="str">
            <v>P</v>
          </cell>
          <cell r="D5707" t="str">
            <v>HOLD5</v>
          </cell>
          <cell r="E5707" t="str">
            <v>90 ELL</v>
          </cell>
          <cell r="F5707">
            <v>2</v>
          </cell>
          <cell r="G5707" t="str">
            <v>CB300104000400</v>
          </cell>
          <cell r="H5707">
            <v>4</v>
          </cell>
          <cell r="I5707" t="str">
            <v>--</v>
          </cell>
          <cell r="J5707">
            <v>24</v>
          </cell>
          <cell r="K5707" t="str">
            <v>-</v>
          </cell>
        </row>
        <row r="5708">
          <cell r="A5708" t="str">
            <v>UT</v>
          </cell>
          <cell r="B5708" t="str">
            <v>A5C</v>
          </cell>
          <cell r="C5708" t="str">
            <v>P</v>
          </cell>
          <cell r="D5708" t="str">
            <v>HOLD6</v>
          </cell>
          <cell r="E5708" t="str">
            <v>90 ELL</v>
          </cell>
          <cell r="F5708">
            <v>2</v>
          </cell>
          <cell r="G5708" t="str">
            <v>CB300104000400</v>
          </cell>
          <cell r="H5708">
            <v>4</v>
          </cell>
          <cell r="I5708" t="str">
            <v>--</v>
          </cell>
          <cell r="J5708">
            <v>6</v>
          </cell>
          <cell r="K5708" t="str">
            <v>-</v>
          </cell>
        </row>
        <row r="5709">
          <cell r="A5709" t="str">
            <v>UT</v>
          </cell>
          <cell r="B5709" t="str">
            <v>A5C</v>
          </cell>
          <cell r="C5709" t="str">
            <v>P</v>
          </cell>
          <cell r="D5709" t="str">
            <v>HOLD5</v>
          </cell>
          <cell r="E5709" t="str">
            <v>SOL</v>
          </cell>
          <cell r="F5709">
            <v>2</v>
          </cell>
          <cell r="G5709" t="str">
            <v>CB39020000040T</v>
          </cell>
          <cell r="H5709">
            <v>4</v>
          </cell>
          <cell r="I5709">
            <v>0.75</v>
          </cell>
          <cell r="J5709">
            <v>4</v>
          </cell>
          <cell r="K5709" t="str">
            <v>-</v>
          </cell>
        </row>
        <row r="5710">
          <cell r="A5710" t="str">
            <v>UT</v>
          </cell>
          <cell r="B5710" t="str">
            <v>A5C</v>
          </cell>
          <cell r="C5710" t="str">
            <v>P</v>
          </cell>
          <cell r="D5710" t="str">
            <v>HOLD6</v>
          </cell>
          <cell r="E5710" t="str">
            <v>SOL</v>
          </cell>
          <cell r="F5710">
            <v>2</v>
          </cell>
          <cell r="G5710" t="str">
            <v>CB39020000040T</v>
          </cell>
          <cell r="H5710">
            <v>4</v>
          </cell>
          <cell r="I5710">
            <v>0.75</v>
          </cell>
          <cell r="J5710">
            <v>1</v>
          </cell>
          <cell r="K5710" t="str">
            <v>-</v>
          </cell>
        </row>
        <row r="5711">
          <cell r="A5711" t="str">
            <v>UT</v>
          </cell>
          <cell r="B5711" t="str">
            <v>A5C</v>
          </cell>
          <cell r="C5711" t="str">
            <v>P</v>
          </cell>
          <cell r="D5711" t="str">
            <v>HOLD5</v>
          </cell>
          <cell r="E5711" t="str">
            <v>TOL</v>
          </cell>
          <cell r="F5711">
            <v>2</v>
          </cell>
          <cell r="G5711" t="str">
            <v>CB39030000040T</v>
          </cell>
          <cell r="H5711">
            <v>4</v>
          </cell>
          <cell r="I5711">
            <v>0.75</v>
          </cell>
          <cell r="J5711">
            <v>4</v>
          </cell>
          <cell r="K5711" t="str">
            <v>-</v>
          </cell>
        </row>
        <row r="5712">
          <cell r="A5712" t="str">
            <v>UT</v>
          </cell>
          <cell r="B5712" t="str">
            <v>A5C</v>
          </cell>
          <cell r="C5712" t="str">
            <v>P</v>
          </cell>
          <cell r="D5712" t="str">
            <v>HOLD6</v>
          </cell>
          <cell r="E5712" t="str">
            <v>TOL</v>
          </cell>
          <cell r="F5712">
            <v>2</v>
          </cell>
          <cell r="G5712" t="str">
            <v>CB39030000040T</v>
          </cell>
          <cell r="H5712">
            <v>4</v>
          </cell>
          <cell r="I5712">
            <v>0.75</v>
          </cell>
          <cell r="J5712">
            <v>1</v>
          </cell>
          <cell r="K5712" t="str">
            <v>-</v>
          </cell>
        </row>
        <row r="5713">
          <cell r="A5713" t="str">
            <v>UT</v>
          </cell>
          <cell r="B5713" t="str">
            <v>B2C</v>
          </cell>
          <cell r="C5713" t="str">
            <v>SH</v>
          </cell>
          <cell r="D5713" t="str">
            <v>001</v>
          </cell>
          <cell r="E5713" t="str">
            <v>SOL</v>
          </cell>
          <cell r="F5713">
            <v>2</v>
          </cell>
          <cell r="G5713" t="str">
            <v>CB39020000060T</v>
          </cell>
          <cell r="H5713">
            <v>6</v>
          </cell>
          <cell r="I5713">
            <v>0.75</v>
          </cell>
          <cell r="J5713">
            <v>6</v>
          </cell>
          <cell r="K5713" t="str">
            <v>-</v>
          </cell>
        </row>
        <row r="5714">
          <cell r="A5714" t="str">
            <v>UT</v>
          </cell>
          <cell r="B5714" t="str">
            <v>CA307</v>
          </cell>
          <cell r="C5714" t="str">
            <v>HCLG</v>
          </cell>
          <cell r="D5714" t="str">
            <v>1100</v>
          </cell>
          <cell r="E5714" t="str">
            <v>90 ELL</v>
          </cell>
          <cell r="F5714">
            <v>2</v>
          </cell>
          <cell r="G5714" t="str">
            <v>CB300105000600</v>
          </cell>
          <cell r="H5714">
            <v>6</v>
          </cell>
          <cell r="I5714" t="str">
            <v>--</v>
          </cell>
          <cell r="J5714">
            <v>9</v>
          </cell>
          <cell r="K5714" t="str">
            <v>-</v>
          </cell>
        </row>
        <row r="5715">
          <cell r="A5715" t="str">
            <v>UT</v>
          </cell>
          <cell r="B5715" t="str">
            <v>CA307</v>
          </cell>
          <cell r="C5715" t="str">
            <v>HCLG</v>
          </cell>
          <cell r="D5715" t="str">
            <v>1100</v>
          </cell>
          <cell r="E5715" t="str">
            <v>SOL</v>
          </cell>
          <cell r="F5715">
            <v>2</v>
          </cell>
          <cell r="G5715" t="str">
            <v>CB39020000060T</v>
          </cell>
          <cell r="H5715">
            <v>6</v>
          </cell>
          <cell r="I5715">
            <v>0.75</v>
          </cell>
          <cell r="J5715">
            <v>1</v>
          </cell>
          <cell r="K5715" t="str">
            <v>-</v>
          </cell>
        </row>
        <row r="5716">
          <cell r="A5716" t="str">
            <v>UT</v>
          </cell>
          <cell r="B5716" t="str">
            <v>CA307</v>
          </cell>
          <cell r="C5716" t="str">
            <v>HCLG</v>
          </cell>
          <cell r="D5716" t="str">
            <v>1100</v>
          </cell>
          <cell r="E5716" t="str">
            <v>TEE</v>
          </cell>
          <cell r="F5716">
            <v>2</v>
          </cell>
          <cell r="G5716" t="str">
            <v>CB300305000600</v>
          </cell>
          <cell r="H5716">
            <v>6</v>
          </cell>
          <cell r="I5716" t="str">
            <v>--</v>
          </cell>
          <cell r="J5716">
            <v>1</v>
          </cell>
          <cell r="K5716" t="str">
            <v>-</v>
          </cell>
        </row>
        <row r="5717">
          <cell r="A5717" t="str">
            <v>UT</v>
          </cell>
          <cell r="B5717" t="str">
            <v>CA307</v>
          </cell>
          <cell r="C5717" t="str">
            <v>HCLG</v>
          </cell>
          <cell r="D5717" t="str">
            <v>1100</v>
          </cell>
          <cell r="E5717" t="str">
            <v>TOL</v>
          </cell>
          <cell r="F5717">
            <v>2</v>
          </cell>
          <cell r="G5717" t="str">
            <v>CB39030000060T</v>
          </cell>
          <cell r="H5717">
            <v>6</v>
          </cell>
          <cell r="I5717">
            <v>0.75</v>
          </cell>
          <cell r="J5717">
            <v>2</v>
          </cell>
          <cell r="K5717" t="str">
            <v>-</v>
          </cell>
        </row>
        <row r="5718">
          <cell r="A5718" t="str">
            <v>UT</v>
          </cell>
          <cell r="B5718" t="str">
            <v>A5C</v>
          </cell>
          <cell r="C5718" t="str">
            <v>WW</v>
          </cell>
          <cell r="D5718" t="str">
            <v>002</v>
          </cell>
          <cell r="E5718" t="str">
            <v>90 ELL</v>
          </cell>
          <cell r="F5718">
            <v>2</v>
          </cell>
          <cell r="G5718" t="str">
            <v>CB300104000600</v>
          </cell>
          <cell r="H5718">
            <v>6</v>
          </cell>
          <cell r="I5718" t="str">
            <v>--</v>
          </cell>
          <cell r="J5718">
            <v>1</v>
          </cell>
          <cell r="K5718" t="str">
            <v>-</v>
          </cell>
        </row>
        <row r="5719">
          <cell r="A5719" t="str">
            <v>UT</v>
          </cell>
          <cell r="B5719" t="str">
            <v>A5C</v>
          </cell>
          <cell r="C5719" t="str">
            <v>WW</v>
          </cell>
          <cell r="D5719" t="str">
            <v>002</v>
          </cell>
          <cell r="E5719" t="str">
            <v>SOL</v>
          </cell>
          <cell r="F5719">
            <v>2</v>
          </cell>
          <cell r="G5719" t="str">
            <v>CB39020000060T</v>
          </cell>
          <cell r="H5719">
            <v>6</v>
          </cell>
          <cell r="I5719">
            <v>0.75</v>
          </cell>
          <cell r="J5719">
            <v>1</v>
          </cell>
          <cell r="K5719" t="str">
            <v>-</v>
          </cell>
        </row>
        <row r="5720">
          <cell r="A5720" t="str">
            <v>UT</v>
          </cell>
          <cell r="B5720" t="str">
            <v>B2C</v>
          </cell>
          <cell r="C5720" t="str">
            <v>SH</v>
          </cell>
          <cell r="D5720" t="str">
            <v>001</v>
          </cell>
          <cell r="E5720" t="str">
            <v>90 ELL</v>
          </cell>
          <cell r="F5720">
            <v>2</v>
          </cell>
          <cell r="G5720" t="str">
            <v>CB300104000800</v>
          </cell>
          <cell r="H5720">
            <v>8</v>
          </cell>
          <cell r="I5720" t="str">
            <v>--</v>
          </cell>
          <cell r="J5720">
            <v>21</v>
          </cell>
          <cell r="K5720" t="str">
            <v>-</v>
          </cell>
        </row>
        <row r="5721">
          <cell r="A5721" t="str">
            <v>UT</v>
          </cell>
          <cell r="B5721" t="str">
            <v>B2C</v>
          </cell>
          <cell r="C5721" t="str">
            <v>SH</v>
          </cell>
          <cell r="D5721" t="str">
            <v>001</v>
          </cell>
          <cell r="E5721" t="str">
            <v>SOL</v>
          </cell>
          <cell r="F5721">
            <v>2</v>
          </cell>
          <cell r="G5721" t="str">
            <v>CB39020000080T</v>
          </cell>
          <cell r="H5721">
            <v>8</v>
          </cell>
          <cell r="I5721">
            <v>0.75</v>
          </cell>
          <cell r="J5721">
            <v>1</v>
          </cell>
          <cell r="K5721" t="str">
            <v>-</v>
          </cell>
        </row>
        <row r="5722">
          <cell r="A5722" t="str">
            <v>UT</v>
          </cell>
          <cell r="B5722" t="str">
            <v>B2C</v>
          </cell>
          <cell r="C5722" t="str">
            <v>SH</v>
          </cell>
          <cell r="D5722" t="str">
            <v>001</v>
          </cell>
          <cell r="E5722" t="str">
            <v>TOL</v>
          </cell>
          <cell r="F5722">
            <v>2</v>
          </cell>
          <cell r="G5722" t="str">
            <v>CB39030000080T</v>
          </cell>
          <cell r="H5722">
            <v>8</v>
          </cell>
          <cell r="I5722">
            <v>0.75</v>
          </cell>
          <cell r="J5722">
            <v>3</v>
          </cell>
          <cell r="K5722" t="str">
            <v>-</v>
          </cell>
        </row>
        <row r="5723">
          <cell r="A5723" t="str">
            <v>UT</v>
          </cell>
          <cell r="B5723" t="str">
            <v>A5C</v>
          </cell>
          <cell r="C5723" t="str">
            <v>WW</v>
          </cell>
          <cell r="D5723" t="str">
            <v>002</v>
          </cell>
          <cell r="E5723" t="str">
            <v>90 ELL</v>
          </cell>
          <cell r="F5723">
            <v>2</v>
          </cell>
          <cell r="G5723" t="str">
            <v>CB300104000800</v>
          </cell>
          <cell r="H5723">
            <v>8</v>
          </cell>
          <cell r="I5723" t="str">
            <v>--</v>
          </cell>
          <cell r="J5723">
            <v>3</v>
          </cell>
          <cell r="K5723" t="str">
            <v>-</v>
          </cell>
        </row>
        <row r="5724">
          <cell r="A5724" t="str">
            <v>UT</v>
          </cell>
          <cell r="B5724" t="str">
            <v>A5C</v>
          </cell>
          <cell r="C5724" t="str">
            <v>WW</v>
          </cell>
          <cell r="D5724" t="str">
            <v>002</v>
          </cell>
          <cell r="E5724" t="str">
            <v>SOL</v>
          </cell>
          <cell r="F5724">
            <v>2</v>
          </cell>
          <cell r="G5724" t="str">
            <v>CB39020000080T</v>
          </cell>
          <cell r="H5724">
            <v>8</v>
          </cell>
          <cell r="I5724">
            <v>0.75</v>
          </cell>
          <cell r="J5724">
            <v>1</v>
          </cell>
          <cell r="K5724" t="str">
            <v>-</v>
          </cell>
        </row>
        <row r="5725">
          <cell r="A5725" t="str">
            <v>UT</v>
          </cell>
          <cell r="B5725" t="str">
            <v>A5C</v>
          </cell>
          <cell r="C5725" t="str">
            <v>WW</v>
          </cell>
          <cell r="D5725" t="str">
            <v>002</v>
          </cell>
          <cell r="E5725" t="str">
            <v>TOL</v>
          </cell>
          <cell r="F5725">
            <v>2</v>
          </cell>
          <cell r="G5725" t="str">
            <v>CB39030000080T</v>
          </cell>
          <cell r="H5725">
            <v>8</v>
          </cell>
          <cell r="I5725">
            <v>0.75</v>
          </cell>
          <cell r="J5725">
            <v>1</v>
          </cell>
          <cell r="K5725" t="str">
            <v>-</v>
          </cell>
        </row>
        <row r="5726">
          <cell r="A5726" t="str">
            <v>UT</v>
          </cell>
          <cell r="B5726" t="str">
            <v>A5C</v>
          </cell>
          <cell r="C5726" t="str">
            <v>WW</v>
          </cell>
          <cell r="D5726" t="str">
            <v>002</v>
          </cell>
          <cell r="E5726" t="str">
            <v>90 ELL</v>
          </cell>
          <cell r="F5726">
            <v>2</v>
          </cell>
          <cell r="G5726" t="str">
            <v>CB300104001200</v>
          </cell>
          <cell r="H5726">
            <v>12</v>
          </cell>
          <cell r="I5726" t="str">
            <v>--</v>
          </cell>
          <cell r="J5726">
            <v>7</v>
          </cell>
          <cell r="K5726" t="str">
            <v>-</v>
          </cell>
        </row>
        <row r="5727">
          <cell r="A5727" t="str">
            <v>UT</v>
          </cell>
          <cell r="B5727" t="str">
            <v>A5C</v>
          </cell>
          <cell r="C5727" t="str">
            <v>WW</v>
          </cell>
          <cell r="D5727" t="str">
            <v>002</v>
          </cell>
          <cell r="E5727" t="str">
            <v>SOL</v>
          </cell>
          <cell r="F5727">
            <v>2</v>
          </cell>
          <cell r="G5727" t="str">
            <v>CB39020000120T</v>
          </cell>
          <cell r="H5727">
            <v>12</v>
          </cell>
          <cell r="I5727">
            <v>0.75</v>
          </cell>
          <cell r="J5727">
            <v>2</v>
          </cell>
          <cell r="K5727" t="str">
            <v>-</v>
          </cell>
        </row>
        <row r="5728">
          <cell r="A5728" t="str">
            <v>UT</v>
          </cell>
          <cell r="B5728" t="str">
            <v>A5C</v>
          </cell>
          <cell r="C5728" t="str">
            <v>WW</v>
          </cell>
          <cell r="D5728" t="str">
            <v>002</v>
          </cell>
          <cell r="E5728" t="str">
            <v>TOL</v>
          </cell>
          <cell r="F5728">
            <v>2</v>
          </cell>
          <cell r="G5728" t="str">
            <v>CB39030000120T</v>
          </cell>
          <cell r="H5728">
            <v>12</v>
          </cell>
          <cell r="I5728">
            <v>0.75</v>
          </cell>
          <cell r="J5728">
            <v>1</v>
          </cell>
          <cell r="K5728" t="str">
            <v>-</v>
          </cell>
        </row>
        <row r="5729">
          <cell r="A5729" t="str">
            <v>UT</v>
          </cell>
          <cell r="B5729" t="str">
            <v>B2C</v>
          </cell>
          <cell r="C5729" t="str">
            <v>SH</v>
          </cell>
          <cell r="D5729" t="str">
            <v>001</v>
          </cell>
          <cell r="E5729" t="str">
            <v>TOL</v>
          </cell>
          <cell r="F5729">
            <v>2</v>
          </cell>
          <cell r="G5729" t="str">
            <v>CB39030000120T</v>
          </cell>
          <cell r="H5729">
            <v>12</v>
          </cell>
          <cell r="I5729">
            <v>0.75</v>
          </cell>
          <cell r="J5729" t="str">
            <v>-</v>
          </cell>
          <cell r="K5729">
            <v>2</v>
          </cell>
        </row>
        <row r="5730">
          <cell r="A5730" t="str">
            <v>UT</v>
          </cell>
          <cell r="B5730" t="str">
            <v>B2C</v>
          </cell>
          <cell r="C5730" t="str">
            <v>SH</v>
          </cell>
          <cell r="D5730" t="str">
            <v>001</v>
          </cell>
          <cell r="E5730" t="str">
            <v>90 ELL</v>
          </cell>
          <cell r="F5730">
            <v>2</v>
          </cell>
          <cell r="G5730" t="str">
            <v>CB300104001200</v>
          </cell>
          <cell r="H5730">
            <v>12</v>
          </cell>
          <cell r="I5730" t="str">
            <v>--</v>
          </cell>
          <cell r="J5730" t="str">
            <v>-</v>
          </cell>
          <cell r="K5730">
            <v>18</v>
          </cell>
        </row>
        <row r="5731">
          <cell r="A5731" t="str">
            <v>UT</v>
          </cell>
          <cell r="B5731" t="str">
            <v>A5C</v>
          </cell>
          <cell r="C5731" t="str">
            <v>WW</v>
          </cell>
          <cell r="D5731" t="str">
            <v>002</v>
          </cell>
          <cell r="E5731" t="str">
            <v>SOL</v>
          </cell>
          <cell r="F5731">
            <v>2</v>
          </cell>
          <cell r="G5731" t="str">
            <v>CB39020000120T</v>
          </cell>
          <cell r="H5731">
            <v>12</v>
          </cell>
          <cell r="I5731">
            <v>0.75</v>
          </cell>
          <cell r="J5731" t="str">
            <v>-</v>
          </cell>
          <cell r="K5731">
            <v>1</v>
          </cell>
        </row>
        <row r="5732">
          <cell r="A5732" t="str">
            <v>UT</v>
          </cell>
          <cell r="B5732" t="str">
            <v>A5C</v>
          </cell>
          <cell r="C5732" t="str">
            <v>WW</v>
          </cell>
          <cell r="D5732" t="str">
            <v>002</v>
          </cell>
          <cell r="E5732" t="str">
            <v>TOL</v>
          </cell>
          <cell r="F5732">
            <v>2</v>
          </cell>
          <cell r="G5732" t="str">
            <v>CB39030000120T</v>
          </cell>
          <cell r="H5732">
            <v>12</v>
          </cell>
          <cell r="I5732">
            <v>0.75</v>
          </cell>
          <cell r="J5732" t="str">
            <v>-</v>
          </cell>
          <cell r="K5732">
            <v>1</v>
          </cell>
        </row>
        <row r="5733">
          <cell r="A5733" t="str">
            <v>UT</v>
          </cell>
          <cell r="B5733" t="str">
            <v>A5C</v>
          </cell>
          <cell r="C5733" t="str">
            <v>WW</v>
          </cell>
          <cell r="D5733" t="str">
            <v>002</v>
          </cell>
          <cell r="E5733" t="str">
            <v>90 ELL</v>
          </cell>
          <cell r="F5733">
            <v>2</v>
          </cell>
          <cell r="G5733" t="str">
            <v>CB300104001200</v>
          </cell>
          <cell r="H5733">
            <v>12</v>
          </cell>
          <cell r="I5733" t="str">
            <v>--</v>
          </cell>
          <cell r="J5733" t="str">
            <v>-</v>
          </cell>
          <cell r="K5733">
            <v>3</v>
          </cell>
        </row>
        <row r="5734">
          <cell r="A5734" t="str">
            <v>UT</v>
          </cell>
          <cell r="B5734" t="str">
            <v>A5C</v>
          </cell>
          <cell r="C5734" t="str">
            <v>WW</v>
          </cell>
          <cell r="D5734" t="str">
            <v>002</v>
          </cell>
          <cell r="E5734" t="str">
            <v>SOL</v>
          </cell>
          <cell r="F5734">
            <v>2</v>
          </cell>
          <cell r="G5734" t="str">
            <v>CB39020000200T</v>
          </cell>
          <cell r="H5734">
            <v>20</v>
          </cell>
          <cell r="I5734">
            <v>0.75</v>
          </cell>
          <cell r="J5734" t="str">
            <v>-</v>
          </cell>
          <cell r="K5734">
            <v>1</v>
          </cell>
        </row>
        <row r="5735">
          <cell r="A5735" t="str">
            <v>UT</v>
          </cell>
          <cell r="B5735" t="str">
            <v>A5C</v>
          </cell>
          <cell r="C5735" t="str">
            <v>WW</v>
          </cell>
          <cell r="D5735" t="str">
            <v>002</v>
          </cell>
          <cell r="E5735" t="str">
            <v>90 ELL</v>
          </cell>
          <cell r="F5735">
            <v>2</v>
          </cell>
          <cell r="G5735" t="str">
            <v>CB300104002000</v>
          </cell>
          <cell r="H5735">
            <v>20</v>
          </cell>
          <cell r="I5735" t="str">
            <v>--</v>
          </cell>
          <cell r="J5735" t="str">
            <v>-</v>
          </cell>
          <cell r="K5735">
            <v>4</v>
          </cell>
        </row>
        <row r="5736">
          <cell r="A5736" t="str">
            <v>UT</v>
          </cell>
          <cell r="B5736" t="str">
            <v>B2C</v>
          </cell>
          <cell r="C5736" t="str">
            <v>SH</v>
          </cell>
          <cell r="D5736" t="str">
            <v>001</v>
          </cell>
          <cell r="E5736" t="str">
            <v>SOL</v>
          </cell>
          <cell r="F5736">
            <v>2</v>
          </cell>
          <cell r="G5736" t="str">
            <v>CB39020000040T</v>
          </cell>
          <cell r="H5736">
            <v>4</v>
          </cell>
          <cell r="I5736">
            <v>0.75</v>
          </cell>
          <cell r="J5736" t="str">
            <v>-</v>
          </cell>
          <cell r="K5736">
            <v>3</v>
          </cell>
        </row>
        <row r="5737">
          <cell r="A5737" t="str">
            <v>UT</v>
          </cell>
          <cell r="B5737" t="str">
            <v>B2C</v>
          </cell>
          <cell r="C5737" t="str">
            <v>SH</v>
          </cell>
          <cell r="D5737" t="str">
            <v>001</v>
          </cell>
          <cell r="E5737" t="str">
            <v>TOL</v>
          </cell>
          <cell r="F5737">
            <v>2</v>
          </cell>
          <cell r="G5737" t="str">
            <v>CB39030000040T</v>
          </cell>
          <cell r="H5737">
            <v>4</v>
          </cell>
          <cell r="I5737">
            <v>0.75</v>
          </cell>
          <cell r="J5737" t="str">
            <v>-</v>
          </cell>
          <cell r="K5737">
            <v>3</v>
          </cell>
        </row>
        <row r="5738">
          <cell r="A5738" t="str">
            <v>UT</v>
          </cell>
          <cell r="B5738" t="str">
            <v>B2C</v>
          </cell>
          <cell r="C5738" t="str">
            <v>SH</v>
          </cell>
          <cell r="D5738" t="str">
            <v>001</v>
          </cell>
          <cell r="E5738" t="str">
            <v>90 ELL</v>
          </cell>
          <cell r="F5738">
            <v>2</v>
          </cell>
          <cell r="G5738" t="str">
            <v>CB300104000400</v>
          </cell>
          <cell r="H5738">
            <v>4</v>
          </cell>
          <cell r="I5738" t="str">
            <v>--</v>
          </cell>
          <cell r="J5738" t="str">
            <v>-</v>
          </cell>
          <cell r="K5738">
            <v>9</v>
          </cell>
        </row>
        <row r="5739">
          <cell r="A5739" t="str">
            <v>UT</v>
          </cell>
          <cell r="B5739" t="str">
            <v>CA307</v>
          </cell>
          <cell r="C5739" t="str">
            <v>P</v>
          </cell>
          <cell r="D5739" t="str">
            <v>HOLD7</v>
          </cell>
          <cell r="E5739" t="str">
            <v>SOL</v>
          </cell>
          <cell r="F5739">
            <v>2</v>
          </cell>
          <cell r="G5739" t="str">
            <v>CB39020000040T</v>
          </cell>
          <cell r="H5739">
            <v>4</v>
          </cell>
          <cell r="I5739">
            <v>0.75</v>
          </cell>
          <cell r="J5739" t="str">
            <v>-</v>
          </cell>
          <cell r="K5739">
            <v>1</v>
          </cell>
        </row>
        <row r="5740">
          <cell r="A5740" t="str">
            <v>UT</v>
          </cell>
          <cell r="B5740" t="str">
            <v>CA307</v>
          </cell>
          <cell r="C5740" t="str">
            <v>P</v>
          </cell>
          <cell r="D5740" t="str">
            <v>HOLD7</v>
          </cell>
          <cell r="E5740" t="str">
            <v>TOL</v>
          </cell>
          <cell r="F5740">
            <v>2</v>
          </cell>
          <cell r="G5740" t="str">
            <v>CB39030000040T</v>
          </cell>
          <cell r="H5740">
            <v>4</v>
          </cell>
          <cell r="I5740">
            <v>0.75</v>
          </cell>
          <cell r="J5740" t="str">
            <v>-</v>
          </cell>
          <cell r="K5740">
            <v>1</v>
          </cell>
        </row>
        <row r="5741">
          <cell r="A5741" t="str">
            <v>UT</v>
          </cell>
          <cell r="B5741" t="str">
            <v>CA307</v>
          </cell>
          <cell r="C5741" t="str">
            <v>P</v>
          </cell>
          <cell r="D5741" t="str">
            <v>HOLD7</v>
          </cell>
          <cell r="E5741" t="str">
            <v>90 ELL</v>
          </cell>
          <cell r="F5741">
            <v>2</v>
          </cell>
          <cell r="G5741" t="str">
            <v>CB300105000400</v>
          </cell>
          <cell r="H5741">
            <v>4</v>
          </cell>
          <cell r="I5741" t="str">
            <v>--</v>
          </cell>
          <cell r="J5741" t="str">
            <v>-</v>
          </cell>
          <cell r="K5741">
            <v>6</v>
          </cell>
        </row>
        <row r="5742">
          <cell r="A5742" t="str">
            <v>UT</v>
          </cell>
          <cell r="B5742" t="str">
            <v>A5C</v>
          </cell>
          <cell r="C5742" t="str">
            <v>P</v>
          </cell>
          <cell r="D5742" t="str">
            <v>HOLD6</v>
          </cell>
          <cell r="E5742" t="str">
            <v>SOL</v>
          </cell>
          <cell r="F5742">
            <v>2</v>
          </cell>
          <cell r="G5742" t="str">
            <v>CB39020000040T</v>
          </cell>
          <cell r="H5742">
            <v>4</v>
          </cell>
          <cell r="I5742">
            <v>0.75</v>
          </cell>
          <cell r="J5742" t="str">
            <v>-</v>
          </cell>
          <cell r="K5742">
            <v>1</v>
          </cell>
        </row>
        <row r="5743">
          <cell r="A5743" t="str">
            <v>UT</v>
          </cell>
          <cell r="B5743" t="str">
            <v>A5C</v>
          </cell>
          <cell r="C5743" t="str">
            <v>P</v>
          </cell>
          <cell r="D5743" t="str">
            <v>HOLD6</v>
          </cell>
          <cell r="E5743" t="str">
            <v>TOL</v>
          </cell>
          <cell r="F5743">
            <v>2</v>
          </cell>
          <cell r="G5743" t="str">
            <v>CB39030000040T</v>
          </cell>
          <cell r="H5743">
            <v>4</v>
          </cell>
          <cell r="I5743">
            <v>0.75</v>
          </cell>
          <cell r="J5743" t="str">
            <v>-</v>
          </cell>
          <cell r="K5743">
            <v>1</v>
          </cell>
        </row>
        <row r="5744">
          <cell r="A5744" t="str">
            <v>UT</v>
          </cell>
          <cell r="B5744" t="str">
            <v>A5C</v>
          </cell>
          <cell r="C5744" t="str">
            <v>P</v>
          </cell>
          <cell r="D5744" t="str">
            <v>HOLD5</v>
          </cell>
          <cell r="E5744" t="str">
            <v>SOL</v>
          </cell>
          <cell r="F5744">
            <v>2</v>
          </cell>
          <cell r="G5744" t="str">
            <v>CB39020000040T</v>
          </cell>
          <cell r="H5744">
            <v>4</v>
          </cell>
          <cell r="I5744">
            <v>0.75</v>
          </cell>
          <cell r="J5744" t="str">
            <v>-</v>
          </cell>
          <cell r="K5744">
            <v>4</v>
          </cell>
        </row>
        <row r="5745">
          <cell r="A5745" t="str">
            <v>UT</v>
          </cell>
          <cell r="B5745" t="str">
            <v>A5C</v>
          </cell>
          <cell r="C5745" t="str">
            <v>P</v>
          </cell>
          <cell r="D5745" t="str">
            <v>HOLD5</v>
          </cell>
          <cell r="E5745" t="str">
            <v>TOL</v>
          </cell>
          <cell r="F5745">
            <v>2</v>
          </cell>
          <cell r="G5745" t="str">
            <v>CB39030000040T</v>
          </cell>
          <cell r="H5745">
            <v>4</v>
          </cell>
          <cell r="I5745">
            <v>0.75</v>
          </cell>
          <cell r="J5745" t="str">
            <v>-</v>
          </cell>
          <cell r="K5745">
            <v>4</v>
          </cell>
        </row>
        <row r="5746">
          <cell r="A5746" t="str">
            <v>UT</v>
          </cell>
          <cell r="B5746" t="str">
            <v>A5C</v>
          </cell>
          <cell r="C5746" t="str">
            <v>P</v>
          </cell>
          <cell r="D5746" t="str">
            <v>HOLD6</v>
          </cell>
          <cell r="E5746" t="str">
            <v>90 ELL</v>
          </cell>
          <cell r="F5746">
            <v>2</v>
          </cell>
          <cell r="G5746" t="str">
            <v>CB300104000400</v>
          </cell>
          <cell r="H5746">
            <v>4</v>
          </cell>
          <cell r="I5746" t="str">
            <v>--</v>
          </cell>
          <cell r="J5746" t="str">
            <v>-</v>
          </cell>
          <cell r="K5746">
            <v>6</v>
          </cell>
        </row>
        <row r="5747">
          <cell r="A5747" t="str">
            <v>UT</v>
          </cell>
          <cell r="B5747" t="str">
            <v>A5C</v>
          </cell>
          <cell r="C5747" t="str">
            <v>P</v>
          </cell>
          <cell r="D5747" t="str">
            <v>HOLD5</v>
          </cell>
          <cell r="E5747" t="str">
            <v>90 ELL</v>
          </cell>
          <cell r="F5747">
            <v>2</v>
          </cell>
          <cell r="G5747" t="str">
            <v>CB300104000400</v>
          </cell>
          <cell r="H5747">
            <v>4</v>
          </cell>
          <cell r="I5747" t="str">
            <v>--</v>
          </cell>
          <cell r="J5747" t="str">
            <v>-</v>
          </cell>
          <cell r="K5747">
            <v>24</v>
          </cell>
        </row>
        <row r="5748">
          <cell r="A5748" t="str">
            <v>UT</v>
          </cell>
          <cell r="B5748" t="str">
            <v>A5C</v>
          </cell>
          <cell r="C5748" t="str">
            <v>WW</v>
          </cell>
          <cell r="D5748" t="str">
            <v>003</v>
          </cell>
          <cell r="E5748" t="str">
            <v>SOL</v>
          </cell>
          <cell r="F5748">
            <v>2</v>
          </cell>
          <cell r="G5748" t="str">
            <v>CB39020000040T</v>
          </cell>
          <cell r="H5748">
            <v>4</v>
          </cell>
          <cell r="I5748">
            <v>0.75</v>
          </cell>
          <cell r="J5748" t="str">
            <v>-</v>
          </cell>
          <cell r="K5748">
            <v>1</v>
          </cell>
        </row>
        <row r="5749">
          <cell r="A5749" t="str">
            <v>UT</v>
          </cell>
          <cell r="B5749" t="str">
            <v>A5C</v>
          </cell>
          <cell r="C5749" t="str">
            <v>WW</v>
          </cell>
          <cell r="D5749" t="str">
            <v>003</v>
          </cell>
          <cell r="E5749" t="str">
            <v>TOL</v>
          </cell>
          <cell r="F5749">
            <v>2</v>
          </cell>
          <cell r="G5749" t="str">
            <v>CB39030000040T</v>
          </cell>
          <cell r="H5749">
            <v>4</v>
          </cell>
          <cell r="I5749">
            <v>0.75</v>
          </cell>
          <cell r="J5749" t="str">
            <v>-</v>
          </cell>
          <cell r="K5749">
            <v>1</v>
          </cell>
        </row>
        <row r="5750">
          <cell r="A5750" t="str">
            <v>UT</v>
          </cell>
          <cell r="B5750" t="str">
            <v>A5C</v>
          </cell>
          <cell r="C5750" t="str">
            <v>WW</v>
          </cell>
          <cell r="D5750" t="str">
            <v>003</v>
          </cell>
          <cell r="E5750" t="str">
            <v>90 ELL</v>
          </cell>
          <cell r="F5750">
            <v>2</v>
          </cell>
          <cell r="G5750" t="str">
            <v>CB300104000400</v>
          </cell>
          <cell r="H5750">
            <v>4</v>
          </cell>
          <cell r="I5750" t="str">
            <v>--</v>
          </cell>
          <cell r="J5750" t="str">
            <v>-</v>
          </cell>
          <cell r="K5750">
            <v>4</v>
          </cell>
        </row>
        <row r="5751">
          <cell r="A5751" t="str">
            <v>UT</v>
          </cell>
          <cell r="B5751" t="str">
            <v>B2C</v>
          </cell>
          <cell r="C5751" t="str">
            <v>SH</v>
          </cell>
          <cell r="D5751" t="str">
            <v>001</v>
          </cell>
          <cell r="E5751" t="str">
            <v>CAP</v>
          </cell>
          <cell r="F5751">
            <v>2</v>
          </cell>
          <cell r="G5751" t="str">
            <v>CB300704000600</v>
          </cell>
          <cell r="H5751">
            <v>6</v>
          </cell>
          <cell r="I5751" t="str">
            <v>--</v>
          </cell>
          <cell r="J5751" t="str">
            <v>-</v>
          </cell>
          <cell r="K5751">
            <v>3</v>
          </cell>
        </row>
        <row r="5752">
          <cell r="A5752" t="str">
            <v>UT</v>
          </cell>
          <cell r="B5752" t="str">
            <v>B2C</v>
          </cell>
          <cell r="C5752" t="str">
            <v>SH</v>
          </cell>
          <cell r="D5752" t="str">
            <v>001</v>
          </cell>
          <cell r="E5752" t="str">
            <v>SOL</v>
          </cell>
          <cell r="F5752">
            <v>2</v>
          </cell>
          <cell r="G5752" t="str">
            <v>CB39020000060T</v>
          </cell>
          <cell r="H5752">
            <v>6</v>
          </cell>
          <cell r="I5752">
            <v>0.75</v>
          </cell>
          <cell r="J5752" t="str">
            <v>-</v>
          </cell>
          <cell r="K5752">
            <v>6</v>
          </cell>
        </row>
        <row r="5753">
          <cell r="A5753" t="str">
            <v>UT</v>
          </cell>
          <cell r="B5753" t="str">
            <v>CA307</v>
          </cell>
          <cell r="C5753" t="str">
            <v>HCLG</v>
          </cell>
          <cell r="D5753" t="str">
            <v>1100</v>
          </cell>
          <cell r="E5753" t="str">
            <v>SOL</v>
          </cell>
          <cell r="F5753">
            <v>2</v>
          </cell>
          <cell r="G5753" t="str">
            <v>CB39020000060T</v>
          </cell>
          <cell r="H5753">
            <v>6</v>
          </cell>
          <cell r="I5753">
            <v>0.75</v>
          </cell>
          <cell r="J5753" t="str">
            <v>-</v>
          </cell>
          <cell r="K5753">
            <v>1</v>
          </cell>
        </row>
        <row r="5754">
          <cell r="A5754" t="str">
            <v>UT</v>
          </cell>
          <cell r="B5754" t="str">
            <v>CA307</v>
          </cell>
          <cell r="C5754" t="str">
            <v>HCLG</v>
          </cell>
          <cell r="D5754" t="str">
            <v>1100</v>
          </cell>
          <cell r="E5754" t="str">
            <v>TEE</v>
          </cell>
          <cell r="F5754">
            <v>2</v>
          </cell>
          <cell r="G5754" t="str">
            <v>CB300305000600</v>
          </cell>
          <cell r="H5754">
            <v>6</v>
          </cell>
          <cell r="I5754" t="str">
            <v>--</v>
          </cell>
          <cell r="J5754" t="str">
            <v>-</v>
          </cell>
          <cell r="K5754">
            <v>1</v>
          </cell>
        </row>
        <row r="5755">
          <cell r="A5755" t="str">
            <v>UT</v>
          </cell>
          <cell r="B5755" t="str">
            <v>CA307</v>
          </cell>
          <cell r="C5755" t="str">
            <v>HCLG</v>
          </cell>
          <cell r="D5755" t="str">
            <v>1100</v>
          </cell>
          <cell r="E5755" t="str">
            <v>TOL</v>
          </cell>
          <cell r="F5755">
            <v>2</v>
          </cell>
          <cell r="G5755" t="str">
            <v>CB39030000060T</v>
          </cell>
          <cell r="H5755">
            <v>6</v>
          </cell>
          <cell r="I5755">
            <v>0.75</v>
          </cell>
          <cell r="J5755" t="str">
            <v>-</v>
          </cell>
          <cell r="K5755">
            <v>2</v>
          </cell>
        </row>
        <row r="5756">
          <cell r="A5756" t="str">
            <v>UT</v>
          </cell>
          <cell r="B5756" t="str">
            <v>CA307</v>
          </cell>
          <cell r="C5756" t="str">
            <v>HCLG</v>
          </cell>
          <cell r="D5756" t="str">
            <v>1100</v>
          </cell>
          <cell r="E5756" t="str">
            <v>90 ELL</v>
          </cell>
          <cell r="F5756">
            <v>2</v>
          </cell>
          <cell r="G5756" t="str">
            <v>CB300105000600</v>
          </cell>
          <cell r="H5756">
            <v>6</v>
          </cell>
          <cell r="I5756" t="str">
            <v>--</v>
          </cell>
          <cell r="J5756" t="str">
            <v>-</v>
          </cell>
          <cell r="K5756">
            <v>9</v>
          </cell>
        </row>
        <row r="5757">
          <cell r="A5757" t="str">
            <v>UT</v>
          </cell>
          <cell r="B5757" t="str">
            <v>A5C</v>
          </cell>
          <cell r="C5757" t="str">
            <v>WW</v>
          </cell>
          <cell r="D5757" t="str">
            <v>002</v>
          </cell>
          <cell r="E5757" t="str">
            <v>90 ELL</v>
          </cell>
          <cell r="F5757">
            <v>2</v>
          </cell>
          <cell r="G5757" t="str">
            <v>CB300104000600</v>
          </cell>
          <cell r="H5757">
            <v>6</v>
          </cell>
          <cell r="I5757" t="str">
            <v>--</v>
          </cell>
          <cell r="J5757" t="str">
            <v>-</v>
          </cell>
          <cell r="K5757">
            <v>1</v>
          </cell>
        </row>
        <row r="5758">
          <cell r="A5758" t="str">
            <v>UT</v>
          </cell>
          <cell r="B5758" t="str">
            <v>A5C</v>
          </cell>
          <cell r="C5758" t="str">
            <v>WW</v>
          </cell>
          <cell r="D5758" t="str">
            <v>002</v>
          </cell>
          <cell r="E5758" t="str">
            <v>SOL</v>
          </cell>
          <cell r="F5758">
            <v>2</v>
          </cell>
          <cell r="G5758" t="str">
            <v>CB39020000060T</v>
          </cell>
          <cell r="H5758">
            <v>6</v>
          </cell>
          <cell r="I5758">
            <v>0.75</v>
          </cell>
          <cell r="J5758" t="str">
            <v>-</v>
          </cell>
          <cell r="K5758">
            <v>1</v>
          </cell>
        </row>
        <row r="5759">
          <cell r="A5759" t="str">
            <v>UT</v>
          </cell>
          <cell r="B5759" t="str">
            <v>B2C</v>
          </cell>
          <cell r="C5759" t="str">
            <v>SH</v>
          </cell>
          <cell r="D5759" t="str">
            <v>001</v>
          </cell>
          <cell r="E5759" t="str">
            <v>SOL</v>
          </cell>
          <cell r="F5759">
            <v>2</v>
          </cell>
          <cell r="G5759" t="str">
            <v>CB39020000080T</v>
          </cell>
          <cell r="H5759">
            <v>8</v>
          </cell>
          <cell r="I5759">
            <v>0.75</v>
          </cell>
          <cell r="J5759" t="str">
            <v>-</v>
          </cell>
          <cell r="K5759">
            <v>1</v>
          </cell>
        </row>
        <row r="5760">
          <cell r="A5760" t="str">
            <v>UT</v>
          </cell>
          <cell r="B5760" t="str">
            <v>B2C</v>
          </cell>
          <cell r="C5760" t="str">
            <v>SH</v>
          </cell>
          <cell r="D5760" t="str">
            <v>001</v>
          </cell>
          <cell r="E5760" t="str">
            <v>TOL</v>
          </cell>
          <cell r="F5760">
            <v>2</v>
          </cell>
          <cell r="G5760" t="str">
            <v>CB39030000080T</v>
          </cell>
          <cell r="H5760">
            <v>8</v>
          </cell>
          <cell r="I5760">
            <v>0.75</v>
          </cell>
          <cell r="J5760" t="str">
            <v>-</v>
          </cell>
          <cell r="K5760">
            <v>1</v>
          </cell>
        </row>
        <row r="5761">
          <cell r="A5761" t="str">
            <v>UT</v>
          </cell>
          <cell r="B5761" t="str">
            <v>B2C</v>
          </cell>
          <cell r="C5761" t="str">
            <v>SH</v>
          </cell>
          <cell r="D5761" t="str">
            <v>001</v>
          </cell>
          <cell r="E5761" t="str">
            <v>90 ELL</v>
          </cell>
          <cell r="F5761">
            <v>2</v>
          </cell>
          <cell r="G5761" t="str">
            <v>CB300104000800</v>
          </cell>
          <cell r="H5761">
            <v>8</v>
          </cell>
          <cell r="I5761" t="str">
            <v>--</v>
          </cell>
          <cell r="J5761" t="str">
            <v>-</v>
          </cell>
          <cell r="K5761">
            <v>3</v>
          </cell>
        </row>
        <row r="5762">
          <cell r="A5762" t="str">
            <v>UT</v>
          </cell>
          <cell r="B5762" t="str">
            <v>A5C</v>
          </cell>
          <cell r="C5762" t="str">
            <v>WW</v>
          </cell>
          <cell r="D5762" t="str">
            <v>002</v>
          </cell>
          <cell r="E5762" t="str">
            <v>SOL</v>
          </cell>
          <cell r="F5762">
            <v>2</v>
          </cell>
          <cell r="G5762" t="str">
            <v>CB39020000080T</v>
          </cell>
          <cell r="H5762">
            <v>8</v>
          </cell>
          <cell r="I5762">
            <v>0.75</v>
          </cell>
          <cell r="J5762" t="str">
            <v>-</v>
          </cell>
          <cell r="K5762">
            <v>1</v>
          </cell>
        </row>
        <row r="5763">
          <cell r="A5763" t="str">
            <v>UT</v>
          </cell>
          <cell r="B5763" t="str">
            <v>A5C</v>
          </cell>
          <cell r="C5763" t="str">
            <v>WW</v>
          </cell>
          <cell r="D5763" t="str">
            <v>002</v>
          </cell>
          <cell r="E5763" t="str">
            <v>TOL</v>
          </cell>
          <cell r="F5763">
            <v>2</v>
          </cell>
          <cell r="G5763" t="str">
            <v>CB39030000080T</v>
          </cell>
          <cell r="H5763">
            <v>8</v>
          </cell>
          <cell r="I5763">
            <v>0.75</v>
          </cell>
          <cell r="J5763" t="str">
            <v>-</v>
          </cell>
          <cell r="K5763">
            <v>1</v>
          </cell>
        </row>
        <row r="5764">
          <cell r="A5764" t="str">
            <v>UT</v>
          </cell>
          <cell r="B5764" t="str">
            <v>A5C</v>
          </cell>
          <cell r="C5764" t="str">
            <v>WW</v>
          </cell>
          <cell r="D5764" t="str">
            <v>002</v>
          </cell>
          <cell r="E5764" t="str">
            <v>90 ELL</v>
          </cell>
          <cell r="F5764">
            <v>2</v>
          </cell>
          <cell r="G5764" t="str">
            <v>CB300104000800</v>
          </cell>
          <cell r="H5764">
            <v>8</v>
          </cell>
          <cell r="I5764" t="str">
            <v>--</v>
          </cell>
          <cell r="J5764" t="str">
            <v>-</v>
          </cell>
          <cell r="K5764">
            <v>3</v>
          </cell>
        </row>
        <row r="5765">
          <cell r="A5765" t="str">
            <v>UT</v>
          </cell>
          <cell r="B5765" t="str">
            <v>B2C</v>
          </cell>
          <cell r="C5765" t="str">
            <v>SCL</v>
          </cell>
          <cell r="D5765" t="str">
            <v>002</v>
          </cell>
          <cell r="E5765" t="str">
            <v>SW FLG</v>
          </cell>
          <cell r="F5765">
            <v>3</v>
          </cell>
          <cell r="G5765" t="str">
            <v>CB240208000T00</v>
          </cell>
          <cell r="H5765">
            <v>0.75</v>
          </cell>
          <cell r="I5765" t="str">
            <v>--</v>
          </cell>
          <cell r="J5765" t="str">
            <v>-</v>
          </cell>
          <cell r="K5765">
            <v>6</v>
          </cell>
        </row>
        <row r="5766">
          <cell r="A5766" t="str">
            <v>UT</v>
          </cell>
          <cell r="B5766" t="str">
            <v>B2C</v>
          </cell>
          <cell r="C5766" t="str">
            <v>SCL</v>
          </cell>
          <cell r="D5766" t="str">
            <v>002</v>
          </cell>
          <cell r="E5766" t="str">
            <v>SW FLG</v>
          </cell>
          <cell r="F5766">
            <v>3</v>
          </cell>
          <cell r="G5766" t="str">
            <v>CB240208000T00</v>
          </cell>
          <cell r="H5766">
            <v>0.75</v>
          </cell>
          <cell r="I5766" t="str">
            <v>--</v>
          </cell>
          <cell r="J5766">
            <v>6</v>
          </cell>
          <cell r="K5766" t="str">
            <v>-</v>
          </cell>
        </row>
        <row r="5767">
          <cell r="A5767" t="str">
            <v>UT</v>
          </cell>
          <cell r="B5767" t="str">
            <v>B2C</v>
          </cell>
          <cell r="C5767" t="str">
            <v>SH</v>
          </cell>
          <cell r="D5767" t="str">
            <v>001</v>
          </cell>
          <cell r="E5767" t="str">
            <v>WN FLG</v>
          </cell>
          <cell r="F5767">
            <v>3</v>
          </cell>
          <cell r="G5767" t="str">
            <v>CB200204000300</v>
          </cell>
          <cell r="H5767">
            <v>3</v>
          </cell>
          <cell r="I5767" t="str">
            <v>--</v>
          </cell>
          <cell r="J5767" t="str">
            <v>-</v>
          </cell>
          <cell r="K5767">
            <v>2</v>
          </cell>
        </row>
        <row r="5768">
          <cell r="A5768" t="str">
            <v>UT</v>
          </cell>
          <cell r="B5768" t="str">
            <v>B2C</v>
          </cell>
          <cell r="C5768" t="str">
            <v>SH</v>
          </cell>
          <cell r="D5768" t="str">
            <v>001</v>
          </cell>
          <cell r="E5768" t="str">
            <v>WN FLG</v>
          </cell>
          <cell r="F5768">
            <v>3</v>
          </cell>
          <cell r="G5768" t="str">
            <v>CB200204000300</v>
          </cell>
          <cell r="H5768">
            <v>3</v>
          </cell>
          <cell r="I5768" t="str">
            <v>--</v>
          </cell>
          <cell r="J5768">
            <v>2</v>
          </cell>
          <cell r="K5768" t="str">
            <v>-</v>
          </cell>
        </row>
        <row r="5769">
          <cell r="A5769" t="str">
            <v>UT</v>
          </cell>
          <cell r="B5769" t="str">
            <v>A5C</v>
          </cell>
          <cell r="C5769" t="str">
            <v>WW</v>
          </cell>
          <cell r="D5769" t="str">
            <v>003</v>
          </cell>
          <cell r="E5769" t="str">
            <v>WN FLG</v>
          </cell>
          <cell r="F5769">
            <v>3</v>
          </cell>
          <cell r="G5769" t="str">
            <v>CB200104000300</v>
          </cell>
          <cell r="H5769">
            <v>3</v>
          </cell>
          <cell r="I5769" t="str">
            <v>--</v>
          </cell>
          <cell r="J5769">
            <v>1</v>
          </cell>
          <cell r="K5769" t="str">
            <v>-</v>
          </cell>
        </row>
        <row r="5770">
          <cell r="A5770" t="str">
            <v>UT</v>
          </cell>
          <cell r="B5770" t="str">
            <v>B2C</v>
          </cell>
          <cell r="C5770" t="str">
            <v>SH</v>
          </cell>
          <cell r="D5770" t="str">
            <v>001</v>
          </cell>
          <cell r="E5770" t="str">
            <v>WN FLG</v>
          </cell>
          <cell r="F5770">
            <v>3</v>
          </cell>
          <cell r="G5770" t="str">
            <v>CB200204000400</v>
          </cell>
          <cell r="H5770">
            <v>4</v>
          </cell>
          <cell r="I5770" t="str">
            <v>--</v>
          </cell>
          <cell r="J5770">
            <v>3</v>
          </cell>
          <cell r="K5770" t="str">
            <v>-</v>
          </cell>
        </row>
        <row r="5771">
          <cell r="A5771" t="str">
            <v>UT</v>
          </cell>
          <cell r="B5771" t="str">
            <v>A5C</v>
          </cell>
          <cell r="C5771" t="str">
            <v>WW</v>
          </cell>
          <cell r="D5771" t="str">
            <v>002</v>
          </cell>
          <cell r="E5771" t="str">
            <v>WN FLG</v>
          </cell>
          <cell r="F5771">
            <v>3</v>
          </cell>
          <cell r="G5771" t="str">
            <v>CB200104000600</v>
          </cell>
          <cell r="H5771">
            <v>6</v>
          </cell>
          <cell r="I5771" t="str">
            <v>--</v>
          </cell>
          <cell r="J5771">
            <v>1</v>
          </cell>
          <cell r="K5771" t="str">
            <v>-</v>
          </cell>
        </row>
        <row r="5772">
          <cell r="A5772" t="str">
            <v>UT</v>
          </cell>
          <cell r="B5772" t="str">
            <v>B2C</v>
          </cell>
          <cell r="C5772" t="str">
            <v>SH</v>
          </cell>
          <cell r="D5772" t="str">
            <v>001</v>
          </cell>
          <cell r="E5772" t="str">
            <v>WN FLG</v>
          </cell>
          <cell r="F5772">
            <v>3</v>
          </cell>
          <cell r="G5772" t="str">
            <v>CB200204000800</v>
          </cell>
          <cell r="H5772">
            <v>8</v>
          </cell>
          <cell r="I5772" t="str">
            <v>--</v>
          </cell>
          <cell r="J5772">
            <v>2</v>
          </cell>
          <cell r="K5772" t="str">
            <v>-</v>
          </cell>
        </row>
        <row r="5773">
          <cell r="A5773" t="str">
            <v>UT</v>
          </cell>
          <cell r="B5773" t="str">
            <v>A5C</v>
          </cell>
          <cell r="C5773" t="str">
            <v>WW</v>
          </cell>
          <cell r="D5773" t="str">
            <v>002</v>
          </cell>
          <cell r="E5773" t="str">
            <v>WN FLG</v>
          </cell>
          <cell r="F5773">
            <v>3</v>
          </cell>
          <cell r="G5773" t="str">
            <v>CB200104000800</v>
          </cell>
          <cell r="H5773">
            <v>8</v>
          </cell>
          <cell r="I5773" t="str">
            <v>--</v>
          </cell>
          <cell r="J5773">
            <v>1</v>
          </cell>
          <cell r="K5773" t="str">
            <v>-</v>
          </cell>
        </row>
        <row r="5774">
          <cell r="A5774" t="str">
            <v>UT</v>
          </cell>
          <cell r="B5774" t="str">
            <v>A5C</v>
          </cell>
          <cell r="C5774" t="str">
            <v>WW</v>
          </cell>
          <cell r="D5774" t="str">
            <v>002</v>
          </cell>
          <cell r="E5774" t="str">
            <v>WN FLG</v>
          </cell>
          <cell r="F5774">
            <v>3</v>
          </cell>
          <cell r="G5774" t="str">
            <v>CB200104001200</v>
          </cell>
          <cell r="H5774">
            <v>12</v>
          </cell>
          <cell r="I5774" t="str">
            <v>--</v>
          </cell>
          <cell r="J5774">
            <v>2</v>
          </cell>
          <cell r="K5774" t="str">
            <v>-</v>
          </cell>
        </row>
        <row r="5775">
          <cell r="A5775" t="str">
            <v>UT</v>
          </cell>
          <cell r="B5775" t="str">
            <v>B2C</v>
          </cell>
          <cell r="C5775" t="str">
            <v>SH</v>
          </cell>
          <cell r="D5775" t="str">
            <v>001</v>
          </cell>
          <cell r="E5775" t="str">
            <v>WN FLG</v>
          </cell>
          <cell r="F5775">
            <v>3</v>
          </cell>
          <cell r="G5775" t="str">
            <v>CB200204001200</v>
          </cell>
          <cell r="H5775">
            <v>12</v>
          </cell>
          <cell r="I5775" t="str">
            <v>--</v>
          </cell>
          <cell r="J5775" t="str">
            <v>-</v>
          </cell>
          <cell r="K5775">
            <v>1</v>
          </cell>
        </row>
        <row r="5776">
          <cell r="A5776" t="str">
            <v>UT</v>
          </cell>
          <cell r="B5776" t="str">
            <v>A5C</v>
          </cell>
          <cell r="C5776" t="str">
            <v>WW</v>
          </cell>
          <cell r="D5776" t="str">
            <v>002</v>
          </cell>
          <cell r="E5776" t="str">
            <v>WN FLG</v>
          </cell>
          <cell r="F5776">
            <v>3</v>
          </cell>
          <cell r="G5776" t="str">
            <v>CB200104001200</v>
          </cell>
          <cell r="H5776">
            <v>12</v>
          </cell>
          <cell r="I5776" t="str">
            <v>--</v>
          </cell>
          <cell r="J5776" t="str">
            <v>-</v>
          </cell>
          <cell r="K5776">
            <v>1</v>
          </cell>
        </row>
        <row r="5777">
          <cell r="A5777" t="str">
            <v>UT</v>
          </cell>
          <cell r="B5777" t="str">
            <v>A5C</v>
          </cell>
          <cell r="C5777" t="str">
            <v>WW</v>
          </cell>
          <cell r="D5777" t="str">
            <v>002</v>
          </cell>
          <cell r="E5777" t="str">
            <v>WN FLG</v>
          </cell>
          <cell r="F5777">
            <v>3</v>
          </cell>
          <cell r="G5777" t="str">
            <v>CB200104002000</v>
          </cell>
          <cell r="H5777">
            <v>20</v>
          </cell>
          <cell r="I5777" t="str">
            <v>--</v>
          </cell>
          <cell r="J5777" t="str">
            <v>-</v>
          </cell>
          <cell r="K5777">
            <v>1</v>
          </cell>
        </row>
        <row r="5778">
          <cell r="A5778" t="str">
            <v>UT</v>
          </cell>
          <cell r="B5778" t="str">
            <v>B2C</v>
          </cell>
          <cell r="C5778" t="str">
            <v>SH</v>
          </cell>
          <cell r="D5778" t="str">
            <v>001</v>
          </cell>
          <cell r="E5778" t="str">
            <v>WN FLG</v>
          </cell>
          <cell r="F5778">
            <v>3</v>
          </cell>
          <cell r="G5778" t="str">
            <v>CB200204000400</v>
          </cell>
          <cell r="H5778">
            <v>4</v>
          </cell>
          <cell r="I5778" t="str">
            <v>--</v>
          </cell>
          <cell r="J5778" t="str">
            <v>-</v>
          </cell>
          <cell r="K5778">
            <v>3</v>
          </cell>
        </row>
        <row r="5779">
          <cell r="A5779" t="str">
            <v>UT</v>
          </cell>
          <cell r="B5779" t="str">
            <v>A5C</v>
          </cell>
          <cell r="C5779" t="str">
            <v>WW</v>
          </cell>
          <cell r="D5779" t="str">
            <v>003</v>
          </cell>
          <cell r="E5779" t="str">
            <v>WN FLG</v>
          </cell>
          <cell r="F5779">
            <v>3</v>
          </cell>
          <cell r="G5779" t="str">
            <v>CB200104000400</v>
          </cell>
          <cell r="H5779">
            <v>4</v>
          </cell>
          <cell r="I5779" t="str">
            <v>--</v>
          </cell>
          <cell r="J5779" t="str">
            <v>-</v>
          </cell>
          <cell r="K5779">
            <v>1</v>
          </cell>
        </row>
        <row r="5780">
          <cell r="A5780" t="str">
            <v>UT</v>
          </cell>
          <cell r="B5780" t="str">
            <v>A5C</v>
          </cell>
          <cell r="C5780" t="str">
            <v>WW</v>
          </cell>
          <cell r="D5780" t="str">
            <v>002</v>
          </cell>
          <cell r="E5780" t="str">
            <v>WN FLG</v>
          </cell>
          <cell r="F5780">
            <v>3</v>
          </cell>
          <cell r="G5780" t="str">
            <v>CB200104000600</v>
          </cell>
          <cell r="H5780">
            <v>6</v>
          </cell>
          <cell r="I5780" t="str">
            <v>--</v>
          </cell>
          <cell r="J5780" t="str">
            <v>-</v>
          </cell>
          <cell r="K5780">
            <v>1</v>
          </cell>
        </row>
        <row r="5781">
          <cell r="A5781" t="str">
            <v>UT</v>
          </cell>
          <cell r="B5781" t="str">
            <v>B2C</v>
          </cell>
          <cell r="C5781" t="str">
            <v>SH</v>
          </cell>
          <cell r="D5781" t="str">
            <v>001</v>
          </cell>
          <cell r="E5781" t="str">
            <v>WN FLG</v>
          </cell>
          <cell r="F5781">
            <v>3</v>
          </cell>
          <cell r="G5781" t="str">
            <v>CB200204000800</v>
          </cell>
          <cell r="H5781">
            <v>8</v>
          </cell>
          <cell r="I5781" t="str">
            <v>--</v>
          </cell>
          <cell r="J5781" t="str">
            <v>-</v>
          </cell>
          <cell r="K5781">
            <v>1</v>
          </cell>
        </row>
        <row r="5782">
          <cell r="A5782" t="str">
            <v>UT</v>
          </cell>
          <cell r="B5782" t="str">
            <v>A5C</v>
          </cell>
          <cell r="C5782" t="str">
            <v>WW</v>
          </cell>
          <cell r="D5782" t="str">
            <v>002</v>
          </cell>
          <cell r="E5782" t="str">
            <v>WN FLG</v>
          </cell>
          <cell r="F5782">
            <v>3</v>
          </cell>
          <cell r="G5782" t="str">
            <v>CB200104000800</v>
          </cell>
          <cell r="H5782">
            <v>8</v>
          </cell>
          <cell r="I5782" t="str">
            <v>--</v>
          </cell>
          <cell r="J5782" t="str">
            <v>-</v>
          </cell>
          <cell r="K5782">
            <v>1</v>
          </cell>
        </row>
        <row r="5783">
          <cell r="A5783" t="str">
            <v>UT</v>
          </cell>
          <cell r="B5783" t="str">
            <v>B2C</v>
          </cell>
          <cell r="C5783" t="str">
            <v>SCL</v>
          </cell>
          <cell r="D5783" t="str">
            <v>002</v>
          </cell>
          <cell r="E5783" t="str">
            <v>GATE VA</v>
          </cell>
          <cell r="F5783">
            <v>6</v>
          </cell>
          <cell r="G5783" t="str">
            <v>VG8010100000T00</v>
          </cell>
          <cell r="H5783">
            <v>0.75</v>
          </cell>
          <cell r="I5783" t="str">
            <v>--</v>
          </cell>
          <cell r="J5783" t="str">
            <v>-</v>
          </cell>
          <cell r="K5783">
            <v>3</v>
          </cell>
        </row>
        <row r="5784">
          <cell r="A5784" t="str">
            <v>UT</v>
          </cell>
          <cell r="B5784" t="str">
            <v>B2C</v>
          </cell>
          <cell r="C5784" t="str">
            <v>SCL</v>
          </cell>
          <cell r="D5784" t="str">
            <v>002</v>
          </cell>
          <cell r="E5784" t="str">
            <v>GATE VA</v>
          </cell>
          <cell r="F5784">
            <v>6</v>
          </cell>
          <cell r="G5784" t="str">
            <v>VG8010400000T00</v>
          </cell>
          <cell r="H5784">
            <v>0.75</v>
          </cell>
          <cell r="I5784" t="str">
            <v>--</v>
          </cell>
          <cell r="J5784" t="str">
            <v>-</v>
          </cell>
          <cell r="K5784">
            <v>3</v>
          </cell>
        </row>
        <row r="5785">
          <cell r="A5785" t="str">
            <v>UT</v>
          </cell>
          <cell r="B5785" t="str">
            <v>B2C</v>
          </cell>
          <cell r="C5785" t="str">
            <v>SH</v>
          </cell>
          <cell r="D5785" t="str">
            <v>001</v>
          </cell>
          <cell r="E5785" t="str">
            <v>GATE VA</v>
          </cell>
          <cell r="F5785">
            <v>6</v>
          </cell>
          <cell r="G5785" t="str">
            <v>VG8010100000T00</v>
          </cell>
          <cell r="H5785">
            <v>0.75</v>
          </cell>
          <cell r="I5785" t="str">
            <v>--</v>
          </cell>
          <cell r="J5785" t="str">
            <v>-</v>
          </cell>
          <cell r="K5785">
            <v>3</v>
          </cell>
        </row>
        <row r="5786">
          <cell r="A5786" t="str">
            <v>UT</v>
          </cell>
          <cell r="B5786" t="str">
            <v>B2C</v>
          </cell>
          <cell r="C5786" t="str">
            <v>SCL</v>
          </cell>
          <cell r="D5786" t="str">
            <v>002</v>
          </cell>
          <cell r="E5786" t="str">
            <v>GLOBE VA</v>
          </cell>
          <cell r="F5786">
            <v>6</v>
          </cell>
          <cell r="G5786" t="str">
            <v>VL8010100000T00</v>
          </cell>
          <cell r="H5786">
            <v>0.75</v>
          </cell>
          <cell r="I5786" t="str">
            <v>--</v>
          </cell>
          <cell r="J5786" t="str">
            <v>-</v>
          </cell>
          <cell r="K5786">
            <v>3</v>
          </cell>
        </row>
        <row r="5787">
          <cell r="A5787" t="str">
            <v>UT</v>
          </cell>
          <cell r="B5787" t="str">
            <v>B2C</v>
          </cell>
          <cell r="C5787" t="str">
            <v>SCL</v>
          </cell>
          <cell r="D5787" t="str">
            <v>002</v>
          </cell>
          <cell r="E5787" t="str">
            <v>GATE VA</v>
          </cell>
          <cell r="F5787">
            <v>6</v>
          </cell>
          <cell r="G5787" t="str">
            <v>VG8010400000T00</v>
          </cell>
          <cell r="H5787">
            <v>0.75</v>
          </cell>
          <cell r="I5787" t="str">
            <v>--</v>
          </cell>
          <cell r="J5787">
            <v>3</v>
          </cell>
          <cell r="K5787" t="str">
            <v>-</v>
          </cell>
        </row>
        <row r="5788">
          <cell r="A5788" t="str">
            <v>UT</v>
          </cell>
          <cell r="B5788" t="str">
            <v>B2C</v>
          </cell>
          <cell r="C5788" t="str">
            <v>SCL</v>
          </cell>
          <cell r="D5788" t="str">
            <v>002</v>
          </cell>
          <cell r="E5788" t="str">
            <v>GATE VA</v>
          </cell>
          <cell r="F5788">
            <v>6</v>
          </cell>
          <cell r="G5788" t="str">
            <v>VG8010100000T00</v>
          </cell>
          <cell r="H5788">
            <v>0.75</v>
          </cell>
          <cell r="I5788" t="str">
            <v>--</v>
          </cell>
          <cell r="J5788">
            <v>3</v>
          </cell>
          <cell r="K5788" t="str">
            <v>-</v>
          </cell>
        </row>
        <row r="5789">
          <cell r="A5789" t="str">
            <v>UT</v>
          </cell>
          <cell r="B5789" t="str">
            <v>B2C</v>
          </cell>
          <cell r="C5789" t="str">
            <v>SH</v>
          </cell>
          <cell r="D5789" t="str">
            <v>001</v>
          </cell>
          <cell r="E5789" t="str">
            <v>GATE VA</v>
          </cell>
          <cell r="F5789">
            <v>6</v>
          </cell>
          <cell r="G5789" t="str">
            <v>VG8010100000T00</v>
          </cell>
          <cell r="H5789">
            <v>0.75</v>
          </cell>
          <cell r="I5789" t="str">
            <v>--</v>
          </cell>
          <cell r="J5789">
            <v>3</v>
          </cell>
          <cell r="K5789" t="str">
            <v>-</v>
          </cell>
        </row>
        <row r="5790">
          <cell r="A5790" t="str">
            <v>UT</v>
          </cell>
          <cell r="B5790" t="str">
            <v>B2C</v>
          </cell>
          <cell r="C5790" t="str">
            <v>SH</v>
          </cell>
          <cell r="D5790" t="str">
            <v>001</v>
          </cell>
          <cell r="E5790" t="str">
            <v>GATE VA</v>
          </cell>
          <cell r="F5790">
            <v>6</v>
          </cell>
          <cell r="G5790" t="str">
            <v>VG8010400000T00</v>
          </cell>
          <cell r="H5790">
            <v>0.75</v>
          </cell>
          <cell r="I5790" t="str">
            <v>--</v>
          </cell>
          <cell r="J5790" t="str">
            <v>-</v>
          </cell>
          <cell r="K5790">
            <v>9</v>
          </cell>
        </row>
        <row r="5791">
          <cell r="A5791" t="str">
            <v>UT</v>
          </cell>
          <cell r="B5791" t="str">
            <v>B2C</v>
          </cell>
          <cell r="C5791" t="str">
            <v>SH</v>
          </cell>
          <cell r="D5791" t="str">
            <v>001</v>
          </cell>
          <cell r="E5791" t="str">
            <v>GATE VA</v>
          </cell>
          <cell r="F5791">
            <v>6</v>
          </cell>
          <cell r="G5791" t="str">
            <v>VG8010400000T00</v>
          </cell>
          <cell r="H5791">
            <v>0.75</v>
          </cell>
          <cell r="I5791" t="str">
            <v>--</v>
          </cell>
          <cell r="J5791">
            <v>9</v>
          </cell>
          <cell r="K5791" t="str">
            <v>-</v>
          </cell>
        </row>
        <row r="5792">
          <cell r="A5792" t="str">
            <v>UT</v>
          </cell>
          <cell r="B5792" t="str">
            <v>B2C</v>
          </cell>
          <cell r="C5792" t="str">
            <v>SCL</v>
          </cell>
          <cell r="D5792" t="str">
            <v>002</v>
          </cell>
          <cell r="E5792" t="str">
            <v>GLOBE VA</v>
          </cell>
          <cell r="F5792">
            <v>6</v>
          </cell>
          <cell r="G5792" t="str">
            <v>VL8010100000T00</v>
          </cell>
          <cell r="H5792">
            <v>0.75</v>
          </cell>
          <cell r="I5792" t="str">
            <v>--</v>
          </cell>
          <cell r="J5792">
            <v>3</v>
          </cell>
          <cell r="K5792" t="str">
            <v>-</v>
          </cell>
        </row>
        <row r="5793">
          <cell r="A5793" t="str">
            <v>UT</v>
          </cell>
          <cell r="B5793" t="str">
            <v>CA307</v>
          </cell>
          <cell r="C5793" t="str">
            <v>P</v>
          </cell>
          <cell r="D5793" t="str">
            <v>HOLD7</v>
          </cell>
          <cell r="E5793" t="str">
            <v>BELLOWS VA</v>
          </cell>
          <cell r="F5793">
            <v>6</v>
          </cell>
          <cell r="G5793" t="str">
            <v>VBE8010500000T00</v>
          </cell>
          <cell r="H5793">
            <v>0.75</v>
          </cell>
          <cell r="I5793" t="str">
            <v>--</v>
          </cell>
          <cell r="J5793" t="str">
            <v>-</v>
          </cell>
          <cell r="K5793">
            <v>1</v>
          </cell>
        </row>
        <row r="5794">
          <cell r="A5794" t="str">
            <v>UT</v>
          </cell>
          <cell r="B5794" t="str">
            <v>CA307</v>
          </cell>
          <cell r="C5794" t="str">
            <v>P</v>
          </cell>
          <cell r="D5794" t="str">
            <v>HOLD7</v>
          </cell>
          <cell r="E5794" t="str">
            <v>BELLOWS VA</v>
          </cell>
          <cell r="F5794">
            <v>6</v>
          </cell>
          <cell r="G5794" t="str">
            <v>VBE8010500000T00</v>
          </cell>
          <cell r="H5794">
            <v>0.75</v>
          </cell>
          <cell r="I5794" t="str">
            <v>--</v>
          </cell>
          <cell r="J5794">
            <v>1</v>
          </cell>
          <cell r="K5794" t="str">
            <v>-</v>
          </cell>
        </row>
        <row r="5795">
          <cell r="A5795" t="str">
            <v>UT</v>
          </cell>
          <cell r="B5795" t="str">
            <v>A5C</v>
          </cell>
          <cell r="C5795" t="str">
            <v>P</v>
          </cell>
          <cell r="D5795" t="str">
            <v>HOLD4</v>
          </cell>
          <cell r="E5795" t="str">
            <v>BALL VA</v>
          </cell>
          <cell r="F5795">
            <v>6</v>
          </cell>
          <cell r="G5795" t="str">
            <v>VB8010600000T00</v>
          </cell>
          <cell r="H5795">
            <v>0.75</v>
          </cell>
          <cell r="I5795" t="str">
            <v>--</v>
          </cell>
          <cell r="J5795" t="str">
            <v>-</v>
          </cell>
          <cell r="K5795">
            <v>1</v>
          </cell>
        </row>
        <row r="5796">
          <cell r="A5796" t="str">
            <v>UT</v>
          </cell>
          <cell r="B5796" t="str">
            <v>A5C</v>
          </cell>
          <cell r="C5796" t="str">
            <v>P</v>
          </cell>
          <cell r="D5796" t="str">
            <v>HOLD6</v>
          </cell>
          <cell r="E5796" t="str">
            <v>BALL VA</v>
          </cell>
          <cell r="F5796">
            <v>6</v>
          </cell>
          <cell r="G5796" t="str">
            <v>VB8010600000T00</v>
          </cell>
          <cell r="H5796">
            <v>0.75</v>
          </cell>
          <cell r="I5796" t="str">
            <v>--</v>
          </cell>
          <cell r="J5796" t="str">
            <v>-</v>
          </cell>
          <cell r="K5796">
            <v>1</v>
          </cell>
        </row>
        <row r="5797">
          <cell r="A5797" t="str">
            <v>UT</v>
          </cell>
          <cell r="B5797" t="str">
            <v>CA307</v>
          </cell>
          <cell r="C5797" t="str">
            <v>HCLG</v>
          </cell>
          <cell r="D5797" t="str">
            <v>1100</v>
          </cell>
          <cell r="E5797" t="str">
            <v>BELLOWS VA</v>
          </cell>
          <cell r="F5797">
            <v>6</v>
          </cell>
          <cell r="G5797" t="str">
            <v>VBE8010500000T00</v>
          </cell>
          <cell r="H5797">
            <v>0.75</v>
          </cell>
          <cell r="I5797" t="str">
            <v>--</v>
          </cell>
          <cell r="J5797" t="str">
            <v>-</v>
          </cell>
          <cell r="K5797">
            <v>1</v>
          </cell>
        </row>
        <row r="5798">
          <cell r="A5798" t="str">
            <v>UT</v>
          </cell>
          <cell r="B5798" t="str">
            <v>A5C</v>
          </cell>
          <cell r="C5798" t="str">
            <v>P</v>
          </cell>
          <cell r="D5798" t="str">
            <v>HOLD1</v>
          </cell>
          <cell r="E5798" t="str">
            <v>BALL VA</v>
          </cell>
          <cell r="F5798">
            <v>6</v>
          </cell>
          <cell r="G5798" t="str">
            <v>VB8010600000T00</v>
          </cell>
          <cell r="H5798">
            <v>0.75</v>
          </cell>
          <cell r="I5798" t="str">
            <v>--</v>
          </cell>
          <cell r="J5798" t="str">
            <v>-</v>
          </cell>
          <cell r="K5798">
            <v>2</v>
          </cell>
        </row>
        <row r="5799">
          <cell r="A5799" t="str">
            <v>UT</v>
          </cell>
          <cell r="B5799" t="str">
            <v>A5C</v>
          </cell>
          <cell r="C5799" t="str">
            <v>P</v>
          </cell>
          <cell r="D5799" t="str">
            <v>HOLD3</v>
          </cell>
          <cell r="E5799" t="str">
            <v>BALL VA</v>
          </cell>
          <cell r="F5799">
            <v>6</v>
          </cell>
          <cell r="G5799" t="str">
            <v>VB8010600000T00</v>
          </cell>
          <cell r="H5799">
            <v>0.75</v>
          </cell>
          <cell r="I5799" t="str">
            <v>--</v>
          </cell>
          <cell r="J5799" t="str">
            <v>-</v>
          </cell>
          <cell r="K5799">
            <v>2</v>
          </cell>
        </row>
        <row r="5800">
          <cell r="A5800" t="str">
            <v>UT</v>
          </cell>
          <cell r="B5800" t="str">
            <v>A5C</v>
          </cell>
          <cell r="C5800" t="str">
            <v>P</v>
          </cell>
          <cell r="D5800" t="str">
            <v>HOLD2</v>
          </cell>
          <cell r="E5800" t="str">
            <v>BALL VA</v>
          </cell>
          <cell r="F5800">
            <v>6</v>
          </cell>
          <cell r="G5800" t="str">
            <v>VB8010600000T00</v>
          </cell>
          <cell r="H5800">
            <v>0.75</v>
          </cell>
          <cell r="I5800" t="str">
            <v>--</v>
          </cell>
          <cell r="J5800" t="str">
            <v>-</v>
          </cell>
          <cell r="K5800">
            <v>4</v>
          </cell>
        </row>
        <row r="5801">
          <cell r="A5801" t="str">
            <v>UT</v>
          </cell>
          <cell r="B5801" t="str">
            <v>A5C</v>
          </cell>
          <cell r="C5801" t="str">
            <v>P</v>
          </cell>
          <cell r="D5801" t="str">
            <v>HOLD5</v>
          </cell>
          <cell r="E5801" t="str">
            <v>BALL VA</v>
          </cell>
          <cell r="F5801">
            <v>6</v>
          </cell>
          <cell r="G5801" t="str">
            <v>VB8010600000T00</v>
          </cell>
          <cell r="H5801">
            <v>0.75</v>
          </cell>
          <cell r="I5801" t="str">
            <v>--</v>
          </cell>
          <cell r="J5801" t="str">
            <v>-</v>
          </cell>
          <cell r="K5801">
            <v>4</v>
          </cell>
        </row>
        <row r="5802">
          <cell r="A5802" t="str">
            <v>UT</v>
          </cell>
          <cell r="B5802" t="str">
            <v>A5C</v>
          </cell>
          <cell r="C5802" t="str">
            <v>P</v>
          </cell>
          <cell r="D5802" t="str">
            <v>HOLD1</v>
          </cell>
          <cell r="E5802" t="str">
            <v>BALL VA</v>
          </cell>
          <cell r="F5802">
            <v>6</v>
          </cell>
          <cell r="G5802" t="str">
            <v>VB8010600000T00</v>
          </cell>
          <cell r="H5802">
            <v>0.75</v>
          </cell>
          <cell r="I5802" t="str">
            <v>--</v>
          </cell>
          <cell r="J5802">
            <v>2</v>
          </cell>
          <cell r="K5802" t="str">
            <v>-</v>
          </cell>
        </row>
        <row r="5803">
          <cell r="A5803" t="str">
            <v>UT</v>
          </cell>
          <cell r="B5803" t="str">
            <v>A5C</v>
          </cell>
          <cell r="C5803" t="str">
            <v>P</v>
          </cell>
          <cell r="D5803" t="str">
            <v>HOLD2</v>
          </cell>
          <cell r="E5803" t="str">
            <v>BALL VA</v>
          </cell>
          <cell r="F5803">
            <v>6</v>
          </cell>
          <cell r="G5803" t="str">
            <v>VB8010600000T00</v>
          </cell>
          <cell r="H5803">
            <v>0.75</v>
          </cell>
          <cell r="I5803" t="str">
            <v>--</v>
          </cell>
          <cell r="J5803">
            <v>4</v>
          </cell>
          <cell r="K5803" t="str">
            <v>-</v>
          </cell>
        </row>
        <row r="5804">
          <cell r="A5804" t="str">
            <v>UT</v>
          </cell>
          <cell r="B5804" t="str">
            <v>A5C</v>
          </cell>
          <cell r="C5804" t="str">
            <v>P</v>
          </cell>
          <cell r="D5804" t="str">
            <v>HOLD3</v>
          </cell>
          <cell r="E5804" t="str">
            <v>BALL VA</v>
          </cell>
          <cell r="F5804">
            <v>6</v>
          </cell>
          <cell r="G5804" t="str">
            <v>VB8010600000T00</v>
          </cell>
          <cell r="H5804">
            <v>0.75</v>
          </cell>
          <cell r="I5804" t="str">
            <v>--</v>
          </cell>
          <cell r="J5804">
            <v>2</v>
          </cell>
          <cell r="K5804" t="str">
            <v>-</v>
          </cell>
        </row>
        <row r="5805">
          <cell r="A5805" t="str">
            <v>UT</v>
          </cell>
          <cell r="B5805" t="str">
            <v>A5C</v>
          </cell>
          <cell r="C5805" t="str">
            <v>P</v>
          </cell>
          <cell r="D5805" t="str">
            <v>HOLD4</v>
          </cell>
          <cell r="E5805" t="str">
            <v>BALL VA</v>
          </cell>
          <cell r="F5805">
            <v>6</v>
          </cell>
          <cell r="G5805" t="str">
            <v>VB8010600000T00</v>
          </cell>
          <cell r="H5805">
            <v>0.75</v>
          </cell>
          <cell r="I5805" t="str">
            <v>--</v>
          </cell>
          <cell r="J5805">
            <v>1</v>
          </cell>
          <cell r="K5805" t="str">
            <v>-</v>
          </cell>
        </row>
        <row r="5806">
          <cell r="A5806" t="str">
            <v>UT</v>
          </cell>
          <cell r="B5806" t="str">
            <v>A5C</v>
          </cell>
          <cell r="C5806" t="str">
            <v>P</v>
          </cell>
          <cell r="D5806" t="str">
            <v>HOLD5</v>
          </cell>
          <cell r="E5806" t="str">
            <v>BALL VA</v>
          </cell>
          <cell r="F5806">
            <v>6</v>
          </cell>
          <cell r="G5806" t="str">
            <v>VB8010600000T00</v>
          </cell>
          <cell r="H5806">
            <v>0.75</v>
          </cell>
          <cell r="I5806" t="str">
            <v>--</v>
          </cell>
          <cell r="J5806">
            <v>4</v>
          </cell>
          <cell r="K5806" t="str">
            <v>-</v>
          </cell>
        </row>
        <row r="5807">
          <cell r="A5807" t="str">
            <v>UT</v>
          </cell>
          <cell r="B5807" t="str">
            <v>A5C</v>
          </cell>
          <cell r="C5807" t="str">
            <v>P</v>
          </cell>
          <cell r="D5807" t="str">
            <v>HOLD6</v>
          </cell>
          <cell r="E5807" t="str">
            <v>BALL VA</v>
          </cell>
          <cell r="F5807">
            <v>6</v>
          </cell>
          <cell r="G5807" t="str">
            <v>VB8010600000T00</v>
          </cell>
          <cell r="H5807">
            <v>0.75</v>
          </cell>
          <cell r="I5807" t="str">
            <v>--</v>
          </cell>
          <cell r="J5807">
            <v>1</v>
          </cell>
          <cell r="K5807" t="str">
            <v>-</v>
          </cell>
        </row>
        <row r="5808">
          <cell r="A5808" t="str">
            <v>UT</v>
          </cell>
          <cell r="B5808" t="str">
            <v>CA307</v>
          </cell>
          <cell r="C5808" t="str">
            <v>HCLG</v>
          </cell>
          <cell r="D5808" t="str">
            <v>1100</v>
          </cell>
          <cell r="E5808" t="str">
            <v>BELLOWS VA</v>
          </cell>
          <cell r="F5808">
            <v>6</v>
          </cell>
          <cell r="G5808" t="str">
            <v>VBE8010500000T00</v>
          </cell>
          <cell r="H5808">
            <v>0.75</v>
          </cell>
          <cell r="I5808" t="str">
            <v>--</v>
          </cell>
          <cell r="J5808">
            <v>1</v>
          </cell>
          <cell r="K5808" t="str">
            <v>-</v>
          </cell>
        </row>
        <row r="5809">
          <cell r="A5809" t="str">
            <v>UT</v>
          </cell>
          <cell r="B5809" t="str">
            <v>A5C</v>
          </cell>
          <cell r="C5809" t="str">
            <v>WW</v>
          </cell>
          <cell r="D5809" t="str">
            <v>003</v>
          </cell>
          <cell r="E5809" t="str">
            <v>GATE VA</v>
          </cell>
          <cell r="F5809">
            <v>6</v>
          </cell>
          <cell r="G5809" t="str">
            <v>VG8010100000T00</v>
          </cell>
          <cell r="H5809">
            <v>0.75</v>
          </cell>
          <cell r="I5809" t="str">
            <v>--</v>
          </cell>
          <cell r="J5809" t="str">
            <v>-</v>
          </cell>
          <cell r="K5809">
            <v>1</v>
          </cell>
        </row>
        <row r="5810">
          <cell r="A5810" t="str">
            <v>UT</v>
          </cell>
          <cell r="B5810" t="str">
            <v>A5C</v>
          </cell>
          <cell r="C5810" t="str">
            <v>WW</v>
          </cell>
          <cell r="D5810" t="str">
            <v>003</v>
          </cell>
          <cell r="E5810" t="str">
            <v>GATE VA</v>
          </cell>
          <cell r="F5810">
            <v>6</v>
          </cell>
          <cell r="G5810" t="str">
            <v>VG8010100000T00</v>
          </cell>
          <cell r="H5810">
            <v>0.75</v>
          </cell>
          <cell r="I5810" t="str">
            <v>--</v>
          </cell>
          <cell r="J5810">
            <v>1</v>
          </cell>
          <cell r="K5810" t="str">
            <v>-</v>
          </cell>
        </row>
        <row r="5811">
          <cell r="A5811" t="str">
            <v>UT</v>
          </cell>
          <cell r="B5811" t="str">
            <v>A5C</v>
          </cell>
          <cell r="C5811" t="str">
            <v>WW</v>
          </cell>
          <cell r="D5811" t="str">
            <v>002</v>
          </cell>
          <cell r="E5811" t="str">
            <v>GATE VA</v>
          </cell>
          <cell r="F5811">
            <v>6</v>
          </cell>
          <cell r="G5811" t="str">
            <v>VG8010400000T00</v>
          </cell>
          <cell r="H5811">
            <v>0.75</v>
          </cell>
          <cell r="I5811" t="str">
            <v>--</v>
          </cell>
          <cell r="J5811" t="str">
            <v>-</v>
          </cell>
          <cell r="K5811">
            <v>4</v>
          </cell>
        </row>
        <row r="5812">
          <cell r="A5812" t="str">
            <v>UT</v>
          </cell>
          <cell r="B5812" t="str">
            <v>A5C</v>
          </cell>
          <cell r="C5812" t="str">
            <v>WW</v>
          </cell>
          <cell r="D5812" t="str">
            <v>002</v>
          </cell>
          <cell r="E5812" t="str">
            <v>GATE VA</v>
          </cell>
          <cell r="F5812">
            <v>6</v>
          </cell>
          <cell r="G5812" t="str">
            <v>VG8010400000T00</v>
          </cell>
          <cell r="H5812">
            <v>0.75</v>
          </cell>
          <cell r="I5812" t="str">
            <v>--</v>
          </cell>
          <cell r="J5812">
            <v>4</v>
          </cell>
          <cell r="K5812" t="str">
            <v>-</v>
          </cell>
        </row>
        <row r="5813">
          <cell r="A5813" t="str">
            <v>UT</v>
          </cell>
          <cell r="B5813" t="str">
            <v>B2C</v>
          </cell>
          <cell r="C5813" t="str">
            <v>SCL</v>
          </cell>
          <cell r="D5813" t="str">
            <v>002</v>
          </cell>
          <cell r="E5813" t="str">
            <v>STEAM TRAP</v>
          </cell>
          <cell r="F5813">
            <v>7</v>
          </cell>
          <cell r="G5813" t="str">
            <v>SP-05-100000T00</v>
          </cell>
          <cell r="H5813">
            <v>0.75</v>
          </cell>
          <cell r="I5813" t="str">
            <v>--</v>
          </cell>
          <cell r="J5813" t="str">
            <v>-</v>
          </cell>
          <cell r="K5813">
            <v>3</v>
          </cell>
        </row>
        <row r="5814">
          <cell r="A5814" t="str">
            <v>UT</v>
          </cell>
          <cell r="B5814" t="str">
            <v>B2C</v>
          </cell>
          <cell r="C5814" t="str">
            <v>SCL</v>
          </cell>
          <cell r="D5814" t="str">
            <v>002</v>
          </cell>
          <cell r="E5814" t="str">
            <v>STEAM TRAP</v>
          </cell>
          <cell r="F5814">
            <v>7</v>
          </cell>
          <cell r="G5814" t="str">
            <v>SP-05-100000T00</v>
          </cell>
          <cell r="H5814">
            <v>0.75</v>
          </cell>
          <cell r="I5814" t="str">
            <v>--</v>
          </cell>
          <cell r="J5814">
            <v>3</v>
          </cell>
          <cell r="K5814" t="str">
            <v>-</v>
          </cell>
        </row>
        <row r="5815">
          <cell r="A5815" t="str">
            <v>M1</v>
          </cell>
          <cell r="B5815" t="str">
            <v>A5C</v>
          </cell>
          <cell r="C5815" t="str">
            <v>SCD</v>
          </cell>
          <cell r="D5815" t="str">
            <v>HOLD1</v>
          </cell>
          <cell r="E5815" t="str">
            <v>C SWG</v>
          </cell>
          <cell r="F5815">
            <v>2</v>
          </cell>
          <cell r="G5815" t="str">
            <v>CB161308080H0Q</v>
          </cell>
          <cell r="H5815">
            <v>0.25</v>
          </cell>
          <cell r="I5815" t="str">
            <v>-</v>
          </cell>
          <cell r="J5815">
            <v>2</v>
          </cell>
          <cell r="K5815">
            <v>2</v>
          </cell>
        </row>
        <row r="5816">
          <cell r="A5816" t="str">
            <v>M1</v>
          </cell>
          <cell r="B5816" t="str">
            <v>A5C</v>
          </cell>
          <cell r="C5816" t="str">
            <v>SCC</v>
          </cell>
          <cell r="D5816" t="str">
            <v>HOLD1</v>
          </cell>
          <cell r="E5816" t="str">
            <v>C SWG</v>
          </cell>
          <cell r="F5816">
            <v>2</v>
          </cell>
          <cell r="G5816" t="str">
            <v>CB161308080H0Q</v>
          </cell>
          <cell r="H5816">
            <v>0.25</v>
          </cell>
          <cell r="I5816" t="str">
            <v>-</v>
          </cell>
          <cell r="J5816">
            <v>3</v>
          </cell>
          <cell r="K5816">
            <v>3</v>
          </cell>
        </row>
        <row r="5817">
          <cell r="A5817" t="str">
            <v>M1</v>
          </cell>
          <cell r="B5817" t="str">
            <v>A5C</v>
          </cell>
          <cell r="C5817" t="str">
            <v>P</v>
          </cell>
          <cell r="D5817" t="str">
            <v>22065</v>
          </cell>
          <cell r="E5817" t="str">
            <v>C SWG</v>
          </cell>
          <cell r="F5817">
            <v>2</v>
          </cell>
          <cell r="G5817" t="str">
            <v>CB161108080T0H</v>
          </cell>
          <cell r="H5817">
            <v>0.5</v>
          </cell>
          <cell r="I5817" t="str">
            <v>-</v>
          </cell>
          <cell r="J5817">
            <v>1</v>
          </cell>
          <cell r="K5817">
            <v>1</v>
          </cell>
        </row>
        <row r="5818">
          <cell r="A5818" t="str">
            <v>M1</v>
          </cell>
          <cell r="B5818" t="str">
            <v>A5C</v>
          </cell>
          <cell r="C5818" t="str">
            <v>SCD</v>
          </cell>
          <cell r="D5818" t="str">
            <v>HOLD1</v>
          </cell>
          <cell r="E5818" t="str">
            <v>C SWG</v>
          </cell>
          <cell r="F5818">
            <v>2</v>
          </cell>
          <cell r="G5818" t="str">
            <v>CB161308080T0Q</v>
          </cell>
          <cell r="H5818">
            <v>0.25</v>
          </cell>
          <cell r="I5818" t="str">
            <v>-</v>
          </cell>
          <cell r="J5818">
            <v>2</v>
          </cell>
          <cell r="K5818">
            <v>2</v>
          </cell>
        </row>
        <row r="5819">
          <cell r="A5819" t="str">
            <v>M1</v>
          </cell>
          <cell r="B5819" t="str">
            <v>A5C</v>
          </cell>
          <cell r="C5819" t="str">
            <v>SCD</v>
          </cell>
          <cell r="D5819" t="str">
            <v>HOLD1</v>
          </cell>
          <cell r="E5819" t="str">
            <v>C SWG</v>
          </cell>
          <cell r="F5819">
            <v>2</v>
          </cell>
          <cell r="G5819" t="str">
            <v>CB161108080T0H</v>
          </cell>
          <cell r="H5819">
            <v>0.5</v>
          </cell>
          <cell r="I5819" t="str">
            <v>-</v>
          </cell>
          <cell r="J5819">
            <v>2</v>
          </cell>
          <cell r="K5819">
            <v>2</v>
          </cell>
        </row>
        <row r="5820">
          <cell r="A5820" t="str">
            <v>M1</v>
          </cell>
          <cell r="B5820" t="str">
            <v>A5C</v>
          </cell>
          <cell r="C5820" t="str">
            <v>SCC</v>
          </cell>
          <cell r="D5820" t="str">
            <v>HOLD1</v>
          </cell>
          <cell r="E5820" t="str">
            <v>C SWG</v>
          </cell>
          <cell r="F5820">
            <v>2</v>
          </cell>
          <cell r="G5820" t="str">
            <v>CB161308080T0Q</v>
          </cell>
          <cell r="H5820">
            <v>0.25</v>
          </cell>
          <cell r="I5820" t="str">
            <v>-</v>
          </cell>
          <cell r="J5820">
            <v>3</v>
          </cell>
          <cell r="K5820">
            <v>3</v>
          </cell>
        </row>
        <row r="5821">
          <cell r="A5821" t="str">
            <v>M1</v>
          </cell>
          <cell r="B5821" t="str">
            <v>A5C</v>
          </cell>
          <cell r="C5821" t="str">
            <v>SCC</v>
          </cell>
          <cell r="D5821" t="str">
            <v>HOLD1</v>
          </cell>
          <cell r="E5821" t="str">
            <v>C SWG</v>
          </cell>
          <cell r="F5821">
            <v>2</v>
          </cell>
          <cell r="G5821" t="str">
            <v>CB161108080T0H</v>
          </cell>
          <cell r="H5821">
            <v>0.5</v>
          </cell>
          <cell r="I5821" t="str">
            <v>-</v>
          </cell>
          <cell r="J5821">
            <v>3</v>
          </cell>
          <cell r="K5821">
            <v>3</v>
          </cell>
        </row>
        <row r="5822">
          <cell r="A5822" t="str">
            <v>M1</v>
          </cell>
          <cell r="B5822" t="str">
            <v>A5C</v>
          </cell>
          <cell r="C5822" t="str">
            <v>P</v>
          </cell>
          <cell r="D5822" t="str">
            <v>22065</v>
          </cell>
          <cell r="E5822" t="str">
            <v>R TEE</v>
          </cell>
          <cell r="F5822">
            <v>2</v>
          </cell>
          <cell r="G5822" t="str">
            <v>CB400400000T0H</v>
          </cell>
          <cell r="H5822">
            <v>0.5</v>
          </cell>
          <cell r="I5822" t="str">
            <v>-</v>
          </cell>
          <cell r="J5822">
            <v>1</v>
          </cell>
          <cell r="K5822">
            <v>1</v>
          </cell>
        </row>
        <row r="5823">
          <cell r="A5823" t="str">
            <v>M1</v>
          </cell>
          <cell r="B5823" t="str">
            <v>A5C</v>
          </cell>
          <cell r="C5823" t="str">
            <v>SCC</v>
          </cell>
          <cell r="D5823" t="str">
            <v>HOLD1</v>
          </cell>
          <cell r="E5823" t="str">
            <v>R TEE</v>
          </cell>
          <cell r="F5823">
            <v>2</v>
          </cell>
          <cell r="G5823" t="str">
            <v>CB400400000T0H</v>
          </cell>
          <cell r="H5823">
            <v>0.5</v>
          </cell>
          <cell r="I5823" t="str">
            <v>-</v>
          </cell>
          <cell r="J5823">
            <v>3</v>
          </cell>
          <cell r="K5823">
            <v>3</v>
          </cell>
        </row>
        <row r="5824">
          <cell r="A5824" t="str">
            <v>M1</v>
          </cell>
          <cell r="B5824" t="str">
            <v>A5C</v>
          </cell>
          <cell r="C5824" t="str">
            <v>SCD</v>
          </cell>
          <cell r="D5824" t="str">
            <v>HOLD1</v>
          </cell>
          <cell r="E5824" t="str">
            <v>R TEE</v>
          </cell>
          <cell r="F5824">
            <v>2</v>
          </cell>
          <cell r="G5824" t="str">
            <v>CB400400000T0H</v>
          </cell>
          <cell r="H5824">
            <v>0.5</v>
          </cell>
          <cell r="I5824" t="str">
            <v>-</v>
          </cell>
          <cell r="J5824">
            <v>2</v>
          </cell>
          <cell r="K5824">
            <v>2</v>
          </cell>
        </row>
        <row r="5825">
          <cell r="A5825" t="str">
            <v>M1</v>
          </cell>
          <cell r="B5825" t="str">
            <v>A6C</v>
          </cell>
          <cell r="C5825" t="str">
            <v>HOR</v>
          </cell>
          <cell r="D5825" t="str">
            <v>65620</v>
          </cell>
          <cell r="E5825" t="str">
            <v>C SWG</v>
          </cell>
          <cell r="F5825">
            <v>2</v>
          </cell>
          <cell r="G5825" t="str">
            <v>CB161308080T0Q</v>
          </cell>
          <cell r="H5825">
            <v>0.25</v>
          </cell>
          <cell r="I5825" t="str">
            <v>-</v>
          </cell>
          <cell r="J5825">
            <v>1</v>
          </cell>
          <cell r="K5825">
            <v>1</v>
          </cell>
        </row>
        <row r="5826">
          <cell r="A5826" t="str">
            <v>M1</v>
          </cell>
          <cell r="B5826" t="str">
            <v>A5C</v>
          </cell>
          <cell r="C5826" t="str">
            <v>N</v>
          </cell>
          <cell r="D5826" t="str">
            <v>22670</v>
          </cell>
          <cell r="E5826" t="str">
            <v>C SWG</v>
          </cell>
          <cell r="F5826">
            <v>2</v>
          </cell>
          <cell r="G5826" t="str">
            <v>CB16110808010T</v>
          </cell>
          <cell r="H5826">
            <v>0.75</v>
          </cell>
          <cell r="I5826" t="str">
            <v>-</v>
          </cell>
          <cell r="J5826">
            <v>1</v>
          </cell>
          <cell r="K5826">
            <v>1</v>
          </cell>
        </row>
        <row r="5827">
          <cell r="A5827" t="str">
            <v>M1</v>
          </cell>
          <cell r="B5827" t="str">
            <v>A5C</v>
          </cell>
          <cell r="C5827" t="str">
            <v>P</v>
          </cell>
          <cell r="D5827" t="str">
            <v>24029</v>
          </cell>
          <cell r="E5827" t="str">
            <v>C SWG</v>
          </cell>
          <cell r="F5827">
            <v>2</v>
          </cell>
          <cell r="G5827" t="str">
            <v>CB16110808010T</v>
          </cell>
          <cell r="H5827">
            <v>0.75</v>
          </cell>
          <cell r="I5827" t="str">
            <v>-</v>
          </cell>
          <cell r="J5827">
            <v>1</v>
          </cell>
          <cell r="K5827">
            <v>1</v>
          </cell>
        </row>
        <row r="5828">
          <cell r="A5828" t="str">
            <v>M1</v>
          </cell>
          <cell r="B5828" t="str">
            <v>A5C</v>
          </cell>
          <cell r="C5828" t="str">
            <v>TRIM</v>
          </cell>
          <cell r="D5828" t="str">
            <v>V-2206</v>
          </cell>
          <cell r="E5828" t="str">
            <v>C SWG</v>
          </cell>
          <cell r="F5828">
            <v>2</v>
          </cell>
          <cell r="G5828" t="str">
            <v>CB16110808010T</v>
          </cell>
          <cell r="H5828">
            <v>0.75</v>
          </cell>
          <cell r="I5828" t="str">
            <v>-</v>
          </cell>
          <cell r="J5828">
            <v>1</v>
          </cell>
          <cell r="K5828">
            <v>1</v>
          </cell>
        </row>
        <row r="5829">
          <cell r="A5829" t="str">
            <v>M1</v>
          </cell>
          <cell r="B5829" t="str">
            <v>A5C</v>
          </cell>
          <cell r="C5829" t="str">
            <v>N</v>
          </cell>
          <cell r="D5829" t="str">
            <v>22670</v>
          </cell>
          <cell r="E5829" t="str">
            <v>C SWG</v>
          </cell>
          <cell r="F5829">
            <v>2</v>
          </cell>
          <cell r="G5829" t="str">
            <v>CB16110808010H</v>
          </cell>
          <cell r="H5829">
            <v>0.5</v>
          </cell>
          <cell r="I5829" t="str">
            <v>-</v>
          </cell>
          <cell r="J5829">
            <v>4</v>
          </cell>
          <cell r="K5829">
            <v>4</v>
          </cell>
        </row>
        <row r="5830">
          <cell r="A5830" t="str">
            <v>M1</v>
          </cell>
          <cell r="B5830" t="str">
            <v>A5C</v>
          </cell>
          <cell r="C5830" t="str">
            <v>P</v>
          </cell>
          <cell r="D5830" t="str">
            <v>22103</v>
          </cell>
          <cell r="E5830" t="str">
            <v>R TEE</v>
          </cell>
          <cell r="F5830">
            <v>2</v>
          </cell>
          <cell r="G5830" t="str">
            <v>CB40040000010T</v>
          </cell>
          <cell r="H5830">
            <v>0.75</v>
          </cell>
          <cell r="I5830" t="str">
            <v>-</v>
          </cell>
          <cell r="J5830">
            <v>1</v>
          </cell>
          <cell r="K5830">
            <v>1</v>
          </cell>
        </row>
        <row r="5831">
          <cell r="A5831" t="str">
            <v>M1</v>
          </cell>
          <cell r="B5831" t="str">
            <v>A5C</v>
          </cell>
          <cell r="C5831" t="str">
            <v>P</v>
          </cell>
          <cell r="D5831" t="str">
            <v>22106</v>
          </cell>
          <cell r="E5831" t="str">
            <v>R TEE</v>
          </cell>
          <cell r="F5831">
            <v>2</v>
          </cell>
          <cell r="G5831" t="str">
            <v>CB40040000010H</v>
          </cell>
          <cell r="H5831">
            <v>0.5</v>
          </cell>
          <cell r="I5831" t="str">
            <v>-</v>
          </cell>
          <cell r="J5831">
            <v>4</v>
          </cell>
          <cell r="K5831">
            <v>4</v>
          </cell>
        </row>
        <row r="5832">
          <cell r="A5832" t="str">
            <v>M1</v>
          </cell>
          <cell r="B5832" t="str">
            <v>A5C</v>
          </cell>
          <cell r="C5832" t="str">
            <v>P</v>
          </cell>
          <cell r="D5832" t="str">
            <v>22106</v>
          </cell>
          <cell r="E5832" t="str">
            <v>R TEE</v>
          </cell>
          <cell r="F5832">
            <v>2</v>
          </cell>
          <cell r="G5832" t="str">
            <v>CB40040000010T</v>
          </cell>
          <cell r="H5832">
            <v>0.75</v>
          </cell>
          <cell r="I5832" t="str">
            <v>-</v>
          </cell>
          <cell r="J5832">
            <v>2</v>
          </cell>
          <cell r="K5832">
            <v>2</v>
          </cell>
        </row>
        <row r="5833">
          <cell r="A5833" t="str">
            <v>M1</v>
          </cell>
          <cell r="B5833" t="str">
            <v>A5C</v>
          </cell>
          <cell r="C5833" t="str">
            <v>TRIM</v>
          </cell>
          <cell r="D5833" t="str">
            <v>V-2206</v>
          </cell>
          <cell r="E5833" t="str">
            <v>R TEE</v>
          </cell>
          <cell r="F5833">
            <v>2</v>
          </cell>
          <cell r="G5833" t="str">
            <v>CB40040000010T</v>
          </cell>
          <cell r="H5833">
            <v>0.75</v>
          </cell>
          <cell r="I5833" t="str">
            <v>-</v>
          </cell>
          <cell r="J5833">
            <v>1</v>
          </cell>
          <cell r="K5833">
            <v>1</v>
          </cell>
        </row>
        <row r="5834">
          <cell r="A5834" t="str">
            <v>M1</v>
          </cell>
          <cell r="B5834" t="str">
            <v>A6C</v>
          </cell>
          <cell r="C5834" t="str">
            <v>HOR</v>
          </cell>
          <cell r="D5834" t="str">
            <v>65612</v>
          </cell>
          <cell r="E5834" t="str">
            <v>R TEE</v>
          </cell>
          <cell r="F5834">
            <v>2</v>
          </cell>
          <cell r="G5834" t="str">
            <v>CB40040000010T</v>
          </cell>
          <cell r="H5834">
            <v>0.75</v>
          </cell>
          <cell r="I5834" t="str">
            <v>-</v>
          </cell>
          <cell r="J5834">
            <v>4</v>
          </cell>
          <cell r="K5834">
            <v>4</v>
          </cell>
        </row>
        <row r="5835">
          <cell r="A5835" t="str">
            <v>M1</v>
          </cell>
          <cell r="B5835" t="str">
            <v>A5C</v>
          </cell>
          <cell r="C5835" t="str">
            <v>TRIM</v>
          </cell>
          <cell r="D5835" t="str">
            <v>V-2208</v>
          </cell>
          <cell r="E5835" t="str">
            <v>C SWG</v>
          </cell>
          <cell r="F5835">
            <v>2</v>
          </cell>
          <cell r="G5835" t="str">
            <v>CB16110808010T</v>
          </cell>
          <cell r="H5835">
            <v>0.75</v>
          </cell>
          <cell r="I5835" t="str">
            <v>-</v>
          </cell>
          <cell r="J5835">
            <v>1</v>
          </cell>
          <cell r="K5835">
            <v>1</v>
          </cell>
        </row>
        <row r="5836">
          <cell r="A5836" t="str">
            <v>M1</v>
          </cell>
          <cell r="B5836" t="str">
            <v>A6C</v>
          </cell>
          <cell r="C5836" t="str">
            <v>HOR</v>
          </cell>
          <cell r="D5836" t="str">
            <v>65622</v>
          </cell>
          <cell r="E5836" t="str">
            <v>C SWG</v>
          </cell>
          <cell r="F5836">
            <v>2</v>
          </cell>
          <cell r="G5836" t="str">
            <v>CB16110808010T</v>
          </cell>
          <cell r="H5836">
            <v>0.75</v>
          </cell>
          <cell r="I5836" t="str">
            <v>-</v>
          </cell>
          <cell r="J5836">
            <v>4</v>
          </cell>
          <cell r="K5836">
            <v>4</v>
          </cell>
        </row>
        <row r="5837">
          <cell r="A5837" t="str">
            <v>M1</v>
          </cell>
          <cell r="B5837" t="str">
            <v>A5C</v>
          </cell>
          <cell r="C5837" t="str">
            <v>TRIM</v>
          </cell>
          <cell r="D5837" t="str">
            <v>V-2209</v>
          </cell>
          <cell r="E5837" t="str">
            <v>C SWG</v>
          </cell>
          <cell r="F5837">
            <v>2</v>
          </cell>
          <cell r="G5837" t="str">
            <v>CB16110808010T</v>
          </cell>
          <cell r="H5837">
            <v>0.75</v>
          </cell>
          <cell r="I5837" t="str">
            <v>-</v>
          </cell>
          <cell r="J5837">
            <v>1</v>
          </cell>
          <cell r="K5837">
            <v>1</v>
          </cell>
        </row>
        <row r="5838">
          <cell r="A5838" t="str">
            <v>M1</v>
          </cell>
          <cell r="B5838" t="str">
            <v>A5C</v>
          </cell>
          <cell r="C5838" t="str">
            <v>P</v>
          </cell>
          <cell r="D5838" t="str">
            <v>22087</v>
          </cell>
          <cell r="E5838" t="str">
            <v>R TEE</v>
          </cell>
          <cell r="F5838">
            <v>2</v>
          </cell>
          <cell r="G5838" t="str">
            <v>CB400400001H01</v>
          </cell>
          <cell r="H5838">
            <v>1</v>
          </cell>
          <cell r="I5838" t="str">
            <v>-</v>
          </cell>
          <cell r="J5838">
            <v>1</v>
          </cell>
          <cell r="K5838">
            <v>1</v>
          </cell>
        </row>
        <row r="5839">
          <cell r="A5839" t="str">
            <v>M1</v>
          </cell>
          <cell r="B5839" t="str">
            <v>A5C</v>
          </cell>
          <cell r="C5839" t="str">
            <v>P</v>
          </cell>
          <cell r="D5839" t="str">
            <v>22040</v>
          </cell>
          <cell r="E5839" t="str">
            <v>C SWG</v>
          </cell>
          <cell r="F5839">
            <v>2</v>
          </cell>
          <cell r="G5839" t="str">
            <v>CB161108081H01</v>
          </cell>
          <cell r="H5839">
            <v>1</v>
          </cell>
          <cell r="I5839" t="str">
            <v>-</v>
          </cell>
          <cell r="J5839">
            <v>1</v>
          </cell>
          <cell r="K5839">
            <v>1</v>
          </cell>
        </row>
        <row r="5840">
          <cell r="A5840" t="str">
            <v>M1</v>
          </cell>
          <cell r="B5840" t="str">
            <v>A5C</v>
          </cell>
          <cell r="C5840" t="str">
            <v>P</v>
          </cell>
          <cell r="D5840" t="str">
            <v>22041</v>
          </cell>
          <cell r="E5840" t="str">
            <v>C SWG</v>
          </cell>
          <cell r="F5840">
            <v>2</v>
          </cell>
          <cell r="G5840" t="str">
            <v>CB161108081H01</v>
          </cell>
          <cell r="H5840">
            <v>1</v>
          </cell>
          <cell r="I5840" t="str">
            <v>-</v>
          </cell>
          <cell r="J5840">
            <v>1</v>
          </cell>
          <cell r="K5840">
            <v>1</v>
          </cell>
        </row>
        <row r="5841">
          <cell r="A5841" t="str">
            <v>M1</v>
          </cell>
          <cell r="B5841" t="str">
            <v>A5C</v>
          </cell>
          <cell r="C5841" t="str">
            <v>P</v>
          </cell>
          <cell r="D5841" t="str">
            <v>22071</v>
          </cell>
          <cell r="E5841" t="str">
            <v>R TEE</v>
          </cell>
          <cell r="F5841">
            <v>2</v>
          </cell>
          <cell r="G5841" t="str">
            <v>CB400400001H0T</v>
          </cell>
          <cell r="H5841">
            <v>0.75</v>
          </cell>
          <cell r="I5841" t="str">
            <v>-</v>
          </cell>
          <cell r="J5841">
            <v>1</v>
          </cell>
          <cell r="K5841">
            <v>1</v>
          </cell>
        </row>
        <row r="5842">
          <cell r="A5842" t="str">
            <v>M1</v>
          </cell>
          <cell r="B5842" t="str">
            <v>A5C</v>
          </cell>
          <cell r="C5842" t="str">
            <v>P</v>
          </cell>
          <cell r="D5842" t="str">
            <v>22071</v>
          </cell>
          <cell r="E5842" t="str">
            <v>R TEE</v>
          </cell>
          <cell r="F5842">
            <v>2</v>
          </cell>
          <cell r="G5842" t="str">
            <v>CB400400001H0T</v>
          </cell>
          <cell r="H5842">
            <v>0.75</v>
          </cell>
          <cell r="I5842" t="str">
            <v>-</v>
          </cell>
          <cell r="J5842">
            <v>4</v>
          </cell>
          <cell r="K5842">
            <v>4</v>
          </cell>
        </row>
        <row r="5843">
          <cell r="A5843" t="str">
            <v>M1</v>
          </cell>
          <cell r="B5843" t="str">
            <v>A5C</v>
          </cell>
          <cell r="C5843" t="str">
            <v>P</v>
          </cell>
          <cell r="D5843" t="str">
            <v>22039</v>
          </cell>
          <cell r="E5843" t="str">
            <v>C SWG</v>
          </cell>
          <cell r="F5843">
            <v>2</v>
          </cell>
          <cell r="G5843" t="str">
            <v>CB161108081H01</v>
          </cell>
          <cell r="H5843">
            <v>1</v>
          </cell>
          <cell r="I5843" t="str">
            <v>-</v>
          </cell>
          <cell r="J5843">
            <v>1</v>
          </cell>
          <cell r="K5843">
            <v>1</v>
          </cell>
        </row>
        <row r="5844">
          <cell r="A5844" t="str">
            <v>M1</v>
          </cell>
          <cell r="B5844" t="str">
            <v>A5C</v>
          </cell>
          <cell r="C5844" t="str">
            <v>P</v>
          </cell>
          <cell r="D5844" t="str">
            <v>22071</v>
          </cell>
          <cell r="E5844" t="str">
            <v>R TEE</v>
          </cell>
          <cell r="F5844">
            <v>2</v>
          </cell>
          <cell r="G5844" t="str">
            <v>CB400400001H0T</v>
          </cell>
          <cell r="H5844">
            <v>0.75</v>
          </cell>
          <cell r="I5844" t="str">
            <v>-</v>
          </cell>
          <cell r="J5844">
            <v>4</v>
          </cell>
          <cell r="K5844">
            <v>4</v>
          </cell>
        </row>
        <row r="5845">
          <cell r="A5845" t="str">
            <v>M1</v>
          </cell>
          <cell r="B5845" t="str">
            <v>A5C</v>
          </cell>
          <cell r="C5845" t="str">
            <v>P</v>
          </cell>
          <cell r="D5845" t="str">
            <v>22102</v>
          </cell>
          <cell r="E5845" t="str">
            <v>R TEE</v>
          </cell>
          <cell r="F5845">
            <v>2</v>
          </cell>
          <cell r="G5845" t="str">
            <v>CB400400001H0T</v>
          </cell>
          <cell r="H5845">
            <v>0.75</v>
          </cell>
          <cell r="I5845" t="str">
            <v>-</v>
          </cell>
          <cell r="J5845">
            <v>5</v>
          </cell>
          <cell r="K5845">
            <v>5</v>
          </cell>
        </row>
        <row r="5846">
          <cell r="A5846" t="str">
            <v>M1</v>
          </cell>
          <cell r="B5846" t="str">
            <v>B2C</v>
          </cell>
          <cell r="C5846" t="str">
            <v>SH</v>
          </cell>
          <cell r="D5846" t="str">
            <v>22614</v>
          </cell>
          <cell r="E5846" t="str">
            <v>SOL</v>
          </cell>
          <cell r="F5846">
            <v>2</v>
          </cell>
          <cell r="G5846" t="str">
            <v>CB390200000201</v>
          </cell>
          <cell r="H5846">
            <v>1</v>
          </cell>
          <cell r="I5846" t="str">
            <v>-</v>
          </cell>
          <cell r="J5846">
            <v>1</v>
          </cell>
          <cell r="K5846">
            <v>2</v>
          </cell>
        </row>
        <row r="5847">
          <cell r="A5847" t="str">
            <v>M1</v>
          </cell>
          <cell r="B5847" t="str">
            <v>A5C</v>
          </cell>
          <cell r="C5847" t="str">
            <v>P</v>
          </cell>
          <cell r="D5847" t="str">
            <v>22104</v>
          </cell>
          <cell r="E5847" t="str">
            <v>R TEE</v>
          </cell>
          <cell r="F5847">
            <v>2</v>
          </cell>
          <cell r="G5847" t="str">
            <v>CB400400001H0T</v>
          </cell>
          <cell r="H5847">
            <v>0.75</v>
          </cell>
          <cell r="I5847" t="str">
            <v>-</v>
          </cell>
          <cell r="J5847">
            <v>1</v>
          </cell>
          <cell r="K5847">
            <v>1</v>
          </cell>
        </row>
        <row r="5848">
          <cell r="A5848" t="str">
            <v>M1</v>
          </cell>
          <cell r="B5848" t="str">
            <v>A5C</v>
          </cell>
          <cell r="C5848" t="str">
            <v>N</v>
          </cell>
          <cell r="D5848" t="str">
            <v>25611</v>
          </cell>
          <cell r="E5848" t="str">
            <v>SOL</v>
          </cell>
          <cell r="F5848">
            <v>2</v>
          </cell>
          <cell r="G5848" t="str">
            <v>CB390200000201</v>
          </cell>
          <cell r="H5848">
            <v>1</v>
          </cell>
          <cell r="I5848" t="str">
            <v>-</v>
          </cell>
          <cell r="J5848">
            <v>1</v>
          </cell>
          <cell r="K5848">
            <v>2</v>
          </cell>
        </row>
        <row r="5849">
          <cell r="A5849" t="str">
            <v>M1</v>
          </cell>
          <cell r="B5849" t="str">
            <v>A5C</v>
          </cell>
          <cell r="C5849" t="str">
            <v>P</v>
          </cell>
          <cell r="D5849" t="str">
            <v>22090</v>
          </cell>
          <cell r="E5849" t="str">
            <v>SOL</v>
          </cell>
          <cell r="F5849">
            <v>2</v>
          </cell>
          <cell r="G5849" t="str">
            <v>CB390200000301</v>
          </cell>
          <cell r="H5849">
            <v>1</v>
          </cell>
          <cell r="I5849" t="str">
            <v>-</v>
          </cell>
          <cell r="J5849">
            <v>1</v>
          </cell>
          <cell r="K5849">
            <v>2</v>
          </cell>
        </row>
        <row r="5850">
          <cell r="A5850" t="str">
            <v>M1</v>
          </cell>
          <cell r="B5850" t="str">
            <v>A5C</v>
          </cell>
          <cell r="C5850" t="str">
            <v>P</v>
          </cell>
          <cell r="D5850" t="str">
            <v>22157</v>
          </cell>
          <cell r="E5850" t="str">
            <v>R TEE</v>
          </cell>
          <cell r="F5850">
            <v>2</v>
          </cell>
          <cell r="G5850" t="str">
            <v>CB400400001H0H</v>
          </cell>
          <cell r="H5850">
            <v>0.5</v>
          </cell>
          <cell r="I5850" t="str">
            <v>-</v>
          </cell>
          <cell r="J5850">
            <v>1</v>
          </cell>
          <cell r="K5850">
            <v>1</v>
          </cell>
        </row>
        <row r="5851">
          <cell r="A5851" t="str">
            <v>M1</v>
          </cell>
          <cell r="B5851" t="str">
            <v>A5C</v>
          </cell>
          <cell r="C5851" t="str">
            <v>P</v>
          </cell>
          <cell r="D5851" t="str">
            <v>22158</v>
          </cell>
          <cell r="E5851" t="str">
            <v>R TEE</v>
          </cell>
          <cell r="F5851">
            <v>2</v>
          </cell>
          <cell r="G5851" t="str">
            <v>CB400400001H0H</v>
          </cell>
          <cell r="H5851">
            <v>0.5</v>
          </cell>
          <cell r="I5851" t="str">
            <v>-</v>
          </cell>
          <cell r="J5851">
            <v>1</v>
          </cell>
          <cell r="K5851">
            <v>1</v>
          </cell>
        </row>
        <row r="5852">
          <cell r="A5852" t="str">
            <v>M1</v>
          </cell>
          <cell r="B5852" t="str">
            <v>A5C</v>
          </cell>
          <cell r="C5852" t="str">
            <v>P</v>
          </cell>
          <cell r="D5852" t="str">
            <v>22078</v>
          </cell>
          <cell r="E5852" t="str">
            <v>R TEE</v>
          </cell>
          <cell r="F5852">
            <v>2</v>
          </cell>
          <cell r="G5852" t="str">
            <v>CB400400001H0T</v>
          </cell>
          <cell r="H5852">
            <v>0.75</v>
          </cell>
          <cell r="I5852" t="str">
            <v>-</v>
          </cell>
          <cell r="J5852">
            <v>1</v>
          </cell>
          <cell r="K5852">
            <v>1</v>
          </cell>
        </row>
        <row r="5853">
          <cell r="A5853" t="str">
            <v>M1</v>
          </cell>
          <cell r="B5853" t="str">
            <v>A5C</v>
          </cell>
          <cell r="C5853" t="str">
            <v>P</v>
          </cell>
          <cell r="D5853" t="str">
            <v>22087</v>
          </cell>
          <cell r="E5853" t="str">
            <v>R TEE</v>
          </cell>
          <cell r="F5853">
            <v>2</v>
          </cell>
          <cell r="G5853" t="str">
            <v>CB400400001H0T</v>
          </cell>
          <cell r="H5853">
            <v>0.75</v>
          </cell>
          <cell r="I5853" t="str">
            <v>-</v>
          </cell>
          <cell r="J5853">
            <v>1</v>
          </cell>
          <cell r="K5853">
            <v>1</v>
          </cell>
        </row>
        <row r="5854">
          <cell r="A5854" t="str">
            <v>M1</v>
          </cell>
          <cell r="B5854" t="str">
            <v>A5C</v>
          </cell>
          <cell r="C5854" t="str">
            <v>P</v>
          </cell>
          <cell r="D5854" t="str">
            <v>22091</v>
          </cell>
          <cell r="E5854" t="str">
            <v>SOL</v>
          </cell>
          <cell r="F5854">
            <v>2</v>
          </cell>
          <cell r="G5854" t="str">
            <v>CB390200000301</v>
          </cell>
          <cell r="H5854">
            <v>1</v>
          </cell>
          <cell r="I5854" t="str">
            <v>-</v>
          </cell>
          <cell r="J5854">
            <v>1</v>
          </cell>
          <cell r="K5854">
            <v>2</v>
          </cell>
        </row>
        <row r="5855">
          <cell r="A5855" t="str">
            <v>M1</v>
          </cell>
          <cell r="B5855" t="str">
            <v>A5C</v>
          </cell>
          <cell r="C5855" t="str">
            <v>P</v>
          </cell>
          <cell r="D5855" t="str">
            <v>22092</v>
          </cell>
          <cell r="E5855" t="str">
            <v>SOL</v>
          </cell>
          <cell r="F5855">
            <v>2</v>
          </cell>
          <cell r="G5855" t="str">
            <v>CB390200000301</v>
          </cell>
          <cell r="H5855">
            <v>1</v>
          </cell>
          <cell r="I5855" t="str">
            <v>-</v>
          </cell>
          <cell r="J5855">
            <v>1</v>
          </cell>
          <cell r="K5855">
            <v>2</v>
          </cell>
        </row>
        <row r="5856">
          <cell r="A5856" t="str">
            <v>M1</v>
          </cell>
          <cell r="B5856" t="str">
            <v>A5C</v>
          </cell>
          <cell r="C5856" t="str">
            <v>P</v>
          </cell>
          <cell r="D5856" t="str">
            <v>22102</v>
          </cell>
          <cell r="E5856" t="str">
            <v>R TEE</v>
          </cell>
          <cell r="F5856">
            <v>2</v>
          </cell>
          <cell r="G5856" t="str">
            <v>CB400400001H0T</v>
          </cell>
          <cell r="H5856">
            <v>0.75</v>
          </cell>
          <cell r="I5856" t="str">
            <v>-</v>
          </cell>
          <cell r="J5856">
            <v>2</v>
          </cell>
          <cell r="K5856">
            <v>2</v>
          </cell>
        </row>
        <row r="5857">
          <cell r="A5857" t="str">
            <v>M1</v>
          </cell>
          <cell r="B5857" t="str">
            <v>A5C</v>
          </cell>
          <cell r="C5857" t="str">
            <v>P</v>
          </cell>
          <cell r="D5857" t="str">
            <v>22113</v>
          </cell>
          <cell r="E5857" t="str">
            <v>R TEE</v>
          </cell>
          <cell r="F5857">
            <v>2</v>
          </cell>
          <cell r="G5857" t="str">
            <v>CB400400001H0T</v>
          </cell>
          <cell r="H5857">
            <v>0.75</v>
          </cell>
          <cell r="I5857" t="str">
            <v>-</v>
          </cell>
          <cell r="J5857">
            <v>1</v>
          </cell>
          <cell r="K5857">
            <v>1</v>
          </cell>
        </row>
        <row r="5858">
          <cell r="A5858" t="str">
            <v>M1</v>
          </cell>
          <cell r="B5858" t="str">
            <v>A5C</v>
          </cell>
          <cell r="C5858" t="str">
            <v>P</v>
          </cell>
          <cell r="D5858" t="str">
            <v>22114</v>
          </cell>
          <cell r="E5858" t="str">
            <v>R TEE</v>
          </cell>
          <cell r="F5858">
            <v>2</v>
          </cell>
          <cell r="G5858" t="str">
            <v>CB400400001H0T</v>
          </cell>
          <cell r="H5858">
            <v>0.75</v>
          </cell>
          <cell r="I5858" t="str">
            <v>-</v>
          </cell>
          <cell r="J5858">
            <v>1</v>
          </cell>
          <cell r="K5858">
            <v>1</v>
          </cell>
        </row>
        <row r="5859">
          <cell r="A5859" t="str">
            <v>M1</v>
          </cell>
          <cell r="B5859" t="str">
            <v>A5C</v>
          </cell>
          <cell r="C5859" t="str">
            <v>P</v>
          </cell>
          <cell r="D5859" t="str">
            <v>22093</v>
          </cell>
          <cell r="E5859" t="str">
            <v>SOL</v>
          </cell>
          <cell r="F5859">
            <v>2</v>
          </cell>
          <cell r="G5859" t="str">
            <v>CB390200000301</v>
          </cell>
          <cell r="H5859">
            <v>1</v>
          </cell>
          <cell r="I5859" t="str">
            <v>-</v>
          </cell>
          <cell r="J5859">
            <v>1</v>
          </cell>
          <cell r="K5859">
            <v>2</v>
          </cell>
        </row>
        <row r="5860">
          <cell r="A5860" t="str">
            <v>M1</v>
          </cell>
          <cell r="B5860" t="str">
            <v>A5C</v>
          </cell>
          <cell r="C5860" t="str">
            <v>P</v>
          </cell>
          <cell r="D5860" t="str">
            <v>22003</v>
          </cell>
          <cell r="E5860" t="str">
            <v>SOL</v>
          </cell>
          <cell r="F5860">
            <v>2</v>
          </cell>
          <cell r="G5860" t="str">
            <v>CB390200000301</v>
          </cell>
          <cell r="H5860">
            <v>1</v>
          </cell>
          <cell r="I5860" t="str">
            <v>-</v>
          </cell>
          <cell r="J5860">
            <v>1</v>
          </cell>
          <cell r="K5860">
            <v>2</v>
          </cell>
        </row>
        <row r="5861">
          <cell r="A5861" t="str">
            <v>M1</v>
          </cell>
          <cell r="B5861" t="str">
            <v>A5C</v>
          </cell>
          <cell r="C5861" t="str">
            <v>P</v>
          </cell>
          <cell r="D5861" t="str">
            <v>22001</v>
          </cell>
          <cell r="E5861" t="str">
            <v>SOL</v>
          </cell>
          <cell r="F5861">
            <v>2</v>
          </cell>
          <cell r="G5861" t="str">
            <v>CB390200000301</v>
          </cell>
          <cell r="H5861">
            <v>1</v>
          </cell>
          <cell r="I5861" t="str">
            <v>-</v>
          </cell>
          <cell r="J5861">
            <v>1</v>
          </cell>
          <cell r="K5861">
            <v>2</v>
          </cell>
        </row>
        <row r="5862">
          <cell r="A5862" t="str">
            <v>M1</v>
          </cell>
          <cell r="B5862" t="str">
            <v>A5C</v>
          </cell>
          <cell r="C5862" t="str">
            <v>P</v>
          </cell>
          <cell r="D5862" t="str">
            <v>22069</v>
          </cell>
          <cell r="E5862" t="str">
            <v>SOL</v>
          </cell>
          <cell r="F5862">
            <v>2</v>
          </cell>
          <cell r="G5862" t="str">
            <v>CB390200000401</v>
          </cell>
          <cell r="H5862">
            <v>1</v>
          </cell>
          <cell r="I5862" t="str">
            <v>-</v>
          </cell>
          <cell r="J5862">
            <v>1</v>
          </cell>
          <cell r="K5862">
            <v>2</v>
          </cell>
        </row>
        <row r="5863">
          <cell r="A5863" t="str">
            <v>M1</v>
          </cell>
          <cell r="B5863" t="str">
            <v>A5C</v>
          </cell>
          <cell r="C5863" t="str">
            <v>P</v>
          </cell>
          <cell r="D5863" t="str">
            <v>22039</v>
          </cell>
          <cell r="E5863" t="str">
            <v>R TEE</v>
          </cell>
          <cell r="F5863">
            <v>2</v>
          </cell>
          <cell r="G5863" t="str">
            <v>CB400400001H0H</v>
          </cell>
          <cell r="H5863">
            <v>0.5</v>
          </cell>
          <cell r="I5863" t="str">
            <v>-</v>
          </cell>
          <cell r="J5863">
            <v>1</v>
          </cell>
          <cell r="K5863">
            <v>1</v>
          </cell>
        </row>
        <row r="5864">
          <cell r="A5864" t="str">
            <v>M1</v>
          </cell>
          <cell r="B5864" t="str">
            <v>A5C</v>
          </cell>
          <cell r="C5864" t="str">
            <v>P</v>
          </cell>
          <cell r="D5864" t="str">
            <v>22041</v>
          </cell>
          <cell r="E5864" t="str">
            <v>R TEE</v>
          </cell>
          <cell r="F5864">
            <v>2</v>
          </cell>
          <cell r="G5864" t="str">
            <v>CB400400001H0H</v>
          </cell>
          <cell r="H5864">
            <v>0.5</v>
          </cell>
          <cell r="I5864" t="str">
            <v>-</v>
          </cell>
          <cell r="J5864">
            <v>1</v>
          </cell>
          <cell r="K5864">
            <v>1</v>
          </cell>
        </row>
        <row r="5865">
          <cell r="A5865" t="str">
            <v>M1</v>
          </cell>
          <cell r="B5865" t="str">
            <v>A6C</v>
          </cell>
          <cell r="C5865" t="str">
            <v>HOR</v>
          </cell>
          <cell r="D5865" t="str">
            <v>65612</v>
          </cell>
          <cell r="E5865" t="str">
            <v>R TEE</v>
          </cell>
          <cell r="F5865">
            <v>2</v>
          </cell>
          <cell r="G5865" t="str">
            <v>CB400400001H0T</v>
          </cell>
          <cell r="H5865">
            <v>0.75</v>
          </cell>
          <cell r="I5865" t="str">
            <v>-</v>
          </cell>
          <cell r="J5865">
            <v>2</v>
          </cell>
          <cell r="K5865">
            <v>2</v>
          </cell>
        </row>
        <row r="5866">
          <cell r="A5866" t="str">
            <v>M1</v>
          </cell>
          <cell r="B5866" t="str">
            <v>A6C</v>
          </cell>
          <cell r="C5866" t="str">
            <v>HOS</v>
          </cell>
          <cell r="D5866" t="str">
            <v>65624</v>
          </cell>
          <cell r="E5866" t="str">
            <v>SOL</v>
          </cell>
          <cell r="F5866">
            <v>2</v>
          </cell>
          <cell r="G5866" t="str">
            <v>CB390200000801</v>
          </cell>
          <cell r="H5866">
            <v>1</v>
          </cell>
          <cell r="I5866" t="str">
            <v>-</v>
          </cell>
          <cell r="J5866">
            <v>1</v>
          </cell>
          <cell r="K5866">
            <v>2</v>
          </cell>
        </row>
        <row r="5867">
          <cell r="A5867" t="str">
            <v>M1</v>
          </cell>
          <cell r="B5867" t="str">
            <v>A5C</v>
          </cell>
          <cell r="C5867" t="str">
            <v>P</v>
          </cell>
          <cell r="D5867" t="str">
            <v>22040</v>
          </cell>
          <cell r="E5867" t="str">
            <v>R TEE</v>
          </cell>
          <cell r="F5867">
            <v>2</v>
          </cell>
          <cell r="G5867" t="str">
            <v>CB400400001H0H</v>
          </cell>
          <cell r="H5867">
            <v>0.5</v>
          </cell>
          <cell r="I5867" t="str">
            <v>-</v>
          </cell>
          <cell r="J5867">
            <v>1</v>
          </cell>
          <cell r="K5867">
            <v>1</v>
          </cell>
        </row>
        <row r="5868">
          <cell r="A5868" t="str">
            <v>M1</v>
          </cell>
          <cell r="B5868" t="str">
            <v>A6C</v>
          </cell>
          <cell r="C5868" t="str">
            <v>HOS</v>
          </cell>
          <cell r="D5868" t="str">
            <v>65633</v>
          </cell>
          <cell r="E5868" t="str">
            <v>C SWG</v>
          </cell>
          <cell r="F5868">
            <v>2</v>
          </cell>
          <cell r="G5868" t="str">
            <v>CB161108081H0T</v>
          </cell>
          <cell r="H5868">
            <v>0.75</v>
          </cell>
          <cell r="I5868" t="str">
            <v>-</v>
          </cell>
          <cell r="J5868">
            <v>1</v>
          </cell>
          <cell r="K5868">
            <v>1</v>
          </cell>
        </row>
        <row r="5869">
          <cell r="A5869" t="str">
            <v>M1</v>
          </cell>
          <cell r="B5869" t="str">
            <v>A6C</v>
          </cell>
          <cell r="C5869" t="str">
            <v>HOS</v>
          </cell>
          <cell r="D5869" t="str">
            <v>65625</v>
          </cell>
          <cell r="E5869" t="str">
            <v>SOL</v>
          </cell>
          <cell r="F5869">
            <v>2</v>
          </cell>
          <cell r="G5869" t="str">
            <v>CB390200000801</v>
          </cell>
          <cell r="H5869">
            <v>1</v>
          </cell>
          <cell r="I5869" t="str">
            <v>-</v>
          </cell>
          <cell r="J5869">
            <v>1</v>
          </cell>
          <cell r="K5869">
            <v>2</v>
          </cell>
        </row>
        <row r="5870">
          <cell r="A5870" t="str">
            <v>M1</v>
          </cell>
          <cell r="B5870" t="str">
            <v>A6C</v>
          </cell>
          <cell r="C5870" t="str">
            <v>HOS</v>
          </cell>
          <cell r="D5870" t="str">
            <v>65633</v>
          </cell>
          <cell r="E5870" t="str">
            <v>R TEE</v>
          </cell>
          <cell r="F5870">
            <v>2</v>
          </cell>
          <cell r="G5870" t="str">
            <v>CB400400001H0T</v>
          </cell>
          <cell r="H5870">
            <v>0.75</v>
          </cell>
          <cell r="I5870" t="str">
            <v>-</v>
          </cell>
          <cell r="J5870">
            <v>1</v>
          </cell>
          <cell r="K5870">
            <v>1</v>
          </cell>
        </row>
        <row r="5871">
          <cell r="A5871" t="str">
            <v>M1</v>
          </cell>
          <cell r="B5871" t="str">
            <v>A5C</v>
          </cell>
          <cell r="C5871" t="str">
            <v>P</v>
          </cell>
          <cell r="D5871" t="str">
            <v>22002</v>
          </cell>
          <cell r="E5871" t="str">
            <v>R TEE</v>
          </cell>
          <cell r="F5871">
            <v>2</v>
          </cell>
          <cell r="G5871" t="str">
            <v>CB400400001H0T</v>
          </cell>
          <cell r="H5871">
            <v>0.75</v>
          </cell>
          <cell r="I5871" t="str">
            <v>-</v>
          </cell>
          <cell r="J5871">
            <v>2</v>
          </cell>
          <cell r="K5871">
            <v>2</v>
          </cell>
        </row>
        <row r="5872">
          <cell r="A5872" t="str">
            <v>M1</v>
          </cell>
          <cell r="B5872" t="str">
            <v>A5C</v>
          </cell>
          <cell r="C5872" t="str">
            <v>P</v>
          </cell>
          <cell r="D5872" t="str">
            <v>22111</v>
          </cell>
          <cell r="E5872" t="str">
            <v>R TEE</v>
          </cell>
          <cell r="F5872">
            <v>2</v>
          </cell>
          <cell r="G5872" t="str">
            <v>CB400400001H0T</v>
          </cell>
          <cell r="H5872">
            <v>0.75</v>
          </cell>
          <cell r="I5872" t="str">
            <v>-</v>
          </cell>
          <cell r="J5872">
            <v>6</v>
          </cell>
          <cell r="K5872">
            <v>6</v>
          </cell>
        </row>
        <row r="5873">
          <cell r="A5873" t="str">
            <v>M1</v>
          </cell>
          <cell r="B5873" t="str">
            <v>A4C</v>
          </cell>
          <cell r="C5873" t="str">
            <v>P</v>
          </cell>
          <cell r="D5873" t="str">
            <v>22031</v>
          </cell>
          <cell r="E5873" t="str">
            <v>C SWG</v>
          </cell>
          <cell r="F5873">
            <v>2</v>
          </cell>
          <cell r="G5873" t="str">
            <v>CB161108081H0H</v>
          </cell>
          <cell r="H5873">
            <v>0.5</v>
          </cell>
          <cell r="I5873" t="str">
            <v>-</v>
          </cell>
          <cell r="J5873">
            <v>6</v>
          </cell>
          <cell r="K5873">
            <v>6</v>
          </cell>
        </row>
        <row r="5874">
          <cell r="A5874" t="str">
            <v>M1</v>
          </cell>
          <cell r="B5874" t="str">
            <v>A4C</v>
          </cell>
          <cell r="C5874" t="str">
            <v>P</v>
          </cell>
          <cell r="D5874" t="str">
            <v>22031</v>
          </cell>
          <cell r="E5874" t="str">
            <v>R TEE</v>
          </cell>
          <cell r="F5874">
            <v>2</v>
          </cell>
          <cell r="G5874" t="str">
            <v>CB400400001H0T</v>
          </cell>
          <cell r="H5874">
            <v>0.75</v>
          </cell>
          <cell r="I5874" t="str">
            <v>-</v>
          </cell>
          <cell r="J5874">
            <v>1</v>
          </cell>
          <cell r="K5874">
            <v>1</v>
          </cell>
        </row>
        <row r="5875">
          <cell r="A5875" t="str">
            <v>M1</v>
          </cell>
          <cell r="B5875" t="str">
            <v>B2C</v>
          </cell>
          <cell r="C5875" t="str">
            <v>SH</v>
          </cell>
          <cell r="D5875" t="str">
            <v>22614</v>
          </cell>
          <cell r="E5875" t="str">
            <v>E SWG</v>
          </cell>
          <cell r="F5875">
            <v>2</v>
          </cell>
          <cell r="G5875" t="str">
            <v>CB1624080802IH</v>
          </cell>
          <cell r="H5875">
            <v>1.5</v>
          </cell>
          <cell r="I5875" t="str">
            <v>-</v>
          </cell>
          <cell r="J5875">
            <v>2</v>
          </cell>
          <cell r="K5875">
            <v>3</v>
          </cell>
        </row>
        <row r="5876">
          <cell r="A5876" t="str">
            <v>M1</v>
          </cell>
          <cell r="B5876" t="str">
            <v>A6C</v>
          </cell>
          <cell r="C5876" t="str">
            <v>HOS</v>
          </cell>
          <cell r="D5876" t="str">
            <v>65613</v>
          </cell>
          <cell r="E5876" t="str">
            <v>SOL</v>
          </cell>
          <cell r="F5876">
            <v>2</v>
          </cell>
          <cell r="G5876" t="str">
            <v>CB390200000801</v>
          </cell>
          <cell r="H5876">
            <v>1</v>
          </cell>
          <cell r="I5876" t="str">
            <v>-</v>
          </cell>
          <cell r="J5876">
            <v>1</v>
          </cell>
          <cell r="K5876">
            <v>2</v>
          </cell>
        </row>
        <row r="5877">
          <cell r="A5877" t="str">
            <v>M1</v>
          </cell>
          <cell r="B5877" t="str">
            <v>B2C</v>
          </cell>
          <cell r="C5877" t="str">
            <v>SH</v>
          </cell>
          <cell r="D5877" t="str">
            <v>22613</v>
          </cell>
          <cell r="E5877" t="str">
            <v>E SWG</v>
          </cell>
          <cell r="F5877">
            <v>2</v>
          </cell>
          <cell r="G5877" t="str">
            <v>CB1624080802IH</v>
          </cell>
          <cell r="H5877">
            <v>1.5</v>
          </cell>
          <cell r="I5877" t="str">
            <v>-</v>
          </cell>
          <cell r="J5877">
            <v>2</v>
          </cell>
          <cell r="K5877">
            <v>3</v>
          </cell>
        </row>
        <row r="5878">
          <cell r="A5878" t="str">
            <v>M1</v>
          </cell>
          <cell r="B5878" t="str">
            <v>B2C</v>
          </cell>
          <cell r="C5878" t="str">
            <v>SH</v>
          </cell>
          <cell r="D5878" t="str">
            <v>22612</v>
          </cell>
          <cell r="E5878" t="str">
            <v>SOL</v>
          </cell>
          <cell r="F5878">
            <v>2</v>
          </cell>
          <cell r="G5878" t="str">
            <v>CB39020000020T</v>
          </cell>
          <cell r="H5878">
            <v>0.75</v>
          </cell>
          <cell r="I5878" t="str">
            <v>-</v>
          </cell>
          <cell r="J5878">
            <v>2</v>
          </cell>
          <cell r="K5878">
            <v>3</v>
          </cell>
        </row>
        <row r="5879">
          <cell r="A5879" t="str">
            <v>M1</v>
          </cell>
          <cell r="B5879" t="str">
            <v>B2C</v>
          </cell>
          <cell r="C5879" t="str">
            <v>SH</v>
          </cell>
          <cell r="D5879" t="str">
            <v>22611</v>
          </cell>
          <cell r="E5879" t="str">
            <v>SOL</v>
          </cell>
          <cell r="F5879">
            <v>2</v>
          </cell>
          <cell r="G5879" t="str">
            <v>CB39020000020T</v>
          </cell>
          <cell r="H5879">
            <v>0.75</v>
          </cell>
          <cell r="I5879" t="str">
            <v>-</v>
          </cell>
          <cell r="J5879">
            <v>1</v>
          </cell>
          <cell r="K5879">
            <v>2</v>
          </cell>
        </row>
        <row r="5880">
          <cell r="A5880" t="str">
            <v>M1</v>
          </cell>
          <cell r="B5880" t="str">
            <v>B2C</v>
          </cell>
          <cell r="C5880" t="str">
            <v>SH</v>
          </cell>
          <cell r="D5880" t="str">
            <v>22614</v>
          </cell>
          <cell r="E5880" t="str">
            <v>SOL</v>
          </cell>
          <cell r="F5880">
            <v>2</v>
          </cell>
          <cell r="G5880" t="str">
            <v>CB39020000020T</v>
          </cell>
          <cell r="H5880">
            <v>0.75</v>
          </cell>
          <cell r="I5880" t="str">
            <v>-</v>
          </cell>
          <cell r="J5880">
            <v>2</v>
          </cell>
          <cell r="K5880">
            <v>3</v>
          </cell>
        </row>
        <row r="5881">
          <cell r="A5881" t="str">
            <v>M1</v>
          </cell>
          <cell r="B5881" t="str">
            <v>A6C</v>
          </cell>
          <cell r="C5881" t="str">
            <v>HOS</v>
          </cell>
          <cell r="D5881" t="str">
            <v>65613</v>
          </cell>
          <cell r="E5881" t="str">
            <v>SOL</v>
          </cell>
          <cell r="F5881">
            <v>2</v>
          </cell>
          <cell r="G5881" t="str">
            <v>CB390200000801</v>
          </cell>
          <cell r="H5881">
            <v>1</v>
          </cell>
          <cell r="I5881" t="str">
            <v>-</v>
          </cell>
          <cell r="J5881">
            <v>1</v>
          </cell>
          <cell r="K5881">
            <v>2</v>
          </cell>
        </row>
        <row r="5882">
          <cell r="A5882" t="str">
            <v>M1</v>
          </cell>
          <cell r="B5882" t="str">
            <v>B2C</v>
          </cell>
          <cell r="C5882" t="str">
            <v>SH</v>
          </cell>
          <cell r="D5882" t="str">
            <v>22613</v>
          </cell>
          <cell r="E5882" t="str">
            <v>SOL</v>
          </cell>
          <cell r="F5882">
            <v>2</v>
          </cell>
          <cell r="G5882" t="str">
            <v>CB39020000020T</v>
          </cell>
          <cell r="H5882">
            <v>0.75</v>
          </cell>
          <cell r="I5882" t="str">
            <v>-</v>
          </cell>
          <cell r="J5882">
            <v>2</v>
          </cell>
          <cell r="K5882">
            <v>3</v>
          </cell>
        </row>
        <row r="5883">
          <cell r="A5883" t="str">
            <v>M1</v>
          </cell>
          <cell r="B5883" t="str">
            <v>A5C</v>
          </cell>
          <cell r="C5883" t="str">
            <v>P</v>
          </cell>
          <cell r="D5883" t="str">
            <v>22117</v>
          </cell>
          <cell r="E5883" t="str">
            <v>C SWG</v>
          </cell>
          <cell r="F5883">
            <v>2</v>
          </cell>
          <cell r="G5883" t="str">
            <v>CB1614080802IH</v>
          </cell>
          <cell r="H5883">
            <v>1.5</v>
          </cell>
          <cell r="I5883" t="str">
            <v>-</v>
          </cell>
          <cell r="J5883">
            <v>1</v>
          </cell>
          <cell r="K5883">
            <v>2</v>
          </cell>
        </row>
        <row r="5884">
          <cell r="A5884" t="str">
            <v>M1</v>
          </cell>
          <cell r="B5884" t="str">
            <v>B2C</v>
          </cell>
          <cell r="C5884" t="str">
            <v>SH</v>
          </cell>
          <cell r="D5884" t="str">
            <v>22611</v>
          </cell>
          <cell r="E5884" t="str">
            <v>E SWG</v>
          </cell>
          <cell r="F5884">
            <v>2</v>
          </cell>
          <cell r="G5884" t="str">
            <v>CB162408080201</v>
          </cell>
          <cell r="H5884">
            <v>1</v>
          </cell>
          <cell r="I5884" t="str">
            <v>-</v>
          </cell>
          <cell r="J5884">
            <v>2</v>
          </cell>
          <cell r="K5884">
            <v>3</v>
          </cell>
        </row>
        <row r="5885">
          <cell r="A5885" t="str">
            <v>M1</v>
          </cell>
          <cell r="B5885" t="str">
            <v>A5C</v>
          </cell>
          <cell r="C5885" t="str">
            <v>P</v>
          </cell>
          <cell r="D5885" t="str">
            <v>22130</v>
          </cell>
          <cell r="E5885" t="str">
            <v>C SWG</v>
          </cell>
          <cell r="F5885">
            <v>2</v>
          </cell>
          <cell r="G5885" t="str">
            <v>CB161408080201</v>
          </cell>
          <cell r="H5885">
            <v>1</v>
          </cell>
          <cell r="I5885" t="str">
            <v>-</v>
          </cell>
          <cell r="J5885">
            <v>2</v>
          </cell>
          <cell r="K5885">
            <v>3</v>
          </cell>
        </row>
        <row r="5886">
          <cell r="A5886" t="str">
            <v>M1</v>
          </cell>
          <cell r="B5886" t="str">
            <v>A5C</v>
          </cell>
          <cell r="C5886" t="str">
            <v>P</v>
          </cell>
          <cell r="D5886" t="str">
            <v>22140</v>
          </cell>
          <cell r="E5886" t="str">
            <v>C SWG</v>
          </cell>
          <cell r="F5886">
            <v>2</v>
          </cell>
          <cell r="G5886" t="str">
            <v>CB161408080201</v>
          </cell>
          <cell r="H5886">
            <v>1</v>
          </cell>
          <cell r="I5886" t="str">
            <v>-</v>
          </cell>
          <cell r="J5886">
            <v>2</v>
          </cell>
          <cell r="K5886">
            <v>3</v>
          </cell>
        </row>
        <row r="5887">
          <cell r="A5887" t="str">
            <v>M1</v>
          </cell>
          <cell r="B5887" t="str">
            <v>A5C</v>
          </cell>
          <cell r="C5887" t="str">
            <v>P</v>
          </cell>
          <cell r="D5887" t="str">
            <v>22101</v>
          </cell>
          <cell r="E5887" t="str">
            <v>E SWG</v>
          </cell>
          <cell r="F5887">
            <v>2</v>
          </cell>
          <cell r="G5887" t="str">
            <v>CB1624080802IH</v>
          </cell>
          <cell r="H5887">
            <v>1.5</v>
          </cell>
          <cell r="I5887" t="str">
            <v>-</v>
          </cell>
          <cell r="J5887">
            <v>1</v>
          </cell>
          <cell r="K5887">
            <v>2</v>
          </cell>
        </row>
        <row r="5888">
          <cell r="A5888" t="str">
            <v>M1</v>
          </cell>
          <cell r="B5888" t="str">
            <v>A5C</v>
          </cell>
          <cell r="C5888" t="str">
            <v>P</v>
          </cell>
          <cell r="D5888" t="str">
            <v>22109</v>
          </cell>
          <cell r="E5888" t="str">
            <v>E SWG</v>
          </cell>
          <cell r="F5888">
            <v>2</v>
          </cell>
          <cell r="G5888" t="str">
            <v>CB1624080802IH</v>
          </cell>
          <cell r="H5888">
            <v>1.5</v>
          </cell>
          <cell r="I5888" t="str">
            <v>-</v>
          </cell>
          <cell r="J5888">
            <v>2</v>
          </cell>
          <cell r="K5888">
            <v>3</v>
          </cell>
        </row>
        <row r="5889">
          <cell r="A5889" t="str">
            <v>M1</v>
          </cell>
          <cell r="B5889" t="str">
            <v>A5C</v>
          </cell>
          <cell r="C5889" t="str">
            <v>P</v>
          </cell>
          <cell r="D5889" t="str">
            <v>22066</v>
          </cell>
          <cell r="E5889" t="str">
            <v>E SWG</v>
          </cell>
          <cell r="F5889">
            <v>2</v>
          </cell>
          <cell r="G5889" t="str">
            <v>CB162408080201</v>
          </cell>
          <cell r="H5889">
            <v>1</v>
          </cell>
          <cell r="I5889" t="str">
            <v>-</v>
          </cell>
          <cell r="J5889">
            <v>2</v>
          </cell>
          <cell r="K5889">
            <v>3</v>
          </cell>
        </row>
        <row r="5890">
          <cell r="A5890" t="str">
            <v>M1</v>
          </cell>
          <cell r="B5890" t="str">
            <v>A5C</v>
          </cell>
          <cell r="C5890" t="str">
            <v>N</v>
          </cell>
          <cell r="D5890" t="str">
            <v>25611</v>
          </cell>
          <cell r="E5890" t="str">
            <v>SOL</v>
          </cell>
          <cell r="F5890">
            <v>2</v>
          </cell>
          <cell r="G5890" t="str">
            <v>CB39020000020T</v>
          </cell>
          <cell r="H5890">
            <v>0.75</v>
          </cell>
          <cell r="I5890" t="str">
            <v>-</v>
          </cell>
          <cell r="J5890">
            <v>2</v>
          </cell>
          <cell r="K5890">
            <v>3</v>
          </cell>
        </row>
        <row r="5891">
          <cell r="A5891" t="str">
            <v>M1</v>
          </cell>
          <cell r="B5891" t="str">
            <v>A5C</v>
          </cell>
          <cell r="C5891" t="str">
            <v>P</v>
          </cell>
          <cell r="D5891" t="str">
            <v>22068</v>
          </cell>
          <cell r="E5891" t="str">
            <v>SOL</v>
          </cell>
          <cell r="F5891">
            <v>2</v>
          </cell>
          <cell r="G5891" t="str">
            <v>CB39020000020T</v>
          </cell>
          <cell r="H5891">
            <v>0.75</v>
          </cell>
          <cell r="I5891" t="str">
            <v>-</v>
          </cell>
          <cell r="J5891">
            <v>2</v>
          </cell>
          <cell r="K5891">
            <v>3</v>
          </cell>
        </row>
        <row r="5892">
          <cell r="A5892" t="str">
            <v>M1</v>
          </cell>
          <cell r="B5892" t="str">
            <v>A5C</v>
          </cell>
          <cell r="C5892" t="str">
            <v>P</v>
          </cell>
          <cell r="D5892" t="str">
            <v>22140</v>
          </cell>
          <cell r="E5892" t="str">
            <v>SOL</v>
          </cell>
          <cell r="F5892">
            <v>2</v>
          </cell>
          <cell r="G5892" t="str">
            <v>CB39020000020T</v>
          </cell>
          <cell r="H5892">
            <v>0.75</v>
          </cell>
          <cell r="I5892" t="str">
            <v>-</v>
          </cell>
          <cell r="J5892">
            <v>2</v>
          </cell>
          <cell r="K5892">
            <v>3</v>
          </cell>
        </row>
        <row r="5893">
          <cell r="A5893" t="str">
            <v>M1</v>
          </cell>
          <cell r="B5893" t="str">
            <v>A5C</v>
          </cell>
          <cell r="C5893" t="str">
            <v>P</v>
          </cell>
          <cell r="D5893" t="str">
            <v>22130</v>
          </cell>
          <cell r="E5893" t="str">
            <v>SOL</v>
          </cell>
          <cell r="F5893">
            <v>2</v>
          </cell>
          <cell r="G5893" t="str">
            <v>CB39020000020T</v>
          </cell>
          <cell r="H5893">
            <v>0.75</v>
          </cell>
          <cell r="I5893" t="str">
            <v>-</v>
          </cell>
          <cell r="J5893">
            <v>2</v>
          </cell>
          <cell r="K5893">
            <v>3</v>
          </cell>
        </row>
        <row r="5894">
          <cell r="A5894" t="str">
            <v>M1</v>
          </cell>
          <cell r="B5894" t="str">
            <v>A5C</v>
          </cell>
          <cell r="C5894" t="str">
            <v>P</v>
          </cell>
          <cell r="D5894" t="str">
            <v>22100</v>
          </cell>
          <cell r="E5894" t="str">
            <v>C SWG</v>
          </cell>
          <cell r="F5894">
            <v>2</v>
          </cell>
          <cell r="G5894" t="str">
            <v>CB1614080802IH</v>
          </cell>
          <cell r="H5894">
            <v>1.5</v>
          </cell>
          <cell r="I5894" t="str">
            <v>-</v>
          </cell>
          <cell r="J5894">
            <v>2</v>
          </cell>
          <cell r="K5894">
            <v>3</v>
          </cell>
        </row>
        <row r="5895">
          <cell r="A5895" t="str">
            <v>M1</v>
          </cell>
          <cell r="B5895" t="str">
            <v>A5C</v>
          </cell>
          <cell r="C5895" t="str">
            <v>P</v>
          </cell>
          <cell r="D5895" t="str">
            <v>22100</v>
          </cell>
          <cell r="E5895" t="str">
            <v>SOL</v>
          </cell>
          <cell r="F5895">
            <v>2</v>
          </cell>
          <cell r="G5895" t="str">
            <v>CB39020000020T</v>
          </cell>
          <cell r="H5895">
            <v>0.75</v>
          </cell>
          <cell r="I5895" t="str">
            <v>-</v>
          </cell>
          <cell r="J5895">
            <v>2</v>
          </cell>
          <cell r="K5895">
            <v>3</v>
          </cell>
        </row>
        <row r="5896">
          <cell r="A5896" t="str">
            <v>M1</v>
          </cell>
          <cell r="B5896" t="str">
            <v>A5C</v>
          </cell>
          <cell r="C5896" t="str">
            <v>P</v>
          </cell>
          <cell r="D5896" t="str">
            <v>22034</v>
          </cell>
          <cell r="E5896" t="str">
            <v>SOL</v>
          </cell>
          <cell r="F5896">
            <v>2</v>
          </cell>
          <cell r="G5896" t="str">
            <v>CB3902000006010601</v>
          </cell>
          <cell r="H5896">
            <v>1</v>
          </cell>
          <cell r="I5896" t="str">
            <v>-</v>
          </cell>
          <cell r="J5896">
            <v>2</v>
          </cell>
          <cell r="K5896">
            <v>3</v>
          </cell>
        </row>
        <row r="5897">
          <cell r="A5897" t="str">
            <v>M1</v>
          </cell>
          <cell r="B5897" t="str">
            <v>A5C</v>
          </cell>
          <cell r="C5897" t="str">
            <v>P</v>
          </cell>
          <cell r="D5897" t="str">
            <v>22004</v>
          </cell>
          <cell r="E5897" t="str">
            <v>SOL</v>
          </cell>
          <cell r="F5897">
            <v>2</v>
          </cell>
          <cell r="G5897" t="str">
            <v>CB39020000020T</v>
          </cell>
          <cell r="H5897">
            <v>0.75</v>
          </cell>
          <cell r="I5897" t="str">
            <v>-</v>
          </cell>
          <cell r="J5897">
            <v>1</v>
          </cell>
          <cell r="K5897">
            <v>2</v>
          </cell>
        </row>
        <row r="5898">
          <cell r="A5898" t="str">
            <v>M1</v>
          </cell>
          <cell r="B5898" t="str">
            <v>A5C</v>
          </cell>
          <cell r="C5898" t="str">
            <v>P</v>
          </cell>
          <cell r="D5898" t="str">
            <v>22004</v>
          </cell>
          <cell r="E5898" t="str">
            <v>SOL</v>
          </cell>
          <cell r="F5898">
            <v>2</v>
          </cell>
          <cell r="G5898" t="str">
            <v>CB39020000020T</v>
          </cell>
          <cell r="H5898">
            <v>0.75</v>
          </cell>
          <cell r="I5898" t="str">
            <v>-</v>
          </cell>
          <cell r="J5898">
            <v>1</v>
          </cell>
          <cell r="K5898">
            <v>2</v>
          </cell>
        </row>
        <row r="5899">
          <cell r="A5899" t="str">
            <v>M1</v>
          </cell>
          <cell r="B5899" t="str">
            <v>A4C</v>
          </cell>
          <cell r="C5899" t="str">
            <v>P</v>
          </cell>
          <cell r="D5899" t="str">
            <v>22031</v>
          </cell>
          <cell r="E5899" t="str">
            <v>C SWG</v>
          </cell>
          <cell r="F5899">
            <v>2</v>
          </cell>
          <cell r="G5899" t="str">
            <v>CB1614080802IH</v>
          </cell>
          <cell r="H5899">
            <v>1.5</v>
          </cell>
          <cell r="I5899" t="str">
            <v>-</v>
          </cell>
          <cell r="J5899">
            <v>1</v>
          </cell>
          <cell r="K5899">
            <v>2</v>
          </cell>
        </row>
        <row r="5900">
          <cell r="A5900" t="str">
            <v>M1</v>
          </cell>
          <cell r="B5900" t="str">
            <v>A4C</v>
          </cell>
          <cell r="C5900" t="str">
            <v>P</v>
          </cell>
          <cell r="D5900" t="str">
            <v>22031</v>
          </cell>
          <cell r="E5900" t="str">
            <v>C SWG</v>
          </cell>
          <cell r="F5900">
            <v>2</v>
          </cell>
          <cell r="G5900" t="str">
            <v>CB1614080802IH</v>
          </cell>
          <cell r="H5900">
            <v>1.5</v>
          </cell>
          <cell r="I5900" t="str">
            <v>-</v>
          </cell>
          <cell r="J5900">
            <v>5</v>
          </cell>
          <cell r="K5900">
            <v>6</v>
          </cell>
        </row>
        <row r="5901">
          <cell r="A5901" t="str">
            <v>M1</v>
          </cell>
          <cell r="B5901" t="str">
            <v>A5C</v>
          </cell>
          <cell r="C5901" t="str">
            <v>P</v>
          </cell>
          <cell r="D5901" t="str">
            <v>22062</v>
          </cell>
          <cell r="E5901" t="str">
            <v>SOL</v>
          </cell>
          <cell r="F5901">
            <v>2</v>
          </cell>
          <cell r="G5901" t="str">
            <v>CB390200001001</v>
          </cell>
          <cell r="H5901">
            <v>1</v>
          </cell>
          <cell r="I5901" t="str">
            <v>-</v>
          </cell>
          <cell r="J5901">
            <v>2</v>
          </cell>
          <cell r="K5901">
            <v>3</v>
          </cell>
        </row>
        <row r="5902">
          <cell r="A5902" t="str">
            <v>M1</v>
          </cell>
          <cell r="B5902" t="str">
            <v>B2C</v>
          </cell>
          <cell r="C5902" t="str">
            <v>SH</v>
          </cell>
          <cell r="D5902" t="str">
            <v>22612</v>
          </cell>
          <cell r="E5902" t="str">
            <v>E RED</v>
          </cell>
          <cell r="F5902">
            <v>2</v>
          </cell>
          <cell r="G5902" t="str">
            <v>CB300604080302</v>
          </cell>
          <cell r="H5902">
            <v>2</v>
          </cell>
          <cell r="I5902" t="str">
            <v>-</v>
          </cell>
          <cell r="J5902">
            <v>1</v>
          </cell>
          <cell r="K5902">
            <v>2</v>
          </cell>
        </row>
        <row r="5903">
          <cell r="A5903" t="str">
            <v>M1</v>
          </cell>
          <cell r="B5903" t="str">
            <v>B2C</v>
          </cell>
          <cell r="C5903" t="str">
            <v>SH</v>
          </cell>
          <cell r="D5903" t="str">
            <v>22625</v>
          </cell>
          <cell r="E5903" t="str">
            <v>E RED</v>
          </cell>
          <cell r="F5903">
            <v>2</v>
          </cell>
          <cell r="G5903" t="str">
            <v>CB300604080302</v>
          </cell>
          <cell r="H5903">
            <v>2</v>
          </cell>
          <cell r="I5903" t="str">
            <v>-</v>
          </cell>
          <cell r="J5903">
            <v>1</v>
          </cell>
          <cell r="K5903">
            <v>2</v>
          </cell>
        </row>
        <row r="5904">
          <cell r="A5904" t="str">
            <v>M1</v>
          </cell>
          <cell r="B5904" t="str">
            <v>B2C</v>
          </cell>
          <cell r="C5904" t="str">
            <v>SH</v>
          </cell>
          <cell r="D5904" t="str">
            <v>22601</v>
          </cell>
          <cell r="E5904" t="str">
            <v>SOL</v>
          </cell>
          <cell r="F5904">
            <v>2</v>
          </cell>
          <cell r="G5904" t="str">
            <v>CB39020000030T</v>
          </cell>
          <cell r="H5904">
            <v>0.75</v>
          </cell>
          <cell r="I5904" t="str">
            <v>-</v>
          </cell>
          <cell r="J5904">
            <v>2</v>
          </cell>
          <cell r="K5904">
            <v>3</v>
          </cell>
        </row>
        <row r="5905">
          <cell r="A5905" t="str">
            <v>M1</v>
          </cell>
          <cell r="B5905" t="str">
            <v>B2C</v>
          </cell>
          <cell r="C5905" t="str">
            <v>TRIM</v>
          </cell>
          <cell r="D5905" t="str">
            <v>V-2218</v>
          </cell>
          <cell r="E5905" t="str">
            <v>SOL</v>
          </cell>
          <cell r="F5905">
            <v>2</v>
          </cell>
          <cell r="G5905" t="str">
            <v>CB39020000030T</v>
          </cell>
          <cell r="H5905">
            <v>0.75</v>
          </cell>
          <cell r="I5905" t="str">
            <v>-</v>
          </cell>
          <cell r="J5905">
            <v>6</v>
          </cell>
          <cell r="K5905">
            <v>7</v>
          </cell>
        </row>
        <row r="5906">
          <cell r="A5906" t="str">
            <v>M1</v>
          </cell>
          <cell r="B5906" t="str">
            <v>A5C</v>
          </cell>
          <cell r="C5906" t="str">
            <v>P</v>
          </cell>
          <cell r="D5906" t="str">
            <v>22066</v>
          </cell>
          <cell r="E5906" t="str">
            <v>E RED</v>
          </cell>
          <cell r="F5906">
            <v>2</v>
          </cell>
          <cell r="G5906" t="str">
            <v>CB300604080302</v>
          </cell>
          <cell r="H5906">
            <v>2</v>
          </cell>
          <cell r="I5906" t="str">
            <v>-</v>
          </cell>
          <cell r="J5906">
            <v>1</v>
          </cell>
          <cell r="K5906">
            <v>2</v>
          </cell>
        </row>
        <row r="5907">
          <cell r="A5907" t="str">
            <v>M1</v>
          </cell>
          <cell r="B5907" t="str">
            <v>A5C</v>
          </cell>
          <cell r="C5907" t="str">
            <v>P</v>
          </cell>
          <cell r="D5907" t="str">
            <v>22130</v>
          </cell>
          <cell r="E5907" t="str">
            <v>E RED</v>
          </cell>
          <cell r="F5907">
            <v>2</v>
          </cell>
          <cell r="G5907" t="str">
            <v>CB300604080302</v>
          </cell>
          <cell r="H5907">
            <v>2</v>
          </cell>
          <cell r="I5907" t="str">
            <v>-</v>
          </cell>
          <cell r="J5907">
            <v>2</v>
          </cell>
          <cell r="K5907">
            <v>3</v>
          </cell>
        </row>
        <row r="5908">
          <cell r="A5908" t="str">
            <v>M1</v>
          </cell>
          <cell r="B5908" t="str">
            <v>A5C</v>
          </cell>
          <cell r="C5908" t="str">
            <v>P</v>
          </cell>
          <cell r="D5908" t="str">
            <v>22140</v>
          </cell>
          <cell r="E5908" t="str">
            <v>E RED</v>
          </cell>
          <cell r="F5908">
            <v>2</v>
          </cell>
          <cell r="G5908" t="str">
            <v>CB300604080302</v>
          </cell>
          <cell r="H5908">
            <v>2</v>
          </cell>
          <cell r="I5908" t="str">
            <v>-</v>
          </cell>
          <cell r="J5908">
            <v>2</v>
          </cell>
          <cell r="K5908">
            <v>3</v>
          </cell>
        </row>
        <row r="5909">
          <cell r="A5909" t="str">
            <v>M1</v>
          </cell>
          <cell r="B5909" t="str">
            <v>A5C</v>
          </cell>
          <cell r="C5909" t="str">
            <v>P</v>
          </cell>
          <cell r="D5909" t="str">
            <v>22081</v>
          </cell>
          <cell r="E5909" t="str">
            <v>E RED</v>
          </cell>
          <cell r="F5909">
            <v>2</v>
          </cell>
          <cell r="G5909" t="str">
            <v>CB300604080302</v>
          </cell>
          <cell r="H5909">
            <v>2</v>
          </cell>
          <cell r="I5909" t="str">
            <v>-</v>
          </cell>
          <cell r="J5909">
            <v>2</v>
          </cell>
          <cell r="K5909">
            <v>3</v>
          </cell>
        </row>
        <row r="5910">
          <cell r="A5910" t="str">
            <v>M1</v>
          </cell>
          <cell r="B5910" t="str">
            <v>A5C</v>
          </cell>
          <cell r="C5910" t="str">
            <v>P</v>
          </cell>
          <cell r="D5910" t="str">
            <v>22153</v>
          </cell>
          <cell r="E5910" t="str">
            <v>SOL</v>
          </cell>
          <cell r="F5910">
            <v>2</v>
          </cell>
          <cell r="G5910" t="str">
            <v>CB39020000030T</v>
          </cell>
          <cell r="H5910">
            <v>0.75</v>
          </cell>
          <cell r="I5910" t="str">
            <v>-</v>
          </cell>
          <cell r="J5910">
            <v>4</v>
          </cell>
          <cell r="K5910">
            <v>5</v>
          </cell>
        </row>
        <row r="5911">
          <cell r="A5911" t="str">
            <v>M1</v>
          </cell>
          <cell r="B5911" t="str">
            <v>A5C</v>
          </cell>
          <cell r="C5911" t="str">
            <v>TRIM</v>
          </cell>
          <cell r="D5911" t="str">
            <v>V-2211</v>
          </cell>
          <cell r="E5911" t="str">
            <v>SOL</v>
          </cell>
          <cell r="F5911">
            <v>2</v>
          </cell>
          <cell r="G5911" t="str">
            <v>CB39020000030T</v>
          </cell>
          <cell r="H5911">
            <v>0.75</v>
          </cell>
          <cell r="I5911" t="str">
            <v>-</v>
          </cell>
          <cell r="J5911">
            <v>5</v>
          </cell>
          <cell r="K5911">
            <v>6</v>
          </cell>
        </row>
        <row r="5912">
          <cell r="A5912" t="str">
            <v>M1</v>
          </cell>
          <cell r="B5912" t="str">
            <v>A5C</v>
          </cell>
          <cell r="C5912" t="str">
            <v>P</v>
          </cell>
          <cell r="D5912" t="str">
            <v>22081</v>
          </cell>
          <cell r="E5912" t="str">
            <v>SOL</v>
          </cell>
          <cell r="F5912">
            <v>2</v>
          </cell>
          <cell r="G5912" t="str">
            <v>CB39020000030T</v>
          </cell>
          <cell r="H5912">
            <v>0.75</v>
          </cell>
          <cell r="I5912" t="str">
            <v>-</v>
          </cell>
          <cell r="J5912">
            <v>3</v>
          </cell>
          <cell r="K5912">
            <v>4</v>
          </cell>
        </row>
        <row r="5913">
          <cell r="A5913" t="str">
            <v>M1</v>
          </cell>
          <cell r="B5913" t="str">
            <v>A5C</v>
          </cell>
          <cell r="C5913" t="str">
            <v>P</v>
          </cell>
          <cell r="D5913" t="str">
            <v>22094</v>
          </cell>
          <cell r="E5913" t="str">
            <v>C SWG</v>
          </cell>
          <cell r="F5913">
            <v>2</v>
          </cell>
          <cell r="G5913" t="str">
            <v>CB1614040803IH</v>
          </cell>
          <cell r="H5913">
            <v>1.5</v>
          </cell>
          <cell r="I5913" t="str">
            <v>-</v>
          </cell>
          <cell r="J5913">
            <v>2</v>
          </cell>
          <cell r="K5913">
            <v>3</v>
          </cell>
        </row>
        <row r="5914">
          <cell r="A5914" t="str">
            <v>M1</v>
          </cell>
          <cell r="B5914" t="str">
            <v>A5C</v>
          </cell>
          <cell r="C5914" t="str">
            <v>P</v>
          </cell>
          <cell r="D5914" t="str">
            <v>22095</v>
          </cell>
          <cell r="E5914" t="str">
            <v>C SWG</v>
          </cell>
          <cell r="F5914">
            <v>2</v>
          </cell>
          <cell r="G5914" t="str">
            <v>CB1614040803IH</v>
          </cell>
          <cell r="H5914">
            <v>1.5</v>
          </cell>
          <cell r="I5914" t="str">
            <v>-</v>
          </cell>
          <cell r="J5914">
            <v>2</v>
          </cell>
          <cell r="K5914">
            <v>3</v>
          </cell>
        </row>
        <row r="5915">
          <cell r="A5915" t="str">
            <v>M1</v>
          </cell>
          <cell r="B5915" t="str">
            <v>A5C</v>
          </cell>
          <cell r="C5915" t="str">
            <v>P</v>
          </cell>
          <cell r="D5915" t="str">
            <v>22073</v>
          </cell>
          <cell r="E5915" t="str">
            <v>SOL</v>
          </cell>
          <cell r="F5915">
            <v>2</v>
          </cell>
          <cell r="G5915" t="str">
            <v>CB390200001001</v>
          </cell>
          <cell r="H5915">
            <v>1</v>
          </cell>
          <cell r="I5915" t="str">
            <v>-</v>
          </cell>
          <cell r="J5915">
            <v>2</v>
          </cell>
          <cell r="K5915">
            <v>3</v>
          </cell>
        </row>
        <row r="5916">
          <cell r="A5916" t="str">
            <v>M1</v>
          </cell>
          <cell r="B5916" t="str">
            <v>A4C</v>
          </cell>
          <cell r="C5916" t="str">
            <v>P</v>
          </cell>
          <cell r="D5916" t="str">
            <v>22008</v>
          </cell>
          <cell r="E5916" t="str">
            <v>SOL</v>
          </cell>
          <cell r="F5916">
            <v>2</v>
          </cell>
          <cell r="G5916" t="str">
            <v>CB390200001001</v>
          </cell>
          <cell r="H5916">
            <v>1</v>
          </cell>
          <cell r="I5916" t="str">
            <v>-</v>
          </cell>
          <cell r="J5916">
            <v>2</v>
          </cell>
          <cell r="K5916">
            <v>3</v>
          </cell>
        </row>
        <row r="5917">
          <cell r="A5917" t="str">
            <v>M1</v>
          </cell>
          <cell r="B5917" t="str">
            <v>A4C</v>
          </cell>
          <cell r="C5917" t="str">
            <v>P</v>
          </cell>
          <cell r="D5917" t="str">
            <v>22008</v>
          </cell>
          <cell r="E5917" t="str">
            <v>SOL</v>
          </cell>
          <cell r="F5917">
            <v>2</v>
          </cell>
          <cell r="G5917" t="str">
            <v>CB390200001001</v>
          </cell>
          <cell r="H5917">
            <v>1</v>
          </cell>
          <cell r="I5917" t="str">
            <v>-</v>
          </cell>
          <cell r="J5917">
            <v>2</v>
          </cell>
          <cell r="K5917">
            <v>3</v>
          </cell>
        </row>
        <row r="5918">
          <cell r="A5918" t="str">
            <v>M1</v>
          </cell>
          <cell r="B5918" t="str">
            <v>A5C</v>
          </cell>
          <cell r="C5918" t="str">
            <v>P</v>
          </cell>
          <cell r="D5918" t="str">
            <v>22092</v>
          </cell>
          <cell r="E5918" t="str">
            <v>SOL</v>
          </cell>
          <cell r="F5918">
            <v>2</v>
          </cell>
          <cell r="G5918" t="str">
            <v>CB39020000030T</v>
          </cell>
          <cell r="H5918">
            <v>0.75</v>
          </cell>
          <cell r="I5918" t="str">
            <v>-</v>
          </cell>
          <cell r="J5918">
            <v>1</v>
          </cell>
          <cell r="K5918">
            <v>2</v>
          </cell>
        </row>
        <row r="5919">
          <cell r="A5919" t="str">
            <v>M1</v>
          </cell>
          <cell r="B5919" t="str">
            <v>A5C</v>
          </cell>
          <cell r="C5919" t="str">
            <v>P</v>
          </cell>
          <cell r="D5919" t="str">
            <v>22095</v>
          </cell>
          <cell r="E5919" t="str">
            <v>SOL</v>
          </cell>
          <cell r="F5919">
            <v>2</v>
          </cell>
          <cell r="G5919" t="str">
            <v>CB39020000030T</v>
          </cell>
          <cell r="H5919">
            <v>0.75</v>
          </cell>
          <cell r="I5919" t="str">
            <v>-</v>
          </cell>
          <cell r="J5919">
            <v>5</v>
          </cell>
          <cell r="K5919">
            <v>6</v>
          </cell>
        </row>
        <row r="5920">
          <cell r="A5920" t="str">
            <v>M1</v>
          </cell>
          <cell r="B5920" t="str">
            <v>A5C</v>
          </cell>
          <cell r="C5920" t="str">
            <v>P</v>
          </cell>
          <cell r="D5920" t="str">
            <v>22090</v>
          </cell>
          <cell r="E5920" t="str">
            <v>SOL</v>
          </cell>
          <cell r="F5920">
            <v>2</v>
          </cell>
          <cell r="G5920" t="str">
            <v>CB39020000030T</v>
          </cell>
          <cell r="H5920">
            <v>0.75</v>
          </cell>
          <cell r="I5920" t="str">
            <v>-</v>
          </cell>
          <cell r="J5920">
            <v>1</v>
          </cell>
          <cell r="K5920">
            <v>2</v>
          </cell>
        </row>
        <row r="5921">
          <cell r="A5921" t="str">
            <v>M1</v>
          </cell>
          <cell r="B5921" t="str">
            <v>A5C</v>
          </cell>
          <cell r="C5921" t="str">
            <v>P</v>
          </cell>
          <cell r="D5921" t="str">
            <v>22093</v>
          </cell>
          <cell r="E5921" t="str">
            <v>SOL</v>
          </cell>
          <cell r="F5921">
            <v>2</v>
          </cell>
          <cell r="G5921" t="str">
            <v>CB39020000030T</v>
          </cell>
          <cell r="H5921">
            <v>0.75</v>
          </cell>
          <cell r="I5921" t="str">
            <v>-</v>
          </cell>
          <cell r="J5921">
            <v>1</v>
          </cell>
          <cell r="K5921">
            <v>2</v>
          </cell>
        </row>
        <row r="5922">
          <cell r="A5922" t="str">
            <v>M1</v>
          </cell>
          <cell r="B5922" t="str">
            <v>A5C</v>
          </cell>
          <cell r="C5922" t="str">
            <v>P</v>
          </cell>
          <cell r="D5922" t="str">
            <v>22001</v>
          </cell>
          <cell r="E5922" t="str">
            <v>NPL</v>
          </cell>
          <cell r="F5922">
            <v>2</v>
          </cell>
          <cell r="G5922" t="str">
            <v>CB1321080001VR</v>
          </cell>
          <cell r="H5922">
            <v>1</v>
          </cell>
          <cell r="I5922" t="str">
            <v>75mm</v>
          </cell>
          <cell r="J5922">
            <v>2</v>
          </cell>
          <cell r="K5922">
            <v>2</v>
          </cell>
        </row>
        <row r="5923">
          <cell r="A5923" t="str">
            <v>M1</v>
          </cell>
          <cell r="B5923" t="str">
            <v>A5C</v>
          </cell>
          <cell r="C5923" t="str">
            <v>P</v>
          </cell>
          <cell r="D5923" t="str">
            <v>22094</v>
          </cell>
          <cell r="E5923" t="str">
            <v>SOL</v>
          </cell>
          <cell r="F5923">
            <v>2</v>
          </cell>
          <cell r="G5923" t="str">
            <v>CB39020000030T</v>
          </cell>
          <cell r="H5923">
            <v>0.75</v>
          </cell>
          <cell r="I5923" t="str">
            <v>-</v>
          </cell>
          <cell r="J5923">
            <v>5</v>
          </cell>
          <cell r="K5923">
            <v>6</v>
          </cell>
        </row>
        <row r="5924">
          <cell r="A5924" t="str">
            <v>M1</v>
          </cell>
          <cell r="B5924" t="str">
            <v>A5C</v>
          </cell>
          <cell r="C5924" t="str">
            <v>P</v>
          </cell>
          <cell r="D5924" t="str">
            <v>22004</v>
          </cell>
          <cell r="E5924" t="str">
            <v>C RED</v>
          </cell>
          <cell r="F5924">
            <v>2</v>
          </cell>
          <cell r="G5924" t="str">
            <v>CB300504080302</v>
          </cell>
          <cell r="H5924">
            <v>2</v>
          </cell>
          <cell r="I5924" t="str">
            <v>-</v>
          </cell>
          <cell r="J5924">
            <v>1</v>
          </cell>
          <cell r="K5924">
            <v>2</v>
          </cell>
        </row>
        <row r="5925">
          <cell r="A5925" t="str">
            <v>M1</v>
          </cell>
          <cell r="B5925" t="str">
            <v>A5C</v>
          </cell>
          <cell r="C5925" t="str">
            <v>P</v>
          </cell>
          <cell r="D5925" t="str">
            <v>22004</v>
          </cell>
          <cell r="E5925" t="str">
            <v>C RED</v>
          </cell>
          <cell r="F5925">
            <v>2</v>
          </cell>
          <cell r="G5925" t="str">
            <v>CB300504080302</v>
          </cell>
          <cell r="H5925">
            <v>2</v>
          </cell>
          <cell r="I5925" t="str">
            <v>-</v>
          </cell>
          <cell r="J5925">
            <v>1</v>
          </cell>
          <cell r="K5925">
            <v>2</v>
          </cell>
        </row>
        <row r="5926">
          <cell r="A5926" t="str">
            <v>M1</v>
          </cell>
          <cell r="B5926" t="str">
            <v>A5C</v>
          </cell>
          <cell r="C5926" t="str">
            <v>P</v>
          </cell>
          <cell r="D5926" t="str">
            <v>22003</v>
          </cell>
          <cell r="E5926" t="str">
            <v>SOL</v>
          </cell>
          <cell r="F5926">
            <v>2</v>
          </cell>
          <cell r="G5926" t="str">
            <v>CB39020000030T</v>
          </cell>
          <cell r="H5926">
            <v>0.75</v>
          </cell>
          <cell r="I5926" t="str">
            <v>-</v>
          </cell>
          <cell r="J5926">
            <v>2</v>
          </cell>
          <cell r="K5926">
            <v>3</v>
          </cell>
        </row>
        <row r="5927">
          <cell r="A5927" t="str">
            <v>M1</v>
          </cell>
          <cell r="B5927" t="str">
            <v>A5C</v>
          </cell>
          <cell r="C5927" t="str">
            <v>P</v>
          </cell>
          <cell r="D5927" t="str">
            <v>22096</v>
          </cell>
          <cell r="E5927" t="str">
            <v>SOL</v>
          </cell>
          <cell r="F5927">
            <v>2</v>
          </cell>
          <cell r="G5927" t="str">
            <v>CB390200000201</v>
          </cell>
          <cell r="H5927">
            <v>1</v>
          </cell>
          <cell r="I5927" t="str">
            <v>-</v>
          </cell>
          <cell r="J5927">
            <v>1</v>
          </cell>
          <cell r="K5927">
            <v>2</v>
          </cell>
        </row>
        <row r="5928">
          <cell r="A5928" t="str">
            <v>M1</v>
          </cell>
          <cell r="B5928" t="str">
            <v>A5C</v>
          </cell>
          <cell r="C5928" t="str">
            <v>P</v>
          </cell>
          <cell r="D5928" t="str">
            <v>22004</v>
          </cell>
          <cell r="E5928" t="str">
            <v>SOL</v>
          </cell>
          <cell r="F5928">
            <v>2</v>
          </cell>
          <cell r="G5928" t="str">
            <v>CB39020000030T</v>
          </cell>
          <cell r="H5928">
            <v>0.75</v>
          </cell>
          <cell r="I5928" t="str">
            <v>-</v>
          </cell>
          <cell r="J5928">
            <v>1</v>
          </cell>
          <cell r="K5928">
            <v>2</v>
          </cell>
        </row>
        <row r="5929">
          <cell r="A5929" t="str">
            <v>M1</v>
          </cell>
          <cell r="B5929" t="str">
            <v>A5C</v>
          </cell>
          <cell r="C5929" t="str">
            <v>P</v>
          </cell>
          <cell r="D5929" t="str">
            <v>22004</v>
          </cell>
          <cell r="E5929" t="str">
            <v>SOL</v>
          </cell>
          <cell r="F5929">
            <v>2</v>
          </cell>
          <cell r="G5929" t="str">
            <v>CB3902000003IH</v>
          </cell>
          <cell r="H5929">
            <v>1.5</v>
          </cell>
          <cell r="I5929" t="str">
            <v>-</v>
          </cell>
          <cell r="J5929">
            <v>1</v>
          </cell>
          <cell r="K5929">
            <v>2</v>
          </cell>
        </row>
        <row r="5930">
          <cell r="A5930" t="str">
            <v>M1</v>
          </cell>
          <cell r="B5930" t="str">
            <v>A5C</v>
          </cell>
          <cell r="C5930" t="str">
            <v>P</v>
          </cell>
          <cell r="D5930" t="str">
            <v>22005</v>
          </cell>
          <cell r="E5930" t="str">
            <v>SOL</v>
          </cell>
          <cell r="F5930">
            <v>2</v>
          </cell>
          <cell r="G5930" t="str">
            <v>CB39020000030T</v>
          </cell>
          <cell r="H5930">
            <v>0.75</v>
          </cell>
          <cell r="I5930" t="str">
            <v>-</v>
          </cell>
          <cell r="J5930">
            <v>1</v>
          </cell>
          <cell r="K5930">
            <v>2</v>
          </cell>
        </row>
        <row r="5931">
          <cell r="A5931" t="str">
            <v>M1</v>
          </cell>
          <cell r="B5931" t="str">
            <v>A5C</v>
          </cell>
          <cell r="C5931" t="str">
            <v>P</v>
          </cell>
          <cell r="D5931" t="str">
            <v>22001</v>
          </cell>
          <cell r="E5931" t="str">
            <v>SOL</v>
          </cell>
          <cell r="F5931">
            <v>2</v>
          </cell>
          <cell r="G5931" t="str">
            <v>CB39020000030T</v>
          </cell>
          <cell r="H5931">
            <v>0.75</v>
          </cell>
          <cell r="I5931" t="str">
            <v>-</v>
          </cell>
          <cell r="J5931">
            <v>3</v>
          </cell>
          <cell r="K5931">
            <v>4</v>
          </cell>
        </row>
        <row r="5932">
          <cell r="A5932" t="str">
            <v>M1</v>
          </cell>
          <cell r="B5932" t="str">
            <v>A5C</v>
          </cell>
          <cell r="C5932" t="str">
            <v>N</v>
          </cell>
          <cell r="D5932" t="str">
            <v>22681</v>
          </cell>
          <cell r="E5932" t="str">
            <v>90 ELL</v>
          </cell>
          <cell r="F5932">
            <v>2</v>
          </cell>
          <cell r="G5932" t="str">
            <v>CB400100001000</v>
          </cell>
          <cell r="H5932">
            <v>1</v>
          </cell>
          <cell r="I5932" t="str">
            <v>--</v>
          </cell>
          <cell r="J5932">
            <v>1</v>
          </cell>
          <cell r="K5932">
            <v>1</v>
          </cell>
        </row>
        <row r="5933">
          <cell r="A5933" t="str">
            <v>M1</v>
          </cell>
          <cell r="B5933" t="str">
            <v>A5C</v>
          </cell>
          <cell r="C5933" t="str">
            <v>P</v>
          </cell>
          <cell r="D5933" t="str">
            <v>22001</v>
          </cell>
          <cell r="E5933" t="str">
            <v>SOL</v>
          </cell>
          <cell r="F5933">
            <v>2</v>
          </cell>
          <cell r="G5933" t="str">
            <v>CB3902000003IH</v>
          </cell>
          <cell r="H5933">
            <v>1.5</v>
          </cell>
          <cell r="I5933" t="str">
            <v>-</v>
          </cell>
          <cell r="J5933">
            <v>1</v>
          </cell>
          <cell r="K5933">
            <v>2</v>
          </cell>
        </row>
        <row r="5934">
          <cell r="A5934" t="str">
            <v>M1</v>
          </cell>
          <cell r="B5934" t="str">
            <v>A5C</v>
          </cell>
          <cell r="C5934" t="str">
            <v>TRIM</v>
          </cell>
          <cell r="D5934" t="str">
            <v>V-2213</v>
          </cell>
          <cell r="E5934" t="str">
            <v>SOL</v>
          </cell>
          <cell r="F5934">
            <v>2</v>
          </cell>
          <cell r="G5934" t="str">
            <v>CB39020000030T</v>
          </cell>
          <cell r="H5934">
            <v>0.75</v>
          </cell>
          <cell r="I5934" t="str">
            <v>-</v>
          </cell>
          <cell r="J5934">
            <v>1</v>
          </cell>
          <cell r="K5934">
            <v>2</v>
          </cell>
        </row>
        <row r="5935">
          <cell r="A5935" t="str">
            <v>M1</v>
          </cell>
          <cell r="B5935" t="str">
            <v>A4C</v>
          </cell>
          <cell r="C5935" t="str">
            <v>P</v>
          </cell>
          <cell r="D5935" t="str">
            <v>22031</v>
          </cell>
          <cell r="E5935" t="str">
            <v>C RED</v>
          </cell>
          <cell r="F5935">
            <v>2</v>
          </cell>
          <cell r="G5935" t="str">
            <v>CB300504080302</v>
          </cell>
          <cell r="H5935">
            <v>2</v>
          </cell>
          <cell r="I5935" t="str">
            <v>-</v>
          </cell>
          <cell r="J5935">
            <v>5</v>
          </cell>
          <cell r="K5935">
            <v>6</v>
          </cell>
        </row>
        <row r="5936">
          <cell r="A5936" t="str">
            <v>M1</v>
          </cell>
          <cell r="B5936" t="str">
            <v>A4C</v>
          </cell>
          <cell r="C5936" t="str">
            <v>P</v>
          </cell>
          <cell r="D5936" t="str">
            <v>22031</v>
          </cell>
          <cell r="E5936" t="str">
            <v>C RED</v>
          </cell>
          <cell r="F5936">
            <v>2</v>
          </cell>
          <cell r="G5936" t="str">
            <v>CB300504080302</v>
          </cell>
          <cell r="H5936">
            <v>2</v>
          </cell>
          <cell r="I5936" t="str">
            <v>-</v>
          </cell>
          <cell r="J5936">
            <v>1</v>
          </cell>
          <cell r="K5936">
            <v>2</v>
          </cell>
        </row>
        <row r="5937">
          <cell r="A5937" t="str">
            <v>M1</v>
          </cell>
          <cell r="B5937" t="str">
            <v>A5C</v>
          </cell>
          <cell r="C5937" t="str">
            <v>P</v>
          </cell>
          <cell r="D5937" t="str">
            <v>22096</v>
          </cell>
          <cell r="E5937" t="str">
            <v>E RED</v>
          </cell>
          <cell r="F5937">
            <v>2</v>
          </cell>
          <cell r="G5937" t="str">
            <v>CB300604080302</v>
          </cell>
          <cell r="H5937">
            <v>2</v>
          </cell>
          <cell r="I5937" t="str">
            <v>-</v>
          </cell>
          <cell r="J5937">
            <v>1</v>
          </cell>
          <cell r="K5937">
            <v>2</v>
          </cell>
        </row>
        <row r="5938">
          <cell r="A5938" t="str">
            <v>M1</v>
          </cell>
          <cell r="B5938" t="str">
            <v>A5C</v>
          </cell>
          <cell r="C5938" t="str">
            <v>TRIM</v>
          </cell>
          <cell r="D5938" t="str">
            <v>C-2201</v>
          </cell>
          <cell r="E5938" t="str">
            <v>SOL</v>
          </cell>
          <cell r="F5938">
            <v>2</v>
          </cell>
          <cell r="G5938" t="str">
            <v>CB39020000030T</v>
          </cell>
          <cell r="H5938">
            <v>0.75</v>
          </cell>
          <cell r="I5938" t="str">
            <v>-</v>
          </cell>
          <cell r="J5938">
            <v>4</v>
          </cell>
          <cell r="K5938">
            <v>5</v>
          </cell>
        </row>
        <row r="5939">
          <cell r="A5939" t="str">
            <v>M1</v>
          </cell>
          <cell r="B5939" t="str">
            <v>A6C</v>
          </cell>
          <cell r="C5939" t="str">
            <v>TRIM</v>
          </cell>
          <cell r="D5939" t="str">
            <v>V-6501</v>
          </cell>
          <cell r="E5939" t="str">
            <v>SOL</v>
          </cell>
          <cell r="F5939">
            <v>2</v>
          </cell>
          <cell r="G5939" t="str">
            <v>CB39020000030T</v>
          </cell>
          <cell r="H5939">
            <v>0.75</v>
          </cell>
          <cell r="I5939" t="str">
            <v>-</v>
          </cell>
          <cell r="J5939">
            <v>6</v>
          </cell>
          <cell r="K5939">
            <v>7</v>
          </cell>
        </row>
        <row r="5940">
          <cell r="A5940" t="str">
            <v>M1</v>
          </cell>
          <cell r="B5940" t="str">
            <v>A5C</v>
          </cell>
          <cell r="C5940" t="str">
            <v>P</v>
          </cell>
          <cell r="D5940" t="str">
            <v>22088</v>
          </cell>
          <cell r="E5940" t="str">
            <v>SOL</v>
          </cell>
          <cell r="F5940">
            <v>2</v>
          </cell>
          <cell r="G5940" t="str">
            <v>CB39020000030T</v>
          </cell>
          <cell r="H5940">
            <v>0.75</v>
          </cell>
          <cell r="I5940" t="str">
            <v>-</v>
          </cell>
          <cell r="J5940">
            <v>3</v>
          </cell>
          <cell r="K5940">
            <v>4</v>
          </cell>
        </row>
        <row r="5941">
          <cell r="A5941" t="str">
            <v>M1</v>
          </cell>
          <cell r="B5941" t="str">
            <v>A5C</v>
          </cell>
          <cell r="C5941" t="str">
            <v>P</v>
          </cell>
          <cell r="D5941" t="str">
            <v>22089</v>
          </cell>
          <cell r="E5941" t="str">
            <v>SOL</v>
          </cell>
          <cell r="F5941">
            <v>2</v>
          </cell>
          <cell r="G5941" t="str">
            <v>CB39020000030T</v>
          </cell>
          <cell r="H5941">
            <v>0.75</v>
          </cell>
          <cell r="I5941" t="str">
            <v>-</v>
          </cell>
          <cell r="J5941">
            <v>1</v>
          </cell>
          <cell r="K5941">
            <v>2</v>
          </cell>
        </row>
        <row r="5942">
          <cell r="A5942" t="str">
            <v>M1</v>
          </cell>
          <cell r="B5942" t="str">
            <v>A5C</v>
          </cell>
          <cell r="C5942" t="str">
            <v>P</v>
          </cell>
          <cell r="D5942" t="str">
            <v>22069</v>
          </cell>
          <cell r="E5942" t="str">
            <v>C RED</v>
          </cell>
          <cell r="F5942">
            <v>2</v>
          </cell>
          <cell r="G5942" t="str">
            <v>CB300504080402</v>
          </cell>
          <cell r="H5942">
            <v>2</v>
          </cell>
          <cell r="I5942" t="str">
            <v>-</v>
          </cell>
          <cell r="J5942">
            <v>1</v>
          </cell>
          <cell r="K5942">
            <v>2</v>
          </cell>
        </row>
        <row r="5943">
          <cell r="A5943" t="str">
            <v>M1</v>
          </cell>
          <cell r="B5943" t="str">
            <v>A5C</v>
          </cell>
          <cell r="C5943" t="str">
            <v>P</v>
          </cell>
          <cell r="D5943" t="str">
            <v>22118</v>
          </cell>
          <cell r="E5943" t="str">
            <v>C RED</v>
          </cell>
          <cell r="F5943">
            <v>2</v>
          </cell>
          <cell r="G5943" t="str">
            <v>CB300504040403</v>
          </cell>
          <cell r="H5943">
            <v>3</v>
          </cell>
          <cell r="I5943" t="str">
            <v>-</v>
          </cell>
          <cell r="J5943">
            <v>1</v>
          </cell>
          <cell r="K5943">
            <v>2</v>
          </cell>
        </row>
        <row r="5944">
          <cell r="A5944" t="str">
            <v>M1</v>
          </cell>
          <cell r="B5944" t="str">
            <v>A5C</v>
          </cell>
          <cell r="C5944" t="str">
            <v>TRIM</v>
          </cell>
          <cell r="D5944" t="str">
            <v>V-2211</v>
          </cell>
          <cell r="E5944" t="str">
            <v>C RED</v>
          </cell>
          <cell r="F5944">
            <v>2</v>
          </cell>
          <cell r="G5944" t="str">
            <v>CB300504040403</v>
          </cell>
          <cell r="H5944">
            <v>3</v>
          </cell>
          <cell r="I5944" t="str">
            <v>-</v>
          </cell>
          <cell r="J5944">
            <v>1</v>
          </cell>
          <cell r="K5944">
            <v>2</v>
          </cell>
        </row>
        <row r="5945">
          <cell r="A5945" t="str">
            <v>M1</v>
          </cell>
          <cell r="B5945" t="str">
            <v>A5C</v>
          </cell>
          <cell r="C5945" t="str">
            <v>COMP</v>
          </cell>
          <cell r="D5945" t="str">
            <v>005</v>
          </cell>
          <cell r="E5945" t="str">
            <v>E RED</v>
          </cell>
          <cell r="F5945">
            <v>2</v>
          </cell>
          <cell r="G5945" t="str">
            <v>CB300604080402</v>
          </cell>
          <cell r="H5945">
            <v>2</v>
          </cell>
          <cell r="I5945" t="str">
            <v>-</v>
          </cell>
          <cell r="J5945">
            <v>1</v>
          </cell>
          <cell r="K5945">
            <v>2</v>
          </cell>
        </row>
        <row r="5946">
          <cell r="A5946" t="str">
            <v>M1</v>
          </cell>
          <cell r="B5946" t="str">
            <v>A5C</v>
          </cell>
          <cell r="C5946" t="str">
            <v>P</v>
          </cell>
          <cell r="D5946" t="str">
            <v>22109</v>
          </cell>
          <cell r="E5946" t="str">
            <v>E RED</v>
          </cell>
          <cell r="F5946">
            <v>2</v>
          </cell>
          <cell r="G5946" t="str">
            <v>CB300604080402</v>
          </cell>
          <cell r="H5946">
            <v>2</v>
          </cell>
          <cell r="I5946" t="str">
            <v>-</v>
          </cell>
          <cell r="J5946">
            <v>2</v>
          </cell>
          <cell r="K5946">
            <v>3</v>
          </cell>
        </row>
        <row r="5947">
          <cell r="A5947" t="str">
            <v>M1</v>
          </cell>
          <cell r="B5947" t="str">
            <v>A5C</v>
          </cell>
          <cell r="C5947" t="str">
            <v>P</v>
          </cell>
          <cell r="D5947" t="str">
            <v>22021</v>
          </cell>
          <cell r="E5947" t="str">
            <v>SOL</v>
          </cell>
          <cell r="F5947">
            <v>2</v>
          </cell>
          <cell r="G5947" t="str">
            <v>CB39020000040T</v>
          </cell>
          <cell r="H5947">
            <v>0.75</v>
          </cell>
          <cell r="I5947" t="str">
            <v>-</v>
          </cell>
          <cell r="J5947">
            <v>1</v>
          </cell>
          <cell r="K5947">
            <v>2</v>
          </cell>
        </row>
        <row r="5948">
          <cell r="A5948" t="str">
            <v>M1</v>
          </cell>
          <cell r="B5948" t="str">
            <v>A5C</v>
          </cell>
          <cell r="C5948" t="str">
            <v>P</v>
          </cell>
          <cell r="D5948" t="str">
            <v>22024</v>
          </cell>
          <cell r="E5948" t="str">
            <v>SOL</v>
          </cell>
          <cell r="F5948">
            <v>2</v>
          </cell>
          <cell r="G5948" t="str">
            <v>CB39020000040T</v>
          </cell>
          <cell r="H5948">
            <v>0.75</v>
          </cell>
          <cell r="I5948" t="str">
            <v>-</v>
          </cell>
          <cell r="J5948">
            <v>1</v>
          </cell>
          <cell r="K5948">
            <v>2</v>
          </cell>
        </row>
        <row r="5949">
          <cell r="A5949" t="str">
            <v>M1</v>
          </cell>
          <cell r="B5949" t="str">
            <v>A5C</v>
          </cell>
          <cell r="C5949" t="str">
            <v>P</v>
          </cell>
          <cell r="D5949" t="str">
            <v>22069</v>
          </cell>
          <cell r="E5949" t="str">
            <v>SOL</v>
          </cell>
          <cell r="F5949">
            <v>2</v>
          </cell>
          <cell r="G5949" t="str">
            <v>CB39020000040T</v>
          </cell>
          <cell r="H5949">
            <v>0.75</v>
          </cell>
          <cell r="I5949" t="str">
            <v>-</v>
          </cell>
          <cell r="J5949">
            <v>4</v>
          </cell>
          <cell r="K5949">
            <v>5</v>
          </cell>
        </row>
        <row r="5950">
          <cell r="A5950" t="str">
            <v>M1</v>
          </cell>
          <cell r="B5950" t="str">
            <v>A5C</v>
          </cell>
          <cell r="C5950" t="str">
            <v>P</v>
          </cell>
          <cell r="D5950" t="str">
            <v>22069</v>
          </cell>
          <cell r="E5950" t="str">
            <v>SOL</v>
          </cell>
          <cell r="F5950">
            <v>2</v>
          </cell>
          <cell r="G5950" t="str">
            <v>CB3902000004IH</v>
          </cell>
          <cell r="H5950">
            <v>1.5</v>
          </cell>
          <cell r="I5950" t="str">
            <v>-</v>
          </cell>
          <cell r="J5950">
            <v>1</v>
          </cell>
          <cell r="K5950">
            <v>2</v>
          </cell>
        </row>
        <row r="5951">
          <cell r="A5951" t="str">
            <v>M1</v>
          </cell>
          <cell r="B5951" t="str">
            <v>A5C</v>
          </cell>
          <cell r="C5951" t="str">
            <v>TRIM</v>
          </cell>
          <cell r="D5951" t="str">
            <v>V-2202</v>
          </cell>
          <cell r="E5951" t="str">
            <v>90 ELL</v>
          </cell>
          <cell r="F5951">
            <v>2</v>
          </cell>
          <cell r="G5951" t="str">
            <v>CB400100001000</v>
          </cell>
          <cell r="H5951">
            <v>1</v>
          </cell>
          <cell r="I5951" t="str">
            <v>--</v>
          </cell>
          <cell r="J5951">
            <v>1</v>
          </cell>
          <cell r="K5951">
            <v>1</v>
          </cell>
        </row>
        <row r="5952">
          <cell r="A5952" t="str">
            <v>M1</v>
          </cell>
          <cell r="B5952" t="str">
            <v>A5C</v>
          </cell>
          <cell r="C5952" t="str">
            <v>P</v>
          </cell>
          <cell r="D5952" t="str">
            <v>22069</v>
          </cell>
          <cell r="E5952" t="str">
            <v>SOL</v>
          </cell>
          <cell r="F5952">
            <v>2</v>
          </cell>
          <cell r="G5952" t="str">
            <v>CB39020000040T</v>
          </cell>
          <cell r="H5952">
            <v>0.75</v>
          </cell>
          <cell r="I5952" t="str">
            <v>-</v>
          </cell>
          <cell r="J5952">
            <v>1</v>
          </cell>
          <cell r="K5952">
            <v>2</v>
          </cell>
        </row>
        <row r="5953">
          <cell r="A5953" t="str">
            <v>M1</v>
          </cell>
          <cell r="B5953" t="str">
            <v>A5C</v>
          </cell>
          <cell r="C5953" t="str">
            <v>P</v>
          </cell>
          <cell r="D5953" t="str">
            <v>22082</v>
          </cell>
          <cell r="E5953" t="str">
            <v>SOL</v>
          </cell>
          <cell r="F5953">
            <v>2</v>
          </cell>
          <cell r="G5953" t="str">
            <v>CB39020000040T</v>
          </cell>
          <cell r="H5953">
            <v>0.75</v>
          </cell>
          <cell r="I5953" t="str">
            <v>-</v>
          </cell>
          <cell r="J5953">
            <v>2</v>
          </cell>
          <cell r="K5953">
            <v>3</v>
          </cell>
        </row>
        <row r="5954">
          <cell r="A5954" t="str">
            <v>M1</v>
          </cell>
          <cell r="B5954" t="str">
            <v>A5C</v>
          </cell>
          <cell r="C5954" t="str">
            <v>P</v>
          </cell>
          <cell r="D5954" t="str">
            <v>22139</v>
          </cell>
          <cell r="E5954" t="str">
            <v>SOL</v>
          </cell>
          <cell r="F5954">
            <v>2</v>
          </cell>
          <cell r="G5954" t="str">
            <v>CB39020000040T</v>
          </cell>
          <cell r="H5954">
            <v>0.75</v>
          </cell>
          <cell r="I5954" t="str">
            <v>-</v>
          </cell>
          <cell r="J5954">
            <v>2</v>
          </cell>
          <cell r="K5954">
            <v>3</v>
          </cell>
        </row>
        <row r="5955">
          <cell r="A5955" t="str">
            <v>M1</v>
          </cell>
          <cell r="B5955" t="str">
            <v>A5C</v>
          </cell>
          <cell r="C5955" t="str">
            <v>TRIM</v>
          </cell>
          <cell r="D5955" t="str">
            <v>V-2211</v>
          </cell>
          <cell r="E5955" t="str">
            <v>SOL</v>
          </cell>
          <cell r="F5955">
            <v>2</v>
          </cell>
          <cell r="G5955" t="str">
            <v>CB39020000040T</v>
          </cell>
          <cell r="H5955">
            <v>0.75</v>
          </cell>
          <cell r="I5955" t="str">
            <v>-</v>
          </cell>
          <cell r="J5955">
            <v>1</v>
          </cell>
          <cell r="K5955">
            <v>2</v>
          </cell>
        </row>
        <row r="5956">
          <cell r="A5956" t="str">
            <v>M1</v>
          </cell>
          <cell r="B5956" t="str">
            <v>A5C</v>
          </cell>
          <cell r="C5956" t="str">
            <v>P</v>
          </cell>
          <cell r="D5956" t="str">
            <v>22102</v>
          </cell>
          <cell r="E5956" t="str">
            <v>SOL</v>
          </cell>
          <cell r="F5956">
            <v>2</v>
          </cell>
          <cell r="G5956" t="str">
            <v>CB3902000004IH</v>
          </cell>
          <cell r="H5956">
            <v>1.5</v>
          </cell>
          <cell r="I5956" t="str">
            <v>-</v>
          </cell>
          <cell r="J5956">
            <v>2</v>
          </cell>
          <cell r="K5956">
            <v>3</v>
          </cell>
        </row>
        <row r="5957">
          <cell r="A5957" t="str">
            <v>M1</v>
          </cell>
          <cell r="B5957" t="str">
            <v>A5C</v>
          </cell>
          <cell r="C5957" t="str">
            <v>P</v>
          </cell>
          <cell r="D5957" t="str">
            <v>22094</v>
          </cell>
          <cell r="E5957" t="str">
            <v>E RED</v>
          </cell>
          <cell r="F5957">
            <v>2</v>
          </cell>
          <cell r="G5957" t="str">
            <v>CB300604040403</v>
          </cell>
          <cell r="H5957">
            <v>3</v>
          </cell>
          <cell r="I5957" t="str">
            <v>-</v>
          </cell>
          <cell r="J5957">
            <v>2</v>
          </cell>
          <cell r="K5957">
            <v>3</v>
          </cell>
        </row>
        <row r="5958">
          <cell r="A5958" t="str">
            <v>M1</v>
          </cell>
          <cell r="B5958" t="str">
            <v>A5C</v>
          </cell>
          <cell r="C5958" t="str">
            <v>P</v>
          </cell>
          <cell r="D5958" t="str">
            <v>22095</v>
          </cell>
          <cell r="E5958" t="str">
            <v>E RED</v>
          </cell>
          <cell r="F5958">
            <v>2</v>
          </cell>
          <cell r="G5958" t="str">
            <v>CB300604040403</v>
          </cell>
          <cell r="H5958">
            <v>3</v>
          </cell>
          <cell r="I5958" t="str">
            <v>-</v>
          </cell>
          <cell r="J5958">
            <v>2</v>
          </cell>
          <cell r="K5958">
            <v>3</v>
          </cell>
        </row>
        <row r="5959">
          <cell r="A5959" t="str">
            <v>M1</v>
          </cell>
          <cell r="B5959" t="str">
            <v>A5C</v>
          </cell>
          <cell r="C5959" t="str">
            <v>P</v>
          </cell>
          <cell r="D5959" t="str">
            <v>22099</v>
          </cell>
          <cell r="E5959" t="str">
            <v>SOL</v>
          </cell>
          <cell r="F5959">
            <v>2</v>
          </cell>
          <cell r="G5959" t="str">
            <v>CB39020000040T</v>
          </cell>
          <cell r="H5959">
            <v>0.75</v>
          </cell>
          <cell r="I5959" t="str">
            <v>-</v>
          </cell>
          <cell r="J5959">
            <v>2</v>
          </cell>
          <cell r="K5959">
            <v>3</v>
          </cell>
        </row>
        <row r="5960">
          <cell r="A5960" t="str">
            <v>M1</v>
          </cell>
          <cell r="B5960" t="str">
            <v>A5C</v>
          </cell>
          <cell r="C5960" t="str">
            <v>P</v>
          </cell>
          <cell r="D5960" t="str">
            <v>22099</v>
          </cell>
          <cell r="E5960" t="str">
            <v>SOL</v>
          </cell>
          <cell r="F5960">
            <v>2</v>
          </cell>
          <cell r="G5960" t="str">
            <v>CB3902000004IH</v>
          </cell>
          <cell r="H5960">
            <v>1.5</v>
          </cell>
          <cell r="I5960" t="str">
            <v>-</v>
          </cell>
          <cell r="J5960">
            <v>1</v>
          </cell>
          <cell r="K5960">
            <v>2</v>
          </cell>
        </row>
        <row r="5961">
          <cell r="A5961" t="str">
            <v>M1</v>
          </cell>
          <cell r="B5961" t="str">
            <v>A5C</v>
          </cell>
          <cell r="C5961" t="str">
            <v>P</v>
          </cell>
          <cell r="D5961" t="str">
            <v>22003</v>
          </cell>
          <cell r="E5961" t="str">
            <v>E RED</v>
          </cell>
          <cell r="F5961">
            <v>2</v>
          </cell>
          <cell r="G5961" t="str">
            <v>CB300604040403</v>
          </cell>
          <cell r="H5961">
            <v>3</v>
          </cell>
          <cell r="I5961" t="str">
            <v>-</v>
          </cell>
          <cell r="J5961">
            <v>2</v>
          </cell>
          <cell r="K5961">
            <v>3</v>
          </cell>
        </row>
        <row r="5962">
          <cell r="A5962" t="str">
            <v>M1</v>
          </cell>
          <cell r="B5962" t="str">
            <v>A5C</v>
          </cell>
          <cell r="C5962" t="str">
            <v>WW</v>
          </cell>
          <cell r="D5962" t="str">
            <v>22601</v>
          </cell>
          <cell r="E5962" t="str">
            <v>E RED</v>
          </cell>
          <cell r="F5962">
            <v>2</v>
          </cell>
          <cell r="G5962" t="str">
            <v>CB300604040403</v>
          </cell>
          <cell r="H5962">
            <v>3</v>
          </cell>
          <cell r="I5962" t="str">
            <v>-</v>
          </cell>
          <cell r="J5962">
            <v>2</v>
          </cell>
          <cell r="K5962">
            <v>3</v>
          </cell>
        </row>
        <row r="5963">
          <cell r="A5963" t="str">
            <v>M1</v>
          </cell>
          <cell r="B5963" t="str">
            <v>A5C</v>
          </cell>
          <cell r="C5963" t="str">
            <v>WW</v>
          </cell>
          <cell r="D5963" t="str">
            <v>22601</v>
          </cell>
          <cell r="E5963" t="str">
            <v>SOL</v>
          </cell>
          <cell r="F5963">
            <v>2</v>
          </cell>
          <cell r="G5963" t="str">
            <v>CB39020000040T</v>
          </cell>
          <cell r="H5963">
            <v>0.75</v>
          </cell>
          <cell r="I5963" t="str">
            <v>-</v>
          </cell>
          <cell r="J5963">
            <v>4</v>
          </cell>
          <cell r="K5963">
            <v>5</v>
          </cell>
        </row>
        <row r="5964">
          <cell r="A5964" t="str">
            <v>M1</v>
          </cell>
          <cell r="B5964" t="str">
            <v>A5C</v>
          </cell>
          <cell r="C5964" t="str">
            <v>TRIM</v>
          </cell>
          <cell r="D5964" t="str">
            <v>V-2216A</v>
          </cell>
          <cell r="E5964" t="str">
            <v>C RED</v>
          </cell>
          <cell r="F5964">
            <v>2</v>
          </cell>
          <cell r="G5964" t="str">
            <v>CB300504040403</v>
          </cell>
          <cell r="H5964">
            <v>3</v>
          </cell>
          <cell r="I5964" t="str">
            <v>-</v>
          </cell>
          <cell r="J5964">
            <v>1</v>
          </cell>
          <cell r="K5964">
            <v>2</v>
          </cell>
        </row>
        <row r="5965">
          <cell r="A5965" t="str">
            <v>M1</v>
          </cell>
          <cell r="B5965" t="str">
            <v>A5C</v>
          </cell>
          <cell r="C5965" t="str">
            <v>TRIM</v>
          </cell>
          <cell r="D5965" t="str">
            <v>V-2216B</v>
          </cell>
          <cell r="E5965" t="str">
            <v>C RED</v>
          </cell>
          <cell r="F5965">
            <v>2</v>
          </cell>
          <cell r="G5965" t="str">
            <v>CB300504040403</v>
          </cell>
          <cell r="H5965">
            <v>3</v>
          </cell>
          <cell r="I5965" t="str">
            <v>-</v>
          </cell>
          <cell r="J5965">
            <v>1</v>
          </cell>
          <cell r="K5965">
            <v>2</v>
          </cell>
        </row>
        <row r="5966">
          <cell r="A5966" t="str">
            <v>M1</v>
          </cell>
          <cell r="B5966" t="str">
            <v>A6C</v>
          </cell>
          <cell r="C5966" t="str">
            <v>HOR</v>
          </cell>
          <cell r="D5966" t="str">
            <v>65619</v>
          </cell>
          <cell r="E5966" t="str">
            <v>E RED</v>
          </cell>
          <cell r="F5966">
            <v>2</v>
          </cell>
          <cell r="G5966" t="str">
            <v>CB300604040403</v>
          </cell>
          <cell r="H5966">
            <v>3</v>
          </cell>
          <cell r="I5966" t="str">
            <v>-</v>
          </cell>
          <cell r="J5966">
            <v>1</v>
          </cell>
          <cell r="K5966">
            <v>2</v>
          </cell>
        </row>
        <row r="5967">
          <cell r="A5967" t="str">
            <v>M1</v>
          </cell>
          <cell r="B5967" t="str">
            <v>A6C</v>
          </cell>
          <cell r="C5967" t="str">
            <v>HOS</v>
          </cell>
          <cell r="D5967" t="str">
            <v>65634</v>
          </cell>
          <cell r="E5967" t="str">
            <v>SOL</v>
          </cell>
          <cell r="F5967">
            <v>2</v>
          </cell>
          <cell r="G5967" t="str">
            <v>CB39020000040T</v>
          </cell>
          <cell r="H5967">
            <v>0.75</v>
          </cell>
          <cell r="I5967" t="str">
            <v>-</v>
          </cell>
          <cell r="J5967">
            <v>1</v>
          </cell>
          <cell r="K5967">
            <v>2</v>
          </cell>
        </row>
        <row r="5968">
          <cell r="A5968" t="str">
            <v>M1</v>
          </cell>
          <cell r="B5968" t="str">
            <v>A4C</v>
          </cell>
          <cell r="C5968" t="str">
            <v>P</v>
          </cell>
          <cell r="D5968" t="str">
            <v>22009</v>
          </cell>
          <cell r="E5968" t="str">
            <v>SOL</v>
          </cell>
          <cell r="F5968">
            <v>2</v>
          </cell>
          <cell r="G5968" t="str">
            <v>CB39020000040T</v>
          </cell>
          <cell r="H5968">
            <v>0.75</v>
          </cell>
          <cell r="I5968" t="str">
            <v>-</v>
          </cell>
          <cell r="J5968">
            <v>2</v>
          </cell>
          <cell r="K5968">
            <v>3</v>
          </cell>
        </row>
        <row r="5969">
          <cell r="A5969" t="str">
            <v>M1</v>
          </cell>
          <cell r="B5969" t="str">
            <v>A5C</v>
          </cell>
          <cell r="C5969" t="str">
            <v>P</v>
          </cell>
          <cell r="D5969" t="str">
            <v>22098</v>
          </cell>
          <cell r="E5969" t="str">
            <v>SOL</v>
          </cell>
          <cell r="F5969">
            <v>2</v>
          </cell>
          <cell r="G5969" t="str">
            <v>CB39020000040T</v>
          </cell>
          <cell r="H5969">
            <v>0.75</v>
          </cell>
          <cell r="I5969" t="str">
            <v>-</v>
          </cell>
          <cell r="J5969">
            <v>1</v>
          </cell>
          <cell r="K5969">
            <v>2</v>
          </cell>
        </row>
        <row r="5970">
          <cell r="A5970" t="str">
            <v>M1</v>
          </cell>
          <cell r="B5970" t="str">
            <v>A6C</v>
          </cell>
          <cell r="C5970" t="str">
            <v>HOR</v>
          </cell>
          <cell r="D5970" t="str">
            <v>65813</v>
          </cell>
          <cell r="E5970" t="str">
            <v>SOL</v>
          </cell>
          <cell r="F5970">
            <v>2</v>
          </cell>
          <cell r="G5970" t="str">
            <v>CB39020000040T</v>
          </cell>
          <cell r="H5970">
            <v>0.75</v>
          </cell>
          <cell r="I5970" t="str">
            <v>-</v>
          </cell>
          <cell r="J5970">
            <v>1</v>
          </cell>
          <cell r="K5970">
            <v>2</v>
          </cell>
        </row>
        <row r="5971">
          <cell r="A5971" t="str">
            <v>M1</v>
          </cell>
          <cell r="B5971" t="str">
            <v>A6C</v>
          </cell>
          <cell r="C5971" t="str">
            <v>HOS</v>
          </cell>
          <cell r="D5971" t="str">
            <v>65628</v>
          </cell>
          <cell r="E5971" t="str">
            <v>SOL</v>
          </cell>
          <cell r="F5971">
            <v>2</v>
          </cell>
          <cell r="G5971" t="str">
            <v>CB39020000040T</v>
          </cell>
          <cell r="H5971">
            <v>0.75</v>
          </cell>
          <cell r="I5971" t="str">
            <v>-</v>
          </cell>
          <cell r="J5971">
            <v>1</v>
          </cell>
          <cell r="K5971">
            <v>2</v>
          </cell>
        </row>
        <row r="5972">
          <cell r="A5972" t="str">
            <v>M1</v>
          </cell>
          <cell r="B5972" t="str">
            <v>B1C</v>
          </cell>
          <cell r="C5972" t="str">
            <v>P</v>
          </cell>
          <cell r="D5972" t="str">
            <v>22029</v>
          </cell>
          <cell r="E5972" t="str">
            <v>SOL</v>
          </cell>
          <cell r="F5972">
            <v>2</v>
          </cell>
          <cell r="G5972" t="str">
            <v>CB39020000040T</v>
          </cell>
          <cell r="H5972">
            <v>0.75</v>
          </cell>
          <cell r="I5972" t="str">
            <v>-</v>
          </cell>
          <cell r="J5972">
            <v>5</v>
          </cell>
          <cell r="K5972">
            <v>6</v>
          </cell>
        </row>
        <row r="5973">
          <cell r="A5973" t="str">
            <v>M1</v>
          </cell>
          <cell r="B5973" t="str">
            <v>A5C</v>
          </cell>
          <cell r="C5973" t="str">
            <v>P</v>
          </cell>
          <cell r="D5973" t="str">
            <v>22065</v>
          </cell>
          <cell r="E5973" t="str">
            <v>E RED</v>
          </cell>
          <cell r="F5973">
            <v>2</v>
          </cell>
          <cell r="G5973" t="str">
            <v>CB300604040604</v>
          </cell>
          <cell r="H5973">
            <v>4</v>
          </cell>
          <cell r="I5973" t="str">
            <v>-</v>
          </cell>
          <cell r="J5973">
            <v>2</v>
          </cell>
          <cell r="K5973">
            <v>3</v>
          </cell>
        </row>
        <row r="5974">
          <cell r="A5974" t="str">
            <v>M1</v>
          </cell>
          <cell r="B5974" t="str">
            <v>A5C</v>
          </cell>
          <cell r="C5974" t="str">
            <v>P</v>
          </cell>
          <cell r="D5974" t="str">
            <v>22066</v>
          </cell>
          <cell r="E5974" t="str">
            <v>E RED</v>
          </cell>
          <cell r="F5974">
            <v>2</v>
          </cell>
          <cell r="G5974" t="str">
            <v>CB300604040603</v>
          </cell>
          <cell r="H5974">
            <v>3</v>
          </cell>
          <cell r="I5974" t="str">
            <v>-</v>
          </cell>
          <cell r="J5974">
            <v>1</v>
          </cell>
          <cell r="K5974">
            <v>2</v>
          </cell>
        </row>
        <row r="5975">
          <cell r="A5975" t="str">
            <v>M1</v>
          </cell>
          <cell r="B5975" t="str">
            <v>A5C</v>
          </cell>
          <cell r="C5975" t="str">
            <v>P</v>
          </cell>
          <cell r="D5975" t="str">
            <v>22028</v>
          </cell>
          <cell r="E5975" t="str">
            <v>SOL</v>
          </cell>
          <cell r="F5975">
            <v>2</v>
          </cell>
          <cell r="G5975" t="str">
            <v>CB39020000060T</v>
          </cell>
          <cell r="H5975">
            <v>0.75</v>
          </cell>
          <cell r="I5975" t="str">
            <v>-</v>
          </cell>
          <cell r="J5975">
            <v>1</v>
          </cell>
          <cell r="K5975">
            <v>2</v>
          </cell>
        </row>
        <row r="5976">
          <cell r="A5976" t="str">
            <v>M1</v>
          </cell>
          <cell r="B5976" t="str">
            <v>A5C</v>
          </cell>
          <cell r="C5976" t="str">
            <v>P</v>
          </cell>
          <cell r="D5976" t="str">
            <v>22022</v>
          </cell>
          <cell r="E5976" t="str">
            <v>SOL</v>
          </cell>
          <cell r="F5976">
            <v>2</v>
          </cell>
          <cell r="G5976" t="str">
            <v>CB39020000060H</v>
          </cell>
          <cell r="H5976">
            <v>0.5</v>
          </cell>
          <cell r="I5976" t="str">
            <v>-</v>
          </cell>
          <cell r="J5976">
            <v>1</v>
          </cell>
          <cell r="K5976">
            <v>2</v>
          </cell>
        </row>
        <row r="5977">
          <cell r="A5977" t="str">
            <v>M1</v>
          </cell>
          <cell r="B5977" t="str">
            <v>A5C</v>
          </cell>
          <cell r="C5977" t="str">
            <v>P</v>
          </cell>
          <cell r="D5977" t="str">
            <v>22065</v>
          </cell>
          <cell r="E5977" t="str">
            <v>SOL</v>
          </cell>
          <cell r="F5977">
            <v>2</v>
          </cell>
          <cell r="G5977" t="str">
            <v>CB39020000060T</v>
          </cell>
          <cell r="H5977">
            <v>0.75</v>
          </cell>
          <cell r="I5977" t="str">
            <v>-</v>
          </cell>
          <cell r="J5977">
            <v>1</v>
          </cell>
          <cell r="K5977">
            <v>2</v>
          </cell>
        </row>
        <row r="5978">
          <cell r="A5978" t="str">
            <v>M1</v>
          </cell>
          <cell r="B5978" t="str">
            <v>A5C</v>
          </cell>
          <cell r="C5978" t="str">
            <v>TRIM</v>
          </cell>
          <cell r="D5978" t="str">
            <v>V-2214</v>
          </cell>
          <cell r="E5978" t="str">
            <v>CPLG</v>
          </cell>
          <cell r="F5978">
            <v>2</v>
          </cell>
          <cell r="G5978" t="str">
            <v>CB400500000100</v>
          </cell>
          <cell r="H5978">
            <v>1</v>
          </cell>
          <cell r="I5978" t="str">
            <v>--</v>
          </cell>
          <cell r="J5978">
            <v>1</v>
          </cell>
          <cell r="K5978">
            <v>1</v>
          </cell>
        </row>
        <row r="5979">
          <cell r="A5979" t="str">
            <v>M1</v>
          </cell>
          <cell r="B5979" t="str">
            <v>A5C</v>
          </cell>
          <cell r="C5979" t="str">
            <v>WW</v>
          </cell>
          <cell r="D5979" t="str">
            <v>22601</v>
          </cell>
          <cell r="E5979" t="str">
            <v>E RED</v>
          </cell>
          <cell r="F5979">
            <v>2</v>
          </cell>
          <cell r="G5979" t="str">
            <v>CB300604040604</v>
          </cell>
          <cell r="H5979">
            <v>4</v>
          </cell>
          <cell r="I5979" t="str">
            <v>-</v>
          </cell>
          <cell r="J5979">
            <v>2</v>
          </cell>
          <cell r="K5979">
            <v>3</v>
          </cell>
        </row>
        <row r="5980">
          <cell r="A5980" t="str">
            <v>M1</v>
          </cell>
          <cell r="B5980" t="str">
            <v>A6C</v>
          </cell>
          <cell r="C5980" t="str">
            <v>HOS</v>
          </cell>
          <cell r="D5980" t="str">
            <v>65624</v>
          </cell>
          <cell r="E5980" t="str">
            <v>SOL</v>
          </cell>
          <cell r="F5980">
            <v>2</v>
          </cell>
          <cell r="G5980" t="str">
            <v>CB39020000060T</v>
          </cell>
          <cell r="H5980">
            <v>0.75</v>
          </cell>
          <cell r="I5980" t="str">
            <v>-</v>
          </cell>
          <cell r="J5980">
            <v>1</v>
          </cell>
          <cell r="K5980">
            <v>2</v>
          </cell>
        </row>
        <row r="5981">
          <cell r="A5981" t="str">
            <v>M1</v>
          </cell>
          <cell r="B5981" t="str">
            <v>A6C</v>
          </cell>
          <cell r="C5981" t="str">
            <v>HOS</v>
          </cell>
          <cell r="D5981" t="str">
            <v>65624</v>
          </cell>
          <cell r="E5981" t="str">
            <v>SOL</v>
          </cell>
          <cell r="F5981">
            <v>2</v>
          </cell>
          <cell r="G5981" t="str">
            <v>CB39020000060T</v>
          </cell>
          <cell r="H5981">
            <v>0.75</v>
          </cell>
          <cell r="I5981" t="str">
            <v>-</v>
          </cell>
          <cell r="J5981">
            <v>1</v>
          </cell>
          <cell r="K5981">
            <v>2</v>
          </cell>
        </row>
        <row r="5982">
          <cell r="A5982" t="str">
            <v>M1</v>
          </cell>
          <cell r="B5982" t="str">
            <v>A6C</v>
          </cell>
          <cell r="C5982" t="str">
            <v>HOR</v>
          </cell>
          <cell r="D5982" t="str">
            <v>65611</v>
          </cell>
          <cell r="E5982" t="str">
            <v>SOL</v>
          </cell>
          <cell r="F5982">
            <v>2</v>
          </cell>
          <cell r="G5982" t="str">
            <v>CB39020000060T</v>
          </cell>
          <cell r="H5982">
            <v>0.75</v>
          </cell>
          <cell r="I5982" t="str">
            <v>-</v>
          </cell>
          <cell r="J5982">
            <v>1</v>
          </cell>
          <cell r="K5982">
            <v>2</v>
          </cell>
        </row>
        <row r="5983">
          <cell r="A5983" t="str">
            <v>M1</v>
          </cell>
          <cell r="B5983" t="str">
            <v>A6C</v>
          </cell>
          <cell r="C5983" t="str">
            <v>HOR</v>
          </cell>
          <cell r="D5983" t="str">
            <v>65611</v>
          </cell>
          <cell r="E5983" t="str">
            <v>SOL</v>
          </cell>
          <cell r="F5983">
            <v>2</v>
          </cell>
          <cell r="G5983" t="str">
            <v>CB39020000060T</v>
          </cell>
          <cell r="H5983">
            <v>0.75</v>
          </cell>
          <cell r="I5983" t="str">
            <v>-</v>
          </cell>
          <cell r="J5983">
            <v>1</v>
          </cell>
          <cell r="K5983">
            <v>2</v>
          </cell>
        </row>
        <row r="5984">
          <cell r="A5984" t="str">
            <v>M1</v>
          </cell>
          <cell r="B5984" t="str">
            <v>A5C</v>
          </cell>
          <cell r="C5984" t="str">
            <v>P</v>
          </cell>
          <cell r="D5984" t="str">
            <v>22118</v>
          </cell>
          <cell r="E5984" t="str">
            <v>C RED</v>
          </cell>
          <cell r="F5984">
            <v>2</v>
          </cell>
          <cell r="G5984" t="str">
            <v>CB300504040804</v>
          </cell>
          <cell r="H5984">
            <v>4</v>
          </cell>
          <cell r="I5984" t="str">
            <v>-</v>
          </cell>
          <cell r="J5984">
            <v>1</v>
          </cell>
          <cell r="K5984">
            <v>2</v>
          </cell>
        </row>
        <row r="5985">
          <cell r="A5985" t="str">
            <v>M1</v>
          </cell>
          <cell r="B5985" t="str">
            <v>A5C</v>
          </cell>
          <cell r="C5985" t="str">
            <v>P</v>
          </cell>
          <cell r="D5985" t="str">
            <v>22011</v>
          </cell>
          <cell r="E5985" t="str">
            <v>SOL</v>
          </cell>
          <cell r="F5985">
            <v>2</v>
          </cell>
          <cell r="G5985" t="str">
            <v>CB39020000080T</v>
          </cell>
          <cell r="H5985">
            <v>0.75</v>
          </cell>
          <cell r="I5985" t="str">
            <v>-</v>
          </cell>
          <cell r="J5985">
            <v>1</v>
          </cell>
          <cell r="K5985">
            <v>2</v>
          </cell>
        </row>
        <row r="5986">
          <cell r="A5986" t="str">
            <v>M1</v>
          </cell>
          <cell r="B5986" t="str">
            <v>A5C</v>
          </cell>
          <cell r="C5986" t="str">
            <v>P</v>
          </cell>
          <cell r="D5986" t="str">
            <v>22074</v>
          </cell>
          <cell r="E5986" t="str">
            <v>SOL</v>
          </cell>
          <cell r="F5986">
            <v>2</v>
          </cell>
          <cell r="G5986" t="str">
            <v>CB39020000080T</v>
          </cell>
          <cell r="H5986">
            <v>0.75</v>
          </cell>
          <cell r="I5986" t="str">
            <v>-</v>
          </cell>
          <cell r="J5986">
            <v>3</v>
          </cell>
          <cell r="K5986">
            <v>4</v>
          </cell>
        </row>
        <row r="5987">
          <cell r="A5987" t="str">
            <v>M1</v>
          </cell>
          <cell r="B5987" t="str">
            <v>A6C</v>
          </cell>
          <cell r="C5987" t="str">
            <v>HOS</v>
          </cell>
          <cell r="D5987" t="str">
            <v>65613</v>
          </cell>
          <cell r="E5987" t="str">
            <v>C RED</v>
          </cell>
          <cell r="F5987">
            <v>2</v>
          </cell>
          <cell r="G5987" t="str">
            <v>CB300504040806</v>
          </cell>
          <cell r="H5987">
            <v>6</v>
          </cell>
          <cell r="I5987" t="str">
            <v>-</v>
          </cell>
          <cell r="J5987">
            <v>2</v>
          </cell>
          <cell r="K5987">
            <v>3</v>
          </cell>
        </row>
        <row r="5988">
          <cell r="A5988" t="str">
            <v>M1</v>
          </cell>
          <cell r="B5988" t="str">
            <v>A6C</v>
          </cell>
          <cell r="C5988" t="str">
            <v>HOS</v>
          </cell>
          <cell r="D5988" t="str">
            <v>65624</v>
          </cell>
          <cell r="E5988" t="str">
            <v>C RED</v>
          </cell>
          <cell r="F5988">
            <v>2</v>
          </cell>
          <cell r="G5988" t="str">
            <v>CB300504040804</v>
          </cell>
          <cell r="H5988">
            <v>4</v>
          </cell>
          <cell r="I5988" t="str">
            <v>-</v>
          </cell>
          <cell r="J5988">
            <v>1</v>
          </cell>
          <cell r="K5988">
            <v>2</v>
          </cell>
        </row>
        <row r="5989">
          <cell r="A5989" t="str">
            <v>M1</v>
          </cell>
          <cell r="B5989" t="str">
            <v>A6C</v>
          </cell>
          <cell r="C5989" t="str">
            <v>HOS</v>
          </cell>
          <cell r="D5989" t="str">
            <v>65624</v>
          </cell>
          <cell r="E5989" t="str">
            <v>C RED</v>
          </cell>
          <cell r="F5989">
            <v>2</v>
          </cell>
          <cell r="G5989" t="str">
            <v>CB300504040806</v>
          </cell>
          <cell r="H5989">
            <v>6</v>
          </cell>
          <cell r="I5989" t="str">
            <v>-</v>
          </cell>
          <cell r="J5989">
            <v>1</v>
          </cell>
          <cell r="K5989">
            <v>2</v>
          </cell>
        </row>
        <row r="5990">
          <cell r="A5990" t="str">
            <v>M1</v>
          </cell>
          <cell r="B5990" t="str">
            <v>A6C</v>
          </cell>
          <cell r="C5990" t="str">
            <v>HOS</v>
          </cell>
          <cell r="D5990" t="str">
            <v>65624</v>
          </cell>
          <cell r="E5990" t="str">
            <v>C RED</v>
          </cell>
          <cell r="F5990">
            <v>2</v>
          </cell>
          <cell r="G5990" t="str">
            <v>CB300504040806</v>
          </cell>
          <cell r="H5990">
            <v>6</v>
          </cell>
          <cell r="I5990" t="str">
            <v>-</v>
          </cell>
          <cell r="J5990">
            <v>1</v>
          </cell>
          <cell r="K5990">
            <v>2</v>
          </cell>
        </row>
        <row r="5991">
          <cell r="A5991" t="str">
            <v>M1</v>
          </cell>
          <cell r="B5991" t="str">
            <v>A6C</v>
          </cell>
          <cell r="C5991" t="str">
            <v>HOR</v>
          </cell>
          <cell r="D5991" t="str">
            <v>65611</v>
          </cell>
          <cell r="E5991" t="str">
            <v>C RED</v>
          </cell>
          <cell r="F5991">
            <v>2</v>
          </cell>
          <cell r="G5991" t="str">
            <v>CB300504040806</v>
          </cell>
          <cell r="H5991">
            <v>6</v>
          </cell>
          <cell r="I5991" t="str">
            <v>-</v>
          </cell>
          <cell r="J5991">
            <v>1</v>
          </cell>
          <cell r="K5991">
            <v>2</v>
          </cell>
        </row>
        <row r="5992">
          <cell r="A5992" t="str">
            <v>M1</v>
          </cell>
          <cell r="B5992" t="str">
            <v>A6C</v>
          </cell>
          <cell r="C5992" t="str">
            <v>HOR</v>
          </cell>
          <cell r="D5992" t="str">
            <v>65611</v>
          </cell>
          <cell r="E5992" t="str">
            <v>C RED</v>
          </cell>
          <cell r="F5992">
            <v>2</v>
          </cell>
          <cell r="G5992" t="str">
            <v>CB300504040806</v>
          </cell>
          <cell r="H5992">
            <v>6</v>
          </cell>
          <cell r="I5992" t="str">
            <v>-</v>
          </cell>
          <cell r="J5992">
            <v>1</v>
          </cell>
          <cell r="K5992">
            <v>2</v>
          </cell>
        </row>
        <row r="5993">
          <cell r="A5993" t="str">
            <v>M1</v>
          </cell>
          <cell r="B5993" t="str">
            <v>A6C</v>
          </cell>
          <cell r="C5993" t="str">
            <v>HOR</v>
          </cell>
          <cell r="D5993" t="str">
            <v>65619</v>
          </cell>
          <cell r="E5993" t="str">
            <v>E RED</v>
          </cell>
          <cell r="F5993">
            <v>2</v>
          </cell>
          <cell r="G5993" t="str">
            <v>CB300604040806</v>
          </cell>
          <cell r="H5993">
            <v>6</v>
          </cell>
          <cell r="I5993" t="str">
            <v>-</v>
          </cell>
          <cell r="J5993">
            <v>2</v>
          </cell>
          <cell r="K5993">
            <v>3</v>
          </cell>
        </row>
        <row r="5994">
          <cell r="A5994" t="str">
            <v>M1</v>
          </cell>
          <cell r="B5994" t="str">
            <v>A6C</v>
          </cell>
          <cell r="C5994" t="str">
            <v>HOR</v>
          </cell>
          <cell r="D5994" t="str">
            <v>65619</v>
          </cell>
          <cell r="E5994" t="str">
            <v>E RED</v>
          </cell>
          <cell r="F5994">
            <v>2</v>
          </cell>
          <cell r="G5994" t="str">
            <v>CB300604040804</v>
          </cell>
          <cell r="H5994">
            <v>4</v>
          </cell>
          <cell r="I5994" t="str">
            <v>-</v>
          </cell>
          <cell r="J5994">
            <v>1</v>
          </cell>
          <cell r="K5994">
            <v>2</v>
          </cell>
        </row>
        <row r="5995">
          <cell r="A5995" t="str">
            <v>M1</v>
          </cell>
          <cell r="B5995" t="str">
            <v>A6C</v>
          </cell>
          <cell r="C5995" t="str">
            <v>HOS</v>
          </cell>
          <cell r="D5995" t="str">
            <v>65613</v>
          </cell>
          <cell r="E5995" t="str">
            <v>SOL</v>
          </cell>
          <cell r="F5995">
            <v>2</v>
          </cell>
          <cell r="G5995" t="str">
            <v>CB39020000080T</v>
          </cell>
          <cell r="H5995">
            <v>0.75</v>
          </cell>
          <cell r="I5995" t="str">
            <v>-</v>
          </cell>
          <cell r="J5995">
            <v>3</v>
          </cell>
          <cell r="K5995">
            <v>4</v>
          </cell>
        </row>
        <row r="5996">
          <cell r="A5996" t="str">
            <v>M1</v>
          </cell>
          <cell r="B5996" t="str">
            <v>A6C</v>
          </cell>
          <cell r="C5996" t="str">
            <v>HOS</v>
          </cell>
          <cell r="D5996" t="str">
            <v>65613</v>
          </cell>
          <cell r="E5996" t="str">
            <v>SOL</v>
          </cell>
          <cell r="F5996">
            <v>2</v>
          </cell>
          <cell r="G5996" t="str">
            <v>CB3902000008IH</v>
          </cell>
          <cell r="H5996">
            <v>1.5</v>
          </cell>
          <cell r="I5996" t="str">
            <v>-</v>
          </cell>
          <cell r="J5996">
            <v>1</v>
          </cell>
          <cell r="K5996">
            <v>2</v>
          </cell>
        </row>
        <row r="5997">
          <cell r="A5997" t="str">
            <v>M1</v>
          </cell>
          <cell r="B5997" t="str">
            <v>A6C</v>
          </cell>
          <cell r="C5997" t="str">
            <v>HOS</v>
          </cell>
          <cell r="D5997" t="str">
            <v>65619</v>
          </cell>
          <cell r="E5997" t="str">
            <v>SOL</v>
          </cell>
          <cell r="F5997">
            <v>2</v>
          </cell>
          <cell r="G5997" t="str">
            <v>CB39020000080T</v>
          </cell>
          <cell r="H5997">
            <v>0.75</v>
          </cell>
          <cell r="I5997" t="str">
            <v>-</v>
          </cell>
          <cell r="J5997">
            <v>1</v>
          </cell>
          <cell r="K5997">
            <v>2</v>
          </cell>
        </row>
        <row r="5998">
          <cell r="A5998" t="str">
            <v>M1</v>
          </cell>
          <cell r="B5998" t="str">
            <v>A6C</v>
          </cell>
          <cell r="C5998" t="str">
            <v>HOS</v>
          </cell>
          <cell r="D5998" t="str">
            <v>65627</v>
          </cell>
          <cell r="E5998" t="str">
            <v>SOL</v>
          </cell>
          <cell r="F5998">
            <v>2</v>
          </cell>
          <cell r="G5998" t="str">
            <v>CB39020000080T</v>
          </cell>
          <cell r="H5998">
            <v>0.75</v>
          </cell>
          <cell r="I5998" t="str">
            <v>-</v>
          </cell>
          <cell r="J5998">
            <v>1</v>
          </cell>
          <cell r="K5998">
            <v>2</v>
          </cell>
        </row>
        <row r="5999">
          <cell r="A5999" t="str">
            <v>M1</v>
          </cell>
          <cell r="B5999" t="str">
            <v>A5C</v>
          </cell>
          <cell r="C5999" t="str">
            <v>TRIM</v>
          </cell>
          <cell r="D5999" t="str">
            <v>V-2209</v>
          </cell>
          <cell r="E5999" t="str">
            <v>CPLG</v>
          </cell>
          <cell r="F5999">
            <v>2</v>
          </cell>
          <cell r="G5999" t="str">
            <v>CB400500000100</v>
          </cell>
          <cell r="H5999">
            <v>1</v>
          </cell>
          <cell r="I5999" t="str">
            <v>--</v>
          </cell>
          <cell r="J5999">
            <v>1</v>
          </cell>
          <cell r="K5999">
            <v>1</v>
          </cell>
        </row>
        <row r="6000">
          <cell r="A6000" t="str">
            <v>M1</v>
          </cell>
          <cell r="B6000" t="str">
            <v>A6C</v>
          </cell>
          <cell r="C6000" t="str">
            <v>HOS</v>
          </cell>
          <cell r="D6000" t="str">
            <v>65624</v>
          </cell>
          <cell r="E6000" t="str">
            <v>SOL</v>
          </cell>
          <cell r="F6000">
            <v>2</v>
          </cell>
          <cell r="G6000" t="str">
            <v>CB39020000080T</v>
          </cell>
          <cell r="H6000">
            <v>0.75</v>
          </cell>
          <cell r="I6000" t="str">
            <v>-</v>
          </cell>
          <cell r="J6000">
            <v>4</v>
          </cell>
          <cell r="K6000">
            <v>5</v>
          </cell>
        </row>
        <row r="6001">
          <cell r="A6001" t="str">
            <v>M1</v>
          </cell>
          <cell r="B6001" t="str">
            <v>A5C</v>
          </cell>
          <cell r="C6001" t="str">
            <v>P</v>
          </cell>
          <cell r="D6001" t="str">
            <v>22106</v>
          </cell>
          <cell r="E6001" t="str">
            <v>TEE</v>
          </cell>
          <cell r="F6001">
            <v>2</v>
          </cell>
          <cell r="G6001" t="str">
            <v>CB400300000100</v>
          </cell>
          <cell r="H6001">
            <v>1</v>
          </cell>
          <cell r="I6001" t="str">
            <v>--</v>
          </cell>
          <cell r="J6001">
            <v>1</v>
          </cell>
          <cell r="K6001">
            <v>1</v>
          </cell>
        </row>
        <row r="6002">
          <cell r="A6002" t="str">
            <v>M1</v>
          </cell>
          <cell r="B6002" t="str">
            <v>A6C</v>
          </cell>
          <cell r="C6002" t="str">
            <v>HOR</v>
          </cell>
          <cell r="D6002" t="str">
            <v>65611</v>
          </cell>
          <cell r="E6002" t="str">
            <v>SOL</v>
          </cell>
          <cell r="F6002">
            <v>2</v>
          </cell>
          <cell r="G6002" t="str">
            <v>CB39020000080T</v>
          </cell>
          <cell r="H6002">
            <v>0.75</v>
          </cell>
          <cell r="I6002" t="str">
            <v>-</v>
          </cell>
          <cell r="J6002">
            <v>1</v>
          </cell>
          <cell r="K6002">
            <v>2</v>
          </cell>
        </row>
        <row r="6003">
          <cell r="A6003" t="str">
            <v>M1</v>
          </cell>
          <cell r="B6003" t="str">
            <v>A5C</v>
          </cell>
          <cell r="C6003" t="str">
            <v>N</v>
          </cell>
          <cell r="D6003" t="str">
            <v>22630</v>
          </cell>
          <cell r="E6003" t="str">
            <v>90 ELL</v>
          </cell>
          <cell r="F6003">
            <v>2</v>
          </cell>
          <cell r="G6003" t="str">
            <v>CB400100000100</v>
          </cell>
          <cell r="H6003">
            <v>1</v>
          </cell>
          <cell r="I6003" t="str">
            <v>--</v>
          </cell>
          <cell r="J6003">
            <v>1</v>
          </cell>
          <cell r="K6003">
            <v>1</v>
          </cell>
        </row>
        <row r="6004">
          <cell r="A6004" t="str">
            <v>M1</v>
          </cell>
          <cell r="B6004" t="str">
            <v>A6C</v>
          </cell>
          <cell r="C6004" t="str">
            <v>HOS</v>
          </cell>
          <cell r="D6004" t="str">
            <v>65613</v>
          </cell>
          <cell r="E6004" t="str">
            <v>SOL</v>
          </cell>
          <cell r="F6004">
            <v>2</v>
          </cell>
          <cell r="G6004" t="str">
            <v>CB3902000008IH</v>
          </cell>
          <cell r="H6004">
            <v>1.5</v>
          </cell>
          <cell r="I6004" t="str">
            <v>-</v>
          </cell>
          <cell r="J6004">
            <v>1</v>
          </cell>
          <cell r="K6004">
            <v>2</v>
          </cell>
        </row>
        <row r="6005">
          <cell r="A6005" t="str">
            <v>M1</v>
          </cell>
          <cell r="B6005" t="str">
            <v>A5C</v>
          </cell>
          <cell r="C6005" t="str">
            <v>P</v>
          </cell>
          <cell r="D6005" t="str">
            <v>22041</v>
          </cell>
          <cell r="E6005" t="str">
            <v>90 ELL</v>
          </cell>
          <cell r="F6005">
            <v>2</v>
          </cell>
          <cell r="G6005" t="str">
            <v>CB400100001000</v>
          </cell>
          <cell r="H6005">
            <v>1</v>
          </cell>
          <cell r="I6005" t="str">
            <v>--</v>
          </cell>
          <cell r="J6005">
            <v>1</v>
          </cell>
          <cell r="K6005">
            <v>1</v>
          </cell>
        </row>
        <row r="6006">
          <cell r="A6006" t="str">
            <v>M1</v>
          </cell>
          <cell r="B6006" t="str">
            <v>A6C</v>
          </cell>
          <cell r="C6006" t="str">
            <v>HOR</v>
          </cell>
          <cell r="D6006" t="str">
            <v>65619</v>
          </cell>
          <cell r="E6006" t="str">
            <v>SOL</v>
          </cell>
          <cell r="F6006">
            <v>2</v>
          </cell>
          <cell r="G6006" t="str">
            <v>CB39020000080T</v>
          </cell>
          <cell r="H6006">
            <v>0.75</v>
          </cell>
          <cell r="I6006" t="str">
            <v>-</v>
          </cell>
          <cell r="J6006">
            <v>1</v>
          </cell>
          <cell r="K6006">
            <v>2</v>
          </cell>
        </row>
        <row r="6007">
          <cell r="A6007" t="str">
            <v>M1</v>
          </cell>
          <cell r="B6007" t="str">
            <v>A6C</v>
          </cell>
          <cell r="C6007" t="str">
            <v>HOR</v>
          </cell>
          <cell r="D6007" t="str">
            <v>65619</v>
          </cell>
          <cell r="E6007" t="str">
            <v>SOL</v>
          </cell>
          <cell r="F6007">
            <v>2</v>
          </cell>
          <cell r="G6007" t="str">
            <v>CB39020000080T</v>
          </cell>
          <cell r="H6007">
            <v>0.75</v>
          </cell>
          <cell r="I6007" t="str">
            <v>-</v>
          </cell>
          <cell r="J6007">
            <v>2</v>
          </cell>
          <cell r="K6007">
            <v>3</v>
          </cell>
        </row>
        <row r="6008">
          <cell r="A6008" t="str">
            <v>M1</v>
          </cell>
          <cell r="B6008" t="str">
            <v>A5C</v>
          </cell>
          <cell r="C6008" t="str">
            <v>P</v>
          </cell>
          <cell r="D6008" t="str">
            <v>22040</v>
          </cell>
          <cell r="E6008" t="str">
            <v>CPLG</v>
          </cell>
          <cell r="F6008">
            <v>2</v>
          </cell>
          <cell r="G6008" t="str">
            <v>CB400500000100</v>
          </cell>
          <cell r="H6008">
            <v>1</v>
          </cell>
          <cell r="I6008" t="str">
            <v>--</v>
          </cell>
          <cell r="J6008">
            <v>1</v>
          </cell>
          <cell r="K6008">
            <v>1</v>
          </cell>
        </row>
        <row r="6009">
          <cell r="A6009" t="str">
            <v>M1</v>
          </cell>
          <cell r="B6009" t="str">
            <v>A5C</v>
          </cell>
          <cell r="C6009" t="str">
            <v>P</v>
          </cell>
          <cell r="D6009" t="str">
            <v>22078</v>
          </cell>
          <cell r="E6009" t="str">
            <v>SOL</v>
          </cell>
          <cell r="F6009">
            <v>2</v>
          </cell>
          <cell r="G6009" t="str">
            <v>CB3902000010IH</v>
          </cell>
          <cell r="H6009">
            <v>1.5</v>
          </cell>
          <cell r="I6009" t="str">
            <v>-</v>
          </cell>
          <cell r="J6009">
            <v>1</v>
          </cell>
          <cell r="K6009">
            <v>2</v>
          </cell>
        </row>
        <row r="6010">
          <cell r="A6010" t="str">
            <v>M1</v>
          </cell>
          <cell r="B6010" t="str">
            <v>A5C</v>
          </cell>
          <cell r="C6010" t="str">
            <v>P</v>
          </cell>
          <cell r="D6010" t="str">
            <v>22062</v>
          </cell>
          <cell r="E6010" t="str">
            <v>C RED</v>
          </cell>
          <cell r="F6010">
            <v>2</v>
          </cell>
          <cell r="G6010" t="str">
            <v>CB300504041004</v>
          </cell>
          <cell r="H6010">
            <v>4</v>
          </cell>
          <cell r="I6010" t="str">
            <v>-</v>
          </cell>
          <cell r="J6010">
            <v>1</v>
          </cell>
          <cell r="K6010">
            <v>2</v>
          </cell>
        </row>
        <row r="6011">
          <cell r="A6011" t="str">
            <v>M1</v>
          </cell>
          <cell r="B6011" t="str">
            <v>A5C</v>
          </cell>
          <cell r="C6011" t="str">
            <v>P</v>
          </cell>
          <cell r="D6011" t="str">
            <v>22077</v>
          </cell>
          <cell r="E6011" t="str">
            <v>E RED</v>
          </cell>
          <cell r="F6011">
            <v>2</v>
          </cell>
          <cell r="G6011" t="str">
            <v>CB300604041008</v>
          </cell>
          <cell r="H6011">
            <v>8</v>
          </cell>
          <cell r="I6011" t="str">
            <v>-</v>
          </cell>
          <cell r="J6011">
            <v>2</v>
          </cell>
          <cell r="K6011">
            <v>3</v>
          </cell>
        </row>
        <row r="6012">
          <cell r="A6012" t="str">
            <v>M1</v>
          </cell>
          <cell r="B6012" t="str">
            <v>A5C</v>
          </cell>
          <cell r="C6012" t="str">
            <v>P</v>
          </cell>
          <cell r="D6012" t="str">
            <v>22060</v>
          </cell>
          <cell r="E6012" t="str">
            <v>SOL</v>
          </cell>
          <cell r="F6012">
            <v>2</v>
          </cell>
          <cell r="G6012" t="str">
            <v>CB39020000100T</v>
          </cell>
          <cell r="H6012">
            <v>0.75</v>
          </cell>
          <cell r="I6012" t="str">
            <v>-</v>
          </cell>
          <cell r="J6012">
            <v>1</v>
          </cell>
          <cell r="K6012">
            <v>2</v>
          </cell>
        </row>
        <row r="6013">
          <cell r="A6013" t="str">
            <v>M1</v>
          </cell>
          <cell r="B6013" t="str">
            <v>A5C</v>
          </cell>
          <cell r="C6013" t="str">
            <v>P</v>
          </cell>
          <cell r="D6013" t="str">
            <v>22062</v>
          </cell>
          <cell r="E6013" t="str">
            <v>SOL</v>
          </cell>
          <cell r="F6013">
            <v>2</v>
          </cell>
          <cell r="G6013" t="str">
            <v>CB39020000100T</v>
          </cell>
          <cell r="H6013">
            <v>0.75</v>
          </cell>
          <cell r="I6013" t="str">
            <v>-</v>
          </cell>
          <cell r="J6013">
            <v>2</v>
          </cell>
          <cell r="K6013">
            <v>3</v>
          </cell>
        </row>
        <row r="6014">
          <cell r="A6014" t="str">
            <v>M1</v>
          </cell>
          <cell r="B6014" t="str">
            <v>A5C</v>
          </cell>
          <cell r="C6014" t="str">
            <v>P</v>
          </cell>
          <cell r="D6014" t="str">
            <v>22071</v>
          </cell>
          <cell r="E6014" t="str">
            <v>R TEE</v>
          </cell>
          <cell r="F6014">
            <v>2</v>
          </cell>
          <cell r="G6014" t="str">
            <v>CB400400001H01</v>
          </cell>
          <cell r="H6014">
            <v>1</v>
          </cell>
          <cell r="I6014" t="str">
            <v>-</v>
          </cell>
          <cell r="J6014">
            <v>1</v>
          </cell>
          <cell r="K6014">
            <v>1</v>
          </cell>
        </row>
        <row r="6015">
          <cell r="A6015" t="str">
            <v>M1</v>
          </cell>
          <cell r="B6015" t="str">
            <v>A5C</v>
          </cell>
          <cell r="C6015" t="str">
            <v>P</v>
          </cell>
          <cell r="D6015" t="str">
            <v>22062</v>
          </cell>
          <cell r="E6015" t="str">
            <v>SOL</v>
          </cell>
          <cell r="F6015">
            <v>2</v>
          </cell>
          <cell r="G6015" t="str">
            <v>CB39020000100T</v>
          </cell>
          <cell r="H6015">
            <v>0.75</v>
          </cell>
          <cell r="I6015" t="str">
            <v>-</v>
          </cell>
          <cell r="J6015">
            <v>1</v>
          </cell>
          <cell r="K6015">
            <v>2</v>
          </cell>
        </row>
        <row r="6016">
          <cell r="A6016" t="str">
            <v>M1</v>
          </cell>
          <cell r="B6016" t="str">
            <v>A5C</v>
          </cell>
          <cell r="C6016" t="str">
            <v>P</v>
          </cell>
          <cell r="D6016" t="str">
            <v>22077</v>
          </cell>
          <cell r="E6016" t="str">
            <v>SOL</v>
          </cell>
          <cell r="F6016">
            <v>2</v>
          </cell>
          <cell r="G6016" t="str">
            <v>CB39020000100T</v>
          </cell>
          <cell r="H6016">
            <v>0.75</v>
          </cell>
          <cell r="I6016" t="str">
            <v>-</v>
          </cell>
          <cell r="J6016">
            <v>1</v>
          </cell>
          <cell r="K6016">
            <v>2</v>
          </cell>
        </row>
        <row r="6017">
          <cell r="A6017" t="str">
            <v>M1</v>
          </cell>
          <cell r="B6017" t="str">
            <v>A5C</v>
          </cell>
          <cell r="C6017" t="str">
            <v>P</v>
          </cell>
          <cell r="D6017" t="str">
            <v>22109</v>
          </cell>
          <cell r="E6017" t="str">
            <v>CAP</v>
          </cell>
          <cell r="F6017">
            <v>2</v>
          </cell>
          <cell r="G6017" t="str">
            <v>CB520700000100</v>
          </cell>
          <cell r="H6017">
            <v>1</v>
          </cell>
          <cell r="I6017" t="str">
            <v>--</v>
          </cell>
          <cell r="J6017">
            <v>1</v>
          </cell>
          <cell r="K6017">
            <v>1</v>
          </cell>
        </row>
        <row r="6018">
          <cell r="A6018" t="str">
            <v>M1</v>
          </cell>
          <cell r="B6018" t="str">
            <v>A5C</v>
          </cell>
          <cell r="C6018" t="str">
            <v>P</v>
          </cell>
          <cell r="D6018" t="str">
            <v>22077</v>
          </cell>
          <cell r="E6018" t="str">
            <v>SOL</v>
          </cell>
          <cell r="F6018">
            <v>2</v>
          </cell>
          <cell r="G6018" t="str">
            <v>CB39020000100T</v>
          </cell>
          <cell r="H6018">
            <v>0.75</v>
          </cell>
          <cell r="I6018" t="str">
            <v>-</v>
          </cell>
          <cell r="J6018">
            <v>1</v>
          </cell>
          <cell r="K6018">
            <v>2</v>
          </cell>
        </row>
        <row r="6019">
          <cell r="A6019" t="str">
            <v>M1</v>
          </cell>
          <cell r="B6019" t="str">
            <v>A5C</v>
          </cell>
          <cell r="C6019" t="str">
            <v>P</v>
          </cell>
          <cell r="D6019" t="str">
            <v>22077</v>
          </cell>
          <cell r="E6019" t="str">
            <v>SOL</v>
          </cell>
          <cell r="F6019">
            <v>2</v>
          </cell>
          <cell r="G6019" t="str">
            <v>CB3902000010IH</v>
          </cell>
          <cell r="H6019">
            <v>1.5</v>
          </cell>
          <cell r="I6019" t="str">
            <v>-</v>
          </cell>
          <cell r="J6019">
            <v>1</v>
          </cell>
          <cell r="K6019">
            <v>2</v>
          </cell>
        </row>
        <row r="6020">
          <cell r="A6020" t="str">
            <v>M1</v>
          </cell>
          <cell r="B6020" t="str">
            <v>A5C</v>
          </cell>
          <cell r="C6020" t="str">
            <v>P</v>
          </cell>
          <cell r="D6020" t="str">
            <v>22073</v>
          </cell>
          <cell r="E6020" t="str">
            <v>SOL</v>
          </cell>
          <cell r="F6020">
            <v>2</v>
          </cell>
          <cell r="G6020" t="str">
            <v>CB39020000100T</v>
          </cell>
          <cell r="H6020">
            <v>0.75</v>
          </cell>
          <cell r="I6020" t="str">
            <v>-</v>
          </cell>
          <cell r="J6020">
            <v>2</v>
          </cell>
          <cell r="K6020">
            <v>3</v>
          </cell>
        </row>
        <row r="6021">
          <cell r="A6021" t="str">
            <v>M1</v>
          </cell>
          <cell r="B6021" t="str">
            <v>A4C</v>
          </cell>
          <cell r="C6021" t="str">
            <v>P</v>
          </cell>
          <cell r="D6021" t="str">
            <v>22008</v>
          </cell>
          <cell r="E6021" t="str">
            <v>SOL</v>
          </cell>
          <cell r="F6021">
            <v>2</v>
          </cell>
          <cell r="G6021" t="str">
            <v>CB39020000100T</v>
          </cell>
          <cell r="H6021">
            <v>0.75</v>
          </cell>
          <cell r="I6021" t="str">
            <v>-</v>
          </cell>
          <cell r="J6021">
            <v>1</v>
          </cell>
          <cell r="K6021">
            <v>2</v>
          </cell>
        </row>
        <row r="6022">
          <cell r="A6022" t="str">
            <v>M1</v>
          </cell>
          <cell r="B6022" t="str">
            <v>A5C</v>
          </cell>
          <cell r="C6022" t="str">
            <v>P</v>
          </cell>
          <cell r="D6022" t="str">
            <v>22102</v>
          </cell>
          <cell r="E6022" t="str">
            <v>R TEE</v>
          </cell>
          <cell r="F6022">
            <v>2</v>
          </cell>
          <cell r="G6022" t="str">
            <v>CB400400001H01</v>
          </cell>
          <cell r="H6022">
            <v>1</v>
          </cell>
          <cell r="I6022" t="str">
            <v>-</v>
          </cell>
          <cell r="J6022">
            <v>1</v>
          </cell>
          <cell r="K6022">
            <v>1</v>
          </cell>
        </row>
        <row r="6023">
          <cell r="A6023" t="str">
            <v>M1</v>
          </cell>
          <cell r="B6023" t="str">
            <v>A4C</v>
          </cell>
          <cell r="C6023" t="str">
            <v>P</v>
          </cell>
          <cell r="D6023" t="str">
            <v>22008</v>
          </cell>
          <cell r="E6023" t="str">
            <v>SOL</v>
          </cell>
          <cell r="F6023">
            <v>2</v>
          </cell>
          <cell r="G6023" t="str">
            <v>CB39020000100T</v>
          </cell>
          <cell r="H6023">
            <v>0.75</v>
          </cell>
          <cell r="I6023" t="str">
            <v>-</v>
          </cell>
          <cell r="J6023">
            <v>1</v>
          </cell>
          <cell r="K6023">
            <v>2</v>
          </cell>
        </row>
        <row r="6024">
          <cell r="A6024" t="str">
            <v>M1</v>
          </cell>
          <cell r="B6024" t="str">
            <v>A4C</v>
          </cell>
          <cell r="C6024" t="str">
            <v>P</v>
          </cell>
          <cell r="D6024" t="str">
            <v>22008</v>
          </cell>
          <cell r="E6024" t="str">
            <v>SOL</v>
          </cell>
          <cell r="F6024">
            <v>2</v>
          </cell>
          <cell r="G6024" t="str">
            <v>CB3902000010IH</v>
          </cell>
          <cell r="H6024">
            <v>1.5</v>
          </cell>
          <cell r="I6024" t="str">
            <v>-</v>
          </cell>
          <cell r="J6024">
            <v>2</v>
          </cell>
          <cell r="K6024">
            <v>3</v>
          </cell>
        </row>
        <row r="6025">
          <cell r="A6025" t="str">
            <v>M1</v>
          </cell>
          <cell r="B6025" t="str">
            <v>A4C</v>
          </cell>
          <cell r="C6025" t="str">
            <v>P</v>
          </cell>
          <cell r="D6025" t="str">
            <v>22008</v>
          </cell>
          <cell r="E6025" t="str">
            <v>SOL</v>
          </cell>
          <cell r="F6025">
            <v>2</v>
          </cell>
          <cell r="G6025" t="str">
            <v>CB39020000100T</v>
          </cell>
          <cell r="H6025">
            <v>0.75</v>
          </cell>
          <cell r="I6025" t="str">
            <v>-</v>
          </cell>
          <cell r="J6025">
            <v>2</v>
          </cell>
          <cell r="K6025">
            <v>3</v>
          </cell>
        </row>
        <row r="6026">
          <cell r="A6026" t="str">
            <v>M1</v>
          </cell>
          <cell r="B6026" t="str">
            <v>A5C</v>
          </cell>
          <cell r="C6026" t="str">
            <v>P</v>
          </cell>
          <cell r="D6026" t="str">
            <v>22111</v>
          </cell>
          <cell r="E6026" t="str">
            <v>C SWG</v>
          </cell>
          <cell r="F6026">
            <v>2</v>
          </cell>
          <cell r="G6026" t="str">
            <v>CB161108081H01</v>
          </cell>
          <cell r="H6026">
            <v>1</v>
          </cell>
          <cell r="I6026" t="str">
            <v>-</v>
          </cell>
          <cell r="J6026">
            <v>1</v>
          </cell>
          <cell r="K6026">
            <v>1</v>
          </cell>
        </row>
        <row r="6027">
          <cell r="A6027" t="str">
            <v>M1</v>
          </cell>
          <cell r="B6027" t="str">
            <v>B1X</v>
          </cell>
          <cell r="C6027" t="str">
            <v>P</v>
          </cell>
          <cell r="D6027" t="str">
            <v>22042</v>
          </cell>
          <cell r="E6027" t="str">
            <v>SOL</v>
          </cell>
          <cell r="F6027">
            <v>2</v>
          </cell>
          <cell r="G6027" t="str">
            <v>CB39020000120T</v>
          </cell>
          <cell r="H6027">
            <v>0.75</v>
          </cell>
          <cell r="I6027" t="str">
            <v>-</v>
          </cell>
          <cell r="J6027">
            <v>2</v>
          </cell>
          <cell r="K6027">
            <v>3</v>
          </cell>
        </row>
        <row r="6028">
          <cell r="A6028" t="str">
            <v>M1</v>
          </cell>
          <cell r="B6028" t="str">
            <v>A5C</v>
          </cell>
          <cell r="C6028" t="str">
            <v>P</v>
          </cell>
          <cell r="D6028" t="str">
            <v>22058</v>
          </cell>
          <cell r="E6028" t="str">
            <v>SOL</v>
          </cell>
          <cell r="F6028">
            <v>2</v>
          </cell>
          <cell r="G6028" t="str">
            <v>CB39020000140T</v>
          </cell>
          <cell r="H6028">
            <v>0.75</v>
          </cell>
          <cell r="I6028" t="str">
            <v>-</v>
          </cell>
          <cell r="J6028">
            <v>1</v>
          </cell>
          <cell r="K6028">
            <v>1</v>
          </cell>
        </row>
        <row r="6029">
          <cell r="A6029" t="str">
            <v>M1</v>
          </cell>
          <cell r="B6029" t="str">
            <v>B1C</v>
          </cell>
          <cell r="C6029" t="str">
            <v>P</v>
          </cell>
          <cell r="D6029" t="str">
            <v>22027</v>
          </cell>
          <cell r="E6029" t="str">
            <v>SOL</v>
          </cell>
          <cell r="F6029">
            <v>2</v>
          </cell>
          <cell r="G6029" t="str">
            <v>CB39020000140T</v>
          </cell>
          <cell r="H6029">
            <v>0.75</v>
          </cell>
          <cell r="I6029" t="str">
            <v>-</v>
          </cell>
          <cell r="J6029">
            <v>1</v>
          </cell>
          <cell r="K6029">
            <v>1</v>
          </cell>
        </row>
        <row r="6030">
          <cell r="A6030" t="str">
            <v>M2</v>
          </cell>
          <cell r="B6030" t="str">
            <v>A5C</v>
          </cell>
          <cell r="C6030" t="str">
            <v>P</v>
          </cell>
          <cell r="D6030" t="str">
            <v>23063</v>
          </cell>
          <cell r="E6030" t="str">
            <v>E SWG</v>
          </cell>
          <cell r="F6030">
            <v>2</v>
          </cell>
          <cell r="G6030" t="str">
            <v>CB162108080T0H</v>
          </cell>
          <cell r="H6030">
            <v>0.5</v>
          </cell>
          <cell r="I6030" t="str">
            <v>-</v>
          </cell>
          <cell r="J6030">
            <v>2</v>
          </cell>
          <cell r="K6030">
            <v>2</v>
          </cell>
        </row>
        <row r="6031">
          <cell r="A6031" t="str">
            <v>M2</v>
          </cell>
          <cell r="B6031" t="str">
            <v>A5C</v>
          </cell>
          <cell r="C6031" t="str">
            <v>P</v>
          </cell>
          <cell r="D6031" t="str">
            <v>23078</v>
          </cell>
          <cell r="E6031" t="str">
            <v>E SWG</v>
          </cell>
          <cell r="F6031">
            <v>2</v>
          </cell>
          <cell r="G6031" t="str">
            <v>CB162108080T0H</v>
          </cell>
          <cell r="H6031">
            <v>0.5</v>
          </cell>
          <cell r="I6031" t="str">
            <v>-</v>
          </cell>
          <cell r="J6031">
            <v>2</v>
          </cell>
          <cell r="K6031">
            <v>2</v>
          </cell>
        </row>
        <row r="6032">
          <cell r="A6032" t="str">
            <v>M2</v>
          </cell>
          <cell r="B6032" t="str">
            <v>A5C</v>
          </cell>
          <cell r="C6032" t="str">
            <v>P</v>
          </cell>
          <cell r="D6032" t="str">
            <v>23094</v>
          </cell>
          <cell r="E6032" t="str">
            <v>E SWG</v>
          </cell>
          <cell r="F6032">
            <v>2</v>
          </cell>
          <cell r="G6032" t="str">
            <v>CB162108080T0H</v>
          </cell>
          <cell r="H6032">
            <v>0.5</v>
          </cell>
          <cell r="I6032" t="str">
            <v>-</v>
          </cell>
          <cell r="J6032">
            <v>2</v>
          </cell>
          <cell r="K6032">
            <v>2</v>
          </cell>
        </row>
        <row r="6033">
          <cell r="A6033" t="str">
            <v>M2</v>
          </cell>
          <cell r="B6033" t="str">
            <v>A5C</v>
          </cell>
          <cell r="C6033" t="str">
            <v>P</v>
          </cell>
          <cell r="D6033" t="str">
            <v>23113</v>
          </cell>
          <cell r="E6033" t="str">
            <v>E SWG</v>
          </cell>
          <cell r="F6033">
            <v>2</v>
          </cell>
          <cell r="G6033" t="str">
            <v>CB162108080T0H</v>
          </cell>
          <cell r="H6033">
            <v>0.5</v>
          </cell>
          <cell r="I6033" t="str">
            <v>-</v>
          </cell>
          <cell r="J6033">
            <v>2</v>
          </cell>
          <cell r="K6033">
            <v>2</v>
          </cell>
        </row>
        <row r="6034">
          <cell r="A6034" t="str">
            <v>M2</v>
          </cell>
          <cell r="B6034" t="str">
            <v>A5C</v>
          </cell>
          <cell r="C6034" t="str">
            <v>P</v>
          </cell>
          <cell r="D6034" t="str">
            <v>23188</v>
          </cell>
          <cell r="E6034" t="str">
            <v>E SWG</v>
          </cell>
          <cell r="F6034">
            <v>2</v>
          </cell>
          <cell r="G6034" t="str">
            <v>CB162108080T0H</v>
          </cell>
          <cell r="H6034">
            <v>0.5</v>
          </cell>
          <cell r="I6034" t="str">
            <v>-</v>
          </cell>
          <cell r="J6034">
            <v>1</v>
          </cell>
          <cell r="K6034">
            <v>1</v>
          </cell>
        </row>
        <row r="6035">
          <cell r="A6035" t="str">
            <v>M2</v>
          </cell>
          <cell r="B6035" t="str">
            <v>A5C</v>
          </cell>
          <cell r="C6035" t="str">
            <v>P</v>
          </cell>
          <cell r="D6035" t="str">
            <v>23094</v>
          </cell>
          <cell r="E6035" t="str">
            <v>R TEE</v>
          </cell>
          <cell r="F6035">
            <v>2</v>
          </cell>
          <cell r="G6035" t="str">
            <v>CB400400000T0H</v>
          </cell>
          <cell r="H6035">
            <v>0.5</v>
          </cell>
          <cell r="I6035" t="str">
            <v>-</v>
          </cell>
          <cell r="J6035">
            <v>2</v>
          </cell>
          <cell r="K6035">
            <v>2</v>
          </cell>
        </row>
        <row r="6036">
          <cell r="A6036" t="str">
            <v>M2</v>
          </cell>
          <cell r="B6036" t="str">
            <v>A5C</v>
          </cell>
          <cell r="C6036" t="str">
            <v>P</v>
          </cell>
          <cell r="D6036" t="str">
            <v>23113</v>
          </cell>
          <cell r="E6036" t="str">
            <v>R TEE</v>
          </cell>
          <cell r="F6036">
            <v>2</v>
          </cell>
          <cell r="G6036" t="str">
            <v>CB400400000T0H</v>
          </cell>
          <cell r="H6036">
            <v>0.5</v>
          </cell>
          <cell r="I6036" t="str">
            <v>-</v>
          </cell>
          <cell r="J6036">
            <v>2</v>
          </cell>
          <cell r="K6036">
            <v>2</v>
          </cell>
        </row>
        <row r="6037">
          <cell r="A6037" t="str">
            <v>M2</v>
          </cell>
          <cell r="B6037" t="str">
            <v>B2C</v>
          </cell>
          <cell r="C6037" t="str">
            <v>SH</v>
          </cell>
          <cell r="D6037" t="str">
            <v>24612</v>
          </cell>
          <cell r="E6037" t="str">
            <v>C SWG</v>
          </cell>
          <cell r="F6037">
            <v>2</v>
          </cell>
          <cell r="G6037" t="str">
            <v>CB16110808010T</v>
          </cell>
          <cell r="H6037">
            <v>0.75</v>
          </cell>
          <cell r="I6037" t="str">
            <v>-</v>
          </cell>
          <cell r="J6037">
            <v>1</v>
          </cell>
          <cell r="K6037">
            <v>1</v>
          </cell>
        </row>
        <row r="6038">
          <cell r="A6038" t="str">
            <v>M2</v>
          </cell>
          <cell r="B6038" t="str">
            <v>A5C</v>
          </cell>
          <cell r="C6038" t="str">
            <v>P</v>
          </cell>
          <cell r="D6038" t="str">
            <v>23081</v>
          </cell>
          <cell r="E6038" t="str">
            <v>C SWG</v>
          </cell>
          <cell r="F6038">
            <v>2</v>
          </cell>
          <cell r="G6038" t="str">
            <v>CB16110808010T</v>
          </cell>
          <cell r="H6038">
            <v>0.75</v>
          </cell>
          <cell r="I6038" t="str">
            <v>-</v>
          </cell>
          <cell r="J6038">
            <v>1</v>
          </cell>
          <cell r="K6038">
            <v>1</v>
          </cell>
        </row>
        <row r="6039">
          <cell r="A6039" t="str">
            <v>M2</v>
          </cell>
          <cell r="B6039" t="str">
            <v>A5C</v>
          </cell>
          <cell r="C6039" t="str">
            <v>P</v>
          </cell>
          <cell r="D6039" t="str">
            <v>23101</v>
          </cell>
          <cell r="E6039" t="str">
            <v>C SWG</v>
          </cell>
          <cell r="F6039">
            <v>2</v>
          </cell>
          <cell r="G6039" t="str">
            <v>CB16110808010T</v>
          </cell>
          <cell r="H6039">
            <v>0.75</v>
          </cell>
          <cell r="I6039" t="str">
            <v>-</v>
          </cell>
          <cell r="J6039">
            <v>1</v>
          </cell>
          <cell r="K6039">
            <v>1</v>
          </cell>
        </row>
        <row r="6040">
          <cell r="A6040" t="str">
            <v>M2</v>
          </cell>
          <cell r="B6040" t="str">
            <v>A5C</v>
          </cell>
          <cell r="C6040" t="str">
            <v>P</v>
          </cell>
          <cell r="D6040" t="str">
            <v>23104</v>
          </cell>
          <cell r="E6040" t="str">
            <v>C SWG</v>
          </cell>
          <cell r="F6040">
            <v>2</v>
          </cell>
          <cell r="G6040" t="str">
            <v>CB16110808010T</v>
          </cell>
          <cell r="H6040">
            <v>0.75</v>
          </cell>
          <cell r="I6040" t="str">
            <v>-</v>
          </cell>
          <cell r="J6040">
            <v>3</v>
          </cell>
          <cell r="K6040">
            <v>3</v>
          </cell>
        </row>
        <row r="6041">
          <cell r="A6041" t="str">
            <v>M2</v>
          </cell>
          <cell r="B6041" t="str">
            <v>A5C</v>
          </cell>
          <cell r="C6041" t="str">
            <v>P</v>
          </cell>
          <cell r="D6041" t="str">
            <v>23104</v>
          </cell>
          <cell r="E6041" t="str">
            <v>C SWG</v>
          </cell>
          <cell r="F6041">
            <v>2</v>
          </cell>
          <cell r="G6041" t="str">
            <v>CB16110808010T</v>
          </cell>
          <cell r="H6041">
            <v>0.75</v>
          </cell>
          <cell r="I6041" t="str">
            <v>-</v>
          </cell>
          <cell r="J6041">
            <v>3</v>
          </cell>
          <cell r="K6041">
            <v>3</v>
          </cell>
        </row>
        <row r="6042">
          <cell r="A6042" t="str">
            <v>M2</v>
          </cell>
          <cell r="B6042" t="str">
            <v>A5C</v>
          </cell>
          <cell r="C6042" t="str">
            <v>P</v>
          </cell>
          <cell r="D6042" t="str">
            <v>23105</v>
          </cell>
          <cell r="E6042" t="str">
            <v>C SWG</v>
          </cell>
          <cell r="F6042">
            <v>2</v>
          </cell>
          <cell r="G6042" t="str">
            <v>CB16110808010T</v>
          </cell>
          <cell r="H6042">
            <v>0.75</v>
          </cell>
          <cell r="I6042" t="str">
            <v>-</v>
          </cell>
          <cell r="J6042">
            <v>1</v>
          </cell>
          <cell r="K6042">
            <v>1</v>
          </cell>
        </row>
        <row r="6043">
          <cell r="A6043" t="str">
            <v>M2</v>
          </cell>
          <cell r="B6043" t="str">
            <v>A5C</v>
          </cell>
          <cell r="C6043" t="str">
            <v>P</v>
          </cell>
          <cell r="D6043" t="str">
            <v>23112</v>
          </cell>
          <cell r="E6043" t="str">
            <v>C SWG</v>
          </cell>
          <cell r="F6043">
            <v>2</v>
          </cell>
          <cell r="G6043" t="str">
            <v>CB16110808010T</v>
          </cell>
          <cell r="H6043">
            <v>0.75</v>
          </cell>
          <cell r="I6043" t="str">
            <v>-</v>
          </cell>
          <cell r="J6043">
            <v>3</v>
          </cell>
          <cell r="K6043">
            <v>3</v>
          </cell>
        </row>
        <row r="6044">
          <cell r="A6044" t="str">
            <v>M2</v>
          </cell>
          <cell r="B6044" t="str">
            <v>A5C</v>
          </cell>
          <cell r="C6044" t="str">
            <v>P</v>
          </cell>
          <cell r="D6044" t="str">
            <v>23113</v>
          </cell>
          <cell r="E6044" t="str">
            <v>C SWG</v>
          </cell>
          <cell r="F6044">
            <v>2</v>
          </cell>
          <cell r="G6044" t="str">
            <v>CB16110808010T</v>
          </cell>
          <cell r="H6044">
            <v>0.75</v>
          </cell>
          <cell r="I6044" t="str">
            <v>-</v>
          </cell>
          <cell r="J6044">
            <v>1</v>
          </cell>
          <cell r="K6044">
            <v>1</v>
          </cell>
        </row>
        <row r="6045">
          <cell r="A6045" t="str">
            <v>M2</v>
          </cell>
          <cell r="B6045" t="str">
            <v>A5C</v>
          </cell>
          <cell r="C6045" t="str">
            <v>P</v>
          </cell>
          <cell r="D6045" t="str">
            <v>23144</v>
          </cell>
          <cell r="E6045" t="str">
            <v>C SWG</v>
          </cell>
          <cell r="F6045">
            <v>2</v>
          </cell>
          <cell r="G6045" t="str">
            <v>CB16110808010T</v>
          </cell>
          <cell r="H6045">
            <v>0.75</v>
          </cell>
          <cell r="I6045" t="str">
            <v>-</v>
          </cell>
          <cell r="J6045">
            <v>2</v>
          </cell>
          <cell r="K6045">
            <v>2</v>
          </cell>
        </row>
        <row r="6046">
          <cell r="A6046" t="str">
            <v>M2</v>
          </cell>
          <cell r="B6046" t="str">
            <v>A5C</v>
          </cell>
          <cell r="C6046" t="str">
            <v>P</v>
          </cell>
          <cell r="D6046" t="str">
            <v>23145</v>
          </cell>
          <cell r="E6046" t="str">
            <v>C SWG</v>
          </cell>
          <cell r="F6046">
            <v>2</v>
          </cell>
          <cell r="G6046" t="str">
            <v>CB16110808010T</v>
          </cell>
          <cell r="H6046">
            <v>0.75</v>
          </cell>
          <cell r="I6046" t="str">
            <v>-</v>
          </cell>
          <cell r="J6046">
            <v>1</v>
          </cell>
          <cell r="K6046">
            <v>1</v>
          </cell>
        </row>
        <row r="6047">
          <cell r="A6047" t="str">
            <v>M2</v>
          </cell>
          <cell r="B6047" t="str">
            <v>A5C</v>
          </cell>
          <cell r="C6047" t="str">
            <v>P</v>
          </cell>
          <cell r="D6047" t="str">
            <v>23164</v>
          </cell>
          <cell r="E6047" t="str">
            <v>C SWG</v>
          </cell>
          <cell r="F6047">
            <v>2</v>
          </cell>
          <cell r="G6047" t="str">
            <v>CB16110808010T</v>
          </cell>
          <cell r="H6047">
            <v>0.75</v>
          </cell>
          <cell r="I6047" t="str">
            <v>-</v>
          </cell>
          <cell r="J6047">
            <v>2</v>
          </cell>
          <cell r="K6047">
            <v>2</v>
          </cell>
        </row>
        <row r="6048">
          <cell r="A6048" t="str">
            <v>M2</v>
          </cell>
          <cell r="B6048" t="str">
            <v>A5C</v>
          </cell>
          <cell r="C6048" t="str">
            <v>P</v>
          </cell>
          <cell r="D6048" t="str">
            <v>23225</v>
          </cell>
          <cell r="E6048" t="str">
            <v>C SWG</v>
          </cell>
          <cell r="F6048">
            <v>2</v>
          </cell>
          <cell r="G6048" t="str">
            <v>CB16110808010T</v>
          </cell>
          <cell r="H6048">
            <v>0.75</v>
          </cell>
          <cell r="I6048" t="str">
            <v>-</v>
          </cell>
          <cell r="J6048">
            <v>1</v>
          </cell>
          <cell r="K6048">
            <v>1</v>
          </cell>
        </row>
        <row r="6049">
          <cell r="A6049" t="str">
            <v>M2</v>
          </cell>
          <cell r="B6049" t="str">
            <v>A5C</v>
          </cell>
          <cell r="C6049" t="str">
            <v>P</v>
          </cell>
          <cell r="D6049" t="str">
            <v>23234</v>
          </cell>
          <cell r="E6049" t="str">
            <v>C SWG</v>
          </cell>
          <cell r="F6049">
            <v>2</v>
          </cell>
          <cell r="G6049" t="str">
            <v>CB16110808010T</v>
          </cell>
          <cell r="H6049">
            <v>0.75</v>
          </cell>
          <cell r="I6049" t="str">
            <v>-</v>
          </cell>
          <cell r="J6049">
            <v>1</v>
          </cell>
          <cell r="K6049">
            <v>1</v>
          </cell>
        </row>
        <row r="6050">
          <cell r="A6050" t="str">
            <v>M2</v>
          </cell>
          <cell r="B6050" t="str">
            <v>A5C</v>
          </cell>
          <cell r="C6050" t="str">
            <v>P</v>
          </cell>
          <cell r="D6050" t="str">
            <v>23238</v>
          </cell>
          <cell r="E6050" t="str">
            <v>C SWG</v>
          </cell>
          <cell r="F6050">
            <v>2</v>
          </cell>
          <cell r="G6050" t="str">
            <v>CB16110808010T</v>
          </cell>
          <cell r="H6050">
            <v>0.75</v>
          </cell>
          <cell r="I6050" t="str">
            <v>-</v>
          </cell>
          <cell r="J6050">
            <v>1</v>
          </cell>
          <cell r="K6050">
            <v>1</v>
          </cell>
        </row>
        <row r="6051">
          <cell r="A6051" t="str">
            <v>M2</v>
          </cell>
          <cell r="B6051" t="str">
            <v>A5C</v>
          </cell>
          <cell r="C6051" t="str">
            <v>P</v>
          </cell>
          <cell r="D6051" t="str">
            <v>23247</v>
          </cell>
          <cell r="E6051" t="str">
            <v>C SWG</v>
          </cell>
          <cell r="F6051">
            <v>2</v>
          </cell>
          <cell r="G6051" t="str">
            <v>CB16110808010T</v>
          </cell>
          <cell r="H6051">
            <v>0.75</v>
          </cell>
          <cell r="I6051" t="str">
            <v>-</v>
          </cell>
          <cell r="J6051">
            <v>1</v>
          </cell>
          <cell r="K6051">
            <v>1</v>
          </cell>
        </row>
        <row r="6052">
          <cell r="A6052" t="str">
            <v>M2</v>
          </cell>
          <cell r="B6052" t="str">
            <v>A5C</v>
          </cell>
          <cell r="C6052" t="str">
            <v>P</v>
          </cell>
          <cell r="D6052" t="str">
            <v>24024</v>
          </cell>
          <cell r="E6052" t="str">
            <v>C SWG</v>
          </cell>
          <cell r="F6052">
            <v>2</v>
          </cell>
          <cell r="G6052" t="str">
            <v>CB16110808010T</v>
          </cell>
          <cell r="H6052">
            <v>0.75</v>
          </cell>
          <cell r="I6052" t="str">
            <v>-</v>
          </cell>
          <cell r="J6052">
            <v>1</v>
          </cell>
          <cell r="K6052">
            <v>1</v>
          </cell>
        </row>
        <row r="6053">
          <cell r="A6053" t="str">
            <v>M2</v>
          </cell>
          <cell r="B6053" t="str">
            <v>A5C</v>
          </cell>
          <cell r="C6053" t="str">
            <v>TRIM</v>
          </cell>
          <cell r="D6053" t="str">
            <v>V-2316</v>
          </cell>
          <cell r="E6053" t="str">
            <v>C SWG</v>
          </cell>
          <cell r="F6053">
            <v>2</v>
          </cell>
          <cell r="G6053" t="str">
            <v>CB16110808010T</v>
          </cell>
          <cell r="H6053">
            <v>0.75</v>
          </cell>
          <cell r="I6053" t="str">
            <v>-</v>
          </cell>
          <cell r="J6053">
            <v>1</v>
          </cell>
          <cell r="K6053">
            <v>1</v>
          </cell>
        </row>
        <row r="6054">
          <cell r="A6054" t="str">
            <v>M2</v>
          </cell>
          <cell r="B6054" t="str">
            <v>A5C</v>
          </cell>
          <cell r="C6054" t="str">
            <v>P</v>
          </cell>
          <cell r="D6054" t="str">
            <v>23094</v>
          </cell>
          <cell r="E6054" t="str">
            <v>C SWG</v>
          </cell>
          <cell r="F6054">
            <v>2</v>
          </cell>
          <cell r="G6054" t="str">
            <v>CB16110808010T</v>
          </cell>
          <cell r="H6054">
            <v>0.75</v>
          </cell>
          <cell r="I6054" t="str">
            <v>-</v>
          </cell>
          <cell r="J6054">
            <v>1</v>
          </cell>
          <cell r="K6054">
            <v>1</v>
          </cell>
        </row>
        <row r="6055">
          <cell r="A6055" t="str">
            <v>M2</v>
          </cell>
          <cell r="B6055" t="str">
            <v>A5C</v>
          </cell>
          <cell r="C6055" t="str">
            <v>P</v>
          </cell>
          <cell r="D6055" t="str">
            <v>23108</v>
          </cell>
          <cell r="E6055" t="str">
            <v>C SWG</v>
          </cell>
          <cell r="F6055">
            <v>2</v>
          </cell>
          <cell r="G6055" t="str">
            <v>CB16110808010T</v>
          </cell>
          <cell r="H6055">
            <v>0.75</v>
          </cell>
          <cell r="I6055" t="str">
            <v>-</v>
          </cell>
          <cell r="J6055">
            <v>3</v>
          </cell>
          <cell r="K6055">
            <v>3</v>
          </cell>
        </row>
        <row r="6056">
          <cell r="A6056" t="str">
            <v>M2</v>
          </cell>
          <cell r="B6056" t="str">
            <v>A5C</v>
          </cell>
          <cell r="C6056" t="str">
            <v>P</v>
          </cell>
          <cell r="D6056" t="str">
            <v>23108</v>
          </cell>
          <cell r="E6056" t="str">
            <v>C SWG</v>
          </cell>
          <cell r="F6056">
            <v>2</v>
          </cell>
          <cell r="G6056" t="str">
            <v>CB16110808010T</v>
          </cell>
          <cell r="H6056">
            <v>0.75</v>
          </cell>
          <cell r="I6056" t="str">
            <v>-</v>
          </cell>
          <cell r="J6056">
            <v>3</v>
          </cell>
          <cell r="K6056">
            <v>3</v>
          </cell>
        </row>
        <row r="6057">
          <cell r="A6057" t="str">
            <v>M2</v>
          </cell>
          <cell r="B6057" t="str">
            <v>A5C</v>
          </cell>
          <cell r="C6057" t="str">
            <v>P</v>
          </cell>
          <cell r="D6057" t="str">
            <v>23109</v>
          </cell>
          <cell r="E6057" t="str">
            <v>C SWG</v>
          </cell>
          <cell r="F6057">
            <v>2</v>
          </cell>
          <cell r="G6057" t="str">
            <v>CB16110808010T</v>
          </cell>
          <cell r="H6057">
            <v>0.75</v>
          </cell>
          <cell r="I6057" t="str">
            <v>-</v>
          </cell>
          <cell r="J6057">
            <v>1</v>
          </cell>
          <cell r="K6057">
            <v>1</v>
          </cell>
        </row>
        <row r="6058">
          <cell r="A6058" t="str">
            <v>M2</v>
          </cell>
          <cell r="B6058" t="str">
            <v>A5C</v>
          </cell>
          <cell r="C6058" t="str">
            <v>P</v>
          </cell>
          <cell r="D6058" t="str">
            <v>23112</v>
          </cell>
          <cell r="E6058" t="str">
            <v>C SWG</v>
          </cell>
          <cell r="F6058">
            <v>2</v>
          </cell>
          <cell r="G6058" t="str">
            <v>CB16110808010T</v>
          </cell>
          <cell r="H6058">
            <v>0.75</v>
          </cell>
          <cell r="I6058" t="str">
            <v>-</v>
          </cell>
          <cell r="J6058">
            <v>3</v>
          </cell>
          <cell r="K6058">
            <v>3</v>
          </cell>
        </row>
        <row r="6059">
          <cell r="A6059" t="str">
            <v>M2</v>
          </cell>
          <cell r="B6059" t="str">
            <v>A5C</v>
          </cell>
          <cell r="C6059" t="str">
            <v>P</v>
          </cell>
          <cell r="D6059" t="str">
            <v>23133</v>
          </cell>
          <cell r="E6059" t="str">
            <v>C SWG</v>
          </cell>
          <cell r="F6059">
            <v>2</v>
          </cell>
          <cell r="G6059" t="str">
            <v>CB16110808010T</v>
          </cell>
          <cell r="H6059">
            <v>0.75</v>
          </cell>
          <cell r="I6059" t="str">
            <v>-</v>
          </cell>
          <cell r="J6059">
            <v>1</v>
          </cell>
          <cell r="K6059">
            <v>1</v>
          </cell>
        </row>
        <row r="6060">
          <cell r="A6060" t="str">
            <v>M2</v>
          </cell>
          <cell r="B6060" t="str">
            <v>A5C</v>
          </cell>
          <cell r="C6060" t="str">
            <v>P</v>
          </cell>
          <cell r="D6060" t="str">
            <v>23141</v>
          </cell>
          <cell r="E6060" t="str">
            <v>C SWG</v>
          </cell>
          <cell r="F6060">
            <v>2</v>
          </cell>
          <cell r="G6060" t="str">
            <v>CB16110808010T</v>
          </cell>
          <cell r="H6060">
            <v>0.75</v>
          </cell>
          <cell r="I6060" t="str">
            <v>-</v>
          </cell>
          <cell r="J6060">
            <v>1</v>
          </cell>
          <cell r="K6060">
            <v>1</v>
          </cell>
        </row>
        <row r="6061">
          <cell r="A6061" t="str">
            <v>M2</v>
          </cell>
          <cell r="B6061" t="str">
            <v>A5C</v>
          </cell>
          <cell r="C6061" t="str">
            <v>P</v>
          </cell>
          <cell r="D6061" t="str">
            <v>23148</v>
          </cell>
          <cell r="E6061" t="str">
            <v>C SWG</v>
          </cell>
          <cell r="F6061">
            <v>2</v>
          </cell>
          <cell r="G6061" t="str">
            <v>CB16110808010T</v>
          </cell>
          <cell r="H6061">
            <v>0.75</v>
          </cell>
          <cell r="I6061" t="str">
            <v>-</v>
          </cell>
          <cell r="J6061">
            <v>2</v>
          </cell>
          <cell r="K6061">
            <v>2</v>
          </cell>
        </row>
        <row r="6062">
          <cell r="A6062" t="str">
            <v>M2</v>
          </cell>
          <cell r="B6062" t="str">
            <v>A5C</v>
          </cell>
          <cell r="C6062" t="str">
            <v>N</v>
          </cell>
          <cell r="D6062" t="str">
            <v>23613</v>
          </cell>
          <cell r="E6062" t="str">
            <v>E SWG</v>
          </cell>
          <cell r="F6062">
            <v>2</v>
          </cell>
          <cell r="G6062" t="str">
            <v>CB16210808010T</v>
          </cell>
          <cell r="H6062">
            <v>0.75</v>
          </cell>
          <cell r="I6062" t="str">
            <v>-</v>
          </cell>
          <cell r="J6062">
            <v>1</v>
          </cell>
          <cell r="K6062">
            <v>1</v>
          </cell>
        </row>
        <row r="6063">
          <cell r="A6063" t="str">
            <v>M2</v>
          </cell>
          <cell r="B6063" t="str">
            <v>A5C</v>
          </cell>
          <cell r="C6063" t="str">
            <v>P</v>
          </cell>
          <cell r="D6063" t="str">
            <v>23052</v>
          </cell>
          <cell r="E6063" t="str">
            <v>E SWG</v>
          </cell>
          <cell r="F6063">
            <v>2</v>
          </cell>
          <cell r="G6063" t="str">
            <v>CB16210808010T</v>
          </cell>
          <cell r="H6063">
            <v>0.75</v>
          </cell>
          <cell r="I6063" t="str">
            <v>-</v>
          </cell>
          <cell r="J6063">
            <v>2</v>
          </cell>
          <cell r="K6063">
            <v>2</v>
          </cell>
        </row>
        <row r="6064">
          <cell r="A6064" t="str">
            <v>M2</v>
          </cell>
          <cell r="B6064" t="str">
            <v>A5C</v>
          </cell>
          <cell r="C6064" t="str">
            <v>P</v>
          </cell>
          <cell r="D6064" t="str">
            <v>23037</v>
          </cell>
          <cell r="E6064" t="str">
            <v>E SWG</v>
          </cell>
          <cell r="F6064">
            <v>2</v>
          </cell>
          <cell r="G6064" t="str">
            <v>CB16210808010T</v>
          </cell>
          <cell r="H6064">
            <v>0.75</v>
          </cell>
          <cell r="I6064" t="str">
            <v>-</v>
          </cell>
          <cell r="J6064">
            <v>2</v>
          </cell>
          <cell r="K6064">
            <v>2</v>
          </cell>
        </row>
        <row r="6065">
          <cell r="A6065" t="str">
            <v>M2</v>
          </cell>
          <cell r="B6065" t="str">
            <v>A5C</v>
          </cell>
          <cell r="C6065" t="str">
            <v>P</v>
          </cell>
          <cell r="D6065" t="str">
            <v>23149</v>
          </cell>
          <cell r="E6065" t="str">
            <v>E SWG</v>
          </cell>
          <cell r="F6065">
            <v>2</v>
          </cell>
          <cell r="G6065" t="str">
            <v>CB16210808010T</v>
          </cell>
          <cell r="H6065">
            <v>0.75</v>
          </cell>
          <cell r="I6065" t="str">
            <v>-</v>
          </cell>
          <cell r="J6065">
            <v>2</v>
          </cell>
          <cell r="K6065">
            <v>2</v>
          </cell>
        </row>
        <row r="6066">
          <cell r="A6066" t="str">
            <v>M2</v>
          </cell>
          <cell r="B6066" t="str">
            <v>A5C</v>
          </cell>
          <cell r="C6066" t="str">
            <v>N</v>
          </cell>
          <cell r="D6066" t="str">
            <v>23632</v>
          </cell>
          <cell r="E6066" t="str">
            <v>R TEE</v>
          </cell>
          <cell r="F6066">
            <v>2</v>
          </cell>
          <cell r="G6066" t="str">
            <v>CB40040000010T</v>
          </cell>
          <cell r="H6066">
            <v>0.75</v>
          </cell>
          <cell r="I6066" t="str">
            <v>-</v>
          </cell>
          <cell r="J6066">
            <v>1</v>
          </cell>
          <cell r="K6066">
            <v>1</v>
          </cell>
        </row>
        <row r="6067">
          <cell r="A6067" t="str">
            <v>M2</v>
          </cell>
          <cell r="B6067" t="str">
            <v>A5C</v>
          </cell>
          <cell r="C6067" t="str">
            <v>N</v>
          </cell>
          <cell r="D6067" t="str">
            <v>23634</v>
          </cell>
          <cell r="E6067" t="str">
            <v>R TEE</v>
          </cell>
          <cell r="F6067">
            <v>2</v>
          </cell>
          <cell r="G6067" t="str">
            <v>CB40040000010T</v>
          </cell>
          <cell r="H6067">
            <v>0.75</v>
          </cell>
          <cell r="I6067" t="str">
            <v>-</v>
          </cell>
          <cell r="J6067">
            <v>1</v>
          </cell>
          <cell r="K6067">
            <v>1</v>
          </cell>
        </row>
        <row r="6068">
          <cell r="A6068" t="str">
            <v>M2</v>
          </cell>
          <cell r="B6068" t="str">
            <v>A5C</v>
          </cell>
          <cell r="C6068" t="str">
            <v>N</v>
          </cell>
          <cell r="D6068" t="str">
            <v>23638</v>
          </cell>
          <cell r="E6068" t="str">
            <v>R TEE</v>
          </cell>
          <cell r="F6068">
            <v>2</v>
          </cell>
          <cell r="G6068" t="str">
            <v>CB40040000010T</v>
          </cell>
          <cell r="H6068">
            <v>0.75</v>
          </cell>
          <cell r="I6068" t="str">
            <v>-</v>
          </cell>
          <cell r="J6068">
            <v>1</v>
          </cell>
          <cell r="K6068">
            <v>1</v>
          </cell>
        </row>
        <row r="6069">
          <cell r="A6069" t="str">
            <v>M2</v>
          </cell>
          <cell r="B6069" t="str">
            <v>A5C</v>
          </cell>
          <cell r="C6069" t="str">
            <v>N</v>
          </cell>
          <cell r="D6069" t="str">
            <v>23640</v>
          </cell>
          <cell r="E6069" t="str">
            <v>R TEE</v>
          </cell>
          <cell r="F6069">
            <v>2</v>
          </cell>
          <cell r="G6069" t="str">
            <v>CB40040000010T</v>
          </cell>
          <cell r="H6069">
            <v>0.75</v>
          </cell>
          <cell r="I6069" t="str">
            <v>-</v>
          </cell>
          <cell r="J6069">
            <v>1</v>
          </cell>
          <cell r="K6069">
            <v>1</v>
          </cell>
        </row>
        <row r="6070">
          <cell r="A6070" t="str">
            <v>M2</v>
          </cell>
          <cell r="B6070" t="str">
            <v>A5C</v>
          </cell>
          <cell r="C6070" t="str">
            <v>P</v>
          </cell>
          <cell r="D6070" t="str">
            <v>23052</v>
          </cell>
          <cell r="E6070" t="str">
            <v>R TEE</v>
          </cell>
          <cell r="F6070">
            <v>2</v>
          </cell>
          <cell r="G6070" t="str">
            <v>CB40040000010T</v>
          </cell>
          <cell r="H6070">
            <v>0.75</v>
          </cell>
          <cell r="I6070" t="str">
            <v>-</v>
          </cell>
          <cell r="J6070">
            <v>4</v>
          </cell>
          <cell r="K6070">
            <v>4</v>
          </cell>
        </row>
        <row r="6071">
          <cell r="A6071" t="str">
            <v>M2</v>
          </cell>
          <cell r="B6071" t="str">
            <v>A5C</v>
          </cell>
          <cell r="C6071" t="str">
            <v>P</v>
          </cell>
          <cell r="D6071" t="str">
            <v>23063</v>
          </cell>
          <cell r="E6071" t="str">
            <v>R TEE</v>
          </cell>
          <cell r="F6071">
            <v>2</v>
          </cell>
          <cell r="G6071" t="str">
            <v>CB40040000010T</v>
          </cell>
          <cell r="H6071">
            <v>0.75</v>
          </cell>
          <cell r="I6071" t="str">
            <v>-</v>
          </cell>
          <cell r="J6071">
            <v>2</v>
          </cell>
          <cell r="K6071">
            <v>2</v>
          </cell>
        </row>
        <row r="6072">
          <cell r="A6072" t="str">
            <v>M2</v>
          </cell>
          <cell r="B6072" t="str">
            <v>A5C</v>
          </cell>
          <cell r="C6072" t="str">
            <v>P</v>
          </cell>
          <cell r="D6072" t="str">
            <v>23078</v>
          </cell>
          <cell r="E6072" t="str">
            <v>R TEE</v>
          </cell>
          <cell r="F6072">
            <v>2</v>
          </cell>
          <cell r="G6072" t="str">
            <v>CB40040000010T</v>
          </cell>
          <cell r="H6072">
            <v>0.75</v>
          </cell>
          <cell r="I6072" t="str">
            <v>-</v>
          </cell>
          <cell r="J6072">
            <v>2</v>
          </cell>
          <cell r="K6072">
            <v>2</v>
          </cell>
        </row>
        <row r="6073">
          <cell r="A6073" t="str">
            <v>M2</v>
          </cell>
          <cell r="B6073" t="str">
            <v>A5C</v>
          </cell>
          <cell r="C6073" t="str">
            <v>P</v>
          </cell>
          <cell r="D6073" t="str">
            <v>23083</v>
          </cell>
          <cell r="E6073" t="str">
            <v>R TEE</v>
          </cell>
          <cell r="F6073">
            <v>2</v>
          </cell>
          <cell r="G6073" t="str">
            <v>CB40040000010T</v>
          </cell>
          <cell r="H6073">
            <v>0.75</v>
          </cell>
          <cell r="I6073" t="str">
            <v>-</v>
          </cell>
          <cell r="J6073">
            <v>2</v>
          </cell>
          <cell r="K6073">
            <v>2</v>
          </cell>
        </row>
        <row r="6074">
          <cell r="A6074" t="str">
            <v>M2</v>
          </cell>
          <cell r="B6074" t="str">
            <v>A5C</v>
          </cell>
          <cell r="C6074" t="str">
            <v>P</v>
          </cell>
          <cell r="D6074" t="str">
            <v>23122</v>
          </cell>
          <cell r="E6074" t="str">
            <v>R TEE</v>
          </cell>
          <cell r="F6074">
            <v>2</v>
          </cell>
          <cell r="G6074" t="str">
            <v>CB40040000010T</v>
          </cell>
          <cell r="H6074">
            <v>0.75</v>
          </cell>
          <cell r="I6074" t="str">
            <v>-</v>
          </cell>
          <cell r="J6074">
            <v>2</v>
          </cell>
          <cell r="K6074">
            <v>2</v>
          </cell>
        </row>
        <row r="6075">
          <cell r="A6075" t="str">
            <v>M2</v>
          </cell>
          <cell r="B6075" t="str">
            <v>A5C</v>
          </cell>
          <cell r="C6075" t="str">
            <v>P</v>
          </cell>
          <cell r="D6075" t="str">
            <v>23144</v>
          </cell>
          <cell r="E6075" t="str">
            <v>R TEE</v>
          </cell>
          <cell r="F6075">
            <v>2</v>
          </cell>
          <cell r="G6075" t="str">
            <v>CB40040000010T</v>
          </cell>
          <cell r="H6075">
            <v>0.75</v>
          </cell>
          <cell r="I6075" t="str">
            <v>-</v>
          </cell>
          <cell r="J6075">
            <v>4</v>
          </cell>
          <cell r="K6075">
            <v>4</v>
          </cell>
        </row>
        <row r="6076">
          <cell r="A6076" t="str">
            <v>M2</v>
          </cell>
          <cell r="B6076" t="str">
            <v>A5C</v>
          </cell>
          <cell r="C6076" t="str">
            <v>P</v>
          </cell>
          <cell r="D6076" t="str">
            <v>23148</v>
          </cell>
          <cell r="E6076" t="str">
            <v>R TEE</v>
          </cell>
          <cell r="F6076">
            <v>2</v>
          </cell>
          <cell r="G6076" t="str">
            <v>CB40040000010T</v>
          </cell>
          <cell r="H6076">
            <v>0.75</v>
          </cell>
          <cell r="I6076" t="str">
            <v>-</v>
          </cell>
          <cell r="J6076">
            <v>4</v>
          </cell>
          <cell r="K6076">
            <v>4</v>
          </cell>
        </row>
        <row r="6077">
          <cell r="A6077" t="str">
            <v>M2</v>
          </cell>
          <cell r="B6077" t="str">
            <v>A5C</v>
          </cell>
          <cell r="C6077" t="str">
            <v>P</v>
          </cell>
          <cell r="D6077" t="str">
            <v>23149</v>
          </cell>
          <cell r="E6077" t="str">
            <v>R TEE</v>
          </cell>
          <cell r="F6077">
            <v>2</v>
          </cell>
          <cell r="G6077" t="str">
            <v>CB40040000010T</v>
          </cell>
          <cell r="H6077">
            <v>0.75</v>
          </cell>
          <cell r="I6077" t="str">
            <v>-</v>
          </cell>
          <cell r="J6077">
            <v>5</v>
          </cell>
          <cell r="K6077">
            <v>5</v>
          </cell>
        </row>
        <row r="6078">
          <cell r="A6078" t="str">
            <v>M2</v>
          </cell>
          <cell r="B6078" t="str">
            <v>A5C</v>
          </cell>
          <cell r="C6078" t="str">
            <v>P</v>
          </cell>
          <cell r="D6078" t="str">
            <v>23164</v>
          </cell>
          <cell r="E6078" t="str">
            <v>R TEE</v>
          </cell>
          <cell r="F6078">
            <v>2</v>
          </cell>
          <cell r="G6078" t="str">
            <v>CB40040000010T</v>
          </cell>
          <cell r="H6078">
            <v>0.75</v>
          </cell>
          <cell r="I6078" t="str">
            <v>-</v>
          </cell>
          <cell r="J6078">
            <v>2</v>
          </cell>
          <cell r="K6078">
            <v>2</v>
          </cell>
        </row>
        <row r="6079">
          <cell r="A6079" t="str">
            <v>M2</v>
          </cell>
          <cell r="B6079" t="str">
            <v>A5C</v>
          </cell>
          <cell r="C6079" t="str">
            <v>P</v>
          </cell>
          <cell r="D6079" t="str">
            <v>23205</v>
          </cell>
          <cell r="E6079" t="str">
            <v>R TEE</v>
          </cell>
          <cell r="F6079">
            <v>2</v>
          </cell>
          <cell r="G6079" t="str">
            <v>CB40040000010T</v>
          </cell>
          <cell r="H6079">
            <v>0.75</v>
          </cell>
          <cell r="I6079" t="str">
            <v>-</v>
          </cell>
          <cell r="J6079">
            <v>2</v>
          </cell>
          <cell r="K6079">
            <v>2</v>
          </cell>
        </row>
        <row r="6080">
          <cell r="A6080" t="str">
            <v>M2</v>
          </cell>
          <cell r="B6080" t="str">
            <v>A5C</v>
          </cell>
          <cell r="C6080" t="str">
            <v>P</v>
          </cell>
          <cell r="D6080" t="str">
            <v>23214</v>
          </cell>
          <cell r="E6080" t="str">
            <v>R TEE</v>
          </cell>
          <cell r="F6080">
            <v>2</v>
          </cell>
          <cell r="G6080" t="str">
            <v>CB40040000010T</v>
          </cell>
          <cell r="H6080">
            <v>0.75</v>
          </cell>
          <cell r="I6080" t="str">
            <v>-</v>
          </cell>
          <cell r="J6080">
            <v>3</v>
          </cell>
          <cell r="K6080">
            <v>3</v>
          </cell>
        </row>
        <row r="6081">
          <cell r="A6081" t="str">
            <v>M2</v>
          </cell>
          <cell r="B6081" t="str">
            <v>A5C</v>
          </cell>
          <cell r="C6081" t="str">
            <v>P</v>
          </cell>
          <cell r="D6081" t="str">
            <v>23207</v>
          </cell>
          <cell r="E6081" t="str">
            <v>R TEE</v>
          </cell>
          <cell r="F6081">
            <v>2</v>
          </cell>
          <cell r="G6081" t="str">
            <v>CB40040000010T</v>
          </cell>
          <cell r="H6081">
            <v>0.75</v>
          </cell>
          <cell r="I6081" t="str">
            <v>-</v>
          </cell>
          <cell r="J6081">
            <v>2</v>
          </cell>
          <cell r="K6081">
            <v>2</v>
          </cell>
        </row>
        <row r="6082">
          <cell r="A6082" t="str">
            <v>M2</v>
          </cell>
          <cell r="B6082" t="str">
            <v>A5C</v>
          </cell>
          <cell r="C6082" t="str">
            <v>P</v>
          </cell>
          <cell r="D6082" t="str">
            <v>23208</v>
          </cell>
          <cell r="E6082" t="str">
            <v>R TEE</v>
          </cell>
          <cell r="F6082">
            <v>2</v>
          </cell>
          <cell r="G6082" t="str">
            <v>CB40040000010T</v>
          </cell>
          <cell r="H6082">
            <v>0.75</v>
          </cell>
          <cell r="I6082" t="str">
            <v>-</v>
          </cell>
          <cell r="J6082">
            <v>2</v>
          </cell>
          <cell r="K6082">
            <v>2</v>
          </cell>
        </row>
        <row r="6083">
          <cell r="A6083" t="str">
            <v>M2</v>
          </cell>
          <cell r="B6083" t="str">
            <v>A5C</v>
          </cell>
          <cell r="C6083" t="str">
            <v>P</v>
          </cell>
          <cell r="D6083" t="str">
            <v>23212</v>
          </cell>
          <cell r="E6083" t="str">
            <v>R TEE</v>
          </cell>
          <cell r="F6083">
            <v>2</v>
          </cell>
          <cell r="G6083" t="str">
            <v>CB40040000010T</v>
          </cell>
          <cell r="H6083">
            <v>0.75</v>
          </cell>
          <cell r="I6083" t="str">
            <v>-</v>
          </cell>
          <cell r="J6083">
            <v>3</v>
          </cell>
          <cell r="K6083">
            <v>3</v>
          </cell>
        </row>
        <row r="6084">
          <cell r="A6084" t="str">
            <v>M2</v>
          </cell>
          <cell r="B6084" t="str">
            <v>A5C</v>
          </cell>
          <cell r="C6084" t="str">
            <v>P</v>
          </cell>
          <cell r="D6084" t="str">
            <v>23213</v>
          </cell>
          <cell r="E6084" t="str">
            <v>R TEE</v>
          </cell>
          <cell r="F6084">
            <v>2</v>
          </cell>
          <cell r="G6084" t="str">
            <v>CB40040000010T</v>
          </cell>
          <cell r="H6084">
            <v>0.75</v>
          </cell>
          <cell r="I6084" t="str">
            <v>-</v>
          </cell>
          <cell r="J6084">
            <v>3</v>
          </cell>
          <cell r="K6084">
            <v>3</v>
          </cell>
        </row>
        <row r="6085">
          <cell r="A6085" t="str">
            <v>M2</v>
          </cell>
          <cell r="B6085" t="str">
            <v>A5C</v>
          </cell>
          <cell r="C6085" t="str">
            <v>P</v>
          </cell>
          <cell r="D6085" t="str">
            <v>23230</v>
          </cell>
          <cell r="E6085" t="str">
            <v>R TEE</v>
          </cell>
          <cell r="F6085">
            <v>2</v>
          </cell>
          <cell r="G6085" t="str">
            <v>CB40040000010T</v>
          </cell>
          <cell r="H6085">
            <v>0.75</v>
          </cell>
          <cell r="I6085" t="str">
            <v>-</v>
          </cell>
          <cell r="J6085">
            <v>3</v>
          </cell>
          <cell r="K6085">
            <v>3</v>
          </cell>
        </row>
        <row r="6086">
          <cell r="A6086" t="str">
            <v>M2</v>
          </cell>
          <cell r="B6086" t="str">
            <v>A5C</v>
          </cell>
          <cell r="C6086" t="str">
            <v>P</v>
          </cell>
          <cell r="D6086" t="str">
            <v>23239</v>
          </cell>
          <cell r="E6086" t="str">
            <v>R TEE</v>
          </cell>
          <cell r="F6086">
            <v>2</v>
          </cell>
          <cell r="G6086" t="str">
            <v>CB40040000010T</v>
          </cell>
          <cell r="H6086">
            <v>0.75</v>
          </cell>
          <cell r="I6086" t="str">
            <v>-</v>
          </cell>
          <cell r="J6086">
            <v>2</v>
          </cell>
          <cell r="K6086">
            <v>2</v>
          </cell>
        </row>
        <row r="6087">
          <cell r="A6087" t="str">
            <v>M2</v>
          </cell>
          <cell r="B6087" t="str">
            <v>A5C</v>
          </cell>
          <cell r="C6087" t="str">
            <v>P</v>
          </cell>
          <cell r="D6087" t="str">
            <v>23252</v>
          </cell>
          <cell r="E6087" t="str">
            <v>R TEE</v>
          </cell>
          <cell r="F6087">
            <v>2</v>
          </cell>
          <cell r="G6087" t="str">
            <v>CB40040000010T</v>
          </cell>
          <cell r="H6087">
            <v>0.75</v>
          </cell>
          <cell r="I6087" t="str">
            <v>-</v>
          </cell>
          <cell r="J6087">
            <v>3</v>
          </cell>
          <cell r="K6087">
            <v>3</v>
          </cell>
        </row>
        <row r="6088">
          <cell r="A6088" t="str">
            <v>M2</v>
          </cell>
          <cell r="B6088" t="str">
            <v>A5C</v>
          </cell>
          <cell r="C6088" t="str">
            <v>P</v>
          </cell>
          <cell r="D6088" t="str">
            <v>24007</v>
          </cell>
          <cell r="E6088" t="str">
            <v>R TEE</v>
          </cell>
          <cell r="F6088">
            <v>2</v>
          </cell>
          <cell r="G6088" t="str">
            <v>CB40040000010T</v>
          </cell>
          <cell r="H6088">
            <v>0.75</v>
          </cell>
          <cell r="I6088" t="str">
            <v>-</v>
          </cell>
          <cell r="J6088">
            <v>1</v>
          </cell>
          <cell r="K6088">
            <v>1</v>
          </cell>
        </row>
        <row r="6089">
          <cell r="A6089" t="str">
            <v>M2</v>
          </cell>
          <cell r="B6089" t="str">
            <v>A5C</v>
          </cell>
          <cell r="C6089" t="str">
            <v>P</v>
          </cell>
          <cell r="D6089" t="str">
            <v>24008</v>
          </cell>
          <cell r="E6089" t="str">
            <v>R TEE</v>
          </cell>
          <cell r="F6089">
            <v>2</v>
          </cell>
          <cell r="G6089" t="str">
            <v>CB40040000010T</v>
          </cell>
          <cell r="H6089">
            <v>0.75</v>
          </cell>
          <cell r="I6089" t="str">
            <v>-</v>
          </cell>
          <cell r="J6089">
            <v>3</v>
          </cell>
          <cell r="K6089">
            <v>3</v>
          </cell>
        </row>
        <row r="6090">
          <cell r="A6090" t="str">
            <v>M2</v>
          </cell>
          <cell r="B6090" t="str">
            <v>A5C</v>
          </cell>
          <cell r="C6090" t="str">
            <v>P</v>
          </cell>
          <cell r="D6090" t="str">
            <v>24020</v>
          </cell>
          <cell r="E6090" t="str">
            <v>R TEE</v>
          </cell>
          <cell r="F6090">
            <v>2</v>
          </cell>
          <cell r="G6090" t="str">
            <v>CB40040000010T</v>
          </cell>
          <cell r="H6090">
            <v>0.75</v>
          </cell>
          <cell r="I6090" t="str">
            <v>-</v>
          </cell>
          <cell r="J6090">
            <v>2</v>
          </cell>
          <cell r="K6090">
            <v>2</v>
          </cell>
        </row>
        <row r="6091">
          <cell r="A6091" t="str">
            <v>M2</v>
          </cell>
          <cell r="B6091" t="str">
            <v>A5C</v>
          </cell>
          <cell r="C6091" t="str">
            <v>N</v>
          </cell>
          <cell r="D6091" t="str">
            <v>23636</v>
          </cell>
          <cell r="E6091" t="str">
            <v>R TEE</v>
          </cell>
          <cell r="F6091">
            <v>2</v>
          </cell>
          <cell r="G6091" t="str">
            <v>CB40040000010T</v>
          </cell>
          <cell r="H6091">
            <v>0.75</v>
          </cell>
          <cell r="I6091" t="str">
            <v>-</v>
          </cell>
          <cell r="J6091">
            <v>1</v>
          </cell>
          <cell r="K6091">
            <v>1</v>
          </cell>
        </row>
        <row r="6092">
          <cell r="A6092" t="str">
            <v>M2</v>
          </cell>
          <cell r="B6092" t="str">
            <v>A5C</v>
          </cell>
          <cell r="C6092" t="str">
            <v>N</v>
          </cell>
          <cell r="D6092" t="str">
            <v>23637</v>
          </cell>
          <cell r="E6092" t="str">
            <v>R TEE</v>
          </cell>
          <cell r="F6092">
            <v>2</v>
          </cell>
          <cell r="G6092" t="str">
            <v>CB40040000010T</v>
          </cell>
          <cell r="H6092">
            <v>0.75</v>
          </cell>
          <cell r="I6092" t="str">
            <v>-</v>
          </cell>
          <cell r="J6092">
            <v>1</v>
          </cell>
          <cell r="K6092">
            <v>1</v>
          </cell>
        </row>
        <row r="6093">
          <cell r="A6093" t="str">
            <v>M2</v>
          </cell>
          <cell r="B6093" t="str">
            <v>A5C</v>
          </cell>
          <cell r="C6093" t="str">
            <v>N</v>
          </cell>
          <cell r="D6093" t="str">
            <v>23639</v>
          </cell>
          <cell r="E6093" t="str">
            <v>R TEE</v>
          </cell>
          <cell r="F6093">
            <v>2</v>
          </cell>
          <cell r="G6093" t="str">
            <v>CB40040000010T</v>
          </cell>
          <cell r="H6093">
            <v>0.75</v>
          </cell>
          <cell r="I6093" t="str">
            <v>-</v>
          </cell>
          <cell r="J6093">
            <v>1</v>
          </cell>
          <cell r="K6093">
            <v>1</v>
          </cell>
        </row>
        <row r="6094">
          <cell r="A6094" t="str">
            <v>M2</v>
          </cell>
          <cell r="B6094" t="str">
            <v>A5C</v>
          </cell>
          <cell r="C6094" t="str">
            <v>P</v>
          </cell>
          <cell r="D6094" t="str">
            <v>23037</v>
          </cell>
          <cell r="E6094" t="str">
            <v>R TEE</v>
          </cell>
          <cell r="F6094">
            <v>2</v>
          </cell>
          <cell r="G6094" t="str">
            <v>CB40040000010T</v>
          </cell>
          <cell r="H6094">
            <v>0.75</v>
          </cell>
          <cell r="I6094" t="str">
            <v>-</v>
          </cell>
          <cell r="J6094">
            <v>5</v>
          </cell>
          <cell r="K6094">
            <v>5</v>
          </cell>
        </row>
        <row r="6095">
          <cell r="A6095" t="str">
            <v>M2</v>
          </cell>
          <cell r="B6095" t="str">
            <v>A5C</v>
          </cell>
          <cell r="C6095" t="str">
            <v>P</v>
          </cell>
          <cell r="D6095" t="str">
            <v>23204</v>
          </cell>
          <cell r="E6095" t="str">
            <v>R TEE</v>
          </cell>
          <cell r="F6095">
            <v>2</v>
          </cell>
          <cell r="G6095" t="str">
            <v>CB40040000010T</v>
          </cell>
          <cell r="H6095">
            <v>0.75</v>
          </cell>
          <cell r="I6095" t="str">
            <v>-</v>
          </cell>
          <cell r="J6095">
            <v>2</v>
          </cell>
          <cell r="K6095">
            <v>2</v>
          </cell>
        </row>
        <row r="6096">
          <cell r="A6096" t="str">
            <v>M2</v>
          </cell>
          <cell r="B6096" t="str">
            <v>A5C</v>
          </cell>
          <cell r="C6096" t="str">
            <v>P</v>
          </cell>
          <cell r="D6096" t="str">
            <v>23206</v>
          </cell>
          <cell r="E6096" t="str">
            <v>R TEE</v>
          </cell>
          <cell r="F6096">
            <v>2</v>
          </cell>
          <cell r="G6096" t="str">
            <v>CB40040000010T</v>
          </cell>
          <cell r="H6096">
            <v>0.75</v>
          </cell>
          <cell r="I6096" t="str">
            <v>-</v>
          </cell>
          <cell r="J6096">
            <v>2</v>
          </cell>
          <cell r="K6096">
            <v>2</v>
          </cell>
        </row>
        <row r="6097">
          <cell r="A6097" t="str">
            <v>M2</v>
          </cell>
          <cell r="B6097" t="str">
            <v>A5C</v>
          </cell>
          <cell r="C6097" t="str">
            <v>P</v>
          </cell>
          <cell r="D6097" t="str">
            <v>23235</v>
          </cell>
          <cell r="E6097" t="str">
            <v>R TEE</v>
          </cell>
          <cell r="F6097">
            <v>2</v>
          </cell>
          <cell r="G6097" t="str">
            <v>CB40040000010T</v>
          </cell>
          <cell r="H6097">
            <v>0.75</v>
          </cell>
          <cell r="I6097" t="str">
            <v>-</v>
          </cell>
          <cell r="J6097">
            <v>2</v>
          </cell>
          <cell r="K6097">
            <v>2</v>
          </cell>
        </row>
        <row r="6098">
          <cell r="A6098" t="str">
            <v>M2</v>
          </cell>
          <cell r="B6098" t="str">
            <v>A5C</v>
          </cell>
          <cell r="C6098" t="str">
            <v>P</v>
          </cell>
          <cell r="D6098" t="str">
            <v>23245</v>
          </cell>
          <cell r="E6098" t="str">
            <v>R TEE</v>
          </cell>
          <cell r="F6098">
            <v>2</v>
          </cell>
          <cell r="G6098" t="str">
            <v>CB40040000010T</v>
          </cell>
          <cell r="H6098">
            <v>0.75</v>
          </cell>
          <cell r="I6098" t="str">
            <v>-</v>
          </cell>
          <cell r="J6098">
            <v>3</v>
          </cell>
          <cell r="K6098">
            <v>3</v>
          </cell>
        </row>
        <row r="6099">
          <cell r="A6099" t="str">
            <v>M2</v>
          </cell>
          <cell r="B6099" t="str">
            <v>A5C</v>
          </cell>
          <cell r="C6099" t="str">
            <v>P</v>
          </cell>
          <cell r="D6099" t="str">
            <v>24013</v>
          </cell>
          <cell r="E6099" t="str">
            <v>R TEE</v>
          </cell>
          <cell r="F6099">
            <v>2</v>
          </cell>
          <cell r="G6099" t="str">
            <v>CB40040000010T</v>
          </cell>
          <cell r="H6099">
            <v>0.75</v>
          </cell>
          <cell r="I6099" t="str">
            <v>-</v>
          </cell>
          <cell r="J6099">
            <v>3</v>
          </cell>
          <cell r="K6099">
            <v>3</v>
          </cell>
        </row>
        <row r="6100">
          <cell r="A6100" t="str">
            <v>M2</v>
          </cell>
          <cell r="B6100" t="str">
            <v>A5C</v>
          </cell>
          <cell r="C6100" t="str">
            <v>P</v>
          </cell>
          <cell r="D6100" t="str">
            <v>23059</v>
          </cell>
          <cell r="E6100" t="str">
            <v>C SWG</v>
          </cell>
          <cell r="F6100">
            <v>2</v>
          </cell>
          <cell r="G6100" t="str">
            <v>CB16110808010T</v>
          </cell>
          <cell r="H6100">
            <v>0.75</v>
          </cell>
          <cell r="I6100" t="str">
            <v>-</v>
          </cell>
          <cell r="J6100">
            <v>2</v>
          </cell>
          <cell r="K6100">
            <v>2</v>
          </cell>
        </row>
        <row r="6101">
          <cell r="A6101" t="str">
            <v>M2</v>
          </cell>
          <cell r="B6101" t="str">
            <v>A5C</v>
          </cell>
          <cell r="C6101" t="str">
            <v>P</v>
          </cell>
          <cell r="D6101" t="str">
            <v>23059</v>
          </cell>
          <cell r="E6101" t="str">
            <v>C SWG</v>
          </cell>
          <cell r="F6101">
            <v>2</v>
          </cell>
          <cell r="G6101" t="str">
            <v>CB16110808010T</v>
          </cell>
          <cell r="H6101">
            <v>0.75</v>
          </cell>
          <cell r="I6101" t="str">
            <v>-</v>
          </cell>
          <cell r="J6101">
            <v>1</v>
          </cell>
          <cell r="K6101">
            <v>1</v>
          </cell>
        </row>
        <row r="6102">
          <cell r="A6102" t="str">
            <v>M2</v>
          </cell>
          <cell r="B6102" t="str">
            <v>A5C</v>
          </cell>
          <cell r="C6102" t="str">
            <v>P</v>
          </cell>
          <cell r="D6102" t="str">
            <v>23183</v>
          </cell>
          <cell r="E6102" t="str">
            <v>C SWG</v>
          </cell>
          <cell r="F6102">
            <v>2</v>
          </cell>
          <cell r="G6102" t="str">
            <v>CB16110808010T</v>
          </cell>
          <cell r="H6102">
            <v>0.75</v>
          </cell>
          <cell r="I6102" t="str">
            <v>-</v>
          </cell>
          <cell r="J6102">
            <v>1</v>
          </cell>
          <cell r="K6102">
            <v>1</v>
          </cell>
        </row>
        <row r="6103">
          <cell r="A6103" t="str">
            <v>M2</v>
          </cell>
          <cell r="B6103" t="str">
            <v>A5C</v>
          </cell>
          <cell r="C6103" t="str">
            <v>TRIM</v>
          </cell>
          <cell r="D6103" t="str">
            <v>V-2352</v>
          </cell>
          <cell r="E6103" t="str">
            <v>C SWG</v>
          </cell>
          <cell r="F6103">
            <v>2</v>
          </cell>
          <cell r="G6103" t="str">
            <v>CB16110808010T</v>
          </cell>
          <cell r="H6103">
            <v>0.75</v>
          </cell>
          <cell r="I6103" t="str">
            <v>-</v>
          </cell>
          <cell r="J6103">
            <v>1</v>
          </cell>
          <cell r="K6103">
            <v>1</v>
          </cell>
        </row>
        <row r="6104">
          <cell r="A6104" t="str">
            <v>M2</v>
          </cell>
          <cell r="B6104" t="str">
            <v>A5C</v>
          </cell>
          <cell r="C6104" t="str">
            <v>P</v>
          </cell>
          <cell r="D6104" t="str">
            <v>23059</v>
          </cell>
          <cell r="E6104" t="str">
            <v>R TEE</v>
          </cell>
          <cell r="F6104">
            <v>2</v>
          </cell>
          <cell r="G6104" t="str">
            <v>CB40040000010T</v>
          </cell>
          <cell r="H6104">
            <v>0.75</v>
          </cell>
          <cell r="I6104" t="str">
            <v>-</v>
          </cell>
          <cell r="J6104">
            <v>3</v>
          </cell>
          <cell r="K6104">
            <v>3</v>
          </cell>
        </row>
        <row r="6105">
          <cell r="A6105" t="str">
            <v>M2</v>
          </cell>
          <cell r="B6105" t="str">
            <v>A5C</v>
          </cell>
          <cell r="C6105" t="str">
            <v>P</v>
          </cell>
          <cell r="D6105" t="str">
            <v>23048</v>
          </cell>
          <cell r="E6105" t="str">
            <v>C SWG</v>
          </cell>
          <cell r="F6105">
            <v>2</v>
          </cell>
          <cell r="G6105" t="str">
            <v>CB16110808010T</v>
          </cell>
          <cell r="H6105">
            <v>0.75</v>
          </cell>
          <cell r="I6105" t="str">
            <v>-</v>
          </cell>
          <cell r="J6105">
            <v>2</v>
          </cell>
          <cell r="K6105">
            <v>2</v>
          </cell>
        </row>
        <row r="6106">
          <cell r="A6106" t="str">
            <v>M2</v>
          </cell>
          <cell r="B6106" t="str">
            <v>A5C</v>
          </cell>
          <cell r="C6106" t="str">
            <v>P</v>
          </cell>
          <cell r="D6106" t="str">
            <v>23074</v>
          </cell>
          <cell r="E6106" t="str">
            <v>C SWG</v>
          </cell>
          <cell r="F6106">
            <v>2</v>
          </cell>
          <cell r="G6106" t="str">
            <v>CB16110808010T</v>
          </cell>
          <cell r="H6106">
            <v>0.75</v>
          </cell>
          <cell r="I6106" t="str">
            <v>-</v>
          </cell>
          <cell r="J6106">
            <v>2</v>
          </cell>
          <cell r="K6106">
            <v>2</v>
          </cell>
        </row>
        <row r="6107">
          <cell r="A6107" t="str">
            <v>M2</v>
          </cell>
          <cell r="B6107" t="str">
            <v>A5C</v>
          </cell>
          <cell r="C6107" t="str">
            <v>P</v>
          </cell>
          <cell r="D6107" t="str">
            <v>23079</v>
          </cell>
          <cell r="E6107" t="str">
            <v>C SWG</v>
          </cell>
          <cell r="F6107">
            <v>2</v>
          </cell>
          <cell r="G6107" t="str">
            <v>CB16110808010T</v>
          </cell>
          <cell r="H6107">
            <v>0.75</v>
          </cell>
          <cell r="I6107" t="str">
            <v>-</v>
          </cell>
          <cell r="J6107">
            <v>2</v>
          </cell>
          <cell r="K6107">
            <v>2</v>
          </cell>
        </row>
        <row r="6108">
          <cell r="A6108" t="str">
            <v>M2</v>
          </cell>
          <cell r="B6108" t="str">
            <v>A5C</v>
          </cell>
          <cell r="C6108" t="str">
            <v>P</v>
          </cell>
          <cell r="D6108" t="str">
            <v>23219</v>
          </cell>
          <cell r="E6108" t="str">
            <v>C SWG</v>
          </cell>
          <cell r="F6108">
            <v>2</v>
          </cell>
          <cell r="G6108" t="str">
            <v>CB16110808010T</v>
          </cell>
          <cell r="H6108">
            <v>0.75</v>
          </cell>
          <cell r="I6108" t="str">
            <v>-</v>
          </cell>
          <cell r="J6108">
            <v>1</v>
          </cell>
          <cell r="K6108">
            <v>1</v>
          </cell>
        </row>
        <row r="6109">
          <cell r="A6109" t="str">
            <v>M2</v>
          </cell>
          <cell r="B6109" t="str">
            <v>A5C</v>
          </cell>
          <cell r="C6109" t="str">
            <v>P</v>
          </cell>
          <cell r="D6109" t="str">
            <v>24016</v>
          </cell>
          <cell r="E6109" t="str">
            <v>C SWG</v>
          </cell>
          <cell r="F6109">
            <v>2</v>
          </cell>
          <cell r="G6109" t="str">
            <v>CB16110808010T</v>
          </cell>
          <cell r="H6109">
            <v>0.75</v>
          </cell>
          <cell r="I6109" t="str">
            <v>-</v>
          </cell>
          <cell r="J6109">
            <v>2</v>
          </cell>
          <cell r="K6109">
            <v>2</v>
          </cell>
        </row>
        <row r="6110">
          <cell r="A6110" t="str">
            <v>M2</v>
          </cell>
          <cell r="B6110" t="str">
            <v>A5C</v>
          </cell>
          <cell r="C6110" t="str">
            <v>P</v>
          </cell>
          <cell r="D6110" t="str">
            <v>24017</v>
          </cell>
          <cell r="E6110" t="str">
            <v>C SWG</v>
          </cell>
          <cell r="F6110">
            <v>2</v>
          </cell>
          <cell r="G6110" t="str">
            <v>CB16110808010T</v>
          </cell>
          <cell r="H6110">
            <v>0.75</v>
          </cell>
          <cell r="I6110" t="str">
            <v>-</v>
          </cell>
          <cell r="J6110">
            <v>1</v>
          </cell>
          <cell r="K6110">
            <v>1</v>
          </cell>
        </row>
        <row r="6111">
          <cell r="A6111" t="str">
            <v>M2</v>
          </cell>
          <cell r="B6111" t="str">
            <v>A5C</v>
          </cell>
          <cell r="C6111" t="str">
            <v>P</v>
          </cell>
          <cell r="D6111" t="str">
            <v>24018</v>
          </cell>
          <cell r="E6111" t="str">
            <v>C SWG</v>
          </cell>
          <cell r="F6111">
            <v>2</v>
          </cell>
          <cell r="G6111" t="str">
            <v>CB16110808010T</v>
          </cell>
          <cell r="H6111">
            <v>0.75</v>
          </cell>
          <cell r="I6111" t="str">
            <v>-</v>
          </cell>
          <cell r="J6111">
            <v>1</v>
          </cell>
          <cell r="K6111">
            <v>1</v>
          </cell>
        </row>
        <row r="6112">
          <cell r="A6112" t="str">
            <v>M2</v>
          </cell>
          <cell r="B6112" t="str">
            <v>A5C</v>
          </cell>
          <cell r="C6112" t="str">
            <v>TRIM</v>
          </cell>
          <cell r="D6112" t="str">
            <v>C-2302</v>
          </cell>
          <cell r="E6112" t="str">
            <v>C SWG</v>
          </cell>
          <cell r="F6112">
            <v>2</v>
          </cell>
          <cell r="G6112" t="str">
            <v>CB16110808010T</v>
          </cell>
          <cell r="H6112">
            <v>0.75</v>
          </cell>
          <cell r="I6112" t="str">
            <v>-</v>
          </cell>
          <cell r="J6112">
            <v>1</v>
          </cell>
          <cell r="K6112">
            <v>1</v>
          </cell>
        </row>
        <row r="6113">
          <cell r="A6113" t="str">
            <v>M2</v>
          </cell>
          <cell r="B6113" t="str">
            <v>A5C</v>
          </cell>
          <cell r="C6113" t="str">
            <v>TRIM</v>
          </cell>
          <cell r="D6113" t="str">
            <v>C-2303</v>
          </cell>
          <cell r="E6113" t="str">
            <v>C SWG</v>
          </cell>
          <cell r="F6113">
            <v>2</v>
          </cell>
          <cell r="G6113" t="str">
            <v>CB16110808010T</v>
          </cell>
          <cell r="H6113">
            <v>0.75</v>
          </cell>
          <cell r="I6113" t="str">
            <v>-</v>
          </cell>
          <cell r="J6113">
            <v>1</v>
          </cell>
          <cell r="K6113">
            <v>1</v>
          </cell>
        </row>
        <row r="6114">
          <cell r="A6114" t="str">
            <v>M2</v>
          </cell>
          <cell r="B6114" t="str">
            <v>A5C</v>
          </cell>
          <cell r="C6114" t="str">
            <v>TRIM</v>
          </cell>
          <cell r="D6114" t="str">
            <v>C-2304</v>
          </cell>
          <cell r="E6114" t="str">
            <v>C SWG</v>
          </cell>
          <cell r="F6114">
            <v>2</v>
          </cell>
          <cell r="G6114" t="str">
            <v>CB16110808010T</v>
          </cell>
          <cell r="H6114">
            <v>0.75</v>
          </cell>
          <cell r="I6114" t="str">
            <v>-</v>
          </cell>
          <cell r="J6114">
            <v>1</v>
          </cell>
          <cell r="K6114">
            <v>1</v>
          </cell>
        </row>
        <row r="6115">
          <cell r="A6115" t="str">
            <v>M2</v>
          </cell>
          <cell r="B6115" t="str">
            <v>A5C</v>
          </cell>
          <cell r="C6115" t="str">
            <v>TRIM</v>
          </cell>
          <cell r="D6115" t="str">
            <v>C-2305</v>
          </cell>
          <cell r="E6115" t="str">
            <v>C SWG</v>
          </cell>
          <cell r="F6115">
            <v>2</v>
          </cell>
          <cell r="G6115" t="str">
            <v>CB16110808010T</v>
          </cell>
          <cell r="H6115">
            <v>0.75</v>
          </cell>
          <cell r="I6115" t="str">
            <v>-</v>
          </cell>
          <cell r="J6115">
            <v>1</v>
          </cell>
          <cell r="K6115">
            <v>1</v>
          </cell>
        </row>
        <row r="6116">
          <cell r="A6116" t="str">
            <v>M2</v>
          </cell>
          <cell r="B6116" t="str">
            <v>A5C</v>
          </cell>
          <cell r="C6116" t="str">
            <v>TRIM</v>
          </cell>
          <cell r="D6116" t="str">
            <v>C-2306</v>
          </cell>
          <cell r="E6116" t="str">
            <v>C SWG</v>
          </cell>
          <cell r="F6116">
            <v>2</v>
          </cell>
          <cell r="G6116" t="str">
            <v>CB16110808010T</v>
          </cell>
          <cell r="H6116">
            <v>0.75</v>
          </cell>
          <cell r="I6116" t="str">
            <v>-</v>
          </cell>
          <cell r="J6116">
            <v>1</v>
          </cell>
          <cell r="K6116">
            <v>1</v>
          </cell>
        </row>
        <row r="6117">
          <cell r="A6117" t="str">
            <v>M2</v>
          </cell>
          <cell r="B6117" t="str">
            <v>A5C</v>
          </cell>
          <cell r="C6117" t="str">
            <v>TRIM</v>
          </cell>
          <cell r="D6117" t="str">
            <v>V-2325</v>
          </cell>
          <cell r="E6117" t="str">
            <v>C SWG</v>
          </cell>
          <cell r="F6117">
            <v>2</v>
          </cell>
          <cell r="G6117" t="str">
            <v>CB16110808010T</v>
          </cell>
          <cell r="H6117">
            <v>0.75</v>
          </cell>
          <cell r="I6117" t="str">
            <v>-</v>
          </cell>
          <cell r="J6117">
            <v>1</v>
          </cell>
          <cell r="K6117">
            <v>1</v>
          </cell>
        </row>
        <row r="6118">
          <cell r="A6118" t="str">
            <v>M2</v>
          </cell>
          <cell r="B6118" t="str">
            <v>A5C</v>
          </cell>
          <cell r="C6118" t="str">
            <v>P</v>
          </cell>
          <cell r="D6118" t="str">
            <v>23079</v>
          </cell>
          <cell r="E6118" t="str">
            <v>C SWG</v>
          </cell>
          <cell r="F6118">
            <v>2</v>
          </cell>
          <cell r="G6118" t="str">
            <v>CB16110808010T</v>
          </cell>
          <cell r="H6118">
            <v>0.75</v>
          </cell>
          <cell r="I6118" t="str">
            <v>-</v>
          </cell>
          <cell r="J6118">
            <v>1</v>
          </cell>
          <cell r="K6118">
            <v>1</v>
          </cell>
        </row>
        <row r="6119">
          <cell r="A6119" t="str">
            <v>M2</v>
          </cell>
          <cell r="B6119" t="str">
            <v>A5C</v>
          </cell>
          <cell r="C6119" t="str">
            <v>P</v>
          </cell>
          <cell r="D6119" t="str">
            <v>23018</v>
          </cell>
          <cell r="E6119" t="str">
            <v>E SWG</v>
          </cell>
          <cell r="F6119">
            <v>2</v>
          </cell>
          <cell r="G6119" t="str">
            <v>CB16210808010T</v>
          </cell>
          <cell r="H6119">
            <v>0.75</v>
          </cell>
          <cell r="I6119" t="str">
            <v>-</v>
          </cell>
          <cell r="J6119">
            <v>2</v>
          </cell>
          <cell r="K6119">
            <v>2</v>
          </cell>
        </row>
        <row r="6120">
          <cell r="A6120" t="str">
            <v>M2</v>
          </cell>
          <cell r="B6120" t="str">
            <v>A5C</v>
          </cell>
          <cell r="C6120" t="str">
            <v>P</v>
          </cell>
          <cell r="D6120" t="str">
            <v>23027</v>
          </cell>
          <cell r="E6120" t="str">
            <v>E SWG</v>
          </cell>
          <cell r="F6120">
            <v>2</v>
          </cell>
          <cell r="G6120" t="str">
            <v>CB16210808010T</v>
          </cell>
          <cell r="H6120">
            <v>0.75</v>
          </cell>
          <cell r="I6120" t="str">
            <v>-</v>
          </cell>
          <cell r="J6120">
            <v>2</v>
          </cell>
          <cell r="K6120">
            <v>2</v>
          </cell>
        </row>
        <row r="6121">
          <cell r="A6121" t="str">
            <v>M2</v>
          </cell>
          <cell r="B6121" t="str">
            <v>A5C</v>
          </cell>
          <cell r="C6121" t="str">
            <v>P</v>
          </cell>
          <cell r="D6121" t="str">
            <v>23018</v>
          </cell>
          <cell r="E6121" t="str">
            <v>R TEE</v>
          </cell>
          <cell r="F6121">
            <v>2</v>
          </cell>
          <cell r="G6121" t="str">
            <v>CB40040000010T</v>
          </cell>
          <cell r="H6121">
            <v>0.75</v>
          </cell>
          <cell r="I6121" t="str">
            <v>-</v>
          </cell>
          <cell r="J6121">
            <v>2</v>
          </cell>
          <cell r="K6121">
            <v>2</v>
          </cell>
        </row>
        <row r="6122">
          <cell r="A6122" t="str">
            <v>M2</v>
          </cell>
          <cell r="B6122" t="str">
            <v>A5C</v>
          </cell>
          <cell r="C6122" t="str">
            <v>P</v>
          </cell>
          <cell r="D6122" t="str">
            <v>23018</v>
          </cell>
          <cell r="E6122" t="str">
            <v>R TEE</v>
          </cell>
          <cell r="F6122">
            <v>2</v>
          </cell>
          <cell r="G6122" t="str">
            <v>CB40040000010T</v>
          </cell>
          <cell r="H6122">
            <v>0.75</v>
          </cell>
          <cell r="I6122" t="str">
            <v>-</v>
          </cell>
          <cell r="J6122">
            <v>3</v>
          </cell>
          <cell r="K6122">
            <v>3</v>
          </cell>
        </row>
        <row r="6123">
          <cell r="A6123" t="str">
            <v>M2</v>
          </cell>
          <cell r="B6123" t="str">
            <v>A5C</v>
          </cell>
          <cell r="C6123" t="str">
            <v>P</v>
          </cell>
          <cell r="D6123" t="str">
            <v>23027</v>
          </cell>
          <cell r="E6123" t="str">
            <v>R TEE</v>
          </cell>
          <cell r="F6123">
            <v>2</v>
          </cell>
          <cell r="G6123" t="str">
            <v>CB40040000010T</v>
          </cell>
          <cell r="H6123">
            <v>0.75</v>
          </cell>
          <cell r="I6123" t="str">
            <v>-</v>
          </cell>
          <cell r="J6123">
            <v>2</v>
          </cell>
          <cell r="K6123">
            <v>2</v>
          </cell>
        </row>
        <row r="6124">
          <cell r="A6124" t="str">
            <v>M2</v>
          </cell>
          <cell r="B6124" t="str">
            <v>A5C</v>
          </cell>
          <cell r="C6124" t="str">
            <v>P</v>
          </cell>
          <cell r="D6124" t="str">
            <v>23048</v>
          </cell>
          <cell r="E6124" t="str">
            <v>R TEE</v>
          </cell>
          <cell r="F6124">
            <v>2</v>
          </cell>
          <cell r="G6124" t="str">
            <v>CB40040000010T</v>
          </cell>
          <cell r="H6124">
            <v>0.75</v>
          </cell>
          <cell r="I6124" t="str">
            <v>-</v>
          </cell>
          <cell r="J6124">
            <v>6</v>
          </cell>
          <cell r="K6124">
            <v>6</v>
          </cell>
        </row>
        <row r="6125">
          <cell r="A6125" t="str">
            <v>M2</v>
          </cell>
          <cell r="B6125" t="str">
            <v>A5C</v>
          </cell>
          <cell r="C6125" t="str">
            <v>P</v>
          </cell>
          <cell r="D6125" t="str">
            <v>23074</v>
          </cell>
          <cell r="E6125" t="str">
            <v>R TEE</v>
          </cell>
          <cell r="F6125">
            <v>2</v>
          </cell>
          <cell r="G6125" t="str">
            <v>CB40040000010T</v>
          </cell>
          <cell r="H6125">
            <v>0.75</v>
          </cell>
          <cell r="I6125" t="str">
            <v>-</v>
          </cell>
          <cell r="J6125">
            <v>2</v>
          </cell>
          <cell r="K6125">
            <v>2</v>
          </cell>
        </row>
        <row r="6126">
          <cell r="A6126" t="str">
            <v>M2</v>
          </cell>
          <cell r="B6126" t="str">
            <v>A5C</v>
          </cell>
          <cell r="C6126" t="str">
            <v>P</v>
          </cell>
          <cell r="D6126" t="str">
            <v>23223</v>
          </cell>
          <cell r="E6126" t="str">
            <v>R TEE</v>
          </cell>
          <cell r="F6126">
            <v>2</v>
          </cell>
          <cell r="G6126" t="str">
            <v>CB40040000010T</v>
          </cell>
          <cell r="H6126">
            <v>0.75</v>
          </cell>
          <cell r="I6126" t="str">
            <v>-</v>
          </cell>
          <cell r="J6126">
            <v>3</v>
          </cell>
          <cell r="K6126">
            <v>3</v>
          </cell>
        </row>
        <row r="6127">
          <cell r="A6127" t="str">
            <v>M2</v>
          </cell>
          <cell r="B6127" t="str">
            <v>A5C</v>
          </cell>
          <cell r="C6127" t="str">
            <v>P</v>
          </cell>
          <cell r="D6127" t="str">
            <v>23079</v>
          </cell>
          <cell r="E6127" t="str">
            <v>R TEE</v>
          </cell>
          <cell r="F6127">
            <v>2</v>
          </cell>
          <cell r="G6127" t="str">
            <v>CB40040000010T</v>
          </cell>
          <cell r="H6127">
            <v>0.75</v>
          </cell>
          <cell r="I6127" t="str">
            <v>-</v>
          </cell>
          <cell r="J6127">
            <v>2</v>
          </cell>
          <cell r="K6127">
            <v>2</v>
          </cell>
        </row>
        <row r="6128">
          <cell r="A6128" t="str">
            <v>M2</v>
          </cell>
          <cell r="B6128" t="str">
            <v>A5C</v>
          </cell>
          <cell r="C6128" t="str">
            <v>P</v>
          </cell>
          <cell r="D6128" t="str">
            <v>23013</v>
          </cell>
          <cell r="E6128" t="str">
            <v>C SWG</v>
          </cell>
          <cell r="F6128">
            <v>2</v>
          </cell>
          <cell r="G6128" t="str">
            <v>CB16110808010T</v>
          </cell>
          <cell r="H6128">
            <v>0.75</v>
          </cell>
          <cell r="I6128" t="str">
            <v>-</v>
          </cell>
          <cell r="J6128">
            <v>3</v>
          </cell>
          <cell r="K6128">
            <v>3</v>
          </cell>
        </row>
        <row r="6129">
          <cell r="A6129" t="str">
            <v>M2</v>
          </cell>
          <cell r="B6129" t="str">
            <v>A5C</v>
          </cell>
          <cell r="C6129" t="str">
            <v>P</v>
          </cell>
          <cell r="D6129" t="str">
            <v>23156</v>
          </cell>
          <cell r="E6129" t="str">
            <v>C SWG</v>
          </cell>
          <cell r="F6129">
            <v>2</v>
          </cell>
          <cell r="G6129" t="str">
            <v>CB16110808010T</v>
          </cell>
          <cell r="H6129">
            <v>0.75</v>
          </cell>
          <cell r="I6129" t="str">
            <v>-</v>
          </cell>
          <cell r="J6129">
            <v>1</v>
          </cell>
          <cell r="K6129">
            <v>1</v>
          </cell>
        </row>
        <row r="6130">
          <cell r="A6130" t="str">
            <v>M2</v>
          </cell>
          <cell r="B6130" t="str">
            <v>A5C</v>
          </cell>
          <cell r="C6130" t="str">
            <v>P</v>
          </cell>
          <cell r="D6130" t="str">
            <v>24004</v>
          </cell>
          <cell r="E6130" t="str">
            <v>C SWG</v>
          </cell>
          <cell r="F6130">
            <v>2</v>
          </cell>
          <cell r="G6130" t="str">
            <v>CB16110808010T</v>
          </cell>
          <cell r="H6130">
            <v>0.75</v>
          </cell>
          <cell r="I6130" t="str">
            <v>-</v>
          </cell>
          <cell r="J6130">
            <v>2</v>
          </cell>
          <cell r="K6130">
            <v>2</v>
          </cell>
        </row>
        <row r="6131">
          <cell r="A6131" t="str">
            <v>M2</v>
          </cell>
          <cell r="B6131" t="str">
            <v>A5C</v>
          </cell>
          <cell r="C6131" t="str">
            <v>P</v>
          </cell>
          <cell r="D6131" t="str">
            <v>24029</v>
          </cell>
          <cell r="E6131" t="str">
            <v>C SWG</v>
          </cell>
          <cell r="F6131">
            <v>2</v>
          </cell>
          <cell r="G6131" t="str">
            <v>CB16110808010T</v>
          </cell>
          <cell r="H6131">
            <v>0.75</v>
          </cell>
          <cell r="I6131" t="str">
            <v>-</v>
          </cell>
          <cell r="J6131">
            <v>1</v>
          </cell>
          <cell r="K6131">
            <v>1</v>
          </cell>
        </row>
        <row r="6132">
          <cell r="A6132" t="str">
            <v>M2</v>
          </cell>
          <cell r="B6132" t="str">
            <v>A5C</v>
          </cell>
          <cell r="C6132" t="str">
            <v>P</v>
          </cell>
          <cell r="D6132" t="str">
            <v>24031</v>
          </cell>
          <cell r="E6132" t="str">
            <v>C SWG</v>
          </cell>
          <cell r="F6132">
            <v>2</v>
          </cell>
          <cell r="G6132" t="str">
            <v>CB16110808010T</v>
          </cell>
          <cell r="H6132">
            <v>0.75</v>
          </cell>
          <cell r="I6132" t="str">
            <v>-</v>
          </cell>
          <cell r="J6132">
            <v>1</v>
          </cell>
          <cell r="K6132">
            <v>1</v>
          </cell>
        </row>
        <row r="6133">
          <cell r="A6133" t="str">
            <v>M2</v>
          </cell>
          <cell r="B6133" t="str">
            <v>A5C</v>
          </cell>
          <cell r="C6133" t="str">
            <v>P</v>
          </cell>
          <cell r="D6133" t="str">
            <v>24033</v>
          </cell>
          <cell r="E6133" t="str">
            <v>C SWG</v>
          </cell>
          <cell r="F6133">
            <v>2</v>
          </cell>
          <cell r="G6133" t="str">
            <v>CB16110808010T</v>
          </cell>
          <cell r="H6133">
            <v>0.75</v>
          </cell>
          <cell r="I6133" t="str">
            <v>-</v>
          </cell>
          <cell r="J6133">
            <v>1</v>
          </cell>
          <cell r="K6133">
            <v>1</v>
          </cell>
        </row>
        <row r="6134">
          <cell r="A6134" t="str">
            <v>M2</v>
          </cell>
          <cell r="B6134" t="str">
            <v>A5C</v>
          </cell>
          <cell r="C6134" t="str">
            <v>TRIM</v>
          </cell>
          <cell r="D6134" t="str">
            <v>C-2301</v>
          </cell>
          <cell r="E6134" t="str">
            <v>C SWG</v>
          </cell>
          <cell r="F6134">
            <v>2</v>
          </cell>
          <cell r="G6134" t="str">
            <v>CB16110808010T</v>
          </cell>
          <cell r="H6134">
            <v>0.75</v>
          </cell>
          <cell r="I6134" t="str">
            <v>-</v>
          </cell>
          <cell r="J6134">
            <v>1</v>
          </cell>
          <cell r="K6134">
            <v>1</v>
          </cell>
        </row>
        <row r="6135">
          <cell r="A6135" t="str">
            <v>M2</v>
          </cell>
          <cell r="B6135" t="str">
            <v>A5C</v>
          </cell>
          <cell r="C6135" t="str">
            <v>TRIM</v>
          </cell>
          <cell r="D6135" t="str">
            <v>R-2401</v>
          </cell>
          <cell r="E6135" t="str">
            <v>C SWG</v>
          </cell>
          <cell r="F6135">
            <v>2</v>
          </cell>
          <cell r="G6135" t="str">
            <v>CB16110808010T</v>
          </cell>
          <cell r="H6135">
            <v>0.75</v>
          </cell>
          <cell r="I6135" t="str">
            <v>-</v>
          </cell>
          <cell r="J6135">
            <v>1</v>
          </cell>
          <cell r="K6135">
            <v>1</v>
          </cell>
        </row>
        <row r="6136">
          <cell r="A6136" t="str">
            <v>M2</v>
          </cell>
          <cell r="B6136" t="str">
            <v>A5C</v>
          </cell>
          <cell r="C6136" t="str">
            <v>P</v>
          </cell>
          <cell r="D6136" t="str">
            <v>99004</v>
          </cell>
          <cell r="E6136" t="str">
            <v>E SWG</v>
          </cell>
          <cell r="F6136">
            <v>2</v>
          </cell>
          <cell r="G6136" t="str">
            <v>CB16210808010T</v>
          </cell>
          <cell r="H6136">
            <v>0.75</v>
          </cell>
          <cell r="I6136" t="str">
            <v>-</v>
          </cell>
          <cell r="J6136">
            <v>1</v>
          </cell>
          <cell r="K6136">
            <v>1</v>
          </cell>
        </row>
        <row r="6137">
          <cell r="A6137" t="str">
            <v>M2</v>
          </cell>
          <cell r="B6137" t="str">
            <v>A5C</v>
          </cell>
          <cell r="C6137" t="str">
            <v>P</v>
          </cell>
          <cell r="D6137" t="str">
            <v>23013</v>
          </cell>
          <cell r="E6137" t="str">
            <v>R TEE</v>
          </cell>
          <cell r="F6137">
            <v>2</v>
          </cell>
          <cell r="G6137" t="str">
            <v>CB40040000010T</v>
          </cell>
          <cell r="H6137">
            <v>0.75</v>
          </cell>
          <cell r="I6137" t="str">
            <v>-</v>
          </cell>
          <cell r="J6137">
            <v>4</v>
          </cell>
          <cell r="K6137">
            <v>4</v>
          </cell>
        </row>
        <row r="6138">
          <cell r="A6138" t="str">
            <v>M2</v>
          </cell>
          <cell r="B6138" t="str">
            <v>A5C</v>
          </cell>
          <cell r="C6138" t="str">
            <v>P</v>
          </cell>
          <cell r="D6138" t="str">
            <v>24004</v>
          </cell>
          <cell r="E6138" t="str">
            <v>R TEE</v>
          </cell>
          <cell r="F6138">
            <v>2</v>
          </cell>
          <cell r="G6138" t="str">
            <v>CB40040000010T</v>
          </cell>
          <cell r="H6138">
            <v>0.75</v>
          </cell>
          <cell r="I6138" t="str">
            <v>-</v>
          </cell>
          <cell r="J6138">
            <v>5</v>
          </cell>
          <cell r="K6138">
            <v>5</v>
          </cell>
        </row>
        <row r="6139">
          <cell r="A6139" t="str">
            <v>M2</v>
          </cell>
          <cell r="B6139" t="str">
            <v>A5C</v>
          </cell>
          <cell r="C6139" t="str">
            <v>P</v>
          </cell>
          <cell r="D6139" t="str">
            <v>24025</v>
          </cell>
          <cell r="E6139" t="str">
            <v>R TEE</v>
          </cell>
          <cell r="F6139">
            <v>2</v>
          </cell>
          <cell r="G6139" t="str">
            <v>CB40040000010T</v>
          </cell>
          <cell r="H6139">
            <v>0.75</v>
          </cell>
          <cell r="I6139" t="str">
            <v>-</v>
          </cell>
          <cell r="J6139">
            <v>2</v>
          </cell>
          <cell r="K6139">
            <v>2</v>
          </cell>
        </row>
        <row r="6140">
          <cell r="A6140" t="str">
            <v>M2</v>
          </cell>
          <cell r="B6140" t="str">
            <v>A5C</v>
          </cell>
          <cell r="C6140" t="str">
            <v>P</v>
          </cell>
          <cell r="D6140" t="str">
            <v>24026</v>
          </cell>
          <cell r="E6140" t="str">
            <v>R TEE</v>
          </cell>
          <cell r="F6140">
            <v>2</v>
          </cell>
          <cell r="G6140" t="str">
            <v>CB40040000010T</v>
          </cell>
          <cell r="H6140">
            <v>0.75</v>
          </cell>
          <cell r="I6140" t="str">
            <v>-</v>
          </cell>
          <cell r="J6140">
            <v>2</v>
          </cell>
          <cell r="K6140">
            <v>2</v>
          </cell>
        </row>
        <row r="6141">
          <cell r="A6141" t="str">
            <v>M2</v>
          </cell>
          <cell r="B6141" t="str">
            <v>A5C</v>
          </cell>
          <cell r="C6141" t="str">
            <v>P</v>
          </cell>
          <cell r="D6141" t="str">
            <v>24002</v>
          </cell>
          <cell r="E6141" t="str">
            <v>R TEE</v>
          </cell>
          <cell r="F6141">
            <v>2</v>
          </cell>
          <cell r="G6141" t="str">
            <v>CB40040000010T</v>
          </cell>
          <cell r="H6141">
            <v>0.75</v>
          </cell>
          <cell r="I6141" t="str">
            <v>-</v>
          </cell>
          <cell r="J6141">
            <v>2</v>
          </cell>
          <cell r="K6141">
            <v>2</v>
          </cell>
        </row>
        <row r="6142">
          <cell r="A6142" t="str">
            <v>M2</v>
          </cell>
          <cell r="B6142" t="str">
            <v>A5C</v>
          </cell>
          <cell r="C6142" t="str">
            <v>P</v>
          </cell>
          <cell r="D6142" t="str">
            <v>23006</v>
          </cell>
          <cell r="E6142" t="str">
            <v>C SWG</v>
          </cell>
          <cell r="F6142">
            <v>2</v>
          </cell>
          <cell r="G6142" t="str">
            <v>CB161108081H01</v>
          </cell>
          <cell r="H6142">
            <v>1</v>
          </cell>
          <cell r="I6142" t="str">
            <v>-</v>
          </cell>
          <cell r="J6142">
            <v>2</v>
          </cell>
          <cell r="K6142">
            <v>2</v>
          </cell>
        </row>
        <row r="6143">
          <cell r="A6143" t="str">
            <v>M2</v>
          </cell>
          <cell r="B6143" t="str">
            <v>A5C</v>
          </cell>
          <cell r="C6143" t="str">
            <v>P</v>
          </cell>
          <cell r="D6143" t="str">
            <v>23038</v>
          </cell>
          <cell r="E6143" t="str">
            <v>C SWG</v>
          </cell>
          <cell r="F6143">
            <v>2</v>
          </cell>
          <cell r="G6143" t="str">
            <v>CB161108081H01</v>
          </cell>
          <cell r="H6143">
            <v>1</v>
          </cell>
          <cell r="I6143" t="str">
            <v>-</v>
          </cell>
          <cell r="J6143">
            <v>2</v>
          </cell>
          <cell r="K6143">
            <v>2</v>
          </cell>
        </row>
        <row r="6144">
          <cell r="A6144" t="str">
            <v>M2</v>
          </cell>
          <cell r="B6144" t="str">
            <v>A5C</v>
          </cell>
          <cell r="C6144" t="str">
            <v>P</v>
          </cell>
          <cell r="D6144" t="str">
            <v>23116</v>
          </cell>
          <cell r="E6144" t="str">
            <v>C SWG</v>
          </cell>
          <cell r="F6144">
            <v>2</v>
          </cell>
          <cell r="G6144" t="str">
            <v>CB161108081H01</v>
          </cell>
          <cell r="H6144">
            <v>1</v>
          </cell>
          <cell r="I6144" t="str">
            <v>-</v>
          </cell>
          <cell r="J6144">
            <v>2</v>
          </cell>
          <cell r="K6144">
            <v>2</v>
          </cell>
        </row>
        <row r="6145">
          <cell r="A6145" t="str">
            <v>M2</v>
          </cell>
          <cell r="B6145" t="str">
            <v>A5C</v>
          </cell>
          <cell r="C6145" t="str">
            <v>P</v>
          </cell>
          <cell r="D6145" t="str">
            <v>23116</v>
          </cell>
          <cell r="E6145" t="str">
            <v>C SWG</v>
          </cell>
          <cell r="F6145">
            <v>2</v>
          </cell>
          <cell r="G6145" t="str">
            <v>CB161108081H0T</v>
          </cell>
          <cell r="H6145">
            <v>0.75</v>
          </cell>
          <cell r="I6145" t="str">
            <v>-</v>
          </cell>
          <cell r="J6145">
            <v>4</v>
          </cell>
          <cell r="K6145">
            <v>4</v>
          </cell>
        </row>
        <row r="6146">
          <cell r="A6146" t="str">
            <v>M2</v>
          </cell>
          <cell r="B6146" t="str">
            <v>A5C</v>
          </cell>
          <cell r="C6146" t="str">
            <v>P</v>
          </cell>
          <cell r="D6146" t="str">
            <v>23117</v>
          </cell>
          <cell r="E6146" t="str">
            <v>C SWG</v>
          </cell>
          <cell r="F6146">
            <v>2</v>
          </cell>
          <cell r="G6146" t="str">
            <v>CB161108081H01</v>
          </cell>
          <cell r="H6146">
            <v>1</v>
          </cell>
          <cell r="I6146" t="str">
            <v>-</v>
          </cell>
          <cell r="J6146">
            <v>2</v>
          </cell>
          <cell r="K6146">
            <v>2</v>
          </cell>
        </row>
        <row r="6147">
          <cell r="A6147" t="str">
            <v>M2</v>
          </cell>
          <cell r="B6147" t="str">
            <v>A5C</v>
          </cell>
          <cell r="C6147" t="str">
            <v>P</v>
          </cell>
          <cell r="D6147" t="str">
            <v>23185</v>
          </cell>
          <cell r="E6147" t="str">
            <v>C SWG</v>
          </cell>
          <cell r="F6147">
            <v>2</v>
          </cell>
          <cell r="G6147" t="str">
            <v>CB161108081H01</v>
          </cell>
          <cell r="H6147">
            <v>1</v>
          </cell>
          <cell r="I6147" t="str">
            <v>-</v>
          </cell>
          <cell r="J6147">
            <v>2</v>
          </cell>
          <cell r="K6147">
            <v>2</v>
          </cell>
        </row>
        <row r="6148">
          <cell r="A6148" t="str">
            <v>M2</v>
          </cell>
          <cell r="B6148" t="str">
            <v>A5C</v>
          </cell>
          <cell r="C6148" t="str">
            <v>P</v>
          </cell>
          <cell r="D6148" t="str">
            <v>23196</v>
          </cell>
          <cell r="E6148" t="str">
            <v>C SWG</v>
          </cell>
          <cell r="F6148">
            <v>2</v>
          </cell>
          <cell r="G6148" t="str">
            <v>CB161108081H01</v>
          </cell>
          <cell r="H6148">
            <v>1</v>
          </cell>
          <cell r="I6148" t="str">
            <v>-</v>
          </cell>
          <cell r="J6148">
            <v>2</v>
          </cell>
          <cell r="K6148">
            <v>2</v>
          </cell>
        </row>
        <row r="6149">
          <cell r="A6149" t="str">
            <v>M2</v>
          </cell>
          <cell r="B6149" t="str">
            <v>A5C</v>
          </cell>
          <cell r="C6149" t="str">
            <v>P</v>
          </cell>
          <cell r="D6149" t="str">
            <v>23157</v>
          </cell>
          <cell r="E6149" t="str">
            <v>C SWG</v>
          </cell>
          <cell r="F6149">
            <v>2</v>
          </cell>
          <cell r="G6149" t="str">
            <v>CB161108081H01</v>
          </cell>
          <cell r="H6149">
            <v>1</v>
          </cell>
          <cell r="I6149" t="str">
            <v>-</v>
          </cell>
          <cell r="J6149">
            <v>2</v>
          </cell>
          <cell r="K6149">
            <v>2</v>
          </cell>
        </row>
        <row r="6150">
          <cell r="A6150" t="str">
            <v>M2</v>
          </cell>
          <cell r="B6150" t="str">
            <v>A5C</v>
          </cell>
          <cell r="C6150" t="str">
            <v>P</v>
          </cell>
          <cell r="D6150" t="str">
            <v>23006</v>
          </cell>
          <cell r="E6150" t="str">
            <v>E SWG</v>
          </cell>
          <cell r="F6150">
            <v>2</v>
          </cell>
          <cell r="G6150" t="str">
            <v>CB162108081H01</v>
          </cell>
          <cell r="H6150">
            <v>1</v>
          </cell>
          <cell r="I6150" t="str">
            <v>-</v>
          </cell>
          <cell r="J6150">
            <v>2</v>
          </cell>
          <cell r="K6150">
            <v>2</v>
          </cell>
        </row>
        <row r="6151">
          <cell r="A6151" t="str">
            <v>M2</v>
          </cell>
          <cell r="B6151" t="str">
            <v>A5C</v>
          </cell>
          <cell r="C6151" t="str">
            <v>P</v>
          </cell>
          <cell r="D6151" t="str">
            <v>23052</v>
          </cell>
          <cell r="E6151" t="str">
            <v>E SWG</v>
          </cell>
          <cell r="F6151">
            <v>2</v>
          </cell>
          <cell r="G6151" t="str">
            <v>CB162108081H01</v>
          </cell>
          <cell r="H6151">
            <v>1</v>
          </cell>
          <cell r="I6151" t="str">
            <v>-</v>
          </cell>
          <cell r="J6151">
            <v>1</v>
          </cell>
          <cell r="K6151">
            <v>1</v>
          </cell>
        </row>
        <row r="6152">
          <cell r="A6152" t="str">
            <v>M2</v>
          </cell>
          <cell r="B6152" t="str">
            <v>A5C</v>
          </cell>
          <cell r="C6152" t="str">
            <v>P</v>
          </cell>
          <cell r="D6152" t="str">
            <v>23063</v>
          </cell>
          <cell r="E6152" t="str">
            <v>E SWG</v>
          </cell>
          <cell r="F6152">
            <v>2</v>
          </cell>
          <cell r="G6152" t="str">
            <v>CB162108081H01</v>
          </cell>
          <cell r="H6152">
            <v>1</v>
          </cell>
          <cell r="I6152" t="str">
            <v>-</v>
          </cell>
          <cell r="J6152">
            <v>1</v>
          </cell>
          <cell r="K6152">
            <v>1</v>
          </cell>
        </row>
        <row r="6153">
          <cell r="A6153" t="str">
            <v>M2</v>
          </cell>
          <cell r="B6153" t="str">
            <v>A5C</v>
          </cell>
          <cell r="C6153" t="str">
            <v>P</v>
          </cell>
          <cell r="D6153" t="str">
            <v>23070</v>
          </cell>
          <cell r="E6153" t="str">
            <v>E SWG</v>
          </cell>
          <cell r="F6153">
            <v>2</v>
          </cell>
          <cell r="G6153" t="str">
            <v>CB162108081H01</v>
          </cell>
          <cell r="H6153">
            <v>1</v>
          </cell>
          <cell r="I6153" t="str">
            <v>-</v>
          </cell>
          <cell r="J6153">
            <v>2</v>
          </cell>
          <cell r="K6153">
            <v>2</v>
          </cell>
        </row>
        <row r="6154">
          <cell r="A6154" t="str">
            <v>M2</v>
          </cell>
          <cell r="B6154" t="str">
            <v>A5C</v>
          </cell>
          <cell r="C6154" t="str">
            <v>P</v>
          </cell>
          <cell r="D6154" t="str">
            <v>23078</v>
          </cell>
          <cell r="E6154" t="str">
            <v>E SWG</v>
          </cell>
          <cell r="F6154">
            <v>2</v>
          </cell>
          <cell r="G6154" t="str">
            <v>CB162108081H01</v>
          </cell>
          <cell r="H6154">
            <v>1</v>
          </cell>
          <cell r="I6154" t="str">
            <v>-</v>
          </cell>
          <cell r="J6154">
            <v>1</v>
          </cell>
          <cell r="K6154">
            <v>1</v>
          </cell>
        </row>
        <row r="6155">
          <cell r="A6155" t="str">
            <v>M2</v>
          </cell>
          <cell r="B6155" t="str">
            <v>A5C</v>
          </cell>
          <cell r="C6155" t="str">
            <v>P</v>
          </cell>
          <cell r="D6155" t="str">
            <v>23103</v>
          </cell>
          <cell r="E6155" t="str">
            <v>E SWG</v>
          </cell>
          <cell r="F6155">
            <v>2</v>
          </cell>
          <cell r="G6155" t="str">
            <v>CB162108081H01</v>
          </cell>
          <cell r="H6155">
            <v>1</v>
          </cell>
          <cell r="I6155" t="str">
            <v>-</v>
          </cell>
          <cell r="J6155">
            <v>2</v>
          </cell>
          <cell r="K6155">
            <v>2</v>
          </cell>
        </row>
        <row r="6156">
          <cell r="A6156" t="str">
            <v>M2</v>
          </cell>
          <cell r="B6156" t="str">
            <v>A5C</v>
          </cell>
          <cell r="C6156" t="str">
            <v>P</v>
          </cell>
          <cell r="D6156" t="str">
            <v>23111</v>
          </cell>
          <cell r="E6156" t="str">
            <v>E SWG</v>
          </cell>
          <cell r="F6156">
            <v>2</v>
          </cell>
          <cell r="G6156" t="str">
            <v>CB162108081H01</v>
          </cell>
          <cell r="H6156">
            <v>1</v>
          </cell>
          <cell r="I6156" t="str">
            <v>-</v>
          </cell>
          <cell r="J6156">
            <v>2</v>
          </cell>
          <cell r="K6156">
            <v>2</v>
          </cell>
        </row>
        <row r="6157">
          <cell r="A6157" t="str">
            <v>M2</v>
          </cell>
          <cell r="B6157" t="str">
            <v>A5C</v>
          </cell>
          <cell r="C6157" t="str">
            <v>P</v>
          </cell>
          <cell r="D6157" t="str">
            <v>23143</v>
          </cell>
          <cell r="E6157" t="str">
            <v>E SWG</v>
          </cell>
          <cell r="F6157">
            <v>2</v>
          </cell>
          <cell r="G6157" t="str">
            <v>CB162108081H01</v>
          </cell>
          <cell r="H6157">
            <v>1</v>
          </cell>
          <cell r="I6157" t="str">
            <v>-</v>
          </cell>
          <cell r="J6157">
            <v>2</v>
          </cell>
          <cell r="K6157">
            <v>2</v>
          </cell>
        </row>
        <row r="6158">
          <cell r="A6158" t="str">
            <v>M2</v>
          </cell>
          <cell r="B6158" t="str">
            <v>A5C</v>
          </cell>
          <cell r="C6158" t="str">
            <v>P</v>
          </cell>
          <cell r="D6158" t="str">
            <v>23147</v>
          </cell>
          <cell r="E6158" t="str">
            <v>E SWG</v>
          </cell>
          <cell r="F6158">
            <v>2</v>
          </cell>
          <cell r="G6158" t="str">
            <v>CB162108081H01</v>
          </cell>
          <cell r="H6158">
            <v>1</v>
          </cell>
          <cell r="I6158" t="str">
            <v>-</v>
          </cell>
          <cell r="J6158">
            <v>2</v>
          </cell>
          <cell r="K6158">
            <v>2</v>
          </cell>
        </row>
        <row r="6159">
          <cell r="A6159" t="str">
            <v>M2</v>
          </cell>
          <cell r="B6159" t="str">
            <v>A5C</v>
          </cell>
          <cell r="C6159" t="str">
            <v>P</v>
          </cell>
          <cell r="D6159" t="str">
            <v>23164</v>
          </cell>
          <cell r="E6159" t="str">
            <v>E SWG</v>
          </cell>
          <cell r="F6159">
            <v>2</v>
          </cell>
          <cell r="G6159" t="str">
            <v>CB162108081H01</v>
          </cell>
          <cell r="H6159">
            <v>1</v>
          </cell>
          <cell r="I6159" t="str">
            <v>-</v>
          </cell>
          <cell r="J6159">
            <v>2</v>
          </cell>
          <cell r="K6159">
            <v>2</v>
          </cell>
        </row>
        <row r="6160">
          <cell r="A6160" t="str">
            <v>M2</v>
          </cell>
          <cell r="B6160" t="str">
            <v>A5C</v>
          </cell>
          <cell r="C6160" t="str">
            <v>P</v>
          </cell>
          <cell r="D6160" t="str">
            <v>99003</v>
          </cell>
          <cell r="E6160" t="str">
            <v>E SWG</v>
          </cell>
          <cell r="F6160">
            <v>2</v>
          </cell>
          <cell r="G6160" t="str">
            <v>CB162108081H01</v>
          </cell>
          <cell r="H6160">
            <v>1</v>
          </cell>
          <cell r="I6160" t="str">
            <v>-</v>
          </cell>
          <cell r="J6160">
            <v>2</v>
          </cell>
          <cell r="K6160">
            <v>2</v>
          </cell>
        </row>
        <row r="6161">
          <cell r="A6161" t="str">
            <v>M2</v>
          </cell>
          <cell r="B6161" t="str">
            <v>A5C</v>
          </cell>
          <cell r="C6161" t="str">
            <v>P</v>
          </cell>
          <cell r="D6161" t="str">
            <v>23035</v>
          </cell>
          <cell r="E6161" t="str">
            <v>E SWG</v>
          </cell>
          <cell r="F6161">
            <v>2</v>
          </cell>
          <cell r="G6161" t="str">
            <v>CB162108081H01</v>
          </cell>
          <cell r="H6161">
            <v>1</v>
          </cell>
          <cell r="I6161" t="str">
            <v>-</v>
          </cell>
          <cell r="J6161">
            <v>2</v>
          </cell>
          <cell r="K6161">
            <v>2</v>
          </cell>
        </row>
        <row r="6162">
          <cell r="A6162" t="str">
            <v>M2</v>
          </cell>
          <cell r="B6162" t="str">
            <v>A5C</v>
          </cell>
          <cell r="C6162" t="str">
            <v>P</v>
          </cell>
          <cell r="D6162" t="str">
            <v>23037</v>
          </cell>
          <cell r="E6162" t="str">
            <v>E SWG</v>
          </cell>
          <cell r="F6162">
            <v>2</v>
          </cell>
          <cell r="G6162" t="str">
            <v>CB162108081H01</v>
          </cell>
          <cell r="H6162">
            <v>1</v>
          </cell>
          <cell r="I6162" t="str">
            <v>-</v>
          </cell>
          <cell r="J6162">
            <v>1</v>
          </cell>
          <cell r="K6162">
            <v>1</v>
          </cell>
        </row>
        <row r="6163">
          <cell r="A6163" t="str">
            <v>M2</v>
          </cell>
          <cell r="B6163" t="str">
            <v>A5C</v>
          </cell>
          <cell r="C6163" t="str">
            <v>P</v>
          </cell>
          <cell r="D6163" t="str">
            <v>23107</v>
          </cell>
          <cell r="E6163" t="str">
            <v>E SWG</v>
          </cell>
          <cell r="F6163">
            <v>2</v>
          </cell>
          <cell r="G6163" t="str">
            <v>CB162108081H01</v>
          </cell>
          <cell r="H6163">
            <v>1</v>
          </cell>
          <cell r="I6163" t="str">
            <v>-</v>
          </cell>
          <cell r="J6163">
            <v>2</v>
          </cell>
          <cell r="K6163">
            <v>2</v>
          </cell>
        </row>
        <row r="6164">
          <cell r="A6164" t="str">
            <v>M2</v>
          </cell>
          <cell r="B6164" t="str">
            <v>A5C</v>
          </cell>
          <cell r="C6164" t="str">
            <v>P</v>
          </cell>
          <cell r="D6164" t="str">
            <v>23006</v>
          </cell>
          <cell r="E6164" t="str">
            <v>R TEE</v>
          </cell>
          <cell r="F6164">
            <v>2</v>
          </cell>
          <cell r="G6164" t="str">
            <v>CB400400001H0T</v>
          </cell>
          <cell r="H6164">
            <v>0.75</v>
          </cell>
          <cell r="I6164" t="str">
            <v>-</v>
          </cell>
          <cell r="J6164">
            <v>4</v>
          </cell>
          <cell r="K6164">
            <v>4</v>
          </cell>
        </row>
        <row r="6165">
          <cell r="A6165" t="str">
            <v>M2</v>
          </cell>
          <cell r="B6165" t="str">
            <v>A5C</v>
          </cell>
          <cell r="C6165" t="str">
            <v>P</v>
          </cell>
          <cell r="D6165" t="str">
            <v>23006</v>
          </cell>
          <cell r="E6165" t="str">
            <v>R TEE</v>
          </cell>
          <cell r="F6165">
            <v>2</v>
          </cell>
          <cell r="G6165" t="str">
            <v>CB400400001H01</v>
          </cell>
          <cell r="H6165">
            <v>1</v>
          </cell>
          <cell r="I6165" t="str">
            <v>-</v>
          </cell>
          <cell r="J6165">
            <v>2</v>
          </cell>
          <cell r="K6165">
            <v>2</v>
          </cell>
        </row>
        <row r="6166">
          <cell r="A6166" t="str">
            <v>M2</v>
          </cell>
          <cell r="B6166" t="str">
            <v>A5C</v>
          </cell>
          <cell r="C6166" t="str">
            <v>P</v>
          </cell>
          <cell r="D6166" t="str">
            <v>23006</v>
          </cell>
          <cell r="E6166" t="str">
            <v>R TEE</v>
          </cell>
          <cell r="F6166">
            <v>2</v>
          </cell>
          <cell r="G6166" t="str">
            <v>CB400400001H0T</v>
          </cell>
          <cell r="H6166">
            <v>0.75</v>
          </cell>
          <cell r="I6166" t="str">
            <v>-</v>
          </cell>
          <cell r="J6166">
            <v>2</v>
          </cell>
          <cell r="K6166">
            <v>2</v>
          </cell>
        </row>
        <row r="6167">
          <cell r="A6167" t="str">
            <v>M2</v>
          </cell>
          <cell r="B6167" t="str">
            <v>A5C</v>
          </cell>
          <cell r="C6167" t="str">
            <v>P</v>
          </cell>
          <cell r="D6167" t="str">
            <v>23035</v>
          </cell>
          <cell r="E6167" t="str">
            <v>R TEE</v>
          </cell>
          <cell r="F6167">
            <v>2</v>
          </cell>
          <cell r="G6167" t="str">
            <v>CB400400001H0T</v>
          </cell>
          <cell r="H6167">
            <v>0.75</v>
          </cell>
          <cell r="I6167" t="str">
            <v>-</v>
          </cell>
          <cell r="J6167">
            <v>3</v>
          </cell>
          <cell r="K6167">
            <v>3</v>
          </cell>
        </row>
        <row r="6168">
          <cell r="A6168" t="str">
            <v>M2</v>
          </cell>
          <cell r="B6168" t="str">
            <v>A5C</v>
          </cell>
          <cell r="C6168" t="str">
            <v>P</v>
          </cell>
          <cell r="D6168" t="str">
            <v>23035</v>
          </cell>
          <cell r="E6168" t="str">
            <v>R TEE</v>
          </cell>
          <cell r="F6168">
            <v>2</v>
          </cell>
          <cell r="G6168" t="str">
            <v>CB400400001H01</v>
          </cell>
          <cell r="H6168">
            <v>1</v>
          </cell>
          <cell r="I6168" t="str">
            <v>-</v>
          </cell>
          <cell r="J6168">
            <v>2</v>
          </cell>
          <cell r="K6168">
            <v>2</v>
          </cell>
        </row>
        <row r="6169">
          <cell r="A6169" t="str">
            <v>M2</v>
          </cell>
          <cell r="B6169" t="str">
            <v>A5C</v>
          </cell>
          <cell r="C6169" t="str">
            <v>P</v>
          </cell>
          <cell r="D6169" t="str">
            <v>23035</v>
          </cell>
          <cell r="E6169" t="str">
            <v>R TEE</v>
          </cell>
          <cell r="F6169">
            <v>2</v>
          </cell>
          <cell r="G6169" t="str">
            <v>CB400400001H0T</v>
          </cell>
          <cell r="H6169">
            <v>0.75</v>
          </cell>
          <cell r="I6169" t="str">
            <v>-</v>
          </cell>
          <cell r="J6169">
            <v>1</v>
          </cell>
          <cell r="K6169">
            <v>1</v>
          </cell>
        </row>
        <row r="6170">
          <cell r="A6170" t="str">
            <v>M2</v>
          </cell>
          <cell r="B6170" t="str">
            <v>A5C</v>
          </cell>
          <cell r="C6170" t="str">
            <v>P</v>
          </cell>
          <cell r="D6170" t="str">
            <v>23038</v>
          </cell>
          <cell r="E6170" t="str">
            <v>R TEE</v>
          </cell>
          <cell r="F6170">
            <v>2</v>
          </cell>
          <cell r="G6170" t="str">
            <v>CB400400001H0T</v>
          </cell>
          <cell r="H6170">
            <v>0.75</v>
          </cell>
          <cell r="I6170" t="str">
            <v>-</v>
          </cell>
          <cell r="J6170">
            <v>2</v>
          </cell>
          <cell r="K6170">
            <v>2</v>
          </cell>
        </row>
        <row r="6171">
          <cell r="A6171" t="str">
            <v>M2</v>
          </cell>
          <cell r="B6171" t="str">
            <v>A5C</v>
          </cell>
          <cell r="C6171" t="str">
            <v>P</v>
          </cell>
          <cell r="D6171" t="str">
            <v>23052</v>
          </cell>
          <cell r="E6171" t="str">
            <v>R TEE</v>
          </cell>
          <cell r="F6171">
            <v>2</v>
          </cell>
          <cell r="G6171" t="str">
            <v>CB400400001H01</v>
          </cell>
          <cell r="H6171">
            <v>1</v>
          </cell>
          <cell r="I6171" t="str">
            <v>-</v>
          </cell>
          <cell r="J6171">
            <v>1</v>
          </cell>
          <cell r="K6171">
            <v>1</v>
          </cell>
        </row>
        <row r="6172">
          <cell r="A6172" t="str">
            <v>M2</v>
          </cell>
          <cell r="B6172" t="str">
            <v>A5C</v>
          </cell>
          <cell r="C6172" t="str">
            <v>P</v>
          </cell>
          <cell r="D6172" t="str">
            <v>23052</v>
          </cell>
          <cell r="E6172" t="str">
            <v>R TEE</v>
          </cell>
          <cell r="F6172">
            <v>2</v>
          </cell>
          <cell r="G6172" t="str">
            <v>CB400400001H0T</v>
          </cell>
          <cell r="H6172">
            <v>0.75</v>
          </cell>
          <cell r="I6172" t="str">
            <v>-</v>
          </cell>
          <cell r="J6172">
            <v>1</v>
          </cell>
          <cell r="K6172">
            <v>1</v>
          </cell>
        </row>
        <row r="6173">
          <cell r="A6173" t="str">
            <v>M2</v>
          </cell>
          <cell r="B6173" t="str">
            <v>A5C</v>
          </cell>
          <cell r="C6173" t="str">
            <v>P</v>
          </cell>
          <cell r="D6173" t="str">
            <v>23063</v>
          </cell>
          <cell r="E6173" t="str">
            <v>R TEE</v>
          </cell>
          <cell r="F6173">
            <v>2</v>
          </cell>
          <cell r="G6173" t="str">
            <v>CB400400001H0T</v>
          </cell>
          <cell r="H6173">
            <v>0.75</v>
          </cell>
          <cell r="I6173" t="str">
            <v>-</v>
          </cell>
          <cell r="J6173">
            <v>1</v>
          </cell>
          <cell r="K6173">
            <v>1</v>
          </cell>
        </row>
        <row r="6174">
          <cell r="A6174" t="str">
            <v>M2</v>
          </cell>
          <cell r="B6174" t="str">
            <v>A5C</v>
          </cell>
          <cell r="C6174" t="str">
            <v>P</v>
          </cell>
          <cell r="D6174" t="str">
            <v>23063</v>
          </cell>
          <cell r="E6174" t="str">
            <v>R TEE</v>
          </cell>
          <cell r="F6174">
            <v>2</v>
          </cell>
          <cell r="G6174" t="str">
            <v>CB400400001H01</v>
          </cell>
          <cell r="H6174">
            <v>1</v>
          </cell>
          <cell r="I6174" t="str">
            <v>-</v>
          </cell>
          <cell r="J6174">
            <v>1</v>
          </cell>
          <cell r="K6174">
            <v>1</v>
          </cell>
        </row>
        <row r="6175">
          <cell r="A6175" t="str">
            <v>M2</v>
          </cell>
          <cell r="B6175" t="str">
            <v>A5C</v>
          </cell>
          <cell r="C6175" t="str">
            <v>P</v>
          </cell>
          <cell r="D6175" t="str">
            <v>23078</v>
          </cell>
          <cell r="E6175" t="str">
            <v>R TEE</v>
          </cell>
          <cell r="F6175">
            <v>2</v>
          </cell>
          <cell r="G6175" t="str">
            <v>CB400400001H0T</v>
          </cell>
          <cell r="H6175">
            <v>0.75</v>
          </cell>
          <cell r="I6175" t="str">
            <v>-</v>
          </cell>
          <cell r="J6175">
            <v>1</v>
          </cell>
          <cell r="K6175">
            <v>1</v>
          </cell>
        </row>
        <row r="6176">
          <cell r="A6176" t="str">
            <v>M2</v>
          </cell>
          <cell r="B6176" t="str">
            <v>A5C</v>
          </cell>
          <cell r="C6176" t="str">
            <v>P</v>
          </cell>
          <cell r="D6176" t="str">
            <v>23078</v>
          </cell>
          <cell r="E6176" t="str">
            <v>R TEE</v>
          </cell>
          <cell r="F6176">
            <v>2</v>
          </cell>
          <cell r="G6176" t="str">
            <v>CB400400001H01</v>
          </cell>
          <cell r="H6176">
            <v>1</v>
          </cell>
          <cell r="I6176" t="str">
            <v>-</v>
          </cell>
          <cell r="J6176">
            <v>1</v>
          </cell>
          <cell r="K6176">
            <v>1</v>
          </cell>
        </row>
        <row r="6177">
          <cell r="A6177" t="str">
            <v>M2</v>
          </cell>
          <cell r="B6177" t="str">
            <v>A5C</v>
          </cell>
          <cell r="C6177" t="str">
            <v>P</v>
          </cell>
          <cell r="D6177" t="str">
            <v>23107</v>
          </cell>
          <cell r="E6177" t="str">
            <v>R TEE</v>
          </cell>
          <cell r="F6177">
            <v>2</v>
          </cell>
          <cell r="G6177" t="str">
            <v>CB400400001H0T</v>
          </cell>
          <cell r="H6177">
            <v>0.75</v>
          </cell>
          <cell r="I6177" t="str">
            <v>-</v>
          </cell>
          <cell r="J6177">
            <v>2</v>
          </cell>
          <cell r="K6177">
            <v>2</v>
          </cell>
        </row>
        <row r="6178">
          <cell r="A6178" t="str">
            <v>M2</v>
          </cell>
          <cell r="B6178" t="str">
            <v>A5C</v>
          </cell>
          <cell r="C6178" t="str">
            <v>P</v>
          </cell>
          <cell r="D6178" t="str">
            <v>23111</v>
          </cell>
          <cell r="E6178" t="str">
            <v>R TEE</v>
          </cell>
          <cell r="F6178">
            <v>2</v>
          </cell>
          <cell r="G6178" t="str">
            <v>CB400400001H0T</v>
          </cell>
          <cell r="H6178">
            <v>0.75</v>
          </cell>
          <cell r="I6178" t="str">
            <v>-</v>
          </cell>
          <cell r="J6178">
            <v>2</v>
          </cell>
          <cell r="K6178">
            <v>2</v>
          </cell>
        </row>
        <row r="6179">
          <cell r="A6179" t="str">
            <v>M2</v>
          </cell>
          <cell r="B6179" t="str">
            <v>A5C</v>
          </cell>
          <cell r="C6179" t="str">
            <v>P</v>
          </cell>
          <cell r="D6179" t="str">
            <v>23117</v>
          </cell>
          <cell r="E6179" t="str">
            <v>R TEE</v>
          </cell>
          <cell r="F6179">
            <v>2</v>
          </cell>
          <cell r="G6179" t="str">
            <v>CB400400001H0T</v>
          </cell>
          <cell r="H6179">
            <v>0.75</v>
          </cell>
          <cell r="I6179" t="str">
            <v>-</v>
          </cell>
          <cell r="J6179">
            <v>2</v>
          </cell>
          <cell r="K6179">
            <v>2</v>
          </cell>
        </row>
        <row r="6180">
          <cell r="A6180" t="str">
            <v>M2</v>
          </cell>
          <cell r="B6180" t="str">
            <v>A5C</v>
          </cell>
          <cell r="C6180" t="str">
            <v>P</v>
          </cell>
          <cell r="D6180" t="str">
            <v>23143</v>
          </cell>
          <cell r="E6180" t="str">
            <v>R TEE</v>
          </cell>
          <cell r="F6180">
            <v>2</v>
          </cell>
          <cell r="G6180" t="str">
            <v>CB400400001H0T</v>
          </cell>
          <cell r="H6180">
            <v>0.75</v>
          </cell>
          <cell r="I6180" t="str">
            <v>-</v>
          </cell>
          <cell r="J6180">
            <v>2</v>
          </cell>
          <cell r="K6180">
            <v>2</v>
          </cell>
        </row>
        <row r="6181">
          <cell r="A6181" t="str">
            <v>M2</v>
          </cell>
          <cell r="B6181" t="str">
            <v>A5C</v>
          </cell>
          <cell r="C6181" t="str">
            <v>P</v>
          </cell>
          <cell r="D6181" t="str">
            <v>23147</v>
          </cell>
          <cell r="E6181" t="str">
            <v>R TEE</v>
          </cell>
          <cell r="F6181">
            <v>2</v>
          </cell>
          <cell r="G6181" t="str">
            <v>CB400400001H0T</v>
          </cell>
          <cell r="H6181">
            <v>0.75</v>
          </cell>
          <cell r="I6181" t="str">
            <v>-</v>
          </cell>
          <cell r="J6181">
            <v>2</v>
          </cell>
          <cell r="K6181">
            <v>2</v>
          </cell>
        </row>
        <row r="6182">
          <cell r="A6182" t="str">
            <v>M2</v>
          </cell>
          <cell r="B6182" t="str">
            <v>A5C</v>
          </cell>
          <cell r="C6182" t="str">
            <v>P</v>
          </cell>
          <cell r="D6182" t="str">
            <v>23157</v>
          </cell>
          <cell r="E6182" t="str">
            <v>R TEE</v>
          </cell>
          <cell r="F6182">
            <v>2</v>
          </cell>
          <cell r="G6182" t="str">
            <v>CB400400001H0T</v>
          </cell>
          <cell r="H6182">
            <v>0.75</v>
          </cell>
          <cell r="I6182" t="str">
            <v>-</v>
          </cell>
          <cell r="J6182">
            <v>2</v>
          </cell>
          <cell r="K6182">
            <v>2</v>
          </cell>
        </row>
        <row r="6183">
          <cell r="A6183" t="str">
            <v>M2</v>
          </cell>
          <cell r="B6183" t="str">
            <v>A5C</v>
          </cell>
          <cell r="C6183" t="str">
            <v>P</v>
          </cell>
          <cell r="D6183" t="str">
            <v>23196</v>
          </cell>
          <cell r="E6183" t="str">
            <v>R TEE</v>
          </cell>
          <cell r="F6183">
            <v>2</v>
          </cell>
          <cell r="G6183" t="str">
            <v>CB400400001H0T</v>
          </cell>
          <cell r="H6183">
            <v>0.75</v>
          </cell>
          <cell r="I6183" t="str">
            <v>-</v>
          </cell>
          <cell r="J6183">
            <v>2</v>
          </cell>
          <cell r="K6183">
            <v>2</v>
          </cell>
        </row>
        <row r="6184">
          <cell r="A6184" t="str">
            <v>M2</v>
          </cell>
          <cell r="B6184" t="str">
            <v>A5C</v>
          </cell>
          <cell r="C6184" t="str">
            <v>P</v>
          </cell>
          <cell r="D6184" t="str">
            <v>23231</v>
          </cell>
          <cell r="E6184" t="str">
            <v>R TEE</v>
          </cell>
          <cell r="F6184">
            <v>2</v>
          </cell>
          <cell r="G6184" t="str">
            <v>CB400400001H0T</v>
          </cell>
          <cell r="H6184">
            <v>0.75</v>
          </cell>
          <cell r="I6184" t="str">
            <v>-</v>
          </cell>
          <cell r="J6184">
            <v>1</v>
          </cell>
          <cell r="K6184">
            <v>1</v>
          </cell>
        </row>
        <row r="6185">
          <cell r="A6185" t="str">
            <v>M2</v>
          </cell>
          <cell r="B6185" t="str">
            <v>A5C</v>
          </cell>
          <cell r="C6185" t="str">
            <v>P</v>
          </cell>
          <cell r="D6185" t="str">
            <v>23226</v>
          </cell>
          <cell r="E6185" t="str">
            <v>R TEE</v>
          </cell>
          <cell r="F6185">
            <v>2</v>
          </cell>
          <cell r="G6185" t="str">
            <v>CB400400001H0T</v>
          </cell>
          <cell r="H6185">
            <v>0.75</v>
          </cell>
          <cell r="I6185" t="str">
            <v>-</v>
          </cell>
          <cell r="J6185">
            <v>1</v>
          </cell>
          <cell r="K6185">
            <v>1</v>
          </cell>
        </row>
        <row r="6186">
          <cell r="A6186" t="str">
            <v>M2</v>
          </cell>
          <cell r="B6186" t="str">
            <v>A5C</v>
          </cell>
          <cell r="C6186" t="str">
            <v>P</v>
          </cell>
          <cell r="D6186" t="str">
            <v>23248</v>
          </cell>
          <cell r="E6186" t="str">
            <v>R TEE</v>
          </cell>
          <cell r="F6186">
            <v>2</v>
          </cell>
          <cell r="G6186" t="str">
            <v>CB400400001H0T</v>
          </cell>
          <cell r="H6186">
            <v>0.75</v>
          </cell>
          <cell r="I6186" t="str">
            <v>-</v>
          </cell>
          <cell r="J6186">
            <v>1</v>
          </cell>
          <cell r="K6186">
            <v>1</v>
          </cell>
        </row>
        <row r="6187">
          <cell r="A6187" t="str">
            <v>M2</v>
          </cell>
          <cell r="B6187" t="str">
            <v>A5C</v>
          </cell>
          <cell r="C6187" t="str">
            <v>P</v>
          </cell>
          <cell r="D6187" t="str">
            <v>23259</v>
          </cell>
          <cell r="E6187" t="str">
            <v>R TEE</v>
          </cell>
          <cell r="F6187">
            <v>2</v>
          </cell>
          <cell r="G6187" t="str">
            <v>CB400400001H0T</v>
          </cell>
          <cell r="H6187">
            <v>0.75</v>
          </cell>
          <cell r="I6187" t="str">
            <v>-</v>
          </cell>
          <cell r="J6187">
            <v>2</v>
          </cell>
          <cell r="K6187">
            <v>2</v>
          </cell>
        </row>
        <row r="6188">
          <cell r="A6188" t="str">
            <v>M2</v>
          </cell>
          <cell r="B6188" t="str">
            <v>A5C</v>
          </cell>
          <cell r="C6188" t="str">
            <v>P</v>
          </cell>
          <cell r="D6188" t="str">
            <v>99003</v>
          </cell>
          <cell r="E6188" t="str">
            <v>R TEE</v>
          </cell>
          <cell r="F6188">
            <v>2</v>
          </cell>
          <cell r="G6188" t="str">
            <v>CB400400001H0T</v>
          </cell>
          <cell r="H6188">
            <v>0.75</v>
          </cell>
          <cell r="I6188" t="str">
            <v>-</v>
          </cell>
          <cell r="J6188">
            <v>2</v>
          </cell>
          <cell r="K6188">
            <v>2</v>
          </cell>
        </row>
        <row r="6189">
          <cell r="A6189" t="str">
            <v>M2</v>
          </cell>
          <cell r="B6189" t="str">
            <v>A5C</v>
          </cell>
          <cell r="C6189" t="str">
            <v>P</v>
          </cell>
          <cell r="D6189" t="str">
            <v>99003</v>
          </cell>
          <cell r="E6189" t="str">
            <v>R TEE</v>
          </cell>
          <cell r="F6189">
            <v>2</v>
          </cell>
          <cell r="G6189" t="str">
            <v>CB400400001H0T</v>
          </cell>
          <cell r="H6189">
            <v>0.75</v>
          </cell>
          <cell r="I6189" t="str">
            <v>-</v>
          </cell>
          <cell r="J6189">
            <v>1</v>
          </cell>
          <cell r="K6189">
            <v>1</v>
          </cell>
        </row>
        <row r="6190">
          <cell r="A6190" t="str">
            <v>M2</v>
          </cell>
          <cell r="B6190" t="str">
            <v>A5C</v>
          </cell>
          <cell r="C6190" t="str">
            <v>P</v>
          </cell>
          <cell r="D6190" t="str">
            <v>99003</v>
          </cell>
          <cell r="E6190" t="str">
            <v>R TEE</v>
          </cell>
          <cell r="F6190">
            <v>2</v>
          </cell>
          <cell r="G6190" t="str">
            <v>CB400400001H01</v>
          </cell>
          <cell r="H6190">
            <v>1</v>
          </cell>
          <cell r="I6190" t="str">
            <v>-</v>
          </cell>
          <cell r="J6190">
            <v>2</v>
          </cell>
          <cell r="K6190">
            <v>2</v>
          </cell>
        </row>
        <row r="6191">
          <cell r="A6191" t="str">
            <v>M2</v>
          </cell>
          <cell r="B6191" t="str">
            <v>A5C</v>
          </cell>
          <cell r="C6191" t="str">
            <v>P</v>
          </cell>
          <cell r="D6191" t="str">
            <v>23103</v>
          </cell>
          <cell r="E6191" t="str">
            <v>R TEE</v>
          </cell>
          <cell r="F6191">
            <v>2</v>
          </cell>
          <cell r="G6191" t="str">
            <v>CB400400001H0T</v>
          </cell>
          <cell r="H6191">
            <v>0.75</v>
          </cell>
          <cell r="I6191" t="str">
            <v>-</v>
          </cell>
          <cell r="J6191">
            <v>2</v>
          </cell>
          <cell r="K6191">
            <v>2</v>
          </cell>
        </row>
        <row r="6192">
          <cell r="A6192" t="str">
            <v>M2</v>
          </cell>
          <cell r="B6192" t="str">
            <v>A5C</v>
          </cell>
          <cell r="C6192" t="str">
            <v>P</v>
          </cell>
          <cell r="D6192" t="str">
            <v>23185</v>
          </cell>
          <cell r="E6192" t="str">
            <v>R TEE</v>
          </cell>
          <cell r="F6192">
            <v>2</v>
          </cell>
          <cell r="G6192" t="str">
            <v>CB400400001H0T</v>
          </cell>
          <cell r="H6192">
            <v>0.75</v>
          </cell>
          <cell r="I6192" t="str">
            <v>-</v>
          </cell>
          <cell r="J6192">
            <v>2</v>
          </cell>
          <cell r="K6192">
            <v>2</v>
          </cell>
        </row>
        <row r="6193">
          <cell r="A6193" t="str">
            <v>M2</v>
          </cell>
          <cell r="B6193" t="str">
            <v>A5C</v>
          </cell>
          <cell r="C6193" t="str">
            <v>P</v>
          </cell>
          <cell r="D6193" t="str">
            <v>23253</v>
          </cell>
          <cell r="E6193" t="str">
            <v>R TEE</v>
          </cell>
          <cell r="F6193">
            <v>2</v>
          </cell>
          <cell r="G6193" t="str">
            <v>CB400400001H0T</v>
          </cell>
          <cell r="H6193">
            <v>0.75</v>
          </cell>
          <cell r="I6193" t="str">
            <v>-</v>
          </cell>
          <cell r="J6193">
            <v>1</v>
          </cell>
          <cell r="K6193">
            <v>1</v>
          </cell>
        </row>
        <row r="6194">
          <cell r="A6194" t="str">
            <v>M2</v>
          </cell>
          <cell r="B6194" t="str">
            <v>A5C</v>
          </cell>
          <cell r="C6194" t="str">
            <v>P</v>
          </cell>
          <cell r="D6194" t="str">
            <v>23055</v>
          </cell>
          <cell r="E6194" t="str">
            <v>E SWG</v>
          </cell>
          <cell r="F6194">
            <v>2</v>
          </cell>
          <cell r="G6194" t="str">
            <v>CB162108081H01</v>
          </cell>
          <cell r="H6194">
            <v>1</v>
          </cell>
          <cell r="I6194" t="str">
            <v>-</v>
          </cell>
          <cell r="J6194">
            <v>2</v>
          </cell>
          <cell r="K6194">
            <v>2</v>
          </cell>
        </row>
        <row r="6195">
          <cell r="A6195" t="str">
            <v>M2</v>
          </cell>
          <cell r="B6195" t="str">
            <v>A5C</v>
          </cell>
          <cell r="C6195" t="str">
            <v>P</v>
          </cell>
          <cell r="D6195" t="str">
            <v>23019</v>
          </cell>
          <cell r="E6195" t="str">
            <v>C SWG</v>
          </cell>
          <cell r="F6195">
            <v>2</v>
          </cell>
          <cell r="G6195" t="str">
            <v>CB161108081H01</v>
          </cell>
          <cell r="H6195">
            <v>1</v>
          </cell>
          <cell r="I6195" t="str">
            <v>-</v>
          </cell>
          <cell r="J6195">
            <v>1</v>
          </cell>
          <cell r="K6195">
            <v>1</v>
          </cell>
        </row>
        <row r="6196">
          <cell r="A6196" t="str">
            <v>M2</v>
          </cell>
          <cell r="B6196" t="str">
            <v>A5C</v>
          </cell>
          <cell r="C6196" t="str">
            <v>P</v>
          </cell>
          <cell r="D6196" t="str">
            <v>23039</v>
          </cell>
          <cell r="E6196" t="str">
            <v>C SWG</v>
          </cell>
          <cell r="F6196">
            <v>2</v>
          </cell>
          <cell r="G6196" t="str">
            <v>CB161108081H01</v>
          </cell>
          <cell r="H6196">
            <v>1</v>
          </cell>
          <cell r="I6196" t="str">
            <v>-</v>
          </cell>
          <cell r="J6196">
            <v>2</v>
          </cell>
          <cell r="K6196">
            <v>2</v>
          </cell>
        </row>
        <row r="6197">
          <cell r="A6197" t="str">
            <v>M2</v>
          </cell>
          <cell r="B6197" t="str">
            <v>A5C</v>
          </cell>
          <cell r="C6197" t="str">
            <v>P</v>
          </cell>
          <cell r="D6197" t="str">
            <v>23044</v>
          </cell>
          <cell r="E6197" t="str">
            <v>C SWG</v>
          </cell>
          <cell r="F6197">
            <v>2</v>
          </cell>
          <cell r="G6197" t="str">
            <v>CB161108081H01</v>
          </cell>
          <cell r="H6197">
            <v>1</v>
          </cell>
          <cell r="I6197" t="str">
            <v>-</v>
          </cell>
          <cell r="J6197">
            <v>2</v>
          </cell>
          <cell r="K6197">
            <v>2</v>
          </cell>
        </row>
        <row r="6198">
          <cell r="A6198" t="str">
            <v>M2</v>
          </cell>
          <cell r="B6198" t="str">
            <v>A5C</v>
          </cell>
          <cell r="C6198" t="str">
            <v>P</v>
          </cell>
          <cell r="D6198" t="str">
            <v>23033</v>
          </cell>
          <cell r="E6198" t="str">
            <v>C SWG</v>
          </cell>
          <cell r="F6198">
            <v>2</v>
          </cell>
          <cell r="G6198" t="str">
            <v>CB161108081H01</v>
          </cell>
          <cell r="H6198">
            <v>1</v>
          </cell>
          <cell r="I6198" t="str">
            <v>-</v>
          </cell>
          <cell r="J6198">
            <v>2</v>
          </cell>
          <cell r="K6198">
            <v>2</v>
          </cell>
        </row>
        <row r="6199">
          <cell r="A6199" t="str">
            <v>M2</v>
          </cell>
          <cell r="B6199" t="str">
            <v>A5C</v>
          </cell>
          <cell r="C6199" t="str">
            <v>P</v>
          </cell>
          <cell r="D6199" t="str">
            <v>23019</v>
          </cell>
          <cell r="E6199" t="str">
            <v>E SWG</v>
          </cell>
          <cell r="F6199">
            <v>2</v>
          </cell>
          <cell r="G6199" t="str">
            <v>CB162108081H01</v>
          </cell>
          <cell r="H6199">
            <v>1</v>
          </cell>
          <cell r="I6199" t="str">
            <v>-</v>
          </cell>
          <cell r="J6199">
            <v>2</v>
          </cell>
          <cell r="K6199">
            <v>2</v>
          </cell>
        </row>
        <row r="6200">
          <cell r="A6200" t="str">
            <v>M2</v>
          </cell>
          <cell r="B6200" t="str">
            <v>A5C</v>
          </cell>
          <cell r="C6200" t="str">
            <v>P</v>
          </cell>
          <cell r="D6200" t="str">
            <v>23039</v>
          </cell>
          <cell r="E6200" t="str">
            <v>E SWG</v>
          </cell>
          <cell r="F6200">
            <v>2</v>
          </cell>
          <cell r="G6200" t="str">
            <v>CB162108081H01</v>
          </cell>
          <cell r="H6200">
            <v>1</v>
          </cell>
          <cell r="I6200" t="str">
            <v>-</v>
          </cell>
          <cell r="J6200">
            <v>2</v>
          </cell>
          <cell r="K6200">
            <v>2</v>
          </cell>
        </row>
        <row r="6201">
          <cell r="A6201" t="str">
            <v>M2</v>
          </cell>
          <cell r="B6201" t="str">
            <v>A5C</v>
          </cell>
          <cell r="C6201" t="str">
            <v>P</v>
          </cell>
          <cell r="D6201" t="str">
            <v>23027</v>
          </cell>
          <cell r="E6201" t="str">
            <v>E SWG</v>
          </cell>
          <cell r="F6201">
            <v>2</v>
          </cell>
          <cell r="G6201" t="str">
            <v>CB162108081H01</v>
          </cell>
          <cell r="H6201">
            <v>1</v>
          </cell>
          <cell r="I6201" t="str">
            <v>-</v>
          </cell>
          <cell r="J6201">
            <v>1</v>
          </cell>
          <cell r="K6201">
            <v>1</v>
          </cell>
        </row>
        <row r="6202">
          <cell r="A6202" t="str">
            <v>M2</v>
          </cell>
          <cell r="B6202" t="str">
            <v>A5C</v>
          </cell>
          <cell r="C6202" t="str">
            <v>P</v>
          </cell>
          <cell r="D6202" t="str">
            <v>23077</v>
          </cell>
          <cell r="E6202" t="str">
            <v>E SWG</v>
          </cell>
          <cell r="F6202">
            <v>2</v>
          </cell>
          <cell r="G6202" t="str">
            <v>CB162108081H01</v>
          </cell>
          <cell r="H6202">
            <v>1</v>
          </cell>
          <cell r="I6202" t="str">
            <v>-</v>
          </cell>
          <cell r="J6202">
            <v>2</v>
          </cell>
          <cell r="K6202">
            <v>2</v>
          </cell>
        </row>
        <row r="6203">
          <cell r="A6203" t="str">
            <v>M2</v>
          </cell>
          <cell r="B6203" t="str">
            <v>A5C</v>
          </cell>
          <cell r="C6203" t="str">
            <v>P</v>
          </cell>
          <cell r="D6203" t="str">
            <v>23019</v>
          </cell>
          <cell r="E6203" t="str">
            <v>R TEE</v>
          </cell>
          <cell r="F6203">
            <v>2</v>
          </cell>
          <cell r="G6203" t="str">
            <v>CB400400001H01</v>
          </cell>
          <cell r="H6203">
            <v>1</v>
          </cell>
          <cell r="I6203" t="str">
            <v>-</v>
          </cell>
          <cell r="J6203">
            <v>1</v>
          </cell>
          <cell r="K6203">
            <v>1</v>
          </cell>
        </row>
        <row r="6204">
          <cell r="A6204" t="str">
            <v>M2</v>
          </cell>
          <cell r="B6204" t="str">
            <v>A5C</v>
          </cell>
          <cell r="C6204" t="str">
            <v>P</v>
          </cell>
          <cell r="D6204" t="str">
            <v>23019</v>
          </cell>
          <cell r="E6204" t="str">
            <v>R TEE</v>
          </cell>
          <cell r="F6204">
            <v>2</v>
          </cell>
          <cell r="G6204" t="str">
            <v>CB400400001H0T</v>
          </cell>
          <cell r="H6204">
            <v>0.75</v>
          </cell>
          <cell r="I6204" t="str">
            <v>-</v>
          </cell>
          <cell r="J6204">
            <v>1</v>
          </cell>
          <cell r="K6204">
            <v>1</v>
          </cell>
        </row>
        <row r="6205">
          <cell r="A6205" t="str">
            <v>M2</v>
          </cell>
          <cell r="B6205" t="str">
            <v>A5C</v>
          </cell>
          <cell r="C6205" t="str">
            <v>P</v>
          </cell>
          <cell r="D6205" t="str">
            <v>23027</v>
          </cell>
          <cell r="E6205" t="str">
            <v>R TEE</v>
          </cell>
          <cell r="F6205">
            <v>2</v>
          </cell>
          <cell r="G6205" t="str">
            <v>CB400400001H01</v>
          </cell>
          <cell r="H6205">
            <v>1</v>
          </cell>
          <cell r="I6205" t="str">
            <v>-</v>
          </cell>
          <cell r="J6205">
            <v>1</v>
          </cell>
          <cell r="K6205">
            <v>1</v>
          </cell>
        </row>
        <row r="6206">
          <cell r="A6206" t="str">
            <v>M2</v>
          </cell>
          <cell r="B6206" t="str">
            <v>A5C</v>
          </cell>
          <cell r="C6206" t="str">
            <v>P</v>
          </cell>
          <cell r="D6206" t="str">
            <v>23027</v>
          </cell>
          <cell r="E6206" t="str">
            <v>R TEE</v>
          </cell>
          <cell r="F6206">
            <v>2</v>
          </cell>
          <cell r="G6206" t="str">
            <v>CB400400001H0T</v>
          </cell>
          <cell r="H6206">
            <v>0.75</v>
          </cell>
          <cell r="I6206" t="str">
            <v>-</v>
          </cell>
          <cell r="J6206">
            <v>1</v>
          </cell>
          <cell r="K6206">
            <v>1</v>
          </cell>
        </row>
        <row r="6207">
          <cell r="A6207" t="str">
            <v>M2</v>
          </cell>
          <cell r="B6207" t="str">
            <v>A5C</v>
          </cell>
          <cell r="C6207" t="str">
            <v>P</v>
          </cell>
          <cell r="D6207" t="str">
            <v>23033</v>
          </cell>
          <cell r="E6207" t="str">
            <v>R TEE</v>
          </cell>
          <cell r="F6207">
            <v>2</v>
          </cell>
          <cell r="G6207" t="str">
            <v>CB400400001H0T</v>
          </cell>
          <cell r="H6207">
            <v>0.75</v>
          </cell>
          <cell r="I6207" t="str">
            <v>-</v>
          </cell>
          <cell r="J6207">
            <v>4</v>
          </cell>
          <cell r="K6207">
            <v>4</v>
          </cell>
        </row>
        <row r="6208">
          <cell r="A6208" t="str">
            <v>M2</v>
          </cell>
          <cell r="B6208" t="str">
            <v>A5C</v>
          </cell>
          <cell r="C6208" t="str">
            <v>P</v>
          </cell>
          <cell r="D6208" t="str">
            <v>23039</v>
          </cell>
          <cell r="E6208" t="str">
            <v>R TEE</v>
          </cell>
          <cell r="F6208">
            <v>2</v>
          </cell>
          <cell r="G6208" t="str">
            <v>CB400400001H0T</v>
          </cell>
          <cell r="H6208">
            <v>0.75</v>
          </cell>
          <cell r="I6208" t="str">
            <v>-</v>
          </cell>
          <cell r="J6208">
            <v>4</v>
          </cell>
          <cell r="K6208">
            <v>4</v>
          </cell>
        </row>
        <row r="6209">
          <cell r="A6209" t="str">
            <v>M2</v>
          </cell>
          <cell r="B6209" t="str">
            <v>A5C</v>
          </cell>
          <cell r="C6209" t="str">
            <v>P</v>
          </cell>
          <cell r="D6209" t="str">
            <v>23039</v>
          </cell>
          <cell r="E6209" t="str">
            <v>R TEE</v>
          </cell>
          <cell r="F6209">
            <v>2</v>
          </cell>
          <cell r="G6209" t="str">
            <v>CB400400001H0T</v>
          </cell>
          <cell r="H6209">
            <v>0.75</v>
          </cell>
          <cell r="I6209" t="str">
            <v>-</v>
          </cell>
          <cell r="J6209">
            <v>1</v>
          </cell>
          <cell r="K6209">
            <v>1</v>
          </cell>
        </row>
        <row r="6210">
          <cell r="A6210" t="str">
            <v>M2</v>
          </cell>
          <cell r="B6210" t="str">
            <v>A5C</v>
          </cell>
          <cell r="C6210" t="str">
            <v>P</v>
          </cell>
          <cell r="D6210" t="str">
            <v>23039</v>
          </cell>
          <cell r="E6210" t="str">
            <v>R TEE</v>
          </cell>
          <cell r="F6210">
            <v>2</v>
          </cell>
          <cell r="G6210" t="str">
            <v>CB400400001H01</v>
          </cell>
          <cell r="H6210">
            <v>1</v>
          </cell>
          <cell r="I6210" t="str">
            <v>-</v>
          </cell>
          <cell r="J6210">
            <v>2</v>
          </cell>
          <cell r="K6210">
            <v>2</v>
          </cell>
        </row>
        <row r="6211">
          <cell r="A6211" t="str">
            <v>M2</v>
          </cell>
          <cell r="B6211" t="str">
            <v>A5C</v>
          </cell>
          <cell r="C6211" t="str">
            <v>P</v>
          </cell>
          <cell r="D6211" t="str">
            <v>24001</v>
          </cell>
          <cell r="E6211" t="str">
            <v>C SWG</v>
          </cell>
          <cell r="F6211">
            <v>2</v>
          </cell>
          <cell r="G6211" t="str">
            <v>CB161108081H01</v>
          </cell>
          <cell r="H6211">
            <v>1</v>
          </cell>
          <cell r="I6211" t="str">
            <v>-</v>
          </cell>
          <cell r="J6211">
            <v>2</v>
          </cell>
          <cell r="K6211">
            <v>2</v>
          </cell>
        </row>
        <row r="6212">
          <cell r="A6212" t="str">
            <v>M2</v>
          </cell>
          <cell r="B6212" t="str">
            <v>A5C</v>
          </cell>
          <cell r="C6212" t="str">
            <v>P</v>
          </cell>
          <cell r="D6212" t="str">
            <v>23009</v>
          </cell>
          <cell r="E6212" t="str">
            <v>E SWG</v>
          </cell>
          <cell r="F6212">
            <v>2</v>
          </cell>
          <cell r="G6212" t="str">
            <v>CB162108081H01</v>
          </cell>
          <cell r="H6212">
            <v>1</v>
          </cell>
          <cell r="I6212" t="str">
            <v>-</v>
          </cell>
          <cell r="J6212">
            <v>2</v>
          </cell>
          <cell r="K6212">
            <v>2</v>
          </cell>
        </row>
        <row r="6213">
          <cell r="A6213" t="str">
            <v>M2</v>
          </cell>
          <cell r="B6213" t="str">
            <v>A5C</v>
          </cell>
          <cell r="C6213" t="str">
            <v>P</v>
          </cell>
          <cell r="D6213" t="str">
            <v>24001</v>
          </cell>
          <cell r="E6213" t="str">
            <v>R TEE</v>
          </cell>
          <cell r="F6213">
            <v>2</v>
          </cell>
          <cell r="G6213" t="str">
            <v>CB400400001H0T</v>
          </cell>
          <cell r="H6213">
            <v>0.75</v>
          </cell>
          <cell r="I6213" t="str">
            <v>-</v>
          </cell>
          <cell r="J6213">
            <v>2</v>
          </cell>
          <cell r="K6213">
            <v>2</v>
          </cell>
        </row>
        <row r="6214">
          <cell r="A6214" t="str">
            <v>M2</v>
          </cell>
          <cell r="B6214" t="str">
            <v>A5C</v>
          </cell>
          <cell r="C6214" t="str">
            <v>P</v>
          </cell>
          <cell r="D6214" t="str">
            <v>23073</v>
          </cell>
          <cell r="E6214" t="str">
            <v>C SWG</v>
          </cell>
          <cell r="F6214">
            <v>2</v>
          </cell>
          <cell r="G6214" t="str">
            <v>CB1614080802IH</v>
          </cell>
          <cell r="H6214">
            <v>1.5</v>
          </cell>
          <cell r="I6214" t="str">
            <v>-</v>
          </cell>
          <cell r="J6214">
            <v>2</v>
          </cell>
          <cell r="K6214">
            <v>3</v>
          </cell>
        </row>
        <row r="6215">
          <cell r="A6215" t="str">
            <v>M2</v>
          </cell>
          <cell r="B6215" t="str">
            <v>A5C</v>
          </cell>
          <cell r="C6215" t="str">
            <v>P</v>
          </cell>
          <cell r="D6215" t="str">
            <v>23085</v>
          </cell>
          <cell r="E6215" t="str">
            <v>C SWG</v>
          </cell>
          <cell r="F6215">
            <v>2</v>
          </cell>
          <cell r="G6215" t="str">
            <v>CB1614080802IH</v>
          </cell>
          <cell r="H6215">
            <v>1.5</v>
          </cell>
          <cell r="I6215" t="str">
            <v>-</v>
          </cell>
          <cell r="J6215">
            <v>2</v>
          </cell>
          <cell r="K6215">
            <v>3</v>
          </cell>
        </row>
        <row r="6216">
          <cell r="A6216" t="str">
            <v>M2</v>
          </cell>
          <cell r="B6216" t="str">
            <v>A5C</v>
          </cell>
          <cell r="C6216" t="str">
            <v>P</v>
          </cell>
          <cell r="D6216" t="str">
            <v>23096</v>
          </cell>
          <cell r="E6216" t="str">
            <v>C SWG</v>
          </cell>
          <cell r="F6216">
            <v>2</v>
          </cell>
          <cell r="G6216" t="str">
            <v>CB1614080802IH</v>
          </cell>
          <cell r="H6216">
            <v>1.5</v>
          </cell>
          <cell r="I6216" t="str">
            <v>-</v>
          </cell>
          <cell r="J6216">
            <v>2</v>
          </cell>
          <cell r="K6216">
            <v>3</v>
          </cell>
        </row>
        <row r="6217">
          <cell r="A6217" t="str">
            <v>M2</v>
          </cell>
          <cell r="B6217" t="str">
            <v>A5C</v>
          </cell>
          <cell r="C6217" t="str">
            <v>P</v>
          </cell>
          <cell r="D6217" t="str">
            <v>23135</v>
          </cell>
          <cell r="E6217" t="str">
            <v>C SWG</v>
          </cell>
          <cell r="F6217">
            <v>2</v>
          </cell>
          <cell r="G6217" t="str">
            <v>CB1614080802IH</v>
          </cell>
          <cell r="H6217">
            <v>1.5</v>
          </cell>
          <cell r="I6217" t="str">
            <v>-</v>
          </cell>
          <cell r="J6217">
            <v>2</v>
          </cell>
          <cell r="K6217">
            <v>3</v>
          </cell>
        </row>
        <row r="6218">
          <cell r="A6218" t="str">
            <v>M2</v>
          </cell>
          <cell r="B6218" t="str">
            <v>A5C</v>
          </cell>
          <cell r="C6218" t="str">
            <v>P</v>
          </cell>
          <cell r="D6218" t="str">
            <v>23230</v>
          </cell>
          <cell r="E6218" t="str">
            <v>C SWG</v>
          </cell>
          <cell r="F6218">
            <v>2</v>
          </cell>
          <cell r="G6218" t="str">
            <v>CB161408080201</v>
          </cell>
          <cell r="H6218">
            <v>1</v>
          </cell>
          <cell r="I6218" t="str">
            <v>-</v>
          </cell>
          <cell r="J6218">
            <v>2</v>
          </cell>
          <cell r="K6218">
            <v>3</v>
          </cell>
        </row>
        <row r="6219">
          <cell r="A6219" t="str">
            <v>M2</v>
          </cell>
          <cell r="B6219" t="str">
            <v>A5C</v>
          </cell>
          <cell r="C6219" t="str">
            <v>P</v>
          </cell>
          <cell r="D6219" t="str">
            <v>23252</v>
          </cell>
          <cell r="E6219" t="str">
            <v>C SWG</v>
          </cell>
          <cell r="F6219">
            <v>2</v>
          </cell>
          <cell r="G6219" t="str">
            <v>CB161408080201</v>
          </cell>
          <cell r="H6219">
            <v>1</v>
          </cell>
          <cell r="I6219" t="str">
            <v>-</v>
          </cell>
          <cell r="J6219">
            <v>2</v>
          </cell>
          <cell r="K6219">
            <v>3</v>
          </cell>
        </row>
        <row r="6220">
          <cell r="A6220" t="str">
            <v>M2</v>
          </cell>
          <cell r="B6220" t="str">
            <v>A5C</v>
          </cell>
          <cell r="C6220" t="str">
            <v>P</v>
          </cell>
          <cell r="D6220" t="str">
            <v>23261</v>
          </cell>
          <cell r="E6220" t="str">
            <v>C SWG</v>
          </cell>
          <cell r="F6220">
            <v>2</v>
          </cell>
          <cell r="G6220" t="str">
            <v>CB161408080201</v>
          </cell>
          <cell r="H6220">
            <v>1</v>
          </cell>
          <cell r="I6220" t="str">
            <v>-</v>
          </cell>
          <cell r="J6220">
            <v>1</v>
          </cell>
          <cell r="K6220">
            <v>2</v>
          </cell>
        </row>
        <row r="6221">
          <cell r="A6221" t="str">
            <v>M2</v>
          </cell>
          <cell r="B6221" t="str">
            <v>A5C</v>
          </cell>
          <cell r="C6221" t="str">
            <v>P</v>
          </cell>
          <cell r="D6221" t="str">
            <v>24021</v>
          </cell>
          <cell r="E6221" t="str">
            <v>C SWG</v>
          </cell>
          <cell r="F6221">
            <v>2</v>
          </cell>
          <cell r="G6221" t="str">
            <v>CB1614080802IH</v>
          </cell>
          <cell r="H6221">
            <v>1.5</v>
          </cell>
          <cell r="I6221" t="str">
            <v>-</v>
          </cell>
          <cell r="J6221">
            <v>2</v>
          </cell>
          <cell r="K6221">
            <v>3</v>
          </cell>
        </row>
        <row r="6222">
          <cell r="A6222" t="str">
            <v>M2</v>
          </cell>
          <cell r="B6222" t="str">
            <v>A5C</v>
          </cell>
          <cell r="C6222" t="str">
            <v>P</v>
          </cell>
          <cell r="D6222" t="str">
            <v>23102</v>
          </cell>
          <cell r="E6222" t="str">
            <v>C SWG</v>
          </cell>
          <cell r="F6222">
            <v>2</v>
          </cell>
          <cell r="G6222" t="str">
            <v>CB1614080802IH</v>
          </cell>
          <cell r="H6222">
            <v>1.5</v>
          </cell>
          <cell r="I6222" t="str">
            <v>-</v>
          </cell>
          <cell r="J6222">
            <v>2</v>
          </cell>
          <cell r="K6222">
            <v>3</v>
          </cell>
        </row>
        <row r="6223">
          <cell r="A6223" t="str">
            <v>M2</v>
          </cell>
          <cell r="B6223" t="str">
            <v>A5C</v>
          </cell>
          <cell r="C6223" t="str">
            <v>P</v>
          </cell>
          <cell r="D6223" t="str">
            <v>24007</v>
          </cell>
          <cell r="E6223" t="str">
            <v>C SWG</v>
          </cell>
          <cell r="F6223">
            <v>2</v>
          </cell>
          <cell r="G6223" t="str">
            <v>CB161408080201</v>
          </cell>
          <cell r="H6223">
            <v>1</v>
          </cell>
          <cell r="I6223" t="str">
            <v>-</v>
          </cell>
          <cell r="J6223">
            <v>1</v>
          </cell>
          <cell r="K6223">
            <v>2</v>
          </cell>
        </row>
        <row r="6224">
          <cell r="A6224" t="str">
            <v>M2</v>
          </cell>
          <cell r="B6224" t="str">
            <v>A5C</v>
          </cell>
          <cell r="C6224" t="str">
            <v>P</v>
          </cell>
          <cell r="D6224" t="str">
            <v>24013</v>
          </cell>
          <cell r="E6224" t="str">
            <v>C SWG</v>
          </cell>
          <cell r="F6224">
            <v>2</v>
          </cell>
          <cell r="G6224" t="str">
            <v>CB161408080201</v>
          </cell>
          <cell r="H6224">
            <v>1</v>
          </cell>
          <cell r="I6224" t="str">
            <v>-</v>
          </cell>
          <cell r="J6224">
            <v>2</v>
          </cell>
          <cell r="K6224">
            <v>3</v>
          </cell>
        </row>
        <row r="6225">
          <cell r="A6225" t="str">
            <v>M2</v>
          </cell>
          <cell r="B6225" t="str">
            <v>A5C</v>
          </cell>
          <cell r="C6225" t="str">
            <v>P</v>
          </cell>
          <cell r="D6225" t="str">
            <v>23115</v>
          </cell>
          <cell r="E6225" t="str">
            <v>E SWG</v>
          </cell>
          <cell r="F6225">
            <v>2</v>
          </cell>
          <cell r="G6225" t="str">
            <v>CB1624080802IH</v>
          </cell>
          <cell r="H6225">
            <v>1.5</v>
          </cell>
          <cell r="I6225" t="str">
            <v>-</v>
          </cell>
          <cell r="J6225">
            <v>2</v>
          </cell>
          <cell r="K6225">
            <v>3</v>
          </cell>
        </row>
        <row r="6226">
          <cell r="A6226" t="str">
            <v>M2</v>
          </cell>
          <cell r="B6226" t="str">
            <v>A5C</v>
          </cell>
          <cell r="C6226" t="str">
            <v>P</v>
          </cell>
          <cell r="D6226" t="str">
            <v>23188</v>
          </cell>
          <cell r="E6226" t="str">
            <v>E SWG</v>
          </cell>
          <cell r="F6226">
            <v>2</v>
          </cell>
          <cell r="G6226" t="str">
            <v>CB16240808020T</v>
          </cell>
          <cell r="H6226">
            <v>0.75</v>
          </cell>
          <cell r="I6226" t="str">
            <v>-</v>
          </cell>
          <cell r="J6226">
            <v>2</v>
          </cell>
          <cell r="K6226">
            <v>3</v>
          </cell>
        </row>
        <row r="6227">
          <cell r="A6227" t="str">
            <v>M2</v>
          </cell>
          <cell r="B6227" t="str">
            <v>A5C</v>
          </cell>
          <cell r="C6227" t="str">
            <v>P</v>
          </cell>
          <cell r="D6227" t="str">
            <v>23192</v>
          </cell>
          <cell r="E6227" t="str">
            <v>E SWG</v>
          </cell>
          <cell r="F6227">
            <v>2</v>
          </cell>
          <cell r="G6227" t="str">
            <v>CB1624080802IH</v>
          </cell>
          <cell r="H6227">
            <v>1.5</v>
          </cell>
          <cell r="I6227" t="str">
            <v>-</v>
          </cell>
          <cell r="J6227">
            <v>2</v>
          </cell>
          <cell r="K6227">
            <v>3</v>
          </cell>
        </row>
        <row r="6228">
          <cell r="A6228" t="str">
            <v>M2</v>
          </cell>
          <cell r="B6228" t="str">
            <v>A5C</v>
          </cell>
          <cell r="C6228" t="str">
            <v>P</v>
          </cell>
          <cell r="D6228" t="str">
            <v>23001</v>
          </cell>
          <cell r="E6228" t="str">
            <v>E SWG</v>
          </cell>
          <cell r="F6228">
            <v>2</v>
          </cell>
          <cell r="G6228" t="str">
            <v>CB1624080802IH</v>
          </cell>
          <cell r="H6228">
            <v>1.5</v>
          </cell>
          <cell r="I6228" t="str">
            <v>-</v>
          </cell>
          <cell r="J6228">
            <v>2</v>
          </cell>
          <cell r="K6228">
            <v>3</v>
          </cell>
        </row>
        <row r="6229">
          <cell r="A6229" t="str">
            <v>M2</v>
          </cell>
          <cell r="B6229" t="str">
            <v>A5C</v>
          </cell>
          <cell r="C6229" t="str">
            <v>P</v>
          </cell>
          <cell r="D6229" t="str">
            <v>23035</v>
          </cell>
          <cell r="E6229" t="str">
            <v>E SWG</v>
          </cell>
          <cell r="F6229">
            <v>2</v>
          </cell>
          <cell r="G6229" t="str">
            <v>CB1624080802IH</v>
          </cell>
          <cell r="H6229">
            <v>1.5</v>
          </cell>
          <cell r="I6229" t="str">
            <v>-</v>
          </cell>
          <cell r="J6229">
            <v>2</v>
          </cell>
          <cell r="K6229">
            <v>3</v>
          </cell>
        </row>
        <row r="6230">
          <cell r="A6230" t="str">
            <v>M2</v>
          </cell>
          <cell r="B6230" t="str">
            <v>A5C</v>
          </cell>
          <cell r="C6230" t="str">
            <v>P</v>
          </cell>
          <cell r="D6230" t="str">
            <v>23073</v>
          </cell>
          <cell r="E6230" t="str">
            <v>SOL</v>
          </cell>
          <cell r="F6230">
            <v>2</v>
          </cell>
          <cell r="G6230" t="str">
            <v>CB39020000020T</v>
          </cell>
          <cell r="H6230">
            <v>0.75</v>
          </cell>
          <cell r="I6230" t="str">
            <v>-</v>
          </cell>
          <cell r="J6230">
            <v>2</v>
          </cell>
          <cell r="K6230">
            <v>3</v>
          </cell>
        </row>
        <row r="6231">
          <cell r="A6231" t="str">
            <v>M2</v>
          </cell>
          <cell r="B6231" t="str">
            <v>A5C</v>
          </cell>
          <cell r="C6231" t="str">
            <v>P</v>
          </cell>
          <cell r="D6231" t="str">
            <v>23085</v>
          </cell>
          <cell r="E6231" t="str">
            <v>SOL</v>
          </cell>
          <cell r="F6231">
            <v>2</v>
          </cell>
          <cell r="G6231" t="str">
            <v>CB39020000020T</v>
          </cell>
          <cell r="H6231">
            <v>0.75</v>
          </cell>
          <cell r="I6231" t="str">
            <v>-</v>
          </cell>
          <cell r="J6231">
            <v>3</v>
          </cell>
          <cell r="K6231">
            <v>4</v>
          </cell>
        </row>
        <row r="6232">
          <cell r="A6232" t="str">
            <v>M2</v>
          </cell>
          <cell r="B6232" t="str">
            <v>A5C</v>
          </cell>
          <cell r="C6232" t="str">
            <v>P</v>
          </cell>
          <cell r="D6232" t="str">
            <v>23102</v>
          </cell>
          <cell r="E6232" t="str">
            <v>SOL</v>
          </cell>
          <cell r="F6232">
            <v>2</v>
          </cell>
          <cell r="G6232" t="str">
            <v>CB390200000201</v>
          </cell>
          <cell r="H6232">
            <v>1</v>
          </cell>
          <cell r="I6232" t="str">
            <v>-</v>
          </cell>
          <cell r="J6232">
            <v>1</v>
          </cell>
          <cell r="K6232">
            <v>2</v>
          </cell>
        </row>
        <row r="6233">
          <cell r="A6233" t="str">
            <v>M2</v>
          </cell>
          <cell r="B6233" t="str">
            <v>A5C</v>
          </cell>
          <cell r="C6233" t="str">
            <v>P</v>
          </cell>
          <cell r="D6233" t="str">
            <v>23192</v>
          </cell>
          <cell r="E6233" t="str">
            <v>SOL</v>
          </cell>
          <cell r="F6233">
            <v>2</v>
          </cell>
          <cell r="G6233" t="str">
            <v>CB39020000020T</v>
          </cell>
          <cell r="H6233">
            <v>0.75</v>
          </cell>
          <cell r="I6233" t="str">
            <v>-</v>
          </cell>
          <cell r="J6233">
            <v>3</v>
          </cell>
          <cell r="K6233">
            <v>4</v>
          </cell>
        </row>
        <row r="6234">
          <cell r="A6234" t="str">
            <v>M2</v>
          </cell>
          <cell r="B6234" t="str">
            <v>A5C</v>
          </cell>
          <cell r="C6234" t="str">
            <v>P</v>
          </cell>
          <cell r="D6234" t="str">
            <v>23192</v>
          </cell>
          <cell r="E6234" t="str">
            <v>SOL</v>
          </cell>
          <cell r="F6234">
            <v>2</v>
          </cell>
          <cell r="G6234" t="str">
            <v>CB3902000002IH</v>
          </cell>
          <cell r="H6234">
            <v>1.5</v>
          </cell>
          <cell r="I6234" t="str">
            <v>-</v>
          </cell>
          <cell r="J6234">
            <v>2</v>
          </cell>
          <cell r="K6234">
            <v>3</v>
          </cell>
        </row>
        <row r="6235">
          <cell r="A6235" t="str">
            <v>M2</v>
          </cell>
          <cell r="B6235" t="str">
            <v>A5C</v>
          </cell>
          <cell r="C6235" t="str">
            <v>P</v>
          </cell>
          <cell r="D6235" t="str">
            <v>23229</v>
          </cell>
          <cell r="E6235" t="str">
            <v>SOL</v>
          </cell>
          <cell r="F6235">
            <v>2</v>
          </cell>
          <cell r="G6235" t="str">
            <v>CB39020000020T</v>
          </cell>
          <cell r="H6235">
            <v>0.75</v>
          </cell>
          <cell r="I6235" t="str">
            <v>-</v>
          </cell>
          <cell r="J6235">
            <v>1</v>
          </cell>
          <cell r="K6235">
            <v>2</v>
          </cell>
        </row>
        <row r="6236">
          <cell r="A6236" t="str">
            <v>M2</v>
          </cell>
          <cell r="B6236" t="str">
            <v>A5C</v>
          </cell>
          <cell r="C6236" t="str">
            <v>P</v>
          </cell>
          <cell r="D6236" t="str">
            <v>23251</v>
          </cell>
          <cell r="E6236" t="str">
            <v>SOL</v>
          </cell>
          <cell r="F6236">
            <v>2</v>
          </cell>
          <cell r="G6236" t="str">
            <v>CB39020000020T</v>
          </cell>
          <cell r="H6236">
            <v>0.75</v>
          </cell>
          <cell r="I6236" t="str">
            <v>-</v>
          </cell>
          <cell r="J6236">
            <v>1</v>
          </cell>
          <cell r="K6236">
            <v>2</v>
          </cell>
        </row>
        <row r="6237">
          <cell r="A6237" t="str">
            <v>M2</v>
          </cell>
          <cell r="B6237" t="str">
            <v>A5C</v>
          </cell>
          <cell r="C6237" t="str">
            <v>P</v>
          </cell>
          <cell r="D6237" t="str">
            <v>23253</v>
          </cell>
          <cell r="E6237" t="str">
            <v>SOL</v>
          </cell>
          <cell r="F6237">
            <v>2</v>
          </cell>
          <cell r="G6237" t="str">
            <v>CB3902000002IH</v>
          </cell>
          <cell r="H6237">
            <v>1.5</v>
          </cell>
          <cell r="I6237" t="str">
            <v>-</v>
          </cell>
          <cell r="J6237">
            <v>1</v>
          </cell>
          <cell r="K6237">
            <v>2</v>
          </cell>
        </row>
        <row r="6238">
          <cell r="A6238" t="str">
            <v>M2</v>
          </cell>
          <cell r="B6238" t="str">
            <v>A5C</v>
          </cell>
          <cell r="C6238" t="str">
            <v>P</v>
          </cell>
          <cell r="D6238" t="str">
            <v>23261</v>
          </cell>
          <cell r="E6238" t="str">
            <v>SOL</v>
          </cell>
          <cell r="F6238">
            <v>2</v>
          </cell>
          <cell r="G6238" t="str">
            <v>CB390200000201</v>
          </cell>
          <cell r="H6238">
            <v>1</v>
          </cell>
          <cell r="I6238" t="str">
            <v>-</v>
          </cell>
          <cell r="J6238">
            <v>1</v>
          </cell>
          <cell r="K6238">
            <v>2</v>
          </cell>
        </row>
        <row r="6239">
          <cell r="A6239" t="str">
            <v>M2</v>
          </cell>
          <cell r="B6239" t="str">
            <v>A5C</v>
          </cell>
          <cell r="C6239" t="str">
            <v>P</v>
          </cell>
          <cell r="D6239" t="str">
            <v>24006</v>
          </cell>
          <cell r="E6239" t="str">
            <v>SOL</v>
          </cell>
          <cell r="F6239">
            <v>2</v>
          </cell>
          <cell r="G6239" t="str">
            <v>CB39020000020T</v>
          </cell>
          <cell r="H6239">
            <v>0.75</v>
          </cell>
          <cell r="I6239" t="str">
            <v>-</v>
          </cell>
          <cell r="J6239">
            <v>1</v>
          </cell>
          <cell r="K6239">
            <v>2</v>
          </cell>
        </row>
        <row r="6240">
          <cell r="A6240" t="str">
            <v>M2</v>
          </cell>
          <cell r="B6240" t="str">
            <v>A5C</v>
          </cell>
          <cell r="C6240" t="str">
            <v>P</v>
          </cell>
          <cell r="D6240" t="str">
            <v>24021</v>
          </cell>
          <cell r="E6240" t="str">
            <v>SOL</v>
          </cell>
          <cell r="F6240">
            <v>2</v>
          </cell>
          <cell r="G6240" t="str">
            <v>CB39020000020T</v>
          </cell>
          <cell r="H6240">
            <v>0.75</v>
          </cell>
          <cell r="I6240" t="str">
            <v>-</v>
          </cell>
          <cell r="J6240">
            <v>2</v>
          </cell>
          <cell r="K6240">
            <v>3</v>
          </cell>
        </row>
        <row r="6241">
          <cell r="A6241" t="str">
            <v>M2</v>
          </cell>
          <cell r="B6241" t="str">
            <v>A5C</v>
          </cell>
          <cell r="C6241" t="str">
            <v>P</v>
          </cell>
          <cell r="D6241" t="str">
            <v>24020</v>
          </cell>
          <cell r="E6241" t="str">
            <v>SOL</v>
          </cell>
          <cell r="F6241">
            <v>2</v>
          </cell>
          <cell r="G6241" t="str">
            <v>CB390200000201</v>
          </cell>
          <cell r="H6241">
            <v>1</v>
          </cell>
          <cell r="I6241" t="str">
            <v>-</v>
          </cell>
          <cell r="J6241">
            <v>1</v>
          </cell>
          <cell r="K6241">
            <v>2</v>
          </cell>
        </row>
        <row r="6242">
          <cell r="A6242" t="str">
            <v>M2</v>
          </cell>
          <cell r="B6242" t="str">
            <v>A5C</v>
          </cell>
          <cell r="C6242" t="str">
            <v>P</v>
          </cell>
          <cell r="D6242" t="str">
            <v>23096</v>
          </cell>
          <cell r="E6242" t="str">
            <v>SOL</v>
          </cell>
          <cell r="F6242">
            <v>2</v>
          </cell>
          <cell r="G6242" t="str">
            <v>CB39020000020T</v>
          </cell>
          <cell r="H6242">
            <v>0.75</v>
          </cell>
          <cell r="I6242" t="str">
            <v>-</v>
          </cell>
          <cell r="J6242">
            <v>4</v>
          </cell>
          <cell r="K6242">
            <v>5</v>
          </cell>
        </row>
        <row r="6243">
          <cell r="A6243" t="str">
            <v>M2</v>
          </cell>
          <cell r="B6243" t="str">
            <v>A5C</v>
          </cell>
          <cell r="C6243" t="str">
            <v>P</v>
          </cell>
          <cell r="D6243" t="str">
            <v>23102</v>
          </cell>
          <cell r="E6243" t="str">
            <v>SOL</v>
          </cell>
          <cell r="F6243">
            <v>2</v>
          </cell>
          <cell r="G6243" t="str">
            <v>CB39020000020T</v>
          </cell>
          <cell r="H6243">
            <v>0.75</v>
          </cell>
          <cell r="I6243" t="str">
            <v>-</v>
          </cell>
          <cell r="J6243">
            <v>2</v>
          </cell>
          <cell r="K6243">
            <v>3</v>
          </cell>
        </row>
        <row r="6244">
          <cell r="A6244" t="str">
            <v>M2</v>
          </cell>
          <cell r="B6244" t="str">
            <v>A5C</v>
          </cell>
          <cell r="C6244" t="str">
            <v>P</v>
          </cell>
          <cell r="D6244" t="str">
            <v>23135</v>
          </cell>
          <cell r="E6244" t="str">
            <v>SOL</v>
          </cell>
          <cell r="F6244">
            <v>2</v>
          </cell>
          <cell r="G6244" t="str">
            <v>CB39020000020T</v>
          </cell>
          <cell r="H6244">
            <v>0.75</v>
          </cell>
          <cell r="I6244" t="str">
            <v>-</v>
          </cell>
          <cell r="J6244">
            <v>4</v>
          </cell>
          <cell r="K6244">
            <v>5</v>
          </cell>
        </row>
        <row r="6245">
          <cell r="A6245" t="str">
            <v>M2</v>
          </cell>
          <cell r="B6245" t="str">
            <v>A5C</v>
          </cell>
          <cell r="C6245" t="str">
            <v>P</v>
          </cell>
          <cell r="D6245" t="str">
            <v>23192</v>
          </cell>
          <cell r="E6245" t="str">
            <v>SOL</v>
          </cell>
          <cell r="F6245">
            <v>2</v>
          </cell>
          <cell r="G6245" t="str">
            <v>CB39020000020T</v>
          </cell>
          <cell r="H6245">
            <v>0.75</v>
          </cell>
          <cell r="I6245" t="str">
            <v>-</v>
          </cell>
          <cell r="J6245">
            <v>1</v>
          </cell>
          <cell r="K6245">
            <v>2</v>
          </cell>
        </row>
        <row r="6246">
          <cell r="A6246" t="str">
            <v>M2</v>
          </cell>
          <cell r="B6246" t="str">
            <v>A5C</v>
          </cell>
          <cell r="C6246" t="str">
            <v>P</v>
          </cell>
          <cell r="D6246" t="str">
            <v>23231</v>
          </cell>
          <cell r="E6246" t="str">
            <v>SOL</v>
          </cell>
          <cell r="F6246">
            <v>2</v>
          </cell>
          <cell r="G6246" t="str">
            <v>CB3902000002IH</v>
          </cell>
          <cell r="H6246">
            <v>1.5</v>
          </cell>
          <cell r="I6246" t="str">
            <v>-</v>
          </cell>
          <cell r="J6246">
            <v>1</v>
          </cell>
          <cell r="K6246">
            <v>2</v>
          </cell>
        </row>
        <row r="6247">
          <cell r="A6247" t="str">
            <v>M2</v>
          </cell>
          <cell r="B6247" t="str">
            <v>A5C</v>
          </cell>
          <cell r="C6247" t="str">
            <v>P</v>
          </cell>
          <cell r="D6247" t="str">
            <v>23264</v>
          </cell>
          <cell r="E6247" t="str">
            <v>SOL</v>
          </cell>
          <cell r="F6247">
            <v>2</v>
          </cell>
          <cell r="G6247" t="str">
            <v>CB39020000020T</v>
          </cell>
          <cell r="H6247">
            <v>0.75</v>
          </cell>
          <cell r="I6247" t="str">
            <v>-</v>
          </cell>
          <cell r="J6247">
            <v>2</v>
          </cell>
          <cell r="K6247">
            <v>3</v>
          </cell>
        </row>
        <row r="6248">
          <cell r="A6248" t="str">
            <v>M2</v>
          </cell>
          <cell r="B6248" t="str">
            <v>A5C</v>
          </cell>
          <cell r="C6248" t="str">
            <v>TRIM</v>
          </cell>
          <cell r="D6248" t="str">
            <v>V-2352</v>
          </cell>
          <cell r="E6248" t="str">
            <v>SOL</v>
          </cell>
          <cell r="F6248">
            <v>2</v>
          </cell>
          <cell r="G6248" t="str">
            <v>CB39020000020T</v>
          </cell>
          <cell r="H6248">
            <v>0.75</v>
          </cell>
          <cell r="I6248" t="str">
            <v>-</v>
          </cell>
          <cell r="J6248">
            <v>5</v>
          </cell>
          <cell r="K6248">
            <v>6</v>
          </cell>
        </row>
        <row r="6249">
          <cell r="A6249" t="str">
            <v>M2</v>
          </cell>
          <cell r="B6249" t="str">
            <v>A5C</v>
          </cell>
          <cell r="C6249" t="str">
            <v>P</v>
          </cell>
          <cell r="D6249" t="str">
            <v>23019</v>
          </cell>
          <cell r="E6249" t="str">
            <v>C SWG</v>
          </cell>
          <cell r="F6249">
            <v>2</v>
          </cell>
          <cell r="G6249" t="str">
            <v>CB1614080802IH</v>
          </cell>
          <cell r="H6249">
            <v>1.5</v>
          </cell>
          <cell r="I6249" t="str">
            <v>-</v>
          </cell>
          <cell r="J6249">
            <v>2</v>
          </cell>
          <cell r="K6249">
            <v>3</v>
          </cell>
        </row>
        <row r="6250">
          <cell r="A6250" t="str">
            <v>M2</v>
          </cell>
          <cell r="B6250" t="str">
            <v>A5C</v>
          </cell>
          <cell r="C6250" t="str">
            <v>P</v>
          </cell>
          <cell r="D6250" t="str">
            <v>23053</v>
          </cell>
          <cell r="E6250" t="str">
            <v>C SWG</v>
          </cell>
          <cell r="F6250">
            <v>2</v>
          </cell>
          <cell r="G6250" t="str">
            <v>CB1614080802IH</v>
          </cell>
          <cell r="H6250">
            <v>1.5</v>
          </cell>
          <cell r="I6250" t="str">
            <v>-</v>
          </cell>
          <cell r="J6250">
            <v>2</v>
          </cell>
          <cell r="K6250">
            <v>3</v>
          </cell>
        </row>
        <row r="6251">
          <cell r="A6251" t="str">
            <v>M2</v>
          </cell>
          <cell r="B6251" t="str">
            <v>A5C</v>
          </cell>
          <cell r="C6251" t="str">
            <v>P</v>
          </cell>
          <cell r="D6251" t="str">
            <v>23224</v>
          </cell>
          <cell r="E6251" t="str">
            <v>C SWG</v>
          </cell>
          <cell r="F6251">
            <v>2</v>
          </cell>
          <cell r="G6251" t="str">
            <v>CB1614080802IH</v>
          </cell>
          <cell r="H6251">
            <v>1.5</v>
          </cell>
          <cell r="I6251" t="str">
            <v>-</v>
          </cell>
          <cell r="J6251">
            <v>2</v>
          </cell>
          <cell r="K6251">
            <v>3</v>
          </cell>
        </row>
        <row r="6252">
          <cell r="A6252" t="str">
            <v>M2</v>
          </cell>
          <cell r="B6252" t="str">
            <v>A5C</v>
          </cell>
          <cell r="C6252" t="str">
            <v>P</v>
          </cell>
          <cell r="D6252" t="str">
            <v>24016</v>
          </cell>
          <cell r="E6252" t="str">
            <v>C SWG</v>
          </cell>
          <cell r="F6252">
            <v>2</v>
          </cell>
          <cell r="G6252" t="str">
            <v>CB16140808020T</v>
          </cell>
          <cell r="H6252">
            <v>0.75</v>
          </cell>
          <cell r="I6252" t="str">
            <v>-</v>
          </cell>
          <cell r="J6252">
            <v>2</v>
          </cell>
          <cell r="K6252">
            <v>3</v>
          </cell>
        </row>
        <row r="6253">
          <cell r="A6253" t="str">
            <v>M2</v>
          </cell>
          <cell r="B6253" t="str">
            <v>A5C</v>
          </cell>
          <cell r="C6253" t="str">
            <v>P</v>
          </cell>
          <cell r="D6253" t="str">
            <v>23020</v>
          </cell>
          <cell r="E6253" t="str">
            <v>E SWG</v>
          </cell>
          <cell r="F6253">
            <v>2</v>
          </cell>
          <cell r="G6253" t="str">
            <v>CB1624080802IH</v>
          </cell>
          <cell r="H6253">
            <v>1.5</v>
          </cell>
          <cell r="I6253" t="str">
            <v>-</v>
          </cell>
          <cell r="J6253">
            <v>2</v>
          </cell>
          <cell r="K6253">
            <v>3</v>
          </cell>
        </row>
        <row r="6254">
          <cell r="A6254" t="str">
            <v>M2</v>
          </cell>
          <cell r="B6254" t="str">
            <v>A5C</v>
          </cell>
          <cell r="C6254" t="str">
            <v>P</v>
          </cell>
          <cell r="D6254" t="str">
            <v>23030</v>
          </cell>
          <cell r="E6254" t="str">
            <v>E SWG</v>
          </cell>
          <cell r="F6254">
            <v>2</v>
          </cell>
          <cell r="G6254" t="str">
            <v>CB1624080802IH</v>
          </cell>
          <cell r="H6254">
            <v>1.5</v>
          </cell>
          <cell r="I6254" t="str">
            <v>-</v>
          </cell>
          <cell r="J6254">
            <v>2</v>
          </cell>
          <cell r="K6254">
            <v>3</v>
          </cell>
        </row>
        <row r="6255">
          <cell r="A6255" t="str">
            <v>M2</v>
          </cell>
          <cell r="B6255" t="str">
            <v>A5C</v>
          </cell>
          <cell r="C6255" t="str">
            <v>P</v>
          </cell>
          <cell r="D6255" t="str">
            <v>23054</v>
          </cell>
          <cell r="E6255" t="str">
            <v>E SWG</v>
          </cell>
          <cell r="F6255">
            <v>2</v>
          </cell>
          <cell r="G6255" t="str">
            <v>CB1624080802IH</v>
          </cell>
          <cell r="H6255">
            <v>1.5</v>
          </cell>
          <cell r="I6255" t="str">
            <v>-</v>
          </cell>
          <cell r="J6255">
            <v>2</v>
          </cell>
          <cell r="K6255">
            <v>3</v>
          </cell>
        </row>
        <row r="6256">
          <cell r="A6256" t="str">
            <v>M2</v>
          </cell>
          <cell r="B6256" t="str">
            <v>A5C</v>
          </cell>
          <cell r="C6256" t="str">
            <v>P</v>
          </cell>
          <cell r="D6256" t="str">
            <v>24018</v>
          </cell>
          <cell r="E6256" t="str">
            <v>E SWG</v>
          </cell>
          <cell r="F6256">
            <v>2</v>
          </cell>
          <cell r="G6256" t="str">
            <v>CB16240808020T</v>
          </cell>
          <cell r="H6256">
            <v>0.75</v>
          </cell>
          <cell r="I6256" t="str">
            <v>-</v>
          </cell>
          <cell r="J6256">
            <v>2</v>
          </cell>
          <cell r="K6256">
            <v>3</v>
          </cell>
        </row>
        <row r="6257">
          <cell r="A6257" t="str">
            <v>M2</v>
          </cell>
          <cell r="B6257" t="str">
            <v>A5C</v>
          </cell>
          <cell r="C6257" t="str">
            <v>P</v>
          </cell>
          <cell r="D6257" t="str">
            <v>23036</v>
          </cell>
          <cell r="E6257" t="str">
            <v>E SWG</v>
          </cell>
          <cell r="F6257">
            <v>2</v>
          </cell>
          <cell r="G6257" t="str">
            <v>CB1624080802IH</v>
          </cell>
          <cell r="H6257">
            <v>1.5</v>
          </cell>
          <cell r="I6257" t="str">
            <v>-</v>
          </cell>
          <cell r="J6257">
            <v>2</v>
          </cell>
          <cell r="K6257">
            <v>3</v>
          </cell>
        </row>
        <row r="6258">
          <cell r="A6258" t="str">
            <v>M2</v>
          </cell>
          <cell r="B6258" t="str">
            <v>A5C</v>
          </cell>
          <cell r="C6258" t="str">
            <v>P</v>
          </cell>
          <cell r="D6258" t="str">
            <v>23020</v>
          </cell>
          <cell r="E6258" t="str">
            <v>SOL</v>
          </cell>
          <cell r="F6258">
            <v>2</v>
          </cell>
          <cell r="G6258" t="str">
            <v>CB39020000020T</v>
          </cell>
          <cell r="H6258">
            <v>0.75</v>
          </cell>
          <cell r="I6258" t="str">
            <v>-</v>
          </cell>
          <cell r="J6258">
            <v>1</v>
          </cell>
          <cell r="K6258">
            <v>2</v>
          </cell>
        </row>
        <row r="6259">
          <cell r="A6259" t="str">
            <v>M2</v>
          </cell>
          <cell r="B6259" t="str">
            <v>A5C</v>
          </cell>
          <cell r="C6259" t="str">
            <v>P</v>
          </cell>
          <cell r="D6259" t="str">
            <v>23020</v>
          </cell>
          <cell r="E6259" t="str">
            <v>SOL</v>
          </cell>
          <cell r="F6259">
            <v>2</v>
          </cell>
          <cell r="G6259" t="str">
            <v>CB3902000002IH</v>
          </cell>
          <cell r="H6259">
            <v>1.5</v>
          </cell>
          <cell r="I6259" t="str">
            <v>-</v>
          </cell>
          <cell r="J6259">
            <v>2</v>
          </cell>
          <cell r="K6259">
            <v>3</v>
          </cell>
        </row>
        <row r="6260">
          <cell r="A6260" t="str">
            <v>M2</v>
          </cell>
          <cell r="B6260" t="str">
            <v>A5C</v>
          </cell>
          <cell r="C6260" t="str">
            <v>P</v>
          </cell>
          <cell r="D6260" t="str">
            <v>23054</v>
          </cell>
          <cell r="E6260" t="str">
            <v>SOL</v>
          </cell>
          <cell r="F6260">
            <v>2</v>
          </cell>
          <cell r="G6260" t="str">
            <v>CB39020000020T</v>
          </cell>
          <cell r="H6260">
            <v>0.75</v>
          </cell>
          <cell r="I6260" t="str">
            <v>-</v>
          </cell>
          <cell r="J6260">
            <v>1</v>
          </cell>
          <cell r="K6260">
            <v>2</v>
          </cell>
        </row>
        <row r="6261">
          <cell r="A6261" t="str">
            <v>M2</v>
          </cell>
          <cell r="B6261" t="str">
            <v>A5C</v>
          </cell>
          <cell r="C6261" t="str">
            <v>P</v>
          </cell>
          <cell r="D6261" t="str">
            <v>23054</v>
          </cell>
          <cell r="E6261" t="str">
            <v>SOL</v>
          </cell>
          <cell r="F6261">
            <v>2</v>
          </cell>
          <cell r="G6261" t="str">
            <v>CB3902000002IH</v>
          </cell>
          <cell r="H6261">
            <v>1.5</v>
          </cell>
          <cell r="I6261" t="str">
            <v>-</v>
          </cell>
          <cell r="J6261">
            <v>2</v>
          </cell>
          <cell r="K6261">
            <v>3</v>
          </cell>
        </row>
        <row r="6262">
          <cell r="A6262" t="str">
            <v>M2</v>
          </cell>
          <cell r="B6262" t="str">
            <v>A5C</v>
          </cell>
          <cell r="C6262" t="str">
            <v>P</v>
          </cell>
          <cell r="D6262" t="str">
            <v>23053</v>
          </cell>
          <cell r="E6262" t="str">
            <v>SOL</v>
          </cell>
          <cell r="F6262">
            <v>2</v>
          </cell>
          <cell r="G6262" t="str">
            <v>CB39020000020T</v>
          </cell>
          <cell r="H6262">
            <v>0.75</v>
          </cell>
          <cell r="I6262" t="str">
            <v>-</v>
          </cell>
          <cell r="J6262">
            <v>5</v>
          </cell>
          <cell r="K6262">
            <v>6</v>
          </cell>
        </row>
        <row r="6263">
          <cell r="A6263" t="str">
            <v>M2</v>
          </cell>
          <cell r="B6263" t="str">
            <v>A5C</v>
          </cell>
          <cell r="C6263" t="str">
            <v>P</v>
          </cell>
          <cell r="D6263" t="str">
            <v>23019</v>
          </cell>
          <cell r="E6263" t="str">
            <v>SOL</v>
          </cell>
          <cell r="F6263">
            <v>2</v>
          </cell>
          <cell r="G6263" t="str">
            <v>CB3902000002IH</v>
          </cell>
          <cell r="H6263">
            <v>1.5</v>
          </cell>
          <cell r="I6263" t="str">
            <v>-</v>
          </cell>
          <cell r="J6263">
            <v>1</v>
          </cell>
          <cell r="K6263">
            <v>2</v>
          </cell>
        </row>
        <row r="6264">
          <cell r="A6264" t="str">
            <v>M2</v>
          </cell>
          <cell r="B6264" t="str">
            <v>A5C</v>
          </cell>
          <cell r="C6264" t="str">
            <v>P</v>
          </cell>
          <cell r="D6264" t="str">
            <v>23019</v>
          </cell>
          <cell r="E6264" t="str">
            <v>SOL</v>
          </cell>
          <cell r="F6264">
            <v>2</v>
          </cell>
          <cell r="G6264" t="str">
            <v>CB39020000020T</v>
          </cell>
          <cell r="H6264">
            <v>0.75</v>
          </cell>
          <cell r="I6264" t="str">
            <v>-</v>
          </cell>
          <cell r="J6264">
            <v>4</v>
          </cell>
          <cell r="K6264">
            <v>5</v>
          </cell>
        </row>
        <row r="6265">
          <cell r="A6265" t="str">
            <v>M2</v>
          </cell>
          <cell r="B6265" t="str">
            <v>A5C</v>
          </cell>
          <cell r="C6265" t="str">
            <v>P</v>
          </cell>
          <cell r="D6265" t="str">
            <v>23224</v>
          </cell>
          <cell r="E6265" t="str">
            <v>SOL</v>
          </cell>
          <cell r="F6265">
            <v>2</v>
          </cell>
          <cell r="G6265" t="str">
            <v>CB39020000020T</v>
          </cell>
          <cell r="H6265">
            <v>0.75</v>
          </cell>
          <cell r="I6265" t="str">
            <v>-</v>
          </cell>
          <cell r="J6265">
            <v>2</v>
          </cell>
          <cell r="K6265">
            <v>3</v>
          </cell>
        </row>
        <row r="6266">
          <cell r="A6266" t="str">
            <v>M2</v>
          </cell>
          <cell r="B6266" t="str">
            <v>A5C</v>
          </cell>
          <cell r="C6266" t="str">
            <v>P</v>
          </cell>
          <cell r="D6266" t="str">
            <v>23224</v>
          </cell>
          <cell r="E6266" t="str">
            <v>SOL</v>
          </cell>
          <cell r="F6266">
            <v>2</v>
          </cell>
          <cell r="G6266" t="str">
            <v>CB390200000201</v>
          </cell>
          <cell r="H6266">
            <v>1</v>
          </cell>
          <cell r="I6266" t="str">
            <v>-</v>
          </cell>
          <cell r="J6266">
            <v>1</v>
          </cell>
          <cell r="K6266">
            <v>2</v>
          </cell>
        </row>
        <row r="6267">
          <cell r="A6267" t="str">
            <v>M2</v>
          </cell>
          <cell r="B6267" t="str">
            <v>B2C</v>
          </cell>
          <cell r="C6267" t="str">
            <v>SH</v>
          </cell>
          <cell r="D6267" t="str">
            <v>23612</v>
          </cell>
          <cell r="E6267" t="str">
            <v>E RED</v>
          </cell>
          <cell r="F6267">
            <v>2</v>
          </cell>
          <cell r="G6267" t="str">
            <v>CB300604080302</v>
          </cell>
          <cell r="H6267">
            <v>2</v>
          </cell>
          <cell r="I6267" t="str">
            <v>-</v>
          </cell>
          <cell r="J6267">
            <v>2</v>
          </cell>
          <cell r="K6267">
            <v>3</v>
          </cell>
        </row>
        <row r="6268">
          <cell r="A6268" t="str">
            <v>M2</v>
          </cell>
          <cell r="B6268" t="str">
            <v>B2C</v>
          </cell>
          <cell r="C6268" t="str">
            <v>SH</v>
          </cell>
          <cell r="D6268" t="str">
            <v>23601</v>
          </cell>
          <cell r="E6268" t="str">
            <v>SOL</v>
          </cell>
          <cell r="F6268">
            <v>2</v>
          </cell>
          <cell r="G6268" t="str">
            <v>CB390200000301</v>
          </cell>
          <cell r="H6268">
            <v>1</v>
          </cell>
          <cell r="I6268" t="str">
            <v>-</v>
          </cell>
          <cell r="J6268">
            <v>1</v>
          </cell>
          <cell r="K6268">
            <v>2</v>
          </cell>
        </row>
        <row r="6269">
          <cell r="A6269" t="str">
            <v>M2</v>
          </cell>
          <cell r="B6269" t="str">
            <v>B2C</v>
          </cell>
          <cell r="C6269" t="str">
            <v>SH</v>
          </cell>
          <cell r="D6269" t="str">
            <v>23601</v>
          </cell>
          <cell r="E6269" t="str">
            <v>SOL</v>
          </cell>
          <cell r="F6269">
            <v>2</v>
          </cell>
          <cell r="G6269" t="str">
            <v>CB39020000030T</v>
          </cell>
          <cell r="H6269">
            <v>0.75</v>
          </cell>
          <cell r="I6269" t="str">
            <v>-</v>
          </cell>
          <cell r="J6269">
            <v>5</v>
          </cell>
          <cell r="K6269">
            <v>6</v>
          </cell>
        </row>
        <row r="6270">
          <cell r="A6270" t="str">
            <v>M2</v>
          </cell>
          <cell r="B6270" t="str">
            <v>B2C</v>
          </cell>
          <cell r="C6270" t="str">
            <v>SH</v>
          </cell>
          <cell r="D6270" t="str">
            <v>23612</v>
          </cell>
          <cell r="E6270" t="str">
            <v>SOL</v>
          </cell>
          <cell r="F6270">
            <v>2</v>
          </cell>
          <cell r="G6270" t="str">
            <v>CB390200000301</v>
          </cell>
          <cell r="H6270">
            <v>1</v>
          </cell>
          <cell r="I6270" t="str">
            <v>-</v>
          </cell>
          <cell r="J6270">
            <v>1</v>
          </cell>
          <cell r="K6270">
            <v>2</v>
          </cell>
        </row>
        <row r="6271">
          <cell r="A6271" t="str">
            <v>M2</v>
          </cell>
          <cell r="B6271" t="str">
            <v>B2C</v>
          </cell>
          <cell r="C6271" t="str">
            <v>SH</v>
          </cell>
          <cell r="D6271" t="str">
            <v>23612</v>
          </cell>
          <cell r="E6271" t="str">
            <v>SOL</v>
          </cell>
          <cell r="F6271">
            <v>2</v>
          </cell>
          <cell r="G6271" t="str">
            <v>CB39020000030T</v>
          </cell>
          <cell r="H6271">
            <v>0.75</v>
          </cell>
          <cell r="I6271" t="str">
            <v>-</v>
          </cell>
          <cell r="J6271">
            <v>2</v>
          </cell>
          <cell r="K6271">
            <v>3</v>
          </cell>
        </row>
        <row r="6272">
          <cell r="A6272" t="str">
            <v>M2</v>
          </cell>
          <cell r="B6272" t="str">
            <v>A5C</v>
          </cell>
          <cell r="C6272" t="str">
            <v>P</v>
          </cell>
          <cell r="D6272" t="str">
            <v>23047</v>
          </cell>
          <cell r="E6272" t="str">
            <v>C RED</v>
          </cell>
          <cell r="F6272">
            <v>2</v>
          </cell>
          <cell r="G6272" t="str">
            <v>CB300504080302</v>
          </cell>
          <cell r="H6272">
            <v>2</v>
          </cell>
          <cell r="I6272" t="str">
            <v>-</v>
          </cell>
          <cell r="J6272">
            <v>2</v>
          </cell>
          <cell r="K6272">
            <v>3</v>
          </cell>
        </row>
        <row r="6273">
          <cell r="A6273" t="str">
            <v>M2</v>
          </cell>
          <cell r="B6273" t="str">
            <v>A5C</v>
          </cell>
          <cell r="C6273" t="str">
            <v>P</v>
          </cell>
          <cell r="D6273" t="str">
            <v>23142</v>
          </cell>
          <cell r="E6273" t="str">
            <v>C RED</v>
          </cell>
          <cell r="F6273">
            <v>2</v>
          </cell>
          <cell r="G6273" t="str">
            <v>CB300504080302</v>
          </cell>
          <cell r="H6273">
            <v>2</v>
          </cell>
          <cell r="I6273" t="str">
            <v>-</v>
          </cell>
          <cell r="J6273">
            <v>2</v>
          </cell>
          <cell r="K6273">
            <v>3</v>
          </cell>
        </row>
        <row r="6274">
          <cell r="A6274" t="str">
            <v>M2</v>
          </cell>
          <cell r="B6274" t="str">
            <v>A5C</v>
          </cell>
          <cell r="C6274" t="str">
            <v>P</v>
          </cell>
          <cell r="D6274" t="str">
            <v>23236</v>
          </cell>
          <cell r="E6274" t="str">
            <v>C RED</v>
          </cell>
          <cell r="F6274">
            <v>2</v>
          </cell>
          <cell r="G6274" t="str">
            <v>CB300504080302</v>
          </cell>
          <cell r="H6274">
            <v>2</v>
          </cell>
          <cell r="I6274" t="str">
            <v>-</v>
          </cell>
          <cell r="J6274">
            <v>2</v>
          </cell>
          <cell r="K6274">
            <v>3</v>
          </cell>
        </row>
        <row r="6275">
          <cell r="A6275" t="str">
            <v>M2</v>
          </cell>
          <cell r="B6275" t="str">
            <v>A5C</v>
          </cell>
          <cell r="C6275" t="str">
            <v>P</v>
          </cell>
          <cell r="D6275" t="str">
            <v>23240</v>
          </cell>
          <cell r="E6275" t="str">
            <v>C RED</v>
          </cell>
          <cell r="F6275">
            <v>2</v>
          </cell>
          <cell r="G6275" t="str">
            <v>CB300504080302</v>
          </cell>
          <cell r="H6275">
            <v>2</v>
          </cell>
          <cell r="I6275" t="str">
            <v>-</v>
          </cell>
          <cell r="J6275">
            <v>2</v>
          </cell>
          <cell r="K6275">
            <v>3</v>
          </cell>
        </row>
        <row r="6276">
          <cell r="A6276" t="str">
            <v>M2</v>
          </cell>
          <cell r="B6276" t="str">
            <v>A5C</v>
          </cell>
          <cell r="C6276" t="str">
            <v>P</v>
          </cell>
          <cell r="D6276" t="str">
            <v>23124</v>
          </cell>
          <cell r="E6276" t="str">
            <v>C RED</v>
          </cell>
          <cell r="F6276">
            <v>2</v>
          </cell>
          <cell r="G6276" t="str">
            <v>CB300504080302</v>
          </cell>
          <cell r="H6276">
            <v>2</v>
          </cell>
          <cell r="I6276" t="str">
            <v>-</v>
          </cell>
          <cell r="J6276">
            <v>2</v>
          </cell>
          <cell r="K6276">
            <v>3</v>
          </cell>
        </row>
        <row r="6277">
          <cell r="A6277" t="str">
            <v>M2</v>
          </cell>
          <cell r="B6277" t="str">
            <v>A5C</v>
          </cell>
          <cell r="C6277" t="str">
            <v>P</v>
          </cell>
          <cell r="D6277" t="str">
            <v>23106</v>
          </cell>
          <cell r="E6277" t="str">
            <v>C SWG</v>
          </cell>
          <cell r="F6277">
            <v>2</v>
          </cell>
          <cell r="G6277" t="str">
            <v>CB1614040803IH</v>
          </cell>
          <cell r="H6277">
            <v>1.5</v>
          </cell>
          <cell r="I6277" t="str">
            <v>-</v>
          </cell>
          <cell r="J6277">
            <v>2</v>
          </cell>
          <cell r="K6277">
            <v>3</v>
          </cell>
        </row>
        <row r="6278">
          <cell r="A6278" t="str">
            <v>M2</v>
          </cell>
          <cell r="B6278" t="str">
            <v>A5C</v>
          </cell>
          <cell r="C6278" t="str">
            <v>P</v>
          </cell>
          <cell r="D6278" t="str">
            <v>23005</v>
          </cell>
          <cell r="E6278" t="str">
            <v>C SWG</v>
          </cell>
          <cell r="F6278">
            <v>2</v>
          </cell>
          <cell r="G6278" t="str">
            <v>CB1614040803IH</v>
          </cell>
          <cell r="H6278">
            <v>1.5</v>
          </cell>
          <cell r="I6278" t="str">
            <v>-</v>
          </cell>
          <cell r="J6278">
            <v>2</v>
          </cell>
          <cell r="K6278">
            <v>3</v>
          </cell>
        </row>
        <row r="6279">
          <cell r="A6279" t="str">
            <v>M2</v>
          </cell>
          <cell r="B6279" t="str">
            <v>A5C</v>
          </cell>
          <cell r="C6279" t="str">
            <v>P</v>
          </cell>
          <cell r="D6279" t="str">
            <v>23246</v>
          </cell>
          <cell r="E6279" t="str">
            <v>C SWG</v>
          </cell>
          <cell r="F6279">
            <v>2</v>
          </cell>
          <cell r="G6279" t="str">
            <v>CB1614040803IH</v>
          </cell>
          <cell r="H6279">
            <v>1.5</v>
          </cell>
          <cell r="I6279" t="str">
            <v>-</v>
          </cell>
          <cell r="J6279">
            <v>2</v>
          </cell>
          <cell r="K6279">
            <v>3</v>
          </cell>
        </row>
        <row r="6280">
          <cell r="A6280" t="str">
            <v>M2</v>
          </cell>
          <cell r="B6280" t="str">
            <v>A5C</v>
          </cell>
          <cell r="C6280" t="str">
            <v>P</v>
          </cell>
          <cell r="D6280" t="str">
            <v>23082</v>
          </cell>
          <cell r="E6280" t="str">
            <v>E RED</v>
          </cell>
          <cell r="F6280">
            <v>2</v>
          </cell>
          <cell r="G6280" t="str">
            <v>CB300604080302</v>
          </cell>
          <cell r="H6280">
            <v>2</v>
          </cell>
          <cell r="I6280" t="str">
            <v>-</v>
          </cell>
          <cell r="J6280">
            <v>2</v>
          </cell>
          <cell r="K6280">
            <v>3</v>
          </cell>
        </row>
        <row r="6281">
          <cell r="A6281" t="str">
            <v>M2</v>
          </cell>
          <cell r="B6281" t="str">
            <v>A5C</v>
          </cell>
          <cell r="C6281" t="str">
            <v>P</v>
          </cell>
          <cell r="D6281" t="str">
            <v>23232</v>
          </cell>
          <cell r="E6281" t="str">
            <v>E RED</v>
          </cell>
          <cell r="F6281">
            <v>2</v>
          </cell>
          <cell r="G6281" t="str">
            <v>CB300604080302</v>
          </cell>
          <cell r="H6281">
            <v>2</v>
          </cell>
          <cell r="I6281" t="str">
            <v>-</v>
          </cell>
          <cell r="J6281">
            <v>2</v>
          </cell>
          <cell r="K6281">
            <v>3</v>
          </cell>
        </row>
        <row r="6282">
          <cell r="A6282" t="str">
            <v>M2</v>
          </cell>
          <cell r="B6282" t="str">
            <v>A5C</v>
          </cell>
          <cell r="C6282" t="str">
            <v>P</v>
          </cell>
          <cell r="D6282" t="str">
            <v>23254</v>
          </cell>
          <cell r="E6282" t="str">
            <v>E RED</v>
          </cell>
          <cell r="F6282">
            <v>2</v>
          </cell>
          <cell r="G6282" t="str">
            <v>CB300604080302</v>
          </cell>
          <cell r="H6282">
            <v>2</v>
          </cell>
          <cell r="I6282" t="str">
            <v>-</v>
          </cell>
          <cell r="J6282">
            <v>2</v>
          </cell>
          <cell r="K6282">
            <v>3</v>
          </cell>
        </row>
        <row r="6283">
          <cell r="A6283" t="str">
            <v>M2</v>
          </cell>
          <cell r="B6283" t="str">
            <v>A5C</v>
          </cell>
          <cell r="C6283" t="str">
            <v>P</v>
          </cell>
          <cell r="D6283" t="str">
            <v>23005</v>
          </cell>
          <cell r="E6283" t="str">
            <v>SOL</v>
          </cell>
          <cell r="F6283">
            <v>2</v>
          </cell>
          <cell r="G6283" t="str">
            <v>CB39020000030H</v>
          </cell>
          <cell r="H6283">
            <v>0.5</v>
          </cell>
          <cell r="I6283" t="str">
            <v>-</v>
          </cell>
          <cell r="J6283">
            <v>2</v>
          </cell>
          <cell r="K6283">
            <v>3</v>
          </cell>
        </row>
        <row r="6284">
          <cell r="A6284" t="str">
            <v>M2</v>
          </cell>
          <cell r="B6284" t="str">
            <v>A5C</v>
          </cell>
          <cell r="C6284" t="str">
            <v>P</v>
          </cell>
          <cell r="D6284" t="str">
            <v>23005</v>
          </cell>
          <cell r="E6284" t="str">
            <v>SOL</v>
          </cell>
          <cell r="F6284">
            <v>2</v>
          </cell>
          <cell r="G6284" t="str">
            <v>CB390200000301</v>
          </cell>
          <cell r="H6284">
            <v>1</v>
          </cell>
          <cell r="I6284" t="str">
            <v>-</v>
          </cell>
          <cell r="J6284">
            <v>1</v>
          </cell>
          <cell r="K6284">
            <v>2</v>
          </cell>
        </row>
        <row r="6285">
          <cell r="A6285" t="str">
            <v>M2</v>
          </cell>
          <cell r="B6285" t="str">
            <v>A5C</v>
          </cell>
          <cell r="C6285" t="str">
            <v>P</v>
          </cell>
          <cell r="D6285" t="str">
            <v>23047</v>
          </cell>
          <cell r="E6285" t="str">
            <v>SOL</v>
          </cell>
          <cell r="F6285">
            <v>2</v>
          </cell>
          <cell r="G6285" t="str">
            <v>CB39020000030T</v>
          </cell>
          <cell r="H6285">
            <v>0.75</v>
          </cell>
          <cell r="I6285" t="str">
            <v>-</v>
          </cell>
          <cell r="J6285">
            <v>2</v>
          </cell>
          <cell r="K6285">
            <v>3</v>
          </cell>
        </row>
        <row r="6286">
          <cell r="A6286" t="str">
            <v>M2</v>
          </cell>
          <cell r="B6286" t="str">
            <v>A5C</v>
          </cell>
          <cell r="C6286" t="str">
            <v>P</v>
          </cell>
          <cell r="D6286" t="str">
            <v>23083</v>
          </cell>
          <cell r="E6286" t="str">
            <v>SOL</v>
          </cell>
          <cell r="F6286">
            <v>2</v>
          </cell>
          <cell r="G6286" t="str">
            <v>CB390200000301</v>
          </cell>
          <cell r="H6286">
            <v>1</v>
          </cell>
          <cell r="I6286" t="str">
            <v>-</v>
          </cell>
          <cell r="J6286">
            <v>1</v>
          </cell>
          <cell r="K6286">
            <v>2</v>
          </cell>
        </row>
        <row r="6287">
          <cell r="A6287" t="str">
            <v>M2</v>
          </cell>
          <cell r="B6287" t="str">
            <v>A5C</v>
          </cell>
          <cell r="C6287" t="str">
            <v>P</v>
          </cell>
          <cell r="D6287" t="str">
            <v>23094</v>
          </cell>
          <cell r="E6287" t="str">
            <v>SOL</v>
          </cell>
          <cell r="F6287">
            <v>2</v>
          </cell>
          <cell r="G6287" t="str">
            <v>CB39020000030T</v>
          </cell>
          <cell r="H6287">
            <v>0.75</v>
          </cell>
          <cell r="I6287" t="str">
            <v>-</v>
          </cell>
          <cell r="J6287">
            <v>4</v>
          </cell>
          <cell r="K6287">
            <v>5</v>
          </cell>
        </row>
        <row r="6288">
          <cell r="A6288" t="str">
            <v>M2</v>
          </cell>
          <cell r="B6288" t="str">
            <v>A5C</v>
          </cell>
          <cell r="C6288" t="str">
            <v>P</v>
          </cell>
          <cell r="D6288" t="str">
            <v>23101</v>
          </cell>
          <cell r="E6288" t="str">
            <v>SOL</v>
          </cell>
          <cell r="F6288">
            <v>2</v>
          </cell>
          <cell r="G6288" t="str">
            <v>CB39020000030T</v>
          </cell>
          <cell r="H6288">
            <v>0.75</v>
          </cell>
          <cell r="I6288" t="str">
            <v>-</v>
          </cell>
          <cell r="J6288">
            <v>4</v>
          </cell>
          <cell r="K6288">
            <v>5</v>
          </cell>
        </row>
        <row r="6289">
          <cell r="A6289" t="str">
            <v>M2</v>
          </cell>
          <cell r="B6289" t="str">
            <v>A5C</v>
          </cell>
          <cell r="C6289" t="str">
            <v>P</v>
          </cell>
          <cell r="D6289" t="str">
            <v>23106</v>
          </cell>
          <cell r="E6289" t="str">
            <v>SOL</v>
          </cell>
          <cell r="F6289">
            <v>2</v>
          </cell>
          <cell r="G6289" t="str">
            <v>CB390200000301</v>
          </cell>
          <cell r="H6289">
            <v>1</v>
          </cell>
          <cell r="I6289" t="str">
            <v>-</v>
          </cell>
          <cell r="J6289">
            <v>1</v>
          </cell>
          <cell r="K6289">
            <v>2</v>
          </cell>
        </row>
        <row r="6290">
          <cell r="A6290" t="str">
            <v>M2</v>
          </cell>
          <cell r="B6290" t="str">
            <v>A5C</v>
          </cell>
          <cell r="C6290" t="str">
            <v>P</v>
          </cell>
          <cell r="D6290" t="str">
            <v>23106</v>
          </cell>
          <cell r="E6290" t="str">
            <v>SOL</v>
          </cell>
          <cell r="F6290">
            <v>2</v>
          </cell>
          <cell r="G6290" t="str">
            <v>CB39020000030T</v>
          </cell>
          <cell r="H6290">
            <v>0.75</v>
          </cell>
          <cell r="I6290" t="str">
            <v>-</v>
          </cell>
          <cell r="J6290">
            <v>2</v>
          </cell>
          <cell r="K6290">
            <v>3</v>
          </cell>
        </row>
        <row r="6291">
          <cell r="A6291" t="str">
            <v>M2</v>
          </cell>
          <cell r="B6291" t="str">
            <v>A5C</v>
          </cell>
          <cell r="C6291" t="str">
            <v>P</v>
          </cell>
          <cell r="D6291" t="str">
            <v>23109</v>
          </cell>
          <cell r="E6291" t="str">
            <v>SOL</v>
          </cell>
          <cell r="F6291">
            <v>2</v>
          </cell>
          <cell r="G6291" t="str">
            <v>CB39020000030T</v>
          </cell>
          <cell r="H6291">
            <v>0.75</v>
          </cell>
          <cell r="I6291" t="str">
            <v>-</v>
          </cell>
          <cell r="J6291">
            <v>4</v>
          </cell>
          <cell r="K6291">
            <v>5</v>
          </cell>
        </row>
        <row r="6292">
          <cell r="A6292" t="str">
            <v>M2</v>
          </cell>
          <cell r="B6292" t="str">
            <v>A5C</v>
          </cell>
          <cell r="C6292" t="str">
            <v>P</v>
          </cell>
          <cell r="D6292" t="str">
            <v>23142</v>
          </cell>
          <cell r="E6292" t="str">
            <v>SOL</v>
          </cell>
          <cell r="F6292">
            <v>2</v>
          </cell>
          <cell r="G6292" t="str">
            <v>CB390200000301</v>
          </cell>
          <cell r="H6292">
            <v>1</v>
          </cell>
          <cell r="I6292" t="str">
            <v>-</v>
          </cell>
          <cell r="J6292">
            <v>1</v>
          </cell>
          <cell r="K6292">
            <v>2</v>
          </cell>
        </row>
        <row r="6293">
          <cell r="A6293" t="str">
            <v>M2</v>
          </cell>
          <cell r="B6293" t="str">
            <v>A5C</v>
          </cell>
          <cell r="C6293" t="str">
            <v>P</v>
          </cell>
          <cell r="D6293" t="str">
            <v>23142</v>
          </cell>
          <cell r="E6293" t="str">
            <v>SOL</v>
          </cell>
          <cell r="F6293">
            <v>2</v>
          </cell>
          <cell r="G6293" t="str">
            <v>CB39020000030T</v>
          </cell>
          <cell r="H6293">
            <v>0.75</v>
          </cell>
          <cell r="I6293" t="str">
            <v>-</v>
          </cell>
          <cell r="J6293">
            <v>2</v>
          </cell>
          <cell r="K6293">
            <v>3</v>
          </cell>
        </row>
        <row r="6294">
          <cell r="A6294" t="str">
            <v>M2</v>
          </cell>
          <cell r="B6294" t="str">
            <v>A5C</v>
          </cell>
          <cell r="C6294" t="str">
            <v>P</v>
          </cell>
          <cell r="D6294" t="str">
            <v>23230</v>
          </cell>
          <cell r="E6294" t="str">
            <v>SOL</v>
          </cell>
          <cell r="F6294">
            <v>2</v>
          </cell>
          <cell r="G6294" t="str">
            <v>CB390200000301</v>
          </cell>
          <cell r="H6294">
            <v>1</v>
          </cell>
          <cell r="I6294" t="str">
            <v>-</v>
          </cell>
          <cell r="J6294">
            <v>1</v>
          </cell>
          <cell r="K6294">
            <v>2</v>
          </cell>
        </row>
        <row r="6295">
          <cell r="A6295" t="str">
            <v>M2</v>
          </cell>
          <cell r="B6295" t="str">
            <v>A5C</v>
          </cell>
          <cell r="C6295" t="str">
            <v>P</v>
          </cell>
          <cell r="D6295" t="str">
            <v>23236</v>
          </cell>
          <cell r="E6295" t="str">
            <v>SOL</v>
          </cell>
          <cell r="F6295">
            <v>2</v>
          </cell>
          <cell r="G6295" t="str">
            <v>CB39020000030T</v>
          </cell>
          <cell r="H6295">
            <v>0.75</v>
          </cell>
          <cell r="I6295" t="str">
            <v>-</v>
          </cell>
          <cell r="J6295">
            <v>2</v>
          </cell>
          <cell r="K6295">
            <v>3</v>
          </cell>
        </row>
      </sheetData>
      <sheetData sheetId="1">
        <row r="1">
          <cell r="A1" t="str">
            <v>AREA</v>
          </cell>
        </row>
      </sheetData>
      <sheetData sheetId="2">
        <row r="1">
          <cell r="A1" t="str">
            <v>AREA</v>
          </cell>
        </row>
      </sheetData>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sheetData sheetId="117"/>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sheetData sheetId="244"/>
      <sheetData sheetId="245"/>
      <sheetData sheetId="246"/>
      <sheetData sheetId="247"/>
      <sheetData sheetId="248" refreshError="1"/>
      <sheetData sheetId="249" refreshError="1"/>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sheetData sheetId="415"/>
      <sheetData sheetId="416"/>
      <sheetData sheetId="417"/>
      <sheetData sheetId="418"/>
      <sheetData sheetId="419"/>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refreshError="1"/>
      <sheetData sheetId="500" refreshError="1"/>
      <sheetData sheetId="501" refreshError="1"/>
      <sheetData sheetId="502" refreshError="1"/>
      <sheetData sheetId="503"/>
      <sheetData sheetId="504"/>
      <sheetData sheetId="505"/>
      <sheetData sheetId="506"/>
      <sheetData sheetId="507"/>
      <sheetData sheetId="508"/>
      <sheetData sheetId="509"/>
      <sheetData sheetId="510" refreshError="1"/>
      <sheetData sheetId="511" refreshError="1"/>
      <sheetData sheetId="512" refreshError="1"/>
      <sheetData sheetId="513" refreshError="1"/>
      <sheetData sheetId="514" refreshError="1"/>
      <sheetData sheetId="515" refreshError="1"/>
      <sheetData sheetId="516" refreshError="1"/>
    </sheetDataSet>
  </externalBook>
</externalLink>
</file>

<file path=xl/externalLinks/externalLink15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표지"/>
      <sheetName val="경제지표"/>
      <sheetName val="인원"/>
      <sheetName val="부서면적"/>
      <sheetName val="부서면적1"/>
      <sheetName val="임대면적"/>
      <sheetName val="출장교통"/>
      <sheetName val="세금자료"/>
      <sheetName val="인원계획"/>
      <sheetName val="공사비_NDE"/>
      <sheetName val="POL6차-PIPING"/>
      <sheetName val="정부노임단가"/>
      <sheetName val="h-013211-2"/>
      <sheetName val="산근"/>
      <sheetName val="공사비 내역 (가)"/>
      <sheetName val="Sheet1"/>
      <sheetName val="INPUT DATA"/>
      <sheetName val="BOJUNGGM"/>
      <sheetName val="손익차9월2"/>
      <sheetName val="영업2"/>
      <sheetName val="영업3"/>
      <sheetName val="SPrep_E4TK(R187)"/>
      <sheetName val="U00"/>
      <sheetName val="U01"/>
      <sheetName val="U02"/>
      <sheetName val="U03"/>
      <sheetName val="U06"/>
      <sheetName val="U07"/>
      <sheetName val="U08"/>
      <sheetName val="U09"/>
      <sheetName val="U10"/>
      <sheetName val="U11"/>
      <sheetName val="U13"/>
      <sheetName val="U21"/>
      <sheetName val="U25"/>
      <sheetName val="U26"/>
      <sheetName val="U29"/>
      <sheetName val="U30"/>
      <sheetName val="U31_Base"/>
      <sheetName val="U40"/>
      <sheetName val="U42"/>
      <sheetName val="U43"/>
      <sheetName val="U45"/>
      <sheetName val="U47"/>
      <sheetName val="U48"/>
      <sheetName val="U60"/>
      <sheetName val="8"/>
      <sheetName val="10"/>
      <sheetName val="12"/>
      <sheetName val="9"/>
      <sheetName val="11"/>
      <sheetName val="2"/>
      <sheetName val="출금실적"/>
      <sheetName val="할증 "/>
      <sheetName val="VST재료산출"/>
      <sheetName val="Civil"/>
      <sheetName val="DB@Acess"/>
      <sheetName val="Cover"/>
      <sheetName val="eq_data"/>
      <sheetName val="수입"/>
      <sheetName val="HVAC"/>
      <sheetName val="95삼성급(본사)"/>
      <sheetName val="주관사업"/>
      <sheetName val="소화실적"/>
      <sheetName val="정산표2"/>
      <sheetName val="영업소실적"/>
      <sheetName val="97 사업추정(WEKI)"/>
      <sheetName val="사업부배부A"/>
      <sheetName val="Compressors"/>
      <sheetName val="원단위자료2xls"/>
      <sheetName val="원가계산서"/>
      <sheetName val="갑지"/>
      <sheetName val="Sheet2"/>
      <sheetName val="CondPol"/>
      <sheetName val="5"/>
      <sheetName val="INSTR"/>
      <sheetName val="9-1차이내역"/>
      <sheetName val="CAT_5"/>
      <sheetName val="#REF"/>
      <sheetName val="w't table"/>
      <sheetName val="PipWT"/>
      <sheetName val="설계명세서"/>
      <sheetName val="품셈표"/>
      <sheetName val="footing"/>
      <sheetName val="간접비 총괄표"/>
      <sheetName val="설계산출기초"/>
      <sheetName val="도급예산내역서봉투"/>
      <sheetName val="공사원가계산서"/>
      <sheetName val="설계산출표지"/>
      <sheetName val="도급예산내역서총괄표"/>
      <sheetName val="을부담운반비"/>
      <sheetName val="운반비산출"/>
      <sheetName val="Cover Sheet"/>
      <sheetName val="ANALYSER"/>
      <sheetName val="BID"/>
      <sheetName val="L V Separator"/>
      <sheetName val="Sheet5"/>
      <sheetName val="CIVIL WORK"/>
      <sheetName val="공정회의자료(월요일 10시까지)"/>
      <sheetName val="base"/>
      <sheetName val="예산"/>
      <sheetName val="Sheet4"/>
      <sheetName val="수주추정"/>
      <sheetName val="강재"/>
      <sheetName val="가도공"/>
      <sheetName val="2.2 띠장의 설계"/>
      <sheetName val="노임"/>
      <sheetName val="본실행경비"/>
      <sheetName val="Sheet3"/>
      <sheetName val="PRO_DCI"/>
      <sheetName val="MH rate"/>
      <sheetName val="기준"/>
      <sheetName val="head loss calc"/>
      <sheetName val="내역서"/>
      <sheetName val="ASCEandUBC"/>
      <sheetName val="costing_CV"/>
      <sheetName val="costing_ESDV"/>
      <sheetName val="costing_FE"/>
      <sheetName val="costing_Misc"/>
      <sheetName val="costing_MOV"/>
      <sheetName val="costing_Press"/>
      <sheetName val="국내"/>
      <sheetName val="영흥TL(UP,DOWN) "/>
      <sheetName val="Panel제작명세서"/>
      <sheetName val="Segment"/>
      <sheetName val="실행대비"/>
      <sheetName val="A(Rev.3)"/>
      <sheetName val="Summary"/>
      <sheetName val="DI-ESTI"/>
      <sheetName val="SS2"/>
      <sheetName val="본지점중"/>
      <sheetName val="원가근거"/>
      <sheetName val="해평견적"/>
      <sheetName val="건축공정"/>
      <sheetName val="방진공정"/>
      <sheetName val="조경공정"/>
      <sheetName val="1련,2련"/>
      <sheetName val="변품8-37"/>
      <sheetName val="내역(원안-대안)"/>
      <sheetName val="직재"/>
      <sheetName val="철콘-부대"/>
      <sheetName val="intake"/>
      <sheetName val="일위대가표"/>
      <sheetName val="실행"/>
      <sheetName val="SubCon"/>
      <sheetName val="W_steel"/>
      <sheetName val="Chi tiet"/>
      <sheetName val="M-EQPT-Z"/>
      <sheetName val="VC2 8.98"/>
      <sheetName val="간접비내역-1"/>
      <sheetName val="견적서을"/>
      <sheetName val="동아합의"/>
      <sheetName val="2.대외공문"/>
      <sheetName val="Bat Room"/>
      <sheetName val="Marsh. FGS (Hours)"/>
      <sheetName val="Marsh. ESD (Materials)"/>
      <sheetName val="Marsh. FGS (Materials)"/>
      <sheetName val="Project Price Summary"/>
      <sheetName val="Currencies"/>
      <sheetName val="T RFA"/>
      <sheetName val="DATE"/>
      <sheetName val="대총괄"/>
      <sheetName val="전기"/>
      <sheetName val="명세서"/>
      <sheetName val="조견표"/>
      <sheetName val="원단위자료2xls.xls"/>
      <sheetName val="%EC%9B%90%EB%8B%A8%EC%9C%84%EC%"/>
      <sheetName val="eqptlineup"/>
      <sheetName val="Macro"/>
      <sheetName val="Taux"/>
      <sheetName val="CTEMCOST"/>
      <sheetName val="안전장치"/>
      <sheetName val="삭제금지단가"/>
      <sheetName val="예산M5A"/>
      <sheetName val="INPUT_DATA"/>
      <sheetName val="공사비_내역_(가)"/>
      <sheetName val="할증_"/>
      <sheetName val="97_사업추정(WEKI)"/>
      <sheetName val="w't_table"/>
      <sheetName val="간접비_총괄표"/>
      <sheetName val="Cover_Sheet"/>
      <sheetName val="공정회의자료(월요일_10시까지)"/>
      <sheetName val="L_V_Separator"/>
      <sheetName val="CIVIL_WORK"/>
      <sheetName val="2_2_띠장의_설계"/>
      <sheetName val="MH_rate"/>
      <sheetName val="영흥TL(UP,DOWN)_"/>
      <sheetName val="head_loss_calc"/>
      <sheetName val="A(Rev_3)"/>
      <sheetName val="Chi_tiet"/>
      <sheetName val="2_대외공문"/>
      <sheetName val="Bat_Room"/>
      <sheetName val="VC2_8_98"/>
      <sheetName val="ISBL (검증)"/>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row r="3">
          <cell r="A3" t="str">
            <v xml:space="preserve"> 예산편성용 세금계산 자료 </v>
          </cell>
        </row>
        <row r="6">
          <cell r="A6" t="str">
            <v>구  분</v>
          </cell>
          <cell r="B6" t="str">
            <v>원 단 위</v>
          </cell>
          <cell r="C6" t="str">
            <v>계      산      근      거</v>
          </cell>
          <cell r="D6" t="str">
            <v>비       고</v>
          </cell>
        </row>
        <row r="7">
          <cell r="C7" t="str">
            <v xml:space="preserve"> ※ 98년도 추정세액 </v>
          </cell>
        </row>
        <row r="8">
          <cell r="A8" t="str">
            <v>건물분</v>
          </cell>
          <cell r="B8" t="str">
            <v>1,636원/㎡</v>
          </cell>
          <cell r="C8" t="str">
            <v xml:space="preserve">    ÷ 과세면적(㎡)</v>
          </cell>
          <cell r="D8" t="str">
            <v xml:space="preserve"> -.97년 자료</v>
          </cell>
        </row>
        <row r="9">
          <cell r="A9" t="str">
            <v>재산세</v>
          </cell>
          <cell r="C9" t="str">
            <v xml:space="preserve"> ＝ (97년도 납부세액 X 105%) </v>
          </cell>
          <cell r="D9" t="str">
            <v xml:space="preserve">   기타 예산편성이</v>
          </cell>
        </row>
        <row r="10">
          <cell r="C10" t="str">
            <v xml:space="preserve">    ÷ 과세면적(㎡)</v>
          </cell>
          <cell r="D10" t="str">
            <v xml:space="preserve">   필요한 세금관련</v>
          </cell>
        </row>
        <row r="11">
          <cell r="C11" t="str">
            <v xml:space="preserve"> ＝ (556,438,700 X 105%) </v>
          </cell>
          <cell r="D11" t="str">
            <v xml:space="preserve">   사항은 추가요망</v>
          </cell>
        </row>
        <row r="12">
          <cell r="C12" t="str">
            <v xml:space="preserve">    ÷ 357,142 </v>
          </cell>
        </row>
        <row r="13">
          <cell r="C13" t="str">
            <v xml:space="preserve"> ＝ 1,636</v>
          </cell>
        </row>
        <row r="14">
          <cell r="A14" t="str">
            <v>재산할</v>
          </cell>
          <cell r="B14" t="str">
            <v>250원/㎡</v>
          </cell>
          <cell r="C14" t="str">
            <v xml:space="preserve"> ※ 지방세법 제248조</v>
          </cell>
        </row>
        <row r="15">
          <cell r="A15" t="str">
            <v>사업소세</v>
          </cell>
        </row>
        <row r="17">
          <cell r="A17" t="str">
            <v>자동차세</v>
          </cell>
          <cell r="C17" t="str">
            <v xml:space="preserve"> ※ 차량별 연세액</v>
          </cell>
        </row>
        <row r="19">
          <cell r="C19" t="str">
            <v xml:space="preserve"> ①승용자동차 연세액</v>
          </cell>
        </row>
        <row r="20">
          <cell r="C20" t="str">
            <v xml:space="preserve">   ＝배기량 X 씨씨당 세액</v>
          </cell>
        </row>
        <row r="21">
          <cell r="C21" t="str">
            <v xml:space="preserve">       800   씨씨이하: 100원</v>
          </cell>
        </row>
        <row r="22">
          <cell r="C22" t="str">
            <v xml:space="preserve">       1,000 씨씨이하: 120원</v>
          </cell>
        </row>
        <row r="23">
          <cell r="C23" t="str">
            <v xml:space="preserve">       1,500 씨씨이하: 160원</v>
          </cell>
        </row>
        <row r="24">
          <cell r="C24" t="str">
            <v xml:space="preserve">       2,000 씨씨이하: 220원</v>
          </cell>
        </row>
        <row r="25">
          <cell r="C25" t="str">
            <v xml:space="preserve">       2,500 씨씨이하: 250원</v>
          </cell>
        </row>
        <row r="26">
          <cell r="C26" t="str">
            <v xml:space="preserve">       3,000 씨씨이하: 410원</v>
          </cell>
        </row>
        <row r="27">
          <cell r="C27" t="str">
            <v xml:space="preserve">       3,000 씨씨초과: 630원</v>
          </cell>
        </row>
        <row r="29">
          <cell r="C29" t="str">
            <v xml:space="preserve"> ②승합자동차 연세액</v>
          </cell>
        </row>
        <row r="30">
          <cell r="C30" t="str">
            <v xml:space="preserve">    대형일반버스: 115,000원</v>
          </cell>
        </row>
        <row r="31">
          <cell r="C31" t="str">
            <v xml:space="preserve">    소형일반버스:  65,000원</v>
          </cell>
        </row>
        <row r="33">
          <cell r="C33" t="str">
            <v xml:space="preserve"> ③화물자동차 연세액</v>
          </cell>
        </row>
        <row r="34">
          <cell r="C34" t="str">
            <v xml:space="preserve">   (적재정량 X 가격)</v>
          </cell>
        </row>
        <row r="35">
          <cell r="C35" t="str">
            <v xml:space="preserve">    1,000킬로그램 이하: 28,500원</v>
          </cell>
        </row>
        <row r="36">
          <cell r="C36" t="str">
            <v xml:space="preserve">    2,000킬로그램 이하: 34,500원</v>
          </cell>
        </row>
        <row r="37">
          <cell r="C37" t="str">
            <v xml:space="preserve">    3,000킬로그램 이하: 48,000원</v>
          </cell>
        </row>
        <row r="38">
          <cell r="C38" t="str">
            <v xml:space="preserve">    4,000킬로그램 이하: 63,000원</v>
          </cell>
        </row>
        <row r="39">
          <cell r="C39" t="str">
            <v xml:space="preserve">    5,000킬로그램 이하: 79,500원</v>
          </cell>
        </row>
        <row r="40">
          <cell r="C40" t="str">
            <v xml:space="preserve">    8,000킬로그램 이하:130,500원</v>
          </cell>
        </row>
        <row r="41">
          <cell r="C41" t="str">
            <v xml:space="preserve">   10,000킬로그램 이하:157,500원</v>
          </cell>
        </row>
        <row r="44">
          <cell r="A44" t="str">
            <v>감가상각비</v>
          </cell>
          <cell r="B44" t="str">
            <v>11,648원/㎡</v>
          </cell>
          <cell r="C44" t="str">
            <v xml:space="preserve">  1.건물</v>
          </cell>
        </row>
        <row r="45">
          <cell r="C45" t="str">
            <v xml:space="preserve">  연간 추정상각비(98년말 추정액)</v>
          </cell>
        </row>
        <row r="46">
          <cell r="C46" t="str">
            <v xml:space="preserve">  ÷건물 연면적</v>
          </cell>
        </row>
        <row r="47">
          <cell r="C47" t="str">
            <v xml:space="preserve">      ＝ 4,008,936,823 ÷ 344,155 </v>
          </cell>
        </row>
        <row r="48">
          <cell r="C48" t="str">
            <v xml:space="preserve">      ≒ 11,648</v>
          </cell>
        </row>
        <row r="49">
          <cell r="D49" t="str">
            <v xml:space="preserve"> 차량/비품/기계</v>
          </cell>
        </row>
        <row r="50">
          <cell r="C50" t="str">
            <v xml:space="preserve">  2.차량/기계장치/비품</v>
          </cell>
          <cell r="D50" t="str">
            <v xml:space="preserve"> 장치 등의 내용</v>
          </cell>
        </row>
        <row r="51">
          <cell r="C51" t="str">
            <v xml:space="preserve">  →  취득가 ÷ 내용연수</v>
          </cell>
          <cell r="D51" t="str">
            <v xml:space="preserve"> 연수는 5년임</v>
          </cell>
        </row>
      </sheetData>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refreshError="1"/>
    </sheetDataSet>
  </externalBook>
</externalLink>
</file>

<file path=xl/externalLinks/externalLink15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표지"/>
      <sheetName val="경제지표"/>
      <sheetName val="인원"/>
      <sheetName val="부서면적"/>
      <sheetName val="부서면적1"/>
      <sheetName val="임대면적"/>
      <sheetName val="출장교통"/>
      <sheetName val="세금자료"/>
      <sheetName val="수입"/>
      <sheetName val="산근"/>
      <sheetName val="기준"/>
      <sheetName val="주관사업"/>
      <sheetName val="INPUT DATA"/>
      <sheetName val="MH rate"/>
      <sheetName val="h-013211-2"/>
      <sheetName val="SubCon"/>
      <sheetName val="인원계획"/>
      <sheetName val="공사비_NDE"/>
      <sheetName val="POL6차-PIPING"/>
      <sheetName val="정부노임단가"/>
      <sheetName val="공사비 내역 (가)"/>
      <sheetName val="Sheet1"/>
      <sheetName val="BOJUNGGM"/>
      <sheetName val="손익차9월2"/>
      <sheetName val="출금실적"/>
      <sheetName val="영업2"/>
      <sheetName val="영업3"/>
      <sheetName val="SPrep_E4TK(R187)"/>
      <sheetName val="U00"/>
      <sheetName val="U01"/>
      <sheetName val="U02"/>
      <sheetName val="U03"/>
      <sheetName val="U06"/>
      <sheetName val="U07"/>
      <sheetName val="U08"/>
      <sheetName val="U09"/>
      <sheetName val="U10"/>
      <sheetName val="U11"/>
      <sheetName val="U13"/>
      <sheetName val="U21"/>
      <sheetName val="U25"/>
      <sheetName val="U26"/>
      <sheetName val="U29"/>
      <sheetName val="U30"/>
      <sheetName val="U31_Base"/>
      <sheetName val="U40"/>
      <sheetName val="U42"/>
      <sheetName val="U43"/>
      <sheetName val="U45"/>
      <sheetName val="U47"/>
      <sheetName val="U48"/>
      <sheetName val="U60"/>
      <sheetName val="eq_data"/>
      <sheetName val="8"/>
      <sheetName val="10"/>
      <sheetName val="12"/>
      <sheetName val="9"/>
      <sheetName val="11"/>
      <sheetName val="2"/>
      <sheetName val="할증 "/>
      <sheetName val="VST재료산출"/>
      <sheetName val="Civil"/>
      <sheetName val="DB@Acess"/>
      <sheetName val="Cover"/>
      <sheetName val="HVAC"/>
      <sheetName val="95삼성급(본사)"/>
      <sheetName val="소화실적"/>
      <sheetName val="정산표2"/>
      <sheetName val="영업소실적"/>
      <sheetName val="97 사업추정(WEKI)"/>
      <sheetName val="원단위자료2xls"/>
      <sheetName val="원가계산서"/>
      <sheetName val="갑지"/>
      <sheetName val="Sheet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row r="3">
          <cell r="A3" t="str">
            <v>예산편성용 세금계산 자료</v>
          </cell>
        </row>
        <row r="6">
          <cell r="A6" t="str">
            <v>구  분</v>
          </cell>
          <cell r="B6" t="str">
            <v>원 단 위</v>
          </cell>
          <cell r="C6" t="str">
            <v>계      산      근      거</v>
          </cell>
          <cell r="D6" t="str">
            <v>비       고</v>
          </cell>
        </row>
        <row r="7">
          <cell r="C7" t="str">
            <v>※ 98년도 추정세액</v>
          </cell>
        </row>
        <row r="8">
          <cell r="A8" t="str">
            <v>건물분</v>
          </cell>
          <cell r="B8" t="str">
            <v>1,636원/㎡</v>
          </cell>
          <cell r="C8" t="str">
            <v>÷ 과세면적(㎡)</v>
          </cell>
          <cell r="D8" t="str">
            <v>-.97년 자료</v>
          </cell>
        </row>
        <row r="9">
          <cell r="A9" t="str">
            <v>재산세</v>
          </cell>
          <cell r="C9" t="str">
            <v>＝ (97년도 납부세액 X 105%)</v>
          </cell>
          <cell r="D9" t="str">
            <v>기타 예산편성이</v>
          </cell>
        </row>
        <row r="10">
          <cell r="C10" t="str">
            <v>÷ 과세면적(㎡)</v>
          </cell>
          <cell r="D10" t="str">
            <v>필요한 세금관련</v>
          </cell>
        </row>
        <row r="11">
          <cell r="C11" t="str">
            <v>＝ (556,438,700 X 105%)</v>
          </cell>
          <cell r="D11" t="str">
            <v>사항은 추가요망</v>
          </cell>
        </row>
        <row r="12">
          <cell r="C12" t="str">
            <v>÷ 357,142</v>
          </cell>
        </row>
        <row r="13">
          <cell r="C13" t="str">
            <v>＝ 1,636</v>
          </cell>
        </row>
        <row r="14">
          <cell r="A14" t="str">
            <v>재산할</v>
          </cell>
          <cell r="B14" t="str">
            <v>250원/㎡</v>
          </cell>
          <cell r="C14" t="str">
            <v>※ 지방세법 제248조</v>
          </cell>
        </row>
        <row r="15">
          <cell r="A15" t="str">
            <v>사업소세</v>
          </cell>
        </row>
        <row r="17">
          <cell r="A17" t="str">
            <v>자동차세</v>
          </cell>
          <cell r="C17" t="str">
            <v>※ 차량별 연세액</v>
          </cell>
        </row>
        <row r="19">
          <cell r="C19" t="str">
            <v>①승용자동차 연세액</v>
          </cell>
        </row>
        <row r="20">
          <cell r="C20" t="str">
            <v>＝배기량 X 씨씨당 세액</v>
          </cell>
        </row>
        <row r="21">
          <cell r="C21" t="str">
            <v>800   씨씨이하: 100원</v>
          </cell>
        </row>
        <row r="22">
          <cell r="C22" t="str">
            <v>1,000 씨씨이하: 120원</v>
          </cell>
        </row>
        <row r="23">
          <cell r="C23" t="str">
            <v>1,500 씨씨이하: 160원</v>
          </cell>
        </row>
        <row r="24">
          <cell r="C24" t="str">
            <v>2,000 씨씨이하: 220원</v>
          </cell>
        </row>
        <row r="25">
          <cell r="C25" t="str">
            <v>2,500 씨씨이하: 250원</v>
          </cell>
        </row>
        <row r="26">
          <cell r="C26" t="str">
            <v>3,000 씨씨이하: 410원</v>
          </cell>
        </row>
        <row r="27">
          <cell r="C27" t="str">
            <v>3,000 씨씨초과: 630원</v>
          </cell>
        </row>
        <row r="29">
          <cell r="C29" t="str">
            <v>②승합자동차 연세액</v>
          </cell>
        </row>
        <row r="30">
          <cell r="C30" t="str">
            <v>대형일반버스: 115,000원</v>
          </cell>
        </row>
        <row r="31">
          <cell r="C31" t="str">
            <v>소형일반버스:  65,000원</v>
          </cell>
        </row>
        <row r="33">
          <cell r="C33" t="str">
            <v>③화물자동차 연세액</v>
          </cell>
        </row>
        <row r="34">
          <cell r="C34" t="str">
            <v>(적재정량 X 가격)</v>
          </cell>
        </row>
        <row r="35">
          <cell r="C35" t="str">
            <v>1,000킬로그램 이하: 28,500원</v>
          </cell>
        </row>
        <row r="36">
          <cell r="C36" t="str">
            <v>2,000킬로그램 이하: 34,500원</v>
          </cell>
        </row>
        <row r="37">
          <cell r="C37" t="str">
            <v>3,000킬로그램 이하: 48,000원</v>
          </cell>
        </row>
        <row r="38">
          <cell r="C38" t="str">
            <v>4,000킬로그램 이하: 63,000원</v>
          </cell>
        </row>
        <row r="39">
          <cell r="C39" t="str">
            <v>5,000킬로그램 이하: 79,500원</v>
          </cell>
        </row>
        <row r="40">
          <cell r="C40" t="str">
            <v>8,000킬로그램 이하:130,500원</v>
          </cell>
        </row>
        <row r="41">
          <cell r="C41" t="str">
            <v>10,000킬로그램 이하:157,500원</v>
          </cell>
        </row>
        <row r="44">
          <cell r="A44" t="str">
            <v>감가상각비</v>
          </cell>
          <cell r="B44" t="str">
            <v>11,648원/㎡</v>
          </cell>
          <cell r="C44" t="str">
            <v>1.건물</v>
          </cell>
        </row>
        <row r="45">
          <cell r="C45" t="str">
            <v>연간 추정상각비(98년말 추정액)</v>
          </cell>
        </row>
        <row r="46">
          <cell r="C46" t="str">
            <v>÷건물 연면적</v>
          </cell>
        </row>
        <row r="47">
          <cell r="C47" t="str">
            <v>＝ 4,008,936,823 ÷ 344,155</v>
          </cell>
        </row>
        <row r="48">
          <cell r="C48" t="str">
            <v>≒ 11,648</v>
          </cell>
        </row>
        <row r="49">
          <cell r="D49" t="str">
            <v>차량/비품/기계</v>
          </cell>
        </row>
        <row r="50">
          <cell r="C50" t="str">
            <v>2.차량/기계장치/비품</v>
          </cell>
          <cell r="D50" t="str">
            <v>장치 등의 내용</v>
          </cell>
        </row>
        <row r="51">
          <cell r="C51" t="str">
            <v>→  취득가 ÷ 내용연수</v>
          </cell>
          <cell r="D51" t="str">
            <v>연수는 5년임</v>
          </cell>
        </row>
      </sheetData>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Set>
  </externalBook>
</externalLink>
</file>

<file path=xl/externalLinks/externalLink15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dex"/>
      <sheetName val="Master"/>
      <sheetName val="표지"/>
      <sheetName val="Summary"/>
      <sheetName val="요약"/>
      <sheetName val="품의서"/>
      <sheetName val="목차"/>
      <sheetName val="1."/>
      <sheetName val="1.1"/>
      <sheetName val="1.2"/>
      <sheetName val="2."/>
      <sheetName val="2.0"/>
      <sheetName val="2.1"/>
      <sheetName val="2.2"/>
      <sheetName val="MH rate"/>
      <sheetName val="2.3"/>
      <sheetName val="3-1"/>
      <sheetName val="CBE"/>
      <sheetName val="3-2"/>
      <sheetName val="4."/>
      <sheetName val="시공CBE"/>
      <sheetName val="5."/>
      <sheetName val="5.1"/>
      <sheetName val="5.2"/>
      <sheetName val="5.2.1"/>
      <sheetName val="5.2.2"/>
      <sheetName val="5.2.3"/>
      <sheetName val="6"/>
      <sheetName val="7"/>
      <sheetName val="첨1.1"/>
      <sheetName val="첨1.2"/>
      <sheetName val="첨2.1"/>
      <sheetName val="첨2.2"/>
      <sheetName val="첨2.3"/>
      <sheetName val="첨3"/>
      <sheetName val="첨4.1"/>
      <sheetName val="첨4.2"/>
      <sheetName val="첨5"/>
      <sheetName val="첨5.1"/>
      <sheetName val="첨6"/>
      <sheetName val="운용계획"/>
      <sheetName val="MH비교"/>
      <sheetName val="월별"/>
      <sheetName val="T&amp;C"/>
      <sheetName val="P_monthly"/>
      <sheetName val="E"/>
      <sheetName val="P"/>
      <sheetName val="C"/>
      <sheetName val="Comm"/>
      <sheetName val="Total"/>
      <sheetName val="간접비"/>
      <sheetName val="항공"/>
      <sheetName val="파견규칙"/>
      <sheetName val="5.2.4"/>
      <sheetName val="2"/>
      <sheetName val="세금자료"/>
      <sheetName val="SubCon"/>
      <sheetName val="Cover"/>
      <sheetName val="Variation Work"/>
      <sheetName val="Provisional 용 인력계획"/>
      <sheetName val="환율 적용기준"/>
      <sheetName val="Euro Summary"/>
      <sheetName val="Summary (마덴)"/>
      <sheetName val="입찰내역서"/>
      <sheetName val="2 용역비"/>
      <sheetName val="2.1.1MH 단가"/>
      <sheetName val="3 자재비"/>
      <sheetName val="Novated LLI Price"/>
      <sheetName val="운송비"/>
      <sheetName val="4 시공비"/>
      <sheetName val="시공Lv3"/>
      <sheetName val="5 경비"/>
      <sheetName val="5.3"/>
      <sheetName val="5.3.1"/>
      <sheetName val="5.3.2"/>
      <sheetName val="5.4"/>
      <sheetName val="5.4.1"/>
      <sheetName val="첨1 인력동원"/>
      <sheetName val="첨5 "/>
      <sheetName val="이후 출력금지"/>
      <sheetName val="Sheet1"/>
      <sheetName val="해외수당"/>
      <sheetName val="Payment Milestone Schedule"/>
      <sheetName val="Overall"/>
      <sheetName val="Engineering"/>
      <sheetName val="Procurement"/>
      <sheetName val="Construction"/>
      <sheetName val="Commissioning &amp; Start-up"/>
      <sheetName val="TOTAL (2)"/>
      <sheetName val="PM"/>
      <sheetName val="ENG"/>
      <sheetName val="PRO"/>
      <sheetName val="CON"/>
      <sheetName val="SubCon-Rev"/>
      <sheetName val="#REF"/>
    </sheetNames>
    <sheetDataSet>
      <sheetData sheetId="0" refreshError="1"/>
      <sheetData sheetId="1" refreshError="1"/>
      <sheetData sheetId="2" refreshError="1"/>
      <sheetData sheetId="3" refreshError="1"/>
      <sheetData sheetId="4" refreshError="1">
        <row r="10">
          <cell r="Q10">
            <v>1100</v>
          </cell>
        </row>
        <row r="49">
          <cell r="K49">
            <v>77224.899101565432</v>
          </cell>
        </row>
      </sheetData>
      <sheetData sheetId="5" refreshError="1"/>
      <sheetData sheetId="6" refreshError="1"/>
      <sheetData sheetId="7">
        <row r="7">
          <cell r="C7" t="str">
            <v>IRPC Propylene Plant Project, Thailand</v>
          </cell>
        </row>
      </sheetData>
      <sheetData sheetId="8" refreshError="1"/>
      <sheetData sheetId="9" refreshError="1"/>
      <sheetData sheetId="10">
        <row r="3">
          <cell r="K3">
            <v>178.5</v>
          </cell>
        </row>
      </sheetData>
      <sheetData sheetId="11" refreshError="1"/>
      <sheetData sheetId="12" refreshError="1"/>
      <sheetData sheetId="13" refreshError="1"/>
      <sheetData sheetId="14" refreshError="1"/>
      <sheetData sheetId="15" refreshError="1"/>
      <sheetData sheetId="16" refreshError="1"/>
      <sheetData sheetId="17">
        <row r="13">
          <cell r="Q13">
            <v>85645435.050033465</v>
          </cell>
        </row>
      </sheetData>
      <sheetData sheetId="18" refreshError="1"/>
      <sheetData sheetId="19">
        <row r="6">
          <cell r="B6" t="str">
            <v>가설건축물공사 (Temporary Facility)</v>
          </cell>
        </row>
      </sheetData>
      <sheetData sheetId="20">
        <row r="13">
          <cell r="Q13">
            <v>85645435.050033465</v>
          </cell>
        </row>
      </sheetData>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ow r="9">
          <cell r="B9">
            <v>0.27557122027908998</v>
          </cell>
        </row>
      </sheetData>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Set>
  </externalBook>
</externalLink>
</file>

<file path=xl/externalLinks/externalLink15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설계내역서"/>
      <sheetName val="현장경비"/>
      <sheetName val="갑지1"/>
      <sheetName val="설계산출기초"/>
      <sheetName val="도급예산내역서봉투"/>
      <sheetName val="공사원가계산서"/>
      <sheetName val="설계산출표지"/>
      <sheetName val="도급예산내역서총괄표"/>
      <sheetName val="을부담운반비"/>
      <sheetName val="운반비산출"/>
      <sheetName val="견적의뢰"/>
      <sheetName val="원가"/>
      <sheetName val="현장경상비"/>
      <sheetName val="갑지(추정)"/>
      <sheetName val="샤워실위생"/>
      <sheetName val="일위대가표"/>
      <sheetName val="데이타"/>
      <sheetName val="식재인부"/>
      <sheetName val="노임이"/>
      <sheetName val="시멘트"/>
      <sheetName val="협력업체"/>
      <sheetName val="노임단가"/>
      <sheetName val="동원인원"/>
      <sheetName val="계DATA"/>
      <sheetName val="실DATA "/>
      <sheetName val="건축직영"/>
      <sheetName val="DATE"/>
      <sheetName val="중기사용료"/>
      <sheetName val="현장관리비"/>
      <sheetName val="집계표"/>
      <sheetName val="Total"/>
      <sheetName val="판매시설"/>
      <sheetName val="실행예산-변경분"/>
      <sheetName val="작성"/>
      <sheetName val="일위대가"/>
      <sheetName val="입찰견적보고서"/>
      <sheetName val="평가데이터"/>
      <sheetName val="음료실행"/>
      <sheetName val="산업"/>
      <sheetName val="수량집계"/>
      <sheetName val="#REF"/>
      <sheetName val="금액"/>
      <sheetName val="요율"/>
      <sheetName val="프랜트면허"/>
      <sheetName val="토목주소"/>
      <sheetName val="설계서(7)"/>
      <sheetName val="내역서(1)"/>
      <sheetName val="예가표"/>
      <sheetName val="내역표지"/>
      <sheetName val="지수980731이후"/>
      <sheetName val="소비자가"/>
      <sheetName val=" 갑  지 "/>
      <sheetName val="공구"/>
      <sheetName val="총괄내역서"/>
      <sheetName val="코스모공장 (어음)"/>
      <sheetName val="개요"/>
      <sheetName val="현장관리"/>
      <sheetName val="조직도"/>
      <sheetName val="공정표"/>
      <sheetName val="조건"/>
      <sheetName val="CTEMCOST"/>
      <sheetName val="설계명세서"/>
      <sheetName val="인제내역"/>
      <sheetName val="건축내역서"/>
      <sheetName val="조내역"/>
      <sheetName val="실DATA_"/>
      <sheetName val="실행"/>
      <sheetName val="을"/>
      <sheetName val="총괄"/>
      <sheetName val="GAEYO"/>
      <sheetName val="주식"/>
      <sheetName val="공문"/>
      <sheetName val="갑지"/>
      <sheetName val="기안"/>
      <sheetName val="원가계산서(거목)"/>
      <sheetName val="원가계산서(다숲)"/>
      <sheetName val="원가계산서(법정외주)"/>
      <sheetName val="실행(ALT1)"/>
      <sheetName val="내역서"/>
      <sheetName val="A 견적"/>
      <sheetName val="경산"/>
      <sheetName val="참조"/>
      <sheetName val="수량산출"/>
      <sheetName val="공사개요"/>
      <sheetName val="내역서2안"/>
      <sheetName val="_갑__지_"/>
      <sheetName val="환경기계공정표 (3)"/>
      <sheetName val="FAB별"/>
      <sheetName val="내역"/>
      <sheetName val="값"/>
      <sheetName val="건축공사실행"/>
      <sheetName val="아파트"/>
      <sheetName val="변수값"/>
      <sheetName val="중기상차"/>
      <sheetName val="재료"/>
      <sheetName val="AS복구"/>
      <sheetName val="중기터파기"/>
      <sheetName val="목차"/>
      <sheetName val="계약내역(2)"/>
      <sheetName val="일위대가목록"/>
      <sheetName val="관접합및부설"/>
      <sheetName val="단가"/>
      <sheetName val="시설물일위"/>
      <sheetName val="가설공사"/>
      <sheetName val="단가결정"/>
      <sheetName val="내역아"/>
      <sheetName val="울타리"/>
      <sheetName val="조명시설"/>
      <sheetName val="Sheet1"/>
      <sheetName val="전등설비"/>
      <sheetName val="카펫타일"/>
      <sheetName val="납부서"/>
      <sheetName val="사급자재"/>
      <sheetName val="COVER"/>
      <sheetName val="SPEC"/>
      <sheetName val="원가계산서"/>
      <sheetName val="인사자료총집계"/>
      <sheetName val="기초단가"/>
      <sheetName val="총 원가계산"/>
      <sheetName val="Sheet5"/>
      <sheetName val="견적"/>
      <sheetName val="수량-양식"/>
      <sheetName val="원가계산"/>
      <sheetName val="본실행경비"/>
      <sheetName val="금액내역서"/>
      <sheetName val="투찰내역서"/>
      <sheetName val="SAM"/>
      <sheetName val="원가data"/>
      <sheetName val="입찰안"/>
      <sheetName val="일위산출"/>
      <sheetName val="단가 (2)"/>
      <sheetName val="Y-WORK"/>
      <sheetName val="기계경비(시간당)"/>
      <sheetName val="램머"/>
      <sheetName val="01"/>
      <sheetName val="건축"/>
      <sheetName val="Sheet1 (2)"/>
      <sheetName val="개산공사비"/>
      <sheetName val="실행대비"/>
      <sheetName val="증감내역서"/>
      <sheetName val="연돌일위집계"/>
      <sheetName val="노무비"/>
      <sheetName val="총괄갑 "/>
      <sheetName val="일위"/>
      <sheetName val="제경비율"/>
      <sheetName val="5사남"/>
      <sheetName val="원가계산하도"/>
      <sheetName val="실행철강하도"/>
      <sheetName val="입력데이타"/>
      <sheetName val="물가대비표"/>
      <sheetName val="단중표"/>
      <sheetName val="6호기"/>
      <sheetName val="날개벽수량표"/>
      <sheetName val="정보"/>
      <sheetName val="BID"/>
      <sheetName val="용역비내역-진짜"/>
      <sheetName val="시중노임단가"/>
      <sheetName val="6PILE  (돌출)"/>
      <sheetName val="구성비"/>
      <sheetName val="화전내"/>
      <sheetName val="F4-F7"/>
      <sheetName val="벽체물량산출서"/>
      <sheetName val="지수"/>
      <sheetName val="---FAB#1업무일지---"/>
      <sheetName val="EQT-ESTN"/>
      <sheetName val="표지"/>
      <sheetName val="변경내역서"/>
      <sheetName val="11-2.아파트내역"/>
      <sheetName val="내역서1999.8최종"/>
      <sheetName val="자재가격조사표"/>
      <sheetName val="SG"/>
      <sheetName val="1차 내역서"/>
      <sheetName val="식재수량표"/>
      <sheetName val="일위목록"/>
      <sheetName val="진주방향"/>
      <sheetName val="산근"/>
      <sheetName val="전기"/>
      <sheetName val="Option"/>
      <sheetName val="설계서"/>
      <sheetName val="당정동경상이수"/>
      <sheetName val="당정동공통이수"/>
      <sheetName val="factor(건축)"/>
      <sheetName val="세금자료"/>
      <sheetName val="자단"/>
      <sheetName val="해평견적"/>
      <sheetName val="합천내역"/>
      <sheetName val="출입자명단"/>
      <sheetName val="골재집계"/>
      <sheetName val="-레미콘집계"/>
      <sheetName val="-몰탈콘크리트"/>
      <sheetName val="자갈,시멘트,모래산출"/>
      <sheetName val="-철근집계"/>
      <sheetName val="포장재료(1)"/>
      <sheetName val="-흄관집계"/>
      <sheetName val="노무"/>
      <sheetName val="총투입계"/>
      <sheetName val="추정_최근현장"/>
      <sheetName val="리스트_최근현장"/>
      <sheetName val="팩스리스트"/>
      <sheetName val="DATA1"/>
      <sheetName val="노임"/>
      <sheetName val="TYPE-A"/>
      <sheetName val=" 견적서"/>
      <sheetName val="물량표"/>
      <sheetName val="참고사항"/>
      <sheetName val="근로자자료입력"/>
      <sheetName val="견적조건"/>
      <sheetName val="국내조달(통합-1)"/>
      <sheetName val="수배전반"/>
      <sheetName val="차액보증"/>
      <sheetName val="공통가설"/>
      <sheetName val="inter"/>
      <sheetName val="TEST1"/>
      <sheetName val="Sheet2"/>
      <sheetName val="설명서 "/>
      <sheetName val="토목"/>
      <sheetName val="역T형교대(말뚝기초)"/>
      <sheetName val="수리결과"/>
      <sheetName val="사진대지"/>
      <sheetName val="내역서01"/>
      <sheetName val="2-1. 경관조명 내역총괄표"/>
      <sheetName val="아파트기별"/>
      <sheetName val="공리일"/>
      <sheetName val="일위대가 "/>
      <sheetName val="8.설치품셈"/>
      <sheetName val="설계명세서-2"/>
      <sheetName val="건축집계표"/>
      <sheetName val="계산서(곡선부)"/>
      <sheetName val="포장재료집계표"/>
      <sheetName val="7.기-검-보.100"/>
      <sheetName val="총괄집계표"/>
      <sheetName val="001"/>
      <sheetName val="배명(단가)"/>
      <sheetName val="기초입력 DATA"/>
      <sheetName val="파일의이용"/>
      <sheetName val="공종목록표"/>
      <sheetName val="CON'C"/>
      <sheetName val="플랜트 설치"/>
      <sheetName val="ilch"/>
      <sheetName val="직재"/>
      <sheetName val="교통대책내역"/>
      <sheetName val="을지"/>
      <sheetName val="견적갑지"/>
      <sheetName val="물량내역"/>
      <sheetName val="상호참고자료"/>
      <sheetName val="발주처자료입력"/>
      <sheetName val="회사기본자료"/>
      <sheetName val="하자보증자료"/>
      <sheetName val="기술자관련자료"/>
      <sheetName val="날개벽(시점좌측)"/>
      <sheetName val="직접경비"/>
      <sheetName val="직접인건비"/>
      <sheetName val="중기조종사 단위단가"/>
      <sheetName val="설계서(본관)"/>
      <sheetName val="기초일위"/>
      <sheetName val="시설일위"/>
      <sheetName val="조명일위"/>
      <sheetName val="정부노임단가"/>
      <sheetName val="적격심사표"/>
      <sheetName val="노임단가 (2)"/>
      <sheetName val="실행내역"/>
      <sheetName val="CONCRETE"/>
      <sheetName val="배수내역"/>
      <sheetName val="자재단가"/>
      <sheetName val="장비경비"/>
      <sheetName val="업무분장"/>
      <sheetName val="건축공사집계"/>
      <sheetName val="0"/>
      <sheetName val="수목단가"/>
      <sheetName val="시설수량표"/>
      <sheetName val="C3"/>
      <sheetName val="예산서"/>
      <sheetName val="BSD (2)"/>
      <sheetName val="건축내역"/>
      <sheetName val="청천내"/>
      <sheetName val="수량계산서 집계표(가설 신설 및 철거-을지로3가 3호선)"/>
      <sheetName val="수량계산서 집계표(신설-을지로3가 3호선)"/>
      <sheetName val="수량계산서 집계표(철거-을지로3가 3호선)"/>
      <sheetName val="유림골조"/>
      <sheetName val="골조시행"/>
      <sheetName val="PAINT"/>
      <sheetName val="FORM-0"/>
      <sheetName val="결재판"/>
      <sheetName val="실행_ALT1_"/>
      <sheetName val="2000년1차"/>
      <sheetName val="배관배선내역"/>
      <sheetName val="토목공사"/>
      <sheetName val="차수"/>
      <sheetName val="건축실행"/>
      <sheetName val="COST"/>
      <sheetName val="인건비 "/>
      <sheetName val="INPUT"/>
      <sheetName val="산출"/>
      <sheetName val="예정공정표"/>
      <sheetName val="초기화면"/>
      <sheetName val="관급자재"/>
      <sheetName val="pier(각형)"/>
      <sheetName val="경비"/>
      <sheetName val="토공연장"/>
      <sheetName val="자재"/>
      <sheetName val="05-원가계산"/>
      <sheetName val="공사_산출"/>
      <sheetName val="철거산출근거"/>
      <sheetName val="FOB발"/>
      <sheetName val="1"/>
      <sheetName val="2"/>
      <sheetName val="3"/>
      <sheetName val="4"/>
      <sheetName val="5"/>
      <sheetName val="6"/>
      <sheetName val="부하(성남)"/>
      <sheetName val="집계"/>
      <sheetName val="장비집계"/>
      <sheetName val="가시설단위수량"/>
      <sheetName val="SORCE1"/>
      <sheetName val="단위수량"/>
      <sheetName val="1호맨홀가감수량"/>
      <sheetName val="아파트 내역"/>
      <sheetName val="가시설(TYPE-A)"/>
      <sheetName val="1호맨홀수량산출"/>
      <sheetName val="1-1평균터파기고(1)"/>
      <sheetName val="출자한도"/>
      <sheetName val="가감수량"/>
      <sheetName val="맨홀수량산출"/>
      <sheetName val="설비공사"/>
      <sheetName val="말뚝지지력산정"/>
      <sheetName val="토공집계"/>
      <sheetName val="계목분류"/>
      <sheetName val="용수량(생활용수)"/>
      <sheetName val="동별집계(비디오폰흑백-&gt;칼라)"/>
      <sheetName val="동별집계"/>
      <sheetName val="세부내역서"/>
      <sheetName val="가설공사내역"/>
      <sheetName val="기성"/>
      <sheetName val="토목내역"/>
      <sheetName val="전선 및 전선관-자유로"/>
      <sheetName val="관로터파기-자유로"/>
      <sheetName val="새공통"/>
      <sheetName val="입력"/>
      <sheetName val="현장별"/>
      <sheetName val="공사통보서"/>
      <sheetName val="2공구산출내역"/>
      <sheetName val="설계내역"/>
      <sheetName val="철콘"/>
      <sheetName val="신.분"/>
      <sheetName val="설비내역서"/>
      <sheetName val="전기내역서"/>
      <sheetName val="참조M"/>
      <sheetName val="단기차입금"/>
      <sheetName val="Sheet3"/>
      <sheetName val="입력시트"/>
      <sheetName val="구분자"/>
      <sheetName val="단가및재료비"/>
      <sheetName val="소요자재"/>
      <sheetName val="견적율"/>
      <sheetName val="퍼스트"/>
      <sheetName val="Sheet4"/>
      <sheetName val="wall"/>
      <sheetName val="주공 갑지"/>
      <sheetName val="C1.공사개요"/>
      <sheetName val="실행(1)"/>
      <sheetName val="A1.스케쥴"/>
      <sheetName val="계획금액"/>
      <sheetName val="중기사용료산출근거"/>
      <sheetName val="단가 및 재료비"/>
      <sheetName val="단가(자재)"/>
      <sheetName val="단가(노임)"/>
      <sheetName val="기초목록"/>
      <sheetName val="980731"/>
      <sheetName val="우수받이재료집계표"/>
      <sheetName val="단가조사"/>
      <sheetName val="계정"/>
      <sheetName val="간지"/>
      <sheetName val="공사요율"/>
      <sheetName val="간접"/>
      <sheetName val="단가대비표"/>
      <sheetName val="연도별노무비(신)"/>
      <sheetName val="산출서"/>
      <sheetName val="3월팀계 "/>
      <sheetName val="실DATA_1"/>
      <sheetName val="_갑__지_1"/>
      <sheetName val="코스모공장_(어음)"/>
      <sheetName val="A_견적"/>
      <sheetName val="환경기계공정표_(3)"/>
      <sheetName val="단가_(2)"/>
      <sheetName val="Sheet1_(2)"/>
      <sheetName val="총_원가계산"/>
      <sheetName val="6PILE__(돌출)"/>
      <sheetName val="총괄갑_"/>
      <sheetName val="11-2_아파트내역"/>
      <sheetName val="내역서1999_8최종"/>
      <sheetName val="수량명세서"/>
      <sheetName val="입력자료"/>
      <sheetName val="삭제금지단가"/>
      <sheetName val="한강운반비"/>
      <sheetName val="Customer Databas"/>
      <sheetName val="코드"/>
      <sheetName val="장비사양"/>
      <sheetName val="가공비"/>
      <sheetName val="예산"/>
      <sheetName val="단위가격"/>
      <sheetName val="1SGATE97"/>
      <sheetName val="단가보완"/>
      <sheetName val="공사비총괄표"/>
      <sheetName val="하수실행"/>
      <sheetName val="SR97-1"/>
      <sheetName val="청하배수"/>
      <sheetName val="99노임기준"/>
      <sheetName val="토사(PE)"/>
      <sheetName val="터널조도"/>
      <sheetName val="측량요율"/>
      <sheetName val="자재대"/>
      <sheetName val="원본"/>
      <sheetName val="울산시산표"/>
      <sheetName val="APT"/>
      <sheetName val="출력"/>
      <sheetName val="4동급수"/>
      <sheetName val="도급"/>
      <sheetName val="경쟁실분"/>
      <sheetName val="MAT_N048"/>
      <sheetName val="포장복구집계"/>
      <sheetName val="부표총괄"/>
      <sheetName val="AS포장복구 "/>
      <sheetName val="G.R300경비"/>
      <sheetName val="표준건축비"/>
      <sheetName val="고유코드_설계"/>
      <sheetName val="월별수입"/>
      <sheetName val="백암비스타내역"/>
      <sheetName val="토공사"/>
      <sheetName val="1-최종안"/>
      <sheetName val="사업분석-분양가결정"/>
      <sheetName val="[내역서(ͭ_x0000_ͭ_x0000__x001c__x0000__x001c__x0000_가표"/>
      <sheetName val="工완성공사율"/>
      <sheetName val="투입비분석표"/>
      <sheetName val="ateCodes_x0000_TimeCodes_x0000_OverrideShor"/>
      <sheetName val="공사내역서"/>
      <sheetName val="21301동"/>
      <sheetName val="설계조건"/>
      <sheetName val="27.건설이자"/>
      <sheetName val="9-2.단지투자"/>
      <sheetName val="9-4.단지분양수납"/>
      <sheetName val="28.차입금상환계획"/>
      <sheetName val="10-4.운하물류분양수납"/>
      <sheetName val="10-2.운하물류투자"/>
      <sheetName val="※.2010예산총괄표"/>
      <sheetName val="Apt내역"/>
      <sheetName val="수정시산표"/>
      <sheetName val="매출현황"/>
      <sheetName val="등록자료"/>
      <sheetName val="입력정보"/>
      <sheetName val="금융비용"/>
      <sheetName val="설계예산서"/>
      <sheetName val="예산내역서"/>
      <sheetName val="FD"/>
      <sheetName val="LD"/>
      <sheetName val="BLOCK(1)"/>
      <sheetName val="자판실행"/>
      <sheetName val="DATA 입력란"/>
      <sheetName val="수목표준대가"/>
      <sheetName val="횡배수관"/>
      <sheetName val="최적단면"/>
      <sheetName val="품셈 "/>
      <sheetName val="방화도료"/>
      <sheetName val="Raw Data"/>
      <sheetName val="1안98Billing"/>
      <sheetName val="신_분"/>
      <sheetName val="00000"/>
      <sheetName val="대비"/>
      <sheetName val="찍기"/>
      <sheetName val="수선비MATRIX"/>
      <sheetName val="차량소요량-년간주행거리"/>
      <sheetName val="2003상반기노임기준"/>
      <sheetName val="목표세부명세"/>
      <sheetName val="빙장비사양"/>
      <sheetName val="노무비단가"/>
      <sheetName val="9811"/>
      <sheetName val="보증종류"/>
      <sheetName val="수지표"/>
      <sheetName val="셀명"/>
      <sheetName val="부속동"/>
      <sheetName val="본선토량운반계산서(1)0"/>
      <sheetName val="회사정보"/>
      <sheetName val="친환경주택"/>
      <sheetName val="제경비"/>
      <sheetName val="실적공사비"/>
      <sheetName val="입력(K0)"/>
      <sheetName val="장비기준"/>
      <sheetName val="재료비"/>
      <sheetName val="환율"/>
      <sheetName val="공사내역"/>
      <sheetName val="경율산정.XLS"/>
      <sheetName val="매입세율"/>
      <sheetName val="우배수"/>
      <sheetName val="계산식"/>
      <sheetName val="내역서 제출"/>
      <sheetName val="연부97-1"/>
      <sheetName val="#3_일위대가목록"/>
      <sheetName val="BTL시설예산 기준표"/>
      <sheetName val="5.학교신설예산 집행(01~08)"/>
      <sheetName val="점검결과(08년 100교 지원)"/>
      <sheetName val="D"/>
      <sheetName val="-치수표(곡선부)"/>
      <sheetName val="[내역서(ͭ?ͭ?_x001c_?_x001c_?가표"/>
      <sheetName val="현금및현금등가물"/>
      <sheetName val="용역비내역_진짜"/>
      <sheetName val="b_balju_cho"/>
      <sheetName val="총계"/>
      <sheetName val="2.고용보험료산출근거"/>
      <sheetName val="노임단가표"/>
      <sheetName val="손익집계(공장별)"/>
      <sheetName val="전차선로 물량표"/>
      <sheetName val="문학간접"/>
      <sheetName val="1안"/>
      <sheetName val="내역1"/>
      <sheetName val="노임(1차)"/>
      <sheetName val="각형맨홀"/>
      <sheetName val="VST재료산출"/>
      <sheetName val="조도계산서 (도서)"/>
      <sheetName val="금회지출"/>
      <sheetName val="BATCH"/>
      <sheetName val="분석대장"/>
      <sheetName val="base"/>
      <sheetName val="9-1차이내역"/>
      <sheetName val="계정code"/>
      <sheetName val="아파트 "/>
      <sheetName val="견적1"/>
      <sheetName val="일위_파일"/>
      <sheetName val="COVER-P"/>
      <sheetName val="99년신청"/>
      <sheetName val="관련부서"/>
      <sheetName val="산출근거-배전"/>
      <sheetName val="EQUIP LIST"/>
      <sheetName val="소업1교"/>
      <sheetName val="전익자재"/>
      <sheetName val="DATA"/>
      <sheetName val="부하계산서"/>
      <sheetName val="안정계산"/>
      <sheetName val="단면검토"/>
      <sheetName val="당초"/>
      <sheetName val="품셈표"/>
      <sheetName val="6동"/>
      <sheetName val="경영상태"/>
      <sheetName val="1.동력공사"/>
      <sheetName val="신축(단위)"/>
      <sheetName val="사통"/>
      <sheetName val="5-1신설물량"/>
      <sheetName val="기초입력_DATA"/>
      <sheetName val="_견적서"/>
      <sheetName val="노임단가_(2)"/>
      <sheetName val="플랜트_설치"/>
      <sheetName val="1차_내역서"/>
      <sheetName val="2-1__경관조명_내역총괄표"/>
      <sheetName val="중기조종사_단위단가"/>
      <sheetName val="설명서_"/>
      <sheetName val="BSD_(2)"/>
      <sheetName val="수량계산서_집계표(가설_신설_및_철거-을지로3가_3호선)"/>
      <sheetName val="수량계산서_집계표(신설-을지로3가_3호선)"/>
      <sheetName val="수량계산서_집계표(철거-을지로3가_3호선)"/>
      <sheetName val="아파트_내역"/>
      <sheetName val="인건비_"/>
      <sheetName val="실행내역서 "/>
      <sheetName val="6-1. 관개량조서"/>
      <sheetName val="물가시세"/>
      <sheetName val="설계가"/>
      <sheetName val="사업총괄"/>
      <sheetName val="수량3"/>
      <sheetName val="XL4Poppy"/>
      <sheetName val="5.직원투입현황"/>
      <sheetName val="판가반영"/>
      <sheetName val="방배동내역(리라)"/>
      <sheetName val="부대공사총괄"/>
      <sheetName val="건축공사집계표"/>
      <sheetName val="제안서입력"/>
      <sheetName val="거래처등록"/>
      <sheetName val="참고자료"/>
      <sheetName val="은행코드"/>
      <sheetName val="참고"/>
      <sheetName val="BQ(실행)"/>
      <sheetName val="견적단가"/>
      <sheetName val="회선별대책안(한전)"/>
      <sheetName val="ateCodes"/>
      <sheetName val="CC16-내역서"/>
      <sheetName val="기계경비"/>
      <sheetName val="수안보-MBR1"/>
      <sheetName val="일일작업현황"/>
      <sheetName val="관람석제출"/>
      <sheetName val="양식3"/>
      <sheetName val="영동(D)"/>
      <sheetName val="교각1"/>
      <sheetName val="손익분석"/>
      <sheetName val="ateCodes?TimeCodes?OverrideShor"/>
      <sheetName val="시행후면적"/>
      <sheetName val="수지예산"/>
      <sheetName val="업무량"/>
      <sheetName val="200"/>
      <sheetName val="데리네이타현황"/>
      <sheetName val="수로BOX"/>
      <sheetName val="소상 &quot;1&quot;"/>
      <sheetName val="PIPE"/>
      <sheetName val="FB25JN"/>
      <sheetName val="database"/>
      <sheetName val="자재단가비교표"/>
      <sheetName val="Macro(전선)"/>
      <sheetName val="패널"/>
      <sheetName val="[내역서(ͭ"/>
      <sheetName val="골조(1)"/>
      <sheetName val="골조(3)"/>
      <sheetName val="마감(1)"/>
      <sheetName val="장문교(대전)"/>
      <sheetName val="낙찰표"/>
      <sheetName val="간선계산"/>
      <sheetName val="수량산출(음암)"/>
      <sheetName val="1.설계조건"/>
      <sheetName val="산출내역서집계표"/>
      <sheetName val="본부소개"/>
      <sheetName val="계좌분리(계약)"/>
      <sheetName val="계좌분리(기성)"/>
      <sheetName val="총괄(데이소)"/>
      <sheetName val="총괄(데이전)"/>
      <sheetName val="총괄(데이터)"/>
      <sheetName val="단가조정"/>
      <sheetName val="소총괄"/>
      <sheetName val="소총괄(집계)"/>
      <sheetName val="물류최종8월7"/>
      <sheetName val="인수공"/>
      <sheetName val="단가산출2"/>
      <sheetName val="단가산출1"/>
      <sheetName val="HISTORICAL"/>
      <sheetName val="FORECASTING"/>
      <sheetName val="신표지1"/>
      <sheetName val="인부노임"/>
      <sheetName val="3희질산"/>
      <sheetName val="금전출납"/>
      <sheetName val="직영명부"/>
      <sheetName val="증감대비"/>
      <sheetName val="페이지"/>
      <sheetName val="XREF"/>
      <sheetName val="_갑__지_2"/>
      <sheetName val="실DATA_2"/>
      <sheetName val="코스모공장_(어음)1"/>
      <sheetName val="A_견적1"/>
      <sheetName val="환경기계공정표_(3)1"/>
      <sheetName val="단가_(2)1"/>
      <sheetName val="총_원가계산1"/>
      <sheetName val="6PILE__(돌출)1"/>
      <sheetName val="Sheet1_(2)1"/>
      <sheetName val="총괄갑_1"/>
      <sheetName val="11-2_아파트내역1"/>
      <sheetName val="내역서1999_8최종1"/>
      <sheetName val="전선_및_전선관-자유로"/>
      <sheetName val="C1_공사개요"/>
      <sheetName val="A1_스케쥴"/>
      <sheetName val="일위대가_"/>
      <sheetName val="단가_및_재료비"/>
      <sheetName val="주공_갑지"/>
      <sheetName val="AS포장복구_"/>
      <sheetName val="G_R300경비"/>
      <sheetName val="3월팀계_"/>
      <sheetName val="Customer_Databas"/>
      <sheetName val="[내역서(ͭͭ가표"/>
      <sheetName val="DATA_입력란"/>
      <sheetName val="한일양산"/>
      <sheetName val="&quot;"/>
      <sheetName val="신천교(음성)"/>
      <sheetName val="EP0618"/>
      <sheetName val="부대내역"/>
      <sheetName val="전체내역 (2)"/>
      <sheetName val="내역- CCTV"/>
      <sheetName val="양촌면도평리"/>
      <sheetName val="예정공정표 "/>
      <sheetName val="우각부보강"/>
      <sheetName val="2.대외공문"/>
      <sheetName val="S0"/>
      <sheetName val="96.12"/>
      <sheetName val="토목검측서"/>
      <sheetName val="수목데이타"/>
      <sheetName val="총괄표"/>
      <sheetName val="관급자재대"/>
      <sheetName val="교각계산"/>
      <sheetName val="기본항목 입력"/>
      <sheetName val="야장종합"/>
      <sheetName val="설비(제출)"/>
      <sheetName val="중동공구"/>
      <sheetName val="일위대가(계측기설치)"/>
      <sheetName val="기본단가표"/>
      <sheetName val="절감계산"/>
      <sheetName val="ABUT수량-A1"/>
      <sheetName val="연결임시"/>
      <sheetName val="고정자산"/>
      <sheetName val="매출원가추정"/>
      <sheetName val="매출추정"/>
      <sheetName val="설계기준"/>
      <sheetName val="옹벽수량집계표"/>
      <sheetName val="하수급견적대비"/>
      <sheetName val="98수문일위"/>
      <sheetName val="_내역서(ͭ"/>
      <sheetName val="nys"/>
      <sheetName val="연령별자료"/>
      <sheetName val="설계예시"/>
      <sheetName val="현장청취복명서"/>
      <sheetName val="매출"/>
      <sheetName val="인건비"/>
      <sheetName val="단가산출서(기계)"/>
      <sheetName val="부대경비산출서"/>
      <sheetName val="계정과목"/>
      <sheetName val="2000전체분"/>
      <sheetName val="견적내역서"/>
      <sheetName val="정비손익"/>
      <sheetName val="공사비대비"/>
      <sheetName val="8.PILE  (돌출)"/>
      <sheetName val="45,46"/>
      <sheetName val="투자비"/>
      <sheetName val="조성원가DATA"/>
      <sheetName val="사업비"/>
      <sheetName val="기초자료입력"/>
      <sheetName val="원"/>
      <sheetName val="AHU집계"/>
      <sheetName val="공조기휀"/>
      <sheetName val="공조기"/>
      <sheetName val="가도공"/>
      <sheetName val="공종단가"/>
      <sheetName val="산출근거"/>
      <sheetName val="소방"/>
      <sheetName val="용수지선토적"/>
      <sheetName val="도로토적"/>
      <sheetName val="예산대비"/>
      <sheetName val="식재"/>
      <sheetName val="시설물"/>
      <sheetName val="식재출력용"/>
      <sheetName val="유지관리"/>
      <sheetName val="공사원가계산서 "/>
      <sheetName val="단가산출서"/>
      <sheetName val="입찰보고"/>
      <sheetName val="총괄BOQ"/>
      <sheetName val="참고)BTL시설예산 기준표"/>
      <sheetName val="경기"/>
      <sheetName val="고가수조"/>
      <sheetName val="산출집계"/>
      <sheetName val="1. 조명내역서(조명설치)"/>
      <sheetName val="2. 조명내역서(조명자재)"/>
      <sheetName val="일위대가집계표"/>
      <sheetName val="_내역서(ͭ_ͭ__x001c___x001c__가표"/>
      <sheetName val="공사요율산출표"/>
      <sheetName val="울산자동제어"/>
      <sheetName val="예총"/>
      <sheetName val="03전반노무비"/>
      <sheetName val="INDEX"/>
      <sheetName val="물량내역서"/>
      <sheetName val="신_분1"/>
      <sheetName val="[내역서(ͭ?ͭ???가표"/>
      <sheetName val="경율산정_XLS"/>
      <sheetName val="BTL시설예산_기준표"/>
      <sheetName val="5_학교신설예산_집행(01~08)"/>
      <sheetName val="점검결과(08년_100교_지원)"/>
      <sheetName val="8_설치품셈"/>
      <sheetName val="내역서_제출"/>
      <sheetName val="아파트_"/>
      <sheetName val="2_고용보험료산출근거"/>
      <sheetName val="27_건설이자"/>
      <sheetName val="9-2_단지투자"/>
      <sheetName val="9-4_단지분양수납"/>
      <sheetName val="28_차입금상환계획"/>
      <sheetName val="10-4_운하물류분양수납"/>
      <sheetName val="10-2_운하물류투자"/>
      <sheetName val="※_2010예산총괄표"/>
      <sheetName val="전차선로_물량표"/>
      <sheetName val="1차물량(ABOUT)"/>
      <sheetName val="비탈면보호공수량산출"/>
      <sheetName val="Macro1"/>
      <sheetName val="안전장치"/>
      <sheetName val="PIPERACK 집계표"/>
      <sheetName val="EQUIPEMENT 집계표"/>
      <sheetName val="BUILDING &amp;SHELTER 집계표"/>
      <sheetName val="OTHERS 집계표"/>
      <sheetName val="MPR01"/>
      <sheetName val="MPR02"/>
      <sheetName val="MPR03"/>
      <sheetName val="SPR01"/>
      <sheetName val="SPR02"/>
      <sheetName val="SPR03"/>
      <sheetName val="FPR01"/>
      <sheetName val="FPR02"/>
      <sheetName val="G-1"/>
      <sheetName val="K-PR"/>
      <sheetName val="YE-1"/>
      <sheetName val="YE-2"/>
      <sheetName val="YK"/>
      <sheetName val="YJ"/>
      <sheetName val="YN"/>
      <sheetName val="YW"/>
      <sheetName val="COLDBOX"/>
      <sheetName val="STR-A"/>
      <sheetName val="STR-B"/>
      <sheetName val="STR-C"/>
      <sheetName val="STR-D"/>
      <sheetName val="STR-E"/>
      <sheetName val="STR-F"/>
      <sheetName val="STR-G"/>
      <sheetName val="101-H"/>
      <sheetName val="203-H"/>
      <sheetName val="401-H"/>
      <sheetName val="124-F1"/>
      <sheetName val="134-C2"/>
      <sheetName val="506-CR"/>
      <sheetName val="CONTROL BD"/>
      <sheetName val="CCS201"/>
      <sheetName val="CCS401"/>
      <sheetName val="C3-LPF"/>
      <sheetName val="CT-LPF"/>
      <sheetName val="CT-HANDRAIL"/>
      <sheetName val="LPM01"/>
      <sheetName val="LPM02"/>
      <sheetName val="LPM03"/>
      <sheetName val="LPM04"/>
      <sheetName val="CW-LPS"/>
      <sheetName val="LPS-AB"/>
      <sheetName val="LPS-AC"/>
      <sheetName val="LPS-AD"/>
      <sheetName val="LPS-CD"/>
      <sheetName val="LPS-JK"/>
      <sheetName val="LIFTING DEVICE"/>
      <sheetName val="성명순"/>
      <sheetName val="총괄변경내역서"/>
      <sheetName val="철골,판넬"/>
      <sheetName val="VXXXXX"/>
      <sheetName val="설계변경총괄표(계산식)"/>
      <sheetName val="건축설비"/>
      <sheetName val="검토"/>
      <sheetName val="도장면"/>
      <sheetName val="MOTOR"/>
      <sheetName val="공통부대"/>
      <sheetName val="COPING"/>
      <sheetName val="일위대가목차"/>
      <sheetName val="설비원가"/>
      <sheetName val="산출1"/>
      <sheetName val="수량산출서"/>
      <sheetName val="99노임단가"/>
      <sheetName val="공사비"/>
      <sheetName val="표지 (3)"/>
      <sheetName val="발송공문"/>
      <sheetName val="공사완료보고서"/>
      <sheetName val="준공계"/>
      <sheetName val="준공검사원"/>
      <sheetName val="준공검사조서"/>
      <sheetName val="공사감독조서"/>
      <sheetName val="시설인수인계서"/>
      <sheetName val="손질공사조서"/>
      <sheetName val="입회조서"/>
      <sheetName val="준공내역서"/>
      <sheetName val="공사비집행결과보고서"/>
      <sheetName val="실명화카드"/>
      <sheetName val="원가계산서 (2)"/>
      <sheetName val="원가계산서3"/>
      <sheetName val="공종별집계표1"/>
      <sheetName val="공종별내역서1"/>
      <sheetName val="주요자재1"/>
      <sheetName val="일위대가1"/>
      <sheetName val="산출 근거1"/>
      <sheetName val="원가계산서(군)"/>
      <sheetName val="공종별집계표"/>
      <sheetName val="관급자재정산서"/>
      <sheetName val="작업공정표"/>
      <sheetName val="각사별공사비분개 "/>
      <sheetName val="GT 1050x650"/>
      <sheetName val="연동내역"/>
      <sheetName val="세부내역"/>
      <sheetName val="4.고용보험"/>
      <sheetName val="3.고용보험료산출근거"/>
      <sheetName val="CHECKLIST"/>
      <sheetName val="개별직종노임단가(2005.1)"/>
      <sheetName val="BOJUNGGM"/>
      <sheetName val="마스터"/>
      <sheetName val="본사인상전"/>
      <sheetName val="결재갑지"/>
      <sheetName val="입력단가"/>
      <sheetName val="일위-1"/>
      <sheetName val="일위-2"/>
      <sheetName val="일위-3"/>
      <sheetName val="일위-4"/>
      <sheetName val="일위-5"/>
      <sheetName val="드롭다운목록"/>
      <sheetName val="사  업  비  수  지  예  산  서"/>
      <sheetName val="장비"/>
      <sheetName val="2.토목공사"/>
      <sheetName val="단가(1)"/>
      <sheetName val="총괄 내역서"/>
      <sheetName val="골막이(야매)"/>
      <sheetName val="BM"/>
      <sheetName val="PMC"/>
      <sheetName val="FACTOR"/>
      <sheetName val="DD_raw"/>
      <sheetName val="NW_raw"/>
      <sheetName val="AILC004"/>
      <sheetName val="2.원가및인원현황집계"/>
      <sheetName val="자료입력"/>
      <sheetName val="SCHEDULE"/>
      <sheetName val="식재일위대가"/>
      <sheetName val="고시단가"/>
      <sheetName val="TOTAL_BOQ"/>
      <sheetName val="자재코드"/>
      <sheetName val="Table"/>
      <sheetName val="기초입력"/>
      <sheetName val="동해title"/>
      <sheetName val="전체공내역서"/>
      <sheetName val="98지급계획"/>
      <sheetName val="연습장소"/>
      <sheetName val="내역(영일)"/>
      <sheetName val="계수시트"/>
      <sheetName val="당월 인력"/>
      <sheetName val="손익"/>
      <sheetName val="개인별조서"/>
      <sheetName val="단가일람 (2)"/>
      <sheetName val="단면가정"/>
      <sheetName val="Customer_Databa袸"/>
      <sheetName val="노임,재료비"/>
      <sheetName val="원형1호맨홀토공수량"/>
      <sheetName val="관부설공집계표"/>
      <sheetName val="A2"/>
      <sheetName val="우수"/>
      <sheetName val="집계표_정리_"/>
      <sheetName val="단가적용"/>
      <sheetName val="공사비산출내역"/>
      <sheetName val="[내역서(ͭ_x005f_x0000_ͭ_x005f_x0000__x005f_x001c__x0"/>
      <sheetName val="ateCodes_x005f_x0000_TimeCodes_x005f_x0000_"/>
      <sheetName val="[내역서(ͭ?ͭ?_x005f_x001c_?_x005f_x001c_?가표"/>
      <sheetName val="G_R300경푀"/>
      <sheetName val="신청서"/>
      <sheetName val="재집"/>
      <sheetName val="기술자자료입력"/>
      <sheetName val="재료비집계표"/>
      <sheetName val="INSTR"/>
      <sheetName val="1차배부(JB포함)"/>
      <sheetName val="Tool"/>
      <sheetName val="그림"/>
      <sheetName val="Man Hole"/>
      <sheetName val="125x125"/>
      <sheetName val="Quantity"/>
      <sheetName val="De bai"/>
      <sheetName val="도실집(내역)-전기외주"/>
      <sheetName val="건축원가"/>
      <sheetName val="직노"/>
      <sheetName val="Baby일위대가"/>
      <sheetName val="기계내역"/>
      <sheetName val="저"/>
      <sheetName val="사당"/>
      <sheetName val="구조대가"/>
      <sheetName val="포설대가1"/>
      <sheetName val="부대대가"/>
      <sheetName val="견적서"/>
      <sheetName val="단가표"/>
      <sheetName val="0.0ControlSheet"/>
      <sheetName val="설산1.나"/>
      <sheetName val="본사S"/>
      <sheetName val="기자재비"/>
      <sheetName val="04년부품"/>
      <sheetName val="스케즐"/>
      <sheetName val="PI"/>
      <sheetName val="건축개요"/>
      <sheetName val="1단지구내"/>
      <sheetName val="1단지주차장전등"/>
      <sheetName val="물량표S"/>
      <sheetName val="J형측구단위수량"/>
      <sheetName val="본사공가현황"/>
      <sheetName val="6.1.일위대가"/>
      <sheetName val="효성CB 1P기초"/>
      <sheetName val="건축내역(동해조인)"/>
      <sheetName val="양수장(기계)"/>
      <sheetName val="대로근거"/>
      <sheetName val="중로근거"/>
      <sheetName val="설계요소"/>
      <sheetName val="책등"/>
      <sheetName val="표지 "/>
      <sheetName val="표지간지"/>
      <sheetName val="위치간지"/>
      <sheetName val="현장사진간지"/>
      <sheetName val="설계설명서간지"/>
      <sheetName val="위치도"/>
      <sheetName val="현장사진"/>
      <sheetName val="사업개요서"/>
      <sheetName val="설계설명서"/>
      <sheetName val="예정공정표간지"/>
      <sheetName val="묘목생산자별본수"/>
      <sheetName val="일반시방서간지"/>
      <sheetName val="특별시방서간지"/>
      <sheetName val="목재소반별시방"/>
      <sheetName val="식재방법및시비요령"/>
      <sheetName val="소반시방간지"/>
      <sheetName val="사업원가계산서간지"/>
      <sheetName val="송이소반별시방"/>
      <sheetName val="필지별조서"/>
      <sheetName val="지번별 묘묙소요내역"/>
      <sheetName val="목재임소필지별조서"/>
      <sheetName val="임소필지별조서"/>
      <sheetName val="설계내역간지"/>
      <sheetName val="총괄 설계내역서"/>
      <sheetName val="설계내역서(예정지정리)"/>
      <sheetName val="내역서(조림)"/>
      <sheetName val="단가산출서간지"/>
      <sheetName val="설계내역서(표시봉)"/>
      <sheetName val="설계내역서(대운반비)"/>
      <sheetName val="목재단가산출"/>
      <sheetName val="야장"/>
      <sheetName val="산림재해단가산출서"/>
      <sheetName val="특용수단가산출"/>
      <sheetName val="바이오단가산출"/>
      <sheetName val="송이단가산출서"/>
      <sheetName val="대운반산출기초"/>
      <sheetName val="일반화물자동차운임"/>
      <sheetName val="필지별간지"/>
      <sheetName val="필지별묘목간지"/>
      <sheetName val="사무소간지"/>
      <sheetName val="수고조사야장"/>
      <sheetName val="L형옹벽"/>
      <sheetName val="220 (2)"/>
      <sheetName val="단가비교표(전기)"/>
      <sheetName val="품셈"/>
      <sheetName val="ateCodes_TimeCodes_OverrideShor"/>
      <sheetName val="은행"/>
      <sheetName val="기초자료"/>
      <sheetName val="영동(D젅"/>
      <sheetName val="[내역서(ͭ_x0000_ͭ_x0000__x001c__x0"/>
      <sheetName val="ateCodes_x0000_TimeCodes_x0000_"/>
      <sheetName val="약품공급2"/>
      <sheetName val="07기준"/>
      <sheetName val="동문건설"/>
      <sheetName val="대전-교대(A1-A2)"/>
      <sheetName val="입력란"/>
      <sheetName val="97노임단가"/>
      <sheetName val="사업성분석"/>
      <sheetName val="DHEQSUPT"/>
      <sheetName val="건축집계합계"/>
      <sheetName val="건축집계표이수"/>
      <sheetName val="기본사양입력"/>
      <sheetName val="건축공사"/>
      <sheetName val="실DATA_3"/>
      <sheetName val="_갑__지_3"/>
      <sheetName val="코스모공장_(어음)2"/>
      <sheetName val="A_견적2"/>
      <sheetName val="단가_(2)2"/>
      <sheetName val="환경기계공정표_(3)2"/>
      <sheetName val="Sheet1_(2)2"/>
      <sheetName val="총_원가계산2"/>
      <sheetName val="총괄갑_2"/>
      <sheetName val="내역서1999_8최종2"/>
      <sheetName val="6PILE__(돌출)2"/>
      <sheetName val="11-2_아파트내역2"/>
      <sheetName val="플랜트_설치1"/>
      <sheetName val="기초입력_DATA1"/>
      <sheetName val="_견적서1"/>
      <sheetName val="1차_내역서1"/>
      <sheetName val="노임단가_(2)1"/>
      <sheetName val="설명서_1"/>
      <sheetName val="2-1__경관조명_내역총괄표1"/>
      <sheetName val="중기조종사_단위단가1"/>
      <sheetName val="BSD_(2)1"/>
      <sheetName val="인건비_1"/>
      <sheetName val="수량계산서_집계표(가설_신설_및_철거-을지로3가_3호선1"/>
      <sheetName val="수량계산서_집계표(신설-을지로3가_3호선)1"/>
      <sheetName val="수량계산서_집계표(철거-을지로3가_3호선)1"/>
      <sheetName val="전선_및_전선관-자유로1"/>
      <sheetName val="아파트_내역1"/>
      <sheetName val="일위대가_1"/>
      <sheetName val="3월팀계_1"/>
      <sheetName val="C1_공사개요1"/>
      <sheetName val="A1_스케쥴1"/>
      <sheetName val="단가_및_재료비1"/>
      <sheetName val="AS포장복구_1"/>
      <sheetName val="G_R300경비1"/>
      <sheetName val="Customer_Databas1"/>
      <sheetName val="주공_갑지1"/>
      <sheetName val="DATA_입력란1"/>
      <sheetName val="조도계산서_(도서)"/>
      <sheetName val="내역-_CCTV"/>
      <sheetName val="전력구구조물산근"/>
      <sheetName val="단가산출"/>
      <sheetName val="사업ﾈƩ"/>
      <sheetName val="수Å_x0000_"/>
      <sheetName val="수뢹_xdd4d_"/>
      <sheetName val="HX"/>
      <sheetName val="토목내역서"/>
      <sheetName val="기계내역서"/>
      <sheetName val="본공사"/>
      <sheetName val="JUCKEYK"/>
      <sheetName val="회계코드"/>
      <sheetName val="공사코드"/>
      <sheetName val="관리부"/>
      <sheetName val="정산"/>
      <sheetName val="청구분"/>
      <sheetName val="총무부"/>
      <sheetName val="원가계산서 "/>
      <sheetName val="HARGA MATERIAL"/>
      <sheetName val="손익차9월2"/>
      <sheetName val="소화실적"/>
      <sheetName val="사업부배부A"/>
      <sheetName val="상반기손익차2총괄"/>
      <sheetName val="97 사업추정(WEKI)"/>
      <sheetName val="공사금액 내역 (1)"/>
      <sheetName val="設計条件"/>
      <sheetName val="관련자료입력"/>
      <sheetName val="7_기-검-보_100"/>
      <sheetName val="품셈_"/>
      <sheetName val="Raw_Data"/>
      <sheetName val="예산서 "/>
      <sheetName val="노임단가(2010.상)"/>
      <sheetName val="DG"/>
      <sheetName val="EL"/>
      <sheetName val="Isolasi Luar Dalam"/>
      <sheetName val="Isolasi Luar"/>
      <sheetName val="VL,NC,MTC"/>
      <sheetName val="breakdown Price-Chuong"/>
      <sheetName val="cable, lighting, switch"/>
      <sheetName val="DONGIA"/>
      <sheetName val="Dulieu"/>
      <sheetName val="BG"/>
      <sheetName val="DonGia VatTuLK"/>
      <sheetName val="DLdauvao"/>
      <sheetName val="DGXDCB"/>
      <sheetName val="ANX3A11"/>
      <sheetName val="Bang chiet tinh TBA"/>
      <sheetName val="_내역서(ͭ_x005f_x0000_ͭ_x005f_x0000__x005f_x001c__x0"/>
      <sheetName val="_내역서(ͭ_ͭ__x005f_x001c___x005f_x001c__가표"/>
      <sheetName val="Tcd"/>
      <sheetName val="DTCT"/>
      <sheetName val="gvl"/>
      <sheetName val="Cash2"/>
      <sheetName val="Z"/>
      <sheetName val="화순 대리-다지리실행내역"/>
      <sheetName val="(A)내역서"/>
      <sheetName val="JUCK"/>
      <sheetName val="물가자료"/>
      <sheetName val="수로교총재료집계"/>
      <sheetName val="선급금有(현금지출)"/>
      <sheetName val="2000노임기준"/>
      <sheetName val="공사"/>
      <sheetName val="토목내역서 (도급단가)"/>
      <sheetName val="덤프트럭계수"/>
      <sheetName val="원보"/>
      <sheetName val="단가_및_렀侫ԯ"/>
      <sheetName val="단가_및_밀⪙Ѐ"/>
      <sheetName val="단가_및_렀풫ԯ"/>
      <sheetName val="단가_및_가ᦘ"/>
      <sheetName val="단가_및_䰀ẗ鐀"/>
      <sheetName val="단가_및_렀纫ԯ"/>
      <sheetName val="의왕실행"/>
      <sheetName val="업무처리전"/>
      <sheetName val="토적계산서"/>
      <sheetName val="1_동력공사"/>
      <sheetName val="실행내역서_"/>
      <sheetName val="6-1__관개량조서"/>
      <sheetName val="5_직원투입현황"/>
      <sheetName val="사렀趫ԯ"/>
      <sheetName val="사렀㾫ԯ"/>
      <sheetName val="사렀஫԰"/>
      <sheetName val="사업총렀"/>
      <sheetName val="단가_및_렀랫ԯ"/>
      <sheetName val="케이블트레이"/>
      <sheetName val="30집계표"/>
      <sheetName val="수_x0000_"/>
      <sheetName val="기계경비일람"/>
      <sheetName val="Sch9"/>
      <sheetName val="99선급비용"/>
      <sheetName val="정의"/>
      <sheetName val="현장관리비 산출내역"/>
      <sheetName val="일산실행내역"/>
      <sheetName val="상세"/>
      <sheetName val="공내역"/>
      <sheetName val="5.학교신설예산 쎸⬅/_x0000_瀀þ_x0000__x0000_밀"/>
      <sheetName val="골조"/>
      <sheetName val="조경내역"/>
      <sheetName val="문10"/>
      <sheetName val="주요항목별"/>
      <sheetName val="공통가설내역서  (당사)"/>
      <sheetName val="뚝토공"/>
      <sheetName val="공사명입력"/>
      <sheetName val="_내역서(ͭ_x0000_ͭ_x0000__x001c__x0"/>
      <sheetName val="임시정보시트"/>
      <sheetName val="1,2공구원가계산서"/>
      <sheetName val="1공구산출내역서"/>
      <sheetName val="노임자재단가"/>
      <sheetName val="사가⺘"/>
      <sheetName val="사䀀啣1"/>
      <sheetName val="5.학교신설예산 Ⴘ_x0000_퀀诋쌆蠅/_x0000_᠀"/>
      <sheetName val="시행결의을"/>
      <sheetName val="심사공종"/>
      <sheetName val="견蒸8蓼"/>
      <sheetName val="Macro(전기)"/>
      <sheetName val="A__x0010__x0000_"/>
      <sheetName val="_내역서(ͭ_x005f_x005f_x005f_x0000_ͭ_x005f_x005f_x000"/>
      <sheetName val="ateCodes_x005f_x005f_x005f_x0000_TimeCodes_"/>
      <sheetName val="_내역서(ͭ_ͭ__x005f_x005f_x005f_x001c___x005f_x005f_x"/>
      <sheetName val="단가_및_재료_xdab0_"/>
      <sheetName val="단가_및_재료讀"/>
      <sheetName val="갑"/>
      <sheetName val="경영"/>
      <sheetName val="98년"/>
      <sheetName val="실적"/>
      <sheetName val="2_대외공문"/>
      <sheetName val="EQUIP_LIST"/>
      <sheetName val="전체내역_(2)"/>
      <sheetName val="예정공정표_"/>
      <sheetName val="문2공10일위대가"/>
      <sheetName val="계정과목분류"/>
      <sheetName val="기초"/>
      <sheetName val="경제지표"/>
      <sheetName val="영업소실적"/>
      <sheetName val="공사비 내역 (가)"/>
      <sheetName val="Formula"/>
      <sheetName val="DIV2"/>
      <sheetName val="노무비 근거"/>
      <sheetName val="설명서硅"/>
      <sheetName val="설명서E"/>
      <sheetName val="방배동내역 (총괄)"/>
      <sheetName val="마감사양"/>
      <sheetName val="간접비"/>
      <sheetName val="경비2내역"/>
      <sheetName val="2.1 受電設備棟"/>
      <sheetName val="2.2 受・防火水槽"/>
      <sheetName val="2.3 排水処理設備棟"/>
      <sheetName val="2.4 倉庫棟"/>
      <sheetName val="2.5 守衛棟"/>
      <sheetName val="Div26 - Elect"/>
      <sheetName val="Prelims"/>
      <sheetName val="Rate"/>
      <sheetName val="電気設備表"/>
      <sheetName val="一発シート"/>
      <sheetName val="Item-DATA"/>
      <sheetName val="NSA fr Revit"/>
      <sheetName val="MTO REV.0"/>
      <sheetName val="HS"/>
      <sheetName val="Area Cal"/>
      <sheetName val="분수장비시설수량"/>
      <sheetName val="PL단가산정"/>
      <sheetName val="그림2"/>
      <sheetName val="고객사 관리 코드"/>
      <sheetName val="우수받이"/>
      <sheetName val="BUR"/>
      <sheetName val="Finishes code"/>
      <sheetName val="ironmongery"/>
      <sheetName val="CC-Breakdown"/>
      <sheetName val="직접경비산출근거"/>
      <sheetName val="특수선일위대가"/>
      <sheetName val="T13(P68~72,78)"/>
      <sheetName val="[내역서(1).xls]5.학교신설예산 쎸⬅/_x0000_瀀þ_x0000__x0000_밀"/>
      <sheetName val="충주"/>
      <sheetName val="신축(_x0000__x0000__x0005_"/>
      <sheetName val="예가대비"/>
      <sheetName val="요약"/>
      <sheetName val="노면표시1"/>
      <sheetName val="일위대가(가설)"/>
      <sheetName val="계측-Tray"/>
      <sheetName val="CCTV 수량(배관-송수가압장)"/>
      <sheetName val=""/>
      <sheetName val="인건비(10)"/>
      <sheetName val="화성태안9공구내역(실행)"/>
      <sheetName val="EXPENSE"/>
      <sheetName val="11-2_아파_x0000__x0000_Ԁ_x0000_"/>
      <sheetName val="환경기계공정표_(3)"/>
      <sheetName val="품셈총괄표"/>
      <sheetName val="환경기계공정표_(3)´"/>
      <sheetName val="실DATA_4"/>
      <sheetName val="총괄갑_3"/>
      <sheetName val="_갑__지_4"/>
      <sheetName val="코스모공장_(어음)3"/>
      <sheetName val="A_견적3"/>
      <sheetName val="환경기계공정표_(3)3"/>
      <sheetName val="Sheet1_(2)3"/>
      <sheetName val="총_원가계산3"/>
      <sheetName val="단가_(2)3"/>
      <sheetName val="내역서1999_8최종3"/>
      <sheetName val="6PILE__(돌출)3"/>
      <sheetName val="11-2_아파트내역3"/>
      <sheetName val="_견적서2"/>
      <sheetName val="1차_내역서2"/>
      <sheetName val="기초입력_DATA2"/>
      <sheetName val="노임단가_(2)2"/>
      <sheetName val="인건비_2"/>
      <sheetName val="플랜트_설치2"/>
      <sheetName val="BSD_(2)2"/>
      <sheetName val="2-1__경관조명_내역총괄표2"/>
      <sheetName val="신_분2"/>
      <sheetName val="일위대가_2"/>
      <sheetName val="중기조종사_단위단가2"/>
      <sheetName val="설명서_2"/>
      <sheetName val="수량계산서_집계표(가설_신설_및_철거-을지로3가_3호선2"/>
      <sheetName val="수량계산서_집계표(신설-을지로3가_3호선)2"/>
      <sheetName val="수량계산서_집계표(철거-을지로3가_3호선)2"/>
      <sheetName val="전선_및_전선관-자유로2"/>
      <sheetName val="3월팀계_2"/>
      <sheetName val="단가_및_재료비2"/>
      <sheetName val="C1_공사개요2"/>
      <sheetName val="A1_스케쥴2"/>
      <sheetName val="AS포장복구_2"/>
      <sheetName val="G_R300경비2"/>
      <sheetName val="주공_갑지2"/>
      <sheetName val="아파트_내역2"/>
      <sheetName val="Customer_Databas2"/>
      <sheetName val="2_고용보험료산출근거1"/>
      <sheetName val="경율산정_XLS1"/>
      <sheetName val="DATA_입력란2"/>
      <sheetName val="27_건설이자1"/>
      <sheetName val="9-2_단지투자1"/>
      <sheetName val="9-4_단지분양수납1"/>
      <sheetName val="28_차입금상환계획1"/>
      <sheetName val="10-4_운하물류분양수납1"/>
      <sheetName val="10-2_운하물류투자1"/>
      <sheetName val="※_2010예산총괄표1"/>
      <sheetName val="8_설치품셈1"/>
      <sheetName val="내역서_제출1"/>
      <sheetName val="BTL시설예산_기준표1"/>
      <sheetName val="5_학교신설예산_집행(01~08)1"/>
      <sheetName val="점검결과(08년_100교_지원)1"/>
      <sheetName val="전차선로_물량표1"/>
      <sheetName val="아파트_1"/>
      <sheetName val="조도계산서_(도서)1"/>
      <sheetName val="내역-_CCTV1"/>
      <sheetName val="1_설계조건"/>
      <sheetName val="기본항목_입력"/>
      <sheetName val="8_PILE__(돌출)"/>
      <sheetName val="공사원가계산서_"/>
      <sheetName val="표지_(3)"/>
      <sheetName val="원가계산서_(2)"/>
      <sheetName val="산출_근거1"/>
      <sheetName val="총괄_내역서"/>
      <sheetName val="1__조명내역서(조명설치)"/>
      <sheetName val="2__조명내역서(조명자재)"/>
      <sheetName val="_내역서(ͭ_ͭ___가표"/>
      <sheetName val="GT_1050x650"/>
      <sheetName val="참고)BTL시설예산_기준표"/>
      <sheetName val="개별직종노임단가(2005_1)"/>
      <sheetName val="2_토목공사"/>
      <sheetName val="각사별공사비분개_"/>
      <sheetName val="4_고용보험"/>
      <sheetName val="3_고용보험료산출근거"/>
      <sheetName val="PIPERACK_집계표"/>
      <sheetName val="EQUIPEMENT_집계표"/>
      <sheetName val="BUILDING_&amp;SHELTER_집계표"/>
      <sheetName val="OTHERS_집계표"/>
      <sheetName val="CONTROL_BD"/>
      <sheetName val="LIFTING_DEVICE"/>
      <sheetName val="단가일람_(2)"/>
      <sheetName val="사__업__비__수__지__예__산__서"/>
      <sheetName val="Man_Hole"/>
      <sheetName val="220_(2)"/>
      <sheetName val="96_12"/>
      <sheetName val="당월_인력"/>
      <sheetName val="소상_&quot;1&quot;"/>
      <sheetName val="설산1_나"/>
      <sheetName val="표지_"/>
      <sheetName val="지번별_묘묙소요내역"/>
      <sheetName val="총괄_설계내역서"/>
      <sheetName val="0_0ControlSheet"/>
      <sheetName val="[내역서(ͭͭ_x0"/>
      <sheetName val="De_bai"/>
      <sheetName val="2_원가및인원현황집계"/>
      <sheetName val="수뢹"/>
      <sheetName val="예산서_"/>
      <sheetName val="노임단가(2010_상)"/>
      <sheetName val="Isolasi_Luar_Dalam"/>
      <sheetName val="Isolasi_Luar"/>
      <sheetName val="breakdown_Price-Chuong"/>
      <sheetName val="cable,_lighting,_switch"/>
      <sheetName val="DonGia_VatTuLK"/>
      <sheetName val="Bang_chiet_tinh_TBA"/>
      <sheetName val="화순_대리-다지리실행내역"/>
      <sheetName val="6_1_일위대가"/>
      <sheetName val="효성CB_1P기초"/>
      <sheetName val="토목내역서_(도급단가)"/>
      <sheetName val="5_학교신설예산_쎸⬅/瀀þ밀"/>
      <sheetName val="공통가설내역서__(당사)"/>
      <sheetName val="원가계산서_"/>
      <sheetName val="제경비산출서"/>
      <sheetName val="부가세별도"/>
      <sheetName val="HD 1-4 세부공종별,업체별 내역(L4)"/>
      <sheetName val="2F 회의실견적(5_14 일대)"/>
      <sheetName val="ateCodes_x005f_x0000_TimeCodes_"/>
      <sheetName val="_내역서(ͭ_x005f_x0000_ͭ_x000"/>
      <sheetName val="_내역서(ͭ_ͭ__x005f_x001c___x"/>
      <sheetName val="cable-data"/>
      <sheetName val="목록"/>
      <sheetName val="Setup"/>
      <sheetName val="일정계획"/>
      <sheetName val="96보완계획7.12"/>
      <sheetName val="6공구(당초)"/>
      <sheetName val="업체자료"/>
      <sheetName val="1승인신청서"/>
      <sheetName val="Front"/>
      <sheetName val="암센터"/>
      <sheetName val="역T형교대(PILE기초)"/>
      <sheetName val="달력"/>
      <sheetName val="손익현황"/>
      <sheetName val="ประมาณการประตูหน้าต่าง "/>
      <sheetName val="schedule "/>
      <sheetName val="SITE OFFICE"/>
      <sheetName val="5.학교신설예산 쎸⬅/"/>
      <sheetName val="A__x0010_"/>
      <sheetName val="5.학교신설예산 Ⴘ"/>
      <sheetName val="Вспом_лист"/>
      <sheetName val="맨홀기준"/>
      <sheetName val="c &amp; g rhs"/>
      <sheetName val="사_x0000__x0000_Ԁ"/>
      <sheetName val="costing_CV"/>
      <sheetName val="Spec1"/>
      <sheetName val="w't table"/>
      <sheetName val="VS배관내역서"/>
      <sheetName val="③知识"/>
      <sheetName val="은행코ᇇ"/>
      <sheetName val="교량공"/>
      <sheetName val="중동볨ᇭ"/>
      <sheetName val="LEGEND"/>
      <sheetName val="VIN_Index"/>
      <sheetName val="Khoi luong"/>
      <sheetName val="VCV-BE-TONG"/>
      <sheetName val="chiettinh"/>
      <sheetName val="_내역서(ͭ?ͭ?_x001c__x0"/>
      <sheetName val="ateCodes?TimeCodes?"/>
      <sheetName val="_내역서(ͭͭ가표"/>
      <sheetName val="Section"/>
      <sheetName val="Sum"/>
      <sheetName val="Gia vat tu"/>
      <sheetName val="KL"/>
      <sheetName val="TTDZ22"/>
      <sheetName val="KH-Q1,Q2,01"/>
      <sheetName val="Sheet㙸˯㦀ȼ_xda1b_!"/>
      <sheetName val="단가_(2\_x0000_"/>
      <sheetName val="단가_(2\栀"/>
      <sheetName val="신축(단위_x0000_"/>
      <sheetName val="범례표"/>
      <sheetName val="고객사_관리_코드"/>
      <sheetName val="_내역서(ͭͭ_x0"/>
      <sheetName val="ateCodes_TimeCodes_OverrideSh_2"/>
      <sheetName val="ateCodes_TimeCodes_OverrideSh_3"/>
      <sheetName val="대비표(토공1안)"/>
      <sheetName val="사_x0000__x0000__x0000_"/>
      <sheetName val="전선_및_전선관-_x0000__x0000__x0005_"/>
      <sheetName val="설계_x0000_"/>
      <sheetName val="총급여"/>
      <sheetName val="삼영지급"/>
      <sheetName val="수당"/>
      <sheetName val="노무비대장기본"/>
      <sheetName val="laroux"/>
      <sheetName val="7.경제성결과"/>
      <sheetName val="BOQ-VN"/>
      <sheetName val="ESTI."/>
      <sheetName val="DI-ESTI"/>
      <sheetName val="D_MUC"/>
      <sheetName val="Scheme B Estimate "/>
      <sheetName val="Breakdown (B)"/>
      <sheetName val="환경기계공정표_(3_x0000__x0000_"/>
      <sheetName val="신규일위"/>
      <sheetName val="경비계획(전체)"/>
      <sheetName val="97(US,EP,PCT,KR)"/>
      <sheetName val="수정하지마세요"/>
      <sheetName val="전기일위대가"/>
      <sheetName val="실DATA_5"/>
      <sheetName val="_갑__지_5"/>
      <sheetName val="코스모공장_(어음)4"/>
      <sheetName val="A_견적4"/>
      <sheetName val="환경기계공정표_(3)4"/>
      <sheetName val="총_원가계산4"/>
      <sheetName val="Sheet1_(2)4"/>
      <sheetName val="내역서1999_8최종4"/>
      <sheetName val="단가_(2)4"/>
      <sheetName val="총괄갑_4"/>
      <sheetName val="6PILE__(돌출)4"/>
      <sheetName val="11-2_아파트내역4"/>
      <sheetName val="기초입력_DATA3"/>
      <sheetName val="_견적서3"/>
      <sheetName val="노임단가_(2)3"/>
      <sheetName val="1차_내역서3"/>
      <sheetName val="BSD_(2)3"/>
      <sheetName val="플랜트_설치3"/>
      <sheetName val="설명서_3"/>
      <sheetName val="2-1__경관조명_내역총괄표3"/>
      <sheetName val="일위대가_3"/>
      <sheetName val="중기조종사_단위단가3"/>
      <sheetName val="인건비_3"/>
      <sheetName val="전선_및_전선관-자유로3"/>
      <sheetName val="수량계산서_집계표(가설_신설_및_철거-을지로3가_3호선3"/>
      <sheetName val="수량계산서_집계표(신설-을지로3가_3호선)3"/>
      <sheetName val="수량계산서_집계표(철거-을지로3가_3호선)3"/>
      <sheetName val="신_분3"/>
      <sheetName val="C1_공사개요3"/>
      <sheetName val="A1_스케쥴3"/>
      <sheetName val="3월팀계_3"/>
      <sheetName val="Customer_Databas3"/>
      <sheetName val="단가_및_재료비3"/>
      <sheetName val="아파트_내역3"/>
      <sheetName val="AS포장복구_3"/>
      <sheetName val="전차선로_물량표2"/>
      <sheetName val="G_R300경비3"/>
      <sheetName val="27_건설이자2"/>
      <sheetName val="9-2_단지투자2"/>
      <sheetName val="9-4_단지분양수납2"/>
      <sheetName val="28_차입금상환계획2"/>
      <sheetName val="10-4_운하물류분양수납2"/>
      <sheetName val="10-2_운하물류투자2"/>
      <sheetName val="※_2010예산총괄표2"/>
      <sheetName val="주공_갑지3"/>
      <sheetName val="내역서_제출2"/>
      <sheetName val="1_동력공사1"/>
      <sheetName val="DATA_입력란3"/>
      <sheetName val="경율산정_XLS2"/>
      <sheetName val="조도계산서_(도서)2"/>
      <sheetName val="2_고용보험료산출근거2"/>
      <sheetName val="8_설치품셈2"/>
      <sheetName val="아파트_2"/>
      <sheetName val="품셈_1"/>
      <sheetName val="1_설계조건1"/>
      <sheetName val="BTL시설예산_기준표2"/>
      <sheetName val="5_학교신설예산_집행(01~08)2"/>
      <sheetName val="점검결과(08년_100교_지원)2"/>
      <sheetName val="5_직원투입현황1"/>
      <sheetName val="EQUIP_LIST1"/>
      <sheetName val="6-1__관개량조서1"/>
      <sheetName val="실행내역서_1"/>
      <sheetName val="전체내역_(2)1"/>
      <sheetName val="예정공정표_1"/>
      <sheetName val="Raw_Data1"/>
      <sheetName val="내역-_CCTV2"/>
      <sheetName val="2_대외공문1"/>
      <sheetName val="7_기-검-보_1001"/>
      <sheetName val="기본항목_입력1"/>
      <sheetName val="8_PILE__(돌출)1"/>
      <sheetName val="1__조명내역서(조명설치)1"/>
      <sheetName val="2__조명내역서(조명자재)1"/>
      <sheetName val="참고)BTL시설예산_기준표1"/>
      <sheetName val="표지_(3)1"/>
      <sheetName val="원가계산서_(2)1"/>
      <sheetName val="산출_근거11"/>
      <sheetName val="공사원가계산서_1"/>
      <sheetName val="총괄_내역서1"/>
      <sheetName val="2_토목공사1"/>
      <sheetName val="GT_1050x6501"/>
      <sheetName val="개별직종노임단가(2005_1)1"/>
      <sheetName val="당월_인력1"/>
      <sheetName val="2_원가및인원현황집계1"/>
      <sheetName val="96_121"/>
      <sheetName val="각사별공사비분개_1"/>
      <sheetName val="4_고용보험1"/>
      <sheetName val="3_고용보험료산출근거1"/>
      <sheetName val="단가일람_(2)1"/>
      <sheetName val="사__업__비__수__지__예__산__서1"/>
      <sheetName val="PIPERACK_집계표1"/>
      <sheetName val="EQUIPEMENT_집계표1"/>
      <sheetName val="BUILDING_&amp;SHELTER_집계표1"/>
      <sheetName val="OTHERS_집계표1"/>
      <sheetName val="CONTROL_BD1"/>
      <sheetName val="LIFTING_DEVICE1"/>
      <sheetName val="Man_Hole1"/>
      <sheetName val="소상_&quot;1&quot;1"/>
      <sheetName val="6_1_일위대가1"/>
      <sheetName val="효성CB_1P기초1"/>
      <sheetName val="De_bai1"/>
      <sheetName val="토목내역서_(도급단가)1"/>
      <sheetName val="설산1_나1"/>
      <sheetName val="220_(2)1"/>
      <sheetName val="0_0ControlSheet1"/>
      <sheetName val="노임단가(2010_상)1"/>
      <sheetName val="표지_1"/>
      <sheetName val="지번별_묘묙소요내역1"/>
      <sheetName val="총괄_설계내역서1"/>
      <sheetName val="예산서_1"/>
      <sheetName val="A_"/>
      <sheetName val="5_학교신설예산_Ⴘ퀀诋쌆蠅/᠀"/>
      <sheetName val="Isolasi_Luar_Dalam1"/>
      <sheetName val="Isolasi_Luar1"/>
      <sheetName val="breakdown_Price-Chuong1"/>
      <sheetName val="cable,_lighting,_switch1"/>
      <sheetName val="DonGia_VatTuLK1"/>
      <sheetName val="Bang_chiet_tinh_TBA1"/>
      <sheetName val="현장관리비_산출내역"/>
      <sheetName val="공통가설내역서__(당사)1"/>
      <sheetName val="화순_대리-다지리실행내역1"/>
      <sheetName val="2_1_受電設備棟"/>
      <sheetName val="2_2_受・防火水槽"/>
      <sheetName val="2_3_排水処理設備棟"/>
      <sheetName val="2_4_倉庫棟"/>
      <sheetName val="2_5_守衛棟"/>
      <sheetName val="Div26_-_Elect"/>
      <sheetName val="NSA_fr_Revit"/>
      <sheetName val="MTO_REV_0"/>
      <sheetName val="Area_Cal"/>
      <sheetName val="방배동내역_(총괄)"/>
      <sheetName val="Finishes_code"/>
      <sheetName val="96보완계획7_12"/>
      <sheetName val="HD_1-4_세부공종별,업체별_내역(L4)"/>
      <sheetName val="2F_회의실견적(5_14_일대)"/>
      <sheetName val="포장물량집계"/>
      <sheetName val="인건비예산(정규직)"/>
      <sheetName val="인건비예산(용역)"/>
      <sheetName val="환경기계공정표_(3)E"/>
      <sheetName val="실DATA_6"/>
      <sheetName val="_갑__지_6"/>
      <sheetName val="코스모공장_(어음)5"/>
      <sheetName val="A_견적5"/>
      <sheetName val="환경기계공정표_(3)5"/>
      <sheetName val="총_원가계산5"/>
      <sheetName val="단가_(2)5"/>
      <sheetName val="Sheet1_(2)5"/>
      <sheetName val="총괄갑_5"/>
      <sheetName val="내역서1999_8최종5"/>
      <sheetName val="6PILE__(돌출)5"/>
      <sheetName val="11-2_아파트내역5"/>
      <sheetName val="_견적서4"/>
      <sheetName val="1차_내역서4"/>
      <sheetName val="기초입력_DATA4"/>
      <sheetName val="노임단가_(2)4"/>
      <sheetName val="BSD_(2)4"/>
      <sheetName val="플랜트_설치4"/>
      <sheetName val="중기조종사_단위단가4"/>
      <sheetName val="설명서_4"/>
      <sheetName val="인건비_4"/>
      <sheetName val="2-1__경관조명_내역총괄표4"/>
      <sheetName val="수량계산서_집계표(가설_신설_및_철거-을지로3가_3호선4"/>
      <sheetName val="수량계산서_집계표(신설-을지로3가_3호선)4"/>
      <sheetName val="수량계산서_집계표(철거-을지로3가_3호선)4"/>
      <sheetName val="신_분4"/>
      <sheetName val="일위대가_4"/>
      <sheetName val="3월팀계_4"/>
      <sheetName val="전선_및_전선관-자유로4"/>
      <sheetName val="Customer_Databas4"/>
      <sheetName val="주공_갑지4"/>
      <sheetName val="C1_공사개요4"/>
      <sheetName val="A1_스케쥴4"/>
      <sheetName val="단가_및_재료비4"/>
      <sheetName val="아파트_내역4"/>
      <sheetName val="AS포장복구_4"/>
      <sheetName val="2_고용보험료산출근거3"/>
      <sheetName val="DATA_입력란4"/>
      <sheetName val="EQUIP_LIST2"/>
      <sheetName val="G_R300경비4"/>
      <sheetName val="조도계산서_(도서)3"/>
      <sheetName val="8_설치품셈3"/>
      <sheetName val="27_건설이자3"/>
      <sheetName val="9-2_단지투자3"/>
      <sheetName val="9-4_단지분양수납3"/>
      <sheetName val="28_차입금상환계획3"/>
      <sheetName val="10-4_운하물류분양수납3"/>
      <sheetName val="10-2_운하물류투자3"/>
      <sheetName val="※_2010예산총괄표3"/>
      <sheetName val="전차선로_물량표3"/>
      <sheetName val="경율산정_XLS3"/>
      <sheetName val="내역서_제출3"/>
      <sheetName val="아파트_3"/>
      <sheetName val="6-1__관개량조서2"/>
      <sheetName val="BTL시설예산_기준표3"/>
      <sheetName val="5_학교신설예산_집행(01~08)3"/>
      <sheetName val="점검결과(08년_100교_지원)3"/>
      <sheetName val="품셈_2"/>
      <sheetName val="1_동력공사2"/>
      <sheetName val="전체내역_(2)2"/>
      <sheetName val="7_기-검-보_1002"/>
      <sheetName val="5_직원투입현황2"/>
      <sheetName val="예정공정표_2"/>
      <sheetName val="실행내역서_2"/>
      <sheetName val="2_대외공문2"/>
      <sheetName val="Raw_Data2"/>
      <sheetName val="내역-_CCTV3"/>
      <sheetName val="표지_(3)2"/>
      <sheetName val="원가계산서_(2)2"/>
      <sheetName val="산출_근거12"/>
      <sheetName val="1_설계조건2"/>
      <sheetName val="96_122"/>
      <sheetName val="1__조명내역서(조명설치)2"/>
      <sheetName val="2__조명내역서(조명자재)2"/>
      <sheetName val="8_PILE__(돌출)2"/>
      <sheetName val="기본항목_입력2"/>
      <sheetName val="참고)BTL시설예산_기준표2"/>
      <sheetName val="공사원가계산서_2"/>
      <sheetName val="2_원가및인원현황집계2"/>
      <sheetName val="GT_1050x6502"/>
      <sheetName val="각사별공사비분개_2"/>
      <sheetName val="개별직종노임단가(2005_1)2"/>
      <sheetName val="총괄_내역서2"/>
      <sheetName val="4_고용보험2"/>
      <sheetName val="3_고용보험료산출근거2"/>
      <sheetName val="소상_&quot;1&quot;2"/>
      <sheetName val="사__업__비__수__지__예__산__서2"/>
      <sheetName val="PIPERACK_집계표2"/>
      <sheetName val="EQUIPEMENT_집계표2"/>
      <sheetName val="BUILDING_&amp;SHELTER_집계표2"/>
      <sheetName val="OTHERS_집계표2"/>
      <sheetName val="CONTROL_BD2"/>
      <sheetName val="LIFTING_DEVICE2"/>
      <sheetName val="2_토목공사2"/>
      <sheetName val="당월_인력2"/>
      <sheetName val="설산1_나2"/>
      <sheetName val="0_0ControlSheet2"/>
      <sheetName val="노임단가(2010_상)2"/>
      <sheetName val="단가일람_(2)2"/>
      <sheetName val="220_(2)2"/>
      <sheetName val="Man_Hole2"/>
      <sheetName val="6_1_일위대가2"/>
      <sheetName val="효성CB_1P기초2"/>
      <sheetName val="De_bai2"/>
      <sheetName val="토목내역서_(도급단가)2"/>
      <sheetName val="표지_2"/>
      <sheetName val="지번별_묘묙소요내역2"/>
      <sheetName val="총괄_설계내역서2"/>
      <sheetName val="예산서_2"/>
      <sheetName val="Isolasi_Luar_Dalam2"/>
      <sheetName val="Isolasi_Luar2"/>
      <sheetName val="breakdown_Price-Chuong2"/>
      <sheetName val="cable,_lighting,_switch2"/>
      <sheetName val="DonGia_VatTuLK2"/>
      <sheetName val="Bang_chiet_tinh_TBA2"/>
      <sheetName val="HD_1-4_세부공종별,업체별_내역(L4)1"/>
      <sheetName val="2F_회의실견적(5_14_일대)1"/>
      <sheetName val="고객사_관리_코드1"/>
      <sheetName val="화순_대리-다지리실행내역2"/>
      <sheetName val="원가계산서_1"/>
      <sheetName val="현장관리비_산출내역1"/>
      <sheetName val="공통가설내역서__(당사)2"/>
      <sheetName val="2_1_受電設備棟1"/>
      <sheetName val="2_2_受・防火水槽1"/>
      <sheetName val="2_3_排水処理設備棟1"/>
      <sheetName val="2_4_倉庫棟1"/>
      <sheetName val="2_5_守衛棟1"/>
      <sheetName val="Div26_-_Elect1"/>
      <sheetName val="NSA_fr_Revit1"/>
      <sheetName val="MTO_REV_01"/>
      <sheetName val="Area_Cal1"/>
      <sheetName val="방배동내역_(총괄)1"/>
      <sheetName val="Finishes_code1"/>
      <sheetName val="96보완계획7_121"/>
      <sheetName val="신축("/>
      <sheetName val="노무비_근거"/>
      <sheetName val="실DATA_8"/>
      <sheetName val="_갑__지_8"/>
      <sheetName val="코스모공장_(어음)7"/>
      <sheetName val="A_견적7"/>
      <sheetName val="환경기계공정표_(3)7"/>
      <sheetName val="총_원가계산7"/>
      <sheetName val="Sheet1_(2)7"/>
      <sheetName val="내역서1999_8최종7"/>
      <sheetName val="단가_(2)7"/>
      <sheetName val="총괄갑_7"/>
      <sheetName val="6PILE__(돌출)7"/>
      <sheetName val="11-2_아파트내역7"/>
      <sheetName val="기초입력_DATA6"/>
      <sheetName val="_견적서6"/>
      <sheetName val="노임단가_(2)6"/>
      <sheetName val="1차_내역서6"/>
      <sheetName val="BSD_(2)6"/>
      <sheetName val="플랜트_설치6"/>
      <sheetName val="설명서_6"/>
      <sheetName val="2-1__경관조명_내역총괄표6"/>
      <sheetName val="일위대가_6"/>
      <sheetName val="중기조종사_단위단가6"/>
      <sheetName val="인건비_6"/>
      <sheetName val="전선_및_전선관-자유로6"/>
      <sheetName val="수량계산서_집계표(가설_신설_및_철거-을지로3가_3호선6"/>
      <sheetName val="수량계산서_집계표(신설-을지로3가_3호선)6"/>
      <sheetName val="수량계산서_집계표(철거-을지로3가_3호선)6"/>
      <sheetName val="신_분6"/>
      <sheetName val="C1_공사개요6"/>
      <sheetName val="A1_스케쥴6"/>
      <sheetName val="3월팀계_6"/>
      <sheetName val="Customer_Databas6"/>
      <sheetName val="단가_및_재료비6"/>
      <sheetName val="아파트_내역6"/>
      <sheetName val="AS포장복구_6"/>
      <sheetName val="전차선로_물량표5"/>
      <sheetName val="G_R300경비6"/>
      <sheetName val="27_건설이자5"/>
      <sheetName val="9-2_단지투자5"/>
      <sheetName val="9-4_단지분양수납5"/>
      <sheetName val="28_차입금상환계획5"/>
      <sheetName val="10-4_운하물류분양수납5"/>
      <sheetName val="10-2_운하물류투자5"/>
      <sheetName val="※_2010예산총괄표5"/>
      <sheetName val="주공_갑지6"/>
      <sheetName val="내역서_제출5"/>
      <sheetName val="1_동력공사4"/>
      <sheetName val="DATA_입력란6"/>
      <sheetName val="경율산정_XLS5"/>
      <sheetName val="조도계산서_(도서)5"/>
      <sheetName val="2_고용보험료산출근거5"/>
      <sheetName val="8_설치품셈5"/>
      <sheetName val="아파트_5"/>
      <sheetName val="품셈_4"/>
      <sheetName val="1_설계조건4"/>
      <sheetName val="BTL시설예산_기준표5"/>
      <sheetName val="5_학교신설예산_집행(01~08)5"/>
      <sheetName val="점검결과(08년_100교_지원)5"/>
      <sheetName val="5_직원투입현황4"/>
      <sheetName val="EQUIP_LIST4"/>
      <sheetName val="6-1__관개량조서4"/>
      <sheetName val="실행내역서_4"/>
      <sheetName val="전체내역_(2)4"/>
      <sheetName val="예정공정표_4"/>
      <sheetName val="Raw_Data4"/>
      <sheetName val="내역-_CCTV5"/>
      <sheetName val="2_대외공문4"/>
      <sheetName val="7_기-검-보_1004"/>
      <sheetName val="기본항목_입력4"/>
      <sheetName val="8_PILE__(돌출)4"/>
      <sheetName val="1__조명내역서(조명설치)4"/>
      <sheetName val="2__조명내역서(조명자재)4"/>
      <sheetName val="참고)BTL시설예산_기준표4"/>
      <sheetName val="표지_(3)4"/>
      <sheetName val="원가계산서_(2)4"/>
      <sheetName val="산출_근거14"/>
      <sheetName val="공사원가계산서_4"/>
      <sheetName val="총괄_내역서4"/>
      <sheetName val="2_토목공사4"/>
      <sheetName val="GT_1050x6504"/>
      <sheetName val="개별직종노임단가(2005_1)4"/>
      <sheetName val="당월_인력4"/>
      <sheetName val="2_원가및인원현황집계4"/>
      <sheetName val="96_124"/>
      <sheetName val="각사별공사비분개_4"/>
      <sheetName val="사__업__비__수__지__예__산__서4"/>
      <sheetName val="4_고용보험4"/>
      <sheetName val="3_고용보험료산출근거4"/>
      <sheetName val="단가일람_(2)4"/>
      <sheetName val="PIPERACK_집계표4"/>
      <sheetName val="EQUIPEMENT_집계표4"/>
      <sheetName val="BUILDING_&amp;SHELTER_집계표4"/>
      <sheetName val="OTHERS_집계표4"/>
      <sheetName val="CONTROL_BD4"/>
      <sheetName val="LIFTING_DEVICE4"/>
      <sheetName val="0_0ControlSheet4"/>
      <sheetName val="토목내역서_(도급단가)4"/>
      <sheetName val="소상_&quot;1&quot;4"/>
      <sheetName val="6_1_일위대가4"/>
      <sheetName val="효성CB_1P기초4"/>
      <sheetName val="De_bai4"/>
      <sheetName val="노임단가(2010_상)4"/>
      <sheetName val="설산1_나4"/>
      <sheetName val="220_(2)4"/>
      <sheetName val="Man_Hole4"/>
      <sheetName val="표지_4"/>
      <sheetName val="지번별_묘묙소요내역4"/>
      <sheetName val="총괄_설계내역서4"/>
      <sheetName val="공통가설내역서__(당사)4"/>
      <sheetName val="예산서_4"/>
      <sheetName val="원가계산서_3"/>
      <sheetName val="현장관리비_산출내역3"/>
      <sheetName val="고객사_관리_코드3"/>
      <sheetName val="Isolasi_Luar_Dalam4"/>
      <sheetName val="Isolasi_Luar4"/>
      <sheetName val="breakdown_Price-Chuong4"/>
      <sheetName val="cable,_lighting,_switch4"/>
      <sheetName val="DonGia_VatTuLK4"/>
      <sheetName val="Bang_chiet_tinh_TBA4"/>
      <sheetName val="화순_대리-다지리실행내역4"/>
      <sheetName val="실DATA_7"/>
      <sheetName val="_갑__지_7"/>
      <sheetName val="코스모공장_(어음)6"/>
      <sheetName val="A_견적6"/>
      <sheetName val="환경기계공정표_(3)6"/>
      <sheetName val="총_원가계산6"/>
      <sheetName val="Sheet1_(2)6"/>
      <sheetName val="내역서1999_8최종6"/>
      <sheetName val="단가_(2)6"/>
      <sheetName val="총괄갑_6"/>
      <sheetName val="6PILE__(돌출)6"/>
      <sheetName val="11-2_아파트내역6"/>
      <sheetName val="기초입력_DATA5"/>
      <sheetName val="_견적서5"/>
      <sheetName val="노임단가_(2)5"/>
      <sheetName val="1차_내역서5"/>
      <sheetName val="BSD_(2)5"/>
      <sheetName val="플랜트_설치5"/>
      <sheetName val="설명서_5"/>
      <sheetName val="2-1__경관조명_내역총괄표5"/>
      <sheetName val="일위대가_5"/>
      <sheetName val="중기조종사_단위단가5"/>
      <sheetName val="인건비_5"/>
      <sheetName val="전선_및_전선관-자유로5"/>
      <sheetName val="수량계산서_집계표(가설_신설_및_철거-을지로3가_3호선5"/>
      <sheetName val="수량계산서_집계표(신설-을지로3가_3호선)5"/>
      <sheetName val="수량계산서_집계표(철거-을지로3가_3호선)5"/>
      <sheetName val="신_분5"/>
      <sheetName val="C1_공사개요5"/>
      <sheetName val="A1_스케쥴5"/>
      <sheetName val="3월팀계_5"/>
      <sheetName val="Customer_Databas5"/>
      <sheetName val="단가_및_재료비5"/>
      <sheetName val="아파트_내역5"/>
      <sheetName val="AS포장복구_5"/>
      <sheetName val="전차선로_물량표4"/>
      <sheetName val="G_R300경비5"/>
      <sheetName val="27_건설이자4"/>
      <sheetName val="9-2_단지투자4"/>
      <sheetName val="9-4_단지분양수납4"/>
      <sheetName val="28_차입금상환계획4"/>
      <sheetName val="10-4_운하물류분양수납4"/>
      <sheetName val="10-2_운하물류투자4"/>
      <sheetName val="※_2010예산총괄표4"/>
      <sheetName val="주공_갑지5"/>
      <sheetName val="내역서_제출4"/>
      <sheetName val="1_동력공사3"/>
      <sheetName val="DATA_입력란5"/>
      <sheetName val="경율산정_XLS4"/>
      <sheetName val="조도계산서_(도서)4"/>
      <sheetName val="2_고용보험료산출근거4"/>
      <sheetName val="8_설치품셈4"/>
      <sheetName val="아파트_4"/>
      <sheetName val="품셈_3"/>
      <sheetName val="1_설계조건3"/>
      <sheetName val="BTL시설예산_기준표4"/>
      <sheetName val="5_학교신설예산_집행(01~08)4"/>
      <sheetName val="점검결과(08년_100교_지원)4"/>
      <sheetName val="5_직원투입현황3"/>
      <sheetName val="EQUIP_LIST3"/>
      <sheetName val="6-1__관개량조서3"/>
      <sheetName val="실행내역서_3"/>
      <sheetName val="전체내역_(2)3"/>
      <sheetName val="예정공정표_3"/>
      <sheetName val="Raw_Data3"/>
      <sheetName val="내역-_CCTV4"/>
      <sheetName val="2_대외공문3"/>
      <sheetName val="7_기-검-보_1003"/>
      <sheetName val="기본항목_입력3"/>
      <sheetName val="8_PILE__(돌출)3"/>
      <sheetName val="1__조명내역서(조명설치)3"/>
      <sheetName val="2__조명내역서(조명자재)3"/>
      <sheetName val="참고)BTL시설예산_기준표3"/>
      <sheetName val="표지_(3)3"/>
      <sheetName val="원가계산서_(2)3"/>
      <sheetName val="산출_근거13"/>
      <sheetName val="공사원가계산서_3"/>
      <sheetName val="총괄_내역서3"/>
      <sheetName val="2_토목공사3"/>
      <sheetName val="GT_1050x6503"/>
      <sheetName val="개별직종노임단가(2005_1)3"/>
      <sheetName val="당월_인력3"/>
      <sheetName val="2_원가및인원현황집계3"/>
      <sheetName val="96_123"/>
      <sheetName val="각사별공사비분개_3"/>
      <sheetName val="사__업__비__수__지__예__산__서3"/>
      <sheetName val="4_고용보험3"/>
      <sheetName val="3_고용보험료산출근거3"/>
      <sheetName val="단가일람_(2)3"/>
      <sheetName val="PIPERACK_집계표3"/>
      <sheetName val="EQUIPEMENT_집계표3"/>
      <sheetName val="BUILDING_&amp;SHELTER_집계표3"/>
      <sheetName val="OTHERS_집계표3"/>
      <sheetName val="CONTROL_BD3"/>
      <sheetName val="LIFTING_DEVICE3"/>
      <sheetName val="0_0ControlSheet3"/>
      <sheetName val="토목내역서_(도급단가)3"/>
      <sheetName val="소상_&quot;1&quot;3"/>
      <sheetName val="6_1_일위대가3"/>
      <sheetName val="효성CB_1P기초3"/>
      <sheetName val="De_bai3"/>
      <sheetName val="노임단가(2010_상)3"/>
      <sheetName val="설산1_나3"/>
      <sheetName val="220_(2)3"/>
      <sheetName val="Man_Hole3"/>
      <sheetName val="표지_3"/>
      <sheetName val="지번별_묘묙소요내역3"/>
      <sheetName val="총괄_설계내역서3"/>
      <sheetName val="공통가설내역서__(당사)3"/>
      <sheetName val="예산서_3"/>
      <sheetName val="원가계산서_2"/>
      <sheetName val="현장관리비_산출내역2"/>
      <sheetName val="고객사_관리_코드2"/>
      <sheetName val="Isolasi_Luar_Dalam3"/>
      <sheetName val="Isolasi_Luar3"/>
      <sheetName val="breakdown_Price-Chuong3"/>
      <sheetName val="cable,_lighting,_switch3"/>
      <sheetName val="DonGia_VatTuLK3"/>
      <sheetName val="Bang_chiet_tinh_TBA3"/>
      <sheetName val="화순_대리-다지리실행내역3"/>
      <sheetName val="FRP PIPING 일위대가"/>
      <sheetName val="방배동내역(_x0000__x0000_"/>
      <sheetName val="회선별대책안_x0000__x0000__x0000__x0001_"/>
      <sheetName val="Summ"/>
      <sheetName val="breakdown"/>
      <sheetName val="Don gia chi tiet"/>
      <sheetName val="phuluc1"/>
      <sheetName val="tong du toan"/>
      <sheetName val="내역전기"/>
      <sheetName val="H-PILE수량집계"/>
      <sheetName val="관경별내역서"/>
      <sheetName val="환경기계공정표__x0005__x0000__x0000_"/>
      <sheetName val="별표총괄"/>
      <sheetName val="전선_및_전선관-罘º헾"/>
      <sheetName val="[내역서(1).xls]5.학교신설예산 Ⴘ_x0000_퀀诋쌆蠅/_x0000_᠀"/>
      <sheetName val="2013노임단가"/>
      <sheetName val="hGH정제"/>
      <sheetName val="11-2_아파"/>
      <sheetName val="[내역서(1).xls]5.학교신설예산 쎸⬅/"/>
      <sheetName val="전선_및_전선관-"/>
      <sheetName val="Analisa Harga Satuan"/>
      <sheetName val="말고개터널조명전압강하"/>
      <sheetName val="BOX(1.5X1.5)"/>
      <sheetName val="점수계산1-2"/>
      <sheetName val="구조물공"/>
      <sheetName val="철근단면적"/>
      <sheetName val="직원인원"/>
      <sheetName val="단면 (2)"/>
      <sheetName val="집 계 표"/>
      <sheetName val="선박별 배부"/>
      <sheetName val="KUNGDEVI"/>
      <sheetName val="기본정보"/>
      <sheetName val="내역(설계)"/>
      <sheetName val="외주수리비"/>
      <sheetName val="계류장사용료"/>
      <sheetName val="정비재료비"/>
      <sheetName val="지상조업료"/>
      <sheetName val="AT"/>
      <sheetName val="B777"/>
      <sheetName val="신공항"/>
      <sheetName val="JJ"/>
      <sheetName val="잡유비"/>
      <sheetName val="MA"/>
      <sheetName val="MC"/>
      <sheetName val="ME"/>
      <sheetName val="MF"/>
      <sheetName val="MI"/>
      <sheetName val="MT"/>
      <sheetName val="QA"/>
      <sheetName val="내역서중"/>
      <sheetName val="1차설계변경내역"/>
      <sheetName val="2000년 공정표"/>
      <sheetName val="정렬"/>
      <sheetName val="하도정산계약분"/>
      <sheetName val="전선_및_전선관-壆⿶"/>
      <sheetName val="재무가정"/>
      <sheetName val="제목"/>
      <sheetName val="정공공사"/>
      <sheetName val="거래罈.羌"/>
      <sheetName val="[내역서(׃"/>
      <sheetName val="부대집계"/>
      <sheetName val="단위단가"/>
      <sheetName val="공사설명서"/>
      <sheetName val="기타자료"/>
      <sheetName val="일위(시설)"/>
      <sheetName val="1호인버트수량"/>
      <sheetName val="기본단가"/>
      <sheetName val="1.변경범위"/>
      <sheetName val="내역(원안-대안)"/>
      <sheetName val="기본1"/>
      <sheetName val="수정일위대가"/>
      <sheetName val="총괄(데倀辍즳"/>
      <sheetName val="총괄(데뀀连즳"/>
      <sheetName val="총괄(데뀀ﾒ犺"/>
      <sheetName val="총괄(데䀀﷥䰗"/>
      <sheetName val="XL4Po夂囿 "/>
      <sheetName val="보고서"/>
      <sheetName val="변경개요"/>
      <sheetName val="실정내역"/>
      <sheetName val="이서 빙등제"/>
      <sheetName val="내역증감-전체분"/>
      <sheetName val="원가계산서(생태쉼터) "/>
      <sheetName val="내역서(빙등제)"/>
      <sheetName val="전망데크1"/>
      <sheetName val="단가산출호표"/>
      <sheetName val="방림 토공수량"/>
      <sheetName val="방림 토공 산출근거"/>
      <sheetName val="종류별수량산출"/>
      <sheetName val="소운반단가산출"/>
      <sheetName val="이서 빙등제 수량집계표"/>
      <sheetName val="이서 빙등제 산출근거"/>
      <sheetName val="현황사진대지"/>
      <sheetName val="code"/>
      <sheetName val="운반거리"/>
      <sheetName val="자재 집계표"/>
      <sheetName val="직원관련자료"/>
      <sheetName val="공종집계"/>
      <sheetName val="교각_x0000_"/>
      <sheetName val="THU T6"/>
      <sheetName val="Thu chi T04"/>
      <sheetName val="SLTH"/>
      <sheetName val="PEDESB"/>
      <sheetName val="공사예산하조서(O.K)"/>
      <sheetName val="공사예산하조서_O_K_"/>
      <sheetName val="전선 및 전선관"/>
      <sheetName val="변경내역"/>
      <sheetName val="°ø»ç¿¹»êÇÏÁ¶¼­(O.K)"/>
      <sheetName val="4.설계예산내역서"/>
      <sheetName val="콘센트신설"/>
      <sheetName val="용산1(해보)"/>
      <sheetName val="3.내역서"/>
      <sheetName val="구리토평1전기"/>
      <sheetName val="설계명세"/>
      <sheetName val="BUD"/>
      <sheetName val="archi(본사)"/>
      <sheetName val="인건-측정"/>
      <sheetName val="도급양식"/>
      <sheetName val="49단가"/>
      <sheetName val="36단가"/>
      <sheetName val="36수량"/>
      <sheetName val="규격"/>
      <sheetName val="공리공제"/>
      <sheetName val="역간(덕_동)"/>
      <sheetName val="역간(의-덕)"/>
      <sheetName val="BEND LOSS"/>
      <sheetName val="건축공사 집계표"/>
      <sheetName val="설비2차"/>
      <sheetName val="기준FACTOR"/>
      <sheetName val="설비"/>
      <sheetName val="N賃率-職"/>
      <sheetName val="TKCK"/>
      <sheetName val="PL Vua"/>
      <sheetName val="포장집계"/>
      <sheetName val="포장연장"/>
      <sheetName val="국공유지"/>
      <sheetName val="DB_ET200(R. A)"/>
      <sheetName val="Summary"/>
      <sheetName val="NKC6"/>
      <sheetName val="Summary - Budget"/>
      <sheetName val="2016상반기노임단가"/>
      <sheetName val="1.암사대교 산출"/>
      <sheetName val="마산방향"/>
      <sheetName val="환경기계공정표_(3)_x0012_"/>
      <sheetName val="공급기자재조서 (2)"/>
      <sheetName val="산출(동해선 본선)"/>
      <sheetName val="집계(동해본선) "/>
      <sheetName val="산출(동해역통신)"/>
      <sheetName val="역집계(동해역통신)"/>
      <sheetName val="배수통관(좌)"/>
      <sheetName val="기준"/>
      <sheetName val="변동인원"/>
      <sheetName val="2000제조1"/>
      <sheetName val="집연95"/>
      <sheetName val="준공정산"/>
      <sheetName val="환경기계공정표__x0005_"/>
      <sheetName val="[내역서(1).xls]5.학교신설예산 Ⴘ"/>
      <sheetName val="회선별대책안"/>
      <sheetName val="방배동내역("/>
      <sheetName val="6PILE脂鎙堀1_x0013__x0000__x0000_"/>
      <sheetName val="POL6차-PIPING"/>
      <sheetName val="기계경¬"/>
      <sheetName val="Project Name"/>
      <sheetName val="Deliver Date"/>
      <sheetName val="Staff"/>
      <sheetName val="anti-termite"/>
      <sheetName val="BIDDING-SUM"/>
      <sheetName val="CTG"/>
      <sheetName val="Project_Name"/>
      <sheetName val="Deliver_Date"/>
      <sheetName val="THVT"/>
      <sheetName val="SITE-E"/>
      <sheetName val="KHỐI LƯỢNG THANH TOÁN"/>
      <sheetName val="SEX"/>
      <sheetName val="General2"/>
      <sheetName val="Phu cap"/>
      <sheetName val="GIAVLIEU"/>
      <sheetName val="BETON"/>
      <sheetName val="hinhhoc"/>
      <sheetName val="PTDG (T3)"/>
      <sheetName val="PTDG (T4)"/>
      <sheetName val="6PILEሀ_x0002_䀀⨊脃ﲙ"/>
      <sheetName val="[내역서(ͭ_x005f_x005f_x005f_x0000_ͭ_x005f_x005f_x000"/>
      <sheetName val="[내역서(ͭ?ͭ?_x005f_x005f_x005f_x001c_?_x005f_x005f_x"/>
      <sheetName val="_내역서(ͭ_x005f_x005f_x005f_x005f_x005f_x005f_x005f_x0000_"/>
      <sheetName val="ateCodes_x005f_x005f_x005f_x005f_x005f_x005f_x000"/>
      <sheetName val="_내역서(ͭ_ͭ__x005f_x005f_x005f_x005f_x005f_x005f_x00"/>
      <sheetName val="데이터"/>
      <sheetName val="인부노임단가"/>
      <sheetName val="[내역서(ͭ_x0000__x0000_Ԁ"/>
      <sheetName val="수뢹?"/>
      <sheetName val="_내역서(ͭ_x005f_x0000_ͭ_x005f_x005f_x000"/>
      <sheetName val="_내역서(ͭ_ͭ__x005f_x001c___x005f_x005f_x"/>
      <sheetName val="unit 4"/>
      <sheetName val="퇴직금(울산천상)"/>
      <sheetName val="전선관"/>
      <sheetName val="수입"/>
      <sheetName val="24_보증금_전신전화가입권_"/>
      <sheetName val="사업총쌈"/>
      <sheetName val="ateCodes?TimeCodes?Overrid_x0000__x0000__x0005__x0000_钀"/>
      <sheetName val="회선별대책안À_x0000_Ԁ_x0000_"/>
      <sheetName val="Sheet㙸˯㦀ȼ?"/>
      <sheetName val="[내역서(1)_xls]5_학교신설예산_쎸⬅/瀀þ밀"/>
      <sheetName val="간¾_x0000_Ԁ"/>
      <sheetName val="환경기계공정표_(3)"/>
      <sheetName val="환경기계공정표_(3)椀"/>
      <sheetName val="의뢰서"/>
      <sheetName val="일위대가_호표"/>
      <sheetName val="일위대가_산근"/>
      <sheetName val="중기사용료목록"/>
      <sheetName val="중기기초자료"/>
      <sheetName val="자재조서"/>
      <sheetName val="전역변수"/>
      <sheetName val="중기전역변수"/>
      <sheetName val="구체"/>
      <sheetName val="좌측날개벽"/>
      <sheetName val="우측날개벽"/>
      <sheetName val="간지1"/>
      <sheetName val="1.사유서"/>
      <sheetName val="간지2"/>
      <sheetName val="간지3"/>
      <sheetName val="부재별집계표"/>
      <sheetName val="도면"/>
      <sheetName val="ateCఀ_x0002_저殑"/>
      <sheetName val="Estimate"/>
      <sheetName val="AnalisaSIPIL RIIL"/>
      <sheetName val="D 5243-ARAMCO"/>
      <sheetName val="D-4801 OXY"/>
      <sheetName val="입찰내역서"/>
      <sheetName val="배수내역 (2)"/>
      <sheetName val="表三甲"/>
      <sheetName val="Har Sat"/>
      <sheetName val="손익그래프및카메라"/>
      <sheetName val="입력DATA"/>
      <sheetName val="바닥판"/>
      <sheetName val="가시설수량"/>
      <sheetName val="ITEM"/>
      <sheetName val="영창26"/>
      <sheetName val="말뚝물량"/>
      <sheetName val="COA-17"/>
      <sheetName val="POWER"/>
      <sheetName val="당진1,2호기전선관설치및접지4차공사내역서-을지"/>
      <sheetName val="인원계획"/>
      <sheetName val="IBASE"/>
      <sheetName val="Config"/>
      <sheetName val="Du toan"/>
      <sheetName val="Keothep"/>
      <sheetName val="Re-bar"/>
      <sheetName val="HVAC"/>
      <sheetName val="A_견_x0000__x0000_"/>
      <sheetName val="계장 품셈표"/>
      <sheetName val="G_R30绘ÿ헾"/>
      <sheetName val="[내역서(ͭͭ가_x0000_"/>
      <sheetName val="_갑  지 "/>
      <sheetName val="[내역서(1).xls]5_학교신설예산_쎸⬅/瀀þ밀"/>
      <sheetName val="[내역서(1).xls]5_학교신설예산_Ⴘ퀀诋쌆蠅/᠀"/>
      <sheetName val="BQ"/>
      <sheetName val="Total for Check"/>
      <sheetName val="DAFTAR_8"/>
      <sheetName val="DAFTAR 7"/>
      <sheetName val="SIZING"/>
      <sheetName val="공정진도현황(2069)"/>
      <sheetName val="공정진도현황(2단계2차)"/>
      <sheetName val="현장"/>
      <sheetName val="전체"/>
      <sheetName val="조명율표"/>
      <sheetName val="종합표"/>
      <sheetName val="차수공개요"/>
      <sheetName val="상시"/>
      <sheetName val="주beam"/>
      <sheetName val="부안일위"/>
      <sheetName val="단가조사표"/>
      <sheetName val="11.산출(전열)"/>
      <sheetName val="6.산출(동력)"/>
      <sheetName val="7.산출(TRAY)"/>
      <sheetName val="추가예산"/>
      <sheetName val="차입"/>
      <sheetName val="코드표"/>
      <sheetName val="월별예산"/>
      <sheetName val="PC%계산"/>
      <sheetName val="유가증권LS"/>
      <sheetName val="통장출금액"/>
      <sheetName val="업무연락"/>
      <sheetName val="월별매출"/>
      <sheetName val="부대tu"/>
      <sheetName val="VXXXXXXX"/>
      <sheetName val="#2_일위대가목록"/>
      <sheetName val="마산월령동골조물량변경"/>
      <sheetName val="공종별현황_공무팀자료"/>
      <sheetName val="6. 안전관리비"/>
      <sheetName val="내역서1"/>
      <sheetName val="P4-C"/>
      <sheetName val="1062-X방향 "/>
      <sheetName val="특외대"/>
      <sheetName val="수입실적"/>
      <sheetName val="A-100전제"/>
      <sheetName val="품의"/>
      <sheetName val="comps LFY+"/>
      <sheetName val="HDI implied"/>
      <sheetName val="호봉피치"/>
      <sheetName val="첨부1"/>
      <sheetName val="감독1130"/>
      <sheetName val="CAUDIT"/>
      <sheetName val="임의 매출-수정전"/>
      <sheetName val="감가상각"/>
      <sheetName val="채권 현황"/>
      <sheetName val="FRQ"/>
      <sheetName val="지급자재"/>
      <sheetName val="직접공사비"/>
      <sheetName val="자산LIST"/>
      <sheetName val="현금흐름"/>
      <sheetName val="간접1"/>
      <sheetName val="CC Down load 0716"/>
      <sheetName val="CF6"/>
      <sheetName val="9703"/>
      <sheetName val="미지급비용"/>
      <sheetName val="요일별시간대별 근무인원 그래프"/>
      <sheetName val="정식주주명부(061108)"/>
      <sheetName val="6월수불"/>
      <sheetName val="코드(대중분류)"/>
      <sheetName val="1.매출액"/>
      <sheetName val="2.원가"/>
      <sheetName val="10.인원"/>
      <sheetName val="2.호선별예상실적"/>
      <sheetName val="생산매출 (4)"/>
      <sheetName val="사업계획"/>
      <sheetName val="1월 예산"/>
      <sheetName val="DATA98"/>
      <sheetName val="건설가"/>
      <sheetName val="RE9604"/>
      <sheetName val="대차대조표 (2)"/>
      <sheetName val="손익계산서"/>
      <sheetName val="지점장"/>
      <sheetName val="admin"/>
      <sheetName val="AN-01"/>
      <sheetName val="환율 및 참고"/>
      <sheetName val=" 총괄표"/>
      <sheetName val="총괄-1"/>
      <sheetName val="MAIN_TABLE"/>
      <sheetName val="95년12월말"/>
      <sheetName val="그림모음"/>
      <sheetName val="국도접속 차도부수량"/>
      <sheetName val="간접(90)"/>
      <sheetName val="용지조사보고서"/>
      <sheetName val="3800-400 기계감가"/>
      <sheetName val="MIBK원단위"/>
      <sheetName val="품셈TABLE"/>
      <sheetName val="콘크리트타설집계표"/>
      <sheetName val="중기"/>
      <sheetName val="DANGA"/>
      <sheetName val="청학계"/>
      <sheetName val="사다리"/>
      <sheetName val="중기일위대가"/>
      <sheetName val="공사비예산서(토목분)"/>
      <sheetName val="외화채권"/>
      <sheetName val="Assumptions"/>
      <sheetName val="조명투자및환수계획"/>
      <sheetName val="제조중간결과"/>
      <sheetName val="101동"/>
      <sheetName val="변경총괄지(1)"/>
      <sheetName val="SANTOGO"/>
      <sheetName val="지수적용공사비내역서"/>
      <sheetName val="부대공Ⅱ"/>
      <sheetName val="TB-내역서"/>
      <sheetName val="총원"/>
      <sheetName val="A.일용노무비지급명세서"/>
      <sheetName val="prog-C1"/>
      <sheetName val="geo-C1"/>
      <sheetName val="geo-C2"/>
      <sheetName val="환경기계공정표_(3)¾"/>
      <sheetName val="점검결과(08년_x0000__x0000_Ԁ_x0000_䀀㸎_x0008__x0000__x0000_"/>
      <sheetName val="환경기계공정표_(3)刀"/>
      <sheetName val="전선_및_전선관-㞘}઀"/>
      <sheetName val="철골9F"/>
      <sheetName val="실행-자재"/>
      <sheetName val="유림총괄"/>
      <sheetName val="HSNV"/>
      <sheetName val="현장식당(1)"/>
      <sheetName val="견적요율_(업체명)"/>
      <sheetName val="(1) 국내 사이트 상세 주소 "/>
      <sheetName val="0. 수출,수입 건수"/>
      <sheetName val="1. 수출 해상 (LCL) "/>
      <sheetName val="2. 수출 항공 "/>
      <sheetName val="(2-3) 수출 특송"/>
      <sheetName val="3. 수출 내륙 운송료"/>
      <sheetName val="4. 수입 해상 (FCL)"/>
      <sheetName val="5. 수입 해상 (LCL) "/>
      <sheetName val="6. 수입 항공 "/>
      <sheetName val="(3-4) 수입 특송 "/>
      <sheetName val="7. 수입 내륙 운송료"/>
      <sheetName val="8. 창고료"/>
      <sheetName val="9. 내륙 운송"/>
      <sheetName val="10. 추가 제안 및 기타"/>
      <sheetName val="운송내역 "/>
      <sheetName val="3.PT개발계획"/>
      <sheetName val="24.보증금(전신전화가입권)"/>
      <sheetName val="Ⅴ-2.공종별내역"/>
      <sheetName val="16-1"/>
      <sheetName val="중기작업"/>
      <sheetName val="[내역서(1).xls][내역서(1).xls]5_____2"/>
      <sheetName val="[내역서(1).xls]단가_(2\_x0000_"/>
      <sheetName val="[내역서(1).xls]단가_(2\栀"/>
      <sheetName val="[내역서(1).xls][내역서(1).xls]5_____3"/>
      <sheetName val="[내역서(1).xls][내역서(1).xls]5_____4"/>
      <sheetName val="2000,9월 일위"/>
      <sheetName val="공통단가"/>
      <sheetName val="단가일람"/>
      <sheetName val="조경일람"/>
      <sheetName val="운반비"/>
      <sheetName val="Sheet1_Çæ_x0000_"/>
      <sheetName val="단"/>
      <sheetName val="Eq. Mobilization"/>
      <sheetName val="노단"/>
      <sheetName val="단산"/>
      <sheetName val="명세"/>
      <sheetName val="일대"/>
      <sheetName val="회선별대책안À"/>
      <sheetName val="편성절차"/>
      <sheetName val="KLDT DIEN"/>
      <sheetName val="Dinh muc CP KTCB khac"/>
      <sheetName val="TinhGiaMTC"/>
      <sheetName val="TH MTC"/>
      <sheetName val="TH N.Cong"/>
      <sheetName val="TinhGiaNC"/>
      <sheetName val="DMCP"/>
      <sheetName val="_갑___x0000__x0000_"/>
      <sheetName val="계약내역서"/>
      <sheetName val="보증_x0000_縀"/>
      <sheetName val="단가_(2)Ì"/>
      <sheetName val="보증_x0000_ༀ"/>
      <sheetName val="2공구하도급내역서"/>
      <sheetName val="손익경비"/>
      <sheetName val="5.학교신설예산 집행(01~偤°"/>
      <sheetName val="전체제잡비"/>
      <sheetName val="보증"/>
      <sheetName val="공사비예비관리공감측설산출내역"/>
      <sheetName val="asd"/>
      <sheetName val="B"/>
      <sheetName val="I一般比"/>
      <sheetName val="토공 total"/>
      <sheetName val="조경"/>
      <sheetName val="식생블럭단위수량"/>
      <sheetName val="인공산출"/>
      <sheetName val="ENE-CAL 1"/>
      <sheetName val="본사업"/>
      <sheetName val="예산M11A"/>
      <sheetName val="철콘산출"/>
      <sheetName val="DB"/>
      <sheetName val="토공내역"/>
      <sheetName val="설직재-1"/>
      <sheetName val="96정변2"/>
      <sheetName val="배수공 시멘트 및 골재량 산출"/>
      <sheetName val="부서코드표"/>
      <sheetName val="소방사항"/>
      <sheetName val="공사진행"/>
      <sheetName val="96노임기준"/>
      <sheetName val="대공종"/>
      <sheetName val="공간"/>
      <sheetName val="공종"/>
      <sheetName val="부위자재"/>
      <sheetName val="하자유형"/>
      <sheetName val="세대"/>
      <sheetName val="신축"/>
      <sheetName val="도급기성"/>
      <sheetName val="총괄(데䀀?䰗"/>
      <sheetName val="입찰내역 발주처 양식"/>
      <sheetName val="[내역서(ͭ_x0000_ͭ_x0000__x001c__x02"/>
      <sheetName val="ateCodes_x0000_TimeCodes_x0000_2"/>
      <sheetName val="[내역서(ͭ_x0000_ͭ_x0000__x001c__x03"/>
      <sheetName val="ateCodes_x0000_TimeCodes_x0000_3"/>
      <sheetName val="[내역서(ͭ_x0000_ͭ_x0000__x001c__x04"/>
      <sheetName val="ateCodes_x0000_TimeCodes_x0000_4"/>
      <sheetName val="[내역서(ͭ_x0000_ͭ_x0000__x001c__x05"/>
      <sheetName val="ateCodes_x0000_TimeCodes_x0000_5"/>
      <sheetName val="[내역서(ͭ_x0000_ͭ_x0000__x001c__x06"/>
      <sheetName val="ateCodes_x0000_TimeCodes_x0000_6"/>
      <sheetName val="[내역서(ͭ_x0000_ͭ_x0000__x001c__x07"/>
      <sheetName val="ateCodes_x0000_TimeCodes_x0000_7"/>
      <sheetName val="[내역서(ͭ_x0000_ͭ_x0000__x001c__x08"/>
      <sheetName val="ateCodes_x0000_TimeCodes_x0000_8"/>
      <sheetName val="[내역서(ͭ_x0000_ͭ_x0000__x001c__x09"/>
      <sheetName val="ateCodes_x0000_TimeCodes_x0000_9"/>
      <sheetName val="[내역서(ͭ_x0000_ͭ_x0000__x001c__x010"/>
      <sheetName val="ateCodes_x0000_TimeCodes_x0000_10"/>
      <sheetName val="[내역서(ͭ_x0000_ͭ_x0000__x001c__x011"/>
      <sheetName val="ateCodes_x0000_TimeCodes_x0000_11"/>
      <sheetName val="[내역서(ͭ_x0000_ͭ_x0000__x001c__x012"/>
      <sheetName val="ateCodes_x0000_TimeCodes_x0000_12"/>
      <sheetName val="[내역서(ͭ_x0000_ͭ_x0000__x001c__x013"/>
      <sheetName val="ateCodes_x0000_TimeCodes_x0000_13"/>
      <sheetName val="[내역서(ͭ_x0000_ͭ_x0000__x001c__x014"/>
      <sheetName val="ateCodes_x0000_TimeCodes_x0000_14"/>
      <sheetName val="Bill2-TTTM&amp;CH"/>
      <sheetName val="Bill 2-VMart&amp;VPro"/>
      <sheetName val="Cst Pkg-Eden"/>
      <sheetName val="Parem"/>
      <sheetName val="DW산출"/>
      <sheetName val="ateCodes?TimeCodes?Overrid"/>
      <sheetName val="간¾"/>
      <sheetName val="자바라1"/>
      <sheetName val="ate_x000b__x0000_蠀᏿㤂"/>
      <sheetName val="Sheet1_Çꀀ_x0000_"/>
      <sheetName val="순위"/>
      <sheetName val="단가__x0000__x0000_Ԁ_x0000_"/>
      <sheetName val="w't_table"/>
      <sheetName val="ประมาณการประตูหน้าต่าง_"/>
      <sheetName val="schedule_"/>
      <sheetName val="SITE_OFFICE"/>
      <sheetName val=" 기성청구서 양식.xlsx"/>
      <sheetName val="Bang TH"/>
      <sheetName val="Shelves"/>
      <sheetName val="잡철물"/>
      <sheetName val="단가_및邰㡗_xdc00_㡗"/>
      <sheetName val="설명서劝"/>
      <sheetName val="제잡비계산"/>
      <sheetName val="수량계산서_집계표(가설_신설_및_철거-을지로3가_3ఀ_x0002_က"/>
      <sheetName val="Concord"/>
      <sheetName val="06 일위대가목록"/>
      <sheetName val="수량산출표"/>
      <sheetName val="세월교산출기초"/>
      <sheetName val="댐구조도"/>
      <sheetName val="基础资料"/>
      <sheetName val="재고list"/>
      <sheetName val="JP_GP_UP통합"/>
      <sheetName val="터파기및재료"/>
      <sheetName val="인원"/>
      <sheetName val="정부노임"/>
      <sheetName val="방화산출"/>
      <sheetName val="총괄(데이소ꃁ"/>
      <sheetName val="총괄(데이소ࣁ"/>
      <sheetName val="ateCodes?TimeCodes?Overri_x0000__x0000__x0005__x0000_飀Ⱔ"/>
      <sheetName val="총괄(Í_x0000_Ԁ_x0000_"/>
      <sheetName val="Tiepdia"/>
      <sheetName val="ma-pt"/>
      <sheetName val="COAT&amp;WRAP-QIOT-#3"/>
      <sheetName val="원본1"/>
      <sheetName val="주공_¹"/>
      <sheetName val="적용노임(09상)"/>
      <sheetName val="보_x0000__x0000__x0005_"/>
      <sheetName val="70%"/>
      <sheetName val="건    재"/>
      <sheetName val="AS포장복_x0000__x0000_"/>
      <sheetName val="Progres"/>
      <sheetName val="H.Satuan"/>
      <sheetName val="MEXICO-C"/>
      <sheetName val="견적집계표(철콘)"/>
      <sheetName val="분문집계2"/>
      <sheetName val="배부금액"/>
      <sheetName val="입고계획"/>
      <sheetName val="계약"/>
      <sheetName val="재직자"/>
      <sheetName val="대비표"/>
      <sheetName val="노원열병합  건축공사기성내역서"/>
      <sheetName val="_내역서(ͭ_ͭ__x001c___x"/>
      <sheetName val="ateCodes_x0000_TimeCodes_"/>
      <sheetName val="_내역서(ͭ_x0000_ͭ_x000"/>
      <sheetName val="내역서-전기"/>
      <sheetName val="대장"/>
      <sheetName val="voucher"/>
      <sheetName val="Bang NS79"/>
      <sheetName val="배수관공"/>
      <sheetName val="chiet tinh"/>
      <sheetName val="96수출"/>
      <sheetName val="설명서ó"/>
      <sheetName val="SOLICITUD"/>
      <sheetName val="II. CF"/>
      <sheetName val="ateCodes?TimeCodes?OverrideSho_x0000_"/>
      <sheetName val="ateCodes?TimeCodes?OverrideSho适"/>
      <sheetName val="ateCodes?TimeCodes?OverrideSho렀"/>
      <sheetName val="ateCodes?TimeCodes?OverrideSho"/>
      <sheetName val="ateCodes?TimeCodes?OverrideSho退"/>
      <sheetName val="ateCodes?TimeCodes?OverrideSho᠀"/>
      <sheetName val="Final Staff Chart"/>
      <sheetName val="7.Á¶Á÷Ç¥"/>
      <sheetName val="Input_Data"/>
      <sheetName val="WIP"/>
      <sheetName val="집수정(600-700)"/>
      <sheetName val="경유"/>
      <sheetName val="휘발유"/>
      <sheetName val="부대공"/>
      <sheetName val="배수공"/>
      <sheetName val="토공"/>
      <sheetName val="포장공"/>
      <sheetName val="일반공사"/>
      <sheetName val="지하1층"/>
      <sheetName val="시화점실행"/>
      <sheetName val="각종양식"/>
      <sheetName val="자금운용표"/>
      <sheetName val="총(철거)"/>
      <sheetName val="검수고1-1층"/>
      <sheetName val="총물량표"/>
      <sheetName val="하수처리장"/>
      <sheetName val="BREAKDOWN(철거설치)"/>
      <sheetName val="3본사"/>
      <sheetName val="총공사내역서"/>
      <sheetName val="견적대비(1차) (2)"/>
      <sheetName val="총괄내역"/>
      <sheetName val="정산내역서"/>
      <sheetName val="대분류 ITEM별 분석(3월)"/>
      <sheetName val="기본일위"/>
      <sheetName val="카렌스센터계량기설치공사"/>
      <sheetName val="boq"/>
      <sheetName val="산출내역서"/>
      <sheetName val="평3"/>
      <sheetName val="기초데이타"/>
      <sheetName val="2.损益表"/>
      <sheetName val="4.PL"/>
      <sheetName val="6.BS"/>
      <sheetName val="9.차입,대여금"/>
      <sheetName val="1월--7월"/>
      <sheetName val="2-2.매출분석"/>
      <sheetName val="첨부_예산"/>
      <sheetName val="선박별_배부"/>
      <sheetName val="1_변경범위"/>
      <sheetName val="comps_LFY+"/>
      <sheetName val="HDI_implied"/>
      <sheetName val="임의_매출-수정전"/>
      <sheetName val="채권_현황"/>
      <sheetName val="2000년_공정표"/>
      <sheetName val="CC_Down_load_0716"/>
      <sheetName val="요일별시간대별_근무인원_그래프"/>
      <sheetName val="BOX(1_5X1_5)"/>
      <sheetName val="1_매출액"/>
      <sheetName val="2_원가"/>
      <sheetName val="10_인원"/>
      <sheetName val="1월_예산"/>
      <sheetName val="2_호선별예상실적"/>
      <sheetName val="생산매출_(4)"/>
      <sheetName val="대차대조표_(2)"/>
      <sheetName val="환율_및_참고"/>
      <sheetName val="6.PL"/>
      <sheetName val="4.成本明细表"/>
      <sheetName val="7.6大成本明细表"/>
      <sheetName val="본부평가(연말)"/>
      <sheetName val="4.추정손익"/>
      <sheetName val="2.매출원가"/>
      <sheetName val="3.일반관리,영업외"/>
      <sheetName val="AT비용"/>
      <sheetName val="JJ비용"/>
      <sheetName val="부대수입"/>
      <sheetName val="MA비용"/>
      <sheetName val="ME비용"/>
      <sheetName val="MF비용"/>
      <sheetName val="MI비용"/>
      <sheetName val="MT비용"/>
      <sheetName val="5.管理费明细表"/>
      <sheetName val="6.营业外收支明细表"/>
      <sheetName val="3.收入明细表"/>
      <sheetName val="공통"/>
      <sheetName val="cash_flow"/>
      <sheetName val="FOOTING"/>
      <sheetName val="봉방동근생"/>
      <sheetName val="교수설계"/>
      <sheetName val="특기시방"/>
      <sheetName val="선박별_배부1"/>
      <sheetName val="1_변경범위1"/>
      <sheetName val="comps_LFY+1"/>
      <sheetName val="HDI_implied1"/>
      <sheetName val="임의_매출-수정전1"/>
      <sheetName val="채권_현황1"/>
      <sheetName val="2000년_공정표1"/>
      <sheetName val="CC_Down_load_07161"/>
      <sheetName val="요일별시간대별_근무인원_그래프1"/>
      <sheetName val="BOX(1_5X1_5)1"/>
      <sheetName val="1_매출액1"/>
      <sheetName val="2_원가1"/>
      <sheetName val="10_인원1"/>
      <sheetName val="2_호선별예상실적1"/>
      <sheetName val="생산매출_(4)1"/>
      <sheetName val="1월_예산1"/>
      <sheetName val="대차대조표_(2)1"/>
      <sheetName val="환율_및_참고1"/>
      <sheetName val="_총괄표"/>
      <sheetName val="1062-X방향_"/>
      <sheetName val="2_损益表"/>
      <sheetName val="4_PL"/>
      <sheetName val="6_BS"/>
      <sheetName val="9_차입,대여금"/>
      <sheetName val="2-2_매출분석"/>
      <sheetName val="6_PL"/>
      <sheetName val="4_成本明细表"/>
      <sheetName val="7_6大成本明细表"/>
      <sheetName val="4_추정손익"/>
      <sheetName val="2_매출원가"/>
      <sheetName val="3_일반관리,영업외"/>
      <sheetName val="5_管理费明细表"/>
      <sheetName val="6_营业外收支明细表"/>
      <sheetName val="3_收入明细表"/>
      <sheetName val="3800-400_기계감가"/>
      <sheetName val="FILE1"/>
      <sheetName val="토공(우물통,기타) "/>
      <sheetName val="토지조서(원본)"/>
      <sheetName val="붙임4.앵커볼트"/>
      <sheetName val="붙임2.최대수평하중"/>
      <sheetName val="3월팀계_x0010_"/>
      <sheetName val="호프"/>
      <sheetName val="scale &amp; Income"/>
      <sheetName val="기본사항"/>
      <sheetName val="현황산출서"/>
      <sheetName val="_갑__"/>
      <sheetName val="점검결과(08년"/>
      <sheetName val="ate_x000b_"/>
      <sheetName val="제작비"/>
      <sheetName val="용융아연도금"/>
      <sheetName val="제작물량 7월"/>
      <sheetName val="집계표(건축)"/>
      <sheetName val="강관파일내역"/>
      <sheetName val="ateCodes?TimeCodes?Overri"/>
      <sheetName val="정산산출서(배수판)"/>
      <sheetName val="계좌번호"/>
      <sheetName val="12월"/>
      <sheetName val="2007년1월"/>
      <sheetName val="ateCodes?TimeCodes?OverrideSho怀"/>
      <sheetName val="ateCodes?TimeCodes?OverrideSho逃"/>
      <sheetName val="변화치수"/>
      <sheetName val="Executive Summary"/>
      <sheetName val="5201.2004"/>
      <sheetName val="GRAND REKAP"/>
      <sheetName val="맨홀수량집계"/>
      <sheetName val="Analisa"/>
      <sheetName val="REKAP"/>
      <sheetName val="경비일위계"/>
      <sheetName val="AS포_x0000__x0000__x0000__x0000_"/>
      <sheetName val="거래_x0000__x0000__x0000_"/>
      <sheetName val="거래刀_x0010__x0000_"/>
      <sheetName val="거래_x0000_⨀ﯥ"/>
      <sheetName val="아파트_Ö_x0000_"/>
      <sheetName val="아파트_⃖휬"/>
      <sheetName val="아파트_烖"/>
      <sheetName val="아파트_壖"/>
      <sheetName val="설계조縨"/>
      <sheetName val="설계조"/>
      <sheetName val="조서입력"/>
      <sheetName val="수고조사야_x0002_"/>
      <sheetName val="노임명세"/>
      <sheetName val="자재분류"/>
      <sheetName val="자재청구서"/>
      <sheetName val="PILE"/>
      <sheetName val="6PILE__(効_x0010__x0000__x0000_"/>
      <sheetName val="_갑__지_9"/>
      <sheetName val="실DATA_9"/>
      <sheetName val="코스모공장_(어음)8"/>
      <sheetName val="A_견적8"/>
      <sheetName val="환경기계공정표_(3)8"/>
      <sheetName val="단가_(2)8"/>
      <sheetName val="6PILE__(돌출)8"/>
      <sheetName val="Sheet1_(2)8"/>
      <sheetName val="총_원가계산8"/>
      <sheetName val="총괄갑_8"/>
      <sheetName val="11-2_아파트내역8"/>
      <sheetName val="내역서1999_8최종8"/>
      <sheetName val="기초입력_DATA7"/>
      <sheetName val="1차_내역서7"/>
      <sheetName val="_견적서7"/>
      <sheetName val="노임단가_(2)7"/>
      <sheetName val="2-1__경관조명_내역총괄표7"/>
      <sheetName val="인건비_7"/>
      <sheetName val="수량계산서_집계표(가설_신설_및_철거-을지로3가_3호선7"/>
      <sheetName val="수량계산서_집계표(신설-을지로3가_3호선)7"/>
      <sheetName val="수량계산서_집계표(철거-을지로3가_3호선)7"/>
      <sheetName val="플랜트_설치7"/>
      <sheetName val="BSD_(2)7"/>
      <sheetName val="중기조종사_단위단가7"/>
      <sheetName val="설명서_7"/>
      <sheetName val="신_분7"/>
      <sheetName val="C1_공사개요7"/>
      <sheetName val="A1_스케쥴7"/>
      <sheetName val="일위대가_7"/>
      <sheetName val="3월팀계_7"/>
      <sheetName val="Customer_Databas7"/>
      <sheetName val="전선_및_전선관-자유로7"/>
      <sheetName val="아파트_내역7"/>
      <sheetName val="단가_및_재료비7"/>
      <sheetName val="내역서_제출6"/>
      <sheetName val="AS포장복구_7"/>
      <sheetName val="G_R300경비7"/>
      <sheetName val="주공_갑지7"/>
      <sheetName val="2_고용보험료산출근거6"/>
      <sheetName val="DATA_입력란7"/>
      <sheetName val="경율산정_XLS6"/>
      <sheetName val="8_설치품셈6"/>
      <sheetName val="조도계산서_(도서)6"/>
      <sheetName val="전차선로_물량표6"/>
      <sheetName val="27_건설이자6"/>
      <sheetName val="9-2_단지투자6"/>
      <sheetName val="9-4_단지분양수납6"/>
      <sheetName val="28_차입금상환계획6"/>
      <sheetName val="10-4_운하물류분양수납6"/>
      <sheetName val="10-2_운하물류투자6"/>
      <sheetName val="※_2010예산총괄표6"/>
      <sheetName val="BTL시설예산_기준표6"/>
      <sheetName val="5_학교신설예산_집행(01~08)6"/>
      <sheetName val="점검결과(08년_100교_지원)6"/>
      <sheetName val="아파트_6"/>
      <sheetName val="EQUIP_LIST5"/>
      <sheetName val="품셈_5"/>
      <sheetName val="5_직원투입현황5"/>
      <sheetName val="6-1__관개량조서5"/>
      <sheetName val="내역-_CCTV6"/>
      <sheetName val="2_대외공문5"/>
      <sheetName val="1_동력공사5"/>
      <sheetName val="예정공정표_5"/>
      <sheetName val="실행내역서_5"/>
      <sheetName val="전체내역_(2)5"/>
      <sheetName val="Raw_Data5"/>
      <sheetName val="7_기-검-보_1005"/>
      <sheetName val="1_설계조건5"/>
      <sheetName val="8_PILE__(돌출)5"/>
      <sheetName val="기본항목_입력5"/>
      <sheetName val="참고)BTL시설예산_기준표5"/>
      <sheetName val="1__조명내역서(조명설치)5"/>
      <sheetName val="2__조명내역서(조명자재)5"/>
      <sheetName val="표지_(3)5"/>
      <sheetName val="원가계산서_(2)5"/>
      <sheetName val="산출_근거15"/>
      <sheetName val="당월_인력5"/>
      <sheetName val="GT_1050x6505"/>
      <sheetName val="0_0ControlSheet5"/>
      <sheetName val="공사원가계산서_5"/>
      <sheetName val="총괄_내역서5"/>
      <sheetName val="2_토목공사5"/>
      <sheetName val="예산서_5"/>
      <sheetName val="96_125"/>
      <sheetName val="사__업__비__수__지__예__산__서5"/>
      <sheetName val="각사별공사비분개_5"/>
      <sheetName val="개별직종노임단가(2005_1)5"/>
      <sheetName val="4_고용보험5"/>
      <sheetName val="3_고용보험료산출근거5"/>
      <sheetName val="단가일람_(2)5"/>
      <sheetName val="PIPERACK_집계표5"/>
      <sheetName val="EQUIPEMENT_집계표5"/>
      <sheetName val="BUILDING_&amp;SHELTER_집계표5"/>
      <sheetName val="OTHERS_집계표5"/>
      <sheetName val="CONTROL_BD5"/>
      <sheetName val="LIFTING_DEVICE5"/>
      <sheetName val="소상_&quot;1&quot;5"/>
      <sheetName val="현장관리비_산출내역4"/>
      <sheetName val="설산1_나5"/>
      <sheetName val="220_(2)5"/>
      <sheetName val="Man_Hole5"/>
      <sheetName val="6_1_일위대가5"/>
      <sheetName val="효성CB_1P기초5"/>
      <sheetName val="2_원가및인원현황집계5"/>
      <sheetName val="De_bai5"/>
      <sheetName val="표지_5"/>
      <sheetName val="지번별_묘묙소요내역5"/>
      <sheetName val="총괄_설계내역서5"/>
      <sheetName val="노임단가(2010_상)5"/>
      <sheetName val="토목내역서_(도급단가)5"/>
      <sheetName val="원가계산서_4"/>
      <sheetName val="화순_대리-다지리실행내역5"/>
      <sheetName val="Isolasi_Luar_Dalam5"/>
      <sheetName val="Isolasi_Luar5"/>
      <sheetName val="breakdown_Price-Chuong5"/>
      <sheetName val="cable,_lighting,_switch5"/>
      <sheetName val="DonGia_VatTuLK5"/>
      <sheetName val="Bang_chiet_tinh_TBA5"/>
      <sheetName val="공통가설내역서__(당사)5"/>
      <sheetName val="2_1_受電設備棟2"/>
      <sheetName val="2_2_受・防火水槽2"/>
      <sheetName val="2_3_排水処理設備棟2"/>
      <sheetName val="2_4_倉庫棟2"/>
      <sheetName val="2_5_守衛棟2"/>
      <sheetName val="Div26_-_Elect2"/>
      <sheetName val="NSA_fr_Revit2"/>
      <sheetName val="MTO_REV_02"/>
      <sheetName val="Area_Cal2"/>
      <sheetName val="[내역서(1)_xls]5_학교신설예산_Ⴘ퀀诋쌆蠅/᠀"/>
      <sheetName val="7_경제성결과"/>
      <sheetName val="5_학교신설예산_쎸⬅/"/>
      <sheetName val="5_학교신설예산_Ⴘ"/>
      <sheetName val="A_"/>
      <sheetName val="[내역서(1)_xls]5_학교신설예산_쎸⬅/"/>
      <sheetName val="[내역서(1)_xls]5_학교신설예산_Ⴘ"/>
      <sheetName val="고객사_관리_코드4"/>
      <sheetName val="96보완계획7_122"/>
      <sheetName val="공사비_내역_(가)"/>
      <sheetName val="방배동내역_(총괄)2"/>
      <sheetName val="노무비_근거1"/>
      <sheetName val="Finishes_code2"/>
      <sheetName val="HD_1-4_세부공종별,업체별_내역(L4)2"/>
      <sheetName val="2F_회의실견적(5_14_일대)2"/>
      <sheetName val="CCTV_수량(배관-송수가압장)"/>
      <sheetName val="97_사업추정(WEKI)"/>
      <sheetName val="공사금액_내역_(1)"/>
      <sheetName val="unit_4"/>
      <sheetName val="Khoi_luong"/>
      <sheetName val="_내역서(ͭ?ͭ?_x0"/>
      <sheetName val="Gia_vat_tu"/>
      <sheetName val="ESTI_"/>
      <sheetName val="Scheme_B_Estimate_"/>
      <sheetName val="Breakdown_(B)"/>
      <sheetName val="이서_빙등제"/>
      <sheetName val="원가계산서(생태쉼터)_"/>
      <sheetName val="방림_토공수량"/>
      <sheetName val="방림_토공_산출근거"/>
      <sheetName val="이서_빙등제_수량집계표"/>
      <sheetName val="이서_빙등제_산출근거"/>
      <sheetName val="자재_집계표"/>
      <sheetName val="FRP_PIPING_일위대가"/>
      <sheetName val="공사예산하조서(O_K)"/>
      <sheetName val="전선_및_전선관"/>
      <sheetName val="°ø»ç¿¹»êÇÏÁ¶¼­(O_K)"/>
      <sheetName val="4_설계예산내역서"/>
      <sheetName val="3_내역서"/>
      <sheetName val="BEND_LOSS"/>
      <sheetName val="건축공사_집계표"/>
      <sheetName val="Don_gia_chi_tiet"/>
      <sheetName val="THU_T6"/>
      <sheetName val="Thu_chi_T04"/>
      <sheetName val="tong_du_toan"/>
      <sheetName val="6PILE脂鎙堀1"/>
      <sheetName val="11_산출(전열)"/>
      <sheetName val="6_산출(동력)"/>
      <sheetName val="7_산출(TRAY)"/>
      <sheetName val="6__안전관리비"/>
      <sheetName val="국도접속_차도부수량"/>
      <sheetName val="공급기자재조서_(2)"/>
      <sheetName val="산출(동해선_본선)"/>
      <sheetName val="집계(동해본선)_"/>
      <sheetName val="거래罈_羌"/>
      <sheetName val="1_암사대교_산출"/>
      <sheetName val="단면_(2)"/>
      <sheetName val="집_계_표"/>
      <sheetName val="PL_Vua"/>
      <sheetName val="환경기계공정표_"/>
      <sheetName val="HARGA_MATERIAL"/>
      <sheetName val="c_&amp;_g_rhs"/>
      <sheetName val="ateCodes?TimeCodes?Overrid钀"/>
      <sheetName val="Summary_-_Budget"/>
      <sheetName val="A_일용노무비지급명세서"/>
      <sheetName val="[내역서(1)_xls]5_학교신설예산_쎸⬅/瀀þ밀1"/>
      <sheetName val="점검결과(08년Ԁ䀀㸎"/>
      <sheetName val="환경기계공정표_"/>
      <sheetName val="5_학교신설예산_집행(01~偤°"/>
      <sheetName val="Phu_cap"/>
      <sheetName val="CABLE SIZE-1"/>
      <sheetName val="분전반계산서(석관)"/>
      <sheetName val="[내역서(1).xls][내역서(1).xls]5____10"/>
      <sheetName val="[내역서(1).xls][내역서(1).xls]5____11"/>
      <sheetName val="[내역서(1).xls][내역서(1).xls]5____12"/>
      <sheetName val="[내역서(1).xls][내역서(1).xls]5____13"/>
      <sheetName val="[내역서(1).xls][내역서(1).xls]단가_(2\_x0000_"/>
      <sheetName val="[내역서(1).xls][내역서(1).xls]단가_(2\栀"/>
      <sheetName val="[내역서(1).xls][내역서(1).xls]5____14"/>
      <sheetName val="[내역서(1).xls][내역서(1).xls]5_____5"/>
      <sheetName val="[내역서(1).xls][내역서(1).xls]5_____6"/>
      <sheetName val="[내역서(1).xls][내역서(1).xls]5_____7"/>
      <sheetName val="[내역서(1).xls][내역서(1).xls]5_____8"/>
      <sheetName val="[내역서(1).xls][내역서(1).xls]______2"/>
      <sheetName val="[내역서(1).xls][내역서(1).xls]______3"/>
      <sheetName val="[내역서(1).xls][내역서(1).xls]5_____9"/>
      <sheetName val="[내역서(1).xls][내역서(1)_xls]5_____2"/>
      <sheetName val="기계경비시간당손료목록"/>
      <sheetName val="간공설계서"/>
      <sheetName val="BOM LIST 정리"/>
      <sheetName val="입고단가 LIST"/>
      <sheetName val="공사내_x0000_"/>
      <sheetName val="NKChungTu"/>
      <sheetName val="5.학교신설예산 쎸⬅_"/>
      <sheetName val="_내역서(1).xls_5.학교신설예산 쎸⬅_"/>
      <sheetName val="_내역서(ͭ_ͭ__x001c__x0"/>
      <sheetName val="ateCodes_TimeCodes_"/>
      <sheetName val="5_학교신설예산_쎸⬅_瀀þ밀"/>
      <sheetName val="5_학교신설예산_Ⴘ퀀诋쌆蠅_᠀"/>
      <sheetName val="단가_(2_"/>
      <sheetName val="단가_(2_栀"/>
      <sheetName val="tong hop v.tu"/>
      <sheetName val="C1_공䂏࿢ﱼ"/>
      <sheetName val="C1_공_x0000_Ԁ"/>
      <sheetName val="기성내역"/>
      <sheetName val="단가_"/>
      <sheetName val="보"/>
      <sheetName val="TEMP (9)"/>
      <sheetName val="初期値設定"/>
      <sheetName val="纏め表"/>
      <sheetName val="見積総括表"/>
      <sheetName val="총괄(Í"/>
      <sheetName val="철콘깨기단산"/>
      <sheetName val="bi-mnthly rep Villa"/>
      <sheetName val="original"/>
      <sheetName val="1999-2000 MONTHLY CASHFLOW"/>
      <sheetName val="장비종합부표"/>
      <sheetName val="집계표_식재"/>
      <sheetName val="부표"/>
      <sheetName val="bi-mnthly_rep_Villa"/>
      <sheetName val="1999-2000_MONTHLY_CASHFLOW"/>
      <sheetName val="5_학교신설예산_쎸⬅_"/>
      <sheetName val="_내역서(ͭ_ͭ__x0"/>
      <sheetName val="_내역서(1)_xls_5_학교신설예산_쎸⬅_"/>
      <sheetName val="keyword"/>
      <sheetName val="과장"/>
      <sheetName val="적용기준"/>
      <sheetName val="내역- ꍈ┊"/>
      <sheetName val="내역- _xdc48_ʉꍈ&gt;"/>
      <sheetName val="일위대가(건축)"/>
      <sheetName val="계측제어설비"/>
      <sheetName val="ateCodes?TimeCod_xd978_ꀋᙰ0_x0000_頀{_x0000__x0000_堀簊夞ĸ"/>
      <sheetName val="ateCodes?TimeCod_xd80b_齒ꀈᙰ0_x0000__xd800_Y_x0000__x0000_堀䠊夙ĸ"/>
      <sheetName val="환경기계공정표_髈㘻_x0000__x0000_"/>
      <sheetName val="환경기계공정표_艀㫐_x0000__x0000_"/>
      <sheetName val="환경기계공정표_蔀㫐_x0000__x0000_"/>
      <sheetName val="Price Database"/>
      <sheetName val="KHỐI_LƯỢNG_THANH_TOÁN"/>
      <sheetName val="DB_ET200(R__A)"/>
      <sheetName val="Bill_2-VMart&amp;VPro"/>
      <sheetName val="Cst_Pkg-Eden"/>
      <sheetName val="TOSHIBA-Structure"/>
      <sheetName val="Detail"/>
      <sheetName val="cov-estimate"/>
      <sheetName val="ประมาณการประตูหน้าต่าง_1"/>
      <sheetName val="schedule_1"/>
      <sheetName val="SITE_OFFICE1"/>
      <sheetName val="w't_table1"/>
      <sheetName val="ate蠀᏿㤂"/>
      <sheetName val="1_사유서"/>
      <sheetName val="계장_품셈표"/>
      <sheetName val="ateCఀ저殑"/>
      <sheetName val="_갑__지_10"/>
      <sheetName val="Project_Name1"/>
      <sheetName val="Deliver_Date1"/>
      <sheetName val="(1)_국내_사이트_상세_주소_"/>
      <sheetName val="0__수출,수입_건수"/>
      <sheetName val="1__수출_해상_(LCL)_"/>
      <sheetName val="2__수출_항공_"/>
      <sheetName val="(2-3)_수출_특송"/>
      <sheetName val="3__수출_내륙_운송료"/>
      <sheetName val="4__수입_해상_(FCL)"/>
      <sheetName val="5__수입_해상_(LCL)_"/>
      <sheetName val="6__수입_항공_"/>
      <sheetName val="(3-4)_수입_특송_"/>
      <sheetName val="7__수입_내륙_운송료"/>
      <sheetName val="8__창고료"/>
      <sheetName val="9__내륙_운송"/>
      <sheetName val="10__추가_제안_및_기타"/>
      <sheetName val="운송내역_"/>
      <sheetName val="3_PT개발계획"/>
      <sheetName val="24_보증금(전신전화가입권)"/>
      <sheetName val="Ⅴ-2_공종별내역"/>
      <sheetName val="PTDG_(T3)"/>
      <sheetName val="PTDG_(T4)"/>
      <sheetName val="[내역서(1)_xls][내역서(1)_xls]5_____2"/>
      <sheetName val="[내역서(1)_xls]단가_(2\"/>
      <sheetName val="[내역서(1)_xls]단가_(2\栀"/>
      <sheetName val="[내역서(1)_xls][내역서(1)_xls]5_____3"/>
      <sheetName val="[내역서(1)_xls][내역서(1)_xls]5_____4"/>
      <sheetName val="AnalisaSIPIL_RIIL"/>
      <sheetName val="D_5243-ARAMCO"/>
      <sheetName val="D-4801_OXY"/>
      <sheetName val="배수내역_(2)"/>
      <sheetName val="Har_Sat"/>
      <sheetName val="2000,9월_일위"/>
      <sheetName val="Analisa_Harga_Satuan"/>
      <sheetName val="KLDT_DIEN"/>
      <sheetName val="Dinh_muc_CP_KTCB_khac"/>
      <sheetName val="TH_MTC"/>
      <sheetName val="TH_N_Cong"/>
      <sheetName val="Eq__Mobilization"/>
      <sheetName val="Du_toan"/>
      <sheetName val="6PILEሀ䀀⨊脃ﲙ"/>
      <sheetName val="수량계산서_집계표(가설_신설_및_철거-을지로3가_3ఀက"/>
      <sheetName val="노원열병합__건축공사기성내역서"/>
      <sheetName val="_내역서(ͭ_ͭ___x"/>
      <sheetName val="토공_total"/>
      <sheetName val="ENE-CAL_1"/>
      <sheetName val="배수공_시멘트_및_골재량_산출"/>
      <sheetName val="단가_및邰㡗㡗"/>
      <sheetName val="한전일위"/>
      <sheetName val="BCulSch"/>
      <sheetName val="statement"/>
      <sheetName val="Build Up Rates"/>
      <sheetName val="토공계산서(부체도로)"/>
      <sheetName val="침하계"/>
      <sheetName val="J直材4"/>
      <sheetName val="MP01"/>
      <sheetName val="MP02"/>
      <sheetName val="공사기본내용입력"/>
      <sheetName val="ateCodes?TimeCodes?OverrideSho_x0002_"/>
      <sheetName val="계좌분리(_xdae0_䛸+"/>
      <sheetName val="시선유도표지집계표"/>
      <sheetName val="_내역서(ͭ_x005f"/>
      <sheetName val="ateCodes_x005f"/>
      <sheetName val="ee-prop"/>
      <sheetName val="계좌분리郁蒬퀤蒭"/>
      <sheetName val="계좌분리蘎ꨃ㟑"/>
      <sheetName val="발행"/>
      <sheetName val="신축넃䛀跡"/>
      <sheetName val="폐기물"/>
      <sheetName val="_______x005f_x0000___x005f_x0000__x005f_x001c___2"/>
      <sheetName val="ateCodes_x005f_x0000_TimeCodes_x000_2"/>
      <sheetName val="_______x005f_x005f_x005f_x0000___x005f_x005f_x0_2"/>
      <sheetName val="ateCodes_x005f_x005f_x005f_x0000_TimeCode_2"/>
      <sheetName val="__________x005f_x005f_x005f_x001c___x005f_x005f_2"/>
      <sheetName val="수_x005f_x0000_"/>
      <sheetName val="_______x005f_x005f_x005f_x0000___x005f_x005f_x0_3"/>
      <sheetName val="__________x005f_x005f_x005f_x001c___x005f_x005f_3"/>
      <sheetName val="수Å_x005f_x0000_"/>
      <sheetName val="수뢹_x005f_xdd4d_"/>
      <sheetName val="A__x005f_x0010__x005f_x0000_"/>
      <sheetName val="5____________x005f_x0000____x005f_x0000___2"/>
      <sheetName val="5.학교신설예산 Ⴘ_x005f_x0000_퀀诋쌆蠅/_x005f_x0000_᠀"/>
      <sheetName val="신축(_x005f_x0000__x005f_x0000__x005f_x0005_"/>
      <sheetName val="단가_및_재료_x005f_xdab0_"/>
      <sheetName val="_______x005f_x005f_x005f_x005f_x005f_x005f_x000_2"/>
      <sheetName val="ateCodes_x005f_x005f_x005f_x005f_x005f_x005f_x0_2"/>
      <sheetName val="__________x005f_x005f_x005f_x005f_x005f_x005f_x_2"/>
      <sheetName val="[내역서(1).xls]5____________x000_2"/>
      <sheetName val="11-2_아파_x005f_x0000__x005f_x0000_Ԁ_x005f_x0000_"/>
      <sheetName val="_내역서(ͭ_x005f_x005f_x005f_x0000_ͭ_x000"/>
      <sheetName val="_내역서(ͭ_ͭ__x005f_x005f_x005f_x001c___x"/>
      <sheetName val="사_x005f_x0000__x005f_x0000_Ԁ"/>
      <sheetName val="설계_x005f_x0000_"/>
      <sheetName val="전선_및_전선관-_x005f_x0000__x005f_x0000__x005f_x0005_"/>
      <sheetName val="신축(단위_x005f_x0000_"/>
      <sheetName val="Sheet㙸˯㦀ȼ_x005f_xda1b_!"/>
      <sheetName val="_내역서(ͭ?ͭ?_x005f_x001c__x0"/>
      <sheetName val="단가_(2\_x005f_x0000_"/>
      <sheetName val="A__x005f_x0010_"/>
      <sheetName val="사_x005f_x0000__x005f_x0000__x005f_x0000_"/>
      <sheetName val="방배동내역(_x005f_x0000__x005f_x0000_"/>
      <sheetName val="[내역서(1).xls]5__________x005f_x0000__2"/>
      <sheetName val="환경기계공정표_(3_x005f_x0000__x005f_x0000_"/>
      <sheetName val="환경기계공정표__x005f_x0005__x005f_x0000__x005f_x0000_"/>
      <sheetName val="_______x005f_x0000__x005f_x0000__x005f_x0000__x_2"/>
      <sheetName val="환경기계공정표_(3)_x005f_x0012_"/>
      <sheetName val="A_견_x005f_x0000__x005f_x0000_"/>
      <sheetName val="환경기계공정표__x005f_x0005_"/>
      <sheetName val="교각_x005f_x0000_"/>
      <sheetName val="ateCఀ_x005f_x0002_저殑"/>
      <sheetName val="[내역서(ͭ_x005f_x0000__x005f_x0000_Ԁ"/>
      <sheetName val="_______x005f_x005f_x005f_x0000___x005f_x005f_x0_4"/>
      <sheetName val="__________x005f_x005f_x005f_x001c___x005f_x005f_4"/>
      <sheetName val="ateCodes_TimeCodes_Overrid_x0_2"/>
      <sheetName val="_갑___x005f_x0000__x005f_x0000_"/>
      <sheetName val="6PILE脂鎙堀1_x005f_x0013__x005f_x0000__x005f_x0000_"/>
      <sheetName val="간¾_x005f_x0000_Ԁ"/>
      <sheetName val="_______x005f_x005f_x005f_x005f_x005f_x005f_x000_3"/>
      <sheetName val="__________x005f_x005f_x005f_x005f_x005f_x005f_x_3"/>
      <sheetName val="_______x005f_x005f_x005f_x005f_x005f_x005f_x005_2"/>
      <sheetName val="ateCodes_x005f_x005f_x005f_x005f_x005f_x005f_x0_3"/>
      <sheetName val="__________x005f_x005f_x005f_x005f_x005f_x005f_x_4"/>
      <sheetName val="양식_x0000_"/>
      <sheetName val="외동,공시지가"/>
      <sheetName val="ptvt"/>
      <sheetName val="1.R18 BF"/>
      <sheetName val="A"/>
      <sheetName val="G"/>
      <sheetName val="F-B"/>
      <sheetName val="H-J"/>
      <sheetName val="6.External works-R18"/>
      <sheetName val="Items"/>
      <sheetName val="Earthwork"/>
      <sheetName val="6MONTHS"/>
      <sheetName val="LE"/>
      <sheetName val="BLOCK C2"/>
      <sheetName val="WORK"/>
      <sheetName val="공사비증감"/>
      <sheetName val="모래운반"/>
      <sheetName val="수량계산서_집계표(철거-_x0000__x0000_즈ɐ:_xdef0_㄀_x0000__x0000_"/>
      <sheetName val="수량계산서_집계표(철거-_x0000__x0000_즈ɐ:⏰ヿ_x0000__x0000_"/>
      <sheetName val="수량계산서_집계표(철거-:_xdf10_‭_x0000__x0000__x0000__x0000_冘˚"/>
      <sheetName val="수량계산서_집계표(철거-:ᬐ‭_x0000__x0000__x0000__x0000_冘˚"/>
      <sheetName val="__"/>
      <sheetName val="1_변경범위2"/>
      <sheetName val="BOX(1_5X1_5)2"/>
      <sheetName val="선박별_배부2"/>
      <sheetName val="2000년_공정표2"/>
      <sheetName val="1062-X방향_1"/>
      <sheetName val="comps_LFY+2"/>
      <sheetName val="HDI_implied2"/>
      <sheetName val="임의_매출-수정전2"/>
      <sheetName val="채권_현황2"/>
      <sheetName val="CC_Down_load_07162"/>
      <sheetName val="요일별시간대별_근무인원_그래프2"/>
      <sheetName val="1_매출액2"/>
      <sheetName val="2_원가2"/>
      <sheetName val="10_인원2"/>
      <sheetName val="2_호선별예상실적2"/>
      <sheetName val="생산매출_(4)2"/>
      <sheetName val="1월_예산2"/>
      <sheetName val="대차대조표_(2)2"/>
      <sheetName val="환율_및_참고2"/>
      <sheetName val="_총괄표1"/>
      <sheetName val="3800-400_기계감가1"/>
      <sheetName val="입찰내역_발주처_양식"/>
      <sheetName val="3월팀계"/>
      <sheetName val="[내역서(ͭͭ_x02"/>
      <sheetName val="[내역서(ͭͭ_x03"/>
      <sheetName val="[내역서(ͭͭ_x04"/>
      <sheetName val="[내역서(ͭͭ_x05"/>
      <sheetName val="[내역서(ͭͭ_x06"/>
      <sheetName val="[내역서(ͭͭ_x07"/>
      <sheetName val="[내역서(ͭͭ_x08"/>
      <sheetName val="[내역서(ͭͭ_x09"/>
      <sheetName val="[내역서(ͭͭ_x010"/>
      <sheetName val="[내역서(ͭͭ_x011"/>
      <sheetName val="[내역서(ͭͭ_x012"/>
      <sheetName val="[내역서(ͭͭ_x013"/>
      <sheetName val="[내역서(ͭͭ_x014"/>
      <sheetName val="_기성청구서_양식_xlsx"/>
      <sheetName val="Bang_TH"/>
      <sheetName val="06_일위대가목록"/>
      <sheetName val="견적대비(1차)_(2)"/>
      <sheetName val="대분류_ITEM별_분석(3월)"/>
      <sheetName val="2_损益表1"/>
      <sheetName val="4_PL1"/>
      <sheetName val="6_BS1"/>
      <sheetName val="9_차입,대여금1"/>
      <sheetName val="2-2_매출분석1"/>
      <sheetName val="6_PL1"/>
      <sheetName val="4_成本明细表1"/>
      <sheetName val="7_6大成本明细表1"/>
      <sheetName val="4_추정손익1"/>
      <sheetName val="2_매출원가1"/>
      <sheetName val="3_일반관리,영업외1"/>
      <sheetName val="5_管理费明细表1"/>
      <sheetName val="6_营业外收支明细表1"/>
      <sheetName val="3_收入明细表1"/>
      <sheetName val="토공(우물통,기타)_"/>
      <sheetName val="6PILE__(効"/>
      <sheetName val="LS"/>
      <sheetName val="M1master"/>
      <sheetName val="건물"/>
      <sheetName val="1분기재고장"/>
      <sheetName val="2분기재고"/>
      <sheetName val="총괄(데이소劼"/>
      <sheetName val="조정금액결과표 (차수별)"/>
      <sheetName val="전선_및_전선관-자㢾㝎"/>
      <sheetName val="보.기둥표"/>
      <sheetName val="PROFILE"/>
      <sheetName val="마감재표"/>
      <sheetName val="창호"/>
      <sheetName val="품셈衆"/>
      <sheetName val="1.취수장"/>
      <sheetName val="발주참고#"/>
      <sheetName val="노임변동률"/>
      <sheetName val="총공사비"/>
      <sheetName val="수액원료4"/>
      <sheetName val="장비 (2)"/>
      <sheetName val="금리계산"/>
      <sheetName val="영외수지"/>
      <sheetName val="전동기"/>
      <sheetName val="단가(공통)"/>
      <sheetName val="대부예산서"/>
      <sheetName val="공정코드"/>
      <sheetName val="내역총괄"/>
      <sheetName val="내역총괄2"/>
      <sheetName val="내역총괄3"/>
      <sheetName val="선수금"/>
      <sheetName val="Total All By Trades highest 1st"/>
      <sheetName val="원가서"/>
      <sheetName val="M.o.S. Schedule"/>
      <sheetName val="기준액"/>
      <sheetName val="SCE_LOG"/>
      <sheetName val="PROJ. DATA"/>
      <sheetName val=" Beams Sched "/>
      <sheetName val="5.동별횡주관경"/>
      <sheetName val="별첨2.발주예정"/>
      <sheetName val="부하자료"/>
      <sheetName val="3BL공동구 수량"/>
      <sheetName val="공사설계서"/>
      <sheetName val="동해묵호1내역"/>
      <sheetName val="준검 내역서"/>
      <sheetName val="통계자료"/>
      <sheetName val="93D"/>
      <sheetName val="94D"/>
      <sheetName val="95D"/>
      <sheetName val="      "/>
      <sheetName val="SJB-101"/>
      <sheetName val="SLAB&quot;1&quot;"/>
      <sheetName val="선급비용"/>
      <sheetName val="골재산출"/>
      <sheetName val="기술부대조건"/>
      <sheetName val="Total_All_By_Trades_highest_1st"/>
      <sheetName val="M_o_S__Schedule"/>
      <sheetName val="1_취수장"/>
      <sheetName val="PROJ__DATA"/>
      <sheetName val="_Beams_Sched_"/>
      <sheetName val="4차원가계산서"/>
      <sheetName val="토목내역 (2)"/>
      <sheetName val="Num_Word1"/>
      <sheetName val="시산표"/>
      <sheetName val="본사재고"/>
      <sheetName val="손익계산서PL"/>
      <sheetName val="현금성자산,단기금융"/>
      <sheetName val="매출채권"/>
      <sheetName val="대여,공사,분양미수금,미수수익"/>
      <sheetName val="미수금"/>
      <sheetName val="선급금,선급법인세,선급비용"/>
      <sheetName val="재고자산,임대주택자산"/>
      <sheetName val="장기금융,장기투자,보증금"/>
      <sheetName val="유,무형자산"/>
      <sheetName val="건중,장기미수금,보증금"/>
      <sheetName val="매입채무"/>
      <sheetName val="미지급금"/>
      <sheetName val="단기,장기차입금"/>
      <sheetName val="분양,임대선수금"/>
      <sheetName val="예수금,미지급비용,예수보증금"/>
      <sheetName val="장기보증금"/>
      <sheetName val="퇴충,하자충"/>
      <sheetName val="자본금"/>
      <sheetName val="영업부문분류"/>
      <sheetName val="BOX"/>
      <sheetName val="자재단가_x0000__x0000__x0005_"/>
      <sheetName val="철거폐쇄,고재"/>
      <sheetName val="자재,부설,부대공(50)"/>
      <sheetName val="재료,부설(80)"/>
      <sheetName val="품셈Å"/>
      <sheetName val="설계_x0005_"/>
      <sheetName val="C1_공_x0000__x0000_"/>
      <sheetName val="C1_공_x0019__x0000__x0000_"/>
      <sheetName val="3-2. 산재고용보험료"/>
      <sheetName val="6-1. 관개량_x0000__x0000_"/>
      <sheetName val="환경기계공정표_腰╙_x0000__x0000_"/>
      <sheetName val="환경기계공정표_〃ᇐᖗ"/>
      <sheetName val="산출근거#2-3"/>
      <sheetName val="Sur Site"/>
      <sheetName val="Spool Index"/>
      <sheetName val="분석적검토"/>
      <sheetName val="현금흐름표"/>
      <sheetName val="12CGOU"/>
      <sheetName val="업체별공사이행등급"/>
      <sheetName val="5.직倳즪စ즬_x0005_"/>
      <sheetName val="5.직耳䀪*"/>
      <sheetName val="상용"/>
      <sheetName val="현장지지물물량"/>
      <sheetName val="CAP"/>
      <sheetName val="dV&amp;Cl"/>
      <sheetName val="Var."/>
      <sheetName val="R"/>
      <sheetName val="C1_공_x001c_"/>
      <sheetName val="ateCodeñ"/>
      <sheetName val="C1_공则_x0010__x0000_"/>
      <sheetName val="ateCode勱"/>
      <sheetName val="결재판(삭제하지말아주세요)"/>
      <sheetName val="산거각호표"/>
      <sheetName val="MIJIBI"/>
      <sheetName val="노임9월"/>
      <sheetName val="사고96"/>
      <sheetName val="자금운용계획표"/>
      <sheetName val="남양내역"/>
      <sheetName val="제품목록"/>
      <sheetName val="lee"/>
      <sheetName val="집계표소트"/>
      <sheetName val="ATM기초철가"/>
      <sheetName val="인원계획-미화"/>
      <sheetName val="환산"/>
      <sheetName val="통계연보"/>
      <sheetName val="2.1  노무비 평균단가산출"/>
      <sheetName val="인력투입산출"/>
      <sheetName val="전체실적"/>
      <sheetName val="효율계획(당월)"/>
      <sheetName val="제조부문배부"/>
      <sheetName val="SCH- % WT."/>
      <sheetName val="OVERALL CURVE"/>
      <sheetName val="흑관"/>
      <sheetName val="산출2-기기동력"/>
      <sheetName val="건축공사椂軶"/>
      <sheetName val="건축공사椂軶저"/>
      <sheetName val="건축공사椂軶 "/>
      <sheetName val="건축공사栀ᬧ,"/>
      <sheetName val="건축공사糥嬲䀂"/>
      <sheetName val="투자계획집계표"/>
      <sheetName val="ACC NW"/>
      <sheetName val="유지보수"/>
      <sheetName val="이동통신"/>
      <sheetName val="II SYS"/>
      <sheetName val="해외"/>
      <sheetName val="LOOKUP"/>
      <sheetName val="건____재"/>
      <sheetName val="ateCodes?TimeCod_xd978_ꀋᙰ0"/>
      <sheetName val="ateCodes?TimeCod_xd80b_齒ꀈᙰ0"/>
      <sheetName val="대차대조표"/>
      <sheetName val="재무비율"/>
      <sheetName val="참_x0000__x0000_Ԁ"/>
      <sheetName val="[내역서(ͭ_x0000_ͭ_x0000_ _x0000_ _x0000_가표"/>
      <sheetName val="[내역서(ͭ?ͭ? ? ?가표"/>
      <sheetName val="적용요율"/>
      <sheetName val="설계개요"/>
      <sheetName val="환경검토직접경비"/>
      <sheetName val="환경검토총괄"/>
      <sheetName val="환경검토직접인건비"/>
      <sheetName val="비열"/>
      <sheetName val="PLCAL"/>
      <sheetName val="⑤항목별2"/>
      <sheetName val="DGG"/>
      <sheetName val="MAIN GATE HOUSE"/>
      <sheetName val="조선용암면"/>
      <sheetName val="TONG NUOCGOC"/>
      <sheetName val="단가_및_재료?"/>
      <sheetName val="Doi so"/>
      <sheetName val="_내역서(1).xls_5.학교신설예산 Ⴘ"/>
      <sheetName val="Main"/>
      <sheetName val="Bar-Data"/>
      <sheetName val="13.접속슬래브"/>
      <sheetName val="3연box"/>
      <sheetName val="S-Curve"/>
      <sheetName val="부재력정리"/>
      <sheetName val="TYPE-B 평균H"/>
      <sheetName val="B1"/>
      <sheetName val="Civil"/>
      <sheetName val="CIM"/>
      <sheetName val="DD EST."/>
      <sheetName val="KP_List"/>
      <sheetName val="LIBRARY"/>
      <sheetName val="GESTION FICHE"/>
      <sheetName val="TRADUCTION LISTES"/>
      <sheetName val="Schedule S-Curve Revision#3"/>
      <sheetName val="RFP002"/>
      <sheetName val="BOQ segment3 (Part C-H)"/>
      <sheetName val="VF Full Recon"/>
      <sheetName val="BOQ segment3 (PartB)"/>
      <sheetName val="eqpmt"/>
      <sheetName val="性能取り纏め"/>
      <sheetName val="Materials"/>
      <sheetName val="見管ＧＴ"/>
      <sheetName val="EXR"/>
      <sheetName val="NDC HW Repair"/>
      <sheetName val="Derive"/>
      <sheetName val="prod-rates2"/>
      <sheetName val="CFA"/>
      <sheetName val="Main Bldg."/>
      <sheetName val="prices"/>
      <sheetName val="RATES"/>
      <sheetName val="Summary - Buildings"/>
      <sheetName val="CashFlwProjections"/>
      <sheetName val="NC"/>
      <sheetName val="取纏"/>
      <sheetName val="INPUT DATA HERE"/>
      <sheetName val="想定価格"/>
      <sheetName val="costing_ESDV"/>
      <sheetName val="costing_FE"/>
      <sheetName val="costing_Misc"/>
      <sheetName val="costing_MOV"/>
      <sheetName val="costing_Press"/>
      <sheetName val="eq_data"/>
      <sheetName val="Equipt Rental"/>
      <sheetName val="BM DATA SHEET"/>
      <sheetName val="Electrical Pricelist"/>
      <sheetName val="Other"/>
      <sheetName val="Building"/>
      <sheetName val="Dico"/>
      <sheetName val="C_E"/>
      <sheetName val="ACMV"/>
      <sheetName val="markup"/>
      <sheetName val="Resource"/>
      <sheetName val="A.1.1(e)"/>
      <sheetName val="A.1.4"/>
      <sheetName val="A.1.1(d)"/>
      <sheetName val="A.1.3"/>
      <sheetName val="A.1.2(a)"/>
      <sheetName val="A.1.1(a)"/>
      <sheetName val="적용환율"/>
      <sheetName val="corbeldatail"/>
      <sheetName val="I.설계조건"/>
      <sheetName val="Bill 2 -RETAIL"/>
      <sheetName val="tabulation (comparison)"/>
      <sheetName val="TABLO-3"/>
      <sheetName val="LOADS"/>
      <sheetName val="Code 07"/>
      <sheetName val="단면"/>
      <sheetName val="SANBAISU"/>
      <sheetName val="[내역서(ͭ_x005f_x0000_ͭ_x005f_x005f_x000"/>
      <sheetName val="[내역서(ͭ?ͭ?_x005f_x001c_?_x005f_x005f_x"/>
      <sheetName val="_내역서(ͭ_x005f_x005f_x005F?"/>
      <sheetName val="ateCodes_x005f_x005f_x000"/>
      <sheetName val="_내역서(ͭ_ͭ__x005f_x005f_x00"/>
      <sheetName val="단가_및邰㡗?㡗"/>
      <sheetName val="협가표"/>
      <sheetName val="수입2"/>
      <sheetName val="loading"/>
      <sheetName val="빌딩 안내"/>
      <sheetName val="제비용"/>
      <sheetName val="C1_공_x0019__x0000_꤀"/>
      <sheetName val="판넬"/>
      <sheetName val="철골"/>
      <sheetName val="내역서(1).xls"/>
      <sheetName val="%EB%82%B4%EC%97%AD%EC%84%9C(1)."/>
      <sheetName val="중강당 내역"/>
      <sheetName val="세금계산서 "/>
      <sheetName val="출고대장"/>
      <sheetName val="거래명세표"/>
      <sheetName val="거래⺿g"/>
      <sheetName val="빙축열"/>
      <sheetName val="환경기계공정표_¹_x0000_Ԁ_x0000_"/>
      <sheetName val="주공_갑_x0000_"/>
      <sheetName val="단가_(2_x0000__x0000_"/>
      <sheetName val="Customer_Datab뇠ᜑ"/>
      <sheetName val="Customer_Datab먠᜽"/>
      <sheetName val="영동癰၎_x0000_"/>
      <sheetName val="설치내역서"/>
      <sheetName val="실DATA_10"/>
      <sheetName val="코스모공장_(어음)9"/>
      <sheetName val="A_견적9"/>
      <sheetName val="환경기계공정표_(3)9"/>
      <sheetName val="Sheet1_(2)9"/>
      <sheetName val="총_원가계산9"/>
      <sheetName val="단가_(2)9"/>
      <sheetName val="6PILE__(돌출)9"/>
      <sheetName val="총괄갑_9"/>
      <sheetName val="11-2_아파트내역9"/>
      <sheetName val="내역서1999_8최종9"/>
      <sheetName val="기초입력_DATA8"/>
      <sheetName val="노임단가_(2)8"/>
      <sheetName val="1차_내역서8"/>
      <sheetName val="BSD_(2)8"/>
      <sheetName val="설명서_8"/>
      <sheetName val="2-1__경관조명_내역총괄표8"/>
      <sheetName val="_견적서8"/>
      <sheetName val="플랜트_설치8"/>
      <sheetName val="중기조종사_단위단가8"/>
      <sheetName val="신_분8"/>
      <sheetName val="인건비_8"/>
      <sheetName val="수량계산서_집계표(가설_신설_및_철거-을지로3가_3호선8"/>
      <sheetName val="수량계산서_집계표(신설-을지로3가_3호선)8"/>
      <sheetName val="수량계산서_집계표(철거-을지로3가_3호선)8"/>
      <sheetName val="일위대가_8"/>
      <sheetName val="전선_및_전선관-자유로8"/>
      <sheetName val="3월팀계_8"/>
      <sheetName val="Customer_Databas8"/>
      <sheetName val="C1_공사개요8"/>
      <sheetName val="A1_스케쥴8"/>
      <sheetName val="단가_및_재료비8"/>
      <sheetName val="AS포장복구_8"/>
      <sheetName val="G_R300경비8"/>
      <sheetName val="아파트_내역8"/>
      <sheetName val="DATA_입력란8"/>
      <sheetName val="주공_갑지8"/>
      <sheetName val="경율산정_XLS7"/>
      <sheetName val="전차선로_물량표7"/>
      <sheetName val="조도계산서_(도서)7"/>
      <sheetName val="1_동력공사6"/>
      <sheetName val="2_고용보험료산출근거7"/>
      <sheetName val="27_건설이자7"/>
      <sheetName val="9-2_단지투자7"/>
      <sheetName val="9-4_단지분양수납7"/>
      <sheetName val="28_차입금상환계획7"/>
      <sheetName val="10-4_운하물류분양수납7"/>
      <sheetName val="10-2_운하물류투자7"/>
      <sheetName val="※_2010예산총괄표7"/>
      <sheetName val="내역서_제출7"/>
      <sheetName val="8_설치품셈7"/>
      <sheetName val="아파트_7"/>
      <sheetName val="품셈_6"/>
      <sheetName val="1_설계조건6"/>
      <sheetName val="EQUIP_LIST6"/>
      <sheetName val="6-1__관개량조서6"/>
      <sheetName val="BTL시설예산_기준표7"/>
      <sheetName val="5_학교신설예산_집행(01~08)7"/>
      <sheetName val="점검결과(08년_100교_지원)7"/>
      <sheetName val="표지_(3)6"/>
      <sheetName val="원가계산서_(2)6"/>
      <sheetName val="산출_근거16"/>
      <sheetName val="Raw_Data6"/>
      <sheetName val="전체내역_(2)6"/>
      <sheetName val="실행내역서_6"/>
      <sheetName val="5_직원투입현황6"/>
      <sheetName val="예정공정표_6"/>
      <sheetName val="7_기-검-보_1006"/>
      <sheetName val="내역-_CCTV7"/>
      <sheetName val="2_대외공문6"/>
      <sheetName val="기본항목_입력6"/>
      <sheetName val="공사원가계산서_6"/>
      <sheetName val="1__조명내역서(조명설치)6"/>
      <sheetName val="2__조명내역서(조명자재)6"/>
      <sheetName val="8_PILE__(돌출)6"/>
      <sheetName val="참고)BTL시설예산_기준표6"/>
      <sheetName val="단가일람_(2)6"/>
      <sheetName val="96_126"/>
      <sheetName val="GT_1050x6506"/>
      <sheetName val="2_토목공사6"/>
      <sheetName val="사__업__비__수__지__예__산__서6"/>
      <sheetName val="각사별공사비분개_6"/>
      <sheetName val="개별직종노임단가(2005_1)6"/>
      <sheetName val="총괄_내역서6"/>
      <sheetName val="4_고용보험6"/>
      <sheetName val="3_고용보험료산출근거6"/>
      <sheetName val="PIPERACK_집계표6"/>
      <sheetName val="EQUIPEMENT_집계표6"/>
      <sheetName val="BUILDING_&amp;SHELTER_집계표6"/>
      <sheetName val="OTHERS_집계표6"/>
      <sheetName val="CONTROL_BD6"/>
      <sheetName val="LIFTING_DEVICE6"/>
      <sheetName val="220_(2)6"/>
      <sheetName val="Man_Hole6"/>
      <sheetName val="소상_&quot;1&quot;6"/>
      <sheetName val="당월_인력6"/>
      <sheetName val="0_0ControlSheet6"/>
      <sheetName val="설산1_나6"/>
      <sheetName val="공통가설내역서__(당사)6"/>
      <sheetName val="2_원가및인원현황집계6"/>
      <sheetName val="De_bai6"/>
      <sheetName val="표지_6"/>
      <sheetName val="지번별_묘묙소요내역6"/>
      <sheetName val="총괄_설계내역서6"/>
      <sheetName val="6_1_일위대가6"/>
      <sheetName val="효성CB_1P기초6"/>
      <sheetName val="예산서_6"/>
      <sheetName val="화순_대리-다지리실행내역6"/>
      <sheetName val="노임단가(2010_상)6"/>
      <sheetName val="원가계산서_5"/>
      <sheetName val="토목내역서_(도급단가)6"/>
      <sheetName val="Isolasi_Luar_Dalam6"/>
      <sheetName val="Isolasi_Luar6"/>
      <sheetName val="breakdown_Price-Chuong6"/>
      <sheetName val="cable,_lighting,_switch6"/>
      <sheetName val="DonGia_VatTuLK6"/>
      <sheetName val="Bang_chiet_tinh_TBA6"/>
      <sheetName val="현장관리비_산출내역5"/>
      <sheetName val="고객사_관리_코드5"/>
      <sheetName val="2_1_受電設備棟3"/>
      <sheetName val="2_2_受・防火水槽3"/>
      <sheetName val="2_3_排水処理設備棟3"/>
      <sheetName val="2_4_倉庫棟3"/>
      <sheetName val="2_5_守衛棟3"/>
      <sheetName val="Div26_-_Elect3"/>
      <sheetName val="NSA_fr_Revit3"/>
      <sheetName val="MTO_REV_03"/>
      <sheetName val="Area_Cal3"/>
      <sheetName val="96보완계획7_123"/>
      <sheetName val="공사비_내역_(가)1"/>
      <sheetName val="방배동내역_(총괄)3"/>
      <sheetName val="노무비_근거2"/>
      <sheetName val="Finishes_code3"/>
      <sheetName val="HD_1-4_세부공종별,업체별_내역(L4)3"/>
      <sheetName val="2F_회의실견적(5_14_일대)3"/>
      <sheetName val="97_사업추정(WEKI)1"/>
      <sheetName val="공사금액_내역_(1)1"/>
      <sheetName val="FRP_PIPING_일위대가1"/>
      <sheetName val="CCTV_수량(배관-송수가압장)1"/>
      <sheetName val="공사예산하조서(O_K)1"/>
      <sheetName val="전선_및_전선관1"/>
      <sheetName val="°ø»ç¿¹»êÇÏÁ¶¼­(O_K)1"/>
      <sheetName val="4_설계예산내역서1"/>
      <sheetName val="3_내역서1"/>
      <sheetName val="BEND_LOSS1"/>
      <sheetName val="건축공사_집계표1"/>
      <sheetName val="Khoi_luong1"/>
      <sheetName val="Gia_vat_tu1"/>
      <sheetName val="7_경제성결과1"/>
      <sheetName val="ESTI_1"/>
      <sheetName val="Breakdown_(B)1"/>
      <sheetName val="Don_gia_chi_tiet1"/>
      <sheetName val="Scheme_B_Estimate_1"/>
      <sheetName val="5_학교신설예산_쎸⬅/1"/>
      <sheetName val="5_학교신설예산_Ⴘ1"/>
      <sheetName val="THU_T61"/>
      <sheetName val="Thu_chi_T041"/>
      <sheetName val="tong_du_toan1"/>
      <sheetName val="공급기자재조서_(2)1"/>
      <sheetName val="산출(동해선_본선)1"/>
      <sheetName val="집계(동해본선)_1"/>
      <sheetName val="거래罈_羌1"/>
      <sheetName val="이서_빙등제1"/>
      <sheetName val="원가계산서(생태쉼터)_1"/>
      <sheetName val="방림_토공수량1"/>
      <sheetName val="방림_토공_산출근거1"/>
      <sheetName val="이서_빙등제_수량집계표1"/>
      <sheetName val="이서_빙등제_산출근거1"/>
      <sheetName val="자재_집계표1"/>
      <sheetName val="1_암사대교_산출1"/>
      <sheetName val="단면_(2)1"/>
      <sheetName val="집_계_표1"/>
      <sheetName val="PL_Vua1"/>
      <sheetName val="unit_41"/>
      <sheetName val="DB_ET200(R__A)1"/>
      <sheetName val="Summary_-_Budget1"/>
      <sheetName val="[내역서(1)_xls]5_학교신설예산_쎸⬅/1"/>
      <sheetName val="[내역서(1)_xls]5_학교신설예산_Ⴘ1"/>
      <sheetName val="HARGA_MATERIAL1"/>
      <sheetName val="c_&amp;_g_rhs1"/>
      <sheetName val="_갑__지_11"/>
      <sheetName val="KHỐI_LƯỢNG_THANH_TOÁN1"/>
      <sheetName val="Phu_cap1"/>
      <sheetName val="[내역서(1)_xls]5_학교신설예산_쎸⬅/瀀þ밀2"/>
      <sheetName val="11_산출(전열)1"/>
      <sheetName val="6_산출(동력)1"/>
      <sheetName val="7_산출(TRAY)1"/>
      <sheetName val="6__안전관리비1"/>
      <sheetName val="국도접속_차도부수량1"/>
      <sheetName val="[내역서(1)_xls]5_학교신설예산_Ⴘ퀀诋쌆蠅/᠀1"/>
      <sheetName val="A_일용노무비지급명세서1"/>
      <sheetName val="5_학교신설예산_집행(01~偤°1"/>
      <sheetName val="Bill_2-VMart&amp;VPro1"/>
      <sheetName val="ateCodes?TimeCodes?Overri飀Ⱔ"/>
      <sheetName val="Cst_Pkg-Eden1"/>
      <sheetName val="chiet_tinh"/>
      <sheetName val="tong_hop_v_tu"/>
      <sheetName val="Price_Database"/>
      <sheetName val="붙임4_앵커볼트"/>
      <sheetName val="붙임2_최대수평하중"/>
      <sheetName val="[내역서(1)_xls][내역서(1)_xls]5____10"/>
      <sheetName val="[내역서(1)_xls][내역서(1)_xls]5____11"/>
      <sheetName val="[내역서(1)_xls][내역서(1)_xls]5____12"/>
      <sheetName val="[내역서(1)_xls][내역서(1)_xls]5____13"/>
      <sheetName val="[내역서(1)_xls][내역서(1)_xls]단가_(2\"/>
      <sheetName val="[내역서(1)_xls][내역서(1)_xls]단가_(2\栀"/>
      <sheetName val="[내역서(1)_xls][내역서(1)_xls]5____14"/>
      <sheetName val="[내역서(1)_xls][내역서(1)_xls]5_____5"/>
      <sheetName val="[내역서(1)_xls][내역서(1)_xls]5_____6"/>
      <sheetName val="[내역서(1)_xls][내역서(1)_xls]5_____7"/>
      <sheetName val="[내역서(1)_xls][내역서(1)_xls]5_____8"/>
      <sheetName val="[내역서(1)_xls][내역서(1)_xls]______2"/>
      <sheetName val="[내역서(1)_xls][내역서(1)_xls]______3"/>
      <sheetName val="[내역서(1)_xls][내역서(1)_xls]5_____9"/>
      <sheetName val="[내역서(1)_xls][내역서(1)_xls]5_____1"/>
      <sheetName val="ate"/>
      <sheetName val="Total_for_Check"/>
      <sheetName val="DAFTAR_7"/>
      <sheetName val="II__CF"/>
      <sheetName val="Final_Staff_Chart"/>
      <sheetName val="7_Á¶Á÷Ç¥"/>
      <sheetName val="Executive_Summary"/>
      <sheetName val="5201_2004"/>
      <sheetName val="GRAND_REKAP"/>
      <sheetName val="scale_&amp;_Income"/>
      <sheetName val="BOM_LIST_정리"/>
      <sheetName val="입고단가_LIST"/>
      <sheetName val="거래刀"/>
      <sheetName val="CABLE_SIZE-1"/>
      <sheetName val="제작물량_7월"/>
      <sheetName val="수고조사야"/>
      <sheetName val="3.하중계산"/>
      <sheetName val="TH Kinh phi"/>
      <sheetName val="Thuc thanh"/>
      <sheetName val="총원가계산서(요율)"/>
      <sheetName val="GlassData"/>
      <sheetName val="Đơn giá theo m2"/>
      <sheetName val="포장수량단위"/>
      <sheetName val="수목일위"/>
      <sheetName val="일위대가(계측_x0000__x0000_Ԁ_x0000_"/>
      <sheetName val="Sheet㙸˯㦀ȼ?!"/>
      <sheetName val="ateCodes?TimeCod?ꀋᙰ0_x0000_頀{_x0000__x0000_堀簊夞ĸ"/>
      <sheetName val="ateCodes?TimeCod?齒ꀈᙰ0_x0000_?Y_x0000__x0000_堀䠊夙ĸ"/>
      <sheetName val="2A"/>
      <sheetName val="BGT"/>
      <sheetName val="Re1"/>
      <sheetName val="BẢNG TRA"/>
      <sheetName val="간접비 총괄표"/>
      <sheetName val="Rebar Sum"/>
      <sheetName val="Manpower costs + data"/>
      <sheetName val="rate PC item"/>
      <sheetName val="7IFS-5A"/>
      <sheetName val="ph2B cnstrction sched."/>
      <sheetName val="도기류"/>
      <sheetName val="steam table"/>
      <sheetName val="配管BQ"/>
      <sheetName val="5.BANG I"/>
      <sheetName val="Public Health systems"/>
      <sheetName val="Annual_CFs_Asset"/>
      <sheetName val="마산방향철근집계"/>
      <sheetName val="TH VL, NC, DDHT Thanhphuoc"/>
      <sheetName val="대창(함평)"/>
      <sheetName val="대창(장성)"/>
      <sheetName val="Cost increment"/>
      <sheetName val="XLR_NoRangeSheet"/>
      <sheetName val="Define finishing"/>
      <sheetName val="H_Satuan"/>
      <sheetName val="5_BANG_I"/>
      <sheetName val="Public_Health_systems"/>
      <sheetName val="TH_VL,_NC,_DDHT_Thanhphuoc"/>
      <sheetName val="Cost_increment"/>
      <sheetName val="Define_finishing"/>
      <sheetName val="99년하반기"/>
      <sheetName val="공정집계_국별"/>
      <sheetName val="내역서(교량)전체"/>
      <sheetName val="소일위대가코드표"/>
      <sheetName val="기초목"/>
      <sheetName val="수량계산서_집계표(철거-"/>
      <sheetName val="수량계산서_집계표(철거-:_xdf10_‭"/>
      <sheetName val="수량계산서_집계표(철거-:ᬐ‭"/>
      <sheetName val="전선_및_전선관-자䝼-"/>
      <sheetName val="비계공사"/>
      <sheetName val="C1_공r_x0000__x0000_"/>
      <sheetName val="C1_공_x0019__x0000_倀"/>
      <sheetName val="현황표-원래"/>
      <sheetName val="지급(진행중)"/>
      <sheetName val="자  재"/>
      <sheetName val="건축외주"/>
      <sheetName val="[내역서(1).xls]단가_(2\_x005f_x0000_"/>
      <sheetName val="[내역서(1).xls]5_학교신설예산_쎸⬅/"/>
      <sheetName val="[내역서(1).xls][내역서(1)_xls]단가_(2\"/>
      <sheetName val="[내역서(1).xls][내역서(1)_xls]단가_(2\栀"/>
      <sheetName val="기초분물량표"/>
      <sheetName val="LP-S"/>
      <sheetName val="DATA_입_x0000__x0000_"/>
      <sheetName val="HEAT_입력자료"/>
      <sheetName val="열수지"/>
      <sheetName val="산출금액내역"/>
      <sheetName val="CHAMBER"/>
      <sheetName val="접속도로1"/>
      <sheetName val="_내역서(ͭ_x005f_x005f_x005F"/>
      <sheetName val="_내역서(ͭ_x005f_x0000_"/>
      <sheetName val="Assumption"/>
      <sheetName val="고용(소방)"/>
      <sheetName val="고용(전기)"/>
      <sheetName val="소총괄(계좌)"/>
      <sheetName val="실DAT_x0000__x0000__x0000_"/>
      <sheetName val="Cash Out-Plan"/>
      <sheetName val="_내역서(ͭͭ_x001c__x001c_가표"/>
      <sheetName val="Cost Summary"/>
      <sheetName val="BOM_DCS"/>
      <sheetName val="Rekapitulasi"/>
      <sheetName val="상품입고집계"/>
      <sheetName val="참"/>
      <sheetName val="환경기계공정표_¹"/>
      <sheetName val="일위대가(계측"/>
      <sheetName val="ateCodes?TimeCod?ꀋᙰ0"/>
      <sheetName val="ateCodes?TimeCod?齒ꀈᙰ0"/>
      <sheetName val="포장공(부체도로)"/>
      <sheetName val="3-DIV3"/>
      <sheetName val="ANL SNI"/>
      <sheetName val="Bahan"/>
      <sheetName val="5.학교신설예산 쎸⬅_瀀þ밀"/>
      <sheetName val="5.학교신설예산 Ⴘ퀀诋쌆蠅_᠀"/>
      <sheetName val="_내역서(1).xls_5.학교신설예산 쎸⬅_瀀þ밀"/>
      <sheetName val="_내역서(1).xls_5.학교신설예산 Ⴘ퀀诋쌆蠅_᠀"/>
      <sheetName val="_내역서(׃"/>
      <sheetName val="_내역서(ͭԀ"/>
      <sheetName val="수뢹_"/>
      <sheetName val="Sheet㙸˯㦀ȼ_"/>
      <sheetName val="_내역서(1)_xls_5_학교신설예산_쎸⬅_瀀þ밀"/>
      <sheetName val="ateCodes_TimeCodes_Overrid_x0005_钀"/>
      <sheetName val="_내역서(ͭͭ가"/>
      <sheetName val="_내역서(ͭͭ_x001c__x02"/>
      <sheetName val="_내역서(ͭͭ_x001c__x03"/>
      <sheetName val="_내역서(ͭͭ_x001c__x04"/>
      <sheetName val="_내역서(ͭͭ_x001c__x05"/>
      <sheetName val="_내역서(ͭͭ_x001c__x06"/>
      <sheetName val="_내역서(ͭͭ_x001c__x07"/>
      <sheetName val="_내역서(ͭͭ_x001c__x08"/>
      <sheetName val="_내역서(ͭͭ_x001c__x09"/>
      <sheetName val="_내역서(ͭͭ_x001c__x010"/>
      <sheetName val="_내역서(ͭͭ_x001c__x011"/>
      <sheetName val="_내역서(ͭͭ_x001c__x012"/>
      <sheetName val="_내역서(ͭͭ_x001c__x013"/>
      <sheetName val="_내역서(ͭͭ_x001c__x014"/>
      <sheetName val="_내역서(1).xls_5_학교신설예산_쎸⬅_瀀þ밀"/>
      <sheetName val="_내역서(1).xls_5_학교신설예산_Ⴘ퀀诋쌆蠅_᠀"/>
      <sheetName val="_내역서(1).xls__내역서(1).xls_5_____2"/>
      <sheetName val="_내역서(1).xls__내역서(1).xls_5_____3"/>
      <sheetName val="ateCodes_TimeCodes_Overri_x0005_飀Ⱔ"/>
      <sheetName val="_내역서(1).xls_단가_(2_"/>
      <sheetName val="_내역서(1).xls_단가_(2_栀"/>
      <sheetName val="_내역서(1).xls__내역서(1).xls_5_____4"/>
      <sheetName val="ateCodes_TimeCodes_OverrideSho"/>
      <sheetName val="ateCodes_TimeCodes_OverrideSho适"/>
      <sheetName val="ateCodes_TimeCodes_OverrideSho렀"/>
      <sheetName val="ateCodes_TimeCodes_OverrideSho"/>
      <sheetName val="ateCodes_TimeCodes_OverrideSho退"/>
      <sheetName val="ateCodes_TimeCodes_OverrideSho᠀"/>
      <sheetName val="ateCodes_TimeCodes_OverrideSho怀"/>
      <sheetName val="ateCodes_TimeCodes_OverrideSho逃"/>
      <sheetName val="ateCodes_TimeCodes_Overrid"/>
      <sheetName val="ateCodes_TimeCodes_Overri"/>
      <sheetName val="_내역서(1)_xls_5_학교신설예산_Ⴘ퀀诋쌆蠅_᠀"/>
      <sheetName val="ateCodes_TimeCodes_Overrid钀"/>
      <sheetName val="_내역서(1)_xls_5_학교신설예산_Ⴘ"/>
      <sheetName val="총괄(데䀀_䰗"/>
      <sheetName val="_내역서(1).xls__내역서(1).xls_5____10"/>
      <sheetName val="_내역서(1).xls__내역서(1).xls_5____11"/>
      <sheetName val="_내역서(1).xls__내역서(1).xls_5____12"/>
      <sheetName val="_내역서(1).xls__내역서(1).xls_5____13"/>
      <sheetName val="_내역서(1).xls__내역서(1).xls_단가_(2_"/>
      <sheetName val="_내역서(1).xls__내역서(1).xls_단가_(2_栀"/>
      <sheetName val="_내역서(1).xls__내역서(1).xls_5____14"/>
      <sheetName val="_내역서(1).xls__내역서(1).xls_5_____5"/>
      <sheetName val="_내역서(1).xls__내역서(1).xls_5_____6"/>
      <sheetName val="_내역서(1).xls__내역서(1).xls_5_____7"/>
      <sheetName val="_내역서(1).xls__내역서(1).xls_5_____8"/>
      <sheetName val="_내역서(1).xls__내역서(1).xls_______2"/>
      <sheetName val="_내역서(1).xls__내역서(1).xls_______3"/>
      <sheetName val="_내역서(1).xls__내역서(1).xls_5_____9"/>
      <sheetName val="_내역서(1).xls__내역서(1)_xls_5_____2"/>
      <sheetName val="ateCodes_TimeCodes_OverrideSho_x0002_"/>
      <sheetName val="5.직耳䀪_"/>
      <sheetName val="ateCodes_TimeCod_xd978_ꀋᙰ0頀{堀簊夞ĸ"/>
      <sheetName val="ateCodes_TimeCod_xd80b_齒ꀈᙰ0_xd800_Y堀䠊夙ĸ"/>
      <sheetName val="_내역서(1)_xls_5_학교신설예산_쎸⬅_瀀þ밀1"/>
      <sheetName val="_내역서(1)_xls__내역서(1)_xls_5_____2"/>
      <sheetName val="_내역서(1)_xls_단가_(2_"/>
      <sheetName val="_내역서(1)_xls_단가_(2_栀"/>
      <sheetName val="_내역서(1)_xls__내역서(1)_xls_5_____3"/>
      <sheetName val="_내역서(1)_xls__내역서(1)_xls_5_____4"/>
      <sheetName val="_내역서(ͭͭ_x02"/>
      <sheetName val="_내역서(ͭͭ_x03"/>
      <sheetName val="_내역서(ͭͭ_x04"/>
      <sheetName val="_내역서(ͭͭ_x05"/>
      <sheetName val="_내역서(ͭͭ_x06"/>
      <sheetName val="_내역서(ͭͭ_x07"/>
      <sheetName val="_내역서(ͭͭ_x08"/>
      <sheetName val="_내역서(ͭͭ_x09"/>
      <sheetName val="_내역서(ͭͭ_x010"/>
      <sheetName val="_내역서(ͭͭ_x011"/>
      <sheetName val="_내역서(ͭͭ_x012"/>
      <sheetName val="_내역서(ͭͭ_x013"/>
      <sheetName val="_내역서(ͭͭ_x014"/>
      <sheetName val="5.학교신설예산 Ⴘ_x005f_x0000_퀀诋쌆蠅__x005f_x0000_᠀"/>
      <sheetName val="_내역서(1).xls_5____________x000_2"/>
      <sheetName val="_내역서(ͭ_ͭ__x005f_x001c__x0"/>
      <sheetName val="단가_(2__x005f_x0000_"/>
      <sheetName val="_내역서(1).xls_5__________x005f_x0000__2"/>
      <sheetName val="_내역서(ͭ_x005f_x0000__x005f_x0000_Ԁ"/>
      <sheetName val="5_학교신설예산_쎸⬅_1"/>
      <sheetName val="_내역서(1)_xls_5_학교신설예산_쎸⬅_1"/>
      <sheetName val="단가_및_재료_"/>
      <sheetName val="공량산출서"/>
      <sheetName val="조정금액결과표_(차수별)"/>
      <sheetName val="토공_total1"/>
      <sheetName val="ENE-CAL_11"/>
      <sheetName val="견적대비(1차)_(2)1"/>
      <sheetName val="대분류_ITEM별_분석(3월)1"/>
      <sheetName val="5_학교신설예산_Ⴘ_x005f_x0000_퀀诋쌆蠅/_x005f_x0000_᠀"/>
      <sheetName val="[내역서(1)_xls]5____________x000_2"/>
      <sheetName val="[내역서(1)_xls]5__________x005f_x0000__2"/>
      <sheetName val="1_취수장1"/>
      <sheetName val="장비_(2)"/>
      <sheetName val="Total_All_By_Trades_highest_1s1"/>
      <sheetName val="M_o_S__Schedule1"/>
      <sheetName val="PROJ__DATA1"/>
      <sheetName val="_Beams_Sched_1"/>
      <sheetName val="5_동별횡주관경"/>
      <sheetName val="별첨2_발주예정"/>
      <sheetName val="3BL공동구_수량"/>
      <sheetName val="준검_내역서"/>
      <sheetName val="______"/>
      <sheetName val="토목내역_(2)"/>
      <sheetName val="내역-_ꍈ┊"/>
      <sheetName val="내역-_ʉꍈ&gt;"/>
      <sheetName val="견적기준"/>
      <sheetName val="C.S.A"/>
      <sheetName val="Sch.6"/>
      <sheetName val="jobhist"/>
      <sheetName val="SECT12-A"/>
      <sheetName val="SECT34-A"/>
      <sheetName val="SECT6-A"/>
      <sheetName val="SECT7-Frame"/>
      <sheetName val="BILL 1"/>
      <sheetName val="Master01"/>
      <sheetName val="css_inpatient_day_surg_sub"/>
      <sheetName val="PROCURE"/>
      <sheetName val="설계내역2"/>
      <sheetName val="산출(부하간선)"/>
      <sheetName val="세골재  T2 변경 현황"/>
      <sheetName val="본부장"/>
      <sheetName val="접합 및 부설 "/>
      <sheetName val="방배동내역(리_x0000__x0000_"/>
      <sheetName val="전선_및_전선관-자유_x000a_"/>
      <sheetName val="이름교환"/>
      <sheetName val="tree"/>
      <sheetName val="산출근_x001b__x0000__x0000__x0000_"/>
      <sheetName val=" 총 괄 표"/>
      <sheetName val="조건표"/>
      <sheetName val="TDTKP"/>
      <sheetName val="DK-KH"/>
      <sheetName val="Tongke"/>
      <sheetName val="VCBo"/>
      <sheetName val="Bang KL"/>
      <sheetName val="Construction"/>
      <sheetName val="공사기본내용"/>
      <sheetName val="사전재해(개발)-소요인력"/>
      <sheetName val="사전재해(개발)-산출근거-면적"/>
      <sheetName val="일위대가(당초)"/>
      <sheetName val="ateCodes?TimeCod�齒ꀈᙰ0_x0000_�Y_x0000__x0000_堀䠊夙ĸ"/>
      <sheetName val="수량계산서_집계표(철거-을_x0000__x0000__x0000__x0000__x0000__x0000_Ā_x0000_ᅐ"/>
      <sheetName val="수량계산서_집계표(철거-을_x0000__x0000__x0000__x0000__x0000__x0000_Ā_x0000_"/>
      <sheetName val="5. 离职现况"/>
      <sheetName val="보_x0000__x0000_t"/>
      <sheetName val="gi-list"/>
      <sheetName val="지수산출"/>
      <sheetName val="보조부문비배부"/>
      <sheetName val="총_원_x0000__x0000_Ԁ_x0000_"/>
      <sheetName val="_내역서(ͭ_x005f_x005f_x005f_x0000_"/>
      <sheetName val="연체대출"/>
      <sheetName val="공구비품"/>
      <sheetName val="기계장치"/>
      <sheetName val="임차시설"/>
      <sheetName val="차량운반구"/>
      <sheetName val="계정잔액"/>
      <sheetName val="내역- �ʉꍈ&gt;"/>
      <sheetName val="돈암사업"/>
      <sheetName val="거래_x0000__x0000_Ԁ"/>
      <sheetName val="3.예산내역서"/>
      <sheetName val="마감(_x0000__x0000_"/>
      <sheetName val="①매출"/>
      <sheetName val="0226"/>
      <sheetName val="賃料等一覧"/>
      <sheetName val="투입(관수_건축)"/>
      <sheetName val="투입(APT500)"/>
      <sheetName val="작성지침서2)"/>
      <sheetName val="투입스케쥴양식"/>
      <sheetName val="투입(APT1200)"/>
      <sheetName val="투입(평촌)"/>
      <sheetName val="투입(APT1000)"/>
      <sheetName val="투입(분당)"/>
      <sheetName val="STR"/>
      <sheetName val="총집계내역"/>
      <sheetName val="주공_갑Ը"/>
      <sheetName val="수량계산서_집계표(철거-을ၒ_x0000__x0000__x0000_Ā_x0000__x0000__x0000__x0005_"/>
      <sheetName val="BAND(200)"/>
      <sheetName val="OUTER AREA(겹침없음)"/>
      <sheetName val="SUP'T 자재현황"/>
      <sheetName val="Structure Bills Qty"/>
      <sheetName val="SRC-B3U2"/>
      <sheetName val="雨棚"/>
      <sheetName val="材料"/>
      <sheetName val="#REF!"/>
      <sheetName val="eqpmad2"/>
      <sheetName val="8"/>
      <sheetName val="工程量"/>
      <sheetName val="Z- GENERAL PRICE SUMMARY"/>
      <sheetName val="cables"/>
      <sheetName val="Communs &amp; coefficients"/>
      <sheetName val="改加胶玻璃、室外栏杆"/>
      <sheetName val="Variations (2)"/>
      <sheetName val="Rate analysis"/>
      <sheetName val="Bill-2.1（1）"/>
      <sheetName val="Currency"/>
      <sheetName val="单价表"/>
      <sheetName val="General"/>
      <sheetName val="AN"/>
      <sheetName val="Account Codes"/>
      <sheetName val="2.2 STAFF Scedule"/>
      <sheetName val="1.2 Staff Schedule"/>
      <sheetName val="FitOutConfCentre"/>
      <sheetName val="장비비"/>
      <sheetName val="중기손료"/>
      <sheetName val="전선_및_전선관-_x0000_ሲƐ"/>
      <sheetName val="細目"/>
      <sheetName val="관람_x0000__x0000_Ԁ"/>
      <sheetName val="은Í_x0000__x0000_"/>
      <sheetName val="[내역서(1).xls][내역서(1).xls]5____15"/>
      <sheetName val="[내역서(1).xls][내역서(1).xls]5____16"/>
      <sheetName val="[내역서(1).xls][내역서(1).xls]5____17"/>
      <sheetName val="[내역서(1).xls][내역서(1)_xls]5_____3"/>
      <sheetName val="[내역서(1).xls][내역서(1).xls]5____18"/>
      <sheetName val="[내역서(1).xls][내역서(1).xls]5____19"/>
      <sheetName val="[내역서(1).xls][내역서(1)_xls]5_____4"/>
      <sheetName val="[내역서(1).xls][내역서(1)_xls]5_____5"/>
      <sheetName val="[내역서(1).xls][내역서(1).xls]______4"/>
      <sheetName val="[내역서(1).xls][내역서(1).xls]______5"/>
      <sheetName val="AC"/>
      <sheetName val="Data Base"/>
      <sheetName val="15100"/>
      <sheetName val="ANALISA railing"/>
      <sheetName val="villa"/>
      <sheetName val="A.H. DOOR WINDOW"/>
      <sheetName val="CEW"/>
      <sheetName val="REQDELTA"/>
      <sheetName val="rumus"/>
      <sheetName val="tifico"/>
      <sheetName val="내역금액적용"/>
      <sheetName val="EXTERNAL(BOQ)"/>
      <sheetName val="중기단가"/>
      <sheetName val="1,2,3,4,5단위수량"/>
      <sheetName val="내역서종합"/>
      <sheetName val="!!"/>
      <sheetName val="2130䢧"/>
      <sheetName val="사용자입력"/>
      <sheetName val="Base_Data"/>
      <sheetName val="GM 000"/>
      <sheetName val="mat'ls"/>
      <sheetName val="upa(Shoring)"/>
      <sheetName val="UTILITIES"/>
      <sheetName val="Arch"/>
      <sheetName val="Bdown_ISBL"/>
      <sheetName val="LLEGADA"/>
      <sheetName val="EQUIPT"/>
      <sheetName val="LABOR"/>
      <sheetName val="Bach Dang"/>
      <sheetName val="Land Dev't. Ph-1"/>
      <sheetName val="Eqpt"/>
      <sheetName val="Master 1.0"/>
      <sheetName val="inf"/>
      <sheetName val="Resume"/>
      <sheetName val="10.Linkway"/>
      <sheetName val="11.Bus Shelter-Bay"/>
      <sheetName val="Bid Evaluation"/>
      <sheetName val="subcon sched"/>
      <sheetName val="C.Earthwork"/>
      <sheetName val="project management"/>
      <sheetName val="Door &amp; Window Sched"/>
      <sheetName val="afis"/>
      <sheetName val="Elevations"/>
      <sheetName val="Room Sched"/>
      <sheetName val="Suppliers"/>
      <sheetName val="DEXEC"/>
      <sheetName val="standards"/>
      <sheetName val="計画用役根拠"/>
      <sheetName val="GAE8'97"/>
      <sheetName val="SOURCE"/>
      <sheetName val="Roon matrix"/>
      <sheetName val="(COV)"/>
      <sheetName val="Fax complet F"/>
      <sheetName val="bridge # 1"/>
      <sheetName val="Rebar Constant"/>
      <sheetName val="UC"/>
      <sheetName val="JTLOAD"/>
      <sheetName val="평균환율-USD"/>
      <sheetName val="Bin"/>
      <sheetName val="PLAN_FEB97"/>
      <sheetName val="TPK(I) Budget"/>
      <sheetName val="材料マスタ"/>
      <sheetName val="견적지침"/>
      <sheetName val="CD_LC"/>
      <sheetName val="PH 5"/>
      <sheetName val="COST-EST LTI P5C"/>
      <sheetName val="Background"/>
      <sheetName val="ELEC_DCI"/>
      <sheetName val="Take-Off"/>
      <sheetName val="Equipment"/>
      <sheetName val="INST_DCI"/>
      <sheetName val="S N"/>
      <sheetName val="MANHOLE"/>
      <sheetName val="입찰"/>
      <sheetName val="현경"/>
      <sheetName val="DPA Form"/>
      <sheetName val="자재단가조사표-수목"/>
      <sheetName val="WORKER"/>
      <sheetName val="RAB AR&amp;STR"/>
      <sheetName val="hauling"/>
      <sheetName val="종합"/>
      <sheetName val="Addendum No.1 BILL 2"/>
      <sheetName val="f-pm-04-12-03A-AWPH6-LD"/>
      <sheetName val="TIE-INS"/>
      <sheetName val="PipWT"/>
      <sheetName val="co-no.2"/>
      <sheetName val="GenReq"/>
      <sheetName val="Schedule S-Curve (new scheme)"/>
      <sheetName val="sketch tieins photos"/>
      <sheetName val="Lookups"/>
      <sheetName val="takeoff2"/>
      <sheetName val="05. VO Log (Master Data)"/>
      <sheetName val="Summary (overall)"/>
      <sheetName val="Note_Piping"/>
      <sheetName val="Material_Database"/>
      <sheetName val="UPA NLEX"/>
      <sheetName val="DNT OSBL"/>
      <sheetName val="Partition Type"/>
      <sheetName val="Floor Level"/>
      <sheetName val="DESBAST"/>
      <sheetName val="Report"/>
      <sheetName val="as boq list up"/>
      <sheetName val="Summary WG"/>
      <sheetName val="Flour WH"/>
      <sheetName val="ORIGN"/>
      <sheetName val="Agregat Halus &amp; Kasar"/>
      <sheetName val="Min_98"/>
      <sheetName val="BILL"/>
      <sheetName val="steam outlet"/>
      <sheetName val="CBE-VSL"/>
      <sheetName val="PCSum (total blended)"/>
      <sheetName val="REBAR"/>
      <sheetName val="SMEC_Macro_01csv"/>
      <sheetName val="10241EQLIST"/>
      <sheetName val="MTL"/>
      <sheetName val="BP"/>
      <sheetName val="FRONT PAGE"/>
      <sheetName val="Gen. Inf."/>
      <sheetName val="03-13 Anticipated"/>
      <sheetName val="reinforce"/>
      <sheetName val="door"/>
      <sheetName val="window"/>
      <sheetName val="struktur tdk dipakai"/>
      <sheetName val="BOQ건축"/>
      <sheetName val="중소기업"/>
      <sheetName val="해외 연수비용 계산-삭제"/>
      <sheetName val="해외 기술훈련비 (합계)"/>
      <sheetName val="Master Equipment List"/>
      <sheetName val="Branch Power"/>
      <sheetName val="Distrib"/>
      <sheetName val="Emergency"/>
      <sheetName val="Lighting"/>
      <sheetName val="pile Fabrication"/>
      <sheetName val="CUACA"/>
      <sheetName val="computation(eqpmt)"/>
      <sheetName val="extern"/>
      <sheetName val="Bored Pile"/>
      <sheetName val="Bldg Pilecap &amp; bored pile"/>
      <sheetName val="Progress Tables"/>
      <sheetName val="schbhn"/>
      <sheetName val="백분율"/>
      <sheetName val="schalt"/>
      <sheetName val="schtng"/>
      <sheetName val="escon"/>
      <sheetName val="HYDROTEST DIAGRAM"/>
      <sheetName val="main report"/>
      <sheetName val="ateCodes?TimeCod�齒ꀈᙰ0"/>
      <sheetName val="수량계산서_집계표(철거-을"/>
      <sheetName val="총_원"/>
      <sheetName val="수량계산서_집계표(철거-을ၒ"/>
      <sheetName val="관람"/>
      <sheetName val="전선_및_전선관-자유頀"/>
      <sheetName val="암거공"/>
      <sheetName val="투찰"/>
      <sheetName val="M"/>
      <sheetName val="IO"/>
      <sheetName val="계약서"/>
      <sheetName val="C1_공逜_x0010__x0000_"/>
      <sheetName val="auto-PPN"/>
      <sheetName val="_갑__지_12"/>
      <sheetName val="Analisa_Harga_Satuan1"/>
      <sheetName val="06_일위대가목록1"/>
      <sheetName val="1_사유서1"/>
      <sheetName val="Project_Name2"/>
      <sheetName val="Deliver_Date2"/>
      <sheetName val="Eq__Mobilization1"/>
      <sheetName val="계장_품셈표1"/>
      <sheetName val="[내역서(1).xls]5____________x000_3"/>
      <sheetName val="ateCodes_TimeCodes_Overrid_x0_3"/>
      <sheetName val="회선별대책안À_x005f_x0000_Ԁ_x005f_x0000_"/>
      <sheetName val="[내역서(ͭͭ가_x005f_x0000_"/>
      <sheetName val="보증_x005f_x0000_縀"/>
      <sheetName val="보증_x005f_x0000_ༀ"/>
      <sheetName val="_____08__x005f_x0000__x005f_x0000___x005f_x0000_2"/>
      <sheetName val="Sheet1_Çæ_x005f_x0000_"/>
      <sheetName val="6PILEሀ_x005f_x0002_䀀⨊脃ﲙ"/>
      <sheetName val="________________________3__3__2"/>
      <sheetName val="단가__x005f_x0000__x005f_x0000_Ԁ_x005f_x0000_"/>
      <sheetName val="단가_및邰㡗_x005f_xdc00_㡗"/>
      <sheetName val="ate_x005f_x000b__x005f_x0000_蠀᏿㤂"/>
      <sheetName val="[내역서(1).xls][내역서(1).xls]____2_2"/>
      <sheetName val="Sheet1_Çꀀ_x005f_x0000_"/>
      <sheetName val="ateCodes_TimeCodes_OverrideSh_4"/>
      <sheetName val="ate_x005f_x000b_"/>
      <sheetName val="환경기계공정표_髈㘻_x005f_x0000__x005f_x0000_"/>
      <sheetName val="환경기계공정표_艀㫐_x005f_x0000__x005f_x0000_"/>
      <sheetName val="환경기계공정표_蔀㫐_x005f_x0000__x005f_x0000_"/>
      <sheetName val="_______x005f_x0000___x005f_x0000__x005f_x001c___3"/>
      <sheetName val="ateCodes_x005f_x0000_TimeCodes_x000_3"/>
      <sheetName val="_______x005f_x0000___x005f_x0000__x005f_x001c___4"/>
      <sheetName val="ateCodes_x005f_x0000_TimeCodes_x000_4"/>
      <sheetName val="_______x005f_x0000___x005f_x0000__x005f_x001c___5"/>
      <sheetName val="ateCodes_x005f_x0000_TimeCodes_x000_5"/>
      <sheetName val="_______x005f_x0000___x005f_x0000__x005f_x001c___6"/>
      <sheetName val="ateCodes_x005f_x0000_TimeCodes_x000_6"/>
      <sheetName val="_______x005f_x0000___x005f_x0000__x005f_x001c___7"/>
      <sheetName val="ateCodes_x005f_x0000_TimeCodes_x000_7"/>
      <sheetName val="_______x005f_x0000___x005f_x0000__x005f_x001c___8"/>
      <sheetName val="ateCodes_x005f_x0000_TimeCodes_x000_8"/>
      <sheetName val="_______x005f_x0000___x005f_x0000__x005f_x001c___9"/>
      <sheetName val="ateCodes_x005f_x0000_TimeCodes_x000_9"/>
      <sheetName val="_______x005f_x0000___x005f_x0000__x005f_x001c__10"/>
      <sheetName val="ateCodes_x005f_x0000_TimeCodes_x00_10"/>
      <sheetName val="_______x005f_x0000___x005f_x0000__x005f_x001c__11"/>
      <sheetName val="ateCodes_x005f_x0000_TimeCodes_x00_11"/>
      <sheetName val="_______x005f_x0000___x005f_x0000__x005f_x001c__12"/>
      <sheetName val="ateCodes_x005f_x0000_TimeCodes_x00_12"/>
      <sheetName val="_______x005f_x0000___x005f_x0000__x005f_x001c__13"/>
      <sheetName val="ateCodes_x005f_x0000_TimeCodes_x00_13"/>
      <sheetName val="_______x005f_x0000___x005f_x0000__x005f_x001c__14"/>
      <sheetName val="ateCodes_x005f_x0000_TimeCodes_x00_14"/>
      <sheetName val="_______x005f_x0000___x005f_x0000__x005f_x001c__15"/>
      <sheetName val="ateCodes_x005f_x0000_TimeCodes_x00_15"/>
      <sheetName val="거래刀_x005f_x0010__x005f_x0000_"/>
      <sheetName val="거래_x005f_x0000_⨀ﯥ"/>
      <sheetName val="AS포_x005f_x0000__x005f_x0000__x005f_x0000__x005f_x0000_"/>
      <sheetName val="거래_x005f_x0000__x005f_x0000__x005f_x0000_"/>
      <sheetName val="ateCodes_TimeCodes_Overri_x00_2"/>
      <sheetName val="총괄(Í_x005f_x0000_Ԁ_x005f_x0000_"/>
      <sheetName val="보_x005f_x0000__x005f_x0000__x005f_x0005_"/>
      <sheetName val="공사내_x005f_x0000_"/>
      <sheetName val="AS포장복_x005f_x0000__x005f_x0000_"/>
      <sheetName val="3월팀계_x005f_x0010_"/>
      <sheetName val="ateCodes_TimeCod__x005f_xd978___0_x_2"/>
      <sheetName val="ateCodes_TimeCod_x005f_xd80b____0_x_2"/>
      <sheetName val="수고조사야_x005f_x0002_"/>
      <sheetName val="아파트_Ö_x005f_x0000_"/>
      <sheetName val="_______x005f_x005f_x005f_x0000___x005f_x005f_x0_5"/>
      <sheetName val="ateCodes_x005f_x005f_x005f_x0000_TimeCode_3"/>
      <sheetName val="_______x005f_x005f_x005f_x005f_x005f_x005f_x000_4"/>
      <sheetName val="ateCodes_x005f_x005f_x005f_x005f_x005f_x005f_x0_4"/>
      <sheetName val="__________x005f_x005f_x005f_x005f_x005f_x005f_x_5"/>
      <sheetName val="수_x005f_x005f_x005f_x0000_"/>
      <sheetName val="_______x005f_x005f_x005f_x005f_x005f_x005f_x000_5"/>
      <sheetName val="__________x005f_x005f_x005f_x005f_x005f_x005f_x_6"/>
      <sheetName val="수Å_x005f_x005f_x005f_x0000_"/>
      <sheetName val="수뢹_x005f_x005f_x005f_xdd4d_"/>
      <sheetName val="A__x005f_x005f_x005f_x0010__x005f_x005f_x005f_x0000_"/>
      <sheetName val="5____________x005f_x005f_x005f_x0000____x_2"/>
      <sheetName val="5__________x005f_x005f_x005f_x0000________2"/>
      <sheetName val="____x005f_x005f_x005f_x0000__x005f_x005f_x005f_x0000__2"/>
      <sheetName val="단가_및_재료_x005f_x005f_x005f_xdab0_"/>
      <sheetName val="_______x005f_x005f_x005f_x005f_x005f_x005f_x005_3"/>
      <sheetName val="ateCodes_x005f_x005f_x005f_x005f_x005f_x005f_x0_5"/>
      <sheetName val="__________x005f_x005f_x005f_x005f_x005f_x005f_x_7"/>
      <sheetName val="11_2____x005f_x005f_x005f_x0000__x005f_x005f_x0_2"/>
      <sheetName val="_______x005f_x005f_x005f_x005f_x005f_x005f_x000_6"/>
      <sheetName val="__________x005f_x005f_x005f_x005f_x005f_x005f_x_8"/>
      <sheetName val="사_x005f_x005f_x005f_x0000__x005f_x005f_x005f_x0000_Ԁ"/>
      <sheetName val="설계_x005f_x005f_x005f_x0000_"/>
      <sheetName val="__________x005f_x005f_x005f_x0000__x005f_x005f__2"/>
      <sheetName val="신축(단위_x005f_x005f_x005f_x0000_"/>
      <sheetName val="Sheet㙸˯㦀ȼ_x005f_x005f_x005f_xda1b_!"/>
      <sheetName val="_내역서(ͭ?ͭ?_x005f_x005f_x005f_x001c__x0"/>
      <sheetName val="단가_(2\_x005f_x005f_x005f_x0000_"/>
      <sheetName val="A__x005f_x005f_x005f_x0010_"/>
      <sheetName val="__x005f_x005f_x005f_x0000__x005f_x005f_x005f_x0000__x_2"/>
      <sheetName val="_______x005f_x005f_x005f_x0000__x005f_x005f_x00_2"/>
      <sheetName val="[내역서(1).xls]5__________x005f_x005f__2"/>
      <sheetName val="_________3_x005f_x005f_x005f_x0000__x005f_x005f_2"/>
      <sheetName val="_________x005f_x005f_x005f_x0005__x005f_x005f_x_2"/>
      <sheetName val="_______x005f_x005f_x005f_x0000__x005f_x005f_x00_3"/>
      <sheetName val="환경기계공정표_(3)_x005f_x005f_x005f_x0012_"/>
      <sheetName val="A_견_x005f_x005f_x005f_x0000__x005f_x005f_x005f_x0000_"/>
      <sheetName val="환경기계공정표__x005f_x005f_x005f_x0005_"/>
      <sheetName val="교각_x005f_x005f_x005f_x0000_"/>
      <sheetName val="ateCఀ_x005f_x005f_x005f_x0002_저殑"/>
      <sheetName val="_______x005f_x005f_x005f_x0000__x005f_x005f_x00_4"/>
      <sheetName val="_______x005f_x005f_x005f_x005f_x005f_x005f_x000_7"/>
      <sheetName val="__________x005f_x005f_x005f_x005f_x005f_x005f_x_9"/>
      <sheetName val="_갑___x005f_x005f_x005f_x0000__x005f_x005f_x005f_x0000_"/>
      <sheetName val="6PILE___1_x005f_x005f_x005f_x0013__x005f_x005f__2"/>
      <sheetName val="간¾_x005f_x005f_x005f_x0000_Ԁ"/>
      <sheetName val="_______x005f_x005f_x005f_x005f_x005f_x005f_x005_4"/>
      <sheetName val="__________x005f_x005f_x005f_x005f_x005f_x005f__10"/>
      <sheetName val="_______x005f_x005f_x005f_x005f_x005f_x005f_x005_5"/>
      <sheetName val="ateCodes_x005f_x005f_x005f_x005f_x005f_x005f_x0_6"/>
      <sheetName val="__________x005f_x005f_x005f_x005f_x005f_x005f__11"/>
      <sheetName val="6PILE__(効_x005f_x0010__x005f_x0000__x005f_x0000_"/>
      <sheetName val="내역- _x005f_xdc48_ʉꍈ&gt;"/>
      <sheetName val="ateCodes_TimeCodes_OverrideSh_5"/>
      <sheetName val="품질시험비"/>
      <sheetName val="1_ 공통가설공사"/>
      <sheetName val="XXXXXX"/>
      <sheetName val="내역서 (2)"/>
      <sheetName val="별도구매"/>
      <sheetName val="공사비목록표"/>
      <sheetName val="Customer_Databa_x0000_"/>
      <sheetName val="을 2"/>
      <sheetName val="을 1"/>
      <sheetName val="미지금(01)"/>
      <sheetName val="날개벽"/>
      <sheetName val="종배수관설치현황"/>
      <sheetName val="유림콘도"/>
      <sheetName val="인건비제경비내역"/>
      <sheetName val="자재표"/>
      <sheetName val="대기업"/>
      <sheetName val="지질조사"/>
      <sheetName val="5. 현장관리비(new) "/>
      <sheetName val="간접경상비"/>
      <sheetName val="2.펌프장(사급자재)"/>
      <sheetName val="1회"/>
      <sheetName val="전기,계장"/>
      <sheetName val="우리사주"/>
      <sheetName val="911 파트별통계-월별 건수"/>
      <sheetName val="팀목표 정리"/>
      <sheetName val="항목"/>
      <sheetName val="지사구분"/>
      <sheetName val="보정사항"/>
      <sheetName val="4. 손익계획"/>
      <sheetName val="편성안2"/>
      <sheetName val="시설이용권명세서"/>
      <sheetName val="금융"/>
      <sheetName val="FAB4생산"/>
      <sheetName val="코스모공장_(어軰#_x0000_"/>
      <sheetName val="플륨관집계"/>
      <sheetName val="U형플륨관"/>
      <sheetName val="U형플륨관토공"/>
      <sheetName val="단위토공"/>
      <sheetName val="주요측점"/>
      <sheetName val="덕전리"/>
      <sheetName val="노무비계"/>
      <sheetName val="Analis Kusen okk"/>
      <sheetName val="구의33고"/>
      <sheetName val="시노501"/>
      <sheetName val="PLT8500"/>
      <sheetName val="[내역서(ͭ_x0000__x0000_훐끺_x0001__x0000__x0000__x0000__x0000_"/>
      <sheetName val="8층 북"/>
      <sheetName val="실DATA_11"/>
      <sheetName val="코스모공장_(어음)10"/>
      <sheetName val="A_견적10"/>
      <sheetName val="환경기계공정표_(3)10"/>
      <sheetName val="총괄갑_10"/>
      <sheetName val="Sheet1_(2)10"/>
      <sheetName val="총_원가계산10"/>
      <sheetName val="단가_(2)10"/>
      <sheetName val="6PILE__(돌출)10"/>
      <sheetName val="11-2_아파트내역10"/>
      <sheetName val="내역서1999_8최종10"/>
      <sheetName val="플랜트_설치9"/>
      <sheetName val="기초입력_DATA9"/>
      <sheetName val="설명서_9"/>
      <sheetName val="BSD_(2)9"/>
      <sheetName val="1차_내역서9"/>
      <sheetName val="노임단가_(2)9"/>
      <sheetName val="_견적서9"/>
      <sheetName val="중기조종사_단위단가9"/>
      <sheetName val="2-1__경관조명_내역총괄표9"/>
      <sheetName val="3월팀계_9"/>
      <sheetName val="인건비_9"/>
      <sheetName val="C1_공사개요9"/>
      <sheetName val="A1_스케쥴9"/>
      <sheetName val="일위대가_9"/>
      <sheetName val="수량계산서_집계표(가설_신설_및_철거-을지로3가_3호선9"/>
      <sheetName val="수량계산서_집계표(신설-을지로3가_3호선)9"/>
      <sheetName val="수량계산서_집계표(철거-을지로3가_3호선)9"/>
      <sheetName val="신_분9"/>
      <sheetName val="단가_및_재료비9"/>
      <sheetName val="아파트_내역9"/>
      <sheetName val="전선_및_전선관-자유로9"/>
      <sheetName val="Customer_Databas9"/>
      <sheetName val="AS포장복구_9"/>
      <sheetName val="G_R300경비9"/>
      <sheetName val="2_고용보험료산출근거8"/>
      <sheetName val="DATA_입력란9"/>
      <sheetName val="주공_갑지9"/>
      <sheetName val="8_설치품셈8"/>
      <sheetName val="경율산정_XLS8"/>
      <sheetName val="전차선로_물량표8"/>
      <sheetName val="27_건설이자8"/>
      <sheetName val="9-2_단지투자8"/>
      <sheetName val="9-4_단지분양수납8"/>
      <sheetName val="28_차입금상환계획8"/>
      <sheetName val="10-4_운하물류분양수납8"/>
      <sheetName val="10-2_운하물류투자8"/>
      <sheetName val="※_2010예산총괄표8"/>
      <sheetName val="BTL시설예산_기준표8"/>
      <sheetName val="5_학교신설예산_집행(01~08)8"/>
      <sheetName val="점검결과(08년_100교_지원)8"/>
      <sheetName val="내역서_제출8"/>
      <sheetName val="아파트_8"/>
      <sheetName val="5_직원투입현황7"/>
      <sheetName val="조도계산서_(도서)8"/>
      <sheetName val="품셈_7"/>
      <sheetName val="ประมาณการประตูหน้าต่าง_2"/>
      <sheetName val="schedule_2"/>
      <sheetName val="SITE_OFFICE2"/>
      <sheetName val="w't_table2"/>
      <sheetName val="BOX(1_5X1_5)3"/>
      <sheetName val="선박별_배부3"/>
      <sheetName val="2000년_공정표3"/>
      <sheetName val="1_변경범위3"/>
      <sheetName val="_갑__지_13"/>
      <sheetName val="(1)_국내_사이트_상세_주소_1"/>
      <sheetName val="0__수출,수입_건수1"/>
      <sheetName val="1__수출_해상_(LCL)_1"/>
      <sheetName val="2__수출_항공_1"/>
      <sheetName val="(2-3)_수출_특송1"/>
      <sheetName val="3__수출_내륙_운송료1"/>
      <sheetName val="4__수입_해상_(FCL)1"/>
      <sheetName val="5__수입_해상_(LCL)_1"/>
      <sheetName val="6__수입_항공_1"/>
      <sheetName val="(3-4)_수입_특송_1"/>
      <sheetName val="7__수입_내륙_운송료1"/>
      <sheetName val="8__창고료1"/>
      <sheetName val="9__내륙_운송1"/>
      <sheetName val="10__추가_제안_및_기타1"/>
      <sheetName val="운송내역_1"/>
      <sheetName val="3_PT개발계획1"/>
      <sheetName val="24_보증금(전신전화가입권)1"/>
      <sheetName val="Ⅴ-2_공종별내역1"/>
      <sheetName val="PTDG_(T3)1"/>
      <sheetName val="PTDG_(T4)1"/>
      <sheetName val="[내역서(1)_xls]단가_(2\栀1"/>
      <sheetName val="AnalisaSIPIL_RIIL1"/>
      <sheetName val="D_5243-ARAMCO1"/>
      <sheetName val="D-4801_OXY1"/>
      <sheetName val="배수내역_(2)1"/>
      <sheetName val="Har_Sat1"/>
      <sheetName val="1062-X방향_2"/>
      <sheetName val="comps_LFY+3"/>
      <sheetName val="HDI_implied3"/>
      <sheetName val="임의_매출-수정전3"/>
      <sheetName val="채권_현황3"/>
      <sheetName val="CC_Down_load_07163"/>
      <sheetName val="요일별시간대별_근무인원_그래프3"/>
      <sheetName val="1_매출액3"/>
      <sheetName val="2_원가3"/>
      <sheetName val="10_인원3"/>
      <sheetName val="2_호선별예상실적3"/>
      <sheetName val="생산매출_(4)3"/>
      <sheetName val="1월_예산3"/>
      <sheetName val="대차대조표_(2)3"/>
      <sheetName val="환율_및_참고3"/>
      <sheetName val="_총괄표2"/>
      <sheetName val="3800-400_기계감가2"/>
      <sheetName val="2000,9월_일위1"/>
      <sheetName val="KLDT_DIEN1"/>
      <sheetName val="Dinh_muc_CP_KTCB_khac1"/>
      <sheetName val="TH_MTC1"/>
      <sheetName val="TH_N_Cong1"/>
      <sheetName val="Du_toan1"/>
      <sheetName val="노원열병합__건축공사기성내역서1"/>
      <sheetName val="배수공_시멘트_및_골재량_산출1"/>
      <sheetName val="_기성청구서_양식_xlsx1"/>
      <sheetName val="Bang_TH1"/>
      <sheetName val="입찰내역_발주처_양식1"/>
      <sheetName val="2_损益表2"/>
      <sheetName val="4_PL2"/>
      <sheetName val="6_BS2"/>
      <sheetName val="9_차입,대여금2"/>
      <sheetName val="2-2_매출분석2"/>
      <sheetName val="6_PL2"/>
      <sheetName val="4_成本明细表2"/>
      <sheetName val="7_6大成本明细表2"/>
      <sheetName val="4_추정손익2"/>
      <sheetName val="2_매출원가2"/>
      <sheetName val="3_일반관리,영업외2"/>
      <sheetName val="5_管理费明细表2"/>
      <sheetName val="6_营业外收支明细表2"/>
      <sheetName val="3_收入明细表2"/>
      <sheetName val="토공(우물통,기타)_1"/>
      <sheetName val="[내역서(1)_xls][내역서(1)_xls]5____15"/>
      <sheetName val="[내역서(1)_xls][내역서(1)_xls]5____16"/>
      <sheetName val="[내역서(1)_xls][내역서(1)_xls]5____17"/>
      <sheetName val="Bang_NS79"/>
      <sheetName val="bi-mnthly_rep_Villa1"/>
      <sheetName val="1999-2000_MONTHLY_CASHFLOW1"/>
      <sheetName val="ateCodes_TimeCod_xd978_ꀋᙰ0"/>
      <sheetName val="ateCodes_TimeCod_xd80b_齒ꀈᙰ0"/>
      <sheetName val="2004.06.23"/>
      <sheetName val="원가계산서 (건축)"/>
      <sheetName val="수량산출(_x0000__x0000__x0005_"/>
      <sheetName val="수량계산서_집계표(신설-_x0000__x0000_砀ì_x0000__x0000_椀勺_xdcdb_꾌"/>
      <sheetName val="수량계산서_집계표(신설-_x0000__x0000_저½_x0000__x0000_䨀_xda93_厈"/>
      <sheetName val="수량계산서_집계표(신설-쌀㴅/_x0000_ࠀµ_x0000__x0000_䨀_xda93_"/>
      <sheetName val="수량계산서_집계표(신설-쌀㴅/_x0000__x0000_°_x0000__x0000_䨀_xda93_"/>
      <sheetName val="수량계산서_집계표(신설-쌀㴅/_x0000__x0017__x0000__x0000_䨀_xda93_"/>
      <sheetName val="수량계산서_집계표(신설-쌀㴅/_x0000_耀³_x0000__x0000_䨀_xda93_"/>
      <sheetName val="수량계산서_집계표(신설-쌀㴅/_x0000_砀¬_x0000__x0000_䨀_xda93_"/>
      <sheetName val="수량계산서_집계표(신설-쌀㴅/_x0000__x0000_Ð_x0000__x0000_䨀_xda93_"/>
      <sheetName val="S"/>
      <sheetName val="거래_xdbe6_i"/>
      <sheetName val="일반"/>
      <sheetName val="VAT duoc khau tru"/>
      <sheetName val="항목코드TABLE"/>
      <sheetName val="부문코드TABLE"/>
      <sheetName val="전수항목"/>
      <sheetName val="거래처등腸"/>
      <sheetName val="안전시설"/>
      <sheetName val="95TOTREV"/>
      <sheetName val="콘크리트 타설 대장"/>
      <sheetName val="DAF-2"/>
      <sheetName val="LKVL-CK-HT-GD1"/>
      <sheetName val="TONGKE-HT"/>
      <sheetName val="__MAIN"/>
      <sheetName val="검색결과시트"/>
      <sheetName val="평내중"/>
      <sheetName val="C1_공z_x0000__x0000_"/>
      <sheetName val="40총괄"/>
      <sheetName val="40집계"/>
      <sheetName val="Sheet㙸˯㦀ȼ"/>
      <sheetName val="단가_및邰㡗"/>
      <sheetName val="내역- "/>
      <sheetName val="자재비"/>
    </sheetNames>
    <sheetDataSet>
      <sheetData sheetId="0">
        <row r="21">
          <cell r="B21" t="str">
            <v>1.토공</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sheetData sheetId="1100"/>
      <sheetData sheetId="110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sheetData sheetId="1260">
        <row r="21">
          <cell r="A21">
            <v>0</v>
          </cell>
        </row>
      </sheetData>
      <sheetData sheetId="1261"/>
      <sheetData sheetId="1262">
        <row r="21">
          <cell r="A21">
            <v>0</v>
          </cell>
        </row>
      </sheetData>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sheetData sheetId="1277"/>
      <sheetData sheetId="1278"/>
      <sheetData sheetId="1279"/>
      <sheetData sheetId="1280"/>
      <sheetData sheetId="1281"/>
      <sheetData sheetId="1282"/>
      <sheetData sheetId="1283"/>
      <sheetData sheetId="1284"/>
      <sheetData sheetId="1285"/>
      <sheetData sheetId="1286"/>
      <sheetData sheetId="1287"/>
      <sheetData sheetId="1288"/>
      <sheetData sheetId="1289"/>
      <sheetData sheetId="1290"/>
      <sheetData sheetId="1291"/>
      <sheetData sheetId="1292"/>
      <sheetData sheetId="1293"/>
      <sheetData sheetId="1294"/>
      <sheetData sheetId="1295"/>
      <sheetData sheetId="1296"/>
      <sheetData sheetId="1297"/>
      <sheetData sheetId="1298"/>
      <sheetData sheetId="1299"/>
      <sheetData sheetId="1300"/>
      <sheetData sheetId="1301"/>
      <sheetData sheetId="1302"/>
      <sheetData sheetId="1303"/>
      <sheetData sheetId="1304"/>
      <sheetData sheetId="1305"/>
      <sheetData sheetId="1306"/>
      <sheetData sheetId="1307"/>
      <sheetData sheetId="1308"/>
      <sheetData sheetId="1309"/>
      <sheetData sheetId="1310"/>
      <sheetData sheetId="1311"/>
      <sheetData sheetId="1312"/>
      <sheetData sheetId="1313"/>
      <sheetData sheetId="1314"/>
      <sheetData sheetId="1315"/>
      <sheetData sheetId="1316"/>
      <sheetData sheetId="1317"/>
      <sheetData sheetId="1318"/>
      <sheetData sheetId="1319"/>
      <sheetData sheetId="1320"/>
      <sheetData sheetId="1321"/>
      <sheetData sheetId="1322"/>
      <sheetData sheetId="1323"/>
      <sheetData sheetId="1324"/>
      <sheetData sheetId="1325"/>
      <sheetData sheetId="1326"/>
      <sheetData sheetId="1327"/>
      <sheetData sheetId="1328"/>
      <sheetData sheetId="1329"/>
      <sheetData sheetId="1330"/>
      <sheetData sheetId="1331"/>
      <sheetData sheetId="1332"/>
      <sheetData sheetId="1333"/>
      <sheetData sheetId="1334"/>
      <sheetData sheetId="1335"/>
      <sheetData sheetId="1336"/>
      <sheetData sheetId="1337"/>
      <sheetData sheetId="1338"/>
      <sheetData sheetId="1339"/>
      <sheetData sheetId="1340"/>
      <sheetData sheetId="1341"/>
      <sheetData sheetId="1342"/>
      <sheetData sheetId="1343"/>
      <sheetData sheetId="1344"/>
      <sheetData sheetId="1345"/>
      <sheetData sheetId="1346"/>
      <sheetData sheetId="1347"/>
      <sheetData sheetId="1348"/>
      <sheetData sheetId="1349"/>
      <sheetData sheetId="1350"/>
      <sheetData sheetId="135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sheetData sheetId="142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ow r="21">
          <cell r="A21">
            <v>0</v>
          </cell>
        </row>
      </sheetData>
      <sheetData sheetId="1454">
        <row r="21">
          <cell r="A21">
            <v>0</v>
          </cell>
        </row>
      </sheetData>
      <sheetData sheetId="1455">
        <row r="21">
          <cell r="A21">
            <v>0</v>
          </cell>
        </row>
      </sheetData>
      <sheetData sheetId="1456">
        <row r="21">
          <cell r="A21">
            <v>0</v>
          </cell>
        </row>
      </sheetData>
      <sheetData sheetId="1457">
        <row r="21">
          <cell r="A21">
            <v>0</v>
          </cell>
        </row>
      </sheetData>
      <sheetData sheetId="1458">
        <row r="21">
          <cell r="A21">
            <v>0</v>
          </cell>
        </row>
      </sheetData>
      <sheetData sheetId="1459">
        <row r="21">
          <cell r="A21">
            <v>0</v>
          </cell>
        </row>
      </sheetData>
      <sheetData sheetId="1460">
        <row r="21">
          <cell r="A21">
            <v>0</v>
          </cell>
        </row>
      </sheetData>
      <sheetData sheetId="1461">
        <row r="21">
          <cell r="A21">
            <v>0</v>
          </cell>
        </row>
      </sheetData>
      <sheetData sheetId="1462">
        <row r="21">
          <cell r="A21">
            <v>0</v>
          </cell>
        </row>
      </sheetData>
      <sheetData sheetId="1463">
        <row r="21">
          <cell r="A21">
            <v>0</v>
          </cell>
        </row>
      </sheetData>
      <sheetData sheetId="1464">
        <row r="21">
          <cell r="A21">
            <v>0</v>
          </cell>
        </row>
      </sheetData>
      <sheetData sheetId="1465">
        <row r="21">
          <cell r="A21">
            <v>0</v>
          </cell>
        </row>
      </sheetData>
      <sheetData sheetId="1466">
        <row r="21">
          <cell r="A21">
            <v>0</v>
          </cell>
        </row>
      </sheetData>
      <sheetData sheetId="1467">
        <row r="21">
          <cell r="A21">
            <v>0</v>
          </cell>
        </row>
      </sheetData>
      <sheetData sheetId="1468">
        <row r="21">
          <cell r="A21">
            <v>0</v>
          </cell>
        </row>
      </sheetData>
      <sheetData sheetId="1469">
        <row r="21">
          <cell r="A21">
            <v>0</v>
          </cell>
        </row>
      </sheetData>
      <sheetData sheetId="1470">
        <row r="21">
          <cell r="A21">
            <v>0</v>
          </cell>
        </row>
      </sheetData>
      <sheetData sheetId="1471">
        <row r="21">
          <cell r="A21">
            <v>0</v>
          </cell>
        </row>
      </sheetData>
      <sheetData sheetId="1472">
        <row r="21">
          <cell r="A21">
            <v>0</v>
          </cell>
        </row>
      </sheetData>
      <sheetData sheetId="1473">
        <row r="21">
          <cell r="A21">
            <v>0</v>
          </cell>
        </row>
      </sheetData>
      <sheetData sheetId="1474">
        <row r="21">
          <cell r="A21">
            <v>0</v>
          </cell>
        </row>
      </sheetData>
      <sheetData sheetId="1475">
        <row r="21">
          <cell r="A21">
            <v>0</v>
          </cell>
        </row>
      </sheetData>
      <sheetData sheetId="1476">
        <row r="21">
          <cell r="A21">
            <v>0</v>
          </cell>
        </row>
      </sheetData>
      <sheetData sheetId="1477">
        <row r="21">
          <cell r="A21">
            <v>0</v>
          </cell>
        </row>
      </sheetData>
      <sheetData sheetId="1478">
        <row r="21">
          <cell r="A21">
            <v>0</v>
          </cell>
        </row>
      </sheetData>
      <sheetData sheetId="1479">
        <row r="21">
          <cell r="A21">
            <v>0</v>
          </cell>
        </row>
      </sheetData>
      <sheetData sheetId="1480">
        <row r="21">
          <cell r="A21">
            <v>0</v>
          </cell>
        </row>
      </sheetData>
      <sheetData sheetId="1481">
        <row r="21">
          <cell r="A21">
            <v>0</v>
          </cell>
        </row>
      </sheetData>
      <sheetData sheetId="1482">
        <row r="21">
          <cell r="A21">
            <v>0</v>
          </cell>
        </row>
      </sheetData>
      <sheetData sheetId="1483">
        <row r="21">
          <cell r="A21">
            <v>0</v>
          </cell>
        </row>
      </sheetData>
      <sheetData sheetId="1484">
        <row r="21">
          <cell r="A21">
            <v>0</v>
          </cell>
        </row>
      </sheetData>
      <sheetData sheetId="1485">
        <row r="21">
          <cell r="A21">
            <v>0</v>
          </cell>
        </row>
      </sheetData>
      <sheetData sheetId="1486">
        <row r="21">
          <cell r="A21">
            <v>0</v>
          </cell>
        </row>
      </sheetData>
      <sheetData sheetId="1487">
        <row r="21">
          <cell r="A21">
            <v>0</v>
          </cell>
        </row>
      </sheetData>
      <sheetData sheetId="1488">
        <row r="21">
          <cell r="A21">
            <v>0</v>
          </cell>
        </row>
      </sheetData>
      <sheetData sheetId="1489">
        <row r="21">
          <cell r="A21">
            <v>0</v>
          </cell>
        </row>
      </sheetData>
      <sheetData sheetId="1490">
        <row r="21">
          <cell r="A21">
            <v>0</v>
          </cell>
        </row>
      </sheetData>
      <sheetData sheetId="1491">
        <row r="21">
          <cell r="A21">
            <v>0</v>
          </cell>
        </row>
      </sheetData>
      <sheetData sheetId="1492">
        <row r="21">
          <cell r="A21">
            <v>0</v>
          </cell>
        </row>
      </sheetData>
      <sheetData sheetId="1493">
        <row r="21">
          <cell r="A21">
            <v>0</v>
          </cell>
        </row>
      </sheetData>
      <sheetData sheetId="1494">
        <row r="21">
          <cell r="A21">
            <v>0</v>
          </cell>
        </row>
      </sheetData>
      <sheetData sheetId="1495">
        <row r="21">
          <cell r="A21">
            <v>0</v>
          </cell>
        </row>
      </sheetData>
      <sheetData sheetId="1496">
        <row r="21">
          <cell r="A21">
            <v>0</v>
          </cell>
        </row>
      </sheetData>
      <sheetData sheetId="1497">
        <row r="21">
          <cell r="A21">
            <v>0</v>
          </cell>
        </row>
      </sheetData>
      <sheetData sheetId="1498">
        <row r="21">
          <cell r="A21">
            <v>0</v>
          </cell>
        </row>
      </sheetData>
      <sheetData sheetId="1499">
        <row r="21">
          <cell r="A21">
            <v>0</v>
          </cell>
        </row>
      </sheetData>
      <sheetData sheetId="1500">
        <row r="21">
          <cell r="A21">
            <v>0</v>
          </cell>
        </row>
      </sheetData>
      <sheetData sheetId="1501">
        <row r="21">
          <cell r="A21">
            <v>0</v>
          </cell>
        </row>
      </sheetData>
      <sheetData sheetId="1502">
        <row r="21">
          <cell r="A21">
            <v>0</v>
          </cell>
        </row>
      </sheetData>
      <sheetData sheetId="1503">
        <row r="21">
          <cell r="A21">
            <v>0</v>
          </cell>
        </row>
      </sheetData>
      <sheetData sheetId="1504">
        <row r="21">
          <cell r="A21">
            <v>0</v>
          </cell>
        </row>
      </sheetData>
      <sheetData sheetId="1505">
        <row r="21">
          <cell r="A21">
            <v>0</v>
          </cell>
        </row>
      </sheetData>
      <sheetData sheetId="1506">
        <row r="21">
          <cell r="A21">
            <v>0</v>
          </cell>
        </row>
      </sheetData>
      <sheetData sheetId="1507">
        <row r="21">
          <cell r="A21">
            <v>0</v>
          </cell>
        </row>
      </sheetData>
      <sheetData sheetId="1508">
        <row r="21">
          <cell r="A21">
            <v>0</v>
          </cell>
        </row>
      </sheetData>
      <sheetData sheetId="1509">
        <row r="21">
          <cell r="A21">
            <v>0</v>
          </cell>
        </row>
      </sheetData>
      <sheetData sheetId="1510">
        <row r="21">
          <cell r="A21">
            <v>0</v>
          </cell>
        </row>
      </sheetData>
      <sheetData sheetId="1511">
        <row r="21">
          <cell r="A21">
            <v>0</v>
          </cell>
        </row>
      </sheetData>
      <sheetData sheetId="1512">
        <row r="21">
          <cell r="A21">
            <v>0</v>
          </cell>
        </row>
      </sheetData>
      <sheetData sheetId="1513">
        <row r="21">
          <cell r="A21">
            <v>0</v>
          </cell>
        </row>
      </sheetData>
      <sheetData sheetId="1514">
        <row r="21">
          <cell r="A21">
            <v>0</v>
          </cell>
        </row>
      </sheetData>
      <sheetData sheetId="1515" refreshError="1"/>
      <sheetData sheetId="1516" refreshError="1"/>
      <sheetData sheetId="1517" refreshError="1"/>
      <sheetData sheetId="1518" refreshError="1"/>
      <sheetData sheetId="1519" refreshError="1"/>
      <sheetData sheetId="1520" refreshError="1"/>
      <sheetData sheetId="1521" refreshError="1"/>
      <sheetData sheetId="1522" refreshError="1"/>
      <sheetData sheetId="1523" refreshError="1"/>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sheetData sheetId="1592"/>
      <sheetData sheetId="1593"/>
      <sheetData sheetId="1594">
        <row r="21">
          <cell r="A21">
            <v>0</v>
          </cell>
        </row>
      </sheetData>
      <sheetData sheetId="1595">
        <row r="21">
          <cell r="A21">
            <v>0</v>
          </cell>
        </row>
      </sheetData>
      <sheetData sheetId="1596">
        <row r="21">
          <cell r="A21">
            <v>0</v>
          </cell>
        </row>
      </sheetData>
      <sheetData sheetId="1597">
        <row r="21">
          <cell r="A21">
            <v>0</v>
          </cell>
        </row>
      </sheetData>
      <sheetData sheetId="1598">
        <row r="21">
          <cell r="A21">
            <v>0</v>
          </cell>
        </row>
      </sheetData>
      <sheetData sheetId="1599">
        <row r="21">
          <cell r="A21">
            <v>0</v>
          </cell>
        </row>
      </sheetData>
      <sheetData sheetId="1600">
        <row r="21">
          <cell r="A21">
            <v>0</v>
          </cell>
        </row>
      </sheetData>
      <sheetData sheetId="1601">
        <row r="21">
          <cell r="A21">
            <v>0</v>
          </cell>
        </row>
      </sheetData>
      <sheetData sheetId="1602">
        <row r="21">
          <cell r="A21">
            <v>0</v>
          </cell>
        </row>
      </sheetData>
      <sheetData sheetId="1603">
        <row r="21">
          <cell r="A21">
            <v>0</v>
          </cell>
        </row>
      </sheetData>
      <sheetData sheetId="1604">
        <row r="21">
          <cell r="A21">
            <v>0</v>
          </cell>
        </row>
      </sheetData>
      <sheetData sheetId="1605">
        <row r="21">
          <cell r="A21">
            <v>0</v>
          </cell>
        </row>
      </sheetData>
      <sheetData sheetId="1606">
        <row r="21">
          <cell r="A21">
            <v>0</v>
          </cell>
        </row>
      </sheetData>
      <sheetData sheetId="1607">
        <row r="21">
          <cell r="A21">
            <v>0</v>
          </cell>
        </row>
      </sheetData>
      <sheetData sheetId="1608">
        <row r="21">
          <cell r="A21">
            <v>0</v>
          </cell>
        </row>
      </sheetData>
      <sheetData sheetId="1609">
        <row r="21">
          <cell r="A21">
            <v>0</v>
          </cell>
        </row>
      </sheetData>
      <sheetData sheetId="1610">
        <row r="21">
          <cell r="A21">
            <v>0</v>
          </cell>
        </row>
      </sheetData>
      <sheetData sheetId="1611">
        <row r="21">
          <cell r="A21">
            <v>0</v>
          </cell>
        </row>
      </sheetData>
      <sheetData sheetId="1612">
        <row r="21">
          <cell r="A21">
            <v>0</v>
          </cell>
        </row>
      </sheetData>
      <sheetData sheetId="1613">
        <row r="21">
          <cell r="A21">
            <v>0</v>
          </cell>
        </row>
      </sheetData>
      <sheetData sheetId="1614">
        <row r="21">
          <cell r="A21">
            <v>0</v>
          </cell>
        </row>
      </sheetData>
      <sheetData sheetId="1615">
        <row r="21">
          <cell r="A21">
            <v>0</v>
          </cell>
        </row>
      </sheetData>
      <sheetData sheetId="1616">
        <row r="21">
          <cell r="A21">
            <v>0</v>
          </cell>
        </row>
      </sheetData>
      <sheetData sheetId="1617">
        <row r="21">
          <cell r="A21">
            <v>0</v>
          </cell>
        </row>
      </sheetData>
      <sheetData sheetId="1618">
        <row r="21">
          <cell r="A21">
            <v>0</v>
          </cell>
        </row>
      </sheetData>
      <sheetData sheetId="1619">
        <row r="21">
          <cell r="A21">
            <v>0</v>
          </cell>
        </row>
      </sheetData>
      <sheetData sheetId="1620">
        <row r="21">
          <cell r="A21">
            <v>0</v>
          </cell>
        </row>
      </sheetData>
      <sheetData sheetId="1621">
        <row r="21">
          <cell r="A21">
            <v>0</v>
          </cell>
        </row>
      </sheetData>
      <sheetData sheetId="1622">
        <row r="21">
          <cell r="A21">
            <v>0</v>
          </cell>
        </row>
      </sheetData>
      <sheetData sheetId="1623">
        <row r="21">
          <cell r="A21">
            <v>0</v>
          </cell>
        </row>
      </sheetData>
      <sheetData sheetId="1624">
        <row r="21">
          <cell r="A21">
            <v>0</v>
          </cell>
        </row>
      </sheetData>
      <sheetData sheetId="1625">
        <row r="21">
          <cell r="A21">
            <v>0</v>
          </cell>
        </row>
      </sheetData>
      <sheetData sheetId="1626">
        <row r="21">
          <cell r="A21">
            <v>0</v>
          </cell>
        </row>
      </sheetData>
      <sheetData sheetId="1627">
        <row r="21">
          <cell r="A21">
            <v>0</v>
          </cell>
        </row>
      </sheetData>
      <sheetData sheetId="1628">
        <row r="21">
          <cell r="A21">
            <v>0</v>
          </cell>
        </row>
      </sheetData>
      <sheetData sheetId="1629">
        <row r="21">
          <cell r="A21">
            <v>0</v>
          </cell>
        </row>
      </sheetData>
      <sheetData sheetId="1630">
        <row r="21">
          <cell r="A21">
            <v>0</v>
          </cell>
        </row>
      </sheetData>
      <sheetData sheetId="1631">
        <row r="21">
          <cell r="A21">
            <v>0</v>
          </cell>
        </row>
      </sheetData>
      <sheetData sheetId="1632">
        <row r="21">
          <cell r="A21">
            <v>0</v>
          </cell>
        </row>
      </sheetData>
      <sheetData sheetId="1633">
        <row r="21">
          <cell r="A21">
            <v>0</v>
          </cell>
        </row>
      </sheetData>
      <sheetData sheetId="1634">
        <row r="21">
          <cell r="A21">
            <v>0</v>
          </cell>
        </row>
      </sheetData>
      <sheetData sheetId="1635">
        <row r="21">
          <cell r="A21">
            <v>0</v>
          </cell>
        </row>
      </sheetData>
      <sheetData sheetId="1636">
        <row r="21">
          <cell r="A21">
            <v>0</v>
          </cell>
        </row>
      </sheetData>
      <sheetData sheetId="1637">
        <row r="21">
          <cell r="A21">
            <v>0</v>
          </cell>
        </row>
      </sheetData>
      <sheetData sheetId="1638">
        <row r="21">
          <cell r="A21">
            <v>0</v>
          </cell>
        </row>
      </sheetData>
      <sheetData sheetId="1639">
        <row r="21">
          <cell r="A21">
            <v>0</v>
          </cell>
        </row>
      </sheetData>
      <sheetData sheetId="1640">
        <row r="21">
          <cell r="A21">
            <v>0</v>
          </cell>
        </row>
      </sheetData>
      <sheetData sheetId="1641">
        <row r="21">
          <cell r="A21">
            <v>0</v>
          </cell>
        </row>
      </sheetData>
      <sheetData sheetId="1642">
        <row r="21">
          <cell r="A21">
            <v>0</v>
          </cell>
        </row>
      </sheetData>
      <sheetData sheetId="1643">
        <row r="21">
          <cell r="A21">
            <v>0</v>
          </cell>
        </row>
      </sheetData>
      <sheetData sheetId="1644">
        <row r="21">
          <cell r="A21">
            <v>0</v>
          </cell>
        </row>
      </sheetData>
      <sheetData sheetId="1645">
        <row r="21">
          <cell r="A21">
            <v>0</v>
          </cell>
        </row>
      </sheetData>
      <sheetData sheetId="1646">
        <row r="21">
          <cell r="A21">
            <v>0</v>
          </cell>
        </row>
      </sheetData>
      <sheetData sheetId="1647">
        <row r="21">
          <cell r="A21">
            <v>0</v>
          </cell>
        </row>
      </sheetData>
      <sheetData sheetId="1648">
        <row r="21">
          <cell r="A21">
            <v>0</v>
          </cell>
        </row>
      </sheetData>
      <sheetData sheetId="1649">
        <row r="21">
          <cell r="A21">
            <v>0</v>
          </cell>
        </row>
      </sheetData>
      <sheetData sheetId="1650">
        <row r="21">
          <cell r="A21">
            <v>0</v>
          </cell>
        </row>
      </sheetData>
      <sheetData sheetId="1651">
        <row r="21">
          <cell r="A21">
            <v>0</v>
          </cell>
        </row>
      </sheetData>
      <sheetData sheetId="1652">
        <row r="21">
          <cell r="A21">
            <v>0</v>
          </cell>
        </row>
      </sheetData>
      <sheetData sheetId="1653">
        <row r="21">
          <cell r="A21">
            <v>0</v>
          </cell>
        </row>
      </sheetData>
      <sheetData sheetId="1654">
        <row r="21">
          <cell r="A21">
            <v>0</v>
          </cell>
        </row>
      </sheetData>
      <sheetData sheetId="1655">
        <row r="21">
          <cell r="A21">
            <v>0</v>
          </cell>
        </row>
      </sheetData>
      <sheetData sheetId="1656">
        <row r="21">
          <cell r="A21">
            <v>0</v>
          </cell>
        </row>
      </sheetData>
      <sheetData sheetId="1657">
        <row r="21">
          <cell r="A21">
            <v>0</v>
          </cell>
        </row>
      </sheetData>
      <sheetData sheetId="1658">
        <row r="21">
          <cell r="A21">
            <v>0</v>
          </cell>
        </row>
      </sheetData>
      <sheetData sheetId="1659">
        <row r="21">
          <cell r="A21">
            <v>0</v>
          </cell>
        </row>
      </sheetData>
      <sheetData sheetId="1660">
        <row r="21">
          <cell r="A21">
            <v>0</v>
          </cell>
        </row>
      </sheetData>
      <sheetData sheetId="1661">
        <row r="21">
          <cell r="A21">
            <v>0</v>
          </cell>
        </row>
      </sheetData>
      <sheetData sheetId="1662">
        <row r="21">
          <cell r="A21">
            <v>0</v>
          </cell>
        </row>
      </sheetData>
      <sheetData sheetId="1663">
        <row r="21">
          <cell r="A21">
            <v>0</v>
          </cell>
        </row>
      </sheetData>
      <sheetData sheetId="1664">
        <row r="21">
          <cell r="A21">
            <v>0</v>
          </cell>
        </row>
      </sheetData>
      <sheetData sheetId="1665">
        <row r="21">
          <cell r="A21">
            <v>0</v>
          </cell>
        </row>
      </sheetData>
      <sheetData sheetId="1666">
        <row r="21">
          <cell r="A21">
            <v>0</v>
          </cell>
        </row>
      </sheetData>
      <sheetData sheetId="1667">
        <row r="21">
          <cell r="A21">
            <v>0</v>
          </cell>
        </row>
      </sheetData>
      <sheetData sheetId="1668">
        <row r="21">
          <cell r="A21">
            <v>0</v>
          </cell>
        </row>
      </sheetData>
      <sheetData sheetId="1669">
        <row r="21">
          <cell r="A21">
            <v>0</v>
          </cell>
        </row>
      </sheetData>
      <sheetData sheetId="1670">
        <row r="21">
          <cell r="A21">
            <v>0</v>
          </cell>
        </row>
      </sheetData>
      <sheetData sheetId="1671">
        <row r="21">
          <cell r="A21">
            <v>0</v>
          </cell>
        </row>
      </sheetData>
      <sheetData sheetId="1672">
        <row r="21">
          <cell r="A21">
            <v>0</v>
          </cell>
        </row>
      </sheetData>
      <sheetData sheetId="1673">
        <row r="21">
          <cell r="A21">
            <v>0</v>
          </cell>
        </row>
      </sheetData>
      <sheetData sheetId="1674">
        <row r="21">
          <cell r="A21">
            <v>0</v>
          </cell>
        </row>
      </sheetData>
      <sheetData sheetId="1675">
        <row r="21">
          <cell r="A21">
            <v>0</v>
          </cell>
        </row>
      </sheetData>
      <sheetData sheetId="1676">
        <row r="21">
          <cell r="A21">
            <v>0</v>
          </cell>
        </row>
      </sheetData>
      <sheetData sheetId="1677">
        <row r="21">
          <cell r="A21">
            <v>0</v>
          </cell>
        </row>
      </sheetData>
      <sheetData sheetId="1678">
        <row r="21">
          <cell r="A21">
            <v>0</v>
          </cell>
        </row>
      </sheetData>
      <sheetData sheetId="1679">
        <row r="21">
          <cell r="A21">
            <v>0</v>
          </cell>
        </row>
      </sheetData>
      <sheetData sheetId="1680">
        <row r="21">
          <cell r="A21">
            <v>0</v>
          </cell>
        </row>
      </sheetData>
      <sheetData sheetId="1681">
        <row r="21">
          <cell r="A21">
            <v>0</v>
          </cell>
        </row>
      </sheetData>
      <sheetData sheetId="1682">
        <row r="21">
          <cell r="A21">
            <v>0</v>
          </cell>
        </row>
      </sheetData>
      <sheetData sheetId="1683">
        <row r="21">
          <cell r="A21">
            <v>0</v>
          </cell>
        </row>
      </sheetData>
      <sheetData sheetId="1684">
        <row r="21">
          <cell r="A21">
            <v>0</v>
          </cell>
        </row>
      </sheetData>
      <sheetData sheetId="1685">
        <row r="21">
          <cell r="A21">
            <v>0</v>
          </cell>
        </row>
      </sheetData>
      <sheetData sheetId="1686">
        <row r="21">
          <cell r="A21">
            <v>0</v>
          </cell>
        </row>
      </sheetData>
      <sheetData sheetId="1687">
        <row r="21">
          <cell r="A21">
            <v>0</v>
          </cell>
        </row>
      </sheetData>
      <sheetData sheetId="1688">
        <row r="21">
          <cell r="A21">
            <v>0</v>
          </cell>
        </row>
      </sheetData>
      <sheetData sheetId="1689">
        <row r="21">
          <cell r="A21">
            <v>0</v>
          </cell>
        </row>
      </sheetData>
      <sheetData sheetId="1690">
        <row r="21">
          <cell r="A21">
            <v>0</v>
          </cell>
        </row>
      </sheetData>
      <sheetData sheetId="1691">
        <row r="21">
          <cell r="A21">
            <v>0</v>
          </cell>
        </row>
      </sheetData>
      <sheetData sheetId="1692">
        <row r="21">
          <cell r="A21">
            <v>0</v>
          </cell>
        </row>
      </sheetData>
      <sheetData sheetId="1693">
        <row r="21">
          <cell r="A21">
            <v>0</v>
          </cell>
        </row>
      </sheetData>
      <sheetData sheetId="1694">
        <row r="21">
          <cell r="A21">
            <v>0</v>
          </cell>
        </row>
      </sheetData>
      <sheetData sheetId="1695">
        <row r="21">
          <cell r="A21">
            <v>0</v>
          </cell>
        </row>
      </sheetData>
      <sheetData sheetId="1696">
        <row r="21">
          <cell r="A21">
            <v>0</v>
          </cell>
        </row>
      </sheetData>
      <sheetData sheetId="1697">
        <row r="21">
          <cell r="A21">
            <v>0</v>
          </cell>
        </row>
      </sheetData>
      <sheetData sheetId="1698">
        <row r="21">
          <cell r="A21">
            <v>0</v>
          </cell>
        </row>
      </sheetData>
      <sheetData sheetId="1699">
        <row r="21">
          <cell r="A21">
            <v>0</v>
          </cell>
        </row>
      </sheetData>
      <sheetData sheetId="1700">
        <row r="21">
          <cell r="A21">
            <v>0</v>
          </cell>
        </row>
      </sheetData>
      <sheetData sheetId="1701">
        <row r="21">
          <cell r="A21">
            <v>0</v>
          </cell>
        </row>
      </sheetData>
      <sheetData sheetId="1702">
        <row r="21">
          <cell r="A21">
            <v>0</v>
          </cell>
        </row>
      </sheetData>
      <sheetData sheetId="1703">
        <row r="21">
          <cell r="A21">
            <v>0</v>
          </cell>
        </row>
      </sheetData>
      <sheetData sheetId="1704">
        <row r="21">
          <cell r="A21">
            <v>0</v>
          </cell>
        </row>
      </sheetData>
      <sheetData sheetId="1705">
        <row r="21">
          <cell r="A21">
            <v>0</v>
          </cell>
        </row>
      </sheetData>
      <sheetData sheetId="1706">
        <row r="21">
          <cell r="A21">
            <v>0</v>
          </cell>
        </row>
      </sheetData>
      <sheetData sheetId="1707">
        <row r="21">
          <cell r="A21">
            <v>0</v>
          </cell>
        </row>
      </sheetData>
      <sheetData sheetId="1708">
        <row r="21">
          <cell r="A21">
            <v>0</v>
          </cell>
        </row>
      </sheetData>
      <sheetData sheetId="1709">
        <row r="21">
          <cell r="A21">
            <v>0</v>
          </cell>
        </row>
      </sheetData>
      <sheetData sheetId="1710">
        <row r="21">
          <cell r="A21">
            <v>0</v>
          </cell>
        </row>
      </sheetData>
      <sheetData sheetId="1711">
        <row r="21">
          <cell r="A21">
            <v>0</v>
          </cell>
        </row>
      </sheetData>
      <sheetData sheetId="1712">
        <row r="21">
          <cell r="A21">
            <v>0</v>
          </cell>
        </row>
      </sheetData>
      <sheetData sheetId="1713">
        <row r="21">
          <cell r="A21">
            <v>0</v>
          </cell>
        </row>
      </sheetData>
      <sheetData sheetId="1714">
        <row r="21">
          <cell r="A21">
            <v>0</v>
          </cell>
        </row>
      </sheetData>
      <sheetData sheetId="1715">
        <row r="21">
          <cell r="A21">
            <v>0</v>
          </cell>
        </row>
      </sheetData>
      <sheetData sheetId="1716">
        <row r="21">
          <cell r="A21">
            <v>0</v>
          </cell>
        </row>
      </sheetData>
      <sheetData sheetId="1717">
        <row r="21">
          <cell r="A21">
            <v>0</v>
          </cell>
        </row>
      </sheetData>
      <sheetData sheetId="1718">
        <row r="21">
          <cell r="A21">
            <v>0</v>
          </cell>
        </row>
      </sheetData>
      <sheetData sheetId="1719">
        <row r="21">
          <cell r="A21">
            <v>0</v>
          </cell>
        </row>
      </sheetData>
      <sheetData sheetId="1720">
        <row r="21">
          <cell r="A21">
            <v>0</v>
          </cell>
        </row>
      </sheetData>
      <sheetData sheetId="1721">
        <row r="21">
          <cell r="A21">
            <v>0</v>
          </cell>
        </row>
      </sheetData>
      <sheetData sheetId="1722">
        <row r="21">
          <cell r="A21">
            <v>0</v>
          </cell>
        </row>
      </sheetData>
      <sheetData sheetId="1723">
        <row r="21">
          <cell r="A21">
            <v>0</v>
          </cell>
        </row>
      </sheetData>
      <sheetData sheetId="1724">
        <row r="21">
          <cell r="A21">
            <v>0</v>
          </cell>
        </row>
      </sheetData>
      <sheetData sheetId="1725">
        <row r="21">
          <cell r="A21">
            <v>0</v>
          </cell>
        </row>
      </sheetData>
      <sheetData sheetId="1726">
        <row r="21">
          <cell r="A21">
            <v>0</v>
          </cell>
        </row>
      </sheetData>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refreshError="1"/>
      <sheetData sheetId="1745" refreshError="1"/>
      <sheetData sheetId="1746" refreshError="1"/>
      <sheetData sheetId="1747" refreshError="1"/>
      <sheetData sheetId="1748" refreshError="1"/>
      <sheetData sheetId="1749" refreshError="1"/>
      <sheetData sheetId="1750" refreshError="1"/>
      <sheetData sheetId="1751" refreshError="1"/>
      <sheetData sheetId="1752" refreshError="1"/>
      <sheetData sheetId="1753" refreshError="1"/>
      <sheetData sheetId="1754" refreshError="1"/>
      <sheetData sheetId="1755" refreshError="1"/>
      <sheetData sheetId="1756" refreshError="1"/>
      <sheetData sheetId="1757" refreshError="1"/>
      <sheetData sheetId="1758" refreshError="1"/>
      <sheetData sheetId="1759" refreshError="1"/>
      <sheetData sheetId="1760" refreshError="1"/>
      <sheetData sheetId="1761" refreshError="1"/>
      <sheetData sheetId="1762" refreshError="1"/>
      <sheetData sheetId="1763" refreshError="1"/>
      <sheetData sheetId="1764" refreshError="1"/>
      <sheetData sheetId="1765" refreshError="1"/>
      <sheetData sheetId="1766" refreshError="1"/>
      <sheetData sheetId="1767" refreshError="1"/>
      <sheetData sheetId="1768" refreshError="1"/>
      <sheetData sheetId="1769" refreshError="1"/>
      <sheetData sheetId="1770" refreshError="1"/>
      <sheetData sheetId="1771" refreshError="1"/>
      <sheetData sheetId="1772" refreshError="1"/>
      <sheetData sheetId="1773" refreshError="1"/>
      <sheetData sheetId="1774" refreshError="1"/>
      <sheetData sheetId="1775" refreshError="1"/>
      <sheetData sheetId="1776" refreshError="1"/>
      <sheetData sheetId="1777" refreshError="1"/>
      <sheetData sheetId="1778" refreshError="1"/>
      <sheetData sheetId="1779" refreshError="1"/>
      <sheetData sheetId="1780" refreshError="1"/>
      <sheetData sheetId="1781" refreshError="1"/>
      <sheetData sheetId="1782" refreshError="1"/>
      <sheetData sheetId="1783" refreshError="1"/>
      <sheetData sheetId="1784" refreshError="1"/>
      <sheetData sheetId="1785" refreshError="1"/>
      <sheetData sheetId="1786" refreshError="1"/>
      <sheetData sheetId="1787" refreshError="1"/>
      <sheetData sheetId="1788" refreshError="1"/>
      <sheetData sheetId="1789" refreshError="1"/>
      <sheetData sheetId="1790" refreshError="1"/>
      <sheetData sheetId="1791" refreshError="1"/>
      <sheetData sheetId="1792" refreshError="1"/>
      <sheetData sheetId="1793" refreshError="1"/>
      <sheetData sheetId="1794" refreshError="1"/>
      <sheetData sheetId="1795" refreshError="1"/>
      <sheetData sheetId="1796" refreshError="1"/>
      <sheetData sheetId="1797" refreshError="1"/>
      <sheetData sheetId="1798" refreshError="1"/>
      <sheetData sheetId="1799" refreshError="1"/>
      <sheetData sheetId="1800" refreshError="1"/>
      <sheetData sheetId="1801" refreshError="1"/>
      <sheetData sheetId="1802" refreshError="1"/>
      <sheetData sheetId="1803" refreshError="1"/>
      <sheetData sheetId="1804" refreshError="1"/>
      <sheetData sheetId="1805" refreshError="1"/>
      <sheetData sheetId="1806" refreshError="1"/>
      <sheetData sheetId="1807" refreshError="1"/>
      <sheetData sheetId="1808" refreshError="1"/>
      <sheetData sheetId="1809" refreshError="1"/>
      <sheetData sheetId="1810" refreshError="1"/>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refreshError="1"/>
      <sheetData sheetId="1823" refreshError="1"/>
      <sheetData sheetId="1824" refreshError="1"/>
      <sheetData sheetId="1825" refreshError="1"/>
      <sheetData sheetId="1826" refreshError="1"/>
      <sheetData sheetId="1827" refreshError="1"/>
      <sheetData sheetId="1828" refreshError="1"/>
      <sheetData sheetId="1829" refreshError="1"/>
      <sheetData sheetId="1830" refreshError="1"/>
      <sheetData sheetId="1831" refreshError="1"/>
      <sheetData sheetId="1832" refreshError="1"/>
      <sheetData sheetId="1833" refreshError="1"/>
      <sheetData sheetId="1834" refreshError="1"/>
      <sheetData sheetId="1835" refreshError="1"/>
      <sheetData sheetId="1836" refreshError="1"/>
      <sheetData sheetId="1837" refreshError="1"/>
      <sheetData sheetId="1838" refreshError="1"/>
      <sheetData sheetId="1839" refreshError="1"/>
      <sheetData sheetId="1840" refreshError="1"/>
      <sheetData sheetId="1841" refreshError="1"/>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refreshError="1"/>
      <sheetData sheetId="1853" refreshError="1"/>
      <sheetData sheetId="1854" refreshError="1"/>
      <sheetData sheetId="1855" refreshError="1"/>
      <sheetData sheetId="1856" refreshError="1"/>
      <sheetData sheetId="1857" refreshError="1"/>
      <sheetData sheetId="1858" refreshError="1"/>
      <sheetData sheetId="1859" refreshError="1"/>
      <sheetData sheetId="1860" refreshError="1"/>
      <sheetData sheetId="1861" refreshError="1"/>
      <sheetData sheetId="1862" refreshError="1"/>
      <sheetData sheetId="1863" refreshError="1"/>
      <sheetData sheetId="1864" refreshError="1"/>
      <sheetData sheetId="1865" refreshError="1"/>
      <sheetData sheetId="1866" refreshError="1"/>
      <sheetData sheetId="1867" refreshError="1"/>
      <sheetData sheetId="1868" refreshError="1"/>
      <sheetData sheetId="1869" refreshError="1"/>
      <sheetData sheetId="1870" refreshError="1"/>
      <sheetData sheetId="1871" refreshError="1"/>
      <sheetData sheetId="1872" refreshError="1"/>
      <sheetData sheetId="1873" refreshError="1"/>
      <sheetData sheetId="1874" refreshError="1"/>
      <sheetData sheetId="1875" refreshError="1"/>
      <sheetData sheetId="1876" refreshError="1"/>
      <sheetData sheetId="1877" refreshError="1"/>
      <sheetData sheetId="1878" refreshError="1"/>
      <sheetData sheetId="1879" refreshError="1"/>
      <sheetData sheetId="1880" refreshError="1"/>
      <sheetData sheetId="1881" refreshError="1"/>
      <sheetData sheetId="1882" refreshError="1"/>
      <sheetData sheetId="1883" refreshError="1"/>
      <sheetData sheetId="1884" refreshError="1"/>
      <sheetData sheetId="1885" refreshError="1"/>
      <sheetData sheetId="1886" refreshError="1"/>
      <sheetData sheetId="1887" refreshError="1"/>
      <sheetData sheetId="1888" refreshError="1"/>
      <sheetData sheetId="1889" refreshError="1"/>
      <sheetData sheetId="1890" refreshError="1"/>
      <sheetData sheetId="1891" refreshError="1"/>
      <sheetData sheetId="1892" refreshError="1"/>
      <sheetData sheetId="1893" refreshError="1"/>
      <sheetData sheetId="1894" refreshError="1"/>
      <sheetData sheetId="1895" refreshError="1"/>
      <sheetData sheetId="1896" refreshError="1"/>
      <sheetData sheetId="1897" refreshError="1"/>
      <sheetData sheetId="1898" refreshError="1"/>
      <sheetData sheetId="1899" refreshError="1"/>
      <sheetData sheetId="1900" refreshError="1"/>
      <sheetData sheetId="1901" refreshError="1"/>
      <sheetData sheetId="1902" refreshError="1"/>
      <sheetData sheetId="1903" refreshError="1"/>
      <sheetData sheetId="1904" refreshError="1"/>
      <sheetData sheetId="1905" refreshError="1"/>
      <sheetData sheetId="1906" refreshError="1"/>
      <sheetData sheetId="1907" refreshError="1"/>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refreshError="1"/>
      <sheetData sheetId="2007" refreshError="1"/>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refreshError="1"/>
      <sheetData sheetId="2043" refreshError="1"/>
      <sheetData sheetId="2044" refreshError="1"/>
      <sheetData sheetId="2045" refreshError="1"/>
      <sheetData sheetId="2046" refreshError="1"/>
      <sheetData sheetId="2047" refreshError="1"/>
      <sheetData sheetId="2048" refreshError="1"/>
      <sheetData sheetId="2049" refreshError="1"/>
      <sheetData sheetId="2050" refreshError="1"/>
      <sheetData sheetId="2051" refreshError="1"/>
      <sheetData sheetId="2052" refreshError="1"/>
      <sheetData sheetId="2053" refreshError="1"/>
      <sheetData sheetId="2054" refreshError="1"/>
      <sheetData sheetId="2055" refreshError="1"/>
      <sheetData sheetId="2056" refreshError="1"/>
      <sheetData sheetId="2057" refreshError="1"/>
      <sheetData sheetId="2058" refreshError="1"/>
      <sheetData sheetId="2059" refreshError="1"/>
      <sheetData sheetId="2060" refreshError="1"/>
      <sheetData sheetId="2061" refreshError="1"/>
      <sheetData sheetId="2062" refreshError="1"/>
      <sheetData sheetId="2063" refreshError="1"/>
      <sheetData sheetId="2064" refreshError="1"/>
      <sheetData sheetId="2065" refreshError="1"/>
      <sheetData sheetId="2066" refreshError="1"/>
      <sheetData sheetId="2067" refreshError="1"/>
      <sheetData sheetId="2068" refreshError="1"/>
      <sheetData sheetId="2069">
        <row r="21">
          <cell r="A21">
            <v>0</v>
          </cell>
        </row>
      </sheetData>
      <sheetData sheetId="2070">
        <row r="21">
          <cell r="A21">
            <v>0</v>
          </cell>
        </row>
      </sheetData>
      <sheetData sheetId="2071" refreshError="1"/>
      <sheetData sheetId="2072" refreshError="1"/>
      <sheetData sheetId="2073" refreshError="1"/>
      <sheetData sheetId="2074" refreshError="1"/>
      <sheetData sheetId="2075" refreshError="1"/>
      <sheetData sheetId="2076" refreshError="1"/>
      <sheetData sheetId="2077" refreshError="1"/>
      <sheetData sheetId="2078" refreshError="1"/>
      <sheetData sheetId="2079" refreshError="1"/>
      <sheetData sheetId="2080" refreshError="1"/>
      <sheetData sheetId="2081" refreshError="1"/>
      <sheetData sheetId="2082" refreshError="1"/>
      <sheetData sheetId="2083" refreshError="1"/>
      <sheetData sheetId="2084" refreshError="1"/>
      <sheetData sheetId="2085" refreshError="1"/>
      <sheetData sheetId="2086" refreshError="1"/>
      <sheetData sheetId="2087" refreshError="1"/>
      <sheetData sheetId="2088" refreshError="1"/>
      <sheetData sheetId="2089" refreshError="1"/>
      <sheetData sheetId="2090" refreshError="1"/>
      <sheetData sheetId="2091" refreshError="1"/>
      <sheetData sheetId="2092" refreshError="1"/>
      <sheetData sheetId="2093" refreshError="1"/>
      <sheetData sheetId="2094" refreshError="1"/>
      <sheetData sheetId="2095" refreshError="1"/>
      <sheetData sheetId="2096" refreshError="1"/>
      <sheetData sheetId="2097" refreshError="1"/>
      <sheetData sheetId="2098" refreshError="1"/>
      <sheetData sheetId="2099" refreshError="1"/>
      <sheetData sheetId="2100" refreshError="1"/>
      <sheetData sheetId="2101" refreshError="1"/>
      <sheetData sheetId="2102" refreshError="1"/>
      <sheetData sheetId="2103" refreshError="1"/>
      <sheetData sheetId="2104" refreshError="1"/>
      <sheetData sheetId="2105" refreshError="1"/>
      <sheetData sheetId="2106" refreshError="1"/>
      <sheetData sheetId="2107" refreshError="1"/>
      <sheetData sheetId="2108" refreshError="1"/>
      <sheetData sheetId="2109" refreshError="1"/>
      <sheetData sheetId="2110" refreshError="1"/>
      <sheetData sheetId="2111" refreshError="1"/>
      <sheetData sheetId="2112" refreshError="1"/>
      <sheetData sheetId="2113" refreshError="1"/>
      <sheetData sheetId="2114" refreshError="1"/>
      <sheetData sheetId="2115" refreshError="1"/>
      <sheetData sheetId="2116" refreshError="1"/>
      <sheetData sheetId="2117" refreshError="1"/>
      <sheetData sheetId="2118" refreshError="1"/>
      <sheetData sheetId="2119" refreshError="1"/>
      <sheetData sheetId="2120" refreshError="1"/>
      <sheetData sheetId="2121" refreshError="1"/>
      <sheetData sheetId="2122" refreshError="1"/>
      <sheetData sheetId="2123" refreshError="1"/>
      <sheetData sheetId="2124" refreshError="1"/>
      <sheetData sheetId="2125" refreshError="1"/>
      <sheetData sheetId="2126" refreshError="1"/>
      <sheetData sheetId="2127" refreshError="1"/>
      <sheetData sheetId="2128" refreshError="1"/>
      <sheetData sheetId="2129" refreshError="1"/>
      <sheetData sheetId="2130" refreshError="1"/>
      <sheetData sheetId="2131" refreshError="1"/>
      <sheetData sheetId="2132" refreshError="1"/>
      <sheetData sheetId="2133" refreshError="1"/>
      <sheetData sheetId="2134">
        <row r="21">
          <cell r="A21">
            <v>0</v>
          </cell>
        </row>
      </sheetData>
      <sheetData sheetId="2135">
        <row r="21">
          <cell r="A21">
            <v>0</v>
          </cell>
        </row>
      </sheetData>
      <sheetData sheetId="2136" refreshError="1"/>
      <sheetData sheetId="2137" refreshError="1"/>
      <sheetData sheetId="2138" refreshError="1"/>
      <sheetData sheetId="2139" refreshError="1"/>
      <sheetData sheetId="2140" refreshError="1"/>
      <sheetData sheetId="2141" refreshError="1"/>
      <sheetData sheetId="2142" refreshError="1"/>
      <sheetData sheetId="2143" refreshError="1"/>
      <sheetData sheetId="2144" refreshError="1"/>
      <sheetData sheetId="2145" refreshError="1"/>
      <sheetData sheetId="2146" refreshError="1"/>
      <sheetData sheetId="2147" refreshError="1"/>
      <sheetData sheetId="2148" refreshError="1"/>
      <sheetData sheetId="2149" refreshError="1"/>
      <sheetData sheetId="2150" refreshError="1"/>
      <sheetData sheetId="2151" refreshError="1"/>
      <sheetData sheetId="2152" refreshError="1"/>
      <sheetData sheetId="2153" refreshError="1"/>
      <sheetData sheetId="2154" refreshError="1"/>
      <sheetData sheetId="2155" refreshError="1"/>
      <sheetData sheetId="2156">
        <row r="21">
          <cell r="A21">
            <v>0</v>
          </cell>
        </row>
      </sheetData>
      <sheetData sheetId="2157">
        <row r="21">
          <cell r="A21">
            <v>0</v>
          </cell>
        </row>
      </sheetData>
      <sheetData sheetId="2158">
        <row r="21">
          <cell r="A21">
            <v>0</v>
          </cell>
        </row>
      </sheetData>
      <sheetData sheetId="2159" refreshError="1"/>
      <sheetData sheetId="2160" refreshError="1"/>
      <sheetData sheetId="2161" refreshError="1"/>
      <sheetData sheetId="2162" refreshError="1"/>
      <sheetData sheetId="2163" refreshError="1"/>
      <sheetData sheetId="2164" refreshError="1"/>
      <sheetData sheetId="2165" refreshError="1"/>
      <sheetData sheetId="2166" refreshError="1"/>
      <sheetData sheetId="2167">
        <row r="21">
          <cell r="A21">
            <v>0</v>
          </cell>
        </row>
      </sheetData>
      <sheetData sheetId="2168">
        <row r="21">
          <cell r="A21">
            <v>0</v>
          </cell>
        </row>
      </sheetData>
      <sheetData sheetId="2169" refreshError="1"/>
      <sheetData sheetId="2170" refreshError="1"/>
      <sheetData sheetId="2171" refreshError="1"/>
      <sheetData sheetId="2172" refreshError="1"/>
      <sheetData sheetId="2173" refreshError="1"/>
      <sheetData sheetId="2174" refreshError="1"/>
      <sheetData sheetId="2175" refreshError="1"/>
      <sheetData sheetId="2176" refreshError="1"/>
      <sheetData sheetId="2177" refreshError="1"/>
      <sheetData sheetId="2178" refreshError="1"/>
      <sheetData sheetId="2179" refreshError="1"/>
      <sheetData sheetId="2180" refreshError="1"/>
      <sheetData sheetId="2181" refreshError="1"/>
      <sheetData sheetId="2182" refreshError="1"/>
      <sheetData sheetId="2183">
        <row r="21">
          <cell r="A21">
            <v>0</v>
          </cell>
        </row>
      </sheetData>
      <sheetData sheetId="2184">
        <row r="21">
          <cell r="A21">
            <v>0</v>
          </cell>
        </row>
      </sheetData>
      <sheetData sheetId="2185">
        <row r="21">
          <cell r="A21">
            <v>0</v>
          </cell>
        </row>
      </sheetData>
      <sheetData sheetId="2186">
        <row r="21">
          <cell r="A21">
            <v>0</v>
          </cell>
        </row>
      </sheetData>
      <sheetData sheetId="2187">
        <row r="21">
          <cell r="A21">
            <v>0</v>
          </cell>
        </row>
      </sheetData>
      <sheetData sheetId="2188">
        <row r="21">
          <cell r="A21">
            <v>0</v>
          </cell>
        </row>
      </sheetData>
      <sheetData sheetId="2189" refreshError="1"/>
      <sheetData sheetId="2190" refreshError="1"/>
      <sheetData sheetId="2191" refreshError="1"/>
      <sheetData sheetId="2192" refreshError="1"/>
      <sheetData sheetId="2193" refreshError="1"/>
      <sheetData sheetId="2194" refreshError="1"/>
      <sheetData sheetId="2195" refreshError="1"/>
      <sheetData sheetId="2196" refreshError="1"/>
      <sheetData sheetId="2197" refreshError="1"/>
      <sheetData sheetId="2198" refreshError="1"/>
      <sheetData sheetId="2199" refreshError="1"/>
      <sheetData sheetId="2200" refreshError="1"/>
      <sheetData sheetId="2201" refreshError="1"/>
      <sheetData sheetId="2202"/>
      <sheetData sheetId="2203" refreshError="1"/>
      <sheetData sheetId="2204" refreshError="1"/>
      <sheetData sheetId="2205"/>
      <sheetData sheetId="2206" refreshError="1"/>
      <sheetData sheetId="2207" refreshError="1"/>
      <sheetData sheetId="2208" refreshError="1"/>
      <sheetData sheetId="2209" refreshError="1"/>
      <sheetData sheetId="2210" refreshError="1"/>
      <sheetData sheetId="2211" refreshError="1"/>
      <sheetData sheetId="2212" refreshError="1"/>
      <sheetData sheetId="2213" refreshError="1"/>
      <sheetData sheetId="2214" refreshError="1"/>
      <sheetData sheetId="2215" refreshError="1"/>
      <sheetData sheetId="2216" refreshError="1"/>
      <sheetData sheetId="2217" refreshError="1"/>
      <sheetData sheetId="2218" refreshError="1"/>
      <sheetData sheetId="2219" refreshError="1"/>
      <sheetData sheetId="2220" refreshError="1"/>
      <sheetData sheetId="2221" refreshError="1"/>
      <sheetData sheetId="2222" refreshError="1"/>
      <sheetData sheetId="2223" refreshError="1"/>
      <sheetData sheetId="2224" refreshError="1"/>
      <sheetData sheetId="2225" refreshError="1"/>
      <sheetData sheetId="2226" refreshError="1"/>
      <sheetData sheetId="2227" refreshError="1"/>
      <sheetData sheetId="2228" refreshError="1"/>
      <sheetData sheetId="2229" refreshError="1"/>
      <sheetData sheetId="2230" refreshError="1"/>
      <sheetData sheetId="2231" refreshError="1"/>
      <sheetData sheetId="2232" refreshError="1"/>
      <sheetData sheetId="2233" refreshError="1"/>
      <sheetData sheetId="2234" refreshError="1"/>
      <sheetData sheetId="2235" refreshError="1"/>
      <sheetData sheetId="2236" refreshError="1"/>
      <sheetData sheetId="2237" refreshError="1"/>
      <sheetData sheetId="2238" refreshError="1"/>
      <sheetData sheetId="2239" refreshError="1"/>
      <sheetData sheetId="2240" refreshError="1"/>
      <sheetData sheetId="2241" refreshError="1"/>
      <sheetData sheetId="2242" refreshError="1"/>
      <sheetData sheetId="2243" refreshError="1"/>
      <sheetData sheetId="2244" refreshError="1"/>
      <sheetData sheetId="2245" refreshError="1"/>
      <sheetData sheetId="2246" refreshError="1"/>
      <sheetData sheetId="2247" refreshError="1"/>
      <sheetData sheetId="2248" refreshError="1"/>
      <sheetData sheetId="2249" refreshError="1"/>
      <sheetData sheetId="2250" refreshError="1"/>
      <sheetData sheetId="2251" refreshError="1"/>
      <sheetData sheetId="2252" refreshError="1"/>
      <sheetData sheetId="2253" refreshError="1"/>
      <sheetData sheetId="2254" refreshError="1"/>
      <sheetData sheetId="2255" refreshError="1"/>
      <sheetData sheetId="2256" refreshError="1"/>
      <sheetData sheetId="2257" refreshError="1"/>
      <sheetData sheetId="2258" refreshError="1"/>
      <sheetData sheetId="2259" refreshError="1"/>
      <sheetData sheetId="2260" refreshError="1"/>
      <sheetData sheetId="2261" refreshError="1"/>
      <sheetData sheetId="2262" refreshError="1"/>
      <sheetData sheetId="2263" refreshError="1"/>
      <sheetData sheetId="2264" refreshError="1"/>
      <sheetData sheetId="2265" refreshError="1"/>
      <sheetData sheetId="2266" refreshError="1"/>
      <sheetData sheetId="2267" refreshError="1"/>
      <sheetData sheetId="2268" refreshError="1"/>
      <sheetData sheetId="2269" refreshError="1"/>
      <sheetData sheetId="2270" refreshError="1"/>
      <sheetData sheetId="2271" refreshError="1"/>
      <sheetData sheetId="2272" refreshError="1"/>
      <sheetData sheetId="2273" refreshError="1"/>
      <sheetData sheetId="2274" refreshError="1"/>
      <sheetData sheetId="2275" refreshError="1"/>
      <sheetData sheetId="2276" refreshError="1"/>
      <sheetData sheetId="2277" refreshError="1"/>
      <sheetData sheetId="2278" refreshError="1"/>
      <sheetData sheetId="2279" refreshError="1"/>
      <sheetData sheetId="2280" refreshError="1"/>
      <sheetData sheetId="2281" refreshError="1"/>
      <sheetData sheetId="2282" refreshError="1"/>
      <sheetData sheetId="2283" refreshError="1"/>
      <sheetData sheetId="2284" refreshError="1"/>
      <sheetData sheetId="2285" refreshError="1"/>
      <sheetData sheetId="2286" refreshError="1"/>
      <sheetData sheetId="2287" refreshError="1"/>
      <sheetData sheetId="2288" refreshError="1"/>
      <sheetData sheetId="2289" refreshError="1"/>
      <sheetData sheetId="2290" refreshError="1"/>
      <sheetData sheetId="2291" refreshError="1"/>
      <sheetData sheetId="2292" refreshError="1"/>
      <sheetData sheetId="2293" refreshError="1"/>
      <sheetData sheetId="2294" refreshError="1"/>
      <sheetData sheetId="2295" refreshError="1"/>
      <sheetData sheetId="2296" refreshError="1"/>
      <sheetData sheetId="2297" refreshError="1"/>
      <sheetData sheetId="2298" refreshError="1"/>
      <sheetData sheetId="2299" refreshError="1"/>
      <sheetData sheetId="2300" refreshError="1"/>
      <sheetData sheetId="2301" refreshError="1"/>
      <sheetData sheetId="2302" refreshError="1"/>
      <sheetData sheetId="2303" refreshError="1"/>
      <sheetData sheetId="2304" refreshError="1"/>
      <sheetData sheetId="2305" refreshError="1"/>
      <sheetData sheetId="2306" refreshError="1"/>
      <sheetData sheetId="2307" refreshError="1"/>
      <sheetData sheetId="2308" refreshError="1"/>
      <sheetData sheetId="2309" refreshError="1"/>
      <sheetData sheetId="2310" refreshError="1"/>
      <sheetData sheetId="2311" refreshError="1"/>
      <sheetData sheetId="2312" refreshError="1"/>
      <sheetData sheetId="2313" refreshError="1"/>
      <sheetData sheetId="2314" refreshError="1"/>
      <sheetData sheetId="2315" refreshError="1"/>
      <sheetData sheetId="2316" refreshError="1"/>
      <sheetData sheetId="2317" refreshError="1"/>
      <sheetData sheetId="2318" refreshError="1"/>
      <sheetData sheetId="2319" refreshError="1"/>
      <sheetData sheetId="2320" refreshError="1"/>
      <sheetData sheetId="2321" refreshError="1"/>
      <sheetData sheetId="2322" refreshError="1"/>
      <sheetData sheetId="2323" refreshError="1"/>
      <sheetData sheetId="2324" refreshError="1"/>
      <sheetData sheetId="2325" refreshError="1"/>
      <sheetData sheetId="2326" refreshError="1"/>
      <sheetData sheetId="2327" refreshError="1"/>
      <sheetData sheetId="2328" refreshError="1"/>
      <sheetData sheetId="2329" refreshError="1"/>
      <sheetData sheetId="2330" refreshError="1"/>
      <sheetData sheetId="2331" refreshError="1"/>
      <sheetData sheetId="2332" refreshError="1"/>
      <sheetData sheetId="2333" refreshError="1"/>
      <sheetData sheetId="2334" refreshError="1"/>
      <sheetData sheetId="2335" refreshError="1"/>
      <sheetData sheetId="2336" refreshError="1"/>
      <sheetData sheetId="2337" refreshError="1"/>
      <sheetData sheetId="2338" refreshError="1"/>
      <sheetData sheetId="2339" refreshError="1"/>
      <sheetData sheetId="2340"/>
      <sheetData sheetId="2341" refreshError="1"/>
      <sheetData sheetId="2342" refreshError="1"/>
      <sheetData sheetId="2343" refreshError="1"/>
      <sheetData sheetId="2344">
        <row r="21">
          <cell r="A21">
            <v>0</v>
          </cell>
        </row>
      </sheetData>
      <sheetData sheetId="2345">
        <row r="21">
          <cell r="A21">
            <v>0</v>
          </cell>
        </row>
      </sheetData>
      <sheetData sheetId="2346">
        <row r="21">
          <cell r="A21">
            <v>0</v>
          </cell>
        </row>
      </sheetData>
      <sheetData sheetId="2347">
        <row r="21">
          <cell r="A21">
            <v>0</v>
          </cell>
        </row>
      </sheetData>
      <sheetData sheetId="2348">
        <row r="21">
          <cell r="A21">
            <v>0</v>
          </cell>
        </row>
      </sheetData>
      <sheetData sheetId="2349">
        <row r="21">
          <cell r="A21">
            <v>0</v>
          </cell>
        </row>
      </sheetData>
      <sheetData sheetId="2350">
        <row r="21">
          <cell r="A21">
            <v>0</v>
          </cell>
        </row>
      </sheetData>
      <sheetData sheetId="2351">
        <row r="21">
          <cell r="A21">
            <v>0</v>
          </cell>
        </row>
      </sheetData>
      <sheetData sheetId="2352">
        <row r="21">
          <cell r="A21">
            <v>0</v>
          </cell>
        </row>
      </sheetData>
      <sheetData sheetId="2353">
        <row r="21">
          <cell r="A21">
            <v>0</v>
          </cell>
        </row>
      </sheetData>
      <sheetData sheetId="2354">
        <row r="21">
          <cell r="A21">
            <v>0</v>
          </cell>
        </row>
      </sheetData>
      <sheetData sheetId="2355">
        <row r="21">
          <cell r="A21">
            <v>0</v>
          </cell>
        </row>
      </sheetData>
      <sheetData sheetId="2356">
        <row r="21">
          <cell r="A21">
            <v>0</v>
          </cell>
        </row>
      </sheetData>
      <sheetData sheetId="2357">
        <row r="21">
          <cell r="A21">
            <v>0</v>
          </cell>
        </row>
      </sheetData>
      <sheetData sheetId="2358">
        <row r="21">
          <cell r="A21">
            <v>0</v>
          </cell>
        </row>
      </sheetData>
      <sheetData sheetId="2359">
        <row r="21">
          <cell r="A21">
            <v>0</v>
          </cell>
        </row>
      </sheetData>
      <sheetData sheetId="2360" refreshError="1"/>
      <sheetData sheetId="2361" refreshError="1"/>
      <sheetData sheetId="2362" refreshError="1"/>
      <sheetData sheetId="2363" refreshError="1"/>
      <sheetData sheetId="2364" refreshError="1"/>
      <sheetData sheetId="2365" refreshError="1"/>
      <sheetData sheetId="2366" refreshError="1"/>
      <sheetData sheetId="2367" refreshError="1"/>
      <sheetData sheetId="2368" refreshError="1"/>
      <sheetData sheetId="2369" refreshError="1"/>
      <sheetData sheetId="2370" refreshError="1"/>
      <sheetData sheetId="2371" refreshError="1"/>
      <sheetData sheetId="2372" refreshError="1"/>
      <sheetData sheetId="2373" refreshError="1"/>
      <sheetData sheetId="2374" refreshError="1"/>
      <sheetData sheetId="2375" refreshError="1"/>
      <sheetData sheetId="2376" refreshError="1"/>
      <sheetData sheetId="2377" refreshError="1"/>
      <sheetData sheetId="2378" refreshError="1"/>
      <sheetData sheetId="2379" refreshError="1"/>
      <sheetData sheetId="2380" refreshError="1"/>
      <sheetData sheetId="2381" refreshError="1"/>
      <sheetData sheetId="2382" refreshError="1"/>
      <sheetData sheetId="2383" refreshError="1"/>
      <sheetData sheetId="2384" refreshError="1"/>
      <sheetData sheetId="2385" refreshError="1"/>
      <sheetData sheetId="2386" refreshError="1"/>
      <sheetData sheetId="2387" refreshError="1"/>
      <sheetData sheetId="2388" refreshError="1"/>
      <sheetData sheetId="2389" refreshError="1"/>
      <sheetData sheetId="2390" refreshError="1"/>
      <sheetData sheetId="2391"/>
      <sheetData sheetId="2392" refreshError="1"/>
      <sheetData sheetId="2393" refreshError="1"/>
      <sheetData sheetId="2394" refreshError="1"/>
      <sheetData sheetId="2395" refreshError="1"/>
      <sheetData sheetId="2396" refreshError="1"/>
      <sheetData sheetId="2397" refreshError="1"/>
      <sheetData sheetId="2398" refreshError="1"/>
      <sheetData sheetId="2399" refreshError="1"/>
      <sheetData sheetId="2400" refreshError="1"/>
      <sheetData sheetId="2401" refreshError="1"/>
      <sheetData sheetId="2402" refreshError="1"/>
      <sheetData sheetId="2403" refreshError="1"/>
      <sheetData sheetId="2404" refreshError="1"/>
      <sheetData sheetId="2405" refreshError="1"/>
      <sheetData sheetId="2406" refreshError="1"/>
      <sheetData sheetId="2407" refreshError="1"/>
      <sheetData sheetId="2408" refreshError="1"/>
      <sheetData sheetId="2409" refreshError="1"/>
      <sheetData sheetId="2410" refreshError="1"/>
      <sheetData sheetId="2411" refreshError="1"/>
      <sheetData sheetId="2412" refreshError="1"/>
      <sheetData sheetId="2413" refreshError="1"/>
      <sheetData sheetId="2414" refreshError="1"/>
      <sheetData sheetId="2415" refreshError="1"/>
      <sheetData sheetId="2416" refreshError="1"/>
      <sheetData sheetId="2417" refreshError="1"/>
      <sheetData sheetId="2418" refreshError="1"/>
      <sheetData sheetId="2419" refreshError="1"/>
      <sheetData sheetId="2420" refreshError="1"/>
      <sheetData sheetId="2421" refreshError="1"/>
      <sheetData sheetId="2422" refreshError="1"/>
      <sheetData sheetId="2423" refreshError="1"/>
      <sheetData sheetId="2424" refreshError="1"/>
      <sheetData sheetId="2425" refreshError="1"/>
      <sheetData sheetId="2426" refreshError="1"/>
      <sheetData sheetId="2427" refreshError="1"/>
      <sheetData sheetId="2428" refreshError="1"/>
      <sheetData sheetId="2429" refreshError="1"/>
      <sheetData sheetId="2430">
        <row r="21">
          <cell r="A21">
            <v>0</v>
          </cell>
        </row>
      </sheetData>
      <sheetData sheetId="2431" refreshError="1"/>
      <sheetData sheetId="2432">
        <row r="21">
          <cell r="A21">
            <v>0</v>
          </cell>
        </row>
      </sheetData>
      <sheetData sheetId="2433">
        <row r="21">
          <cell r="A21">
            <v>0</v>
          </cell>
        </row>
      </sheetData>
      <sheetData sheetId="2434">
        <row r="21">
          <cell r="A21">
            <v>0</v>
          </cell>
        </row>
      </sheetData>
      <sheetData sheetId="2435">
        <row r="21">
          <cell r="A21">
            <v>0</v>
          </cell>
        </row>
      </sheetData>
      <sheetData sheetId="2436">
        <row r="21">
          <cell r="A21">
            <v>0</v>
          </cell>
        </row>
      </sheetData>
      <sheetData sheetId="2437">
        <row r="21">
          <cell r="A21">
            <v>0</v>
          </cell>
        </row>
      </sheetData>
      <sheetData sheetId="2438">
        <row r="21">
          <cell r="A21">
            <v>0</v>
          </cell>
        </row>
      </sheetData>
      <sheetData sheetId="2439">
        <row r="21">
          <cell r="A21">
            <v>0</v>
          </cell>
        </row>
      </sheetData>
      <sheetData sheetId="2440">
        <row r="21">
          <cell r="A21">
            <v>0</v>
          </cell>
        </row>
      </sheetData>
      <sheetData sheetId="2441">
        <row r="21">
          <cell r="A21">
            <v>0</v>
          </cell>
        </row>
      </sheetData>
      <sheetData sheetId="2442">
        <row r="21">
          <cell r="A21">
            <v>0</v>
          </cell>
        </row>
      </sheetData>
      <sheetData sheetId="2443">
        <row r="21">
          <cell r="A21">
            <v>0</v>
          </cell>
        </row>
      </sheetData>
      <sheetData sheetId="2444">
        <row r="21">
          <cell r="A21">
            <v>0</v>
          </cell>
        </row>
      </sheetData>
      <sheetData sheetId="2445">
        <row r="21">
          <cell r="A21">
            <v>0</v>
          </cell>
        </row>
      </sheetData>
      <sheetData sheetId="2446">
        <row r="21">
          <cell r="A21">
            <v>0</v>
          </cell>
        </row>
      </sheetData>
      <sheetData sheetId="2447">
        <row r="21">
          <cell r="A21">
            <v>0</v>
          </cell>
        </row>
      </sheetData>
      <sheetData sheetId="2448">
        <row r="21">
          <cell r="A21">
            <v>0</v>
          </cell>
        </row>
      </sheetData>
      <sheetData sheetId="2449">
        <row r="21">
          <cell r="A21">
            <v>0</v>
          </cell>
        </row>
      </sheetData>
      <sheetData sheetId="2450">
        <row r="21">
          <cell r="A21">
            <v>0</v>
          </cell>
        </row>
      </sheetData>
      <sheetData sheetId="2451">
        <row r="21">
          <cell r="A21">
            <v>0</v>
          </cell>
        </row>
      </sheetData>
      <sheetData sheetId="2452">
        <row r="21">
          <cell r="A21">
            <v>0</v>
          </cell>
        </row>
      </sheetData>
      <sheetData sheetId="2453">
        <row r="21">
          <cell r="A21">
            <v>0</v>
          </cell>
        </row>
      </sheetData>
      <sheetData sheetId="2454">
        <row r="21">
          <cell r="A21">
            <v>0</v>
          </cell>
        </row>
      </sheetData>
      <sheetData sheetId="2455">
        <row r="21">
          <cell r="A21">
            <v>0</v>
          </cell>
        </row>
      </sheetData>
      <sheetData sheetId="2456">
        <row r="21">
          <cell r="A21">
            <v>0</v>
          </cell>
        </row>
      </sheetData>
      <sheetData sheetId="2457">
        <row r="21">
          <cell r="A21">
            <v>0</v>
          </cell>
        </row>
      </sheetData>
      <sheetData sheetId="2458" refreshError="1"/>
      <sheetData sheetId="2459" refreshError="1"/>
      <sheetData sheetId="2460" refreshError="1"/>
      <sheetData sheetId="2461" refreshError="1"/>
      <sheetData sheetId="2462" refreshError="1"/>
      <sheetData sheetId="2463" refreshError="1"/>
      <sheetData sheetId="2464" refreshError="1"/>
      <sheetData sheetId="2465" refreshError="1"/>
      <sheetData sheetId="2466" refreshError="1"/>
      <sheetData sheetId="2467" refreshError="1"/>
      <sheetData sheetId="2468" refreshError="1"/>
      <sheetData sheetId="2469" refreshError="1"/>
      <sheetData sheetId="2470">
        <row r="21">
          <cell r="A21">
            <v>0</v>
          </cell>
        </row>
      </sheetData>
      <sheetData sheetId="2471">
        <row r="21">
          <cell r="A21">
            <v>0</v>
          </cell>
        </row>
      </sheetData>
      <sheetData sheetId="2472">
        <row r="21">
          <cell r="A21">
            <v>0</v>
          </cell>
        </row>
      </sheetData>
      <sheetData sheetId="2473">
        <row r="21">
          <cell r="A21">
            <v>0</v>
          </cell>
        </row>
      </sheetData>
      <sheetData sheetId="2474" refreshError="1"/>
      <sheetData sheetId="2475" refreshError="1"/>
      <sheetData sheetId="2476" refreshError="1"/>
      <sheetData sheetId="2477" refreshError="1"/>
      <sheetData sheetId="2478" refreshError="1"/>
      <sheetData sheetId="2479" refreshError="1"/>
      <sheetData sheetId="2480" refreshError="1"/>
      <sheetData sheetId="2481" refreshError="1"/>
      <sheetData sheetId="2482" refreshError="1"/>
      <sheetData sheetId="2483" refreshError="1"/>
      <sheetData sheetId="2484" refreshError="1"/>
      <sheetData sheetId="2485" refreshError="1"/>
      <sheetData sheetId="2486" refreshError="1"/>
      <sheetData sheetId="2487" refreshError="1"/>
      <sheetData sheetId="2488" refreshError="1"/>
      <sheetData sheetId="2489" refreshError="1"/>
      <sheetData sheetId="2490" refreshError="1"/>
      <sheetData sheetId="2491" refreshError="1"/>
      <sheetData sheetId="2492" refreshError="1"/>
      <sheetData sheetId="2493" refreshError="1"/>
      <sheetData sheetId="2494" refreshError="1"/>
      <sheetData sheetId="2495">
        <row r="21">
          <cell r="A21">
            <v>0</v>
          </cell>
        </row>
      </sheetData>
      <sheetData sheetId="2496" refreshError="1"/>
      <sheetData sheetId="2497" refreshError="1"/>
      <sheetData sheetId="2498" refreshError="1"/>
      <sheetData sheetId="2499" refreshError="1"/>
      <sheetData sheetId="2500" refreshError="1"/>
      <sheetData sheetId="2501" refreshError="1"/>
      <sheetData sheetId="2502" refreshError="1"/>
      <sheetData sheetId="2503" refreshError="1"/>
      <sheetData sheetId="2504">
        <row r="21">
          <cell r="A21">
            <v>0</v>
          </cell>
        </row>
      </sheetData>
      <sheetData sheetId="2505" refreshError="1"/>
      <sheetData sheetId="2506" refreshError="1"/>
      <sheetData sheetId="2507">
        <row r="21">
          <cell r="A21">
            <v>0</v>
          </cell>
        </row>
      </sheetData>
      <sheetData sheetId="2508" refreshError="1"/>
      <sheetData sheetId="2509" refreshError="1"/>
      <sheetData sheetId="2510" refreshError="1"/>
      <sheetData sheetId="2511" refreshError="1"/>
      <sheetData sheetId="2512" refreshError="1"/>
      <sheetData sheetId="2513" refreshError="1"/>
      <sheetData sheetId="2514" refreshError="1"/>
      <sheetData sheetId="2515" refreshError="1"/>
      <sheetData sheetId="2516" refreshError="1"/>
      <sheetData sheetId="2517" refreshError="1"/>
      <sheetData sheetId="2518" refreshError="1"/>
      <sheetData sheetId="2519" refreshError="1"/>
      <sheetData sheetId="2520" refreshError="1"/>
      <sheetData sheetId="2521" refreshError="1"/>
      <sheetData sheetId="2522" refreshError="1"/>
      <sheetData sheetId="2523" refreshError="1"/>
      <sheetData sheetId="2524" refreshError="1"/>
      <sheetData sheetId="2525" refreshError="1"/>
      <sheetData sheetId="2526" refreshError="1"/>
      <sheetData sheetId="2527" refreshError="1"/>
      <sheetData sheetId="2528" refreshError="1"/>
      <sheetData sheetId="2529" refreshError="1"/>
      <sheetData sheetId="2530" refreshError="1"/>
      <sheetData sheetId="2531" refreshError="1"/>
      <sheetData sheetId="2532" refreshError="1"/>
      <sheetData sheetId="2533" refreshError="1"/>
      <sheetData sheetId="2534" refreshError="1"/>
      <sheetData sheetId="2535" refreshError="1"/>
      <sheetData sheetId="2536" refreshError="1"/>
      <sheetData sheetId="2537" refreshError="1"/>
      <sheetData sheetId="2538" refreshError="1"/>
      <sheetData sheetId="2539" refreshError="1"/>
      <sheetData sheetId="2540" refreshError="1"/>
      <sheetData sheetId="2541" refreshError="1"/>
      <sheetData sheetId="2542" refreshError="1"/>
      <sheetData sheetId="2543" refreshError="1"/>
      <sheetData sheetId="2544" refreshError="1"/>
      <sheetData sheetId="2545" refreshError="1"/>
      <sheetData sheetId="2546" refreshError="1"/>
      <sheetData sheetId="2547" refreshError="1"/>
      <sheetData sheetId="2548" refreshError="1"/>
      <sheetData sheetId="2549" refreshError="1"/>
      <sheetData sheetId="2550" refreshError="1"/>
      <sheetData sheetId="2551" refreshError="1"/>
      <sheetData sheetId="2552" refreshError="1"/>
      <sheetData sheetId="2553" refreshError="1"/>
      <sheetData sheetId="2554" refreshError="1"/>
      <sheetData sheetId="2555" refreshError="1"/>
      <sheetData sheetId="2556" refreshError="1"/>
      <sheetData sheetId="2557" refreshError="1"/>
      <sheetData sheetId="2558" refreshError="1"/>
      <sheetData sheetId="2559" refreshError="1"/>
      <sheetData sheetId="2560" refreshError="1"/>
      <sheetData sheetId="2561" refreshError="1"/>
      <sheetData sheetId="2562" refreshError="1"/>
      <sheetData sheetId="2563" refreshError="1"/>
      <sheetData sheetId="2564" refreshError="1"/>
      <sheetData sheetId="2565" refreshError="1"/>
      <sheetData sheetId="2566" refreshError="1"/>
      <sheetData sheetId="2567" refreshError="1"/>
      <sheetData sheetId="2568" refreshError="1"/>
      <sheetData sheetId="2569" refreshError="1"/>
      <sheetData sheetId="2570" refreshError="1"/>
      <sheetData sheetId="2571" refreshError="1"/>
      <sheetData sheetId="2572" refreshError="1"/>
      <sheetData sheetId="2573" refreshError="1"/>
      <sheetData sheetId="2574" refreshError="1"/>
      <sheetData sheetId="2575" refreshError="1"/>
      <sheetData sheetId="2576" refreshError="1"/>
      <sheetData sheetId="2577" refreshError="1"/>
      <sheetData sheetId="2578" refreshError="1"/>
      <sheetData sheetId="2579" refreshError="1"/>
      <sheetData sheetId="2580" refreshError="1"/>
      <sheetData sheetId="2581" refreshError="1"/>
      <sheetData sheetId="2582" refreshError="1"/>
      <sheetData sheetId="2583" refreshError="1"/>
      <sheetData sheetId="2584" refreshError="1"/>
      <sheetData sheetId="2585" refreshError="1"/>
      <sheetData sheetId="2586" refreshError="1"/>
      <sheetData sheetId="2587" refreshError="1"/>
      <sheetData sheetId="2588" refreshError="1"/>
      <sheetData sheetId="2589" refreshError="1"/>
      <sheetData sheetId="2590" refreshError="1"/>
      <sheetData sheetId="2591" refreshError="1"/>
      <sheetData sheetId="2592" refreshError="1"/>
      <sheetData sheetId="2593" refreshError="1"/>
      <sheetData sheetId="2594" refreshError="1"/>
      <sheetData sheetId="2595" refreshError="1"/>
      <sheetData sheetId="2596" refreshError="1"/>
      <sheetData sheetId="2597" refreshError="1"/>
      <sheetData sheetId="2598" refreshError="1"/>
      <sheetData sheetId="2599" refreshError="1"/>
      <sheetData sheetId="2600" refreshError="1"/>
      <sheetData sheetId="2601" refreshError="1"/>
      <sheetData sheetId="2602" refreshError="1"/>
      <sheetData sheetId="2603" refreshError="1"/>
      <sheetData sheetId="2604" refreshError="1"/>
      <sheetData sheetId="2605" refreshError="1"/>
      <sheetData sheetId="2606" refreshError="1"/>
      <sheetData sheetId="2607" refreshError="1"/>
      <sheetData sheetId="2608" refreshError="1"/>
      <sheetData sheetId="2609" refreshError="1"/>
      <sheetData sheetId="2610" refreshError="1"/>
      <sheetData sheetId="2611" refreshError="1"/>
      <sheetData sheetId="2612" refreshError="1"/>
      <sheetData sheetId="2613" refreshError="1"/>
      <sheetData sheetId="2614" refreshError="1"/>
      <sheetData sheetId="2615" refreshError="1"/>
      <sheetData sheetId="2616" refreshError="1"/>
      <sheetData sheetId="2617" refreshError="1"/>
      <sheetData sheetId="2618" refreshError="1"/>
      <sheetData sheetId="2619" refreshError="1"/>
      <sheetData sheetId="2620" refreshError="1"/>
      <sheetData sheetId="2621" refreshError="1"/>
      <sheetData sheetId="2622" refreshError="1"/>
      <sheetData sheetId="2623" refreshError="1"/>
      <sheetData sheetId="2624" refreshError="1"/>
      <sheetData sheetId="2625" refreshError="1"/>
      <sheetData sheetId="2626" refreshError="1"/>
      <sheetData sheetId="2627" refreshError="1"/>
      <sheetData sheetId="2628" refreshError="1"/>
      <sheetData sheetId="2629" refreshError="1"/>
      <sheetData sheetId="2630" refreshError="1"/>
      <sheetData sheetId="2631" refreshError="1"/>
      <sheetData sheetId="2632" refreshError="1"/>
      <sheetData sheetId="2633" refreshError="1"/>
      <sheetData sheetId="2634" refreshError="1"/>
      <sheetData sheetId="2635" refreshError="1"/>
      <sheetData sheetId="2636" refreshError="1"/>
      <sheetData sheetId="2637" refreshError="1"/>
      <sheetData sheetId="2638" refreshError="1"/>
      <sheetData sheetId="2639" refreshError="1"/>
      <sheetData sheetId="2640" refreshError="1"/>
      <sheetData sheetId="2641" refreshError="1"/>
      <sheetData sheetId="2642" refreshError="1"/>
      <sheetData sheetId="2643" refreshError="1"/>
      <sheetData sheetId="2644" refreshError="1"/>
      <sheetData sheetId="2645" refreshError="1"/>
      <sheetData sheetId="2646" refreshError="1"/>
      <sheetData sheetId="2647" refreshError="1"/>
      <sheetData sheetId="2648" refreshError="1"/>
      <sheetData sheetId="2649" refreshError="1"/>
      <sheetData sheetId="2650" refreshError="1"/>
      <sheetData sheetId="2651" refreshError="1"/>
      <sheetData sheetId="2652" refreshError="1"/>
      <sheetData sheetId="2653" refreshError="1"/>
      <sheetData sheetId="2654" refreshError="1"/>
      <sheetData sheetId="2655" refreshError="1"/>
      <sheetData sheetId="2656" refreshError="1"/>
      <sheetData sheetId="2657" refreshError="1"/>
      <sheetData sheetId="2658" refreshError="1"/>
      <sheetData sheetId="2659" refreshError="1"/>
      <sheetData sheetId="2660" refreshError="1"/>
      <sheetData sheetId="2661" refreshError="1"/>
      <sheetData sheetId="2662" refreshError="1"/>
      <sheetData sheetId="2663" refreshError="1"/>
      <sheetData sheetId="2664" refreshError="1"/>
      <sheetData sheetId="2665" refreshError="1"/>
      <sheetData sheetId="2666" refreshError="1"/>
      <sheetData sheetId="2667" refreshError="1"/>
      <sheetData sheetId="2668">
        <row r="21">
          <cell r="A21">
            <v>0</v>
          </cell>
        </row>
      </sheetData>
      <sheetData sheetId="2669">
        <row r="21">
          <cell r="A21">
            <v>0</v>
          </cell>
        </row>
      </sheetData>
      <sheetData sheetId="2670">
        <row r="21">
          <cell r="A21">
            <v>0</v>
          </cell>
        </row>
      </sheetData>
      <sheetData sheetId="2671" refreshError="1"/>
      <sheetData sheetId="2672" refreshError="1"/>
      <sheetData sheetId="2673" refreshError="1"/>
      <sheetData sheetId="2674" refreshError="1"/>
      <sheetData sheetId="2675" refreshError="1"/>
      <sheetData sheetId="2676" refreshError="1"/>
      <sheetData sheetId="2677" refreshError="1"/>
      <sheetData sheetId="2678" refreshError="1"/>
      <sheetData sheetId="2679" refreshError="1"/>
      <sheetData sheetId="2680" refreshError="1"/>
      <sheetData sheetId="2681" refreshError="1"/>
      <sheetData sheetId="2682" refreshError="1"/>
      <sheetData sheetId="2683" refreshError="1"/>
      <sheetData sheetId="2684" refreshError="1"/>
      <sheetData sheetId="2685" refreshError="1"/>
      <sheetData sheetId="2686" refreshError="1"/>
      <sheetData sheetId="2687" refreshError="1"/>
      <sheetData sheetId="2688" refreshError="1"/>
      <sheetData sheetId="2689" refreshError="1"/>
      <sheetData sheetId="2690" refreshError="1"/>
      <sheetData sheetId="2691" refreshError="1"/>
      <sheetData sheetId="2692" refreshError="1"/>
      <sheetData sheetId="2693" refreshError="1"/>
      <sheetData sheetId="2694" refreshError="1"/>
      <sheetData sheetId="2695" refreshError="1"/>
      <sheetData sheetId="2696" refreshError="1"/>
      <sheetData sheetId="2697" refreshError="1"/>
      <sheetData sheetId="2698">
        <row r="21">
          <cell r="A21">
            <v>0</v>
          </cell>
        </row>
      </sheetData>
      <sheetData sheetId="2699" refreshError="1"/>
      <sheetData sheetId="2700" refreshError="1"/>
      <sheetData sheetId="2701" refreshError="1"/>
      <sheetData sheetId="2702" refreshError="1"/>
      <sheetData sheetId="2703" refreshError="1"/>
      <sheetData sheetId="2704" refreshError="1"/>
      <sheetData sheetId="2705">
        <row r="21">
          <cell r="A21">
            <v>0</v>
          </cell>
        </row>
      </sheetData>
      <sheetData sheetId="2706">
        <row r="21">
          <cell r="A21">
            <v>0</v>
          </cell>
        </row>
      </sheetData>
      <sheetData sheetId="2707">
        <row r="21">
          <cell r="A21">
            <v>0</v>
          </cell>
        </row>
      </sheetData>
      <sheetData sheetId="2708">
        <row r="21">
          <cell r="A21">
            <v>0</v>
          </cell>
        </row>
      </sheetData>
      <sheetData sheetId="2709">
        <row r="21">
          <cell r="A21">
            <v>0</v>
          </cell>
        </row>
      </sheetData>
      <sheetData sheetId="2710">
        <row r="21">
          <cell r="A21">
            <v>0</v>
          </cell>
        </row>
      </sheetData>
      <sheetData sheetId="2711">
        <row r="21">
          <cell r="A21">
            <v>0</v>
          </cell>
        </row>
      </sheetData>
      <sheetData sheetId="2712">
        <row r="21">
          <cell r="A21">
            <v>0</v>
          </cell>
        </row>
      </sheetData>
      <sheetData sheetId="2713">
        <row r="21">
          <cell r="A21">
            <v>0</v>
          </cell>
        </row>
      </sheetData>
      <sheetData sheetId="2714">
        <row r="21">
          <cell r="A21">
            <v>0</v>
          </cell>
        </row>
      </sheetData>
      <sheetData sheetId="2715">
        <row r="21">
          <cell r="A21">
            <v>0</v>
          </cell>
        </row>
      </sheetData>
      <sheetData sheetId="2716">
        <row r="21">
          <cell r="A21">
            <v>0</v>
          </cell>
        </row>
      </sheetData>
      <sheetData sheetId="2717">
        <row r="21">
          <cell r="A21">
            <v>0</v>
          </cell>
        </row>
      </sheetData>
      <sheetData sheetId="2718">
        <row r="21">
          <cell r="A21">
            <v>0</v>
          </cell>
        </row>
      </sheetData>
      <sheetData sheetId="2719">
        <row r="21">
          <cell r="A21">
            <v>0</v>
          </cell>
        </row>
      </sheetData>
      <sheetData sheetId="2720">
        <row r="21">
          <cell r="A21">
            <v>0</v>
          </cell>
        </row>
      </sheetData>
      <sheetData sheetId="2721">
        <row r="21">
          <cell r="A21">
            <v>0</v>
          </cell>
        </row>
      </sheetData>
      <sheetData sheetId="2722">
        <row r="21">
          <cell r="A21">
            <v>0</v>
          </cell>
        </row>
      </sheetData>
      <sheetData sheetId="2723">
        <row r="21">
          <cell r="A21">
            <v>0</v>
          </cell>
        </row>
      </sheetData>
      <sheetData sheetId="2724">
        <row r="21">
          <cell r="A21">
            <v>0</v>
          </cell>
        </row>
      </sheetData>
      <sheetData sheetId="2725">
        <row r="21">
          <cell r="A21">
            <v>0</v>
          </cell>
        </row>
      </sheetData>
      <sheetData sheetId="2726">
        <row r="21">
          <cell r="A21">
            <v>0</v>
          </cell>
        </row>
      </sheetData>
      <sheetData sheetId="2727">
        <row r="21">
          <cell r="A21">
            <v>0</v>
          </cell>
        </row>
      </sheetData>
      <sheetData sheetId="2728">
        <row r="21">
          <cell r="A21">
            <v>0</v>
          </cell>
        </row>
      </sheetData>
      <sheetData sheetId="2729">
        <row r="21">
          <cell r="A21">
            <v>0</v>
          </cell>
        </row>
      </sheetData>
      <sheetData sheetId="2730">
        <row r="21">
          <cell r="A21">
            <v>0</v>
          </cell>
        </row>
      </sheetData>
      <sheetData sheetId="2731">
        <row r="21">
          <cell r="A21">
            <v>0</v>
          </cell>
        </row>
      </sheetData>
      <sheetData sheetId="2732">
        <row r="21">
          <cell r="A21">
            <v>0</v>
          </cell>
        </row>
      </sheetData>
      <sheetData sheetId="2733">
        <row r="21">
          <cell r="A21">
            <v>0</v>
          </cell>
        </row>
      </sheetData>
      <sheetData sheetId="2734">
        <row r="21">
          <cell r="A21">
            <v>0</v>
          </cell>
        </row>
      </sheetData>
      <sheetData sheetId="2735">
        <row r="21">
          <cell r="A21">
            <v>0</v>
          </cell>
        </row>
      </sheetData>
      <sheetData sheetId="2736">
        <row r="21">
          <cell r="A21">
            <v>0</v>
          </cell>
        </row>
      </sheetData>
      <sheetData sheetId="2737">
        <row r="21">
          <cell r="A21">
            <v>0</v>
          </cell>
        </row>
      </sheetData>
      <sheetData sheetId="2738">
        <row r="21">
          <cell r="A21">
            <v>0</v>
          </cell>
        </row>
      </sheetData>
      <sheetData sheetId="2739">
        <row r="21">
          <cell r="A21">
            <v>0</v>
          </cell>
        </row>
      </sheetData>
      <sheetData sheetId="2740">
        <row r="21">
          <cell r="A21">
            <v>0</v>
          </cell>
        </row>
      </sheetData>
      <sheetData sheetId="2741">
        <row r="21">
          <cell r="A21">
            <v>0</v>
          </cell>
        </row>
      </sheetData>
      <sheetData sheetId="2742">
        <row r="21">
          <cell r="A21">
            <v>0</v>
          </cell>
        </row>
      </sheetData>
      <sheetData sheetId="2743">
        <row r="21">
          <cell r="A21">
            <v>0</v>
          </cell>
        </row>
      </sheetData>
      <sheetData sheetId="2744">
        <row r="21">
          <cell r="A21">
            <v>0</v>
          </cell>
        </row>
      </sheetData>
      <sheetData sheetId="2745">
        <row r="21">
          <cell r="A21">
            <v>0</v>
          </cell>
        </row>
      </sheetData>
      <sheetData sheetId="2746">
        <row r="21">
          <cell r="A21">
            <v>0</v>
          </cell>
        </row>
      </sheetData>
      <sheetData sheetId="2747">
        <row r="21">
          <cell r="A21">
            <v>0</v>
          </cell>
        </row>
      </sheetData>
      <sheetData sheetId="2748">
        <row r="21">
          <cell r="A21">
            <v>0</v>
          </cell>
        </row>
      </sheetData>
      <sheetData sheetId="2749">
        <row r="21">
          <cell r="A21">
            <v>0</v>
          </cell>
        </row>
      </sheetData>
      <sheetData sheetId="2750">
        <row r="21">
          <cell r="A21">
            <v>0</v>
          </cell>
        </row>
      </sheetData>
      <sheetData sheetId="2751">
        <row r="21">
          <cell r="A21">
            <v>0</v>
          </cell>
        </row>
      </sheetData>
      <sheetData sheetId="2752">
        <row r="21">
          <cell r="A21">
            <v>0</v>
          </cell>
        </row>
      </sheetData>
      <sheetData sheetId="2753">
        <row r="21">
          <cell r="A21">
            <v>0</v>
          </cell>
        </row>
      </sheetData>
      <sheetData sheetId="2754">
        <row r="21">
          <cell r="A21">
            <v>0</v>
          </cell>
        </row>
      </sheetData>
      <sheetData sheetId="2755">
        <row r="21">
          <cell r="A21">
            <v>0</v>
          </cell>
        </row>
      </sheetData>
      <sheetData sheetId="2756">
        <row r="21">
          <cell r="A21">
            <v>0</v>
          </cell>
        </row>
      </sheetData>
      <sheetData sheetId="2757">
        <row r="21">
          <cell r="A21">
            <v>0</v>
          </cell>
        </row>
      </sheetData>
      <sheetData sheetId="2758">
        <row r="21">
          <cell r="A21">
            <v>0</v>
          </cell>
        </row>
      </sheetData>
      <sheetData sheetId="2759">
        <row r="21">
          <cell r="A21">
            <v>0</v>
          </cell>
        </row>
      </sheetData>
      <sheetData sheetId="2760">
        <row r="21">
          <cell r="A21">
            <v>0</v>
          </cell>
        </row>
      </sheetData>
      <sheetData sheetId="2761">
        <row r="21">
          <cell r="A21">
            <v>0</v>
          </cell>
        </row>
      </sheetData>
      <sheetData sheetId="2762">
        <row r="21">
          <cell r="A21">
            <v>0</v>
          </cell>
        </row>
      </sheetData>
      <sheetData sheetId="2763">
        <row r="21">
          <cell r="A21">
            <v>0</v>
          </cell>
        </row>
      </sheetData>
      <sheetData sheetId="2764">
        <row r="21">
          <cell r="A21">
            <v>0</v>
          </cell>
        </row>
      </sheetData>
      <sheetData sheetId="2765">
        <row r="21">
          <cell r="A21">
            <v>0</v>
          </cell>
        </row>
      </sheetData>
      <sheetData sheetId="2766">
        <row r="21">
          <cell r="A21">
            <v>0</v>
          </cell>
        </row>
      </sheetData>
      <sheetData sheetId="2767">
        <row r="21">
          <cell r="A21">
            <v>0</v>
          </cell>
        </row>
      </sheetData>
      <sheetData sheetId="2768">
        <row r="21">
          <cell r="A21">
            <v>0</v>
          </cell>
        </row>
      </sheetData>
      <sheetData sheetId="2769">
        <row r="21">
          <cell r="A21">
            <v>0</v>
          </cell>
        </row>
      </sheetData>
      <sheetData sheetId="2770">
        <row r="21">
          <cell r="A21">
            <v>0</v>
          </cell>
        </row>
      </sheetData>
      <sheetData sheetId="2771">
        <row r="21">
          <cell r="A21">
            <v>0</v>
          </cell>
        </row>
      </sheetData>
      <sheetData sheetId="2772">
        <row r="21">
          <cell r="A21">
            <v>0</v>
          </cell>
        </row>
      </sheetData>
      <sheetData sheetId="2773">
        <row r="21">
          <cell r="A21">
            <v>0</v>
          </cell>
        </row>
      </sheetData>
      <sheetData sheetId="2774">
        <row r="21">
          <cell r="A21">
            <v>0</v>
          </cell>
        </row>
      </sheetData>
      <sheetData sheetId="2775">
        <row r="21">
          <cell r="A21">
            <v>0</v>
          </cell>
        </row>
      </sheetData>
      <sheetData sheetId="2776">
        <row r="21">
          <cell r="A21">
            <v>0</v>
          </cell>
        </row>
      </sheetData>
      <sheetData sheetId="2777">
        <row r="21">
          <cell r="A21">
            <v>0</v>
          </cell>
        </row>
      </sheetData>
      <sheetData sheetId="2778">
        <row r="21">
          <cell r="A21">
            <v>0</v>
          </cell>
        </row>
      </sheetData>
      <sheetData sheetId="2779">
        <row r="21">
          <cell r="A21">
            <v>0</v>
          </cell>
        </row>
      </sheetData>
      <sheetData sheetId="2780">
        <row r="21">
          <cell r="A21">
            <v>0</v>
          </cell>
        </row>
      </sheetData>
      <sheetData sheetId="2781">
        <row r="21">
          <cell r="A21">
            <v>0</v>
          </cell>
        </row>
      </sheetData>
      <sheetData sheetId="2782">
        <row r="21">
          <cell r="A21">
            <v>0</v>
          </cell>
        </row>
      </sheetData>
      <sheetData sheetId="2783">
        <row r="21">
          <cell r="A21">
            <v>0</v>
          </cell>
        </row>
      </sheetData>
      <sheetData sheetId="2784">
        <row r="21">
          <cell r="A21">
            <v>0</v>
          </cell>
        </row>
      </sheetData>
      <sheetData sheetId="2785">
        <row r="21">
          <cell r="A21">
            <v>0</v>
          </cell>
        </row>
      </sheetData>
      <sheetData sheetId="2786">
        <row r="21">
          <cell r="A21">
            <v>0</v>
          </cell>
        </row>
      </sheetData>
      <sheetData sheetId="2787">
        <row r="21">
          <cell r="A21">
            <v>0</v>
          </cell>
        </row>
      </sheetData>
      <sheetData sheetId="2788">
        <row r="21">
          <cell r="A21">
            <v>0</v>
          </cell>
        </row>
      </sheetData>
      <sheetData sheetId="2789">
        <row r="21">
          <cell r="A21">
            <v>0</v>
          </cell>
        </row>
      </sheetData>
      <sheetData sheetId="2790">
        <row r="21">
          <cell r="A21">
            <v>0</v>
          </cell>
        </row>
      </sheetData>
      <sheetData sheetId="2791">
        <row r="21">
          <cell r="A21">
            <v>0</v>
          </cell>
        </row>
      </sheetData>
      <sheetData sheetId="2792">
        <row r="21">
          <cell r="A21">
            <v>0</v>
          </cell>
        </row>
      </sheetData>
      <sheetData sheetId="2793">
        <row r="21">
          <cell r="A21">
            <v>0</v>
          </cell>
        </row>
      </sheetData>
      <sheetData sheetId="2794">
        <row r="21">
          <cell r="A21">
            <v>0</v>
          </cell>
        </row>
      </sheetData>
      <sheetData sheetId="2795">
        <row r="21">
          <cell r="A21">
            <v>0</v>
          </cell>
        </row>
      </sheetData>
      <sheetData sheetId="2796">
        <row r="21">
          <cell r="A21">
            <v>0</v>
          </cell>
        </row>
      </sheetData>
      <sheetData sheetId="2797">
        <row r="21">
          <cell r="A21">
            <v>0</v>
          </cell>
        </row>
      </sheetData>
      <sheetData sheetId="2798">
        <row r="21">
          <cell r="A21">
            <v>0</v>
          </cell>
        </row>
      </sheetData>
      <sheetData sheetId="2799">
        <row r="21">
          <cell r="A21">
            <v>0</v>
          </cell>
        </row>
      </sheetData>
      <sheetData sheetId="2800">
        <row r="21">
          <cell r="A21">
            <v>0</v>
          </cell>
        </row>
      </sheetData>
      <sheetData sheetId="2801">
        <row r="21">
          <cell r="A21">
            <v>0</v>
          </cell>
        </row>
      </sheetData>
      <sheetData sheetId="2802">
        <row r="21">
          <cell r="A21">
            <v>0</v>
          </cell>
        </row>
      </sheetData>
      <sheetData sheetId="2803">
        <row r="21">
          <cell r="A21">
            <v>0</v>
          </cell>
        </row>
      </sheetData>
      <sheetData sheetId="2804">
        <row r="21">
          <cell r="A21">
            <v>0</v>
          </cell>
        </row>
      </sheetData>
      <sheetData sheetId="2805">
        <row r="21">
          <cell r="A21">
            <v>0</v>
          </cell>
        </row>
      </sheetData>
      <sheetData sheetId="2806">
        <row r="21">
          <cell r="A21">
            <v>0</v>
          </cell>
        </row>
      </sheetData>
      <sheetData sheetId="2807">
        <row r="21">
          <cell r="A21">
            <v>0</v>
          </cell>
        </row>
      </sheetData>
      <sheetData sheetId="2808">
        <row r="21">
          <cell r="A21">
            <v>0</v>
          </cell>
        </row>
      </sheetData>
      <sheetData sheetId="2809">
        <row r="21">
          <cell r="A21">
            <v>0</v>
          </cell>
        </row>
      </sheetData>
      <sheetData sheetId="2810">
        <row r="21">
          <cell r="A21">
            <v>0</v>
          </cell>
        </row>
      </sheetData>
      <sheetData sheetId="2811">
        <row r="21">
          <cell r="A21">
            <v>0</v>
          </cell>
        </row>
      </sheetData>
      <sheetData sheetId="2812">
        <row r="21">
          <cell r="A21">
            <v>0</v>
          </cell>
        </row>
      </sheetData>
      <sheetData sheetId="2813">
        <row r="21">
          <cell r="A21">
            <v>0</v>
          </cell>
        </row>
      </sheetData>
      <sheetData sheetId="2814">
        <row r="21">
          <cell r="A21">
            <v>0</v>
          </cell>
        </row>
      </sheetData>
      <sheetData sheetId="2815">
        <row r="21">
          <cell r="A21">
            <v>0</v>
          </cell>
        </row>
      </sheetData>
      <sheetData sheetId="2816">
        <row r="21">
          <cell r="A21">
            <v>0</v>
          </cell>
        </row>
      </sheetData>
      <sheetData sheetId="2817">
        <row r="21">
          <cell r="A21">
            <v>0</v>
          </cell>
        </row>
      </sheetData>
      <sheetData sheetId="2818">
        <row r="21">
          <cell r="A21">
            <v>0</v>
          </cell>
        </row>
      </sheetData>
      <sheetData sheetId="2819">
        <row r="21">
          <cell r="A21">
            <v>0</v>
          </cell>
        </row>
      </sheetData>
      <sheetData sheetId="2820">
        <row r="21">
          <cell r="A21">
            <v>0</v>
          </cell>
        </row>
      </sheetData>
      <sheetData sheetId="2821">
        <row r="21">
          <cell r="A21">
            <v>0</v>
          </cell>
        </row>
      </sheetData>
      <sheetData sheetId="2822">
        <row r="21">
          <cell r="A21">
            <v>0</v>
          </cell>
        </row>
      </sheetData>
      <sheetData sheetId="2823">
        <row r="21">
          <cell r="A21">
            <v>0</v>
          </cell>
        </row>
      </sheetData>
      <sheetData sheetId="2824">
        <row r="21">
          <cell r="A21">
            <v>0</v>
          </cell>
        </row>
      </sheetData>
      <sheetData sheetId="2825">
        <row r="21">
          <cell r="A21">
            <v>0</v>
          </cell>
        </row>
      </sheetData>
      <sheetData sheetId="2826">
        <row r="21">
          <cell r="A21">
            <v>0</v>
          </cell>
        </row>
      </sheetData>
      <sheetData sheetId="2827">
        <row r="21">
          <cell r="A21">
            <v>0</v>
          </cell>
        </row>
      </sheetData>
      <sheetData sheetId="2828">
        <row r="21">
          <cell r="A21">
            <v>0</v>
          </cell>
        </row>
      </sheetData>
      <sheetData sheetId="2829">
        <row r="21">
          <cell r="A21">
            <v>0</v>
          </cell>
        </row>
      </sheetData>
      <sheetData sheetId="2830">
        <row r="21">
          <cell r="A21">
            <v>0</v>
          </cell>
        </row>
      </sheetData>
      <sheetData sheetId="2831">
        <row r="21">
          <cell r="A21">
            <v>0</v>
          </cell>
        </row>
      </sheetData>
      <sheetData sheetId="2832">
        <row r="21">
          <cell r="A21">
            <v>0</v>
          </cell>
        </row>
      </sheetData>
      <sheetData sheetId="2833">
        <row r="21">
          <cell r="A21">
            <v>0</v>
          </cell>
        </row>
      </sheetData>
      <sheetData sheetId="2834">
        <row r="21">
          <cell r="A21">
            <v>0</v>
          </cell>
        </row>
      </sheetData>
      <sheetData sheetId="2835">
        <row r="21">
          <cell r="A21">
            <v>0</v>
          </cell>
        </row>
      </sheetData>
      <sheetData sheetId="2836">
        <row r="21">
          <cell r="A21">
            <v>0</v>
          </cell>
        </row>
      </sheetData>
      <sheetData sheetId="2837">
        <row r="21">
          <cell r="A21">
            <v>0</v>
          </cell>
        </row>
      </sheetData>
      <sheetData sheetId="2838">
        <row r="21">
          <cell r="A21">
            <v>0</v>
          </cell>
        </row>
      </sheetData>
      <sheetData sheetId="2839">
        <row r="21">
          <cell r="A21">
            <v>0</v>
          </cell>
        </row>
      </sheetData>
      <sheetData sheetId="2840">
        <row r="21">
          <cell r="A21">
            <v>0</v>
          </cell>
        </row>
      </sheetData>
      <sheetData sheetId="2841">
        <row r="21">
          <cell r="A21">
            <v>0</v>
          </cell>
        </row>
      </sheetData>
      <sheetData sheetId="2842">
        <row r="21">
          <cell r="A21">
            <v>0</v>
          </cell>
        </row>
      </sheetData>
      <sheetData sheetId="2843">
        <row r="21">
          <cell r="A21">
            <v>0</v>
          </cell>
        </row>
      </sheetData>
      <sheetData sheetId="2844">
        <row r="21">
          <cell r="A21">
            <v>0</v>
          </cell>
        </row>
      </sheetData>
      <sheetData sheetId="2845">
        <row r="21">
          <cell r="A21">
            <v>0</v>
          </cell>
        </row>
      </sheetData>
      <sheetData sheetId="2846">
        <row r="21">
          <cell r="A21">
            <v>0</v>
          </cell>
        </row>
      </sheetData>
      <sheetData sheetId="2847">
        <row r="21">
          <cell r="A21">
            <v>0</v>
          </cell>
        </row>
      </sheetData>
      <sheetData sheetId="2848">
        <row r="21">
          <cell r="A21">
            <v>0</v>
          </cell>
        </row>
      </sheetData>
      <sheetData sheetId="2849">
        <row r="21">
          <cell r="A21">
            <v>0</v>
          </cell>
        </row>
      </sheetData>
      <sheetData sheetId="2850">
        <row r="21">
          <cell r="A21">
            <v>0</v>
          </cell>
        </row>
      </sheetData>
      <sheetData sheetId="2851">
        <row r="21">
          <cell r="A21">
            <v>0</v>
          </cell>
        </row>
      </sheetData>
      <sheetData sheetId="2852">
        <row r="21">
          <cell r="A21">
            <v>0</v>
          </cell>
        </row>
      </sheetData>
      <sheetData sheetId="2853">
        <row r="21">
          <cell r="A21">
            <v>0</v>
          </cell>
        </row>
      </sheetData>
      <sheetData sheetId="2854">
        <row r="21">
          <cell r="A21">
            <v>0</v>
          </cell>
        </row>
      </sheetData>
      <sheetData sheetId="2855">
        <row r="21">
          <cell r="A21">
            <v>0</v>
          </cell>
        </row>
      </sheetData>
      <sheetData sheetId="2856">
        <row r="21">
          <cell r="A21">
            <v>0</v>
          </cell>
        </row>
      </sheetData>
      <sheetData sheetId="2857">
        <row r="21">
          <cell r="A21">
            <v>0</v>
          </cell>
        </row>
      </sheetData>
      <sheetData sheetId="2858">
        <row r="21">
          <cell r="A21">
            <v>0</v>
          </cell>
        </row>
      </sheetData>
      <sheetData sheetId="2859">
        <row r="21">
          <cell r="A21">
            <v>0</v>
          </cell>
        </row>
      </sheetData>
      <sheetData sheetId="2860">
        <row r="21">
          <cell r="A21">
            <v>0</v>
          </cell>
        </row>
      </sheetData>
      <sheetData sheetId="2861">
        <row r="21">
          <cell r="A21">
            <v>0</v>
          </cell>
        </row>
      </sheetData>
      <sheetData sheetId="2862">
        <row r="21">
          <cell r="A21">
            <v>0</v>
          </cell>
        </row>
      </sheetData>
      <sheetData sheetId="2863">
        <row r="21">
          <cell r="A21">
            <v>0</v>
          </cell>
        </row>
      </sheetData>
      <sheetData sheetId="2864">
        <row r="21">
          <cell r="A21">
            <v>0</v>
          </cell>
        </row>
      </sheetData>
      <sheetData sheetId="2865">
        <row r="21">
          <cell r="A21">
            <v>0</v>
          </cell>
        </row>
      </sheetData>
      <sheetData sheetId="2866">
        <row r="21">
          <cell r="A21">
            <v>0</v>
          </cell>
        </row>
      </sheetData>
      <sheetData sheetId="2867">
        <row r="21">
          <cell r="A21">
            <v>0</v>
          </cell>
        </row>
      </sheetData>
      <sheetData sheetId="2868">
        <row r="21">
          <cell r="A21">
            <v>0</v>
          </cell>
        </row>
      </sheetData>
      <sheetData sheetId="2869">
        <row r="21">
          <cell r="A21">
            <v>0</v>
          </cell>
        </row>
      </sheetData>
      <sheetData sheetId="2870">
        <row r="21">
          <cell r="A21">
            <v>0</v>
          </cell>
        </row>
      </sheetData>
      <sheetData sheetId="2871">
        <row r="21">
          <cell r="A21">
            <v>0</v>
          </cell>
        </row>
      </sheetData>
      <sheetData sheetId="2872">
        <row r="21">
          <cell r="A21">
            <v>0</v>
          </cell>
        </row>
      </sheetData>
      <sheetData sheetId="2873">
        <row r="21">
          <cell r="A21">
            <v>0</v>
          </cell>
        </row>
      </sheetData>
      <sheetData sheetId="2874">
        <row r="21">
          <cell r="A21">
            <v>0</v>
          </cell>
        </row>
      </sheetData>
      <sheetData sheetId="2875">
        <row r="21">
          <cell r="A21">
            <v>0</v>
          </cell>
        </row>
      </sheetData>
      <sheetData sheetId="2876">
        <row r="21">
          <cell r="A21">
            <v>0</v>
          </cell>
        </row>
      </sheetData>
      <sheetData sheetId="2877">
        <row r="21">
          <cell r="A21">
            <v>0</v>
          </cell>
        </row>
      </sheetData>
      <sheetData sheetId="2878"/>
      <sheetData sheetId="2879"/>
      <sheetData sheetId="2880"/>
      <sheetData sheetId="2881">
        <row r="21">
          <cell r="A21">
            <v>0</v>
          </cell>
        </row>
      </sheetData>
      <sheetData sheetId="2882">
        <row r="21">
          <cell r="A21">
            <v>0</v>
          </cell>
        </row>
      </sheetData>
      <sheetData sheetId="2883">
        <row r="21">
          <cell r="A21">
            <v>0</v>
          </cell>
        </row>
      </sheetData>
      <sheetData sheetId="2884">
        <row r="21">
          <cell r="A21">
            <v>0</v>
          </cell>
        </row>
      </sheetData>
      <sheetData sheetId="2885">
        <row r="21">
          <cell r="A21">
            <v>0</v>
          </cell>
        </row>
      </sheetData>
      <sheetData sheetId="2886">
        <row r="21">
          <cell r="A21">
            <v>0</v>
          </cell>
        </row>
      </sheetData>
      <sheetData sheetId="2887">
        <row r="21">
          <cell r="A21">
            <v>0</v>
          </cell>
        </row>
      </sheetData>
      <sheetData sheetId="2888">
        <row r="21">
          <cell r="A21">
            <v>0</v>
          </cell>
        </row>
      </sheetData>
      <sheetData sheetId="2889">
        <row r="21">
          <cell r="A21">
            <v>0</v>
          </cell>
        </row>
      </sheetData>
      <sheetData sheetId="2890">
        <row r="21">
          <cell r="A21">
            <v>0</v>
          </cell>
        </row>
      </sheetData>
      <sheetData sheetId="2891">
        <row r="21">
          <cell r="A21">
            <v>0</v>
          </cell>
        </row>
      </sheetData>
      <sheetData sheetId="2892">
        <row r="21">
          <cell r="A21">
            <v>0</v>
          </cell>
        </row>
      </sheetData>
      <sheetData sheetId="2893">
        <row r="21">
          <cell r="A21">
            <v>0</v>
          </cell>
        </row>
      </sheetData>
      <sheetData sheetId="2894">
        <row r="21">
          <cell r="A21">
            <v>0</v>
          </cell>
        </row>
      </sheetData>
      <sheetData sheetId="2895">
        <row r="21">
          <cell r="A21">
            <v>0</v>
          </cell>
        </row>
      </sheetData>
      <sheetData sheetId="2896">
        <row r="21">
          <cell r="A21">
            <v>0</v>
          </cell>
        </row>
      </sheetData>
      <sheetData sheetId="2897">
        <row r="21">
          <cell r="A21">
            <v>0</v>
          </cell>
        </row>
      </sheetData>
      <sheetData sheetId="2898">
        <row r="21">
          <cell r="A21">
            <v>0</v>
          </cell>
        </row>
      </sheetData>
      <sheetData sheetId="2899">
        <row r="21">
          <cell r="A21">
            <v>0</v>
          </cell>
        </row>
      </sheetData>
      <sheetData sheetId="2900">
        <row r="21">
          <cell r="A21">
            <v>0</v>
          </cell>
        </row>
      </sheetData>
      <sheetData sheetId="2901">
        <row r="21">
          <cell r="A21">
            <v>0</v>
          </cell>
        </row>
      </sheetData>
      <sheetData sheetId="2902" refreshError="1"/>
      <sheetData sheetId="2903" refreshError="1"/>
      <sheetData sheetId="2904" refreshError="1"/>
      <sheetData sheetId="2905" refreshError="1"/>
      <sheetData sheetId="2906" refreshError="1"/>
      <sheetData sheetId="2907"/>
      <sheetData sheetId="2908" refreshError="1"/>
      <sheetData sheetId="2909" refreshError="1"/>
      <sheetData sheetId="2910" refreshError="1"/>
      <sheetData sheetId="2911" refreshError="1"/>
      <sheetData sheetId="2912" refreshError="1"/>
      <sheetData sheetId="2913" refreshError="1"/>
      <sheetData sheetId="2914"/>
      <sheetData sheetId="2915" refreshError="1"/>
      <sheetData sheetId="2916" refreshError="1"/>
      <sheetData sheetId="2917" refreshError="1"/>
      <sheetData sheetId="2918">
        <row r="21">
          <cell r="A21">
            <v>0</v>
          </cell>
        </row>
      </sheetData>
      <sheetData sheetId="2919" refreshError="1"/>
      <sheetData sheetId="2920" refreshError="1"/>
      <sheetData sheetId="2921" refreshError="1"/>
      <sheetData sheetId="2922" refreshError="1"/>
      <sheetData sheetId="2923" refreshError="1"/>
      <sheetData sheetId="2924" refreshError="1"/>
      <sheetData sheetId="2925" refreshError="1"/>
      <sheetData sheetId="2926" refreshError="1"/>
      <sheetData sheetId="2927" refreshError="1"/>
      <sheetData sheetId="2928" refreshError="1"/>
      <sheetData sheetId="2929" refreshError="1"/>
      <sheetData sheetId="2930" refreshError="1"/>
      <sheetData sheetId="2931" refreshError="1"/>
      <sheetData sheetId="2932" refreshError="1"/>
      <sheetData sheetId="2933" refreshError="1"/>
      <sheetData sheetId="2934" refreshError="1"/>
      <sheetData sheetId="2935" refreshError="1"/>
      <sheetData sheetId="2936" refreshError="1"/>
      <sheetData sheetId="2937" refreshError="1"/>
      <sheetData sheetId="2938">
        <row r="21">
          <cell r="A21">
            <v>0</v>
          </cell>
        </row>
      </sheetData>
      <sheetData sheetId="2939" refreshError="1"/>
      <sheetData sheetId="2940" refreshError="1"/>
      <sheetData sheetId="2941" refreshError="1"/>
      <sheetData sheetId="2942" refreshError="1"/>
      <sheetData sheetId="2943" refreshError="1"/>
      <sheetData sheetId="2944" refreshError="1"/>
      <sheetData sheetId="2945" refreshError="1"/>
      <sheetData sheetId="2946" refreshError="1"/>
      <sheetData sheetId="2947" refreshError="1"/>
      <sheetData sheetId="2948" refreshError="1"/>
      <sheetData sheetId="2949" refreshError="1"/>
      <sheetData sheetId="2950" refreshError="1"/>
      <sheetData sheetId="2951" refreshError="1"/>
      <sheetData sheetId="2952" refreshError="1"/>
      <sheetData sheetId="2953" refreshError="1"/>
      <sheetData sheetId="2954" refreshError="1"/>
      <sheetData sheetId="2955" refreshError="1"/>
      <sheetData sheetId="2956" refreshError="1"/>
      <sheetData sheetId="2957" refreshError="1"/>
      <sheetData sheetId="2958" refreshError="1"/>
      <sheetData sheetId="2959" refreshError="1"/>
      <sheetData sheetId="2960" refreshError="1"/>
      <sheetData sheetId="2961" refreshError="1"/>
      <sheetData sheetId="2962" refreshError="1"/>
      <sheetData sheetId="2963" refreshError="1"/>
      <sheetData sheetId="2964" refreshError="1"/>
      <sheetData sheetId="2965" refreshError="1"/>
      <sheetData sheetId="2966" refreshError="1"/>
      <sheetData sheetId="2967" refreshError="1"/>
      <sheetData sheetId="2968" refreshError="1"/>
      <sheetData sheetId="2969">
        <row r="21">
          <cell r="A21">
            <v>0</v>
          </cell>
        </row>
      </sheetData>
      <sheetData sheetId="2970">
        <row r="21">
          <cell r="A21">
            <v>0</v>
          </cell>
        </row>
      </sheetData>
      <sheetData sheetId="2971">
        <row r="21">
          <cell r="A21">
            <v>0</v>
          </cell>
        </row>
      </sheetData>
      <sheetData sheetId="2972">
        <row r="21">
          <cell r="A21">
            <v>0</v>
          </cell>
        </row>
      </sheetData>
      <sheetData sheetId="2973" refreshError="1"/>
      <sheetData sheetId="2974" refreshError="1"/>
      <sheetData sheetId="2975" refreshError="1"/>
      <sheetData sheetId="2976">
        <row r="21">
          <cell r="A21">
            <v>0</v>
          </cell>
        </row>
      </sheetData>
      <sheetData sheetId="2977">
        <row r="21">
          <cell r="A21">
            <v>0</v>
          </cell>
        </row>
      </sheetData>
      <sheetData sheetId="2978">
        <row r="21">
          <cell r="A21">
            <v>0</v>
          </cell>
        </row>
      </sheetData>
      <sheetData sheetId="2979">
        <row r="21">
          <cell r="A21">
            <v>0</v>
          </cell>
        </row>
      </sheetData>
      <sheetData sheetId="2980">
        <row r="21">
          <cell r="A21">
            <v>0</v>
          </cell>
        </row>
      </sheetData>
      <sheetData sheetId="2981">
        <row r="21">
          <cell r="A21">
            <v>0</v>
          </cell>
        </row>
      </sheetData>
      <sheetData sheetId="2982">
        <row r="21">
          <cell r="A21">
            <v>0</v>
          </cell>
        </row>
      </sheetData>
      <sheetData sheetId="2983">
        <row r="21">
          <cell r="A21">
            <v>0</v>
          </cell>
        </row>
      </sheetData>
      <sheetData sheetId="2984">
        <row r="21">
          <cell r="A21">
            <v>0</v>
          </cell>
        </row>
      </sheetData>
      <sheetData sheetId="2985">
        <row r="21">
          <cell r="A21">
            <v>0</v>
          </cell>
        </row>
      </sheetData>
      <sheetData sheetId="2986">
        <row r="21">
          <cell r="A21">
            <v>0</v>
          </cell>
        </row>
      </sheetData>
      <sheetData sheetId="2987">
        <row r="21">
          <cell r="A21">
            <v>0</v>
          </cell>
        </row>
      </sheetData>
      <sheetData sheetId="2988">
        <row r="21">
          <cell r="A21">
            <v>0</v>
          </cell>
        </row>
      </sheetData>
      <sheetData sheetId="2989">
        <row r="21">
          <cell r="A21">
            <v>0</v>
          </cell>
        </row>
      </sheetData>
      <sheetData sheetId="2990">
        <row r="21">
          <cell r="A21">
            <v>0</v>
          </cell>
        </row>
      </sheetData>
      <sheetData sheetId="2991">
        <row r="21">
          <cell r="A21">
            <v>0</v>
          </cell>
        </row>
      </sheetData>
      <sheetData sheetId="2992">
        <row r="21">
          <cell r="A21">
            <v>0</v>
          </cell>
        </row>
      </sheetData>
      <sheetData sheetId="2993">
        <row r="21">
          <cell r="A21">
            <v>0</v>
          </cell>
        </row>
      </sheetData>
      <sheetData sheetId="2994">
        <row r="21">
          <cell r="A21">
            <v>0</v>
          </cell>
        </row>
      </sheetData>
      <sheetData sheetId="2995">
        <row r="21">
          <cell r="A21">
            <v>0</v>
          </cell>
        </row>
      </sheetData>
      <sheetData sheetId="2996">
        <row r="21">
          <cell r="A21">
            <v>0</v>
          </cell>
        </row>
      </sheetData>
      <sheetData sheetId="2997">
        <row r="21">
          <cell r="A21">
            <v>0</v>
          </cell>
        </row>
      </sheetData>
      <sheetData sheetId="2998">
        <row r="21">
          <cell r="A21">
            <v>0</v>
          </cell>
        </row>
      </sheetData>
      <sheetData sheetId="2999">
        <row r="21">
          <cell r="A21">
            <v>0</v>
          </cell>
        </row>
      </sheetData>
      <sheetData sheetId="3000">
        <row r="21">
          <cell r="A21">
            <v>0</v>
          </cell>
        </row>
      </sheetData>
      <sheetData sheetId="3001">
        <row r="21">
          <cell r="A21">
            <v>0</v>
          </cell>
        </row>
      </sheetData>
      <sheetData sheetId="3002">
        <row r="21">
          <cell r="A21">
            <v>0</v>
          </cell>
        </row>
      </sheetData>
      <sheetData sheetId="3003">
        <row r="21">
          <cell r="A21">
            <v>0</v>
          </cell>
        </row>
      </sheetData>
      <sheetData sheetId="3004">
        <row r="21">
          <cell r="A21">
            <v>0</v>
          </cell>
        </row>
      </sheetData>
      <sheetData sheetId="3005">
        <row r="21">
          <cell r="A21">
            <v>0</v>
          </cell>
        </row>
      </sheetData>
      <sheetData sheetId="3006">
        <row r="21">
          <cell r="A21">
            <v>0</v>
          </cell>
        </row>
      </sheetData>
      <sheetData sheetId="3007">
        <row r="21">
          <cell r="A21">
            <v>0</v>
          </cell>
        </row>
      </sheetData>
      <sheetData sheetId="3008">
        <row r="21">
          <cell r="A21">
            <v>0</v>
          </cell>
        </row>
      </sheetData>
      <sheetData sheetId="3009">
        <row r="21">
          <cell r="A21">
            <v>0</v>
          </cell>
        </row>
      </sheetData>
      <sheetData sheetId="3010">
        <row r="21">
          <cell r="A21">
            <v>0</v>
          </cell>
        </row>
      </sheetData>
      <sheetData sheetId="3011">
        <row r="21">
          <cell r="A21">
            <v>0</v>
          </cell>
        </row>
      </sheetData>
      <sheetData sheetId="3012">
        <row r="21">
          <cell r="A21">
            <v>0</v>
          </cell>
        </row>
      </sheetData>
      <sheetData sheetId="3013">
        <row r="21">
          <cell r="A21">
            <v>0</v>
          </cell>
        </row>
      </sheetData>
      <sheetData sheetId="3014">
        <row r="21">
          <cell r="A21">
            <v>0</v>
          </cell>
        </row>
      </sheetData>
      <sheetData sheetId="3015">
        <row r="21">
          <cell r="A21">
            <v>0</v>
          </cell>
        </row>
      </sheetData>
      <sheetData sheetId="3016">
        <row r="21">
          <cell r="A21">
            <v>0</v>
          </cell>
        </row>
      </sheetData>
      <sheetData sheetId="3017">
        <row r="21">
          <cell r="A21">
            <v>0</v>
          </cell>
        </row>
      </sheetData>
      <sheetData sheetId="3018">
        <row r="21">
          <cell r="A21">
            <v>0</v>
          </cell>
        </row>
      </sheetData>
      <sheetData sheetId="3019">
        <row r="21">
          <cell r="A21">
            <v>0</v>
          </cell>
        </row>
      </sheetData>
      <sheetData sheetId="3020">
        <row r="21">
          <cell r="A21">
            <v>0</v>
          </cell>
        </row>
      </sheetData>
      <sheetData sheetId="3021">
        <row r="21">
          <cell r="A21">
            <v>0</v>
          </cell>
        </row>
      </sheetData>
      <sheetData sheetId="3022">
        <row r="21">
          <cell r="A21">
            <v>0</v>
          </cell>
        </row>
      </sheetData>
      <sheetData sheetId="3023">
        <row r="21">
          <cell r="A21">
            <v>0</v>
          </cell>
        </row>
      </sheetData>
      <sheetData sheetId="3024">
        <row r="21">
          <cell r="A21">
            <v>0</v>
          </cell>
        </row>
      </sheetData>
      <sheetData sheetId="3025">
        <row r="21">
          <cell r="A21">
            <v>0</v>
          </cell>
        </row>
      </sheetData>
      <sheetData sheetId="3026">
        <row r="21">
          <cell r="A21">
            <v>0</v>
          </cell>
        </row>
      </sheetData>
      <sheetData sheetId="3027">
        <row r="21">
          <cell r="A21">
            <v>0</v>
          </cell>
        </row>
      </sheetData>
      <sheetData sheetId="3028">
        <row r="21">
          <cell r="A21">
            <v>0</v>
          </cell>
        </row>
      </sheetData>
      <sheetData sheetId="3029">
        <row r="21">
          <cell r="A21">
            <v>0</v>
          </cell>
        </row>
      </sheetData>
      <sheetData sheetId="3030">
        <row r="21">
          <cell r="A21">
            <v>0</v>
          </cell>
        </row>
      </sheetData>
      <sheetData sheetId="3031">
        <row r="21">
          <cell r="A21">
            <v>0</v>
          </cell>
        </row>
      </sheetData>
      <sheetData sheetId="3032">
        <row r="21">
          <cell r="A21">
            <v>0</v>
          </cell>
        </row>
      </sheetData>
      <sheetData sheetId="3033" refreshError="1"/>
      <sheetData sheetId="3034" refreshError="1"/>
      <sheetData sheetId="3035" refreshError="1"/>
      <sheetData sheetId="3036" refreshError="1"/>
      <sheetData sheetId="3037" refreshError="1"/>
      <sheetData sheetId="3038" refreshError="1"/>
      <sheetData sheetId="3039" refreshError="1"/>
      <sheetData sheetId="3040" refreshError="1"/>
      <sheetData sheetId="3041" refreshError="1"/>
      <sheetData sheetId="3042" refreshError="1"/>
      <sheetData sheetId="3043" refreshError="1"/>
      <sheetData sheetId="3044" refreshError="1"/>
      <sheetData sheetId="3045" refreshError="1"/>
      <sheetData sheetId="3046">
        <row r="21">
          <cell r="A21">
            <v>0</v>
          </cell>
        </row>
      </sheetData>
      <sheetData sheetId="3047">
        <row r="21">
          <cell r="A21">
            <v>0</v>
          </cell>
        </row>
      </sheetData>
      <sheetData sheetId="3048" refreshError="1"/>
      <sheetData sheetId="3049" refreshError="1"/>
      <sheetData sheetId="3050" refreshError="1"/>
      <sheetData sheetId="3051" refreshError="1"/>
      <sheetData sheetId="3052" refreshError="1"/>
      <sheetData sheetId="3053" refreshError="1"/>
      <sheetData sheetId="3054" refreshError="1"/>
      <sheetData sheetId="3055" refreshError="1"/>
      <sheetData sheetId="3056" refreshError="1"/>
      <sheetData sheetId="3057" refreshError="1"/>
      <sheetData sheetId="3058" refreshError="1"/>
      <sheetData sheetId="3059" refreshError="1"/>
      <sheetData sheetId="3060" refreshError="1"/>
      <sheetData sheetId="3061" refreshError="1"/>
      <sheetData sheetId="3062" refreshError="1"/>
      <sheetData sheetId="3063" refreshError="1"/>
      <sheetData sheetId="3064" refreshError="1"/>
      <sheetData sheetId="3065" refreshError="1"/>
      <sheetData sheetId="3066" refreshError="1"/>
      <sheetData sheetId="3067" refreshError="1"/>
      <sheetData sheetId="3068" refreshError="1"/>
      <sheetData sheetId="3069" refreshError="1"/>
      <sheetData sheetId="3070" refreshError="1"/>
      <sheetData sheetId="3071" refreshError="1"/>
      <sheetData sheetId="3072" refreshError="1"/>
      <sheetData sheetId="3073" refreshError="1"/>
      <sheetData sheetId="3074" refreshError="1"/>
      <sheetData sheetId="3075" refreshError="1"/>
      <sheetData sheetId="3076" refreshError="1"/>
      <sheetData sheetId="3077" refreshError="1"/>
      <sheetData sheetId="3078" refreshError="1"/>
      <sheetData sheetId="3079" refreshError="1"/>
      <sheetData sheetId="3080" refreshError="1"/>
      <sheetData sheetId="3081" refreshError="1"/>
      <sheetData sheetId="3082" refreshError="1"/>
      <sheetData sheetId="3083" refreshError="1"/>
      <sheetData sheetId="3084" refreshError="1"/>
      <sheetData sheetId="3085" refreshError="1"/>
      <sheetData sheetId="3086" refreshError="1"/>
      <sheetData sheetId="3087" refreshError="1"/>
      <sheetData sheetId="3088" refreshError="1"/>
      <sheetData sheetId="3089" refreshError="1"/>
      <sheetData sheetId="3090" refreshError="1"/>
      <sheetData sheetId="3091" refreshError="1"/>
      <sheetData sheetId="3092" refreshError="1"/>
      <sheetData sheetId="3093" refreshError="1"/>
      <sheetData sheetId="3094" refreshError="1"/>
      <sheetData sheetId="3095" refreshError="1"/>
      <sheetData sheetId="3096" refreshError="1"/>
      <sheetData sheetId="3097" refreshError="1"/>
      <sheetData sheetId="3098" refreshError="1"/>
      <sheetData sheetId="3099" refreshError="1"/>
      <sheetData sheetId="3100" refreshError="1"/>
      <sheetData sheetId="3101" refreshError="1"/>
      <sheetData sheetId="3102" refreshError="1"/>
      <sheetData sheetId="3103" refreshError="1"/>
      <sheetData sheetId="3104" refreshError="1"/>
      <sheetData sheetId="3105" refreshError="1"/>
      <sheetData sheetId="3106" refreshError="1"/>
      <sheetData sheetId="3107" refreshError="1"/>
      <sheetData sheetId="3108" refreshError="1"/>
      <sheetData sheetId="3109" refreshError="1"/>
      <sheetData sheetId="3110" refreshError="1"/>
      <sheetData sheetId="3111" refreshError="1"/>
      <sheetData sheetId="3112" refreshError="1"/>
      <sheetData sheetId="3113" refreshError="1"/>
      <sheetData sheetId="3114" refreshError="1"/>
      <sheetData sheetId="3115" refreshError="1"/>
      <sheetData sheetId="3116" refreshError="1"/>
      <sheetData sheetId="3117" refreshError="1"/>
      <sheetData sheetId="3118" refreshError="1"/>
      <sheetData sheetId="3119" refreshError="1"/>
      <sheetData sheetId="3120" refreshError="1"/>
      <sheetData sheetId="3121" refreshError="1"/>
      <sheetData sheetId="3122" refreshError="1"/>
      <sheetData sheetId="3123" refreshError="1"/>
      <sheetData sheetId="3124" refreshError="1"/>
      <sheetData sheetId="3125" refreshError="1"/>
      <sheetData sheetId="3126" refreshError="1"/>
      <sheetData sheetId="3127" refreshError="1"/>
      <sheetData sheetId="3128" refreshError="1"/>
      <sheetData sheetId="3129">
        <row r="21">
          <cell r="A21">
            <v>0</v>
          </cell>
        </row>
      </sheetData>
      <sheetData sheetId="3130">
        <row r="21">
          <cell r="A21">
            <v>0</v>
          </cell>
        </row>
      </sheetData>
      <sheetData sheetId="3131">
        <row r="21">
          <cell r="A21">
            <v>0</v>
          </cell>
        </row>
      </sheetData>
      <sheetData sheetId="3132">
        <row r="21">
          <cell r="A21">
            <v>0</v>
          </cell>
        </row>
      </sheetData>
      <sheetData sheetId="3133">
        <row r="21">
          <cell r="A21">
            <v>0</v>
          </cell>
        </row>
      </sheetData>
      <sheetData sheetId="3134">
        <row r="21">
          <cell r="A21">
            <v>0</v>
          </cell>
        </row>
      </sheetData>
      <sheetData sheetId="3135">
        <row r="21">
          <cell r="A21">
            <v>0</v>
          </cell>
        </row>
      </sheetData>
      <sheetData sheetId="3136">
        <row r="21">
          <cell r="A21">
            <v>0</v>
          </cell>
        </row>
      </sheetData>
      <sheetData sheetId="3137">
        <row r="21">
          <cell r="A21">
            <v>0</v>
          </cell>
        </row>
      </sheetData>
      <sheetData sheetId="3138">
        <row r="21">
          <cell r="A21">
            <v>0</v>
          </cell>
        </row>
      </sheetData>
      <sheetData sheetId="3139">
        <row r="21">
          <cell r="A21">
            <v>0</v>
          </cell>
        </row>
      </sheetData>
      <sheetData sheetId="3140">
        <row r="21">
          <cell r="A21">
            <v>0</v>
          </cell>
        </row>
      </sheetData>
      <sheetData sheetId="3141">
        <row r="21">
          <cell r="A21">
            <v>0</v>
          </cell>
        </row>
      </sheetData>
      <sheetData sheetId="3142">
        <row r="21">
          <cell r="A21">
            <v>0</v>
          </cell>
        </row>
      </sheetData>
      <sheetData sheetId="3143">
        <row r="21">
          <cell r="A21">
            <v>0</v>
          </cell>
        </row>
      </sheetData>
      <sheetData sheetId="3144">
        <row r="21">
          <cell r="A21">
            <v>0</v>
          </cell>
        </row>
      </sheetData>
      <sheetData sheetId="3145">
        <row r="21">
          <cell r="A21">
            <v>0</v>
          </cell>
        </row>
      </sheetData>
      <sheetData sheetId="3146">
        <row r="21">
          <cell r="A21">
            <v>0</v>
          </cell>
        </row>
      </sheetData>
      <sheetData sheetId="3147">
        <row r="21">
          <cell r="A21">
            <v>0</v>
          </cell>
        </row>
      </sheetData>
      <sheetData sheetId="3148">
        <row r="21">
          <cell r="A21">
            <v>0</v>
          </cell>
        </row>
      </sheetData>
      <sheetData sheetId="3149">
        <row r="21">
          <cell r="A21">
            <v>0</v>
          </cell>
        </row>
      </sheetData>
      <sheetData sheetId="3150">
        <row r="21">
          <cell r="A21">
            <v>0</v>
          </cell>
        </row>
      </sheetData>
      <sheetData sheetId="3151">
        <row r="21">
          <cell r="A21">
            <v>0</v>
          </cell>
        </row>
      </sheetData>
      <sheetData sheetId="3152">
        <row r="21">
          <cell r="A21">
            <v>0</v>
          </cell>
        </row>
      </sheetData>
      <sheetData sheetId="3153">
        <row r="21">
          <cell r="A21">
            <v>0</v>
          </cell>
        </row>
      </sheetData>
      <sheetData sheetId="3154">
        <row r="21">
          <cell r="A21">
            <v>0</v>
          </cell>
        </row>
      </sheetData>
      <sheetData sheetId="3155">
        <row r="21">
          <cell r="A21">
            <v>0</v>
          </cell>
        </row>
      </sheetData>
      <sheetData sheetId="3156">
        <row r="21">
          <cell r="A21">
            <v>0</v>
          </cell>
        </row>
      </sheetData>
      <sheetData sheetId="3157">
        <row r="21">
          <cell r="A21">
            <v>0</v>
          </cell>
        </row>
      </sheetData>
      <sheetData sheetId="3158">
        <row r="21">
          <cell r="A21">
            <v>0</v>
          </cell>
        </row>
      </sheetData>
      <sheetData sheetId="3159">
        <row r="21">
          <cell r="A21">
            <v>0</v>
          </cell>
        </row>
      </sheetData>
      <sheetData sheetId="3160">
        <row r="21">
          <cell r="A21">
            <v>0</v>
          </cell>
        </row>
      </sheetData>
      <sheetData sheetId="3161">
        <row r="21">
          <cell r="A21">
            <v>0</v>
          </cell>
        </row>
      </sheetData>
      <sheetData sheetId="3162">
        <row r="21">
          <cell r="A21">
            <v>0</v>
          </cell>
        </row>
      </sheetData>
      <sheetData sheetId="3163">
        <row r="21">
          <cell r="A21">
            <v>0</v>
          </cell>
        </row>
      </sheetData>
      <sheetData sheetId="3164">
        <row r="21">
          <cell r="A21">
            <v>0</v>
          </cell>
        </row>
      </sheetData>
      <sheetData sheetId="3165">
        <row r="21">
          <cell r="A21">
            <v>0</v>
          </cell>
        </row>
      </sheetData>
      <sheetData sheetId="3166">
        <row r="21">
          <cell r="A21">
            <v>0</v>
          </cell>
        </row>
      </sheetData>
      <sheetData sheetId="3167">
        <row r="21">
          <cell r="A21">
            <v>0</v>
          </cell>
        </row>
      </sheetData>
      <sheetData sheetId="3168">
        <row r="21">
          <cell r="A21">
            <v>0</v>
          </cell>
        </row>
      </sheetData>
      <sheetData sheetId="3169">
        <row r="21">
          <cell r="A21">
            <v>0</v>
          </cell>
        </row>
      </sheetData>
      <sheetData sheetId="3170">
        <row r="21">
          <cell r="A21">
            <v>0</v>
          </cell>
        </row>
      </sheetData>
      <sheetData sheetId="3171">
        <row r="21">
          <cell r="A21">
            <v>0</v>
          </cell>
        </row>
      </sheetData>
      <sheetData sheetId="3172">
        <row r="21">
          <cell r="A21">
            <v>0</v>
          </cell>
        </row>
      </sheetData>
      <sheetData sheetId="3173">
        <row r="21">
          <cell r="A21">
            <v>0</v>
          </cell>
        </row>
      </sheetData>
      <sheetData sheetId="3174">
        <row r="21">
          <cell r="A21">
            <v>0</v>
          </cell>
        </row>
      </sheetData>
      <sheetData sheetId="3175">
        <row r="21">
          <cell r="A21">
            <v>0</v>
          </cell>
        </row>
      </sheetData>
      <sheetData sheetId="3176">
        <row r="21">
          <cell r="A21">
            <v>0</v>
          </cell>
        </row>
      </sheetData>
      <sheetData sheetId="3177">
        <row r="21">
          <cell r="A21">
            <v>0</v>
          </cell>
        </row>
      </sheetData>
      <sheetData sheetId="3178">
        <row r="21">
          <cell r="A21">
            <v>0</v>
          </cell>
        </row>
      </sheetData>
      <sheetData sheetId="3179">
        <row r="21">
          <cell r="A21">
            <v>0</v>
          </cell>
        </row>
      </sheetData>
      <sheetData sheetId="3180">
        <row r="21">
          <cell r="A21">
            <v>0</v>
          </cell>
        </row>
      </sheetData>
      <sheetData sheetId="3181">
        <row r="21">
          <cell r="A21">
            <v>0</v>
          </cell>
        </row>
      </sheetData>
      <sheetData sheetId="3182">
        <row r="21">
          <cell r="A21">
            <v>0</v>
          </cell>
        </row>
      </sheetData>
      <sheetData sheetId="3183">
        <row r="21">
          <cell r="A21">
            <v>0</v>
          </cell>
        </row>
      </sheetData>
      <sheetData sheetId="3184">
        <row r="21">
          <cell r="A21">
            <v>0</v>
          </cell>
        </row>
      </sheetData>
      <sheetData sheetId="3185">
        <row r="21">
          <cell r="A21">
            <v>0</v>
          </cell>
        </row>
      </sheetData>
      <sheetData sheetId="3186" refreshError="1"/>
      <sheetData sheetId="3187" refreshError="1"/>
      <sheetData sheetId="3188"/>
      <sheetData sheetId="3189" refreshError="1"/>
      <sheetData sheetId="3190" refreshError="1"/>
      <sheetData sheetId="3191" refreshError="1"/>
      <sheetData sheetId="3192" refreshError="1"/>
      <sheetData sheetId="3193" refreshError="1"/>
      <sheetData sheetId="3194"/>
      <sheetData sheetId="3195"/>
      <sheetData sheetId="3196"/>
      <sheetData sheetId="3197"/>
      <sheetData sheetId="3198" refreshError="1"/>
      <sheetData sheetId="3199" refreshError="1"/>
      <sheetData sheetId="3200" refreshError="1"/>
      <sheetData sheetId="3201" refreshError="1"/>
      <sheetData sheetId="3202" refreshError="1"/>
      <sheetData sheetId="3203" refreshError="1"/>
      <sheetData sheetId="3204" refreshError="1"/>
      <sheetData sheetId="3205" refreshError="1"/>
      <sheetData sheetId="3206" refreshError="1"/>
      <sheetData sheetId="3207" refreshError="1"/>
      <sheetData sheetId="3208" refreshError="1"/>
      <sheetData sheetId="3209" refreshError="1"/>
      <sheetData sheetId="3210" refreshError="1"/>
      <sheetData sheetId="3211" refreshError="1"/>
      <sheetData sheetId="3212" refreshError="1"/>
      <sheetData sheetId="3213" refreshError="1"/>
      <sheetData sheetId="3214" refreshError="1"/>
      <sheetData sheetId="3215" refreshError="1"/>
      <sheetData sheetId="3216" refreshError="1"/>
      <sheetData sheetId="3217" refreshError="1"/>
      <sheetData sheetId="3218" refreshError="1"/>
      <sheetData sheetId="3219" refreshError="1"/>
      <sheetData sheetId="3220" refreshError="1"/>
      <sheetData sheetId="3221" refreshError="1"/>
      <sheetData sheetId="3222" refreshError="1"/>
      <sheetData sheetId="3223" refreshError="1"/>
      <sheetData sheetId="3224" refreshError="1"/>
      <sheetData sheetId="3225" refreshError="1"/>
      <sheetData sheetId="3226" refreshError="1"/>
      <sheetData sheetId="3227" refreshError="1"/>
      <sheetData sheetId="3228" refreshError="1"/>
      <sheetData sheetId="3229" refreshError="1"/>
      <sheetData sheetId="3230" refreshError="1"/>
      <sheetData sheetId="3231" refreshError="1"/>
      <sheetData sheetId="3232" refreshError="1"/>
      <sheetData sheetId="3233" refreshError="1"/>
      <sheetData sheetId="3234" refreshError="1"/>
      <sheetData sheetId="3235">
        <row r="21">
          <cell r="A21">
            <v>0</v>
          </cell>
        </row>
      </sheetData>
      <sheetData sheetId="3236" refreshError="1"/>
      <sheetData sheetId="3237" refreshError="1"/>
      <sheetData sheetId="3238" refreshError="1"/>
      <sheetData sheetId="3239" refreshError="1"/>
      <sheetData sheetId="3240" refreshError="1"/>
      <sheetData sheetId="3241" refreshError="1"/>
      <sheetData sheetId="3242">
        <row r="21">
          <cell r="A21">
            <v>0</v>
          </cell>
        </row>
      </sheetData>
      <sheetData sheetId="3243">
        <row r="21">
          <cell r="A21">
            <v>0</v>
          </cell>
        </row>
      </sheetData>
      <sheetData sheetId="3244" refreshError="1"/>
      <sheetData sheetId="3245" refreshError="1"/>
      <sheetData sheetId="3246" refreshError="1"/>
      <sheetData sheetId="3247" refreshError="1"/>
      <sheetData sheetId="3248" refreshError="1"/>
      <sheetData sheetId="3249" refreshError="1"/>
      <sheetData sheetId="3250" refreshError="1"/>
      <sheetData sheetId="3251" refreshError="1"/>
      <sheetData sheetId="3252" refreshError="1"/>
      <sheetData sheetId="3253" refreshError="1"/>
      <sheetData sheetId="3254" refreshError="1"/>
      <sheetData sheetId="3255" refreshError="1"/>
      <sheetData sheetId="3256" refreshError="1"/>
      <sheetData sheetId="3257" refreshError="1"/>
      <sheetData sheetId="3258" refreshError="1"/>
      <sheetData sheetId="3259" refreshError="1"/>
      <sheetData sheetId="3260" refreshError="1"/>
      <sheetData sheetId="3261" refreshError="1"/>
      <sheetData sheetId="3262" refreshError="1"/>
      <sheetData sheetId="3263" refreshError="1"/>
      <sheetData sheetId="3264" refreshError="1"/>
      <sheetData sheetId="3265" refreshError="1"/>
      <sheetData sheetId="3266" refreshError="1"/>
      <sheetData sheetId="3267" refreshError="1"/>
      <sheetData sheetId="3268" refreshError="1"/>
      <sheetData sheetId="3269" refreshError="1"/>
      <sheetData sheetId="3270" refreshError="1"/>
      <sheetData sheetId="3271" refreshError="1"/>
      <sheetData sheetId="3272" refreshError="1"/>
      <sheetData sheetId="3273" refreshError="1"/>
      <sheetData sheetId="3274" refreshError="1"/>
      <sheetData sheetId="3275" refreshError="1"/>
      <sheetData sheetId="3276" refreshError="1"/>
      <sheetData sheetId="3277" refreshError="1"/>
      <sheetData sheetId="3278" refreshError="1"/>
      <sheetData sheetId="3279" refreshError="1"/>
      <sheetData sheetId="3280" refreshError="1"/>
      <sheetData sheetId="3281" refreshError="1"/>
      <sheetData sheetId="3282" refreshError="1"/>
      <sheetData sheetId="3283" refreshError="1"/>
      <sheetData sheetId="3284" refreshError="1"/>
      <sheetData sheetId="3285" refreshError="1"/>
      <sheetData sheetId="3286" refreshError="1"/>
      <sheetData sheetId="3287" refreshError="1"/>
      <sheetData sheetId="3288">
        <row r="21">
          <cell r="A21">
            <v>0</v>
          </cell>
        </row>
      </sheetData>
      <sheetData sheetId="3289">
        <row r="21">
          <cell r="A21">
            <v>0</v>
          </cell>
        </row>
      </sheetData>
      <sheetData sheetId="3290" refreshError="1"/>
      <sheetData sheetId="3291" refreshError="1"/>
      <sheetData sheetId="3292" refreshError="1"/>
      <sheetData sheetId="3293" refreshError="1"/>
      <sheetData sheetId="3294" refreshError="1"/>
      <sheetData sheetId="3295" refreshError="1"/>
      <sheetData sheetId="3296" refreshError="1"/>
      <sheetData sheetId="3297" refreshError="1"/>
      <sheetData sheetId="3298" refreshError="1"/>
      <sheetData sheetId="3299" refreshError="1"/>
      <sheetData sheetId="3300" refreshError="1"/>
      <sheetData sheetId="3301" refreshError="1"/>
      <sheetData sheetId="3302" refreshError="1"/>
      <sheetData sheetId="3303" refreshError="1"/>
      <sheetData sheetId="3304" refreshError="1"/>
      <sheetData sheetId="3305" refreshError="1"/>
      <sheetData sheetId="3306" refreshError="1"/>
      <sheetData sheetId="3307" refreshError="1"/>
      <sheetData sheetId="3308" refreshError="1"/>
      <sheetData sheetId="3309" refreshError="1"/>
      <sheetData sheetId="3310" refreshError="1"/>
      <sheetData sheetId="3311" refreshError="1"/>
      <sheetData sheetId="3312" refreshError="1"/>
      <sheetData sheetId="3313" refreshError="1"/>
      <sheetData sheetId="3314" refreshError="1"/>
      <sheetData sheetId="3315" refreshError="1"/>
      <sheetData sheetId="3316" refreshError="1"/>
      <sheetData sheetId="3317" refreshError="1"/>
      <sheetData sheetId="3318" refreshError="1"/>
      <sheetData sheetId="3319" refreshError="1"/>
      <sheetData sheetId="3320" refreshError="1"/>
      <sheetData sheetId="3321" refreshError="1"/>
      <sheetData sheetId="3322" refreshError="1"/>
      <sheetData sheetId="3323" refreshError="1"/>
      <sheetData sheetId="3324" refreshError="1"/>
      <sheetData sheetId="3325" refreshError="1"/>
      <sheetData sheetId="3326" refreshError="1"/>
      <sheetData sheetId="3327" refreshError="1"/>
      <sheetData sheetId="3328" refreshError="1"/>
      <sheetData sheetId="3329" refreshError="1"/>
      <sheetData sheetId="3330" refreshError="1"/>
      <sheetData sheetId="3331" refreshError="1"/>
      <sheetData sheetId="3332" refreshError="1"/>
      <sheetData sheetId="3333" refreshError="1"/>
      <sheetData sheetId="3334" refreshError="1"/>
      <sheetData sheetId="3335" refreshError="1"/>
      <sheetData sheetId="3336" refreshError="1"/>
      <sheetData sheetId="3337" refreshError="1"/>
      <sheetData sheetId="3338" refreshError="1"/>
      <sheetData sheetId="3339" refreshError="1"/>
      <sheetData sheetId="3340" refreshError="1"/>
      <sheetData sheetId="3341"/>
      <sheetData sheetId="3342"/>
      <sheetData sheetId="3343" refreshError="1"/>
      <sheetData sheetId="3344" refreshError="1"/>
      <sheetData sheetId="3345" refreshError="1"/>
      <sheetData sheetId="3346" refreshError="1"/>
      <sheetData sheetId="3347" refreshError="1"/>
      <sheetData sheetId="3348" refreshError="1"/>
      <sheetData sheetId="3349" refreshError="1"/>
      <sheetData sheetId="3350" refreshError="1"/>
      <sheetData sheetId="3351" refreshError="1"/>
      <sheetData sheetId="3352" refreshError="1"/>
      <sheetData sheetId="3353" refreshError="1"/>
      <sheetData sheetId="3354" refreshError="1"/>
      <sheetData sheetId="3355" refreshError="1"/>
      <sheetData sheetId="3356" refreshError="1"/>
      <sheetData sheetId="3357" refreshError="1"/>
      <sheetData sheetId="3358" refreshError="1"/>
      <sheetData sheetId="3359" refreshError="1"/>
      <sheetData sheetId="3360" refreshError="1"/>
      <sheetData sheetId="3361" refreshError="1"/>
      <sheetData sheetId="3362" refreshError="1"/>
      <sheetData sheetId="3363" refreshError="1"/>
      <sheetData sheetId="3364" refreshError="1"/>
      <sheetData sheetId="3365" refreshError="1"/>
      <sheetData sheetId="3366" refreshError="1"/>
      <sheetData sheetId="3367" refreshError="1"/>
      <sheetData sheetId="3368" refreshError="1"/>
      <sheetData sheetId="3369" refreshError="1"/>
      <sheetData sheetId="3370" refreshError="1"/>
      <sheetData sheetId="3371" refreshError="1"/>
      <sheetData sheetId="3372" refreshError="1"/>
      <sheetData sheetId="3373" refreshError="1"/>
      <sheetData sheetId="3374" refreshError="1"/>
      <sheetData sheetId="3375" refreshError="1"/>
      <sheetData sheetId="3376" refreshError="1"/>
      <sheetData sheetId="3377" refreshError="1"/>
      <sheetData sheetId="3378" refreshError="1"/>
      <sheetData sheetId="3379" refreshError="1"/>
      <sheetData sheetId="3380" refreshError="1"/>
      <sheetData sheetId="3381" refreshError="1"/>
      <sheetData sheetId="3382" refreshError="1"/>
      <sheetData sheetId="3383" refreshError="1"/>
      <sheetData sheetId="3384" refreshError="1"/>
      <sheetData sheetId="3385" refreshError="1"/>
      <sheetData sheetId="3386" refreshError="1"/>
      <sheetData sheetId="3387" refreshError="1"/>
      <sheetData sheetId="3388" refreshError="1"/>
      <sheetData sheetId="3389" refreshError="1"/>
      <sheetData sheetId="3390" refreshError="1"/>
      <sheetData sheetId="3391" refreshError="1"/>
      <sheetData sheetId="3392" refreshError="1"/>
      <sheetData sheetId="3393" refreshError="1"/>
      <sheetData sheetId="3394" refreshError="1"/>
      <sheetData sheetId="3395" refreshError="1"/>
      <sheetData sheetId="3396" refreshError="1"/>
      <sheetData sheetId="3397" refreshError="1"/>
      <sheetData sheetId="3398" refreshError="1"/>
      <sheetData sheetId="3399" refreshError="1"/>
      <sheetData sheetId="3400" refreshError="1"/>
      <sheetData sheetId="3401" refreshError="1"/>
      <sheetData sheetId="3402" refreshError="1"/>
      <sheetData sheetId="3403" refreshError="1"/>
      <sheetData sheetId="3404" refreshError="1"/>
      <sheetData sheetId="3405" refreshError="1"/>
      <sheetData sheetId="3406" refreshError="1"/>
      <sheetData sheetId="3407" refreshError="1"/>
      <sheetData sheetId="3408" refreshError="1"/>
      <sheetData sheetId="3409" refreshError="1"/>
      <sheetData sheetId="3410" refreshError="1"/>
      <sheetData sheetId="3411" refreshError="1"/>
      <sheetData sheetId="3412" refreshError="1"/>
      <sheetData sheetId="3413" refreshError="1"/>
      <sheetData sheetId="3414" refreshError="1"/>
      <sheetData sheetId="3415" refreshError="1"/>
      <sheetData sheetId="3416" refreshError="1"/>
      <sheetData sheetId="3417" refreshError="1"/>
      <sheetData sheetId="3418" refreshError="1"/>
      <sheetData sheetId="3419" refreshError="1"/>
      <sheetData sheetId="3420" refreshError="1"/>
      <sheetData sheetId="3421" refreshError="1"/>
      <sheetData sheetId="3422" refreshError="1"/>
      <sheetData sheetId="3423" refreshError="1"/>
      <sheetData sheetId="3424" refreshError="1"/>
      <sheetData sheetId="3425" refreshError="1"/>
      <sheetData sheetId="3426" refreshError="1"/>
      <sheetData sheetId="3427" refreshError="1"/>
      <sheetData sheetId="3428"/>
      <sheetData sheetId="3429"/>
      <sheetData sheetId="3430"/>
      <sheetData sheetId="3431"/>
      <sheetData sheetId="3432"/>
      <sheetData sheetId="3433"/>
      <sheetData sheetId="3434" refreshError="1"/>
      <sheetData sheetId="3435" refreshError="1"/>
      <sheetData sheetId="3436" refreshError="1"/>
      <sheetData sheetId="3437" refreshError="1"/>
      <sheetData sheetId="3438" refreshError="1"/>
      <sheetData sheetId="3439" refreshError="1"/>
      <sheetData sheetId="3440" refreshError="1"/>
      <sheetData sheetId="3441" refreshError="1"/>
      <sheetData sheetId="3442" refreshError="1"/>
      <sheetData sheetId="3443" refreshError="1"/>
      <sheetData sheetId="3444" refreshError="1"/>
      <sheetData sheetId="3445" refreshError="1"/>
      <sheetData sheetId="3446" refreshError="1"/>
      <sheetData sheetId="3447" refreshError="1"/>
      <sheetData sheetId="3448" refreshError="1"/>
      <sheetData sheetId="3449" refreshError="1"/>
      <sheetData sheetId="3450" refreshError="1"/>
      <sheetData sheetId="3451" refreshError="1"/>
      <sheetData sheetId="3452"/>
      <sheetData sheetId="3453" refreshError="1"/>
      <sheetData sheetId="3454" refreshError="1"/>
      <sheetData sheetId="3455" refreshError="1"/>
      <sheetData sheetId="3456" refreshError="1"/>
      <sheetData sheetId="3457">
        <row r="21">
          <cell r="A21">
            <v>0</v>
          </cell>
        </row>
      </sheetData>
      <sheetData sheetId="3458">
        <row r="21">
          <cell r="A21">
            <v>0</v>
          </cell>
        </row>
      </sheetData>
      <sheetData sheetId="3459">
        <row r="21">
          <cell r="A21">
            <v>0</v>
          </cell>
        </row>
      </sheetData>
      <sheetData sheetId="3460">
        <row r="21">
          <cell r="A21">
            <v>0</v>
          </cell>
        </row>
      </sheetData>
      <sheetData sheetId="3461">
        <row r="21">
          <cell r="A21">
            <v>0</v>
          </cell>
        </row>
      </sheetData>
      <sheetData sheetId="3462">
        <row r="21">
          <cell r="A21">
            <v>0</v>
          </cell>
        </row>
      </sheetData>
      <sheetData sheetId="3463">
        <row r="21">
          <cell r="A21">
            <v>0</v>
          </cell>
        </row>
      </sheetData>
      <sheetData sheetId="3464"/>
      <sheetData sheetId="3465">
        <row r="21">
          <cell r="A21">
            <v>0</v>
          </cell>
        </row>
      </sheetData>
      <sheetData sheetId="3466">
        <row r="21">
          <cell r="A21">
            <v>0</v>
          </cell>
        </row>
      </sheetData>
      <sheetData sheetId="3467"/>
      <sheetData sheetId="3468"/>
      <sheetData sheetId="3469"/>
      <sheetData sheetId="3470"/>
      <sheetData sheetId="3471"/>
      <sheetData sheetId="3472">
        <row r="21">
          <cell r="A21">
            <v>0</v>
          </cell>
        </row>
      </sheetData>
      <sheetData sheetId="3473">
        <row r="21">
          <cell r="A21">
            <v>0</v>
          </cell>
        </row>
      </sheetData>
      <sheetData sheetId="3474">
        <row r="21">
          <cell r="A21">
            <v>0</v>
          </cell>
        </row>
      </sheetData>
      <sheetData sheetId="3475">
        <row r="21">
          <cell r="C21">
            <v>22.680000000000003</v>
          </cell>
        </row>
      </sheetData>
      <sheetData sheetId="3476">
        <row r="21">
          <cell r="A21">
            <v>0</v>
          </cell>
        </row>
      </sheetData>
      <sheetData sheetId="3477"/>
      <sheetData sheetId="3478">
        <row r="21">
          <cell r="A21">
            <v>0</v>
          </cell>
        </row>
      </sheetData>
      <sheetData sheetId="3479"/>
      <sheetData sheetId="3480">
        <row r="21">
          <cell r="A21">
            <v>0</v>
          </cell>
        </row>
      </sheetData>
      <sheetData sheetId="3481">
        <row r="21">
          <cell r="A21">
            <v>0</v>
          </cell>
        </row>
      </sheetData>
      <sheetData sheetId="3482"/>
      <sheetData sheetId="3483">
        <row r="21">
          <cell r="A21">
            <v>0</v>
          </cell>
        </row>
      </sheetData>
      <sheetData sheetId="3484">
        <row r="21">
          <cell r="A21">
            <v>0</v>
          </cell>
        </row>
      </sheetData>
      <sheetData sheetId="3485"/>
      <sheetData sheetId="3486"/>
      <sheetData sheetId="3487"/>
      <sheetData sheetId="3488"/>
      <sheetData sheetId="3489"/>
      <sheetData sheetId="3490"/>
      <sheetData sheetId="3491">
        <row r="21">
          <cell r="A21">
            <v>0</v>
          </cell>
        </row>
      </sheetData>
      <sheetData sheetId="3492">
        <row r="21">
          <cell r="A21">
            <v>0</v>
          </cell>
        </row>
      </sheetData>
      <sheetData sheetId="3493">
        <row r="21">
          <cell r="A21">
            <v>0</v>
          </cell>
        </row>
      </sheetData>
      <sheetData sheetId="3494">
        <row r="21">
          <cell r="A21">
            <v>0</v>
          </cell>
        </row>
      </sheetData>
      <sheetData sheetId="3495">
        <row r="21">
          <cell r="A21">
            <v>0</v>
          </cell>
        </row>
      </sheetData>
      <sheetData sheetId="3496"/>
      <sheetData sheetId="3497">
        <row r="21">
          <cell r="A21">
            <v>0</v>
          </cell>
        </row>
      </sheetData>
      <sheetData sheetId="3498"/>
      <sheetData sheetId="3499"/>
      <sheetData sheetId="3500">
        <row r="21">
          <cell r="A21">
            <v>0</v>
          </cell>
        </row>
      </sheetData>
      <sheetData sheetId="3501">
        <row r="21">
          <cell r="A21">
            <v>0</v>
          </cell>
        </row>
      </sheetData>
      <sheetData sheetId="3502">
        <row r="21">
          <cell r="A21">
            <v>0</v>
          </cell>
        </row>
      </sheetData>
      <sheetData sheetId="3503"/>
      <sheetData sheetId="3504"/>
      <sheetData sheetId="3505">
        <row r="21">
          <cell r="A21">
            <v>0</v>
          </cell>
        </row>
      </sheetData>
      <sheetData sheetId="3506"/>
      <sheetData sheetId="3507">
        <row r="21">
          <cell r="A21">
            <v>0</v>
          </cell>
        </row>
      </sheetData>
      <sheetData sheetId="3508">
        <row r="21">
          <cell r="A21">
            <v>0</v>
          </cell>
        </row>
      </sheetData>
      <sheetData sheetId="3509"/>
      <sheetData sheetId="3510">
        <row r="21">
          <cell r="A21">
            <v>0</v>
          </cell>
        </row>
      </sheetData>
      <sheetData sheetId="3511"/>
      <sheetData sheetId="3512">
        <row r="21">
          <cell r="A21">
            <v>0</v>
          </cell>
        </row>
      </sheetData>
      <sheetData sheetId="3513">
        <row r="21">
          <cell r="A21">
            <v>0</v>
          </cell>
        </row>
      </sheetData>
      <sheetData sheetId="3514"/>
      <sheetData sheetId="3515">
        <row r="21">
          <cell r="A21">
            <v>0</v>
          </cell>
        </row>
      </sheetData>
      <sheetData sheetId="3516"/>
      <sheetData sheetId="3517"/>
      <sheetData sheetId="3518">
        <row r="21">
          <cell r="A21">
            <v>0</v>
          </cell>
        </row>
      </sheetData>
      <sheetData sheetId="3519">
        <row r="21">
          <cell r="A21">
            <v>0</v>
          </cell>
        </row>
      </sheetData>
      <sheetData sheetId="3520"/>
      <sheetData sheetId="3521">
        <row r="21">
          <cell r="A21">
            <v>0</v>
          </cell>
        </row>
      </sheetData>
      <sheetData sheetId="3522"/>
      <sheetData sheetId="3523">
        <row r="21">
          <cell r="A21">
            <v>0</v>
          </cell>
        </row>
      </sheetData>
      <sheetData sheetId="3524"/>
      <sheetData sheetId="3525">
        <row r="21">
          <cell r="A21">
            <v>0</v>
          </cell>
        </row>
      </sheetData>
      <sheetData sheetId="3526">
        <row r="21">
          <cell r="A21">
            <v>0</v>
          </cell>
        </row>
      </sheetData>
      <sheetData sheetId="3527"/>
      <sheetData sheetId="3528"/>
      <sheetData sheetId="3529"/>
      <sheetData sheetId="3530"/>
      <sheetData sheetId="3531"/>
      <sheetData sheetId="3532"/>
      <sheetData sheetId="3533">
        <row r="21">
          <cell r="A21">
            <v>0</v>
          </cell>
        </row>
      </sheetData>
      <sheetData sheetId="3534">
        <row r="21">
          <cell r="A21">
            <v>0</v>
          </cell>
        </row>
      </sheetData>
      <sheetData sheetId="3535"/>
      <sheetData sheetId="3536"/>
      <sheetData sheetId="3537"/>
      <sheetData sheetId="3538">
        <row r="21">
          <cell r="A21">
            <v>0</v>
          </cell>
        </row>
      </sheetData>
      <sheetData sheetId="3539">
        <row r="21">
          <cell r="A21">
            <v>0</v>
          </cell>
        </row>
      </sheetData>
      <sheetData sheetId="3540">
        <row r="21">
          <cell r="A21">
            <v>0</v>
          </cell>
        </row>
      </sheetData>
      <sheetData sheetId="3541"/>
      <sheetData sheetId="3542">
        <row r="21">
          <cell r="A21">
            <v>0</v>
          </cell>
        </row>
      </sheetData>
      <sheetData sheetId="3543"/>
      <sheetData sheetId="3544"/>
      <sheetData sheetId="3545"/>
      <sheetData sheetId="3546">
        <row r="21">
          <cell r="A21">
            <v>0</v>
          </cell>
        </row>
      </sheetData>
      <sheetData sheetId="3547">
        <row r="21">
          <cell r="A21">
            <v>0</v>
          </cell>
        </row>
      </sheetData>
      <sheetData sheetId="3548">
        <row r="21">
          <cell r="A21">
            <v>0</v>
          </cell>
        </row>
      </sheetData>
      <sheetData sheetId="3549">
        <row r="21">
          <cell r="A21">
            <v>0</v>
          </cell>
        </row>
      </sheetData>
      <sheetData sheetId="3550"/>
      <sheetData sheetId="3551">
        <row r="21">
          <cell r="A21">
            <v>0</v>
          </cell>
        </row>
      </sheetData>
      <sheetData sheetId="3552">
        <row r="21">
          <cell r="A21">
            <v>0</v>
          </cell>
        </row>
      </sheetData>
      <sheetData sheetId="3553">
        <row r="21">
          <cell r="A21">
            <v>0</v>
          </cell>
        </row>
      </sheetData>
      <sheetData sheetId="3554"/>
      <sheetData sheetId="3555">
        <row r="21">
          <cell r="A21">
            <v>0</v>
          </cell>
        </row>
      </sheetData>
      <sheetData sheetId="3556">
        <row r="21">
          <cell r="A21">
            <v>0</v>
          </cell>
        </row>
      </sheetData>
      <sheetData sheetId="3557"/>
      <sheetData sheetId="3558"/>
      <sheetData sheetId="3559">
        <row r="21">
          <cell r="A21">
            <v>0</v>
          </cell>
        </row>
      </sheetData>
      <sheetData sheetId="3560">
        <row r="21">
          <cell r="A21">
            <v>0</v>
          </cell>
        </row>
      </sheetData>
      <sheetData sheetId="3561"/>
      <sheetData sheetId="3562"/>
      <sheetData sheetId="3563"/>
      <sheetData sheetId="3564"/>
      <sheetData sheetId="3565">
        <row r="21">
          <cell r="A21">
            <v>0</v>
          </cell>
        </row>
      </sheetData>
      <sheetData sheetId="3566"/>
      <sheetData sheetId="3567">
        <row r="21">
          <cell r="A21">
            <v>0</v>
          </cell>
        </row>
      </sheetData>
      <sheetData sheetId="3568">
        <row r="21">
          <cell r="A21">
            <v>0</v>
          </cell>
        </row>
      </sheetData>
      <sheetData sheetId="3569"/>
      <sheetData sheetId="3570">
        <row r="21">
          <cell r="A21">
            <v>0</v>
          </cell>
        </row>
      </sheetData>
      <sheetData sheetId="3571"/>
      <sheetData sheetId="3572"/>
      <sheetData sheetId="3573">
        <row r="21">
          <cell r="A21">
            <v>0</v>
          </cell>
        </row>
      </sheetData>
      <sheetData sheetId="3574"/>
      <sheetData sheetId="3575"/>
      <sheetData sheetId="3576"/>
      <sheetData sheetId="3577"/>
      <sheetData sheetId="3578"/>
      <sheetData sheetId="3579"/>
      <sheetData sheetId="3580">
        <row r="21">
          <cell r="A21">
            <v>0</v>
          </cell>
        </row>
      </sheetData>
      <sheetData sheetId="3581">
        <row r="21">
          <cell r="A21">
            <v>0</v>
          </cell>
        </row>
      </sheetData>
      <sheetData sheetId="3582">
        <row r="21">
          <cell r="A21">
            <v>0</v>
          </cell>
        </row>
      </sheetData>
      <sheetData sheetId="3583">
        <row r="21">
          <cell r="A21">
            <v>0</v>
          </cell>
        </row>
      </sheetData>
      <sheetData sheetId="3584"/>
      <sheetData sheetId="3585">
        <row r="21">
          <cell r="A21">
            <v>0</v>
          </cell>
        </row>
      </sheetData>
      <sheetData sheetId="3586">
        <row r="21">
          <cell r="A21">
            <v>0</v>
          </cell>
        </row>
      </sheetData>
      <sheetData sheetId="3587"/>
      <sheetData sheetId="3588">
        <row r="21">
          <cell r="A21">
            <v>0</v>
          </cell>
        </row>
      </sheetData>
      <sheetData sheetId="3589">
        <row r="21">
          <cell r="A21">
            <v>0</v>
          </cell>
        </row>
      </sheetData>
      <sheetData sheetId="3590">
        <row r="21">
          <cell r="A21">
            <v>0</v>
          </cell>
        </row>
      </sheetData>
      <sheetData sheetId="3591">
        <row r="21">
          <cell r="A21">
            <v>0</v>
          </cell>
        </row>
      </sheetData>
      <sheetData sheetId="3592">
        <row r="21">
          <cell r="A21">
            <v>0</v>
          </cell>
        </row>
      </sheetData>
      <sheetData sheetId="3593">
        <row r="21">
          <cell r="A21">
            <v>0</v>
          </cell>
        </row>
      </sheetData>
      <sheetData sheetId="3594"/>
      <sheetData sheetId="3595">
        <row r="21">
          <cell r="A21">
            <v>0</v>
          </cell>
        </row>
      </sheetData>
      <sheetData sheetId="3596">
        <row r="21">
          <cell r="A21">
            <v>0</v>
          </cell>
        </row>
      </sheetData>
      <sheetData sheetId="3597">
        <row r="21">
          <cell r="A21">
            <v>0</v>
          </cell>
        </row>
      </sheetData>
      <sheetData sheetId="3598">
        <row r="21">
          <cell r="A21">
            <v>0</v>
          </cell>
        </row>
      </sheetData>
      <sheetData sheetId="3599"/>
      <sheetData sheetId="3600"/>
      <sheetData sheetId="3601">
        <row r="21">
          <cell r="A21">
            <v>0</v>
          </cell>
        </row>
      </sheetData>
      <sheetData sheetId="3602"/>
      <sheetData sheetId="3603">
        <row r="21">
          <cell r="A21">
            <v>0</v>
          </cell>
        </row>
      </sheetData>
      <sheetData sheetId="3604">
        <row r="21">
          <cell r="A21">
            <v>0</v>
          </cell>
        </row>
      </sheetData>
      <sheetData sheetId="3605"/>
      <sheetData sheetId="3606">
        <row r="21">
          <cell r="A21">
            <v>0</v>
          </cell>
        </row>
      </sheetData>
      <sheetData sheetId="3607">
        <row r="21">
          <cell r="A21">
            <v>0</v>
          </cell>
        </row>
      </sheetData>
      <sheetData sheetId="3608">
        <row r="21">
          <cell r="A21">
            <v>0</v>
          </cell>
        </row>
      </sheetData>
      <sheetData sheetId="3609"/>
      <sheetData sheetId="3610"/>
      <sheetData sheetId="3611">
        <row r="21">
          <cell r="A21">
            <v>0</v>
          </cell>
        </row>
      </sheetData>
      <sheetData sheetId="3612"/>
      <sheetData sheetId="3613">
        <row r="21">
          <cell r="A21">
            <v>0</v>
          </cell>
        </row>
      </sheetData>
      <sheetData sheetId="3614">
        <row r="21">
          <cell r="A21">
            <v>0</v>
          </cell>
        </row>
      </sheetData>
      <sheetData sheetId="3615">
        <row r="21">
          <cell r="A21">
            <v>0</v>
          </cell>
        </row>
      </sheetData>
      <sheetData sheetId="3616">
        <row r="21">
          <cell r="A21">
            <v>0</v>
          </cell>
        </row>
      </sheetData>
      <sheetData sheetId="3617">
        <row r="21">
          <cell r="A21">
            <v>0</v>
          </cell>
        </row>
      </sheetData>
      <sheetData sheetId="3618">
        <row r="21">
          <cell r="A21">
            <v>0</v>
          </cell>
        </row>
      </sheetData>
      <sheetData sheetId="3619">
        <row r="21">
          <cell r="A21">
            <v>0</v>
          </cell>
        </row>
      </sheetData>
      <sheetData sheetId="3620">
        <row r="21">
          <cell r="A21">
            <v>0</v>
          </cell>
        </row>
      </sheetData>
      <sheetData sheetId="3621"/>
      <sheetData sheetId="3622"/>
      <sheetData sheetId="3623">
        <row r="21">
          <cell r="A21">
            <v>0</v>
          </cell>
        </row>
      </sheetData>
      <sheetData sheetId="3624">
        <row r="21">
          <cell r="A21">
            <v>0</v>
          </cell>
        </row>
      </sheetData>
      <sheetData sheetId="3625"/>
      <sheetData sheetId="3626">
        <row r="21">
          <cell r="A21">
            <v>0</v>
          </cell>
        </row>
      </sheetData>
      <sheetData sheetId="3627">
        <row r="21">
          <cell r="A21">
            <v>0</v>
          </cell>
        </row>
      </sheetData>
      <sheetData sheetId="3628"/>
      <sheetData sheetId="3629">
        <row r="21">
          <cell r="A21">
            <v>0</v>
          </cell>
        </row>
      </sheetData>
      <sheetData sheetId="3630"/>
      <sheetData sheetId="3631"/>
      <sheetData sheetId="3632"/>
      <sheetData sheetId="3633">
        <row r="21">
          <cell r="A21">
            <v>0</v>
          </cell>
        </row>
      </sheetData>
      <sheetData sheetId="3634">
        <row r="21">
          <cell r="A21">
            <v>0</v>
          </cell>
        </row>
      </sheetData>
      <sheetData sheetId="3635">
        <row r="21">
          <cell r="A21">
            <v>0</v>
          </cell>
        </row>
      </sheetData>
      <sheetData sheetId="3636"/>
      <sheetData sheetId="3637"/>
      <sheetData sheetId="3638"/>
      <sheetData sheetId="3639">
        <row r="21">
          <cell r="A21">
            <v>0</v>
          </cell>
        </row>
      </sheetData>
      <sheetData sheetId="3640"/>
      <sheetData sheetId="3641">
        <row r="21">
          <cell r="C21">
            <v>22.680000000000003</v>
          </cell>
        </row>
      </sheetData>
      <sheetData sheetId="3642">
        <row r="21">
          <cell r="A21">
            <v>0</v>
          </cell>
        </row>
      </sheetData>
      <sheetData sheetId="3643"/>
      <sheetData sheetId="3644"/>
      <sheetData sheetId="3645"/>
      <sheetData sheetId="3646"/>
      <sheetData sheetId="3647"/>
      <sheetData sheetId="3648"/>
      <sheetData sheetId="3649">
        <row r="21">
          <cell r="A21">
            <v>0</v>
          </cell>
        </row>
      </sheetData>
      <sheetData sheetId="3650">
        <row r="21">
          <cell r="A21">
            <v>0</v>
          </cell>
        </row>
      </sheetData>
      <sheetData sheetId="3651"/>
      <sheetData sheetId="3652"/>
      <sheetData sheetId="3653"/>
      <sheetData sheetId="3654"/>
      <sheetData sheetId="3655"/>
      <sheetData sheetId="3656"/>
      <sheetData sheetId="3657"/>
      <sheetData sheetId="3658"/>
      <sheetData sheetId="3659"/>
      <sheetData sheetId="3660">
        <row r="21">
          <cell r="A21">
            <v>0</v>
          </cell>
        </row>
      </sheetData>
      <sheetData sheetId="3661"/>
      <sheetData sheetId="3662"/>
      <sheetData sheetId="3663"/>
      <sheetData sheetId="3664"/>
      <sheetData sheetId="3665">
        <row r="21">
          <cell r="A21">
            <v>0</v>
          </cell>
        </row>
      </sheetData>
      <sheetData sheetId="3666"/>
      <sheetData sheetId="3667">
        <row r="21">
          <cell r="A21">
            <v>0</v>
          </cell>
        </row>
      </sheetData>
      <sheetData sheetId="3668"/>
      <sheetData sheetId="3669">
        <row r="21">
          <cell r="C21">
            <v>22.680000000000003</v>
          </cell>
        </row>
      </sheetData>
      <sheetData sheetId="3670"/>
      <sheetData sheetId="3671"/>
      <sheetData sheetId="3672"/>
      <sheetData sheetId="3673"/>
      <sheetData sheetId="3674"/>
      <sheetData sheetId="3675"/>
      <sheetData sheetId="3676"/>
      <sheetData sheetId="3677"/>
      <sheetData sheetId="3678"/>
      <sheetData sheetId="3679"/>
      <sheetData sheetId="3680"/>
      <sheetData sheetId="3681">
        <row r="21">
          <cell r="A21">
            <v>0</v>
          </cell>
        </row>
      </sheetData>
      <sheetData sheetId="3682"/>
      <sheetData sheetId="3683"/>
      <sheetData sheetId="3684"/>
      <sheetData sheetId="3685"/>
      <sheetData sheetId="3686"/>
      <sheetData sheetId="3687"/>
      <sheetData sheetId="3688" refreshError="1"/>
      <sheetData sheetId="3689" refreshError="1"/>
      <sheetData sheetId="3690" refreshError="1"/>
      <sheetData sheetId="3691" refreshError="1"/>
      <sheetData sheetId="3692" refreshError="1"/>
      <sheetData sheetId="3693" refreshError="1"/>
      <sheetData sheetId="3694" refreshError="1"/>
      <sheetData sheetId="3695" refreshError="1"/>
      <sheetData sheetId="3696" refreshError="1"/>
      <sheetData sheetId="3697" refreshError="1"/>
      <sheetData sheetId="3698" refreshError="1"/>
      <sheetData sheetId="3699" refreshError="1"/>
      <sheetData sheetId="3700" refreshError="1"/>
      <sheetData sheetId="3701" refreshError="1"/>
      <sheetData sheetId="3702" refreshError="1"/>
      <sheetData sheetId="3703" refreshError="1"/>
      <sheetData sheetId="3704" refreshError="1"/>
      <sheetData sheetId="3705" refreshError="1"/>
      <sheetData sheetId="3706" refreshError="1"/>
      <sheetData sheetId="3707" refreshError="1"/>
      <sheetData sheetId="3708" refreshError="1"/>
      <sheetData sheetId="3709" refreshError="1"/>
      <sheetData sheetId="3710" refreshError="1"/>
      <sheetData sheetId="3711" refreshError="1"/>
      <sheetData sheetId="3712" refreshError="1"/>
      <sheetData sheetId="3713" refreshError="1"/>
      <sheetData sheetId="3714" refreshError="1"/>
      <sheetData sheetId="3715" refreshError="1"/>
      <sheetData sheetId="3716" refreshError="1"/>
      <sheetData sheetId="3717" refreshError="1"/>
      <sheetData sheetId="3718" refreshError="1"/>
      <sheetData sheetId="3719" refreshError="1"/>
      <sheetData sheetId="3720" refreshError="1"/>
      <sheetData sheetId="3721" refreshError="1"/>
      <sheetData sheetId="3722" refreshError="1"/>
      <sheetData sheetId="3723"/>
      <sheetData sheetId="3724"/>
      <sheetData sheetId="3725"/>
      <sheetData sheetId="3726"/>
      <sheetData sheetId="3727">
        <row r="21">
          <cell r="A21">
            <v>0</v>
          </cell>
        </row>
      </sheetData>
      <sheetData sheetId="3728">
        <row r="21">
          <cell r="A21">
            <v>0</v>
          </cell>
        </row>
      </sheetData>
      <sheetData sheetId="3729" refreshError="1"/>
      <sheetData sheetId="3730" refreshError="1"/>
      <sheetData sheetId="3731" refreshError="1"/>
      <sheetData sheetId="3732" refreshError="1"/>
      <sheetData sheetId="3733" refreshError="1"/>
      <sheetData sheetId="3734" refreshError="1"/>
      <sheetData sheetId="3735" refreshError="1"/>
      <sheetData sheetId="3736" refreshError="1"/>
      <sheetData sheetId="3737" refreshError="1"/>
      <sheetData sheetId="3738" refreshError="1"/>
      <sheetData sheetId="3739" refreshError="1"/>
      <sheetData sheetId="3740" refreshError="1"/>
      <sheetData sheetId="3741" refreshError="1"/>
      <sheetData sheetId="3742" refreshError="1"/>
      <sheetData sheetId="3743" refreshError="1"/>
      <sheetData sheetId="3744" refreshError="1"/>
      <sheetData sheetId="3745" refreshError="1"/>
      <sheetData sheetId="3746"/>
      <sheetData sheetId="3747"/>
      <sheetData sheetId="3748"/>
      <sheetData sheetId="3749" refreshError="1"/>
      <sheetData sheetId="3750" refreshError="1"/>
      <sheetData sheetId="3751" refreshError="1"/>
      <sheetData sheetId="3752" refreshError="1"/>
      <sheetData sheetId="3753" refreshError="1"/>
      <sheetData sheetId="3754" refreshError="1"/>
      <sheetData sheetId="3755" refreshError="1"/>
      <sheetData sheetId="3756" refreshError="1"/>
      <sheetData sheetId="3757"/>
      <sheetData sheetId="3758"/>
      <sheetData sheetId="3759" refreshError="1"/>
      <sheetData sheetId="3760" refreshError="1"/>
      <sheetData sheetId="3761" refreshError="1"/>
      <sheetData sheetId="3762" refreshError="1"/>
      <sheetData sheetId="3763" refreshError="1"/>
      <sheetData sheetId="3764" refreshError="1"/>
      <sheetData sheetId="3765" refreshError="1"/>
      <sheetData sheetId="3766" refreshError="1"/>
      <sheetData sheetId="3767" refreshError="1"/>
      <sheetData sheetId="3768" refreshError="1"/>
      <sheetData sheetId="3769" refreshError="1"/>
      <sheetData sheetId="3770" refreshError="1"/>
      <sheetData sheetId="3771" refreshError="1"/>
      <sheetData sheetId="3772" refreshError="1"/>
      <sheetData sheetId="3773" refreshError="1"/>
      <sheetData sheetId="3774" refreshError="1"/>
      <sheetData sheetId="3775" refreshError="1"/>
      <sheetData sheetId="3776" refreshError="1"/>
      <sheetData sheetId="3777" refreshError="1"/>
      <sheetData sheetId="3778" refreshError="1"/>
      <sheetData sheetId="3779" refreshError="1"/>
      <sheetData sheetId="3780" refreshError="1"/>
      <sheetData sheetId="3781" refreshError="1"/>
      <sheetData sheetId="3782" refreshError="1"/>
      <sheetData sheetId="3783" refreshError="1"/>
      <sheetData sheetId="3784" refreshError="1"/>
      <sheetData sheetId="3785" refreshError="1"/>
      <sheetData sheetId="3786" refreshError="1"/>
      <sheetData sheetId="3787" refreshError="1"/>
      <sheetData sheetId="3788" refreshError="1"/>
      <sheetData sheetId="3789" refreshError="1"/>
      <sheetData sheetId="3790" refreshError="1"/>
      <sheetData sheetId="3791" refreshError="1"/>
      <sheetData sheetId="3792" refreshError="1"/>
      <sheetData sheetId="3793" refreshError="1"/>
      <sheetData sheetId="3794" refreshError="1"/>
      <sheetData sheetId="3795" refreshError="1"/>
      <sheetData sheetId="3796" refreshError="1"/>
      <sheetData sheetId="3797" refreshError="1"/>
      <sheetData sheetId="3798" refreshError="1"/>
      <sheetData sheetId="3799" refreshError="1"/>
      <sheetData sheetId="3800" refreshError="1"/>
      <sheetData sheetId="3801" refreshError="1"/>
      <sheetData sheetId="3802" refreshError="1"/>
      <sheetData sheetId="3803" refreshError="1"/>
      <sheetData sheetId="3804" refreshError="1"/>
      <sheetData sheetId="3805" refreshError="1"/>
      <sheetData sheetId="3806" refreshError="1"/>
      <sheetData sheetId="3807" refreshError="1"/>
      <sheetData sheetId="3808" refreshError="1"/>
      <sheetData sheetId="3809" refreshError="1"/>
      <sheetData sheetId="3810" refreshError="1"/>
      <sheetData sheetId="3811" refreshError="1"/>
      <sheetData sheetId="3812" refreshError="1"/>
      <sheetData sheetId="3813" refreshError="1"/>
      <sheetData sheetId="3814" refreshError="1"/>
      <sheetData sheetId="3815" refreshError="1"/>
      <sheetData sheetId="3816" refreshError="1"/>
      <sheetData sheetId="3817" refreshError="1"/>
      <sheetData sheetId="3818" refreshError="1"/>
      <sheetData sheetId="3819" refreshError="1"/>
      <sheetData sheetId="3820" refreshError="1"/>
      <sheetData sheetId="3821" refreshError="1"/>
      <sheetData sheetId="3822" refreshError="1"/>
      <sheetData sheetId="3823" refreshError="1"/>
      <sheetData sheetId="3824" refreshError="1"/>
      <sheetData sheetId="3825" refreshError="1"/>
      <sheetData sheetId="3826" refreshError="1"/>
      <sheetData sheetId="3827" refreshError="1"/>
      <sheetData sheetId="3828" refreshError="1"/>
      <sheetData sheetId="3829" refreshError="1"/>
      <sheetData sheetId="3830" refreshError="1"/>
      <sheetData sheetId="3831" refreshError="1"/>
      <sheetData sheetId="3832" refreshError="1"/>
      <sheetData sheetId="3833" refreshError="1"/>
      <sheetData sheetId="3834" refreshError="1"/>
      <sheetData sheetId="3835" refreshError="1"/>
      <sheetData sheetId="3836" refreshError="1"/>
      <sheetData sheetId="3837" refreshError="1"/>
      <sheetData sheetId="3838" refreshError="1"/>
      <sheetData sheetId="3839" refreshError="1"/>
      <sheetData sheetId="3840" refreshError="1"/>
      <sheetData sheetId="3841" refreshError="1"/>
      <sheetData sheetId="3842" refreshError="1"/>
      <sheetData sheetId="3843" refreshError="1"/>
      <sheetData sheetId="3844" refreshError="1"/>
      <sheetData sheetId="3845" refreshError="1"/>
      <sheetData sheetId="3846" refreshError="1"/>
      <sheetData sheetId="3847" refreshError="1"/>
      <sheetData sheetId="3848" refreshError="1"/>
      <sheetData sheetId="3849" refreshError="1"/>
      <sheetData sheetId="3850" refreshError="1"/>
      <sheetData sheetId="3851" refreshError="1"/>
      <sheetData sheetId="3852" refreshError="1"/>
      <sheetData sheetId="3853" refreshError="1"/>
      <sheetData sheetId="3854" refreshError="1"/>
      <sheetData sheetId="3855" refreshError="1"/>
      <sheetData sheetId="3856" refreshError="1"/>
      <sheetData sheetId="3857" refreshError="1"/>
      <sheetData sheetId="3858" refreshError="1"/>
      <sheetData sheetId="3859" refreshError="1"/>
      <sheetData sheetId="3860" refreshError="1"/>
      <sheetData sheetId="3861" refreshError="1"/>
      <sheetData sheetId="3862" refreshError="1"/>
      <sheetData sheetId="3863" refreshError="1"/>
      <sheetData sheetId="3864" refreshError="1"/>
      <sheetData sheetId="3865" refreshError="1"/>
      <sheetData sheetId="3866" refreshError="1"/>
      <sheetData sheetId="3867" refreshError="1"/>
      <sheetData sheetId="3868" refreshError="1"/>
      <sheetData sheetId="3869" refreshError="1"/>
      <sheetData sheetId="3870" refreshError="1"/>
      <sheetData sheetId="3871" refreshError="1"/>
      <sheetData sheetId="3872" refreshError="1"/>
      <sheetData sheetId="3873" refreshError="1"/>
      <sheetData sheetId="3874" refreshError="1"/>
      <sheetData sheetId="3875" refreshError="1"/>
      <sheetData sheetId="3876" refreshError="1"/>
      <sheetData sheetId="3877" refreshError="1"/>
      <sheetData sheetId="3878" refreshError="1"/>
      <sheetData sheetId="3879" refreshError="1"/>
      <sheetData sheetId="3880" refreshError="1"/>
      <sheetData sheetId="3881" refreshError="1"/>
      <sheetData sheetId="3882" refreshError="1"/>
      <sheetData sheetId="3883" refreshError="1"/>
      <sheetData sheetId="3884" refreshError="1"/>
      <sheetData sheetId="3885" refreshError="1"/>
      <sheetData sheetId="3886" refreshError="1"/>
      <sheetData sheetId="3887" refreshError="1"/>
      <sheetData sheetId="3888" refreshError="1"/>
      <sheetData sheetId="3889" refreshError="1"/>
      <sheetData sheetId="3890" refreshError="1"/>
      <sheetData sheetId="3891" refreshError="1"/>
      <sheetData sheetId="3892" refreshError="1"/>
      <sheetData sheetId="3893" refreshError="1"/>
      <sheetData sheetId="3894" refreshError="1"/>
      <sheetData sheetId="3895" refreshError="1"/>
      <sheetData sheetId="3896" refreshError="1"/>
      <sheetData sheetId="3897" refreshError="1"/>
      <sheetData sheetId="3898" refreshError="1"/>
      <sheetData sheetId="3899" refreshError="1"/>
      <sheetData sheetId="3900" refreshError="1"/>
      <sheetData sheetId="3901" refreshError="1"/>
      <sheetData sheetId="3902" refreshError="1"/>
      <sheetData sheetId="3903" refreshError="1"/>
      <sheetData sheetId="3904" refreshError="1"/>
      <sheetData sheetId="3905" refreshError="1"/>
      <sheetData sheetId="3906" refreshError="1"/>
      <sheetData sheetId="3907" refreshError="1"/>
      <sheetData sheetId="3908" refreshError="1"/>
      <sheetData sheetId="3909" refreshError="1"/>
      <sheetData sheetId="3910" refreshError="1"/>
      <sheetData sheetId="3911"/>
      <sheetData sheetId="3912" refreshError="1"/>
      <sheetData sheetId="3913" refreshError="1"/>
      <sheetData sheetId="3914" refreshError="1"/>
      <sheetData sheetId="3915" refreshError="1"/>
      <sheetData sheetId="3916" refreshError="1"/>
      <sheetData sheetId="3917" refreshError="1"/>
      <sheetData sheetId="3918" refreshError="1"/>
      <sheetData sheetId="3919" refreshError="1"/>
      <sheetData sheetId="3920" refreshError="1"/>
      <sheetData sheetId="3921" refreshError="1"/>
      <sheetData sheetId="3922" refreshError="1"/>
      <sheetData sheetId="3923" refreshError="1"/>
      <sheetData sheetId="3924" refreshError="1"/>
      <sheetData sheetId="3925" refreshError="1"/>
      <sheetData sheetId="3926" refreshError="1"/>
      <sheetData sheetId="3927" refreshError="1"/>
      <sheetData sheetId="3928" refreshError="1"/>
      <sheetData sheetId="3929"/>
      <sheetData sheetId="3930" refreshError="1"/>
      <sheetData sheetId="3931" refreshError="1"/>
      <sheetData sheetId="3932" refreshError="1"/>
      <sheetData sheetId="3933" refreshError="1"/>
      <sheetData sheetId="3934" refreshError="1"/>
      <sheetData sheetId="3935" refreshError="1"/>
      <sheetData sheetId="3936" refreshError="1"/>
      <sheetData sheetId="3937" refreshError="1"/>
      <sheetData sheetId="3938"/>
      <sheetData sheetId="3939" refreshError="1"/>
      <sheetData sheetId="3940" refreshError="1"/>
      <sheetData sheetId="3941" refreshError="1"/>
      <sheetData sheetId="3942" refreshError="1"/>
      <sheetData sheetId="3943" refreshError="1"/>
      <sheetData sheetId="3944" refreshError="1"/>
      <sheetData sheetId="3945" refreshError="1"/>
      <sheetData sheetId="3946" refreshError="1"/>
      <sheetData sheetId="3947" refreshError="1"/>
      <sheetData sheetId="3948" refreshError="1"/>
      <sheetData sheetId="3949" refreshError="1"/>
      <sheetData sheetId="3950" refreshError="1"/>
      <sheetData sheetId="3951" refreshError="1"/>
      <sheetData sheetId="3952" refreshError="1"/>
      <sheetData sheetId="3953" refreshError="1"/>
      <sheetData sheetId="3954" refreshError="1"/>
      <sheetData sheetId="3955" refreshError="1"/>
      <sheetData sheetId="3956" refreshError="1"/>
      <sheetData sheetId="3957" refreshError="1"/>
      <sheetData sheetId="3958" refreshError="1"/>
      <sheetData sheetId="3959" refreshError="1"/>
      <sheetData sheetId="3960" refreshError="1"/>
      <sheetData sheetId="3961" refreshError="1"/>
      <sheetData sheetId="3962" refreshError="1"/>
      <sheetData sheetId="3963" refreshError="1"/>
      <sheetData sheetId="3964" refreshError="1"/>
      <sheetData sheetId="3965" refreshError="1"/>
      <sheetData sheetId="3966" refreshError="1"/>
      <sheetData sheetId="3967" refreshError="1"/>
      <sheetData sheetId="3968" refreshError="1"/>
      <sheetData sheetId="3969" refreshError="1"/>
      <sheetData sheetId="3970" refreshError="1"/>
      <sheetData sheetId="3971" refreshError="1"/>
      <sheetData sheetId="3972" refreshError="1"/>
      <sheetData sheetId="3973" refreshError="1"/>
      <sheetData sheetId="3974" refreshError="1"/>
      <sheetData sheetId="3975" refreshError="1"/>
      <sheetData sheetId="3976" refreshError="1"/>
      <sheetData sheetId="3977" refreshError="1"/>
      <sheetData sheetId="3978" refreshError="1"/>
      <sheetData sheetId="3979" refreshError="1"/>
      <sheetData sheetId="3980" refreshError="1"/>
      <sheetData sheetId="3981" refreshError="1"/>
      <sheetData sheetId="3982" refreshError="1"/>
      <sheetData sheetId="3983" refreshError="1"/>
      <sheetData sheetId="3984" refreshError="1"/>
      <sheetData sheetId="3985" refreshError="1"/>
      <sheetData sheetId="3986" refreshError="1"/>
      <sheetData sheetId="3987" refreshError="1"/>
      <sheetData sheetId="3988" refreshError="1"/>
      <sheetData sheetId="3989" refreshError="1"/>
      <sheetData sheetId="3990" refreshError="1"/>
      <sheetData sheetId="3991" refreshError="1"/>
      <sheetData sheetId="3992" refreshError="1"/>
      <sheetData sheetId="3993" refreshError="1"/>
      <sheetData sheetId="3994" refreshError="1"/>
      <sheetData sheetId="3995" refreshError="1"/>
      <sheetData sheetId="3996" refreshError="1"/>
      <sheetData sheetId="3997"/>
      <sheetData sheetId="3998" refreshError="1"/>
      <sheetData sheetId="3999" refreshError="1"/>
      <sheetData sheetId="4000"/>
      <sheetData sheetId="4001" refreshError="1"/>
      <sheetData sheetId="4002" refreshError="1"/>
      <sheetData sheetId="4003"/>
      <sheetData sheetId="4004"/>
      <sheetData sheetId="4005" refreshError="1"/>
      <sheetData sheetId="4006" refreshError="1"/>
      <sheetData sheetId="4007" refreshError="1"/>
      <sheetData sheetId="4008" refreshError="1"/>
      <sheetData sheetId="4009" refreshError="1"/>
      <sheetData sheetId="4010" refreshError="1"/>
      <sheetData sheetId="4011" refreshError="1"/>
      <sheetData sheetId="4012" refreshError="1"/>
      <sheetData sheetId="4013" refreshError="1"/>
      <sheetData sheetId="4014" refreshError="1"/>
      <sheetData sheetId="4015" refreshError="1"/>
      <sheetData sheetId="4016" refreshError="1"/>
      <sheetData sheetId="4017" refreshError="1"/>
      <sheetData sheetId="4018" refreshError="1"/>
      <sheetData sheetId="4019" refreshError="1"/>
      <sheetData sheetId="4020" refreshError="1"/>
      <sheetData sheetId="4021" refreshError="1"/>
      <sheetData sheetId="4022" refreshError="1"/>
      <sheetData sheetId="4023" refreshError="1"/>
      <sheetData sheetId="4024" refreshError="1"/>
      <sheetData sheetId="4025" refreshError="1"/>
      <sheetData sheetId="4026" refreshError="1"/>
      <sheetData sheetId="4027" refreshError="1"/>
      <sheetData sheetId="4028" refreshError="1"/>
      <sheetData sheetId="4029" refreshError="1"/>
      <sheetData sheetId="4030" refreshError="1"/>
      <sheetData sheetId="4031" refreshError="1"/>
      <sheetData sheetId="4032" refreshError="1"/>
      <sheetData sheetId="4033" refreshError="1"/>
      <sheetData sheetId="4034" refreshError="1"/>
      <sheetData sheetId="4035" refreshError="1"/>
      <sheetData sheetId="4036" refreshError="1"/>
      <sheetData sheetId="4037" refreshError="1"/>
      <sheetData sheetId="4038" refreshError="1"/>
      <sheetData sheetId="4039" refreshError="1"/>
      <sheetData sheetId="4040" refreshError="1"/>
      <sheetData sheetId="4041" refreshError="1"/>
      <sheetData sheetId="4042" refreshError="1"/>
      <sheetData sheetId="4043" refreshError="1"/>
      <sheetData sheetId="4044" refreshError="1"/>
      <sheetData sheetId="4045" refreshError="1"/>
      <sheetData sheetId="4046" refreshError="1"/>
      <sheetData sheetId="4047" refreshError="1"/>
      <sheetData sheetId="4048" refreshError="1"/>
      <sheetData sheetId="4049" refreshError="1"/>
      <sheetData sheetId="4050" refreshError="1"/>
      <sheetData sheetId="4051" refreshError="1"/>
      <sheetData sheetId="4052" refreshError="1"/>
      <sheetData sheetId="4053" refreshError="1"/>
      <sheetData sheetId="4054" refreshError="1"/>
      <sheetData sheetId="4055" refreshError="1"/>
      <sheetData sheetId="4056" refreshError="1"/>
      <sheetData sheetId="4057" refreshError="1"/>
      <sheetData sheetId="4058" refreshError="1"/>
      <sheetData sheetId="4059" refreshError="1"/>
      <sheetData sheetId="4060" refreshError="1"/>
      <sheetData sheetId="4061" refreshError="1"/>
      <sheetData sheetId="4062" refreshError="1"/>
      <sheetData sheetId="4063" refreshError="1"/>
      <sheetData sheetId="4064" refreshError="1"/>
      <sheetData sheetId="4065" refreshError="1"/>
      <sheetData sheetId="4066" refreshError="1"/>
      <sheetData sheetId="4067" refreshError="1"/>
      <sheetData sheetId="4068" refreshError="1"/>
      <sheetData sheetId="4069" refreshError="1"/>
      <sheetData sheetId="4070" refreshError="1"/>
      <sheetData sheetId="4071" refreshError="1"/>
      <sheetData sheetId="4072" refreshError="1"/>
      <sheetData sheetId="4073" refreshError="1"/>
      <sheetData sheetId="4074" refreshError="1"/>
      <sheetData sheetId="4075" refreshError="1"/>
      <sheetData sheetId="4076" refreshError="1"/>
      <sheetData sheetId="4077" refreshError="1"/>
      <sheetData sheetId="4078" refreshError="1"/>
      <sheetData sheetId="4079" refreshError="1"/>
      <sheetData sheetId="4080" refreshError="1"/>
      <sheetData sheetId="4081" refreshError="1"/>
      <sheetData sheetId="4082" refreshError="1"/>
      <sheetData sheetId="4083" refreshError="1"/>
      <sheetData sheetId="4084" refreshError="1"/>
      <sheetData sheetId="4085" refreshError="1"/>
      <sheetData sheetId="4086" refreshError="1"/>
      <sheetData sheetId="4087" refreshError="1"/>
      <sheetData sheetId="4088" refreshError="1"/>
      <sheetData sheetId="4089" refreshError="1"/>
      <sheetData sheetId="4090" refreshError="1"/>
      <sheetData sheetId="4091" refreshError="1"/>
      <sheetData sheetId="4092" refreshError="1"/>
      <sheetData sheetId="4093" refreshError="1"/>
      <sheetData sheetId="4094" refreshError="1"/>
      <sheetData sheetId="4095" refreshError="1"/>
      <sheetData sheetId="4096" refreshError="1"/>
      <sheetData sheetId="4097" refreshError="1"/>
      <sheetData sheetId="4098" refreshError="1"/>
      <sheetData sheetId="4099" refreshError="1"/>
      <sheetData sheetId="4100" refreshError="1"/>
      <sheetData sheetId="4101" refreshError="1"/>
      <sheetData sheetId="4102" refreshError="1"/>
      <sheetData sheetId="4103" refreshError="1"/>
      <sheetData sheetId="4104" refreshError="1"/>
      <sheetData sheetId="4105" refreshError="1"/>
      <sheetData sheetId="4106" refreshError="1"/>
      <sheetData sheetId="4107" refreshError="1"/>
      <sheetData sheetId="4108" refreshError="1"/>
      <sheetData sheetId="4109" refreshError="1"/>
      <sheetData sheetId="4110" refreshError="1"/>
      <sheetData sheetId="4111" refreshError="1"/>
      <sheetData sheetId="4112" refreshError="1"/>
      <sheetData sheetId="4113" refreshError="1"/>
      <sheetData sheetId="4114" refreshError="1"/>
      <sheetData sheetId="4115" refreshError="1"/>
      <sheetData sheetId="4116" refreshError="1"/>
      <sheetData sheetId="4117" refreshError="1"/>
      <sheetData sheetId="4118" refreshError="1"/>
      <sheetData sheetId="4119" refreshError="1"/>
      <sheetData sheetId="4120" refreshError="1"/>
      <sheetData sheetId="4121" refreshError="1"/>
      <sheetData sheetId="4122" refreshError="1"/>
      <sheetData sheetId="4123" refreshError="1"/>
      <sheetData sheetId="4124" refreshError="1"/>
      <sheetData sheetId="4125" refreshError="1"/>
      <sheetData sheetId="4126" refreshError="1"/>
      <sheetData sheetId="4127" refreshError="1"/>
      <sheetData sheetId="4128" refreshError="1"/>
      <sheetData sheetId="4129" refreshError="1"/>
      <sheetData sheetId="4130" refreshError="1"/>
      <sheetData sheetId="4131" refreshError="1"/>
      <sheetData sheetId="4132" refreshError="1"/>
      <sheetData sheetId="4133" refreshError="1"/>
      <sheetData sheetId="4134" refreshError="1"/>
      <sheetData sheetId="4135" refreshError="1"/>
      <sheetData sheetId="4136" refreshError="1"/>
      <sheetData sheetId="4137" refreshError="1"/>
      <sheetData sheetId="4138" refreshError="1"/>
      <sheetData sheetId="4139" refreshError="1"/>
      <sheetData sheetId="4140" refreshError="1"/>
      <sheetData sheetId="4141" refreshError="1"/>
      <sheetData sheetId="4142" refreshError="1"/>
      <sheetData sheetId="4143" refreshError="1"/>
      <sheetData sheetId="4144" refreshError="1"/>
      <sheetData sheetId="4145" refreshError="1"/>
      <sheetData sheetId="4146" refreshError="1"/>
      <sheetData sheetId="4147" refreshError="1"/>
      <sheetData sheetId="4148" refreshError="1"/>
      <sheetData sheetId="4149" refreshError="1"/>
      <sheetData sheetId="4150" refreshError="1"/>
      <sheetData sheetId="4151" refreshError="1"/>
      <sheetData sheetId="4152" refreshError="1"/>
      <sheetData sheetId="4153"/>
      <sheetData sheetId="4154" refreshError="1"/>
      <sheetData sheetId="4155" refreshError="1"/>
      <sheetData sheetId="4156" refreshError="1"/>
      <sheetData sheetId="4157" refreshError="1"/>
      <sheetData sheetId="4158" refreshError="1"/>
      <sheetData sheetId="4159" refreshError="1"/>
      <sheetData sheetId="4160" refreshError="1"/>
      <sheetData sheetId="4161" refreshError="1"/>
      <sheetData sheetId="4162" refreshError="1"/>
      <sheetData sheetId="4163" refreshError="1"/>
      <sheetData sheetId="4164" refreshError="1"/>
      <sheetData sheetId="4165" refreshError="1"/>
      <sheetData sheetId="4166"/>
      <sheetData sheetId="4167"/>
      <sheetData sheetId="4168"/>
      <sheetData sheetId="4169"/>
      <sheetData sheetId="4170"/>
      <sheetData sheetId="4171"/>
      <sheetData sheetId="4172"/>
      <sheetData sheetId="4173"/>
      <sheetData sheetId="4174" refreshError="1"/>
      <sheetData sheetId="4175" refreshError="1"/>
      <sheetData sheetId="4176" refreshError="1"/>
      <sheetData sheetId="4177" refreshError="1"/>
      <sheetData sheetId="4178" refreshError="1"/>
      <sheetData sheetId="4179" refreshError="1"/>
      <sheetData sheetId="4180" refreshError="1"/>
      <sheetData sheetId="4181" refreshError="1"/>
      <sheetData sheetId="4182" refreshError="1"/>
      <sheetData sheetId="4183" refreshError="1"/>
      <sheetData sheetId="4184" refreshError="1"/>
      <sheetData sheetId="4185" refreshError="1"/>
      <sheetData sheetId="4186" refreshError="1"/>
      <sheetData sheetId="4187" refreshError="1"/>
      <sheetData sheetId="4188" refreshError="1"/>
      <sheetData sheetId="4189" refreshError="1"/>
      <sheetData sheetId="4190" refreshError="1"/>
      <sheetData sheetId="4191" refreshError="1"/>
      <sheetData sheetId="4192" refreshError="1"/>
      <sheetData sheetId="4193" refreshError="1"/>
      <sheetData sheetId="4194" refreshError="1"/>
      <sheetData sheetId="4195" refreshError="1"/>
      <sheetData sheetId="4196" refreshError="1"/>
      <sheetData sheetId="4197" refreshError="1"/>
      <sheetData sheetId="4198" refreshError="1"/>
      <sheetData sheetId="4199" refreshError="1"/>
      <sheetData sheetId="4200" refreshError="1"/>
      <sheetData sheetId="4201" refreshError="1"/>
      <sheetData sheetId="4202" refreshError="1"/>
      <sheetData sheetId="4203" refreshError="1"/>
      <sheetData sheetId="4204" refreshError="1"/>
      <sheetData sheetId="4205" refreshError="1"/>
      <sheetData sheetId="4206" refreshError="1"/>
      <sheetData sheetId="4207" refreshError="1"/>
      <sheetData sheetId="4208" refreshError="1"/>
      <sheetData sheetId="4209" refreshError="1"/>
      <sheetData sheetId="4210" refreshError="1"/>
      <sheetData sheetId="4211" refreshError="1"/>
      <sheetData sheetId="4212" refreshError="1"/>
      <sheetData sheetId="4213" refreshError="1"/>
      <sheetData sheetId="4214" refreshError="1"/>
      <sheetData sheetId="4215" refreshError="1"/>
      <sheetData sheetId="4216" refreshError="1"/>
      <sheetData sheetId="4217" refreshError="1"/>
      <sheetData sheetId="4218" refreshError="1"/>
      <sheetData sheetId="4219" refreshError="1"/>
      <sheetData sheetId="4220" refreshError="1"/>
      <sheetData sheetId="4221" refreshError="1"/>
      <sheetData sheetId="4222" refreshError="1"/>
      <sheetData sheetId="4223" refreshError="1"/>
      <sheetData sheetId="4224" refreshError="1"/>
      <sheetData sheetId="4225" refreshError="1"/>
      <sheetData sheetId="4226" refreshError="1"/>
      <sheetData sheetId="4227" refreshError="1"/>
      <sheetData sheetId="4228" refreshError="1"/>
      <sheetData sheetId="4229" refreshError="1"/>
      <sheetData sheetId="4230" refreshError="1"/>
      <sheetData sheetId="4231" refreshError="1"/>
      <sheetData sheetId="4232" refreshError="1"/>
      <sheetData sheetId="4233" refreshError="1"/>
      <sheetData sheetId="4234" refreshError="1"/>
      <sheetData sheetId="4235" refreshError="1"/>
      <sheetData sheetId="4236" refreshError="1"/>
      <sheetData sheetId="4237" refreshError="1"/>
      <sheetData sheetId="4238" refreshError="1"/>
      <sheetData sheetId="4239" refreshError="1"/>
      <sheetData sheetId="4240" refreshError="1"/>
      <sheetData sheetId="4241" refreshError="1"/>
      <sheetData sheetId="4242" refreshError="1"/>
      <sheetData sheetId="4243" refreshError="1"/>
      <sheetData sheetId="4244" refreshError="1"/>
      <sheetData sheetId="4245" refreshError="1"/>
      <sheetData sheetId="4246" refreshError="1"/>
      <sheetData sheetId="4247" refreshError="1"/>
      <sheetData sheetId="4248" refreshError="1"/>
      <sheetData sheetId="4249" refreshError="1"/>
      <sheetData sheetId="4250" refreshError="1"/>
      <sheetData sheetId="4251" refreshError="1"/>
      <sheetData sheetId="4252" refreshError="1"/>
      <sheetData sheetId="4253" refreshError="1"/>
      <sheetData sheetId="4254" refreshError="1"/>
      <sheetData sheetId="4255" refreshError="1"/>
      <sheetData sheetId="4256" refreshError="1"/>
      <sheetData sheetId="4257" refreshError="1"/>
      <sheetData sheetId="4258" refreshError="1"/>
      <sheetData sheetId="4259" refreshError="1"/>
      <sheetData sheetId="4260" refreshError="1"/>
      <sheetData sheetId="4261" refreshError="1"/>
      <sheetData sheetId="4262" refreshError="1"/>
      <sheetData sheetId="4263" refreshError="1"/>
      <sheetData sheetId="4264" refreshError="1"/>
      <sheetData sheetId="4265" refreshError="1"/>
      <sheetData sheetId="4266" refreshError="1"/>
      <sheetData sheetId="4267" refreshError="1"/>
      <sheetData sheetId="4268" refreshError="1"/>
      <sheetData sheetId="4269" refreshError="1"/>
      <sheetData sheetId="4270" refreshError="1"/>
      <sheetData sheetId="4271" refreshError="1"/>
      <sheetData sheetId="4272" refreshError="1"/>
      <sheetData sheetId="4273" refreshError="1"/>
      <sheetData sheetId="4274" refreshError="1"/>
      <sheetData sheetId="4275" refreshError="1"/>
      <sheetData sheetId="4276" refreshError="1"/>
      <sheetData sheetId="4277" refreshError="1"/>
      <sheetData sheetId="4278" refreshError="1"/>
      <sheetData sheetId="4279" refreshError="1"/>
      <sheetData sheetId="4280" refreshError="1"/>
      <sheetData sheetId="4281" refreshError="1"/>
      <sheetData sheetId="4282" refreshError="1"/>
      <sheetData sheetId="4283" refreshError="1"/>
      <sheetData sheetId="4284" refreshError="1"/>
      <sheetData sheetId="4285" refreshError="1"/>
      <sheetData sheetId="4286" refreshError="1"/>
      <sheetData sheetId="4287" refreshError="1"/>
      <sheetData sheetId="4288" refreshError="1"/>
      <sheetData sheetId="4289" refreshError="1"/>
      <sheetData sheetId="4290" refreshError="1"/>
      <sheetData sheetId="4291"/>
      <sheetData sheetId="4292"/>
      <sheetData sheetId="4293"/>
      <sheetData sheetId="4294" refreshError="1"/>
      <sheetData sheetId="4295" refreshError="1"/>
      <sheetData sheetId="4296" refreshError="1"/>
      <sheetData sheetId="4297" refreshError="1"/>
      <sheetData sheetId="4298" refreshError="1"/>
      <sheetData sheetId="4299" refreshError="1"/>
      <sheetData sheetId="4300" refreshError="1"/>
      <sheetData sheetId="4301" refreshError="1"/>
      <sheetData sheetId="4302" refreshError="1"/>
      <sheetData sheetId="4303" refreshError="1"/>
      <sheetData sheetId="4304" refreshError="1"/>
      <sheetData sheetId="4305" refreshError="1"/>
      <sheetData sheetId="4306" refreshError="1"/>
      <sheetData sheetId="4307" refreshError="1"/>
      <sheetData sheetId="4308" refreshError="1"/>
      <sheetData sheetId="4309" refreshError="1"/>
      <sheetData sheetId="4310" refreshError="1"/>
      <sheetData sheetId="4311" refreshError="1"/>
      <sheetData sheetId="4312" refreshError="1"/>
      <sheetData sheetId="4313" refreshError="1"/>
      <sheetData sheetId="4314" refreshError="1"/>
      <sheetData sheetId="4315" refreshError="1"/>
      <sheetData sheetId="4316" refreshError="1"/>
      <sheetData sheetId="4317" refreshError="1"/>
      <sheetData sheetId="4318" refreshError="1"/>
      <sheetData sheetId="4319" refreshError="1"/>
      <sheetData sheetId="4320" refreshError="1"/>
      <sheetData sheetId="4321" refreshError="1"/>
      <sheetData sheetId="4322"/>
      <sheetData sheetId="4323"/>
      <sheetData sheetId="4324"/>
      <sheetData sheetId="4325"/>
      <sheetData sheetId="4326" refreshError="1"/>
      <sheetData sheetId="4327" refreshError="1"/>
      <sheetData sheetId="4328" refreshError="1"/>
      <sheetData sheetId="4329" refreshError="1"/>
      <sheetData sheetId="4330" refreshError="1"/>
      <sheetData sheetId="4331" refreshError="1"/>
      <sheetData sheetId="4332" refreshError="1"/>
      <sheetData sheetId="4333" refreshError="1"/>
      <sheetData sheetId="4334"/>
      <sheetData sheetId="4335"/>
      <sheetData sheetId="4336"/>
      <sheetData sheetId="4337"/>
      <sheetData sheetId="4338"/>
      <sheetData sheetId="4339"/>
      <sheetData sheetId="4340"/>
      <sheetData sheetId="4341"/>
      <sheetData sheetId="4342"/>
      <sheetData sheetId="4343"/>
      <sheetData sheetId="4344"/>
      <sheetData sheetId="4345"/>
      <sheetData sheetId="4346"/>
      <sheetData sheetId="4347"/>
      <sheetData sheetId="4348"/>
      <sheetData sheetId="4349"/>
      <sheetData sheetId="4350"/>
      <sheetData sheetId="4351"/>
      <sheetData sheetId="4352"/>
      <sheetData sheetId="4353"/>
      <sheetData sheetId="4354"/>
      <sheetData sheetId="4355"/>
      <sheetData sheetId="4356"/>
      <sheetData sheetId="4357"/>
      <sheetData sheetId="4358"/>
      <sheetData sheetId="4359"/>
      <sheetData sheetId="4360"/>
      <sheetData sheetId="4361"/>
      <sheetData sheetId="4362"/>
      <sheetData sheetId="4363"/>
      <sheetData sheetId="4364"/>
      <sheetData sheetId="4365"/>
      <sheetData sheetId="4366"/>
      <sheetData sheetId="4367"/>
      <sheetData sheetId="4368"/>
      <sheetData sheetId="4369"/>
      <sheetData sheetId="4370"/>
      <sheetData sheetId="4371"/>
      <sheetData sheetId="4372"/>
      <sheetData sheetId="4373"/>
      <sheetData sheetId="4374"/>
      <sheetData sheetId="4375"/>
      <sheetData sheetId="4376"/>
      <sheetData sheetId="4377"/>
      <sheetData sheetId="4378"/>
      <sheetData sheetId="4379"/>
      <sheetData sheetId="4380"/>
      <sheetData sheetId="4381"/>
      <sheetData sheetId="4382"/>
      <sheetData sheetId="4383"/>
      <sheetData sheetId="4384"/>
      <sheetData sheetId="4385"/>
      <sheetData sheetId="4386"/>
      <sheetData sheetId="4387"/>
      <sheetData sheetId="4388"/>
      <sheetData sheetId="4389"/>
      <sheetData sheetId="4390"/>
      <sheetData sheetId="4391"/>
      <sheetData sheetId="4392"/>
      <sheetData sheetId="4393"/>
      <sheetData sheetId="4394"/>
      <sheetData sheetId="4395"/>
      <sheetData sheetId="4396"/>
      <sheetData sheetId="4397"/>
      <sheetData sheetId="4398"/>
      <sheetData sheetId="4399"/>
      <sheetData sheetId="4400"/>
      <sheetData sheetId="4401"/>
      <sheetData sheetId="4402"/>
      <sheetData sheetId="4403"/>
      <sheetData sheetId="4404"/>
      <sheetData sheetId="4405"/>
      <sheetData sheetId="4406"/>
      <sheetData sheetId="4407"/>
      <sheetData sheetId="4408"/>
      <sheetData sheetId="4409"/>
      <sheetData sheetId="4410"/>
      <sheetData sheetId="4411"/>
      <sheetData sheetId="4412"/>
      <sheetData sheetId="4413"/>
      <sheetData sheetId="4414"/>
      <sheetData sheetId="4415"/>
      <sheetData sheetId="4416"/>
      <sheetData sheetId="4417"/>
      <sheetData sheetId="4418"/>
      <sheetData sheetId="4419"/>
      <sheetData sheetId="4420"/>
      <sheetData sheetId="4421"/>
      <sheetData sheetId="4422"/>
      <sheetData sheetId="4423"/>
      <sheetData sheetId="4424"/>
      <sheetData sheetId="4425"/>
      <sheetData sheetId="4426"/>
      <sheetData sheetId="4427"/>
      <sheetData sheetId="4428"/>
      <sheetData sheetId="4429"/>
      <sheetData sheetId="4430"/>
      <sheetData sheetId="4431"/>
      <sheetData sheetId="4432"/>
      <sheetData sheetId="4433"/>
      <sheetData sheetId="4434"/>
      <sheetData sheetId="4435"/>
      <sheetData sheetId="4436"/>
      <sheetData sheetId="4437"/>
      <sheetData sheetId="4438"/>
      <sheetData sheetId="4439"/>
      <sheetData sheetId="4440"/>
      <sheetData sheetId="4441"/>
      <sheetData sheetId="4442"/>
      <sheetData sheetId="4443"/>
      <sheetData sheetId="4444"/>
      <sheetData sheetId="4445"/>
      <sheetData sheetId="4446"/>
      <sheetData sheetId="4447"/>
      <sheetData sheetId="4448"/>
      <sheetData sheetId="4449"/>
      <sheetData sheetId="4450"/>
      <sheetData sheetId="4451"/>
      <sheetData sheetId="4452"/>
      <sheetData sheetId="4453"/>
      <sheetData sheetId="4454"/>
      <sheetData sheetId="4455"/>
      <sheetData sheetId="4456"/>
      <sheetData sheetId="4457"/>
      <sheetData sheetId="4458"/>
      <sheetData sheetId="4459"/>
      <sheetData sheetId="4460"/>
      <sheetData sheetId="4461" refreshError="1"/>
      <sheetData sheetId="4462" refreshError="1"/>
      <sheetData sheetId="4463" refreshError="1"/>
      <sheetData sheetId="4464" refreshError="1"/>
      <sheetData sheetId="4465" refreshError="1"/>
      <sheetData sheetId="4466" refreshError="1"/>
      <sheetData sheetId="4467" refreshError="1"/>
      <sheetData sheetId="4468" refreshError="1"/>
      <sheetData sheetId="4469" refreshError="1"/>
      <sheetData sheetId="4470" refreshError="1"/>
      <sheetData sheetId="4471" refreshError="1"/>
      <sheetData sheetId="4472" refreshError="1"/>
      <sheetData sheetId="4473" refreshError="1"/>
      <sheetData sheetId="4474" refreshError="1"/>
      <sheetData sheetId="4475" refreshError="1"/>
      <sheetData sheetId="4476" refreshError="1"/>
      <sheetData sheetId="4477" refreshError="1"/>
      <sheetData sheetId="4478" refreshError="1"/>
      <sheetData sheetId="4479"/>
      <sheetData sheetId="4480" refreshError="1"/>
      <sheetData sheetId="4481" refreshError="1"/>
      <sheetData sheetId="4482" refreshError="1"/>
      <sheetData sheetId="4483" refreshError="1"/>
      <sheetData sheetId="4484" refreshError="1"/>
      <sheetData sheetId="4485" refreshError="1"/>
      <sheetData sheetId="4486" refreshError="1"/>
      <sheetData sheetId="4487" refreshError="1"/>
      <sheetData sheetId="4488" refreshError="1"/>
      <sheetData sheetId="4489" refreshError="1"/>
      <sheetData sheetId="4490" refreshError="1"/>
      <sheetData sheetId="4491" refreshError="1"/>
      <sheetData sheetId="4492" refreshError="1"/>
      <sheetData sheetId="4493" refreshError="1"/>
      <sheetData sheetId="4494" refreshError="1"/>
      <sheetData sheetId="4495" refreshError="1"/>
      <sheetData sheetId="4496" refreshError="1"/>
      <sheetData sheetId="4497" refreshError="1"/>
      <sheetData sheetId="4498" refreshError="1"/>
      <sheetData sheetId="4499" refreshError="1"/>
      <sheetData sheetId="4500" refreshError="1"/>
      <sheetData sheetId="4501" refreshError="1"/>
      <sheetData sheetId="4502" refreshError="1"/>
      <sheetData sheetId="4503" refreshError="1"/>
      <sheetData sheetId="4504" refreshError="1"/>
      <sheetData sheetId="4505" refreshError="1"/>
      <sheetData sheetId="4506" refreshError="1"/>
      <sheetData sheetId="4507" refreshError="1"/>
      <sheetData sheetId="4508"/>
      <sheetData sheetId="4509"/>
      <sheetData sheetId="4510"/>
      <sheetData sheetId="4511" refreshError="1"/>
    </sheetDataSet>
  </externalBook>
</externalLink>
</file>

<file path=xl/externalLinks/externalLink15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AMENDMENT"/>
      <sheetName val="SUMMARY_A"/>
      <sheetName val="SUMMARY_B"/>
      <sheetName val="SUMMARY_B (2)"/>
      <sheetName val="BREAKDOWN"/>
      <sheetName val="COST BREAKDOWN"/>
      <sheetName val="IRAQIZATION"/>
      <sheetName val="KUWAITIZATION 참고용"/>
      <sheetName val="ORG"/>
      <sheetName val="MANPOWER MOBILIZATION"/>
      <sheetName val="STAFF MOBILIZATION SUMMARY"/>
      <sheetName val="STAFF MOBILIZATION PLAN_HDEC"/>
      <sheetName val="INDIRECT MOBILIZATION PLAN"/>
      <sheetName val="EUR, TCN &amp; LOC STAFF SALARY"/>
      <sheetName val="INDIRECT SALARY"/>
      <sheetName val="HEC SEL"/>
      <sheetName val="HEC FE"/>
      <sheetName val="OVERSEAS TRAVELING EXPENSE"/>
      <sheetName val="EXCHANGE RATE"/>
      <sheetName val="LIST OF AIR FARE"/>
      <sheetName val="AIR FARE"/>
      <sheetName val="BUSINESS TRIP_FROM SEOUL"/>
      <sheetName val="BUSINESS TRIP_FROM MILAN"/>
      <sheetName val="BUSINESS TRIP_FROM SITE"/>
      <sheetName val="OFFICE EQUIPMENT_LIST"/>
      <sheetName val="OFFICE EQUIPMENT_유지보수"/>
      <sheetName val="OFFICE EQUIPMENT_소모품구입"/>
      <sheetName val="OA복합기 BRG3"/>
      <sheetName val="FURNITURE 표준단가표"/>
      <sheetName val="FURNITURE FROM AL HANA"/>
      <sheetName val="PERIODIC MEDICAL TEST"/>
      <sheetName val="VEHICLE_MOBILIZATION PLAN"/>
      <sheetName val="VEHICLE_MOBILIZATION PLAN&amp;COST"/>
      <sheetName val="COST FOR VEHICLE_SITE"/>
      <sheetName val="KOR STAFF ALLOWANCE_현지불수당"/>
      <sheetName val="KOR STAFF ALLOWANCE_연장수당"/>
      <sheetName val="KOR STAFF ALLOWANCE_직책수당"/>
      <sheetName val="KOR STAFF SALARY_단신부임수당"/>
      <sheetName val="WELFARE COST_SITE"/>
      <sheetName val="CLOTHES PAYMENT CONDITION"/>
      <sheetName val="CAMP OPERATION COST"/>
      <sheetName val="VISA &amp; PERMIT"/>
      <sheetName val="WATER SUPPLY"/>
      <sheetName val="용전비"/>
      <sheetName val="KOR STAFF SALARY_HDEC ONLY"/>
      <sheetName val="HDEC STAFF SALARY_HOME"/>
      <sheetName val="HDEC STAFF SALARY_SITE"/>
      <sheetName val="HDEC STAFF SALARY_BRANCH"/>
      <sheetName val="KOR STAFF ALLOWANCE"/>
      <sheetName val="INSURANCE_KOR_STAFF"/>
      <sheetName val="INSURANCE_KOR_INDIRECT"/>
      <sheetName val="단가(현장)"/>
      <sheetName val="단가 (서울)"/>
      <sheetName val="LC수수료 &amp; TR 이자율-NA"/>
      <sheetName val="stage payment bond fee"/>
      <sheetName val="Bond Fee"/>
      <sheetName val="여기까지"/>
      <sheetName val="HEC COST BREAKDOWN"/>
      <sheetName val="STAFF MOBILIZATION PLAN_JGC"/>
      <sheetName val="COST FOR VEHICLE_YOC"/>
      <sheetName val="Generator Fuel Consumption"/>
      <sheetName val="용전_DETAIL"/>
      <sheetName val="소비전력"/>
      <sheetName val="공사비_NDE"/>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refreshError="1"/>
    </sheetDataSet>
  </externalBook>
</externalLink>
</file>

<file path=xl/externalLinks/externalLink15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xxxxxx"/>
      <sheetName val="세금관련집계표"/>
      <sheetName val="환율"/>
      <sheetName val="간접비총괄"/>
      <sheetName val="간접비내역서"/>
      <sheetName val="간접비-화폐단위별"/>
      <sheetName val="가설인원"/>
      <sheetName val="가설건물-당사"/>
      <sheetName val="용전"/>
      <sheetName val="용수"/>
      <sheetName val="직원급료(본사)"/>
      <sheetName val="직원급료(현장)"/>
      <sheetName val="임금인상"/>
      <sheetName val="비품"/>
      <sheetName val="차량동원계획"/>
      <sheetName val="차량동원계획(2)"/>
      <sheetName val="버스임대계획"/>
      <sheetName val="차량가격"/>
      <sheetName val="Bond"/>
      <sheetName val="Local Tax"/>
      <sheetName val="가설관세"/>
      <sheetName val="개인소득세"/>
      <sheetName val="사회보장세"/>
      <sheetName val="종합소득세"/>
      <sheetName val="Stamp Duty"/>
    </sheetNames>
    <sheetDataSet>
      <sheetData sheetId="0" refreshError="1"/>
      <sheetData sheetId="1" refreshError="1"/>
      <sheetData sheetId="2" refreshError="1">
        <row r="14">
          <cell r="B14" t="str">
            <v>Tripoli West 350 MW x 4 / Libya (CP-004 - M &amp; E Package)</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Set>
  </externalBook>
</externalLink>
</file>

<file path=xl/externalLinks/externalLink15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표  지"/>
      <sheetName val="목  차"/>
      <sheetName val="1 관리기준"/>
      <sheetName val="2 년도별 생산성 분석 "/>
      <sheetName val=" 3 공사기간별 생산성 추이"/>
      <sheetName val=" 별2  현장단위"/>
      <sheetName val="별 3 착공연도별"/>
      <sheetName val="별 4 아파트 생산성 분석"/>
      <sheetName val="별 5 공통비 승인 (2000년 공사)"/>
      <sheetName val="별 6 직원배치 승인 현황"/>
      <sheetName val=" 3 공사기간별 생산성 추이 (2)"/>
      <sheetName val="Sheet4"/>
      <sheetName val="복사 DATA 현장단위 (2)"/>
      <sheetName val="년도별 생산성 분석"/>
      <sheetName val="DATA 2000"/>
      <sheetName val=" 6 공기 28월"/>
      <sheetName val="그래프 DATA"/>
      <sheetName val="Sheet1"/>
      <sheetName val="DATA"/>
      <sheetName val="Sheet2"/>
      <sheetName val="Sheet2 (2)"/>
      <sheetName val="년도별 생산성 분석 (3)"/>
      <sheetName val="공통비 승인 (300세대 이하)"/>
      <sheetName val="공통비 승인 (500세대 이하)"/>
      <sheetName val="공통비 승인 (1000세대 이하)"/>
      <sheetName val="공통비 승인 (1500세대 이하)"/>
      <sheetName val="공통비 승인 (2000세대 이하)"/>
      <sheetName val="공통비 승인 (2000세대 초과)"/>
      <sheetName val="공통비 승인 (주상복합)"/>
      <sheetName val="Sheet3"/>
      <sheetName val="Sheet1 (3)"/>
      <sheetName val="Sheet1 (2)"/>
      <sheetName val="특 1 년도별 생산성 분석 "/>
      <sheetName val="특 2 아파트 생산성 분석 (2)"/>
      <sheetName val="특 년도별 사업부 인원"/>
      <sheetName val="#REF"/>
      <sheetName val="토목공사"/>
      <sheetName val="유림총괄"/>
      <sheetName val="단가표"/>
      <sheetName val="P.M 별"/>
      <sheetName val="구의33고"/>
      <sheetName val="1차 내역서"/>
      <sheetName val="개요"/>
      <sheetName val="ESC (공정표기준)"/>
      <sheetName val="COST"/>
      <sheetName val="과년도 현장별 생산성 finish"/>
      <sheetName val="구천"/>
      <sheetName val="pier(각형)"/>
      <sheetName val="VXXXXXXX"/>
      <sheetName val="경산"/>
      <sheetName val="유림골조"/>
      <sheetName val="원가계산서 "/>
      <sheetName val="기계경비(시간당)"/>
      <sheetName val="램머"/>
      <sheetName val="공통비총괄표"/>
      <sheetName val="공통비(전체)"/>
      <sheetName val="하나"/>
      <sheetName val="제일"/>
      <sheetName val="설계명세서"/>
      <sheetName val="예산명세서"/>
      <sheetName val="자료입력"/>
      <sheetName val="설계내역서"/>
      <sheetName val="새공통(96임금인상기준)"/>
      <sheetName val="비교1"/>
      <sheetName val="월별수입"/>
      <sheetName val="평가데이터"/>
      <sheetName val="세금자료"/>
      <sheetName val="TOWER 12TON"/>
      <sheetName val="TOWER 10TON"/>
      <sheetName val="JIB CRANE,HOIST"/>
      <sheetName val="설계"/>
      <sheetName val="삭제금지단가"/>
      <sheetName val="프랜트면허"/>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refreshError="1">
        <row r="6">
          <cell r="A6" t="str">
            <v>부산 문현동 현대아파트 신축공사</v>
          </cell>
          <cell r="B6" t="str">
            <v>95-A-01</v>
          </cell>
        </row>
        <row r="7">
          <cell r="A7" t="str">
            <v>남원동충동 아파트 신축공사</v>
          </cell>
          <cell r="B7" t="str">
            <v>95-A-02</v>
          </cell>
        </row>
        <row r="8">
          <cell r="A8" t="str">
            <v>대천동대동 아파트 신축공사</v>
          </cell>
          <cell r="B8" t="str">
            <v>95-A-03</v>
          </cell>
        </row>
        <row r="9">
          <cell r="A9" t="str">
            <v>이천 모전리 현대 아파트 신축공사</v>
          </cell>
          <cell r="B9" t="str">
            <v>95-A-04</v>
          </cell>
        </row>
        <row r="10">
          <cell r="A10" t="str">
            <v>원주 행구동 아파트 신축 공사</v>
          </cell>
          <cell r="B10" t="str">
            <v>95-A-05</v>
          </cell>
        </row>
        <row r="11">
          <cell r="A11" t="str">
            <v>남수원 현대아파트 신축공사</v>
          </cell>
          <cell r="B11" t="str">
            <v>95-A-06</v>
          </cell>
        </row>
        <row r="12">
          <cell r="A12" t="str">
            <v>현대 올림픽 그린타운 신축공사</v>
          </cell>
          <cell r="B12" t="str">
            <v>95-A-07</v>
          </cell>
        </row>
        <row r="13">
          <cell r="A13" t="str">
            <v>부산 양정 현대 아파트</v>
          </cell>
          <cell r="B13" t="str">
            <v>95-A-08</v>
          </cell>
        </row>
        <row r="14">
          <cell r="A14" t="str">
            <v>홍제 4구역 재개발아파트</v>
          </cell>
          <cell r="B14" t="str">
            <v>95-A-09</v>
          </cell>
        </row>
        <row r="15">
          <cell r="A15" t="str">
            <v>홍제 3구역 재개발 아파트</v>
          </cell>
          <cell r="B15" t="str">
            <v>95-A-10</v>
          </cell>
        </row>
        <row r="16">
          <cell r="A16" t="str">
            <v>소양 아파트 재건축 신축공사</v>
          </cell>
          <cell r="B16" t="str">
            <v>95-A-11</v>
          </cell>
        </row>
        <row r="17">
          <cell r="A17" t="str">
            <v>독산동 재건축 아파트 신축공사</v>
          </cell>
          <cell r="B17" t="str">
            <v>95-A-12</v>
          </cell>
        </row>
        <row r="18">
          <cell r="A18" t="str">
            <v>부산 대연동 재건축 아파트 신축공사</v>
          </cell>
          <cell r="B18" t="str">
            <v>95-A-13</v>
          </cell>
        </row>
        <row r="19">
          <cell r="A19" t="str">
            <v>청학 연립 재건축 아파트 신축공사</v>
          </cell>
          <cell r="B19" t="str">
            <v>95-A-14</v>
          </cell>
        </row>
        <row r="20">
          <cell r="A20" t="str">
            <v>광명광복 재건축아파트</v>
          </cell>
          <cell r="B20" t="str">
            <v>95-A-15</v>
          </cell>
        </row>
        <row r="21">
          <cell r="A21" t="str">
            <v>목동 성도 연립 재건축 아파트</v>
          </cell>
          <cell r="B21" t="str">
            <v>95-A-16</v>
          </cell>
        </row>
        <row r="23">
          <cell r="A23" t="str">
            <v>일산 프리젠트 빌딩</v>
          </cell>
          <cell r="B23" t="str">
            <v>95-C-01</v>
          </cell>
        </row>
        <row r="24">
          <cell r="A24" t="str">
            <v>강촌 썬워드 콘도</v>
          </cell>
          <cell r="B24" t="str">
            <v>95-C-02</v>
          </cell>
        </row>
        <row r="25">
          <cell r="A25" t="str">
            <v>하남 베스코아</v>
          </cell>
          <cell r="B25" t="str">
            <v>95-C-03</v>
          </cell>
        </row>
        <row r="26">
          <cell r="A26" t="str">
            <v>초림 파크타워</v>
          </cell>
          <cell r="B26" t="str">
            <v>95-C-04</v>
          </cell>
        </row>
        <row r="27">
          <cell r="A27" t="str">
            <v>수원 탑동 주상복합</v>
          </cell>
          <cell r="B27" t="str">
            <v>95-C-05</v>
          </cell>
        </row>
        <row r="28">
          <cell r="A28" t="str">
            <v>현대 중공업 사옥</v>
          </cell>
          <cell r="B28" t="str">
            <v>95-C-06</v>
          </cell>
        </row>
        <row r="29">
          <cell r="A29" t="str">
            <v>분당 현대 코아</v>
          </cell>
          <cell r="B29" t="str">
            <v>95-C-07</v>
          </cell>
        </row>
        <row r="30">
          <cell r="A30" t="str">
            <v>목동 오피스텔</v>
          </cell>
          <cell r="B30" t="str">
            <v>95-C-08</v>
          </cell>
        </row>
        <row r="31">
          <cell r="A31" t="str">
            <v>구의 테크노마트 21</v>
          </cell>
          <cell r="B31" t="str">
            <v>95-C-09</v>
          </cell>
        </row>
        <row r="32">
          <cell r="A32" t="str">
            <v>나산 수서 트루빌</v>
          </cell>
          <cell r="B32" t="str">
            <v>95-C-10</v>
          </cell>
        </row>
        <row r="33">
          <cell r="A33" t="str">
            <v>현대해상 대구 사옥</v>
          </cell>
          <cell r="B33" t="str">
            <v>95-C-11</v>
          </cell>
        </row>
        <row r="35">
          <cell r="A35" t="str">
            <v>속초 교동 3차 아파트 신축공사</v>
          </cell>
          <cell r="B35" t="str">
            <v>96-A-01</v>
          </cell>
        </row>
        <row r="36">
          <cell r="A36" t="str">
            <v>광장동 9차 아파트 신축공사</v>
          </cell>
          <cell r="B36" t="str">
            <v>96-A-02</v>
          </cell>
        </row>
        <row r="37">
          <cell r="A37" t="str">
            <v>포철 신단지 주택공사(사원아파트)</v>
          </cell>
          <cell r="B37" t="str">
            <v>96-A-03</v>
          </cell>
        </row>
        <row r="38">
          <cell r="A38" t="str">
            <v>도곡동 빌라트 E동 신축공사</v>
          </cell>
          <cell r="B38" t="str">
            <v>96-A-04</v>
          </cell>
        </row>
        <row r="39">
          <cell r="A39" t="str">
            <v>죽전 현대, 우진, 신한빌라트 공사</v>
          </cell>
          <cell r="B39" t="str">
            <v>96-A-05</v>
          </cell>
        </row>
        <row r="40">
          <cell r="A40" t="str">
            <v>구기동 빌라 신축공사</v>
          </cell>
          <cell r="B40" t="str">
            <v>96-A-06</v>
          </cell>
        </row>
        <row r="41">
          <cell r="A41" t="str">
            <v>울산 삼산 2지구 아파트</v>
          </cell>
          <cell r="B41" t="str">
            <v>96-A-07</v>
          </cell>
        </row>
        <row r="42">
          <cell r="A42" t="str">
            <v>전주 송천 아파트 건설공사 1공구</v>
          </cell>
          <cell r="B42" t="str">
            <v>96-A-08</v>
          </cell>
        </row>
        <row r="43">
          <cell r="A43" t="str">
            <v>강릉 내곡동 아파트 신축공사</v>
          </cell>
          <cell r="B43" t="str">
            <v>96-A-09</v>
          </cell>
        </row>
        <row r="44">
          <cell r="A44" t="str">
            <v>전주 송천동 2차 아파트</v>
          </cell>
          <cell r="B44" t="str">
            <v>96-A-10</v>
          </cell>
        </row>
        <row r="45">
          <cell r="A45" t="str">
            <v>전주 중화산동 현대 아파트 현장</v>
          </cell>
          <cell r="B45" t="str">
            <v>96-A-11</v>
          </cell>
        </row>
        <row r="46">
          <cell r="A46" t="str">
            <v>아산 방축동 아파트 신축공사</v>
          </cell>
          <cell r="B46" t="str">
            <v>96-A-12</v>
          </cell>
        </row>
        <row r="47">
          <cell r="A47" t="str">
            <v>영주 휴천동 아파트</v>
          </cell>
          <cell r="B47" t="str">
            <v>96-A-13</v>
          </cell>
        </row>
        <row r="48">
          <cell r="A48" t="str">
            <v>공주 금홍동 아파트</v>
          </cell>
          <cell r="B48" t="str">
            <v>96-A-14</v>
          </cell>
        </row>
        <row r="49">
          <cell r="A49" t="str">
            <v>강릉 노암동 남산 아파트 신축공사</v>
          </cell>
          <cell r="B49" t="str">
            <v>96-A-15</v>
          </cell>
        </row>
        <row r="50">
          <cell r="A50" t="str">
            <v>성수동 한양 연립 재건축 아파트</v>
          </cell>
          <cell r="B50" t="str">
            <v>96-A-16</v>
          </cell>
        </row>
        <row r="51">
          <cell r="A51" t="str">
            <v>인천 가좌동 재건축 아파트 신축공사</v>
          </cell>
          <cell r="B51" t="str">
            <v>96-A-17</v>
          </cell>
        </row>
        <row r="52">
          <cell r="A52" t="str">
            <v>암사 율산 재건축 아파트 신축공사</v>
          </cell>
          <cell r="B52" t="str">
            <v>96-A-18</v>
          </cell>
        </row>
        <row r="53">
          <cell r="A53" t="str">
            <v>신해청 재건축아파트 신축공사</v>
          </cell>
          <cell r="B53" t="str">
            <v>96-A-19</v>
          </cell>
        </row>
        <row r="54">
          <cell r="A54" t="str">
            <v>갈현아파트 재건축 공사</v>
          </cell>
          <cell r="B54" t="str">
            <v>96-A-20</v>
          </cell>
        </row>
        <row r="55">
          <cell r="A55" t="str">
            <v>범우 연립 재건축 공사</v>
          </cell>
          <cell r="B55" t="str">
            <v>96-A-21</v>
          </cell>
        </row>
        <row r="56">
          <cell r="A56" t="str">
            <v>춘천 소양로 재건축</v>
          </cell>
          <cell r="B56" t="str">
            <v>96-A-22</v>
          </cell>
        </row>
        <row r="57">
          <cell r="A57" t="str">
            <v>북가좌동 재건축 아파트 현장</v>
          </cell>
          <cell r="B57" t="str">
            <v>96-A-23</v>
          </cell>
        </row>
        <row r="58">
          <cell r="A58" t="str">
            <v>자양 1지구 재건축 조합 아파트</v>
          </cell>
          <cell r="B58" t="str">
            <v>96-A-24</v>
          </cell>
        </row>
        <row r="59">
          <cell r="A59" t="str">
            <v>경남 빌라 재건축 현장</v>
          </cell>
          <cell r="B59" t="str">
            <v>96-A-25</v>
          </cell>
        </row>
        <row r="60">
          <cell r="A60" t="str">
            <v xml:space="preserve">풍납 신우 재건축 조합 아파트 </v>
          </cell>
          <cell r="B60" t="str">
            <v>96-A-26</v>
          </cell>
        </row>
        <row r="61">
          <cell r="A61" t="str">
            <v>청담동 목련 재건축 아파트 신축공사</v>
          </cell>
          <cell r="B61" t="str">
            <v>96-A-27</v>
          </cell>
        </row>
        <row r="62">
          <cell r="A62" t="str">
            <v>울산 그랜드 1차</v>
          </cell>
          <cell r="B62" t="str">
            <v>96-A-28</v>
          </cell>
        </row>
        <row r="63">
          <cell r="A63" t="str">
            <v>청운 제2구역 재개발 공사</v>
          </cell>
          <cell r="B63" t="str">
            <v>96-A-29</v>
          </cell>
        </row>
        <row r="65">
          <cell r="A65" t="str">
            <v>시네시티</v>
          </cell>
          <cell r="B65" t="str">
            <v>96-C-01</v>
          </cell>
        </row>
        <row r="66">
          <cell r="A66" t="str">
            <v>성북동 P씨댁 신축현장</v>
          </cell>
          <cell r="B66" t="str">
            <v>96-C-02</v>
          </cell>
        </row>
        <row r="67">
          <cell r="A67" t="str">
            <v>목동 나산 스위트</v>
          </cell>
          <cell r="B67" t="str">
            <v>96-C-03</v>
          </cell>
        </row>
        <row r="68">
          <cell r="A68" t="str">
            <v>현대자동차 고양 영업소</v>
          </cell>
          <cell r="B68" t="str">
            <v>96-C-04</v>
          </cell>
        </row>
        <row r="69">
          <cell r="A69" t="str">
            <v>목동 그랜드 21</v>
          </cell>
          <cell r="B69" t="str">
            <v>96-C-05</v>
          </cell>
        </row>
        <row r="70">
          <cell r="A70" t="str">
            <v>안양 현대 코아</v>
          </cell>
          <cell r="B70" t="str">
            <v>96-C-06</v>
          </cell>
        </row>
        <row r="71">
          <cell r="A71" t="str">
            <v>방이동 오피스텔</v>
          </cell>
          <cell r="B71" t="str">
            <v>96-C-07</v>
          </cell>
        </row>
        <row r="72">
          <cell r="A72" t="str">
            <v>장안동 월드타워</v>
          </cell>
          <cell r="B72" t="str">
            <v>96-C-08</v>
          </cell>
        </row>
        <row r="74">
          <cell r="A74" t="str">
            <v>넥서스 빌라트 B동 신축공사</v>
          </cell>
          <cell r="B74" t="str">
            <v>97-A-01</v>
          </cell>
        </row>
        <row r="75">
          <cell r="A75" t="str">
            <v>잠원동 빌라트 신축공사</v>
          </cell>
          <cell r="B75" t="str">
            <v>97-A-02</v>
          </cell>
        </row>
        <row r="76">
          <cell r="A76" t="str">
            <v>현대 동광 빌라트 신축공사</v>
          </cell>
          <cell r="B76" t="str">
            <v>97-A-03</v>
          </cell>
        </row>
        <row r="77">
          <cell r="A77" t="str">
            <v>서산 예천동 아파트 공사</v>
          </cell>
          <cell r="B77" t="str">
            <v>97-A-04</v>
          </cell>
        </row>
        <row r="78">
          <cell r="A78" t="str">
            <v>창동 연합 주택 조합 아파트 신축공사</v>
          </cell>
          <cell r="B78" t="str">
            <v>97-A-05</v>
          </cell>
        </row>
        <row r="79">
          <cell r="A79" t="str">
            <v>신봉 현대빌라트 신축공사</v>
          </cell>
          <cell r="B79" t="str">
            <v>97-A-06</v>
          </cell>
        </row>
        <row r="80">
          <cell r="A80" t="str">
            <v>죽전 명인 현대빌라트 신축공사</v>
          </cell>
          <cell r="B80" t="str">
            <v>97-A-07</v>
          </cell>
        </row>
        <row r="81">
          <cell r="A81" t="str">
            <v>도곡동 빌라트(F동) 신축공사</v>
          </cell>
          <cell r="B81" t="str">
            <v>97-A-08</v>
          </cell>
        </row>
        <row r="82">
          <cell r="A82" t="str">
            <v>용인 수지 파인 빌리지 신축공사</v>
          </cell>
          <cell r="B82" t="str">
            <v>97-A-09</v>
          </cell>
        </row>
        <row r="83">
          <cell r="A83" t="str">
            <v>수원 정자지구 1BL 현대 아파트 현장</v>
          </cell>
          <cell r="B83" t="str">
            <v>97-A-10</v>
          </cell>
        </row>
        <row r="84">
          <cell r="A84" t="str">
            <v>진해 녹산 아파트</v>
          </cell>
          <cell r="B84" t="str">
            <v>97-A-11</v>
          </cell>
        </row>
        <row r="85">
          <cell r="A85" t="str">
            <v>춘천 퇴계 3지구 현대아파트 공사</v>
          </cell>
          <cell r="B85" t="str">
            <v>97-A-12</v>
          </cell>
        </row>
        <row r="86">
          <cell r="A86" t="str">
            <v>순천 왕지 현대 아파트 신축 현장</v>
          </cell>
          <cell r="B86" t="str">
            <v>97-A-13</v>
          </cell>
        </row>
        <row r="87">
          <cell r="A87" t="str">
            <v>강릉 교동 하이빌 아파트 신축공사</v>
          </cell>
          <cell r="B87" t="str">
            <v>97-A-14</v>
          </cell>
        </row>
        <row r="88">
          <cell r="A88" t="str">
            <v>암사 시영 재건축</v>
          </cell>
          <cell r="B88" t="str">
            <v>97-A-15</v>
          </cell>
        </row>
        <row r="89">
          <cell r="A89" t="str">
            <v>방배 2-1지구 재건축</v>
          </cell>
          <cell r="B89" t="str">
            <v>97-A-16</v>
          </cell>
        </row>
        <row r="90">
          <cell r="A90" t="str">
            <v>풍납 1지구 재건축 아파트</v>
          </cell>
          <cell r="B90" t="str">
            <v>97-A-17</v>
          </cell>
        </row>
        <row r="91">
          <cell r="A91" t="str">
            <v>마포 중동 시영연립 재건축공사</v>
          </cell>
          <cell r="B91" t="str">
            <v>97-A-18</v>
          </cell>
        </row>
        <row r="92">
          <cell r="A92" t="str">
            <v>안양 관악아파트 재건축</v>
          </cell>
          <cell r="B92" t="str">
            <v>97-A-19</v>
          </cell>
        </row>
        <row r="93">
          <cell r="A93" t="str">
            <v>대방동 재건축 아파트 신축공사</v>
          </cell>
          <cell r="B93" t="str">
            <v>97-A-20</v>
          </cell>
        </row>
        <row r="94">
          <cell r="A94" t="str">
            <v>휘경동 광성아파트 재건축 공사</v>
          </cell>
          <cell r="B94" t="str">
            <v>97-A-21</v>
          </cell>
        </row>
        <row r="95">
          <cell r="A95" t="str">
            <v>신당 3구역 재개발</v>
          </cell>
          <cell r="B95" t="str">
            <v>97-A-22</v>
          </cell>
        </row>
        <row r="97">
          <cell r="A97" t="str">
            <v>성남 주상 복합</v>
          </cell>
          <cell r="B97" t="str">
            <v>97-C-01</v>
          </cell>
        </row>
        <row r="98">
          <cell r="A98" t="str">
            <v>목동 스포츠조선 사옥</v>
          </cell>
          <cell r="B98" t="str">
            <v>97-C-02</v>
          </cell>
        </row>
        <row r="100">
          <cell r="A100" t="str">
            <v>광장동 10차</v>
          </cell>
          <cell r="B100" t="str">
            <v>98-A-01</v>
          </cell>
        </row>
        <row r="101">
          <cell r="A101" t="str">
            <v>포항 이동 현대아파트</v>
          </cell>
          <cell r="B101" t="str">
            <v>98-A-02</v>
          </cell>
        </row>
        <row r="102">
          <cell r="A102" t="str">
            <v>일산 현대 1차 조합아파트 신축공사</v>
          </cell>
          <cell r="B102" t="str">
            <v>98-A-03</v>
          </cell>
        </row>
        <row r="103">
          <cell r="A103" t="str">
            <v>김포 청송마을 아파트</v>
          </cell>
          <cell r="B103" t="str">
            <v>98-A-05</v>
          </cell>
        </row>
        <row r="104">
          <cell r="A104" t="str">
            <v>용인 국방 충성 조합 아파트 신축공사</v>
          </cell>
          <cell r="B104" t="str">
            <v>98-A-05</v>
          </cell>
        </row>
        <row r="105">
          <cell r="A105" t="str">
            <v>부산 거제 1차 아파트</v>
          </cell>
          <cell r="B105" t="str">
            <v>98-A-06</v>
          </cell>
        </row>
        <row r="106">
          <cell r="A106" t="str">
            <v>수지 권선 3지구 현대 아파트 신축공사</v>
          </cell>
          <cell r="B106" t="str">
            <v>98-A-07</v>
          </cell>
        </row>
        <row r="107">
          <cell r="A107" t="str">
            <v>개봉 훼미리 2단지</v>
          </cell>
          <cell r="B107" t="str">
            <v>98-A-08</v>
          </cell>
        </row>
        <row r="108">
          <cell r="A108" t="str">
            <v>성산 아파트 재건축 공사</v>
          </cell>
          <cell r="B108" t="str">
            <v>98-A-09</v>
          </cell>
        </row>
        <row r="109">
          <cell r="A109" t="str">
            <v>개봉 훼미리 1단지 재건축</v>
          </cell>
          <cell r="B109" t="str">
            <v>98-A-10</v>
          </cell>
        </row>
        <row r="110">
          <cell r="A110" t="str">
            <v>자양 5지구 재건축 아파트</v>
          </cell>
          <cell r="B110" t="str">
            <v>98-A-11</v>
          </cell>
        </row>
        <row r="112">
          <cell r="A112" t="str">
            <v>죽전 현대 2차 아파트 신축공사</v>
          </cell>
          <cell r="B112" t="str">
            <v>99-A-01</v>
          </cell>
        </row>
        <row r="113">
          <cell r="A113" t="str">
            <v>안양 수리산 조합아파트</v>
          </cell>
          <cell r="B113" t="str">
            <v>99-A-02</v>
          </cell>
        </row>
        <row r="114">
          <cell r="A114" t="str">
            <v>평촌 귀인 현대조합아파트</v>
          </cell>
          <cell r="B114" t="str">
            <v>99-A-03</v>
          </cell>
        </row>
        <row r="115">
          <cell r="A115" t="str">
            <v>남양주 덕소 강변 현대 아파트 신축공사</v>
          </cell>
          <cell r="B115" t="str">
            <v>99-A-04</v>
          </cell>
        </row>
        <row r="116">
          <cell r="A116" t="str">
            <v>역삼동 까르띠에 아파트 신축공사</v>
          </cell>
          <cell r="B116" t="str">
            <v>99-A-05</v>
          </cell>
        </row>
        <row r="117">
          <cell r="A117" t="str">
            <v>번동 오동 공원 현대 아파트 신축공사</v>
          </cell>
          <cell r="B117" t="str">
            <v>99-A-06</v>
          </cell>
        </row>
        <row r="118">
          <cell r="A118" t="str">
            <v>부산 거제 2차 아파트</v>
          </cell>
          <cell r="B118" t="str">
            <v>99-A-07</v>
          </cell>
        </row>
        <row r="119">
          <cell r="A119" t="str">
            <v>기흥 구갈 2지구 아파트</v>
          </cell>
          <cell r="B119" t="str">
            <v>99-A-08</v>
          </cell>
        </row>
        <row r="120">
          <cell r="A120" t="str">
            <v>방배 2-2지구 재건축 아파트 공사</v>
          </cell>
          <cell r="B120" t="str">
            <v>99-A-09</v>
          </cell>
        </row>
        <row r="121">
          <cell r="A121" t="str">
            <v>자양 2지구 재건축 아파트 신축공사</v>
          </cell>
          <cell r="B121" t="str">
            <v>99-A-10</v>
          </cell>
        </row>
        <row r="122">
          <cell r="A122" t="str">
            <v>울산 전하동 재건축 아파트 신축공사</v>
          </cell>
          <cell r="B122" t="str">
            <v>99-A-11</v>
          </cell>
        </row>
        <row r="123">
          <cell r="A123" t="str">
            <v>낙성대 3차 아파트 신축공사</v>
          </cell>
          <cell r="B123" t="str">
            <v>99-A-12</v>
          </cell>
        </row>
        <row r="125">
          <cell r="A125" t="str">
            <v>일산 현대2차아파트</v>
          </cell>
          <cell r="B125" t="str">
            <v>00-A-01</v>
          </cell>
        </row>
        <row r="126">
          <cell r="A126" t="str">
            <v xml:space="preserve">수지 현대 1차 조합 아파트 </v>
          </cell>
          <cell r="B126" t="str">
            <v>00-A-02</v>
          </cell>
        </row>
        <row r="127">
          <cell r="A127" t="str">
            <v>용인 보정리 현대 홈타운</v>
          </cell>
          <cell r="B127" t="str">
            <v>00-A-03</v>
          </cell>
        </row>
        <row r="128">
          <cell r="A128" t="str">
            <v>능곡 1차 조합아파트</v>
          </cell>
          <cell r="B128" t="str">
            <v>00-A-04</v>
          </cell>
        </row>
        <row r="129">
          <cell r="A129" t="str">
            <v>수지 현대2차 조합아파트 신축공사</v>
          </cell>
          <cell r="B129" t="str">
            <v>00-A-05</v>
          </cell>
        </row>
        <row r="130">
          <cell r="A130" t="str">
            <v>일산 현대3차 아파트 신축공사</v>
          </cell>
          <cell r="B130" t="str">
            <v>00-A-06</v>
          </cell>
        </row>
        <row r="131">
          <cell r="A131" t="str">
            <v>구리 인창 조합</v>
          </cell>
          <cell r="B131" t="str">
            <v>00-A-07</v>
          </cell>
        </row>
        <row r="132">
          <cell r="A132" t="str">
            <v>평택 안중 조합 아파트</v>
          </cell>
          <cell r="B132" t="str">
            <v>00-A-08</v>
          </cell>
        </row>
        <row r="133">
          <cell r="A133" t="str">
            <v>능곡 2차 조합 아파트</v>
          </cell>
          <cell r="B133" t="str">
            <v>00-A-09</v>
          </cell>
        </row>
        <row r="134">
          <cell r="A134" t="str">
            <v>한남동 하이페리온 신축공사</v>
          </cell>
          <cell r="B134" t="str">
            <v>00-A-10</v>
          </cell>
        </row>
        <row r="135">
          <cell r="A135" t="str">
            <v>죽전 4차 1단지</v>
          </cell>
          <cell r="B135" t="str">
            <v>00-A-11</v>
          </cell>
        </row>
        <row r="136">
          <cell r="A136" t="str">
            <v>인천 양지 아파트 재건축 공사</v>
          </cell>
          <cell r="B136" t="str">
            <v>00-A-12</v>
          </cell>
        </row>
        <row r="137">
          <cell r="A137" t="str">
            <v>인천 간석동 송림 재건축 공사</v>
          </cell>
          <cell r="B137" t="str">
            <v>00-A-13</v>
          </cell>
        </row>
        <row r="138">
          <cell r="A138" t="str">
            <v>자양 7지구 재건축 아파트</v>
          </cell>
          <cell r="B138" t="str">
            <v>00-A-14</v>
          </cell>
        </row>
        <row r="139">
          <cell r="A139" t="str">
            <v>안양 호계 현대아파트 재건축공사</v>
          </cell>
          <cell r="B139" t="str">
            <v>00-A-15</v>
          </cell>
        </row>
        <row r="140">
          <cell r="A140" t="str">
            <v>장안 시영 재건축 (미승인)</v>
          </cell>
          <cell r="B140" t="str">
            <v>00-A-16</v>
          </cell>
        </row>
        <row r="141">
          <cell r="A141" t="str">
            <v>안양 호계 경향</v>
          </cell>
          <cell r="B141" t="str">
            <v>00-A-17</v>
          </cell>
        </row>
        <row r="142">
          <cell r="A142" t="str">
            <v>문래동 홈타운</v>
          </cell>
          <cell r="B142" t="str">
            <v>00-A-18</v>
          </cell>
        </row>
        <row r="144">
          <cell r="A144" t="str">
            <v>현대 수서 벤처빌</v>
          </cell>
          <cell r="B144" t="str">
            <v>00-C-01</v>
          </cell>
        </row>
      </sheetData>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Set>
  </externalBook>
</externalLink>
</file>

<file path=xl/externalLinks/externalLink16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공통가설비 상세내역"/>
      <sheetName val="Sheet1"/>
      <sheetName val="TIPO 가설예산_상세 내역_20140710"/>
    </sheetNames>
    <definedNames>
      <definedName name="공종보기" refersTo="#REF!"/>
      <definedName name="내역1" refersTo="#REF!"/>
      <definedName name="도급내역" refersTo="#REF!"/>
    </definedNames>
    <sheetDataSet>
      <sheetData sheetId="0">
        <row r="12">
          <cell r="H12">
            <v>2393</v>
          </cell>
        </row>
      </sheetData>
      <sheetData sheetId="1"/>
      <sheetData sheetId="2" refreshError="1"/>
    </sheetDataSet>
  </externalBook>
</externalLink>
</file>

<file path=xl/externalLinks/externalLink16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CC"/>
      <sheetName val="Sheet2"/>
      <sheetName val="이라크"/>
      <sheetName val="싱가폴"/>
      <sheetName val="쿠웨이트 (2)"/>
      <sheetName val="쿠웨이트"/>
      <sheetName val="네덜란드"/>
      <sheetName val="인도 (2)"/>
      <sheetName val="인도"/>
      <sheetName val="방글라데시"/>
      <sheetName val="레바논"/>
      <sheetName val="레바논 (2)"/>
      <sheetName val="인도네시아"/>
      <sheetName val="트리니다드 토바고"/>
      <sheetName val="베네수엘라"/>
      <sheetName val="중국"/>
      <sheetName val="사우디"/>
    </sheetNames>
    <sheetDataSet>
      <sheetData sheetId="0">
        <row r="5">
          <cell r="C5">
            <v>4</v>
          </cell>
        </row>
      </sheetData>
      <sheetData sheetId="1">
        <row r="2">
          <cell r="A2" t="str">
            <v>QATAR(280hrs/month)</v>
          </cell>
          <cell r="B2" t="str">
            <v>10hrs/day, 28days/month</v>
          </cell>
          <cell r="C2">
            <v>208</v>
          </cell>
          <cell r="D2">
            <v>32</v>
          </cell>
          <cell r="E2">
            <v>65</v>
          </cell>
          <cell r="F2">
            <v>30</v>
          </cell>
          <cell r="G2">
            <v>335</v>
          </cell>
          <cell r="H2" t="str">
            <v>Basic(26dx8h)+(4dx8h)+Overtime(26dx2hx1.25)+(2dx10hx1.5)</v>
          </cell>
        </row>
        <row r="3">
          <cell r="A3" t="str">
            <v>QATAR(336hrs/month)</v>
          </cell>
          <cell r="B3" t="str">
            <v>12hrs/day, 28days/month</v>
          </cell>
          <cell r="C3">
            <v>208</v>
          </cell>
          <cell r="D3">
            <v>32</v>
          </cell>
          <cell r="E3">
            <v>130</v>
          </cell>
          <cell r="F3">
            <v>36</v>
          </cell>
          <cell r="G3">
            <v>406</v>
          </cell>
          <cell r="H3" t="str">
            <v>Basic(26dx8h)+(4dx8h)+Overtime(26dx4hx1.25)+(2dx12hx1.5)</v>
          </cell>
        </row>
        <row r="4">
          <cell r="A4" t="str">
            <v>S/A(280hrs/month)</v>
          </cell>
          <cell r="B4" t="str">
            <v>10hrs/day, 28days/month</v>
          </cell>
          <cell r="C4">
            <v>208</v>
          </cell>
          <cell r="D4">
            <v>32</v>
          </cell>
          <cell r="E4">
            <v>78</v>
          </cell>
          <cell r="F4">
            <v>30</v>
          </cell>
          <cell r="G4">
            <v>348</v>
          </cell>
          <cell r="H4" t="str">
            <v>Basic(26dx8h)+(4dx8h)+Overtime(26dx2hx1.5)+(2dx10hx1.5)</v>
          </cell>
        </row>
        <row r="5">
          <cell r="A5" t="str">
            <v>S/A(336hrs/month)</v>
          </cell>
          <cell r="B5" t="str">
            <v>12hrs/day, 28days/month</v>
          </cell>
          <cell r="C5">
            <v>208</v>
          </cell>
          <cell r="D5">
            <v>32</v>
          </cell>
          <cell r="E5">
            <v>156</v>
          </cell>
          <cell r="F5">
            <v>36</v>
          </cell>
          <cell r="G5">
            <v>432</v>
          </cell>
          <cell r="H5" t="str">
            <v>Basic(26dx8h)+(4dx8h)+Overtime(26dx4hx1.5)+(2dx12hx1.5)</v>
          </cell>
        </row>
        <row r="6">
          <cell r="A6" t="str">
            <v>LIBYA(280hrs/month)</v>
          </cell>
          <cell r="B6" t="str">
            <v>10hrs/day, 28days/month</v>
          </cell>
          <cell r="C6">
            <v>208</v>
          </cell>
          <cell r="D6">
            <v>32</v>
          </cell>
          <cell r="E6">
            <v>78</v>
          </cell>
          <cell r="F6">
            <v>40</v>
          </cell>
          <cell r="G6">
            <v>358</v>
          </cell>
          <cell r="H6" t="str">
            <v>Basic(26dx8h)+(4dx8h)+Overtime(26dx2hx1.5)+(2dx10hx2.0)</v>
          </cell>
        </row>
        <row r="7">
          <cell r="A7" t="str">
            <v>LIBYA(336hrs/month)</v>
          </cell>
          <cell r="B7" t="str">
            <v>12hrs/day, 28days/month</v>
          </cell>
          <cell r="C7">
            <v>208</v>
          </cell>
          <cell r="D7">
            <v>32</v>
          </cell>
          <cell r="E7">
            <v>156</v>
          </cell>
          <cell r="F7">
            <v>48</v>
          </cell>
          <cell r="G7">
            <v>444</v>
          </cell>
          <cell r="H7" t="str">
            <v>Basic(26dx8h)+(4dx8h)+Overtime(26dx4hx1.5)+(2dx12hx2.0)</v>
          </cell>
        </row>
        <row r="8">
          <cell r="A8" t="str">
            <v>UAE(280hrs/month)</v>
          </cell>
          <cell r="B8" t="str">
            <v>10hrs/day, 28days/month</v>
          </cell>
          <cell r="C8">
            <v>208</v>
          </cell>
          <cell r="E8">
            <v>65</v>
          </cell>
          <cell r="F8">
            <v>30</v>
          </cell>
          <cell r="G8">
            <v>303</v>
          </cell>
          <cell r="H8" t="str">
            <v>Basic(26dx8h)+Overtime(26dx2hx1.25)+(2dx10hx1.5)</v>
          </cell>
        </row>
        <row r="9">
          <cell r="A9" t="str">
            <v>UAE(336hrs/month)</v>
          </cell>
          <cell r="B9" t="str">
            <v>12hrs/day, 28days/month</v>
          </cell>
          <cell r="C9">
            <v>208</v>
          </cell>
          <cell r="E9">
            <v>130</v>
          </cell>
          <cell r="F9">
            <v>36</v>
          </cell>
          <cell r="G9">
            <v>374</v>
          </cell>
          <cell r="H9" t="str">
            <v>Basic(26dx8h)+Overtime(26dx4hx1.25)+(2dx12hx1.5)</v>
          </cell>
        </row>
        <row r="10">
          <cell r="A10" t="str">
            <v>KUWAIT(280hrs/month)</v>
          </cell>
          <cell r="B10" t="str">
            <v>10hrs/day, 28days/month</v>
          </cell>
          <cell r="C10">
            <v>208</v>
          </cell>
          <cell r="E10">
            <v>65</v>
          </cell>
          <cell r="F10">
            <v>30</v>
          </cell>
          <cell r="G10">
            <v>303</v>
          </cell>
          <cell r="H10" t="str">
            <v>Basic(26dx8h)+Overtime(26dx2hx1.25)+(2dx10hx1.5)</v>
          </cell>
        </row>
        <row r="11">
          <cell r="A11" t="str">
            <v>KUWAIT(336hrs/month)</v>
          </cell>
          <cell r="B11" t="str">
            <v>12hrs/day, 28days/month</v>
          </cell>
          <cell r="C11">
            <v>208</v>
          </cell>
          <cell r="E11">
            <v>130</v>
          </cell>
          <cell r="F11">
            <v>36</v>
          </cell>
          <cell r="G11">
            <v>374</v>
          </cell>
          <cell r="H11" t="str">
            <v>Basic(26dx8h)+Overtime(26dx4hx1.25)+(2dx12hx1.5)</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16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GCC"/>
      <sheetName val="Sheet2"/>
      <sheetName val="이라크"/>
      <sheetName val="싱가폴"/>
      <sheetName val="쿠웨이트 (2)"/>
      <sheetName val="쿠웨이트"/>
      <sheetName val="네덜란드"/>
      <sheetName val="인도 (2)"/>
      <sheetName val="인도"/>
      <sheetName val="방글라데시"/>
      <sheetName val="레바논"/>
      <sheetName val="레바논 (2)"/>
      <sheetName val="인도네시아"/>
      <sheetName val="트리니다드 토바고"/>
      <sheetName val="베네수엘라"/>
      <sheetName val="중국"/>
      <sheetName val="사우디"/>
    </sheetNames>
    <sheetDataSet>
      <sheetData sheetId="0">
        <row r="5">
          <cell r="C5">
            <v>4</v>
          </cell>
        </row>
      </sheetData>
      <sheetData sheetId="1">
        <row r="2">
          <cell r="A2" t="str">
            <v>QATAR(280hrs/month)</v>
          </cell>
          <cell r="B2" t="str">
            <v>10hrs/day, 28days/month</v>
          </cell>
          <cell r="C2">
            <v>208</v>
          </cell>
          <cell r="D2">
            <v>32</v>
          </cell>
          <cell r="E2">
            <v>65</v>
          </cell>
          <cell r="F2">
            <v>30</v>
          </cell>
          <cell r="G2">
            <v>335</v>
          </cell>
          <cell r="H2" t="str">
            <v>Basic(26dx8h)+(4dx8h)+Overtime(26dx2hx1.25)+(2dx10hx1.5)</v>
          </cell>
        </row>
        <row r="3">
          <cell r="A3" t="str">
            <v>QATAR(336hrs/month)</v>
          </cell>
          <cell r="B3" t="str">
            <v>12hrs/day, 28days/month</v>
          </cell>
          <cell r="C3">
            <v>208</v>
          </cell>
          <cell r="D3">
            <v>32</v>
          </cell>
          <cell r="E3">
            <v>130</v>
          </cell>
          <cell r="F3">
            <v>36</v>
          </cell>
          <cell r="G3">
            <v>406</v>
          </cell>
          <cell r="H3" t="str">
            <v>Basic(26dx8h)+(4dx8h)+Overtime(26dx4hx1.25)+(2dx12hx1.5)</v>
          </cell>
        </row>
        <row r="4">
          <cell r="A4" t="str">
            <v>S/A(280hrs/month)</v>
          </cell>
          <cell r="B4" t="str">
            <v>10hrs/day, 28days/month</v>
          </cell>
          <cell r="C4">
            <v>208</v>
          </cell>
          <cell r="D4">
            <v>32</v>
          </cell>
          <cell r="E4">
            <v>78</v>
          </cell>
          <cell r="F4">
            <v>30</v>
          </cell>
          <cell r="G4">
            <v>348</v>
          </cell>
          <cell r="H4" t="str">
            <v>Basic(26dx8h)+(4dx8h)+Overtime(26dx2hx1.5)+(2dx10hx1.5)</v>
          </cell>
        </row>
        <row r="5">
          <cell r="A5" t="str">
            <v>S/A(336hrs/month)</v>
          </cell>
          <cell r="B5" t="str">
            <v>12hrs/day, 28days/month</v>
          </cell>
          <cell r="C5">
            <v>208</v>
          </cell>
          <cell r="D5">
            <v>32</v>
          </cell>
          <cell r="E5">
            <v>156</v>
          </cell>
          <cell r="F5">
            <v>36</v>
          </cell>
          <cell r="G5">
            <v>432</v>
          </cell>
          <cell r="H5" t="str">
            <v>Basic(26dx8h)+(4dx8h)+Overtime(26dx4hx1.5)+(2dx12hx1.5)</v>
          </cell>
        </row>
        <row r="6">
          <cell r="A6" t="str">
            <v>LIBYA(280hrs/month)</v>
          </cell>
          <cell r="B6" t="str">
            <v>10hrs/day, 28days/month</v>
          </cell>
          <cell r="C6">
            <v>208</v>
          </cell>
          <cell r="D6">
            <v>32</v>
          </cell>
          <cell r="E6">
            <v>78</v>
          </cell>
          <cell r="F6">
            <v>40</v>
          </cell>
          <cell r="G6">
            <v>358</v>
          </cell>
          <cell r="H6" t="str">
            <v>Basic(26dx8h)+(4dx8h)+Overtime(26dx2hx1.5)+(2dx10hx2.0)</v>
          </cell>
        </row>
        <row r="7">
          <cell r="A7" t="str">
            <v>LIBYA(336hrs/month)</v>
          </cell>
          <cell r="B7" t="str">
            <v>12hrs/day, 28days/month</v>
          </cell>
          <cell r="C7">
            <v>208</v>
          </cell>
          <cell r="D7">
            <v>32</v>
          </cell>
          <cell r="E7">
            <v>156</v>
          </cell>
          <cell r="F7">
            <v>48</v>
          </cell>
          <cell r="G7">
            <v>444</v>
          </cell>
          <cell r="H7" t="str">
            <v>Basic(26dx8h)+(4dx8h)+Overtime(26dx4hx1.5)+(2dx12hx2.0)</v>
          </cell>
        </row>
        <row r="8">
          <cell r="A8" t="str">
            <v>UAE(280hrs/month)</v>
          </cell>
          <cell r="B8" t="str">
            <v>10hrs/day, 28days/month</v>
          </cell>
          <cell r="C8">
            <v>208</v>
          </cell>
          <cell r="E8">
            <v>65</v>
          </cell>
          <cell r="F8">
            <v>30</v>
          </cell>
          <cell r="G8">
            <v>303</v>
          </cell>
          <cell r="H8" t="str">
            <v>Basic(26dx8h)+Overtime(26dx2hx1.25)+(2dx10hx1.5)</v>
          </cell>
        </row>
        <row r="9">
          <cell r="A9" t="str">
            <v>UAE(336hrs/month)</v>
          </cell>
          <cell r="B9" t="str">
            <v>12hrs/day, 28days/month</v>
          </cell>
          <cell r="C9">
            <v>208</v>
          </cell>
          <cell r="E9">
            <v>130</v>
          </cell>
          <cell r="F9">
            <v>36</v>
          </cell>
          <cell r="G9">
            <v>374</v>
          </cell>
          <cell r="H9" t="str">
            <v>Basic(26dx8h)+Overtime(26dx4hx1.25)+(2dx12hx1.5)</v>
          </cell>
        </row>
        <row r="10">
          <cell r="A10" t="str">
            <v>KUWAIT(280hrs/month)</v>
          </cell>
          <cell r="B10" t="str">
            <v>10hrs/day, 28days/month</v>
          </cell>
          <cell r="C10">
            <v>208</v>
          </cell>
          <cell r="E10">
            <v>65</v>
          </cell>
          <cell r="F10">
            <v>30</v>
          </cell>
          <cell r="G10">
            <v>303</v>
          </cell>
          <cell r="H10" t="str">
            <v>Basic(26dx8h)+Overtime(26dx2hx1.25)+(2dx10hx1.5)</v>
          </cell>
        </row>
        <row r="11">
          <cell r="A11" t="str">
            <v>KUWAIT(336hrs/month)</v>
          </cell>
          <cell r="B11" t="str">
            <v>12hrs/day, 28days/month</v>
          </cell>
          <cell r="C11">
            <v>208</v>
          </cell>
          <cell r="E11">
            <v>130</v>
          </cell>
          <cell r="F11">
            <v>36</v>
          </cell>
          <cell r="G11">
            <v>374</v>
          </cell>
          <cell r="H11" t="str">
            <v>Basic(26dx8h)+Overtime(26dx4hx1.25)+(2dx12hx1.5)</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16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목표세부명세"/>
      <sheetName val="은행"/>
      <sheetName val="양식"/>
      <sheetName val="총괄"/>
      <sheetName val="가리봉pro"/>
      <sheetName val="복합pro"/>
      <sheetName val="연립pro"/>
      <sheetName val="부산1pro"/>
      <sheetName val="경상집계"/>
      <sheetName val="경상총괄"/>
      <sheetName val="수지총괄"/>
      <sheetName val="수지집계"/>
      <sheetName val="양도손익"/>
      <sheetName val="양도손익총괄"/>
      <sheetName val="양도수지집계"/>
      <sheetName val="양도수지총괄"/>
      <sheetName val="부산2pro"/>
      <sheetName val="석관pro"/>
      <sheetName val="수원pro"/>
      <sheetName val="은행pro"/>
      <sheetName val="잠원PRO"/>
      <sheetName val="홍은pro"/>
      <sheetName val="원주pro"/>
      <sheetName val="이천pro"/>
      <sheetName val="창현pro"/>
      <sheetName val="춘천pro"/>
      <sheetName val="오남2차pro"/>
      <sheetName val="창신PRO"/>
      <sheetName val="서곡PRO"/>
      <sheetName val="연성pro"/>
      <sheetName val="팔달pro"/>
      <sheetName val="병점PRO"/>
      <sheetName val="잠원"/>
      <sheetName val="가리봉동"/>
      <sheetName val="석관"/>
      <sheetName val="홍은"/>
      <sheetName val="이천"/>
      <sheetName val="부산"/>
      <sheetName val="부산2"/>
      <sheetName val="창현"/>
      <sheetName val="수원"/>
      <sheetName val="자금추정"/>
      <sheetName val="콘도손익"/>
      <sheetName val="장림"/>
      <sheetName val="장림전제"/>
      <sheetName val="Sheet2"/>
      <sheetName val="Sheet3"/>
      <sheetName val="공문"/>
      <sheetName val="VXXX"/>
      <sheetName val="VXXXXX"/>
      <sheetName val="II손익관리"/>
      <sheetName val="1.종합손익(도급)"/>
      <sheetName val="1.종합손익(주택,개발)"/>
      <sheetName val="2.실행예산"/>
      <sheetName val="2.2과부족"/>
      <sheetName val="2.3원가절감"/>
      <sheetName val="8.외주비집행현황"/>
      <sheetName val="9.자재비"/>
      <sheetName val="10.현장집행"/>
      <sheetName val="3.추가원가"/>
      <sheetName val="3.추가원가 (2)"/>
      <sheetName val="4.사전공사"/>
      <sheetName val="5.추정공사비"/>
      <sheetName val="6.금융비용"/>
      <sheetName val="7.공사비집행현황(총괄)"/>
      <sheetName val="11.1생산성"/>
      <sheetName val="인력대비(정직)"/>
      <sheetName val="11.2인원산출"/>
      <sheetName val="Sheet18"/>
      <sheetName val="Sheet19"/>
      <sheetName val="Sheet20"/>
      <sheetName val="Sheet21"/>
      <sheetName val="Sheet22"/>
      <sheetName val="Sheet23"/>
      <sheetName val="Sheet24"/>
      <sheetName val="Sheet25"/>
      <sheetName val="Sheet26"/>
      <sheetName val="Sheet27"/>
      <sheetName val="Sheet28"/>
      <sheetName val="Sheet29"/>
      <sheetName val="Sheet30"/>
      <sheetName val="Sheet31"/>
      <sheetName val="Sheet32"/>
      <sheetName val="Sheet33"/>
      <sheetName val="Sheet34"/>
      <sheetName val="Sheet35"/>
      <sheetName val="Sheet36"/>
      <sheetName val="Sheet37"/>
      <sheetName val="Sheet38"/>
      <sheetName val="Sheet39"/>
      <sheetName val="Sheet40"/>
      <sheetName val="입찰안"/>
      <sheetName val="노임이"/>
      <sheetName val="공통가설"/>
      <sheetName val="첨부1"/>
      <sheetName val="간접"/>
      <sheetName val="집계표"/>
      <sheetName val="손익분석"/>
      <sheetName val="수입"/>
      <sheetName val="관로내역원"/>
      <sheetName val="손익"/>
      <sheetName val="현금흐름"/>
      <sheetName val="SUMMARY"/>
      <sheetName val="PAINT"/>
      <sheetName val="CTEMCOST"/>
      <sheetName val="ELECTRIC"/>
      <sheetName val="자바라1"/>
      <sheetName val="A4288"/>
      <sheetName val="C-A(취합)파리"/>
      <sheetName val="SG"/>
      <sheetName val="COL"/>
      <sheetName val="수정시산표"/>
      <sheetName val="주택"/>
      <sheetName val="주택(백만원)"/>
      <sheetName val="설계내역서"/>
      <sheetName val="손익기01"/>
      <sheetName val="Sheet1"/>
      <sheetName val="동선(을)"/>
      <sheetName val="인사자료총집계"/>
      <sheetName val="내역"/>
      <sheetName val="신공항A-9(원가수정)"/>
      <sheetName val="공사개요"/>
      <sheetName val="금액내역서"/>
      <sheetName val="원가계산서"/>
      <sheetName val="KUNGDEVI"/>
      <sheetName val="전계가"/>
      <sheetName val="그래프"/>
      <sheetName val="GDP"/>
      <sheetName val="5Traffic1"/>
      <sheetName val="부문인원3"/>
      <sheetName val="실행내역"/>
      <sheetName val="예가표"/>
      <sheetName val="공통비총괄표"/>
      <sheetName val="현장관리비"/>
      <sheetName val="시멘트"/>
      <sheetName val="금융비용"/>
      <sheetName val="감독1130"/>
      <sheetName val="금융"/>
      <sheetName val="결재인"/>
      <sheetName val="01"/>
      <sheetName val="방배동내역(리라)"/>
      <sheetName val="TR제작사양"/>
      <sheetName val="#REF"/>
      <sheetName val="CC Down load 0716"/>
      <sheetName val="화물2팀"/>
      <sheetName val="변경실행(2차) "/>
      <sheetName val="bm(CIcable)"/>
      <sheetName val="외주수리비"/>
      <sheetName val="계류장사용료"/>
      <sheetName val="정비재료비"/>
      <sheetName val="지상조업료"/>
      <sheetName val="AT"/>
      <sheetName val="B777"/>
      <sheetName val="신공항"/>
      <sheetName val="JJ"/>
      <sheetName val="잡유비"/>
      <sheetName val="MA"/>
      <sheetName val="MC"/>
      <sheetName val="ME"/>
      <sheetName val="MF"/>
      <sheetName val="MI"/>
      <sheetName val="MT"/>
      <sheetName val="QA"/>
      <sheetName val="단가"/>
      <sheetName val="호프"/>
      <sheetName val="산근"/>
      <sheetName val="여흥"/>
      <sheetName val="APT"/>
      <sheetName val="b_balju (2)"/>
      <sheetName val="b_gunmul"/>
      <sheetName val="  한국 AMP ASP-23 판매가격  "/>
      <sheetName val="나.출고"/>
      <sheetName val="나.입고"/>
      <sheetName val="8월차잔"/>
      <sheetName val="유동성사채"/>
      <sheetName val="3계정별(고속)"/>
      <sheetName val="고속"/>
      <sheetName val="고속목표"/>
      <sheetName val="09년인건비(고속)"/>
      <sheetName val="3계정별(자동주유기)"/>
      <sheetName val="자동주유기"/>
      <sheetName val="자동주유목표"/>
      <sheetName val="고속합산"/>
      <sheetName val="고속합산목표"/>
      <sheetName val="3계정별(속리산)"/>
      <sheetName val="속리산"/>
      <sheetName val="속리산목표"/>
      <sheetName val="09년 인건비(속리산)"/>
      <sheetName val="고속속리산"/>
      <sheetName val="고속속리산목표"/>
      <sheetName val="직행"/>
      <sheetName val="직행목표"/>
      <sheetName val="합산"/>
      <sheetName val="합산목표"/>
      <sheetName val="속리산제외"/>
      <sheetName val="속리산제외목표"/>
      <sheetName val="09년월별예산(운송)"/>
      <sheetName val="합산목표(감가+57.5)"/>
      <sheetName val="SCHEDULE"/>
      <sheetName val="JUCKEYK"/>
      <sheetName val="공사비집계"/>
      <sheetName val="기성청구 공문"/>
      <sheetName val="IW-LIST"/>
      <sheetName val="6PILE  (돌출)"/>
      <sheetName val="DATA"/>
      <sheetName val="실적공사"/>
      <sheetName val="업무처리전"/>
      <sheetName val="노임단가"/>
      <sheetName val="유림골조"/>
      <sheetName val="감가상각"/>
      <sheetName val="Variables"/>
      <sheetName val="제조원가 원단위 분석"/>
      <sheetName val="종합표양식(품의 &amp; 입고)_2"/>
      <sheetName val="상각스케쥴(조정)"/>
      <sheetName val="982월원안"/>
      <sheetName val="요약"/>
      <sheetName val="총괄내역서"/>
      <sheetName val="원가관리 (동월대비)"/>
      <sheetName val="45,46"/>
      <sheetName val="Sheet13"/>
      <sheetName val="Sheet14"/>
      <sheetName val="단가표"/>
      <sheetName val="slipsumpR"/>
      <sheetName val="노무비"/>
      <sheetName val="내역서"/>
      <sheetName val="익월수주전망"/>
      <sheetName val="입찰내역서"/>
      <sheetName val="MIJIBI"/>
      <sheetName val="점수계산1-2"/>
      <sheetName val="SIL98"/>
      <sheetName val="일위대가"/>
      <sheetName val="woo(mac)"/>
      <sheetName val="개발비자산성검토"/>
      <sheetName val="2연암거"/>
      <sheetName val="경사수로집계표"/>
      <sheetName val="경사수로"/>
      <sheetName val="진입교량"/>
      <sheetName val="ABUT수량-A1"/>
      <sheetName val="갑지(추정)"/>
      <sheetName val="견적의뢰"/>
      <sheetName val="중기조종사 단위단가"/>
      <sheetName val="기계경비(시간당)"/>
      <sheetName val="램머"/>
      <sheetName val="화의-현금흐름"/>
      <sheetName val="장기대여금1"/>
      <sheetName val="일위대가표"/>
      <sheetName val="물량표"/>
      <sheetName val="Calen"/>
      <sheetName val="A-4"/>
      <sheetName val="CAUDIT"/>
      <sheetName val="추가예산"/>
      <sheetName val="물량표(신)"/>
      <sheetName val="대공종"/>
      <sheetName val="실행철강하도"/>
      <sheetName val="980731"/>
      <sheetName val="광곡세부내역"/>
      <sheetName val="S&amp;R"/>
      <sheetName val="시산표(매출조정전)"/>
      <sheetName val="93"/>
      <sheetName val="예정(3)"/>
      <sheetName val="동원(3)"/>
      <sheetName val="토목검측서"/>
      <sheetName val="2-2.매출분석"/>
      <sheetName val="RECIMAKE"/>
      <sheetName val="A-100전제"/>
      <sheetName val="몰드시스템 리스트"/>
      <sheetName val="정비손익"/>
      <sheetName val="200"/>
      <sheetName val="Proposal"/>
      <sheetName val="MIBK원단위"/>
      <sheetName val="7 (2)"/>
      <sheetName val="SM1-09"/>
      <sheetName val="SM2-09"/>
      <sheetName val="BD-09"/>
      <sheetName val="37개월"/>
      <sheetName val="미드수량"/>
      <sheetName val="참조"/>
      <sheetName val="DATE"/>
      <sheetName val="공통부대관리"/>
      <sheetName val="총내역서"/>
      <sheetName val="수주현황2월"/>
      <sheetName val="기본DATA"/>
      <sheetName val="재료"/>
      <sheetName val="주형"/>
      <sheetName val="sum1 (2)"/>
      <sheetName val="적격"/>
      <sheetName val="3.바닥판설계"/>
      <sheetName val="산출근거"/>
      <sheetName val="일위(토목)"/>
      <sheetName val="원가(통신)"/>
      <sheetName val="Total"/>
      <sheetName val="조명시설"/>
      <sheetName val="대비표"/>
      <sheetName val="표지"/>
      <sheetName val="설비원가"/>
      <sheetName val="집행내역"/>
      <sheetName val="품셈표"/>
      <sheetName val="cp-e1"/>
      <sheetName val="세부내역서"/>
      <sheetName val="XZLC004_PART2"/>
      <sheetName val="XZLC003_PART1"/>
      <sheetName val="역T형"/>
      <sheetName val="SO416"/>
      <sheetName val="가공MH"/>
      <sheetName val="08년(Form1)"/>
      <sheetName val="LinerWt"/>
      <sheetName val="D-623D"/>
      <sheetName val="BQMPALOC"/>
      <sheetName val="현장지지물물량"/>
      <sheetName val="손익현황"/>
      <sheetName val="현황CODE"/>
      <sheetName val="Borrower"/>
      <sheetName val="중요02월25일"/>
      <sheetName val="정산표"/>
      <sheetName val="월말명세0912"/>
      <sheetName val="11.외화채무증권(AFS,HTM)08"/>
      <sheetName val="Hedge09"/>
      <sheetName val="13.감액TEST_08"/>
      <sheetName val="해외채권"/>
      <sheetName val="BS09"/>
      <sheetName val="단가추이"/>
      <sheetName val="경유량추이"/>
      <sheetName val="단가산출"/>
      <sheetName val="Sheet1 (2)"/>
      <sheetName val="영동(D)"/>
      <sheetName val="골조시행"/>
      <sheetName val="12년 CF(9월)"/>
      <sheetName val="1_종합손익(도급)"/>
      <sheetName val="1_종합손익(주택,개발)"/>
      <sheetName val="2_실행예산"/>
      <sheetName val="2_2과부족"/>
      <sheetName val="2_3원가절감"/>
      <sheetName val="8_외주비집행현황"/>
      <sheetName val="9_자재비"/>
      <sheetName val="10_현장집행"/>
      <sheetName val="3_추가원가"/>
      <sheetName val="3_추가원가_(2)"/>
      <sheetName val="4_사전공사"/>
      <sheetName val="5_추정공사비"/>
      <sheetName val="6_금융비용"/>
      <sheetName val="7_공사비집행현황(총괄)"/>
      <sheetName val="11_1생산성"/>
      <sheetName val="11_2인원산출"/>
      <sheetName val="조경"/>
      <sheetName val="입찰보고"/>
      <sheetName val="지점장"/>
      <sheetName val="부서코드표"/>
      <sheetName val="RE9604"/>
      <sheetName val="평가제외"/>
      <sheetName val="97년추정손익계산서"/>
      <sheetName val="업무연락"/>
      <sheetName val="Ethylene"/>
      <sheetName val="월별매출"/>
      <sheetName val="ChlorAlkali"/>
      <sheetName val="VXXXXXXX"/>
      <sheetName val="13월별BS"/>
      <sheetName val="하수급견적대비"/>
      <sheetName val="참조시트"/>
      <sheetName val="ADR"/>
      <sheetName val="품셈TABLE"/>
      <sheetName val="슬래브"/>
      <sheetName val="원가계산하도"/>
      <sheetName val="2.총괄표"/>
      <sheetName val="월별수입"/>
      <sheetName val="차수"/>
      <sheetName val="담보"/>
      <sheetName val="1유리"/>
      <sheetName val="예적금"/>
      <sheetName val="월별손익"/>
      <sheetName val="매출"/>
      <sheetName val="비가동-20"/>
      <sheetName val="완제품3"/>
      <sheetName val="설계명세서"/>
      <sheetName val="전신환매도율"/>
      <sheetName val="경비"/>
      <sheetName val="주현(해보)"/>
      <sheetName val="주현(영광)"/>
      <sheetName val="_x0018__x0000_"/>
      <sheetName val=""/>
      <sheetName val="갑근세납세필증명원"/>
      <sheetName val="입출재고현황 (2)"/>
      <sheetName val="입찰내역 발주처 양식"/>
      <sheetName val="실행간접비용"/>
      <sheetName val="적용건축"/>
      <sheetName val="表21 净利润调节表"/>
      <sheetName val="건축내역"/>
      <sheetName val="단가(반정3교-원주)"/>
      <sheetName val="504전기실 동부하-L"/>
      <sheetName val="Sheet15"/>
      <sheetName val="Sheet9"/>
      <sheetName val="DUT-BAT1"/>
      <sheetName val="자금추ȕ"/>
      <sheetName val="찍기"/>
      <sheetName val="단가일람"/>
      <sheetName val="단위량당중기"/>
      <sheetName val="수량집계표(舊)"/>
      <sheetName val="자재단가"/>
      <sheetName val="BOX-1510"/>
      <sheetName val="인원계획-미화"/>
      <sheetName val="Prices"/>
      <sheetName val="A"/>
      <sheetName val="Training"/>
      <sheetName val="Facility Information"/>
      <sheetName val="General"/>
      <sheetName val="Instructions"/>
      <sheetName val="People"/>
      <sheetName val="Quality"/>
      <sheetName val="Risk"/>
      <sheetName val="주차"/>
      <sheetName val="부대공"/>
      <sheetName val="신공"/>
      <sheetName val="부하계산서"/>
      <sheetName val="재고현황"/>
      <sheetName val="CC_Down_load_0716"/>
      <sheetName val="변경실행(2차)_"/>
      <sheetName val="나_출고"/>
      <sheetName val="나_입고"/>
      <sheetName val="09년_인건비(속리산)"/>
      <sheetName val="합산목표(감가+57_5)"/>
      <sheetName val="기성청구_공문"/>
      <sheetName val="발행제기"/>
      <sheetName val="2.대외공문"/>
      <sheetName val="2.주요계수총괄"/>
      <sheetName val="현금"/>
      <sheetName val="연돌일위집계"/>
      <sheetName val="BEST"/>
      <sheetName val="통장출금액"/>
      <sheetName val="실적"/>
      <sheetName val="카메라"/>
      <sheetName val="경비2내역"/>
      <sheetName val="0001new"/>
      <sheetName val="P.M 별"/>
      <sheetName val="CC16-내역서"/>
      <sheetName val="감가상각비"/>
      <sheetName val="교각계산"/>
      <sheetName val="Y-WORK"/>
      <sheetName val="05년말(건재)"/>
      <sheetName val="물량표S"/>
      <sheetName val="INPUT"/>
      <sheetName val="국내총괄"/>
      <sheetName val="특판제외"/>
      <sheetName val="건축공사실행"/>
      <sheetName val="건축원가"/>
      <sheetName val="5사남"/>
      <sheetName val="020114"/>
      <sheetName val="0111월"/>
      <sheetName val="양식3"/>
      <sheetName val="요약PL"/>
      <sheetName val="FAB"/>
      <sheetName val="퇴충"/>
      <sheetName val="수지"/>
      <sheetName val="양식(직판용)"/>
      <sheetName val="TRE TABLE"/>
      <sheetName val="C3"/>
      <sheetName val="원가서"/>
      <sheetName val="Sheet4"/>
      <sheetName val="BAND(200)"/>
      <sheetName val="OUTER AREA(겹침없음)"/>
      <sheetName val="EG-09"/>
      <sheetName val="M3산출"/>
      <sheetName val="EL 표면적"/>
      <sheetName val="部署名"/>
      <sheetName val="車両別燃費及び油類単価"/>
      <sheetName val="시산표"/>
      <sheetName val="월별예산"/>
      <sheetName val="목록"/>
      <sheetName val="중기"/>
      <sheetName val="1_종합손익(도급)1"/>
      <sheetName val="推移グラフ"/>
      <sheetName val="YES-T"/>
      <sheetName val="공사내역"/>
      <sheetName val="소총괄표"/>
      <sheetName val="아파트연면적비율(참고1)"/>
      <sheetName val="Project Brief"/>
      <sheetName val="회사정보"/>
      <sheetName val="한강운반비"/>
      <sheetName val="동절기투입(자재)"/>
      <sheetName val="부속동"/>
      <sheetName val="조정내역"/>
      <sheetName val="Year"/>
      <sheetName val="CF6"/>
      <sheetName val="FRQ"/>
      <sheetName val="기준"/>
      <sheetName val="1_종합손익(도급)2"/>
      <sheetName val="1_종합손익(주택,개발)1"/>
      <sheetName val="2_실행예산1"/>
      <sheetName val="2_2과부족1"/>
      <sheetName val="2_3원가절감1"/>
      <sheetName val="8_외주비집행현황1"/>
      <sheetName val="9_자재비1"/>
      <sheetName val="10_현장집행1"/>
      <sheetName val="3_추가원가1"/>
      <sheetName val="3_추가원가_(2)1"/>
      <sheetName val="4_사전공사1"/>
      <sheetName val="5_추정공사비1"/>
      <sheetName val="6_금융비용1"/>
      <sheetName val="7_공사비집행현황(총괄)1"/>
      <sheetName val="11_1생산성1"/>
      <sheetName val="11_2인원산출1"/>
      <sheetName val="변경실행(2차)_1"/>
      <sheetName val="CC_Down_load_07161"/>
      <sheetName val="나_출고1"/>
      <sheetName val="나_입고1"/>
      <sheetName val="__한국_AMP_ASP-23_판매가격__"/>
      <sheetName val="09년_인건비(속리산)1"/>
      <sheetName val="합산목표(감가+57_5)1"/>
      <sheetName val="제조원가_원단위_분석"/>
      <sheetName val="종합표양식(품의_&amp;_입고)_2"/>
      <sheetName val="원가관리_(동월대비)"/>
      <sheetName val="b_balju_(2)"/>
      <sheetName val="2-2_매출분석"/>
      <sheetName val="몰드시스템_리스트"/>
      <sheetName val="11_외화채무증권(AFS,HTM)08"/>
      <sheetName val="13_감액TEST_08"/>
      <sheetName val="7_(2)"/>
      <sheetName val="12년_CF(9월)"/>
      <sheetName val="중기조종사_단위단가"/>
      <sheetName val="6PILE__(돌출)"/>
      <sheetName val="기성청구_공문1"/>
      <sheetName val="Sheet1_(2)"/>
      <sheetName val="2_대외공문"/>
      <sheetName val="表21_净利润调节表"/>
      <sheetName val="sum1_(2)"/>
      <sheetName val="3_바닥판설계"/>
      <sheetName val="504전기실_동부하-L"/>
      <sheetName val="2_총괄표"/>
      <sheetName val="OUTER_AREA(겹침없음)"/>
      <sheetName val="EL_표면적"/>
      <sheetName val="주행"/>
      <sheetName val="KAM설비"/>
      <sheetName val="변동인원"/>
      <sheetName val="1_종합손익(도급)3"/>
      <sheetName val="1_종합손익(주택,개발)2"/>
      <sheetName val="2_실행예산2"/>
      <sheetName val="2_2과부족2"/>
      <sheetName val="2_3원가절감2"/>
      <sheetName val="8_외주비집행현황2"/>
      <sheetName val="9_자재비2"/>
      <sheetName val="10_현장집행2"/>
      <sheetName val="3_추가원가2"/>
      <sheetName val="3_추가원가_(2)2"/>
      <sheetName val="4_사전공사2"/>
      <sheetName val="5_추정공사비2"/>
      <sheetName val="6_금융비용2"/>
      <sheetName val="7_공사비집행현황(총괄)2"/>
      <sheetName val="11_1생산성2"/>
      <sheetName val="11_2인원산출2"/>
      <sheetName val="변경실행(2차)_2"/>
      <sheetName val="CC_Down_load_07162"/>
      <sheetName val="나_출고2"/>
      <sheetName val="나_입고2"/>
      <sheetName val="09년_인건비(속리산)2"/>
      <sheetName val="합산목표(감가+57_5)2"/>
      <sheetName val="__한국_AMP_ASP-23_판매가격__1"/>
      <sheetName val="제조원가_원단위_분석1"/>
      <sheetName val="종합표양식(품의_&amp;_입고)_21"/>
      <sheetName val="원가관리_(동월대비)1"/>
      <sheetName val="b_balju_(2)1"/>
      <sheetName val="2-2_매출분석1"/>
      <sheetName val="몰드시스템_리스트1"/>
      <sheetName val="11_외화채무증권(AFS,HTM)081"/>
      <sheetName val="13_감액TEST_081"/>
      <sheetName val="7_(2)1"/>
      <sheetName val="12년_CF(9월)1"/>
      <sheetName val="중기조종사_단위단가1"/>
      <sheetName val="6PILE__(돌출)1"/>
      <sheetName val="기성청구_공문2"/>
      <sheetName val="Sheet1_(2)1"/>
      <sheetName val="2_대외공문1"/>
      <sheetName val="表21_净利润调节表1"/>
      <sheetName val="sum1_(2)1"/>
      <sheetName val="3_바닥판설계1"/>
      <sheetName val="504전기실_동부하-L1"/>
      <sheetName val="2_총괄표1"/>
      <sheetName val="OUTER_AREA(겹침없음)1"/>
      <sheetName val="EL_표면적1"/>
      <sheetName val="P_M_별"/>
      <sheetName val="대구경북"/>
      <sheetName val="월별손익현황"/>
      <sheetName val="서울서부"/>
      <sheetName val="부산경남"/>
      <sheetName val="서울동부"/>
      <sheetName val="인천경기"/>
      <sheetName val="중부본부"/>
      <sheetName val="호남본부"/>
      <sheetName val="15년"/>
      <sheetName val="16년"/>
      <sheetName val="설계명세서(선로)"/>
      <sheetName val="직재"/>
      <sheetName val="PAD TR보호대기초"/>
      <sheetName val="HANDHOLE(2)"/>
      <sheetName val="가로등기초"/>
      <sheetName val="GAEYO"/>
      <sheetName val="내역표지"/>
      <sheetName val="단면 (2)"/>
      <sheetName val="공통비(전체)"/>
      <sheetName val="토목공사"/>
      <sheetName val="새공통(96임금인상기준)"/>
      <sheetName val="비교1"/>
      <sheetName val="유림총괄"/>
      <sheetName val="구성비"/>
      <sheetName val="철골공사"/>
      <sheetName val="시화점실행"/>
      <sheetName val="자금운용계획표"/>
      <sheetName val="PIPE"/>
      <sheetName val="FLANGE"/>
      <sheetName val="VALVE"/>
      <sheetName val="근거 및 가정"/>
      <sheetName val="09~10년 매출계획"/>
      <sheetName val="2 카드채권(대출포함)"/>
      <sheetName val="Cover"/>
      <sheetName val="목차"/>
      <sheetName val="기본원칙"/>
      <sheetName val="예산전제"/>
      <sheetName val="전사 PL"/>
      <sheetName val="자금 제외 PL"/>
      <sheetName val="자금 PL"/>
      <sheetName val="전사 BS"/>
      <sheetName val="자금 제외 BS"/>
      <sheetName val="자금 BS"/>
      <sheetName val="BS 계정 설명"/>
      <sheetName val=" Cash Flow(전사)"/>
      <sheetName val=" Cash Flow(자금제외)"/>
      <sheetName val=" Cash Flow(자금)"/>
      <sheetName val="ROIC "/>
      <sheetName val="인력계획"/>
      <sheetName val="인건비 명세"/>
      <sheetName val="판관비 명세"/>
      <sheetName val="배부판관비내역"/>
      <sheetName val="OH Cost경비(내역)"/>
      <sheetName val="OH Cost경비(배부기준)"/>
      <sheetName val="기타수지&amp;특별손익 명세"/>
      <sheetName val="전사공통손익"/>
      <sheetName val="투자성경비"/>
      <sheetName val="자금계획(장단기차입금)"/>
      <sheetName val="자금계획(순지급이자)"/>
      <sheetName val="투자계획"/>
      <sheetName val="고정자산증감내역"/>
      <sheetName val="조직도"/>
      <sheetName val="原価センタ"/>
      <sheetName val="9710"/>
      <sheetName val="물량"/>
      <sheetName val="노임"/>
      <sheetName val="전사_PL"/>
      <sheetName val="자금_제외_PL"/>
      <sheetName val="자금_PL"/>
      <sheetName val="전사_BS"/>
      <sheetName val="자금_제외_BS"/>
      <sheetName val="자금_BS"/>
      <sheetName val="BS_계정_설명"/>
      <sheetName val="_Cash_Flow(전사)"/>
      <sheetName val="_Cash_Flow(자금제외)"/>
      <sheetName val="_Cash_Flow(자금)"/>
      <sheetName val="ROIC_"/>
      <sheetName val="인건비_명세"/>
      <sheetName val="판관비_명세"/>
      <sheetName val="OH_Cost경비(내역)"/>
      <sheetName val="OH_Cost경비(배부기준)"/>
      <sheetName val="기타수지&amp;특별손익_명세"/>
      <sheetName val="01_02월_성과급"/>
      <sheetName val="Process List"/>
      <sheetName val="설비등록목록"/>
      <sheetName val="생산직"/>
      <sheetName val="집계확인"/>
      <sheetName val="선수금"/>
      <sheetName val="Sheet11"/>
      <sheetName val="PVM#10"/>
      <sheetName val="재공품"/>
      <sheetName val="제시 손익계산서"/>
      <sheetName val="제시PL(최종)"/>
      <sheetName val="업무연락 (2)"/>
      <sheetName val="제시대차대조표"/>
      <sheetName val="M_7회차 담금_계획"/>
      <sheetName val="통합손익(TGIF)"/>
      <sheetName val="통합손익"/>
      <sheetName val="저속"/>
      <sheetName val="01.02월 성과급"/>
      <sheetName val="발생집계"/>
      <sheetName val="96PAYC"/>
      <sheetName val="뒤차축소"/>
      <sheetName val="??"/>
      <sheetName val="97 사업추정(WEKI)"/>
      <sheetName val="Sound9월"/>
      <sheetName val="_x005f_x0000__x005f_x0000_"/>
      <sheetName val="96월별PL"/>
      <sheetName val="팀별 실적"/>
      <sheetName val="팀별 실적 (환산)"/>
      <sheetName val="손익(11)_수출포함"/>
      <sheetName val="예산대실적"/>
      <sheetName val="품종별월계"/>
      <sheetName val="출입자명단"/>
      <sheetName val="989월실행"/>
      <sheetName val="환산TB"/>
      <sheetName val="6월 공정외주"/>
      <sheetName val="공정단가계약"/>
      <sheetName val="병"/>
      <sheetName val="64061000"/>
      <sheetName val="위탁매매_1103"/>
      <sheetName val="자기매매_1103"/>
      <sheetName val="위탁매매_1109"/>
      <sheetName val="자기매매_1109"/>
      <sheetName val="_x005f_x0018_"/>
      <sheetName val="1.차입금"/>
      <sheetName val="choose"/>
      <sheetName val="_x005f_x0018__x005f_x0000_"/>
      <sheetName val="Data Validation"/>
      <sheetName val="기초"/>
      <sheetName val="재무상태표"/>
      <sheetName val="본문"/>
      <sheetName val="전체철근집계"/>
      <sheetName val="MEMORY"/>
      <sheetName val="공사비증감"/>
      <sheetName val="내역(한신APT)"/>
      <sheetName val="1. 시공측량"/>
      <sheetName val="전도품의"/>
      <sheetName val="건축2"/>
      <sheetName val="118.세금과공과"/>
      <sheetName val="수선비"/>
      <sheetName val="钢板差异"/>
      <sheetName val="시험연구비상각"/>
      <sheetName val="외화"/>
      <sheetName val="Tong hop"/>
      <sheetName val="MarketData"/>
      <sheetName val="Definitions"/>
      <sheetName val="95.1.1이후취득자산(숨기기상태)"/>
      <sheetName val="RV미수수익보정"/>
      <sheetName val="불균등-거치외(미수)"/>
      <sheetName val="불균등-TOP(선수)"/>
      <sheetName val="법인구분"/>
      <sheetName val="기초코드"/>
      <sheetName val="1.MDF1공장"/>
      <sheetName val="제1호"/>
      <sheetName val="차액보증"/>
      <sheetName val="음료실행"/>
      <sheetName val="자재목록"/>
      <sheetName val="일위(PN)"/>
      <sheetName val="1.본사계정별"/>
      <sheetName val="FILE1"/>
      <sheetName val="FILE2"/>
      <sheetName val="6-5공구원본"/>
      <sheetName val="부대시행1"/>
      <sheetName val="부대시행1 (2)"/>
      <sheetName val="부대시행2"/>
      <sheetName val="부대토공"/>
      <sheetName val="부대철콘"/>
      <sheetName val="부대토공실"/>
      <sheetName val="부대철콘실"/>
      <sheetName val="Sheet5"/>
      <sheetName val="Sheet8"/>
      <sheetName val="95하U$가격"/>
      <sheetName val="3.6.2남양주택배"/>
      <sheetName val="ETC"/>
      <sheetName val="Back Data 1"/>
      <sheetName val="Manual"/>
      <sheetName val="__"/>
      <sheetName val="슬래԰"/>
      <sheetName val="슬래"/>
      <sheetName val="슬래렀"/>
      <sheetName val="슬래㰀"/>
      <sheetName val="총괄표"/>
      <sheetName val="정부노임단가"/>
      <sheetName val="슬래밀"/>
      <sheetName val="선급비용"/>
      <sheetName val="접대비"/>
      <sheetName val="해외 기술훈련비 (합계)"/>
      <sheetName val="최소가치(간편)-회계"/>
      <sheetName val="회사제시"/>
      <sheetName val="품목"/>
      <sheetName val="FB25JN"/>
      <sheetName val="22철거수량"/>
      <sheetName val="분전함신설"/>
      <sheetName val="접지1종"/>
      <sheetName val="설치원가"/>
      <sheetName val="터파기및재료"/>
      <sheetName val="3본사"/>
      <sheetName val="98지급계획"/>
      <sheetName val="125PIECE"/>
      <sheetName val="1월 예산"/>
      <sheetName val="슬래　"/>
      <sheetName val="슬래尀"/>
      <sheetName val="슬래⠀"/>
      <sheetName val="슬래"/>
      <sheetName val="슬래堌"/>
      <sheetName val="수종별수량 (2)"/>
      <sheetName val="구간별수량"/>
      <sheetName val="전선 및 전선관"/>
      <sheetName val="도"/>
      <sheetName val="의정부문예회관변경내역"/>
      <sheetName val="연습"/>
      <sheetName val="슬래䰀"/>
      <sheetName val="슬래簀"/>
      <sheetName val="슬래퀀"/>
      <sheetName val="슬래뀀"/>
      <sheetName val="슬래瀀"/>
      <sheetName val="슬래鰀"/>
      <sheetName val="BD%_70s"/>
      <sheetName val="11월"/>
      <sheetName val="특외대"/>
      <sheetName val=" 견적서"/>
      <sheetName val="노동부"/>
      <sheetName val="합천내역"/>
      <sheetName val="전기단가조사서"/>
      <sheetName val="상가지급현황"/>
      <sheetName val="0101시산표"/>
      <sheetName val="oct"/>
      <sheetName val="sep"/>
      <sheetName val="미지급금"/>
      <sheetName val="선급금"/>
      <sheetName val="aug"/>
      <sheetName val="단기차입금"/>
      <sheetName val="외화보통예금"/>
      <sheetName val="외회외상매입금"/>
      <sheetName val="외화외상매출금"/>
      <sheetName val="장기차입금"/>
      <sheetName val="기초정보"/>
      <sheetName val="#1) 투자 구분"/>
      <sheetName val="P-산#1-1(WOWA1)"/>
      <sheetName val="명단원자료(이전)"/>
      <sheetName val="1_종합손익(도급)4"/>
      <sheetName val="1_종합손익(주택,개발)3"/>
      <sheetName val="2_실행예산3"/>
      <sheetName val="2_2과부족3"/>
      <sheetName val="2_3원가절감3"/>
      <sheetName val="8_외주비집행현황3"/>
      <sheetName val="9_자재비3"/>
      <sheetName val="10_현장집행3"/>
      <sheetName val="3_추가원가3"/>
      <sheetName val="3_추가원가_(2)3"/>
      <sheetName val="4_사전공사3"/>
      <sheetName val="5_추정공사비3"/>
      <sheetName val="6_금융비용3"/>
      <sheetName val="7_공사비집행현황(총괄)3"/>
      <sheetName val="11_1생산성3"/>
      <sheetName val="11_2인원산출3"/>
      <sheetName val="CC_Down_load_07163"/>
      <sheetName val="변경실행(2차)_3"/>
      <sheetName val="나_출고3"/>
      <sheetName val="나_입고3"/>
      <sheetName val="09년_인건비(속리산)3"/>
      <sheetName val="합산목표(감가+57_5)3"/>
      <sheetName val="b_balju_(2)2"/>
      <sheetName val="__한국_AMP_ASP-23_판매가격__2"/>
      <sheetName val="중기조종사_단위단가2"/>
      <sheetName val="6PILE__(돌출)2"/>
      <sheetName val="기성청구_공문3"/>
      <sheetName val="2_주요계수총괄"/>
      <sheetName val="제조원가_원단위_분석2"/>
      <sheetName val="종합표양식(품의_&amp;_입고)_22"/>
      <sheetName val="원가관리_(동월대비)2"/>
      <sheetName val="7_(2)2"/>
      <sheetName val="2-2_매출분석2"/>
      <sheetName val="몰드시스템_리스트2"/>
      <sheetName val="sum1_(2)2"/>
      <sheetName val="11_외화채무증권(AFS,HTM)082"/>
      <sheetName val="13_감액TEST_082"/>
      <sheetName val="Sheet1_(2)2"/>
      <sheetName val="3_바닥판설계2"/>
      <sheetName val="2_총괄표2"/>
      <sheetName val="입찰내역_발주처_양식"/>
      <sheetName val="12년_CF(9월)2"/>
      <sheetName val="Project_Brief"/>
      <sheetName val="表21_净利润调节表2"/>
      <sheetName val="입출재고현황_(2)"/>
      <sheetName val="2_대외공문2"/>
      <sheetName val="TRE_TABLE"/>
      <sheetName val="504전기실_동부하-L2"/>
      <sheetName val="OUTER_AREA(겹침없음)2"/>
      <sheetName val="EL_표면적2"/>
      <sheetName val="P_M_별1"/>
      <sheetName val="단면_(2)"/>
      <sheetName val="1_본사계정별"/>
      <sheetName val="전사_PL1"/>
      <sheetName val="자금_제외_PL1"/>
      <sheetName val="자금_PL1"/>
      <sheetName val="전사_BS1"/>
      <sheetName val="자금_제외_BS1"/>
      <sheetName val="자금_BS1"/>
      <sheetName val="BS_계정_설명1"/>
      <sheetName val="_Cash_Flow(전사)1"/>
      <sheetName val="_Cash_Flow(자금제외)1"/>
      <sheetName val="_Cash_Flow(자금)1"/>
      <sheetName val="ROIC_1"/>
      <sheetName val="인건비_명세1"/>
      <sheetName val="판관비_명세1"/>
      <sheetName val="OH_Cost경비(내역)1"/>
      <sheetName val="OH_Cost경비(배부기준)1"/>
      <sheetName val="기타수지&amp;특별손익_명세1"/>
      <sheetName val="Process_List"/>
      <sheetName val="제시_손익계산서"/>
      <sheetName val="업무연락_(2)"/>
      <sheetName val="M_7회차_담금_계획"/>
      <sheetName val="01_02월_성과급1"/>
      <sheetName val="09~10년_매출계획"/>
      <sheetName val="97_사업추정(WEKI)"/>
      <sheetName val="팀별_실적"/>
      <sheetName val="팀별_실적_(환산)"/>
      <sheetName val="6월_공정외주"/>
      <sheetName val="Tong_hop"/>
      <sheetName val="95_1_1이후취득자산(숨기기상태)"/>
      <sheetName val="1_MDF1공장"/>
      <sheetName val="Facility_Information"/>
      <sheetName val="부하(성남)"/>
      <sheetName val="_x0018_?"/>
      <sheetName val="설산1.나"/>
      <sheetName val="본사S"/>
      <sheetName val="공사비예산서(토목분)"/>
      <sheetName val="Weekly Progress(계장)"/>
      <sheetName val="수량산출"/>
      <sheetName val="판가반영"/>
      <sheetName val="9GNG운반"/>
      <sheetName val="납부내역총괄표 (수정)"/>
      <sheetName val="배수공"/>
      <sheetName val="기둥(원형)"/>
      <sheetName val="화전내"/>
      <sheetName val="수량산출내역1115"/>
      <sheetName val="개산공사비"/>
      <sheetName val="감액총괄표"/>
      <sheetName val="일위대가(계측기설치)"/>
      <sheetName val="선평원내역"/>
      <sheetName val="Master"/>
      <sheetName val="Macro1"/>
      <sheetName val="설문 평가"/>
      <sheetName val="BID"/>
      <sheetName val="식재품셈"/>
      <sheetName val="Data_Validation"/>
      <sheetName val="품목코드표"/>
      <sheetName val="부서별집계표"/>
      <sheetName val="금년실적"/>
      <sheetName val="Utility Usage YTN TOWER"/>
      <sheetName val="B-1.기본정보"/>
      <sheetName val="RAW"/>
      <sheetName val="Bond"/>
      <sheetName val="원본"/>
      <sheetName val="要員用master"/>
      <sheetName val="TB"/>
      <sheetName val="PL"/>
      <sheetName val="CS"/>
      <sheetName val="공정"/>
      <sheetName val="예산계정INDEX"/>
      <sheetName val="환율change"/>
      <sheetName val="일반관리비"/>
      <sheetName val="보고서"/>
      <sheetName val="인수기간별S"/>
      <sheetName val="본부유지율"/>
      <sheetName val="4-2물건누계"/>
      <sheetName val="자동차추정자료"/>
      <sheetName val="손해감소유형"/>
      <sheetName val="7"/>
      <sheetName val="항목"/>
      <sheetName val="대투_보관자료 변경"/>
      <sheetName val="내수자재"/>
      <sheetName val="表21_净利润夐#奜#"/>
      <sheetName val="sheet6"/>
      <sheetName val="MAT"/>
      <sheetName val="원가1"/>
      <sheetName val="원가2"/>
      <sheetName val="약품공급2"/>
      <sheetName val="소야공정계획표"/>
      <sheetName val="기초견적가"/>
      <sheetName val="TANK"/>
      <sheetName val="조건표"/>
      <sheetName val="결과조달"/>
      <sheetName val="견적대비표"/>
      <sheetName val="포장복구집계"/>
      <sheetName val="간선계산"/>
      <sheetName val="AS복구"/>
      <sheetName val="2000년1차"/>
      <sheetName val="Code"/>
      <sheetName val="전기"/>
      <sheetName val="데이타"/>
      <sheetName val="ITEM"/>
      <sheetName val="일반공사"/>
      <sheetName val="터널조도"/>
      <sheetName val="중기터파기"/>
      <sheetName val="G.R300경비"/>
      <sheetName val="계수시트"/>
      <sheetName val="투찰"/>
      <sheetName val="AS포장복구 "/>
      <sheetName val="시설물일위"/>
      <sheetName val="가설공사"/>
      <sheetName val="수목데이타"/>
      <sheetName val="단가조사"/>
      <sheetName val="식재"/>
      <sheetName val="99노임기준"/>
      <sheetName val="변수값"/>
      <sheetName val="청천내"/>
      <sheetName val="요율"/>
      <sheetName val="2공구하도급내역서"/>
      <sheetName val="시설물"/>
      <sheetName val="연결임시"/>
      <sheetName val="구조물공"/>
      <sheetName val="부대tu"/>
      <sheetName val="9509"/>
      <sheetName val="투찰추정"/>
      <sheetName val="하부철근수량"/>
      <sheetName val="식재출력용"/>
      <sheetName val="가로등내역서"/>
      <sheetName val="저"/>
      <sheetName val="Baby일위대가"/>
      <sheetName val="실행대비"/>
      <sheetName val="지급자재"/>
      <sheetName val="노무비단가"/>
      <sheetName val="관리,공감"/>
      <sheetName val="식재인부"/>
      <sheetName val="입찰"/>
      <sheetName val="산출내역서"/>
      <sheetName val="4차원가계산서"/>
      <sheetName val="중기상차"/>
      <sheetName val="단가결정"/>
      <sheetName val="유지관리"/>
      <sheetName val="내역아"/>
      <sheetName val="여과지동"/>
      <sheetName val="울타리"/>
      <sheetName val="견적"/>
      <sheetName val="기초자료"/>
      <sheetName val="자재대"/>
      <sheetName val="조명율표"/>
      <sheetName val="원가"/>
      <sheetName val="공정코드"/>
      <sheetName val="토공"/>
      <sheetName val="총괄-1"/>
      <sheetName val="도급"/>
      <sheetName val="포장공"/>
      <sheetName val="설 계"/>
      <sheetName val="현경"/>
      <sheetName val="단가대비표"/>
      <sheetName val="배수내역"/>
      <sheetName val="U_TYPE_1_"/>
      <sheetName val="최적단면"/>
      <sheetName val="종단계산"/>
      <sheetName val="산출근거(S4)"/>
      <sheetName val="2013.2월 연결대상"/>
      <sheetName val="BS_Package_내부거래"/>
      <sheetName val="PL_Package_내부거래"/>
      <sheetName val="손익실적"/>
      <sheetName val="손익실적(매출원가)"/>
      <sheetName val="당년사별실적"/>
      <sheetName val="VXXXX"/>
      <sheetName val="탄산"/>
      <sheetName val="IS"/>
      <sheetName val="Rev. Recon 1"/>
      <sheetName val="1.고객불만건수"/>
      <sheetName val="1.변경범위"/>
      <sheetName val="CF表示組替表"/>
      <sheetName val="선택창"/>
      <sheetName val="외주현황.wq1"/>
      <sheetName val="RE"/>
      <sheetName val="FP"/>
      <sheetName val="FA-LISTING"/>
      <sheetName val="대투_보관자료_변경"/>
      <sheetName val="Back_Data_1"/>
      <sheetName val="※유형구분분류"/>
      <sheetName val="※类型区分分类"/>
      <sheetName val="첨부1(손익관리)"/>
      <sheetName val="카메라2"/>
      <sheetName val="카메라1"/>
      <sheetName val="첨부11(기계정지개선)"/>
      <sheetName val="카메라3"/>
      <sheetName val="카메라-생산실적"/>
      <sheetName val="카메라-생산실적분석"/>
      <sheetName val="고정자산-회사제시"/>
      <sheetName val="해외_기술훈련비_(합계)"/>
      <sheetName val="118_세금과공과"/>
      <sheetName val="수량산출서 갑지"/>
      <sheetName val="I一般比"/>
      <sheetName val="실행기성 갑지"/>
      <sheetName val="Eq. Mobilization"/>
      <sheetName val="TYPE-1"/>
      <sheetName val="기계경비"/>
      <sheetName val="설치자재"/>
      <sheetName val="KEY CODE"/>
      <sheetName val="2-1.강사료,교통비 지급명세"/>
      <sheetName val="予算実績管理現況"/>
      <sheetName val="추정pl"/>
      <sheetName val="13.포장용역비표준"/>
      <sheetName val="9.가공부자재표준"/>
      <sheetName val="8.ROLL표준(TSW)"/>
      <sheetName val="4.톤당조관량표준"/>
      <sheetName val="5.조관부자재표준"/>
      <sheetName val="97년"/>
      <sheetName val="????"/>
      <sheetName val="규"/>
      <sheetName val="규(3)"/>
      <sheetName val="소"/>
      <sheetName val="RE(2)"/>
      <sheetName val="4. Inj 투자상세내역"/>
      <sheetName val="3. Blow 투자 상세내역"/>
      <sheetName val="4__Inj_투자상세내역"/>
      <sheetName val="3__Blow_투자_상세내역"/>
      <sheetName val="Jul-Sep Actual cost (2)"/>
      <sheetName val="97실적"/>
      <sheetName val="을지"/>
      <sheetName val="npv"/>
      <sheetName val="13손익(실적)"/>
      <sheetName val="이름표시"/>
      <sheetName val="요일 테이블"/>
      <sheetName val="요일테이블"/>
      <sheetName val="요일_테이블"/>
      <sheetName val="요일 테이블 (2)"/>
      <sheetName val="TO Data Base"/>
      <sheetName val="YTD Summary"/>
      <sheetName val="Month Summary"/>
      <sheetName val="Trial Balance MAY 2009"/>
      <sheetName val="TB Pivot"/>
      <sheetName val="Freight"/>
      <sheetName val="Freight-loc"/>
      <sheetName val="Freight-Mat"/>
      <sheetName val="Rebates"/>
      <sheetName val="total per LB LB2"/>
      <sheetName val="Trial Balance Vlookup"/>
      <sheetName val="Trial Balance APRIL 2009"/>
      <sheetName val="目录"/>
      <sheetName val="Lists"/>
      <sheetName val="Step2_Correlation"/>
      <sheetName val="Step2_Histogram"/>
      <sheetName val="Roll Out_AQ"/>
      <sheetName val="DePara"/>
      <sheetName val="2004"/>
      <sheetName val="VPO"/>
      <sheetName val="Evolução mandamentos"/>
      <sheetName val="Prod"/>
      <sheetName val="Eficiencia"/>
      <sheetName val="Tabelas"/>
      <sheetName val="Planilha resultados"/>
      <sheetName val="Custos"/>
      <sheetName val="Historico 2003"/>
      <sheetName val="BH"/>
      <sheetName val="Ferias"/>
      <sheetName val="Sig Cycles_Accts &amp; Processes"/>
      <sheetName val="TO_Data_Base"/>
      <sheetName val="YTD_Summary"/>
      <sheetName val="Month_Summary"/>
      <sheetName val="Trial_Balance_MAY_2009"/>
      <sheetName val="TB_Pivot"/>
      <sheetName val="total_per_LB_LB2"/>
      <sheetName val="Trial_Balance_Vlookup"/>
      <sheetName val="Trial_Balance_APRIL_2009"/>
      <sheetName val="Roll_Out_AQ"/>
      <sheetName val="Evolução_mandamentos"/>
      <sheetName val="3 ISo YTD"/>
      <sheetName val="GuV"/>
      <sheetName val="E 法规NC"/>
      <sheetName val="KPI与VIC"/>
      <sheetName val="Données LMU"/>
      <sheetName val="Brazil Sovereign"/>
      <sheetName val="Gauge"/>
      <sheetName val="Resumen Costo"/>
      <sheetName val="Production_REP_CURR"/>
      <sheetName val="Dropdownlists"/>
      <sheetName val="Tabs"/>
      <sheetName val="padajuća_lista"/>
      <sheetName val="Controls_data"/>
      <sheetName val="Assiduidade"/>
      <sheetName val="Fixed ZBB"/>
      <sheetName val="TO_Data_Base1"/>
      <sheetName val="STARTSHEET"/>
      <sheetName val="Base_PEF2"/>
      <sheetName val="CADASTRO"/>
      <sheetName val="dados"/>
      <sheetName val="DIST"/>
      <sheetName val="MALHAD"/>
      <sheetName val="MUG"/>
      <sheetName val="packages"/>
      <sheetName val="Curve"/>
      <sheetName val="PUXADIA"/>
      <sheetName val="Controls_data2"/>
      <sheetName val="5.1"/>
      <sheetName val="Extract Loss"/>
      <sheetName val="QA 跟踪记录表"/>
      <sheetName val="RG Depots"/>
      <sheetName val="Overview"/>
      <sheetName val="material data"/>
      <sheetName val="other data"/>
      <sheetName val="Como Estamos"/>
      <sheetName val="Front"/>
      <sheetName val="#REF!"/>
      <sheetName val="Database (RUR)Mar YTD"/>
      <sheetName val="参数"/>
      <sheetName val="数据"/>
      <sheetName val="Mapping"/>
      <sheetName val="SKU Mapping"/>
      <sheetName val="参数表"/>
      <sheetName val="Drop Down"/>
      <sheetName val="相关字段"/>
      <sheetName val="产品层次"/>
      <sheetName val="Drops"/>
      <sheetName val="HuNan"/>
      <sheetName val="销售组织"/>
      <sheetName val="物料类型清单"/>
      <sheetName val="评估级别"/>
      <sheetName val="Volumen"/>
      <sheetName val="Parameters"/>
      <sheetName val="Cases"/>
      <sheetName val="Revenues"/>
      <sheetName val="Assumptions"/>
      <sheetName val="Raw Data"/>
      <sheetName val="10年KPI预算"/>
      <sheetName val="数据源"/>
      <sheetName val="EBM-2 GHQ"/>
      <sheetName val="Base PEF"/>
      <sheetName val="Canal"/>
      <sheetName val="Ajustes"/>
      <sheetName val="Placas"/>
      <sheetName val="TO_Data_Base3"/>
      <sheetName val="YTD_Summary3"/>
      <sheetName val="Month_Summary3"/>
      <sheetName val="Trial_Balance_MAY_20093"/>
      <sheetName val="TB_Pivot3"/>
      <sheetName val="total_per_LB_LB23"/>
      <sheetName val="Trial_Balance_Vlookup3"/>
      <sheetName val="Trial_Balance_APRIL_20093"/>
      <sheetName val="Evolução_mandamentos3"/>
      <sheetName val="Roll_Out_AQ3"/>
      <sheetName val="Planilha_resultados2"/>
      <sheetName val="Historico_20032"/>
      <sheetName val="Sig_Cycles_Accts_&amp;_Processes2"/>
      <sheetName val="YTD_Summary1"/>
      <sheetName val="Month_Summary1"/>
      <sheetName val="Trial_Balance_MAY_20091"/>
      <sheetName val="TB_Pivot1"/>
      <sheetName val="total_per_LB_LB21"/>
      <sheetName val="Trial_Balance_Vlookup1"/>
      <sheetName val="Trial_Balance_APRIL_20091"/>
      <sheetName val="Evolução_mandamentos1"/>
      <sheetName val="Roll_Out_AQ1"/>
      <sheetName val="Planilha_resultados"/>
      <sheetName val="Historico_2003"/>
      <sheetName val="Sig_Cycles_Accts_&amp;_Processes"/>
      <sheetName val="Feriados"/>
      <sheetName val="Crit"/>
      <sheetName val="Unidades_SAC-REVENDA1"/>
      <sheetName val="Engine"/>
      <sheetName val="REALxMETA_-_CERVEJA"/>
      <sheetName val="menu"/>
      <sheetName val="Principal"/>
      <sheetName val="PM"/>
      <sheetName val="Empresas"/>
      <sheetName val="REALxMETA_-_CERVEJA1"/>
      <sheetName val="Validate"/>
      <sheetName val="Premissas"/>
      <sheetName val="CDI"/>
      <sheetName val="Setup"/>
      <sheetName val="M-Quest"/>
      <sheetName val="Dev_SAC_"/>
      <sheetName val="Fab2"/>
      <sheetName val="MêsBase"/>
      <sheetName val="PREVISÃO"/>
      <sheetName val="12_1"/>
      <sheetName val="CVsku"/>
      <sheetName val="Financials"/>
      <sheetName val="Plan3"/>
      <sheetName val="Anual"/>
      <sheetName val="fabricas"/>
      <sheetName val="Plan1"/>
      <sheetName val="FRA"/>
      <sheetName val="COUPOM"/>
      <sheetName val="Brainstorming1"/>
      <sheetName val="aux"/>
      <sheetName val="Set_Up1"/>
      <sheetName val="BD"/>
      <sheetName val="Listas"/>
      <sheetName val="Meta"/>
      <sheetName val="Months_and_Countries"/>
      <sheetName val="Resumo"/>
      <sheetName val="Entrada_de_Dados1"/>
      <sheetName val="Projects_list"/>
      <sheetName val="Dev_Mercado"/>
      <sheetName val="Nossa_Meta"/>
      <sheetName val="Participantes"/>
      <sheetName val="EI_Calc1"/>
      <sheetName val="Controle"/>
      <sheetName val="9"/>
      <sheetName val="qyrMetas_Real"/>
      <sheetName val="REALxMETA_-_REFRI1"/>
      <sheetName val="Sispec99"/>
      <sheetName val="SispecPSAP"/>
      <sheetName val="Tab_Aux1"/>
      <sheetName val="Custo_Variável"/>
      <sheetName val="Bloomberg"/>
      <sheetName val="Dados_do_Packaging"/>
      <sheetName val="Tendência"/>
      <sheetName val="Perda_Lata"/>
      <sheetName val="Unidades_SAC-REVENDA"/>
      <sheetName val="JUNIO"/>
      <sheetName val="TO_Data_Base2"/>
      <sheetName val="YTD_Summary2"/>
      <sheetName val="Month_Summary2"/>
      <sheetName val="Trial_Balance_MAY_20092"/>
      <sheetName val="TB_Pivot2"/>
      <sheetName val="total_per_LB_LB22"/>
      <sheetName val="Trial_Balance_Vlookup2"/>
      <sheetName val="Trial_Balance_APRIL_20092"/>
      <sheetName val="Evolução_mandamentos2"/>
      <sheetName val="Roll_Out_AQ2"/>
      <sheetName val="Planilha_resultados1"/>
      <sheetName val="Historico_20031"/>
      <sheetName val="Sig_Cycles_Accts_&amp;_Processes1"/>
      <sheetName val="TO_Data_Base4"/>
      <sheetName val="YTD_Summary4"/>
      <sheetName val="Month_Summary4"/>
      <sheetName val="Trial_Balance_MAY_20094"/>
      <sheetName val="TB_Pivot4"/>
      <sheetName val="total_per_LB_LB24"/>
      <sheetName val="Trial_Balance_Vlookup4"/>
      <sheetName val="Trial_Balance_APRIL_20094"/>
      <sheetName val="Evolução_mandamentos4"/>
      <sheetName val="Roll_Out_AQ4"/>
      <sheetName val="Planilha_resultados3"/>
      <sheetName val="Historico_20033"/>
      <sheetName val="Sig_Cycles_Accts_&amp;_Processes3"/>
      <sheetName val="TO_Data_Base5"/>
      <sheetName val="YTD_Summary5"/>
      <sheetName val="Month_Summary5"/>
      <sheetName val="Trial_Balance_MAY_20095"/>
      <sheetName val="TB_Pivot5"/>
      <sheetName val="total_per_LB_LB25"/>
      <sheetName val="Trial_Balance_Vlookup5"/>
      <sheetName val="Trial_Balance_APRIL_20095"/>
      <sheetName val="Evolução_mandamentos5"/>
      <sheetName val="Roll_Out_AQ5"/>
      <sheetName val="Planilha_resultados4"/>
      <sheetName val="Historico_20034"/>
      <sheetName val="Sig_Cycles_Accts_&amp;_Processes4"/>
      <sheetName val="POA"/>
      <sheetName val="Parâmetros"/>
      <sheetName val="Base de Dados"/>
      <sheetName val="Margem_OE"/>
      <sheetName val="Testing Template Guidance"/>
      <sheetName val="Test Programs"/>
      <sheetName val="List"/>
      <sheetName val="VIC"/>
      <sheetName val="VLC"/>
      <sheetName val="BaseDados"/>
      <sheetName val="TO_Data_Base6"/>
      <sheetName val="YTD_Summary6"/>
      <sheetName val="Month_Summary6"/>
      <sheetName val="Trial_Balance_MAY_20096"/>
      <sheetName val="TB_Pivot6"/>
      <sheetName val="total_per_LB_LB26"/>
      <sheetName val="Trial_Balance_Vlookup6"/>
      <sheetName val="Trial_Balance_APRIL_20096"/>
      <sheetName val="Evolução_mandamentos6"/>
      <sheetName val="Roll_Out_AQ6"/>
      <sheetName val="Planilha_resultados5"/>
      <sheetName val="Historico_20035"/>
      <sheetName val="Sig_Cycles_Accts_&amp;_Processes5"/>
      <sheetName val="Back-up"/>
      <sheetName val="MOL"/>
      <sheetName val="Dados BLP"/>
      <sheetName val="Controls data"/>
      <sheetName val="核心经销商销量"/>
      <sheetName val="ValidDataDrops"/>
      <sheetName val="BLP"/>
      <sheetName val="FJJX Bud_IB"/>
      <sheetName val="DATOS"/>
      <sheetName val="look-up data"/>
      <sheetName val="Tabela1"/>
      <sheetName val="[손익기01.XL_x0000__x0000_DePara"/>
      <sheetName val="JOB PROFILE - LAS"/>
      <sheetName val="ARdistr (2)"/>
      <sheetName val="MonthlyChart_Budget"/>
      <sheetName val="Forecast_Chart"/>
      <sheetName val="Forecast_Chart_2"/>
      <sheetName val="Monthly_Forecast"/>
      <sheetName val="MonthlyChart_Simple"/>
      <sheetName val="MonthlyChart_Sloped"/>
      <sheetName val="lookup"/>
      <sheetName val="基本信息"/>
      <sheetName val="SKU_Profile"/>
      <sheetName val="Prd.Hierarchy(产品层级)"/>
      <sheetName val="600ML"/>
      <sheetName val="producto"/>
      <sheetName val="Com (2PK)"/>
      <sheetName val="ctmg"/>
      <sheetName val="Asset"/>
      <sheetName val="MODELO"/>
      <sheetName val="ANS-Ap_Result_2003"/>
      <sheetName val="SupplyChainData"/>
      <sheetName val="Reasons"/>
      <sheetName val="Fun_Bl_Prod"/>
      <sheetName val="Calculos"/>
      <sheetName val="backlog"/>
      <sheetName val="Prd.Hierarchy(产品层次)"/>
      <sheetName val="Project Code"/>
      <sheetName val="Base_PEF"/>
      <sheetName val="Нарушения"/>
      <sheetName val="15년 BL 사계"/>
      <sheetName val="_손익기01.XL"/>
      <sheetName val="TargIS"/>
      <sheetName val="drop down list"/>
      <sheetName val="источник"/>
      <sheetName val="Fixed_ZBB"/>
      <sheetName val="E_法规NC"/>
      <sheetName val="3_ISo_YTD"/>
      <sheetName val="Données_LMU"/>
      <sheetName val="Brazil_Sovereign"/>
      <sheetName val="Base_de_Dados"/>
      <sheetName val="Resumen_Costo"/>
      <sheetName val="Extract_Loss"/>
      <sheetName val="TO_Data_Base7"/>
      <sheetName val="Groupings"/>
      <sheetName val="cat&amp;ee"/>
      <sheetName val="SKU"/>
      <sheetName val="[손익기01.XL_x005f_x0000__x005f_x0000_DePara"/>
      <sheetName val="ES部行动跟踪记录"/>
      <sheetName val="TO_Data_Base8"/>
      <sheetName val="YTD_Summary7"/>
      <sheetName val="Month_Summary7"/>
      <sheetName val="Trial_Balance_MAY_20097"/>
      <sheetName val="TB_Pivot7"/>
      <sheetName val="total_per_LB_LB27"/>
      <sheetName val="Trial_Balance_Vlookup7"/>
      <sheetName val="Trial_Balance_APRIL_20097"/>
      <sheetName val="Roll_Out_AQ7"/>
      <sheetName val="Evolução_mandamentos7"/>
      <sheetName val="Planilha_resultados6"/>
      <sheetName val="Historico_20036"/>
      <sheetName val="[손익기01.XL"/>
      <sheetName val="Sig_Cycles_Accts_&amp;_Processes6"/>
      <sheetName val="Como_Estamos"/>
      <sheetName val="ARdistr_(2)"/>
      <sheetName val="QA_跟踪记录表"/>
      <sheetName val="5_1"/>
      <sheetName val="Controls_data1"/>
      <sheetName val="RG_Depots"/>
      <sheetName val="material_data"/>
      <sheetName val="other_data"/>
      <sheetName val="Database_(RUR)Mar_YTD"/>
      <sheetName val="SKU_Mapping"/>
      <sheetName val="Drop_Down"/>
      <sheetName val="Raw_Data"/>
      <sheetName val="EBM-2_GHQ"/>
      <sheetName val="Testing_Template_Guidance"/>
      <sheetName val="Test_Programs"/>
      <sheetName val="Dados_BLP"/>
      <sheetName val="[손익기01_XLDePara"/>
      <sheetName val="Execution"/>
      <sheetName val="Tablas"/>
      <sheetName val="Income Stmt"/>
      <sheetName val="JOB_PROFILE_-_LAS"/>
      <sheetName val="Quarterly LBO Model"/>
      <sheetName val="_손익기01.XL_x005f_x0000__x005f_x0000_DePara"/>
      <sheetName val="전사_PL2"/>
      <sheetName val="자금_제외_PL2"/>
      <sheetName val="자금_PL2"/>
      <sheetName val="전사_BS2"/>
      <sheetName val="자금_제외_BS2"/>
      <sheetName val="자금_BS2"/>
      <sheetName val="BS_계정_설명2"/>
      <sheetName val="_Cash_Flow(전사)2"/>
      <sheetName val="_Cash_Flow(자금제외)2"/>
      <sheetName val="_Cash_Flow(자금)2"/>
      <sheetName val="ROIC_2"/>
      <sheetName val="인건비_명세2"/>
      <sheetName val="판관비_명세2"/>
      <sheetName val="OH_Cost경비(내역)2"/>
      <sheetName val="OH_Cost경비(배부기준)2"/>
      <sheetName val="기타수지&amp;특별손익_명세2"/>
      <sheetName val="업무연락_(2)1"/>
      <sheetName val="제시_손익계산서1"/>
      <sheetName val="01_02월_성과급2"/>
      <sheetName val="M_7회차_담금_계획1"/>
      <sheetName val="팀별_실적1"/>
      <sheetName val="팀별_실적_(환산)1"/>
      <sheetName val="4__Inj_투자상세내역1"/>
      <sheetName val="3__Blow_투자_상세내역1"/>
      <sheetName val="Process_List1"/>
      <sheetName val="요일_테이블1"/>
      <sheetName val="요일_테이블_(2)"/>
      <sheetName val="TO_Data_Base9"/>
      <sheetName val="YTD_Summary8"/>
      <sheetName val="Month_Summary8"/>
      <sheetName val="Trial_Balance_MAY_20098"/>
      <sheetName val="TB_Pivot8"/>
      <sheetName val="total_per_LB_LB28"/>
      <sheetName val="Trial_Balance_Vlookup8"/>
      <sheetName val="Trial_Balance_APRIL_20098"/>
      <sheetName val="Roll_Out_AQ8"/>
      <sheetName val="Evolução_mandamentos8"/>
      <sheetName val="Planilha_resultados7"/>
      <sheetName val="Historico_20037"/>
      <sheetName val="Sig_Cycles_Accts_&amp;_Processes7"/>
      <sheetName val="3_ISo_YTD1"/>
      <sheetName val="E_法规NC1"/>
      <sheetName val="Données_LMU1"/>
      <sheetName val="Brazil_Sovereign1"/>
      <sheetName val="Resumen_Costo1"/>
      <sheetName val="Fixed_ZBB1"/>
      <sheetName val="5_11"/>
      <sheetName val="Extract_Loss1"/>
      <sheetName val="QA_跟踪记录表1"/>
      <sheetName val="RG_Depots1"/>
      <sheetName val="material_data1"/>
      <sheetName val="other_data1"/>
      <sheetName val="Como_Estamos1"/>
      <sheetName val="Database_(RUR)Mar_YTD1"/>
      <sheetName val="SKU_Mapping1"/>
      <sheetName val="Drop_Down1"/>
      <sheetName val="Raw_Data1"/>
      <sheetName val="EBM-2_GHQ1"/>
      <sheetName val="Base_PEF1"/>
      <sheetName val="Base_de_Dados1"/>
      <sheetName val="Testing_Template_Guidance1"/>
      <sheetName val="Test_Programs1"/>
      <sheetName val="Dados_BLP1"/>
      <sheetName val="Controls_data3"/>
      <sheetName val="FJJX_Bud_IB"/>
      <sheetName val="look-up_data"/>
      <sheetName val="JOB_PROFILE_-_LAS1"/>
      <sheetName val="ARdistr_(2)1"/>
      <sheetName val="Prd_Hierarchy(产品层级)"/>
      <sheetName val="15년_BL_사계"/>
      <sheetName val="Com_(2PK)"/>
      <sheetName val="Prd_Hierarchy(产品层次)"/>
      <sheetName val="Project_Code"/>
      <sheetName val="_손익기01_XL"/>
      <sheetName val="drop_down_list"/>
      <sheetName val="[손익기01_XL_x005f_x0000__x005f_x0000_DePara"/>
      <sheetName val="Income_Stmt"/>
      <sheetName val="Quarterly_LBO_Model"/>
      <sheetName val="_손익기01_XL_x005f_x0000__x005f_x0000_DePara"/>
      <sheetName val="[손익기01_XL"/>
      <sheetName val="986월원안"/>
      <sheetName val="오승"/>
      <sheetName val="팀별"/>
      <sheetName val="Action-Log"/>
      <sheetName val="Classification 分类"/>
      <sheetName val="Figures Report"/>
      <sheetName val="Set Up"/>
      <sheetName val="CONFIG"/>
      <sheetName val="Fare prices"/>
      <sheetName val="Hotel prices"/>
      <sheetName val="Intro"/>
      <sheetName val="DropDowns"/>
      <sheetName val="CPT倒罐记录"/>
      <sheetName val="extent"/>
      <sheetName val="Tab"/>
      <sheetName val="Arm_PNP"/>
      <sheetName val="cl"/>
      <sheetName val="XLRpt_TempSheet"/>
      <sheetName val="Suporte_2"/>
      <sheetName val="tab STATUS DO PROCESSO "/>
      <sheetName val="Results"/>
      <sheetName val="Perf. Plan. Diário1"/>
      <sheetName val="In (2)"/>
      <sheetName val="slide 24 cat A"/>
      <sheetName val="slide 82 cat b"/>
      <sheetName val="Prog"/>
      <sheetName val="PLANNER6"/>
      <sheetName val="Hoja2"/>
      <sheetName val="Hoja3"/>
      <sheetName val="범주"/>
      <sheetName val="Incident 유형구분표"/>
      <sheetName val="Macro"/>
      <sheetName val="광주"/>
      <sheetName val="TNC(1안)"/>
      <sheetName val="CLASIFICACION DE AI"/>
      <sheetName val="Base da Datos"/>
      <sheetName val="Apoio"/>
      <sheetName val="SAM"/>
      <sheetName val="DAG"/>
      <sheetName val="Dados dos Produtos"/>
      <sheetName val="Maestro"/>
      <sheetName val="DD list"/>
      <sheetName val="3YP2016-Bottom up"/>
      <sheetName val="부서별12월추계액"/>
      <sheetName val="One_Pager"/>
      <sheetName val="DE-PARA"/>
      <sheetName val="FornecD"/>
      <sheetName val="FornecDAjustado"/>
      <sheetName val="Detalle"/>
      <sheetName val="auxiliar"/>
      <sheetName val="MASTER APP"/>
      <sheetName val="Hoja1"/>
      <sheetName val="Cond. Inseguros"/>
      <sheetName val="Comp. Inseguros"/>
      <sheetName val="Lista de datos"/>
      <sheetName val="Base de Datos"/>
      <sheetName val="Motivos"/>
      <sheetName val="Parametros"/>
      <sheetName val="Actionlog"/>
      <sheetName val="_손익기01.XL_x0000__x0000_DePara"/>
      <sheetName val="_손익기01_XLDePara"/>
      <sheetName val="link"/>
      <sheetName val="Vol-Rev"/>
      <sheetName val="来源"/>
      <sheetName val=" DD List"/>
      <sheetName val="Formula"/>
      <sheetName val="各支柱模块清单"/>
      <sheetName val="Share Price 2002"/>
      <sheetName val="隐患分析"/>
      <sheetName val="安全隐患"/>
      <sheetName val="班组分析"/>
      <sheetName val="源"/>
      <sheetName val="Clasif."/>
      <sheetName val="Lista CI"/>
      <sheetName val="Resumen"/>
      <sheetName val="BBDD"/>
      <sheetName val="Farol Acciones"/>
      <sheetName val="Lista de Entrenamientos"/>
      <sheetName val="Package-SubPackage"/>
      <sheetName val="Supply Cost Centers"/>
      <sheetName val="Basetables"/>
      <sheetName val="BEP 加薪 KPI"/>
      <sheetName val="유형(분류표)"/>
      <sheetName val="PREMISAS"/>
      <sheetName val="ACTION"/>
      <sheetName val="LE"/>
      <sheetName val="表3筛选项"/>
      <sheetName val="진천"/>
      <sheetName val="중연"/>
      <sheetName val="용연"/>
      <sheetName val="울산"/>
      <sheetName val="대구"/>
      <sheetName val="구미"/>
      <sheetName val="언양"/>
      <sheetName val="대차대조표"/>
      <sheetName val="입력자료"/>
      <sheetName val="gr_val"/>
      <sheetName val="gr_sum"/>
      <sheetName val="설계조건"/>
      <sheetName val="수목단가"/>
      <sheetName val="시설수량표"/>
      <sheetName val="식재수량표"/>
      <sheetName val="준검 내역서"/>
      <sheetName val="98수문일위"/>
      <sheetName val="대전-교대(A1-A2)"/>
      <sheetName val="C1.3.1"/>
      <sheetName val="부대공Ⅱ"/>
      <sheetName val="입찰내역 Ĉ_x0000__x0000_ᇆ"/>
      <sheetName val="입찰내역 Ĉ_x0000__x0000_ᇆ"/>
      <sheetName val="정보화기기매출"/>
      <sheetName val="Bonuses"/>
      <sheetName val="HQ 급여 "/>
      <sheetName val="OF 급여"/>
      <sheetName val="F.Ma급여"/>
      <sheetName val="SMT 급여"/>
      <sheetName val="QC 급여"/>
      <sheetName val="Sam sung 급여"/>
      <sheetName val="Dlock 급여"/>
      <sheetName val=" thôi việc 급여"/>
      <sheetName val="Công smt"/>
      <sheetName val="Công smt (2)"/>
      <sheetName val="Detail smt"/>
      <sheetName val="Công QC"/>
      <sheetName val="Detail QC "/>
      <sheetName val="Công SS"/>
      <sheetName val="Detail SS"/>
      <sheetName val="Công FMa"/>
      <sheetName val="Detail FMa"/>
      <sheetName val="Công OF"/>
      <sheetName val="Detail OF"/>
      <sheetName val="Công Dlock"/>
      <sheetName val="Detail Dlock"/>
      <sheetName val="Công thôi việc"/>
      <sheetName val="Detail thôi"/>
      <sheetName val="EPOXY"/>
      <sheetName val="compare2"/>
      <sheetName val="Krw"/>
      <sheetName val="BS"/>
      <sheetName val="2-2.투자"/>
      <sheetName val="기본연봉"/>
      <sheetName val="사원"/>
      <sheetName val="9-1차이내역"/>
      <sheetName val="Proj. Fin."/>
      <sheetName val="ITS Assumptions"/>
      <sheetName val="Proj__Fin_"/>
      <sheetName val="2-2_투자"/>
      <sheetName val="Master Data"/>
      <sheetName val="2007전체투자세액공제_2008년처분"/>
      <sheetName val="득점현황"/>
      <sheetName val="#5"/>
      <sheetName val="#3"/>
      <sheetName val="Appendix(권장,단체)"/>
      <sheetName val="환율표"/>
      <sheetName val="세액계산"/>
      <sheetName val="현용"/>
      <sheetName val="현장"/>
      <sheetName val="MH_생산"/>
      <sheetName val="구분List"/>
      <sheetName val="기본"/>
      <sheetName val="10월_vs_12월_채권잔액"/>
      <sheetName val="表21_净利润墨-닑⿕"/>
      <sheetName val="TO"/>
      <sheetName val="C2121"/>
      <sheetName val="C2123"/>
      <sheetName val="C2124"/>
      <sheetName val="C2125"/>
      <sheetName val="C2127"/>
      <sheetName val="C2122"/>
      <sheetName val="7.Utility Analysis"/>
      <sheetName val="Operational Activities"/>
      <sheetName val="상품입력"/>
      <sheetName val="월별자료"/>
      <sheetName val="Index"/>
      <sheetName val="제-노임"/>
      <sheetName val="N賃率-職"/>
      <sheetName val="조도계산서 (도서)"/>
      <sheetName val="터널전기"/>
      <sheetName val="토목주소"/>
      <sheetName val="프랜트면허"/>
      <sheetName val="공사비_NDE"/>
      <sheetName val="도급예산내역서봉투"/>
      <sheetName val="공사원가계산서"/>
      <sheetName val="설계산출표지"/>
      <sheetName val="도급예산내역서총괄표"/>
      <sheetName val="을부담운반비"/>
      <sheetName val="운반비산출"/>
      <sheetName val="현장경비"/>
      <sheetName val="세금자료"/>
      <sheetName val="기계"/>
      <sheetName val="정화조"/>
      <sheetName val="토목"/>
      <sheetName val="을-ATYPE"/>
      <sheetName val="배열수식"/>
      <sheetName val="날개수량1.5"/>
      <sheetName val="1"/>
      <sheetName val="EP0618"/>
      <sheetName val="CAT_5"/>
      <sheetName val="1_종합손익(도급)5"/>
      <sheetName val="1_종합손익(주택,개발)4"/>
      <sheetName val="2_실행예산4"/>
      <sheetName val="2_2과부족4"/>
      <sheetName val="2_3원가절감4"/>
      <sheetName val="8_외주비집행현황4"/>
      <sheetName val="9_자재비4"/>
      <sheetName val="10_현장집행4"/>
      <sheetName val="3_추가원가4"/>
      <sheetName val="3_추가원가_(2)4"/>
      <sheetName val="4_사전공사4"/>
      <sheetName val="5_추정공사비4"/>
      <sheetName val="6_금융비용4"/>
      <sheetName val="7_공사비집행현황(총괄)4"/>
      <sheetName val="11_1생산성4"/>
      <sheetName val="11_2인원산출4"/>
      <sheetName val="변경실행(2차)_4"/>
      <sheetName val="CC_Down_load_07164"/>
      <sheetName val="나_출고4"/>
      <sheetName val="나_입고4"/>
      <sheetName val="09년_인건비(속리산)4"/>
      <sheetName val="합산목표(감가+57_5)4"/>
      <sheetName val="__한국_AMP_ASP-23_판매가격__3"/>
      <sheetName val="제조원가_원단위_분석3"/>
      <sheetName val="종합표양식(품의_&amp;_입고)_23"/>
      <sheetName val="원가관리_(동월대비)3"/>
      <sheetName val="b_balju_(2)3"/>
      <sheetName val="2-2_매출분석3"/>
      <sheetName val="몰드시스템_리스트3"/>
      <sheetName val="7_(2)3"/>
      <sheetName val="11_외화채무증권(AFS,HTM)083"/>
      <sheetName val="13_감액TEST_083"/>
      <sheetName val="12년_CF(9월)3"/>
      <sheetName val="중기조종사_단위단가3"/>
      <sheetName val="6PILE__(돌출)3"/>
      <sheetName val="기성청구_공문4"/>
      <sheetName val="Sheet1_(2)3"/>
      <sheetName val="2_대외공문3"/>
      <sheetName val="表21_净利润调节表3"/>
      <sheetName val="sum1_(2)3"/>
      <sheetName val="3_바닥판설계3"/>
      <sheetName val="504전기실_동부하-L3"/>
      <sheetName val="2_총괄표3"/>
      <sheetName val="OUTER_AREA(겹침없음)3"/>
      <sheetName val="EL_표면적3"/>
      <sheetName val="P_M_별2"/>
      <sheetName val="입찰내역_발주처_양식1"/>
      <sheetName val="근거_및_가정"/>
      <sheetName val="09~10년_매출계획1"/>
      <sheetName val="2_카드채권(대출포함)"/>
      <sheetName val="전사_PL3"/>
      <sheetName val="자금_제외_PL3"/>
      <sheetName val="자금_PL3"/>
      <sheetName val="전사_BS3"/>
      <sheetName val="자금_제외_BS3"/>
      <sheetName val="자금_BS3"/>
      <sheetName val="BS_계정_설명3"/>
      <sheetName val="_Cash_Flow(전사)3"/>
      <sheetName val="_Cash_Flow(자금제외)3"/>
      <sheetName val="_Cash_Flow(자금)3"/>
      <sheetName val="ROIC_3"/>
      <sheetName val="인건비_명세3"/>
      <sheetName val="판관비_명세3"/>
      <sheetName val="OH_Cost경비(내역)3"/>
      <sheetName val="OH_Cost경비(배부기준)3"/>
      <sheetName val="기타수지&amp;특별손익_명세3"/>
      <sheetName val="입출재고현황_(2)1"/>
      <sheetName val="TRE_TABLE1"/>
      <sheetName val="Process_List2"/>
      <sheetName val="제시_손익계산서2"/>
      <sheetName val="업무연락_(2)2"/>
      <sheetName val="M_7회차_담금_계획2"/>
      <sheetName val="01_02월_성과급3"/>
      <sheetName val="97_사업추정(WEKI)1"/>
      <sheetName val="팀별_실적2"/>
      <sheetName val="팀별_실적_(환산)2"/>
      <sheetName val="6월_공정외주1"/>
      <sheetName val="1_차입금"/>
      <sheetName val="2_주요계수총괄1"/>
      <sheetName val="Data_Validation1"/>
      <sheetName val="1_본사계정별1"/>
      <sheetName val="부대시행1_(2)"/>
      <sheetName val="118_세금과공과1"/>
      <sheetName val="Tong_hop1"/>
      <sheetName val="95_1_1이후취득자산(숨기기상태)1"/>
      <sheetName val="1_MDF1공장1"/>
      <sheetName val="3_6_2남양주택배"/>
      <sheetName val="Project_Brief1"/>
      <sheetName val="Back_Data_11"/>
      <sheetName val="Facility_Information1"/>
      <sheetName val="단면_(2)1"/>
      <sheetName val="PAD_TR보호대기초"/>
      <sheetName val="1월_예산"/>
      <sheetName val="_견적서"/>
      <sheetName val="해외_기술훈련비_(합계)1"/>
      <sheetName val="#1)_투자_구분"/>
      <sheetName val="1__시공측량"/>
      <sheetName val="수종별수량_(2)"/>
      <sheetName val="Utility_Usage_YTN_TOWER"/>
      <sheetName val="B-1_기본정보"/>
      <sheetName val="설산1_나"/>
      <sheetName val="?"/>
      <sheetName val="설문_평가"/>
      <sheetName val="Weekly_Progress(계장)"/>
      <sheetName val="납부내역총괄표_(수정)"/>
      <sheetName val="전선_및_전선관"/>
      <sheetName val="KEY_CODE"/>
      <sheetName val="2013_2월_연결대상"/>
      <sheetName val="외주현황_wq1"/>
      <sheetName val="2-1_강사료,교통비_지급명세"/>
      <sheetName val="13_포장용역비표준"/>
      <sheetName val="9_가공부자재표준"/>
      <sheetName val="8_ROLL표준(TSW)"/>
      <sheetName val="4_톤당조관량표준"/>
      <sheetName val="5_조관부자재표준"/>
      <sheetName val="실행기성_갑지"/>
      <sheetName val="4__Inj_투자상세내역2"/>
      <sheetName val="3__Blow_투자_상세내역2"/>
      <sheetName val="Jul-Sep_Actual_cost_(2)"/>
      <sheetName val="요일_테이블2"/>
      <sheetName val="요일_테이블_(2)1"/>
      <sheetName val="TO_Data_Base10"/>
      <sheetName val="YTD_Summary9"/>
      <sheetName val="Month_Summary9"/>
      <sheetName val="Trial_Balance_MAY_20099"/>
      <sheetName val="TB_Pivot9"/>
      <sheetName val="total_per_LB_LB29"/>
      <sheetName val="Trial_Balance_Vlookup9"/>
      <sheetName val="Trial_Balance_APRIL_20099"/>
      <sheetName val="Roll_Out_AQ9"/>
      <sheetName val="Evolução_mandamentos9"/>
      <sheetName val="Planilha_resultados8"/>
      <sheetName val="Historico_20038"/>
      <sheetName val="Sig_Cycles_Accts_&amp;_Processes8"/>
      <sheetName val="3_ISo_YTD2"/>
      <sheetName val="E_法规NC2"/>
      <sheetName val="Données_LMU2"/>
      <sheetName val="Brazil_Sovereign2"/>
      <sheetName val="Resumen_Costo2"/>
      <sheetName val="Fixed_ZBB2"/>
      <sheetName val="5_12"/>
      <sheetName val="Extract_Loss2"/>
      <sheetName val="QA_跟踪记录表2"/>
      <sheetName val="RG_Depots2"/>
      <sheetName val="material_data2"/>
      <sheetName val="other_data2"/>
      <sheetName val="Como_Estamos2"/>
      <sheetName val="Database_(RUR)Mar_YTD2"/>
      <sheetName val="SKU_Mapping2"/>
      <sheetName val="Drop_Down2"/>
      <sheetName val="Raw_Data2"/>
      <sheetName val="EBM-2_GHQ2"/>
      <sheetName val="Base_PEF3"/>
      <sheetName val="Base_de_Dados2"/>
      <sheetName val="Testing_Template_Guidance2"/>
      <sheetName val="Test_Programs2"/>
      <sheetName val="Dados_BLP2"/>
      <sheetName val="Controls_data4"/>
      <sheetName val="FJJX_Bud_IB1"/>
      <sheetName val="look-up_data1"/>
      <sheetName val="JOB_PROFILE_-_LAS2"/>
      <sheetName val="ARdistr_(2)2"/>
      <sheetName val="Prd_Hierarchy(产品层级)1"/>
      <sheetName val="Com_(2PK)1"/>
      <sheetName val="Prd_Hierarchy(产品层次)1"/>
      <sheetName val="Project_Code1"/>
      <sheetName val="15년_BL_사계1"/>
      <sheetName val="_손익기01_XL1"/>
      <sheetName val="drop_down_list1"/>
      <sheetName val="[손익기01_XL_x005f_x0000__x005f_x0000_DePara1"/>
      <sheetName val="[손익기01_XL1"/>
      <sheetName val="Income_Stmt1"/>
      <sheetName val="Quarterly_LBO_Model1"/>
      <sheetName val="_손익기01_XL_x005f_x0000__x005f_x0000_DePara1"/>
      <sheetName val="Classification_分类"/>
      <sheetName val="Figures_Report"/>
      <sheetName val="Set_Up"/>
      <sheetName val="Fare_prices"/>
      <sheetName val="Hotel_prices"/>
      <sheetName val="tab_STATUS_DO_PROCESSO_"/>
      <sheetName val="Perf__Plan__Diário1"/>
      <sheetName val="In_(2)"/>
      <sheetName val="slide_24_cat_A"/>
      <sheetName val="slide_82_cat_b"/>
      <sheetName val="Incident_유형구분표"/>
      <sheetName val="CLASIFICACION_DE_AI"/>
      <sheetName val="Base_da_Datos"/>
      <sheetName val="Dados_dos_Produtos"/>
      <sheetName val="DD_list"/>
      <sheetName val="3YP2016-Bottom_up"/>
      <sheetName val="MASTER_APP"/>
      <sheetName val="Cond__Inseguros"/>
      <sheetName val="Comp__Inseguros"/>
      <sheetName val="Lista_de_datos"/>
      <sheetName val="Base_de_Datos"/>
      <sheetName val="_DD_List"/>
      <sheetName val="Share_Price_2002"/>
      <sheetName val="Clasif_"/>
      <sheetName val="Lista_CI"/>
      <sheetName val="Farol_Acciones"/>
      <sheetName val="Lista_de_Entrenamientos"/>
      <sheetName val="Supply_Cost_Centers"/>
      <sheetName val="BEP_加薪_KPI"/>
      <sheetName val="FitOutConfCentre"/>
      <sheetName val="MTP"/>
      <sheetName val="F 월별기성수금현황 "/>
      <sheetName val="표시트"/>
      <sheetName val="カテゴリ表"/>
      <sheetName val="카드채권(대출포함)"/>
      <sheetName val="공통"/>
      <sheetName val="T6-6(7)"/>
      <sheetName val="sum_x0008__x0000__x000d__x0000__x0006__x0000_"/>
      <sheetName val="Ѐ܀ऀ܀؀਀؀Ԁ̀Ѐ̀Ѐࠀ܀ఀ؀܀"/>
      <sheetName val="숨김"/>
      <sheetName val="1월~9월"/>
      <sheetName val="갑지"/>
      <sheetName val="6월 공嚺㓶가"/>
      <sheetName val="기초정보 코드"/>
      <sheetName val="1. 작성방식"/>
      <sheetName val="계좌정보"/>
      <sheetName val="부산제일극장"/>
      <sheetName val="협가표"/>
      <sheetName val="분석가정"/>
      <sheetName val="BQ"/>
      <sheetName val="Basic"/>
      <sheetName val="1-2.설계변경요청서(갑지)"/>
      <sheetName val="사유집계"/>
      <sheetName val="설계변경내역서(주차관제)"/>
      <sheetName val="증감사유"/>
      <sheetName val="첨부1.(주차관제-.당공)"/>
      <sheetName val="첨부1-1.설계변경내역서(CCTV)"/>
      <sheetName val="첨부1-2.(주차관제-변공)"/>
      <sheetName val="2-6.변공량(추가공사)"/>
      <sheetName val=" 2-1.관제(물량산출서집계표)"/>
      <sheetName val=" 2-2.유도(물량산출서집계표)"/>
      <sheetName val="물량산출서(총괄)"/>
      <sheetName val="3-1.주차관제"/>
      <sheetName val="3-2.주차-광케이블"/>
      <sheetName val="3-3.층별LPR"/>
      <sheetName val="4-1.유도-광케이블"/>
      <sheetName val="4-2.주차키오스크"/>
      <sheetName val="4-3.4면카메라"/>
      <sheetName val="4-5.CCTV"/>
      <sheetName val="4-6.블럭유도등"/>
      <sheetName val="4-7.입구만차등"/>
      <sheetName val="4-8.비상벨"/>
      <sheetName val="MEMO"/>
      <sheetName val="민감도분석"/>
      <sheetName val="LOG"/>
      <sheetName val="보고서 표"/>
      <sheetName val="0. 가정 및 결론"/>
      <sheetName val="1. 투자비"/>
      <sheetName val="2. Rent-roll"/>
      <sheetName val="3. Funding"/>
      <sheetName val="4. 운영수익"/>
      <sheetName val="5. 운영비용"/>
      <sheetName val="6.1 N+1년차 NOI 산정"/>
      <sheetName val="6. 부동산매각"/>
      <sheetName val="7. 보유세"/>
      <sheetName val="8. 교통유발부담금"/>
      <sheetName val="9. BS부속"/>
      <sheetName val="10. CF(M)"/>
      <sheetName val="11. IS(M)"/>
      <sheetName val="12. BS(M)"/>
      <sheetName val="14. IS(FY)"/>
      <sheetName val="13. CF(FY)"/>
      <sheetName val="15. BS(FY)"/>
      <sheetName val="16. RE(FY)"/>
      <sheetName val="코드관리"/>
      <sheetName val="TOWER 12TON"/>
      <sheetName val="TOWER 10TON"/>
      <sheetName val="JIB CRANE,HOIST"/>
      <sheetName val="4.1 월별 에너지 사용량"/>
      <sheetName val="코드"/>
      <sheetName val="오류항목"/>
      <sheetName val="数据有效性"/>
      <sheetName val="Worker List"/>
      <sheetName val="GB-IC Villingen GG"/>
      <sheetName val="MC&amp;다변화"/>
      <sheetName val="Library"/>
      <sheetName val="BM_NEW2"/>
      <sheetName val="97손익계획"/>
      <sheetName val="가정"/>
      <sheetName val="공시용PL"/>
      <sheetName val="예산대실적_작성"/>
      <sheetName val="SALE"/>
      <sheetName val="조정분개"/>
      <sheetName val="이테크_손익"/>
      <sheetName val="군장_손익"/>
      <sheetName val="에스엠지_손익"/>
      <sheetName val="인프라_손익"/>
      <sheetName val="중국연결_손익"/>
      <sheetName val="사우디_손익"/>
      <sheetName val="말레이_손익"/>
      <sheetName val="인니_손익"/>
      <sheetName val="연결손익요약(기획차이)"/>
      <sheetName val="연결손익요약(보고용)"/>
      <sheetName val="연결재무"/>
      <sheetName val="이테크_재무"/>
      <sheetName val="군장_재무"/>
      <sheetName val="에스엠지_재무"/>
      <sheetName val="인프라_재무"/>
      <sheetName val="중국연결_재무"/>
      <sheetName val="사우디_재무"/>
      <sheetName val="말레이_재무"/>
      <sheetName val="인니_재무"/>
      <sheetName val="CE(공)"/>
      <sheetName val="연결손익"/>
      <sheetName val="building"/>
      <sheetName val="견적을지"/>
      <sheetName val="중기일위대가"/>
      <sheetName val="호남본"/>
      <sheetName val="기성"/>
      <sheetName val="지장물C"/>
      <sheetName val="안산기계장치"/>
      <sheetName val="그룹자료"/>
      <sheetName val="임율자료"/>
      <sheetName val="기성현황집계표"/>
      <sheetName val="특수선일위대가"/>
      <sheetName val="입찰내역 Ĉ"/>
      <sheetName val="sum_x0008_"/>
      <sheetName val="PH 5"/>
      <sheetName val="bar chart-rev"/>
      <sheetName val="A(Rev.3)"/>
      <sheetName val="pg15"/>
      <sheetName val="표)CFT장 조직별 배분"/>
      <sheetName val="기술분류체계"/>
      <sheetName val="Remark"/>
      <sheetName val="20180214 P&amp;T"/>
      <sheetName val="Ref. 중점 추진 과제별 상세"/>
      <sheetName val="작성요령"/>
      <sheetName val="2.6 三无 (2)"/>
      <sheetName val="_x0018__"/>
      <sheetName val="공시용CF"/>
      <sheetName val="support"/>
      <sheetName val="목록!"/>
      <sheetName val="마스터0919"/>
      <sheetName val="노임단가(공사)"/>
      <sheetName val="000000"/>
      <sheetName val="RES"/>
      <sheetName val="M&amp;Q Lead"/>
      <sheetName val="견적내역서"/>
      <sheetName val="Phieu trinh ky cấu tháp"/>
      <sheetName val="Phieu trinh ky VTP"/>
      <sheetName val="KS-VTP"/>
      <sheetName val="KS-VL rời"/>
      <sheetName val="BCCP"/>
      <sheetName val="Tai san"/>
      <sheetName val="Check dong tien"/>
      <sheetName val="Chi phí SDTS"/>
      <sheetName val="Check COST"/>
      <sheetName val="KHTC"/>
      <sheetName val="DATA HD"/>
      <sheetName val="THNC"/>
      <sheetName val="KEY"/>
      <sheetName val="NC"/>
      <sheetName val="2TM"/>
      <sheetName val="1TM"/>
      <sheetName val="Tong hop 1TM"/>
      <sheetName val="WBS"/>
      <sheetName val="DMKH"/>
      <sheetName val="NS Lán trại"/>
      <sheetName val="Check cong no NC"/>
      <sheetName val="일위대가(목록)"/>
      <sheetName val="재료비"/>
      <sheetName val="갑지1"/>
      <sheetName val="일위대가목차"/>
      <sheetName val="시험장S자로가로등공사"/>
      <sheetName val="Sheet17"/>
      <sheetName val="설비등록׃⼫"/>
      <sheetName val="설비등록_x0010__x0000_"/>
      <sheetName val="전기자료"/>
      <sheetName val="Sheet10"/>
      <sheetName val="月度設定"/>
      <sheetName val="STRAT PLAN WKSHT"/>
      <sheetName val="Sales Plan &amp; other"/>
      <sheetName val="ConsolidateUSD"/>
      <sheetName val="STRAT_PLAN_WKSHT"/>
      <sheetName val="Sales_Plan_&amp;_other"/>
      <sheetName val="ref"/>
      <sheetName val="drop downs"/>
      <sheetName val="선택지"/>
      <sheetName val="Congfig"/>
      <sheetName val="Bank code"/>
      <sheetName val="총수율"/>
      <sheetName val="11"/>
      <sheetName val="Drop-down RAW"/>
      <sheetName val="산자사 운전용품"/>
      <sheetName val="CODE生成机"/>
      <sheetName val="조직필터"/>
      <sheetName val="有型区分分类"/>
      <sheetName val="업무 분류(Category)"/>
      <sheetName val="6호기"/>
      <sheetName val="10매출"/>
      <sheetName val="첨부#2.Cash Flow(현장작성)"/>
      <sheetName val="기초단가"/>
      <sheetName val="파일의이용"/>
      <sheetName val="교량하부공"/>
      <sheetName val="부대내역"/>
      <sheetName val="BATCH"/>
      <sheetName val="드롭다운"/>
      <sheetName val="Desal-E&amp;I"/>
      <sheetName val="Month-Report"/>
      <sheetName val="_x005f_x005f_x005f_x0018__x005f_x005f_x005f_x0000_"/>
      <sheetName val="_x005f_x0018_?"/>
      <sheetName val="집계"/>
      <sheetName val="1.수인터널"/>
      <sheetName val="1-1"/>
      <sheetName val="Exchange rate"/>
      <sheetName val="필요면적"/>
      <sheetName val="단기차입금(200006)"/>
      <sheetName val="작성양식"/>
      <sheetName val="wall"/>
      <sheetName val="CERTIFICATE"/>
      <sheetName val="가설공사내역"/>
      <sheetName val="401"/>
      <sheetName val="수정양식"/>
      <sheetName val="#1 Basic"/>
      <sheetName val="만기"/>
      <sheetName val="월별비교(물리)"/>
      <sheetName val="1~9 하중계산"/>
      <sheetName val="정공공사"/>
      <sheetName val="아산추가1220"/>
      <sheetName val="7_공사비집_x0000__x0000_Ā_x0000__x0005__x0000_翸_x0000_"/>
      <sheetName val="FAB별"/>
      <sheetName val="hiddenSheet"/>
      <sheetName val="3.일반사상"/>
      <sheetName val="슬래_xd800_"/>
      <sheetName val="640ꠌ᜹렀㣃씃"/>
      <sheetName val="640ꠏ᜹쀀씃"/>
      <sheetName val="Basic Information"/>
      <sheetName val="STANDARD"/>
      <sheetName val="유효성검사"/>
      <sheetName val="7상품수"/>
      <sheetName val="미계약2"/>
      <sheetName val="생산성(2차)"/>
      <sheetName val="요약(1차)"/>
      <sheetName val="Sheet475"/>
      <sheetName val="한계원가"/>
      <sheetName val="euc"/>
      <sheetName val="외부자료"/>
      <sheetName val="DCY"/>
      <sheetName val="DHS"/>
      <sheetName val="HHJ"/>
      <sheetName val="SWS-1"/>
      <sheetName val="부재료 비교(11년 vs 10년)"/>
      <sheetName val="INDICE"/>
      <sheetName val="Dashboard Prevención Riesgos "/>
      <sheetName val="Seguimiento"/>
      <sheetName val="TOP KPIs MTM"/>
      <sheetName val="PLAN DE ACCION"/>
      <sheetName val="Faro de Indicadores"/>
      <sheetName val="ORGANIGRAMA"/>
      <sheetName val="Catalog_Zone"/>
      <sheetName val="DropList"/>
      <sheetName val="Unidades SAC-REVENDA"/>
      <sheetName val="FornecM Check"/>
      <sheetName val="下拉清单"/>
      <sheetName val="工伤分类"/>
      <sheetName val="菜单"/>
      <sheetName val="Hazards Analysis-隐患分析"/>
      <sheetName val="요일_테이블3"/>
      <sheetName val="요일_테이블_(2)2"/>
      <sheetName val="TO_Data_Base11"/>
      <sheetName val="YTD_Summary10"/>
      <sheetName val="Month_Summary10"/>
      <sheetName val="Trial_Balance_MAY_200910"/>
      <sheetName val="TB_Pivot10"/>
      <sheetName val="total_per_LB_LB210"/>
      <sheetName val="Trial_Balance_Vlookup10"/>
      <sheetName val="Trial_Balance_APRIL_200910"/>
      <sheetName val="Roll_Out_AQ10"/>
      <sheetName val="Evolução_mandamentos10"/>
      <sheetName val="Planilha_resultados9"/>
      <sheetName val="Historico_20039"/>
      <sheetName val="Sig_Cycles_Accts_&amp;_Processes9"/>
      <sheetName val="Fixed_ZBB3"/>
      <sheetName val="E_法规NC3"/>
      <sheetName val="3_ISo_YTD3"/>
      <sheetName val="Données_LMU3"/>
      <sheetName val="Brazil_Sovereign3"/>
      <sheetName val="Resumen_Costo3"/>
      <sheetName val="Base_de_Dados3"/>
      <sheetName val="Extract_Loss3"/>
      <sheetName val="5_13"/>
      <sheetName val="QA_跟踪记录表3"/>
      <sheetName val="RG_Depots3"/>
      <sheetName val="material_data3"/>
      <sheetName val="other_data3"/>
      <sheetName val="Como_Estamos3"/>
      <sheetName val="Database_(RUR)Mar_YTD3"/>
      <sheetName val="SKU_Mapping3"/>
      <sheetName val="Drop_Down3"/>
      <sheetName val="Raw_Data3"/>
      <sheetName val="EBM-2_GHQ3"/>
      <sheetName val="Base_PEF4"/>
      <sheetName val="Controls_data5"/>
      <sheetName val="Dados_BLP3"/>
      <sheetName val="Testing_Template_Guidance3"/>
      <sheetName val="Test_Programs3"/>
      <sheetName val="FJJX_Bud_IB2"/>
      <sheetName val="JOB_PROFILE_-_LAS3"/>
      <sheetName val="ARdistr_(2)3"/>
      <sheetName val="look-up_data2"/>
      <sheetName val="Prd_Hierarchy(产品层级)2"/>
      <sheetName val="Com_(2PK)2"/>
      <sheetName val="전사_PL4"/>
      <sheetName val="자금_제외_PL4"/>
      <sheetName val="자금_PL4"/>
      <sheetName val="전사_BS4"/>
      <sheetName val="자금_제외_BS4"/>
      <sheetName val="자금_BS4"/>
      <sheetName val="BS_계정_설명4"/>
      <sheetName val="_Cash_Flow(전사)4"/>
      <sheetName val="_Cash_Flow(자금제외)4"/>
      <sheetName val="_Cash_Flow(자금)4"/>
      <sheetName val="ROIC_4"/>
      <sheetName val="인건비_명세4"/>
      <sheetName val="판관비_명세4"/>
      <sheetName val="OH_Cost경비(내역)4"/>
      <sheetName val="OH_Cost경비(배부기준)4"/>
      <sheetName val="기타수지&amp;특별손익_명세4"/>
      <sheetName val="업무연락_(2)3"/>
      <sheetName val="제시_손익계산서3"/>
      <sheetName val="01_02월_성과급4"/>
      <sheetName val="M_7회차_담금_계획3"/>
      <sheetName val="팀별_실적3"/>
      <sheetName val="팀별_실적_(환산)3"/>
      <sheetName val="4__Inj_투자상세내역3"/>
      <sheetName val="3__Blow_투자_상세내역3"/>
      <sheetName val="Process_List3"/>
      <sheetName val="Prd_Hierarchy(产品层次)2"/>
      <sheetName val="Project_Code2"/>
      <sheetName val="_손익기01_XL2"/>
      <sheetName val="drop_down_list2"/>
      <sheetName val="[손익기01_XL_x005f_x0000__x005f_x0000_DePara2"/>
      <sheetName val="Income_Stmt2"/>
      <sheetName val="Quarterly_LBO_Model2"/>
      <sheetName val="[손익기01_XL2"/>
      <sheetName val="_손익기01_XL_x005f_x0000__x005f_x0000_DePara2"/>
      <sheetName val="15년_BL_사계2"/>
      <sheetName val="Classification_分类1"/>
      <sheetName val="Figures_Report1"/>
      <sheetName val="Set_Up2"/>
      <sheetName val="Fare_prices1"/>
      <sheetName val="Hotel_prices1"/>
      <sheetName val="tab_STATUS_DO_PROCESSO_1"/>
      <sheetName val="Perf__Plan__Diário11"/>
      <sheetName val="In_(2)1"/>
      <sheetName val="slide_24_cat_A1"/>
      <sheetName val="slide_82_cat_b1"/>
      <sheetName val="Incident_유형구분표1"/>
      <sheetName val="CLASIFICACION_DE_AI1"/>
      <sheetName val="Base_da_Datos1"/>
      <sheetName val="Dados_dos_Produtos1"/>
      <sheetName val="DD_list1"/>
      <sheetName val="F08 - Asia Pac Full Year Q3"/>
      <sheetName val="Actions"/>
      <sheetName val="Listco"/>
      <sheetName val="Intl"/>
      <sheetName val="Procurement"/>
      <sheetName val="Top Priorities"/>
      <sheetName val="SLOB"/>
      <sheetName val="Listco Stock"/>
      <sheetName val="SOH"/>
      <sheetName val="Intl Purchase"/>
      <sheetName val="GTME"/>
      <sheetName val="FY outlook"/>
      <sheetName val="CY outlook"/>
      <sheetName val="FY"/>
      <sheetName val="CY"/>
      <sheetName val="Cash metrics"/>
      <sheetName val="Listco-Tony"/>
      <sheetName val="Intl-Ming"/>
      <sheetName val="Procurement-Jeff"/>
      <sheetName val="Hierarchy"/>
      <sheetName val="P6 7"/>
      <sheetName val="Top_Priorities"/>
      <sheetName val="Listco_Stock"/>
      <sheetName val="Intl_Purchase"/>
      <sheetName val="FY_outlook"/>
      <sheetName val="CY_outlook"/>
      <sheetName val="Cash_metrics"/>
      <sheetName val="F08_-_Asia_Pac_Full_Year_Q3"/>
      <sheetName val="TABLA"/>
      <sheetName val="_ExportMetadata"/>
      <sheetName val="Valor_Actual_2002"/>
      <sheetName val="Vtas2000"/>
      <sheetName val="Liquidacion_Julio_2002"/>
      <sheetName val="icos0502"/>
      <sheetName val="pplay_load3"/>
      <sheetName val="tabla_fcst_unid"/>
      <sheetName val="P6_7"/>
      <sheetName val="DATOS BASE"/>
      <sheetName val="Estatus"/>
      <sheetName val="Info"/>
      <sheetName val="Estratificación AI"/>
      <sheetName val="Dashboard"/>
      <sheetName val="condicion inseguras"/>
      <sheetName val="Actos Inseguros"/>
      <sheetName val="Control de incidentes"/>
      <sheetName val="Plan de Acción"/>
      <sheetName val="备注"/>
      <sheetName val="_손익기01.XL_x005f_x005f_x005f_x0000__x005f_x005f_x0"/>
      <sheetName val="연료전력(군포)"/>
      <sheetName val="적립수신"/>
      <sheetName val="순수통장"/>
      <sheetName val="일별"/>
      <sheetName val="加薪规则排序"/>
      <sheetName val="Analysis"/>
      <sheetName val="索引表"/>
      <sheetName val="Control"/>
      <sheetName val="引用"/>
      <sheetName val="담당자Raw"/>
      <sheetName val="支柱模块源数据--请勿更改或删除"/>
      <sheetName val="MasterData"/>
      <sheetName val="条件表"/>
      <sheetName val="下拉菜单"/>
      <sheetName val="Issues List_Payments"/>
      <sheetName val="drop-down_lists"/>
      <sheetName val="数据库"/>
      <sheetName val="turnover reason퇴직사유"/>
      <sheetName val="Grafica Actos"/>
      <sheetName val="PGK-1610"/>
      <sheetName val="POC LIST"/>
      <sheetName val="Condiciones SyE"/>
      <sheetName val="DETALLE MENSUAL"/>
      <sheetName val="do not delete"/>
      <sheetName val="NA"/>
      <sheetName val="MidAm"/>
      <sheetName val="LAN"/>
      <sheetName val="LAS"/>
      <sheetName val="COPEC"/>
      <sheetName val="EUR"/>
      <sheetName val="Africa"/>
      <sheetName val="APAC S"/>
      <sheetName val="APAC N"/>
      <sheetName val="Slide output"/>
      <sheetName val="[손익기01.XL??DePara"/>
      <sheetName val="Farol Metas"/>
      <sheetName val="Preview2"/>
      <sheetName val="Agenda"/>
      <sheetName val="Cadastros"/>
      <sheetName val="Base_Cobertura_WP"/>
      <sheetName val="TOTAL_HL"/>
      <sheetName val="99"/>
      <sheetName val="BASE_APOIO"/>
      <sheetName val="AO"/>
      <sheetName val="2"/>
      <sheetName val="BG"/>
      <sheetName val="Farol"/>
      <sheetName val="Base_Farol_Manual_Consolidada"/>
      <sheetName val="Árvore"/>
      <sheetName val="Tela_Inicial"/>
      <sheetName val="XLR_NoRangeSheet"/>
      <sheetName val="GVs"/>
      <sheetName val="Cadastro_Comercial"/>
      <sheetName val="2-Instalações"/>
      <sheetName val="RESUMO_MC"/>
      <sheetName val="Organization"/>
      <sheetName val="EMPREGADOS"/>
      <sheetName val="4-Estrutura_da_Área_de_Vendas"/>
      <sheetName val="5-Vendas-5_4-5_5-5_6"/>
      <sheetName val="FE"/>
      <sheetName val="BD_-_Realizado"/>
      <sheetName val="Cadastro_de_Veículos"/>
      <sheetName val="3-Equipamentos_e_Meios"/>
      <sheetName val="Cálculo_TMEF-TMR"/>
      <sheetName val="Liberação_Juros_Set_2004"/>
      <sheetName val="Lista_de_Feriados"/>
      <sheetName val="BASE"/>
      <sheetName val="Base_Graf"/>
      <sheetName val="Aderencia_Algoritmo_SIV"/>
      <sheetName val="Árvore_3v"/>
      <sheetName val="Sistema"/>
      <sheetName val="Dados_Dev"/>
      <sheetName val="Cxs_Int"/>
      <sheetName val="Pilares"/>
      <sheetName val="IC's"/>
      <sheetName val="Rel_Histórico"/>
      <sheetName val="TMEF_-_TMR_151"/>
      <sheetName val="Entrada_de_Dados"/>
      <sheetName val="EI_Calc"/>
      <sheetName val="Produtos"/>
      <sheetName val="PV"/>
      <sheetName val="Base_Críticas_de_Pedidos"/>
      <sheetName val="REALxMETA_-_REFRI"/>
      <sheetName val="Planificador"/>
      <sheetName val="8-Procedimentos"/>
      <sheetName val="Gráfico_3"/>
      <sheetName val="Gráfico"/>
      <sheetName val="Gráfico_Anual"/>
      <sheetName val="GR"/>
      <sheetName val="Tabela_Preço"/>
      <sheetName val="Tab_Aux"/>
      <sheetName val="Produtos_e_Custos"/>
      <sheetName val="TI"/>
      <sheetName val="Plan2"/>
      <sheetName val="BASE_GV"/>
      <sheetName val="Matriz_Unidade"/>
      <sheetName val="Variavel"/>
      <sheetName val="Mod Relac."/>
      <sheetName val="Vlookup"/>
      <sheetName val="REALxMETA - CERVEJA"/>
      <sheetName val="REALxMETA - REFRI"/>
      <sheetName val="Catalogo"/>
      <sheetName val="MD"/>
      <sheetName val="Directrices de Metas 2017"/>
      <sheetName val="SKU Basic Data"/>
      <sheetName val="数据验证"/>
      <sheetName val="Лист2"/>
      <sheetName val="L1_L2_Lookup"/>
      <sheetName val="Entity Target"/>
      <sheetName val="条件"/>
      <sheetName val="Matriz"/>
      <sheetName val="Pareto"/>
      <sheetName val="Hoja5"/>
      <sheetName val="Personal"/>
      <sheetName val="VALIDACION DE DATOS"/>
      <sheetName val="Hoja4"/>
      <sheetName val="Drop-down List"/>
      <sheetName val="by DD"/>
      <sheetName val="Ba"/>
      <sheetName val="分类统计"/>
      <sheetName val="隐患分类"/>
      <sheetName val="Check Qualidade"/>
      <sheetName val="Lista"/>
      <sheetName val="De_Para"/>
      <sheetName val="De Para"/>
      <sheetName val="FornecM_Check"/>
      <sheetName val="Unidades_SAC-REVENDA2"/>
      <sheetName val="[손익기01_XL??DePara"/>
      <sheetName val="Farol_Metas"/>
      <sheetName val="Mod_Relac_"/>
      <sheetName val="Estratificación_AI"/>
      <sheetName val="condicion_inseguras"/>
      <sheetName val="Actos_Inseguros"/>
      <sheetName val="Control_de_incidentes"/>
      <sheetName val="Plan_de_Acción"/>
      <sheetName val="Feuil2"/>
      <sheetName val="Check Aderencia"/>
      <sheetName val="원부재료1"/>
      <sheetName val="진행 DATA (2)"/>
      <sheetName val="_x005f_x005f_x005f_x0000__x005f_x005f_x005f_x0000_"/>
      <sheetName val="Cntmrs"/>
      <sheetName val="$bhp"/>
      <sheetName val="업무분장 "/>
      <sheetName val="7300-1000.11"/>
      <sheetName val="7300-1000_11"/>
      <sheetName val="기준Data"/>
      <sheetName val="PJT 현황"/>
      <sheetName val="VNHA"/>
      <sheetName val="대차대조표-공시형"/>
      <sheetName val="참고) 기준정보"/>
      <sheetName val="포지셔닝(유형별)"/>
      <sheetName val="채권(하반기)"/>
      <sheetName val="금액"/>
      <sheetName val="제품"/>
      <sheetName val="분류표"/>
      <sheetName val="Long Term Prices"/>
      <sheetName val="생산량"/>
      <sheetName val="BK_PPA"/>
      <sheetName val="간접비차이_PJT"/>
      <sheetName val="Diesel Price "/>
      <sheetName val="노원열병합  건축공사기성내역서"/>
      <sheetName val="Mot So Thuat Ngu EN-VI"/>
      <sheetName val="구분 Table"/>
      <sheetName val="역T형옹벽(3.0)"/>
      <sheetName val="받을어음"/>
      <sheetName val="외상매출금현황-수정분 A2"/>
      <sheetName val="상불"/>
      <sheetName val="Assign"/>
      <sheetName val="합잔_역사"/>
      <sheetName val="01현금및현금성자산(ok)"/>
      <sheetName val="기준재고"/>
      <sheetName val="수액원료4"/>
      <sheetName val="관리자"/>
      <sheetName val="1월"/>
      <sheetName val="회사전체"/>
      <sheetName val="이자"/>
      <sheetName val="시스템 개요 유효값"/>
      <sheetName val="기본일위"/>
      <sheetName val="월간공정표(04월))"/>
      <sheetName val="문의내용 카테고리 분류(수정X)"/>
      <sheetName val="(참조)"/>
      <sheetName val="Investment Category"/>
      <sheetName val="견적 맵"/>
      <sheetName val="_x005f_x005f_x005f_x0000__x005f"/>
      <sheetName val="소주(苏州)"/>
      <sheetName val="XREF"/>
      <sheetName val="Asset9809CAK"/>
      <sheetName val="전기요금 산출내역"/>
      <sheetName val="1TL종점(1)"/>
      <sheetName val="JT3.0견적-구1"/>
      <sheetName val="Dropbox 목록"/>
      <sheetName val="PUR-12K"/>
      <sheetName val="TSCLFEB"/>
      <sheetName val="1o_Sem"/>
      <sheetName val="2o_Sem"/>
      <sheetName val="ID_Ano"/>
      <sheetName val="BaseReal"/>
      <sheetName val="Devolução_Cx_Mês"/>
      <sheetName val="Base_Fornec_M_AS_Hl"/>
      <sheetName val="Acompanhamento_Devolução"/>
      <sheetName val="Base_%_VD"/>
      <sheetName val="Ta_x0005_"/>
      <sheetName val="Base Farol"/>
      <sheetName val="Gerencial IL"/>
      <sheetName val="Ventas Campo"/>
      <sheetName val="Graficos"/>
      <sheetName val="MASTER_APP1"/>
      <sheetName val="Cond__Inseguros1"/>
      <sheetName val="Comp__Inseguros1"/>
      <sheetName val="Base_de_Datos1"/>
      <sheetName val="3YP2016-Bottom_up1"/>
      <sheetName val="Farol_Acciones1"/>
      <sheetName val="Lista_de_datos1"/>
      <sheetName val="FornecM_Check1"/>
      <sheetName val="Unidades_SAC-REVENDA3"/>
      <sheetName val="Clasif_1"/>
      <sheetName val="Lista_de_Entrenamientos1"/>
      <sheetName val="Supply_Cost_Centers1"/>
      <sheetName val="[손익기01_XL??DePara1"/>
      <sheetName val="Farol_Metas1"/>
      <sheetName val="Lista_CI1"/>
      <sheetName val="2_카드채권(대출포함)1"/>
      <sheetName val="Mod_Relac_1"/>
      <sheetName val="Estratificación_AI1"/>
      <sheetName val="condicion_inseguras1"/>
      <sheetName val="Actos_Inseguros1"/>
      <sheetName val="Control_de_incidentes1"/>
      <sheetName val="Plan_de_Acción1"/>
      <sheetName val="_DD_List1"/>
      <sheetName val="Share_Price_20021"/>
      <sheetName val="TOP_KPIs_MTM"/>
      <sheetName val="PLAN_DE_ACCION"/>
      <sheetName val="Faro_de_Indicadores"/>
      <sheetName val="Grafica_Actos"/>
      <sheetName val="Condiciones_SyE"/>
      <sheetName val="REALxMETA_-_CERVEJA2"/>
      <sheetName val="REALxMETA_-_REFRI2"/>
      <sheetName val="Dashboard_Prevención_Riesgos_"/>
      <sheetName val="POC_LIST"/>
      <sheetName val="Entity_Target"/>
      <sheetName val="Issues_List_Payments"/>
      <sheetName val="ACTOS POR RIESGO"/>
      <sheetName val="drop lists"/>
      <sheetName val="MRL NON SUPPLY URU"/>
      <sheetName val="AIIM - Empresas Ext 2012"/>
      <sheetName val="Blad2"/>
      <sheetName val="KPIs Hana"/>
      <sheetName val="CausasProblemasFolios"/>
      <sheetName val="Catalago de refacciones "/>
      <sheetName val="Existencias al 07-Nov-2012"/>
      <sheetName val="GAP"/>
      <sheetName val="Check GG"/>
      <sheetName val="요일_테이블4"/>
      <sheetName val="요일_테이블_(2)3"/>
      <sheetName val="TO_Data_Base12"/>
      <sheetName val="YTD_Summary11"/>
      <sheetName val="Month_Summary11"/>
      <sheetName val="Trial_Balance_MAY_200911"/>
      <sheetName val="TB_Pivot11"/>
      <sheetName val="total_per_LB_LB211"/>
      <sheetName val="Trial_Balance_Vlookup11"/>
      <sheetName val="Trial_Balance_APRIL_200911"/>
      <sheetName val="Roll_Out_AQ11"/>
      <sheetName val="Evolução_mandamentos11"/>
      <sheetName val="Planilha_resultados10"/>
      <sheetName val="Historico_200310"/>
      <sheetName val="Sig_Cycles_Accts_&amp;_Processes10"/>
      <sheetName val="Fixed_ZBB4"/>
      <sheetName val="E_法规NC4"/>
      <sheetName val="3_ISo_YTD4"/>
      <sheetName val="Données_LMU4"/>
      <sheetName val="Brazil_Sovereign4"/>
      <sheetName val="Resumen_Costo4"/>
      <sheetName val="Base_de_Dados4"/>
      <sheetName val="Extract_Loss4"/>
      <sheetName val="5_14"/>
      <sheetName val="QA_跟踪记录表4"/>
      <sheetName val="RG_Depots4"/>
      <sheetName val="material_data4"/>
      <sheetName val="other_data4"/>
      <sheetName val="Como_Estamos4"/>
      <sheetName val="Database_(RUR)Mar_YTD4"/>
      <sheetName val="SKU_Mapping4"/>
      <sheetName val="Drop_Down4"/>
      <sheetName val="Raw_Data4"/>
      <sheetName val="EBM-2_GHQ4"/>
      <sheetName val="Base_PEF5"/>
      <sheetName val="Controls_data6"/>
      <sheetName val="Dados_BLP4"/>
      <sheetName val="Testing_Template_Guidance4"/>
      <sheetName val="Test_Programs4"/>
      <sheetName val="FJJX_Bud_IB3"/>
      <sheetName val="JOB_PROFILE_-_LAS4"/>
      <sheetName val="ARdistr_(2)4"/>
      <sheetName val="look-up_data3"/>
      <sheetName val="Prd_Hierarchy(产品层级)3"/>
      <sheetName val="Com_(2PK)3"/>
      <sheetName val="전사_PL5"/>
      <sheetName val="자금_제외_PL5"/>
      <sheetName val="자금_PL5"/>
      <sheetName val="전사_BS5"/>
      <sheetName val="자금_제외_BS5"/>
      <sheetName val="자금_BS5"/>
      <sheetName val="BS_계정_설명5"/>
      <sheetName val="_Cash_Flow(전사)5"/>
      <sheetName val="_Cash_Flow(자금제외)5"/>
      <sheetName val="_Cash_Flow(자금)5"/>
      <sheetName val="ROIC_5"/>
      <sheetName val="인건비_명세5"/>
      <sheetName val="판관비_명세5"/>
      <sheetName val="OH_Cost경비(내역)5"/>
      <sheetName val="OH_Cost경비(배부기준)5"/>
      <sheetName val="기타수지&amp;특별손익_명세5"/>
      <sheetName val="업무연락_(2)4"/>
      <sheetName val="제시_손익계산서4"/>
      <sheetName val="01_02월_성과급5"/>
      <sheetName val="M_7회차_담금_계획4"/>
      <sheetName val="팀별_실적4"/>
      <sheetName val="팀별_실적_(환산)4"/>
      <sheetName val="4__Inj_투자상세내역4"/>
      <sheetName val="3__Blow_투자_상세내역4"/>
      <sheetName val="Process_List4"/>
      <sheetName val="7_(2)4"/>
      <sheetName val="Prd_Hierarchy(产品层次)3"/>
      <sheetName val="Project_Code3"/>
      <sheetName val="_손익기01_XL3"/>
      <sheetName val="drop_down_list3"/>
      <sheetName val="[손익기01_XL_x005f_x0000__x005f_x0000_DePara3"/>
      <sheetName val="Income_Stmt3"/>
      <sheetName val="Quarterly_LBO_Model3"/>
      <sheetName val="[손익기01_XL3"/>
      <sheetName val="_손익기01_XL_x005f_x0000__x005f_x0000_DePara3"/>
      <sheetName val="15년_BL_사계3"/>
      <sheetName val="Classification_分类2"/>
      <sheetName val="Figures_Report2"/>
      <sheetName val="Set_Up3"/>
      <sheetName val="Fare_prices2"/>
      <sheetName val="Hotel_prices2"/>
      <sheetName val="tab_STATUS_DO_PROCESSO_2"/>
      <sheetName val="Perf__Plan__Diário12"/>
      <sheetName val="In_(2)2"/>
      <sheetName val="slide_24_cat_A2"/>
      <sheetName val="slide_82_cat_b2"/>
      <sheetName val="09~10년_매출계획2"/>
      <sheetName val="1_MDF1공장2"/>
      <sheetName val="Incident_유형구분표2"/>
      <sheetName val="CLASIFICACION_DE_AI2"/>
      <sheetName val="Base_da_Datos2"/>
      <sheetName val="Dados_dos_Produtos2"/>
      <sheetName val="DD_list2"/>
      <sheetName val="F08_-_Asia_Pac_Full_Year_Q31"/>
      <sheetName val="Top_Priorities1"/>
      <sheetName val="Listco_Stock1"/>
      <sheetName val="Intl_Purchase1"/>
      <sheetName val="FY_outlook1"/>
      <sheetName val="CY_outlook1"/>
      <sheetName val="Cash_metrics1"/>
      <sheetName val="P6_71"/>
      <sheetName val="DATOS_BASE"/>
      <sheetName val="Hazards_Analysis-隐患分析"/>
      <sheetName val="_손익기01_XL_x005f_x005f_x005f_x0000__x005f_x005f_x0"/>
      <sheetName val="turnover_reason퇴직사유"/>
      <sheetName val="SKU_Basic_Data"/>
      <sheetName val="DETALLE_MENSUAL"/>
      <sheetName val="do_not_delete"/>
      <sheetName val="APAC_S"/>
      <sheetName val="APAC_N"/>
      <sheetName val="Slide_output"/>
      <sheetName val="Directrices_de_Metas_2017"/>
      <sheetName val="구분"/>
      <sheetName val="요일_테이블5"/>
      <sheetName val="요일_테이블_(2)4"/>
      <sheetName val="TO_Data_Base13"/>
      <sheetName val="YTD_Summary12"/>
      <sheetName val="Month_Summary12"/>
      <sheetName val="Trial_Balance_MAY_200912"/>
      <sheetName val="TB_Pivot12"/>
      <sheetName val="total_per_LB_LB212"/>
      <sheetName val="Trial_Balance_Vlookup12"/>
      <sheetName val="Trial_Balance_APRIL_200912"/>
      <sheetName val="Roll_Out_AQ12"/>
      <sheetName val="Evolução_mandamentos12"/>
      <sheetName val="Planilha_resultados11"/>
      <sheetName val="Historico_200311"/>
      <sheetName val="Sig_Cycles_Accts_&amp;_Processes11"/>
      <sheetName val="Fixed_ZBB5"/>
      <sheetName val="E_法规NC5"/>
      <sheetName val="3_ISo_YTD5"/>
      <sheetName val="Données_LMU5"/>
      <sheetName val="Brazil_Sovereign5"/>
      <sheetName val="Resumen_Costo5"/>
      <sheetName val="Base_de_Dados5"/>
      <sheetName val="Extract_Loss5"/>
      <sheetName val="5_15"/>
      <sheetName val="QA_跟踪记录表5"/>
      <sheetName val="RG_Depots5"/>
      <sheetName val="material_data5"/>
      <sheetName val="other_data5"/>
      <sheetName val="Como_Estamos5"/>
      <sheetName val="Database_(RUR)Mar_YTD5"/>
      <sheetName val="SKU_Mapping5"/>
      <sheetName val="Drop_Down5"/>
      <sheetName val="Raw_Data5"/>
      <sheetName val="EBM-2_GHQ5"/>
      <sheetName val="Base_PEF6"/>
      <sheetName val="Controls_data7"/>
      <sheetName val="Dados_BLP5"/>
      <sheetName val="Testing_Template_Guidance5"/>
      <sheetName val="Test_Programs5"/>
      <sheetName val="FJJX_Bud_IB4"/>
      <sheetName val="JOB_PROFILE_-_LAS5"/>
      <sheetName val="ARdistr_(2)5"/>
      <sheetName val="look-up_data4"/>
      <sheetName val="Prd_Hierarchy(产品层级)4"/>
      <sheetName val="Com_(2PK)4"/>
      <sheetName val="전사_PL6"/>
      <sheetName val="자금_제외_PL6"/>
      <sheetName val="자금_PL6"/>
      <sheetName val="전사_BS6"/>
      <sheetName val="자금_제외_BS6"/>
      <sheetName val="자금_BS6"/>
      <sheetName val="BS_계정_설명6"/>
      <sheetName val="_Cash_Flow(전사)6"/>
      <sheetName val="_Cash_Flow(자금제외)6"/>
      <sheetName val="_Cash_Flow(자금)6"/>
      <sheetName val="ROIC_6"/>
      <sheetName val="인건비_명세6"/>
      <sheetName val="판관비_명세6"/>
      <sheetName val="OH_Cost경비(내역)6"/>
      <sheetName val="OH_Cost경비(배부기준)6"/>
      <sheetName val="기타수지&amp;특별손익_명세6"/>
      <sheetName val="업무연락_(2)5"/>
      <sheetName val="제시_손익계산서5"/>
      <sheetName val="01_02월_성과급6"/>
      <sheetName val="M_7회차_담금_계획5"/>
      <sheetName val="팀별_실적5"/>
      <sheetName val="팀별_실적_(환산)5"/>
      <sheetName val="4__Inj_투자상세내역5"/>
      <sheetName val="3__Blow_투자_상세내역5"/>
      <sheetName val="Process_List5"/>
      <sheetName val="7_(2)5"/>
      <sheetName val="Prd_Hierarchy(产品层次)4"/>
      <sheetName val="Project_Code4"/>
      <sheetName val="_손익기01_XL4"/>
      <sheetName val="drop_down_list4"/>
      <sheetName val="[손익기01_XL_x005f_x0000__x005f_x0000_DePara4"/>
      <sheetName val="Income_Stmt4"/>
      <sheetName val="Quarterly_LBO_Model4"/>
      <sheetName val="[손익기01_XL4"/>
      <sheetName val="_손익기01_XL_x005f_x0000__x005f_x0000_DePara4"/>
      <sheetName val="15년_BL_사계4"/>
      <sheetName val="Classification_分类3"/>
      <sheetName val="Figures_Report3"/>
      <sheetName val="Set_Up4"/>
      <sheetName val="Fare_prices3"/>
      <sheetName val="Hotel_prices3"/>
      <sheetName val="tab_STATUS_DO_PROCESSO_3"/>
      <sheetName val="Perf__Plan__Diário13"/>
      <sheetName val="In_(2)3"/>
      <sheetName val="slide_24_cat_A3"/>
      <sheetName val="slide_82_cat_b3"/>
      <sheetName val="09~10년_매출계획3"/>
      <sheetName val="1_MDF1공장3"/>
      <sheetName val="Incident_유형구분표3"/>
      <sheetName val="CLASIFICACION_DE_AI3"/>
      <sheetName val="Base_da_Datos3"/>
      <sheetName val="Dados_dos_Produtos3"/>
      <sheetName val="DD_list3"/>
      <sheetName val="3YP2016-Bottom_up2"/>
      <sheetName val="2_카드채권(대출포함)2"/>
      <sheetName val="MASTER_APP2"/>
      <sheetName val="Cond__Inseguros2"/>
      <sheetName val="Comp__Inseguros2"/>
      <sheetName val="Lista_de_datos2"/>
      <sheetName val="Base_de_Datos2"/>
      <sheetName val="_DD_List2"/>
      <sheetName val="Share_Price_20022"/>
      <sheetName val="Clasif_2"/>
      <sheetName val="Lista_CI2"/>
      <sheetName val="Farol_Acciones2"/>
      <sheetName val="Lista_de_Entrenamientos2"/>
      <sheetName val="Supply_Cost_Centers2"/>
      <sheetName val="BEP_加薪_KPI1"/>
      <sheetName val="F08_-_Asia_Pac_Full_Year_Q32"/>
      <sheetName val="Top_Priorities2"/>
      <sheetName val="Listco_Stock2"/>
      <sheetName val="Intl_Purchase2"/>
      <sheetName val="FY_outlook2"/>
      <sheetName val="CY_outlook2"/>
      <sheetName val="Cash_metrics2"/>
      <sheetName val="P6_72"/>
      <sheetName val="DATOS_BASE1"/>
      <sheetName val="Hazards_Analysis-隐患分析1"/>
      <sheetName val="_손익기01_XL_x005f_x005f_x005f_x0000__x005f_x005f_x1"/>
      <sheetName val="Dashboard_Prevención_Riesgos_1"/>
      <sheetName val="TOP_KPIs_MTM1"/>
      <sheetName val="PLAN_DE_ACCION1"/>
      <sheetName val="Faro_de_Indicadores1"/>
      <sheetName val="Issues_List_Payments1"/>
      <sheetName val="Grafica_Actos1"/>
      <sheetName val="Condiciones_SyE1"/>
      <sheetName val="turnover_reason퇴직사유1"/>
      <sheetName val="POC_LIST1"/>
      <sheetName val="SKU_Basic_Data1"/>
      <sheetName val="DETALLE_MENSUAL1"/>
      <sheetName val="do_not_delete1"/>
      <sheetName val="REALxMETA_-_CERVEJA3"/>
      <sheetName val="REALxMETA_-_REFRI3"/>
      <sheetName val="APAC_S1"/>
      <sheetName val="APAC_N1"/>
      <sheetName val="Slide_output1"/>
      <sheetName val="Directrices_de_Metas_20171"/>
      <sheetName val="Entity_Target1"/>
      <sheetName val="VALIDACION_DE_DATOS"/>
      <sheetName val="Drop-down_List"/>
      <sheetName val="by_DD"/>
      <sheetName val="_손익기01.XL_x005f_x0000__x0"/>
      <sheetName val="工作表2"/>
      <sheetName val="条件格式选项"/>
      <sheetName val="单位信息"/>
      <sheetName val="条件格式"/>
      <sheetName val="요일 테이블 "/>
      <sheetName val="Nombre de SOP"/>
      <sheetName val="Vermelha"/>
      <sheetName val="Список"/>
      <sheetName val="targets"/>
      <sheetName val=" mngt Pillar"/>
      <sheetName val="2. Indicadores"/>
      <sheetName val="Ta¨"/>
      <sheetName val="Ta "/>
      <sheetName val="Sheet3 (2)"/>
      <sheetName val="Hoegaarden"/>
      <sheetName val="Lao &amp; Cam"/>
      <sheetName val="Hoegaarden 2019"/>
      <sheetName val="Lao &amp; Cam 2019"/>
      <sheetName val="Malaysia"/>
      <sheetName val="Malaysia 2019"/>
      <sheetName val="Singapore"/>
      <sheetName val="Singapore 2019"/>
      <sheetName val="Sheet2 (2)"/>
      <sheetName val="下拉菜单选项"/>
      <sheetName val="Lookups"/>
      <sheetName val="Other Listings"/>
      <sheetName val="Registros"/>
      <sheetName val="Lista de Entrenamientos RSO"/>
      <sheetName val="Tablero SDG"/>
      <sheetName val="Lista Areas"/>
      <sheetName val="One Page"/>
      <sheetName val="Tablero_SDG"/>
      <sheetName val="Lista_Areas"/>
      <sheetName val="One_Page"/>
      <sheetName val="Tablero_SDG1"/>
      <sheetName val="Lista_Areas1"/>
      <sheetName val="One_Page1"/>
      <sheetName val="Sub-Productos HN"/>
      <sheetName val="SDG"/>
      <sheetName val="Eficiencia linea"/>
      <sheetName val="Tablero_SDG2"/>
      <sheetName val="Lista_Areas2"/>
      <sheetName val="One_Page2"/>
      <sheetName val="Sub-Productos_HN"/>
      <sheetName val="Capa"/>
      <sheetName val="Reference"/>
      <sheetName val="Dropdown"/>
      <sheetName val="[손익기01_XL_x0000__x0000_DePara2"/>
      <sheetName val="_손익기01_XL_x0000__x0000_DePara2"/>
      <sheetName val="[손익기01_XL_x0000__x0000_DePara1"/>
      <sheetName val="_손익기01_XL_x0000__x0000_DePara1"/>
      <sheetName val="有效性"/>
      <sheetName val="基础信息"/>
      <sheetName val="dd"/>
      <sheetName val="隐患统计图"/>
      <sheetName val="Refs"/>
      <sheetName val="Unidades_SAC-REVENDA4"/>
      <sheetName val="FornecM_Check2"/>
      <sheetName val="Mod_Relac_2"/>
      <sheetName val="[손익기01_XL??DePara2"/>
      <sheetName val="Farol_Metas2"/>
      <sheetName val="Estratificación_AI2"/>
      <sheetName val="condicion_inseguras2"/>
      <sheetName val="Actos_Inseguros2"/>
      <sheetName val="Control_de_incidentes2"/>
      <sheetName val="Plan_de_Acción2"/>
      <sheetName val="Check_Qualidade"/>
      <sheetName val="De_Para1"/>
      <sheetName val="Check_Aderencia"/>
      <sheetName val="Ta"/>
      <sheetName val="Base_Farol"/>
      <sheetName val="Ventas_Campo"/>
      <sheetName val="Gerencial_IL"/>
      <sheetName val="Ta_"/>
      <sheetName val="ACTOS_POR_RIESGO"/>
      <sheetName val="Nombre_de_SOP"/>
      <sheetName val="drop_lists"/>
      <sheetName val="Check_GG"/>
      <sheetName val="KPIs_Hana"/>
      <sheetName val="Catalago_de_refacciones_"/>
      <sheetName val="Existencias_al_07-Nov-2012"/>
      <sheetName val="MRL_NON_SUPPLY_URU"/>
      <sheetName val="AIIM_-_Empresas_Ext_2012"/>
      <sheetName val="Pauta RPS Distribuição"/>
      <sheetName val="BaseGrupo"/>
      <sheetName val="RProd"/>
      <sheetName val="Planilha1"/>
      <sheetName val="Planilha2"/>
      <sheetName val="Estoque"/>
      <sheetName val="Estoque (2)"/>
      <sheetName val="ajuda"/>
      <sheetName val="Adm"/>
      <sheetName val="Controls"/>
      <sheetName val="菜单联动"/>
      <sheetName val="不安全行为库"/>
      <sheetName val="KPI标准"/>
      <sheetName val="Motorista"/>
      <sheetName val="[손익기01_XL_x0000__x0000_DePara3"/>
      <sheetName val="_손익기01_XL_x0000__x0000_DePara3"/>
      <sheetName val="_손익기01.XL_x0000__x0"/>
      <sheetName val="[손익기01_XL_x0000__x0000_DePara4"/>
      <sheetName val="_손익기01_XL_x0000__x0000_DePara4"/>
      <sheetName val="_손익기01_XL_x005f_x0000__x0"/>
      <sheetName val="_손익기01_XL_x005f_x0000__x1"/>
      <sheetName val="Julio"/>
      <sheetName val="CONTADOR"/>
      <sheetName val="DROP"/>
      <sheetName val="INGRESO"/>
      <sheetName val="DATOS DE VALIDACIÓN"/>
      <sheetName val="clasificación"/>
      <sheetName val="Datos con"/>
      <sheetName val="Dato"/>
      <sheetName val="Enero(11)"/>
      <sheetName val="Respel-RAEE"/>
      <sheetName val="Asistencia"/>
      <sheetName val=" Datos Cond."/>
      <sheetName val="CRITERIOS"/>
      <sheetName val="참조용"/>
      <sheetName val="이상욱"/>
      <sheetName val="최창원"/>
      <sheetName val="권순오"/>
      <sheetName val="유윤선"/>
      <sheetName val="서유덕"/>
      <sheetName val="이창훈"/>
      <sheetName val="이도현"/>
      <sheetName val="진형수"/>
      <sheetName val="원영훈"/>
      <sheetName val="정진광"/>
      <sheetName val="강승권"/>
      <sheetName val="마민호"/>
      <sheetName val="주차통행료"/>
      <sheetName val="이상욱2"/>
      <sheetName val="Comp Inseguros"/>
      <sheetName val="BNR_2012 в ящике"/>
      <sheetName val="Legend"/>
      <sheetName val="INGRESO (2)"/>
      <sheetName val="PG-K1610 (UEN Areas)MNG"/>
      <sheetName val="DATOS GEN."/>
      <sheetName val="NUEVOS CRITERIOS"/>
      <sheetName val="Condiciones Agua"/>
      <sheetName val="筛选列表"/>
      <sheetName val="ETD"/>
      <sheetName val="Cons"/>
      <sheetName val="TO_Data_Base14"/>
      <sheetName val="YTD_Summary13"/>
      <sheetName val="Month_Summary13"/>
      <sheetName val="Trial_Balance_MAY_200913"/>
      <sheetName val="TB_Pivot13"/>
      <sheetName val="total_per_LB_LB213"/>
      <sheetName val="Trial_Balance_Vlookup13"/>
      <sheetName val="Trial_Balance_APRIL_200913"/>
      <sheetName val="Roll_Out_AQ13"/>
      <sheetName val="Evolução_mandamentos13"/>
      <sheetName val="Planilha_resultados12"/>
      <sheetName val="Historico_200312"/>
      <sheetName val="Sig_Cycles_Accts_&amp;_Processes12"/>
      <sheetName val="Fixed_ZBB6"/>
      <sheetName val="E_法规NC6"/>
      <sheetName val="3_ISo_YTD6"/>
      <sheetName val="Données_LMU6"/>
      <sheetName val="Brazil_Sovereign6"/>
      <sheetName val="Resumen_Costo6"/>
      <sheetName val="Extract_Loss6"/>
      <sheetName val="QA_跟踪记录表6"/>
      <sheetName val="5_16"/>
      <sheetName val="Base_de_Dados6"/>
      <sheetName val="Como_Estamos6"/>
      <sheetName val="Controls_data8"/>
      <sheetName val="RG_Depots6"/>
      <sheetName val="material_data6"/>
      <sheetName val="other_data6"/>
      <sheetName val="Database_(RUR)Mar_YTD6"/>
      <sheetName val="SKU_Mapping6"/>
      <sheetName val="Drop_Down6"/>
      <sheetName val="Raw_Data6"/>
      <sheetName val="EBM-2_GHQ6"/>
      <sheetName val="Base_PEF7"/>
      <sheetName val="Testing_Template_Guidance6"/>
      <sheetName val="Test_Programs6"/>
      <sheetName val="Dados_BLP6"/>
      <sheetName val="FJJX_Bud_IB5"/>
      <sheetName val="JOB_PROFILE_-_LAS6"/>
      <sheetName val="ARdistr_(2)6"/>
      <sheetName val="look-up_data5"/>
      <sheetName val="Prd_Hierarchy(产品层级)5"/>
      <sheetName val="Com_(2PK)5"/>
      <sheetName val="Project_Code5"/>
      <sheetName val="요일_테이블6"/>
      <sheetName val="요일_테이블_(2)5"/>
      <sheetName val="Prd_Hierarchy(产品层次)5"/>
      <sheetName val="전사_PL7"/>
      <sheetName val="자금_제외_PL7"/>
      <sheetName val="자금_PL7"/>
      <sheetName val="전사_BS7"/>
      <sheetName val="자금_제외_BS7"/>
      <sheetName val="자금_BS7"/>
      <sheetName val="BS_계정_설명7"/>
      <sheetName val="_Cash_Flow(전사)7"/>
      <sheetName val="_Cash_Flow(자금제외)7"/>
      <sheetName val="_Cash_Flow(자금)7"/>
      <sheetName val="ROIC_7"/>
      <sheetName val="인건비_명세7"/>
      <sheetName val="판관비_명세7"/>
      <sheetName val="OH_Cost경비(내역)7"/>
      <sheetName val="OH_Cost경비(배부기준)7"/>
      <sheetName val="기타수지&amp;특별손익_명세7"/>
      <sheetName val="업무연락_(2)6"/>
      <sheetName val="제시_손익계산서6"/>
      <sheetName val="01_02월_성과급7"/>
      <sheetName val="M_7회차_담금_계획6"/>
      <sheetName val="팀별_실적6"/>
      <sheetName val="팀별_실적_(환산)6"/>
      <sheetName val="4__Inj_투자상세내역6"/>
      <sheetName val="3__Blow_투자_상세내역6"/>
      <sheetName val="Process_List6"/>
      <sheetName val="7_(2)6"/>
      <sheetName val="_손익기01_XL5"/>
      <sheetName val="Income_Stmt5"/>
      <sheetName val="drop_down_list5"/>
      <sheetName val="[손익기01_XL_x005f_x0000__x005f_x0000_DePara5"/>
      <sheetName val="Quarterly_LBO_Model5"/>
      <sheetName val="Figures_Report4"/>
      <sheetName val="[손익기01_XL5"/>
      <sheetName val="_손익기01_XL_x005f_x0000__x005f_x0000_DePara5"/>
      <sheetName val="Fare_prices4"/>
      <sheetName val="Hotel_prices4"/>
      <sheetName val="Set_Up5"/>
      <sheetName val="15년_BL_사계5"/>
      <sheetName val="1_종합손익(주택,개발)5"/>
      <sheetName val="2_실행예산5"/>
      <sheetName val="2_2과부족5"/>
      <sheetName val="2_3원가절감5"/>
      <sheetName val="8_외주비집행현황5"/>
      <sheetName val="9_자재비5"/>
      <sheetName val="10_현장집행5"/>
      <sheetName val="3_추가원가5"/>
      <sheetName val="3_추가원가_(2)5"/>
      <sheetName val="4_사전공사5"/>
      <sheetName val="5_추정공사비5"/>
      <sheetName val="6_금융비용5"/>
      <sheetName val="7_공사비집행현황(총괄)5"/>
      <sheetName val="11_1생산성5"/>
      <sheetName val="11_2인원산출5"/>
      <sheetName val="Classification_分类4"/>
      <sheetName val="tab_STATUS_DO_PROCESSO_4"/>
      <sheetName val="Perf__Plan__Diário14"/>
      <sheetName val="In_(2)4"/>
      <sheetName val="__한국_AMP_ASP-23_판매가격__4"/>
      <sheetName val="제조원가_원단위_분석4"/>
      <sheetName val="종합표양식(품의_&amp;_입고)_24"/>
      <sheetName val="원가관리_(동월대비)4"/>
      <sheetName val="b_balju_(2)4"/>
      <sheetName val="2-2_매출분석4"/>
      <sheetName val="몰드시스템_리스트4"/>
      <sheetName val="11_외화채무증권(AFS,HTM)084"/>
      <sheetName val="13_감액TEST_084"/>
      <sheetName val="12년_CF(9월)4"/>
      <sheetName val="중기조종사_단위단가4"/>
      <sheetName val="6PILE__(돌출)4"/>
      <sheetName val="Sheet1_(2)4"/>
      <sheetName val="CLASIFICACION_DE_AI4"/>
      <sheetName val="Base_da_Datos4"/>
      <sheetName val="slide_24_cat_A4"/>
      <sheetName val="slide_82_cat_b4"/>
      <sheetName val="Dados_dos_Produtos4"/>
      <sheetName val="09~10년_매출계획4"/>
      <sheetName val="1_MDF1공장4"/>
      <sheetName val="Incident_유형구분표4"/>
      <sheetName val="3YP2016-Bottom_up3"/>
      <sheetName val="DD_list4"/>
      <sheetName val="Base_de_Datos3"/>
      <sheetName val="Clasif_3"/>
      <sheetName val="Supply_Cost_Centers3"/>
      <sheetName val="Cond__Inseguros3"/>
      <sheetName val="Comp__Inseguros3"/>
      <sheetName val="Lista_de_datos3"/>
      <sheetName val="MASTER_APP3"/>
      <sheetName val="2_카드채권(대출포함)3"/>
      <sheetName val="Lista_CI3"/>
      <sheetName val="Dashboard_Prevención_Riesgos_2"/>
      <sheetName val="TOP_KPIs_MTM2"/>
      <sheetName val="PLAN_DE_ACCION2"/>
      <sheetName val="Faro_de_Indicadores2"/>
      <sheetName val="Farol_Acciones3"/>
      <sheetName val="Lista_de_Entrenamientos3"/>
      <sheetName val="Share_Price_20023"/>
      <sheetName val="_DD_List3"/>
      <sheetName val="BEP_加薪_KPI2"/>
      <sheetName val="Issues_List_Payments2"/>
      <sheetName val="do_not_delete2"/>
      <sheetName val="Grafica_Actos2"/>
      <sheetName val="APAC_S2"/>
      <sheetName val="APAC_N2"/>
      <sheetName val="Slide_output2"/>
      <sheetName val="Condiciones_SyE2"/>
      <sheetName val="REALxMETA_-_CERVEJA4"/>
      <sheetName val="REALxMETA_-_REFRI4"/>
      <sheetName val="Directrices_de_Metas_20172"/>
      <sheetName val="Data_validation2"/>
      <sheetName val="_손익기01_XL_x005f_x005f_x005f_x0000__x005f_x005f_x2"/>
      <sheetName val="Hazards_Analysis-隐患分析2"/>
      <sheetName val="F08_-_Asia_Pac_Full_Year_Q33"/>
      <sheetName val="Top_Priorities3"/>
      <sheetName val="Listco_Stock3"/>
      <sheetName val="Intl_Purchase3"/>
      <sheetName val="FY_outlook3"/>
      <sheetName val="CY_outlook3"/>
      <sheetName val="Cash_metrics3"/>
      <sheetName val="P6_73"/>
      <sheetName val="DATOS_BASE2"/>
      <sheetName val="97_사업추정(WEKI)2"/>
      <sheetName val="Tong_hop2"/>
      <sheetName val="95_1_1이후취득자산(숨기기상태)2"/>
      <sheetName val="6월_공정외주2"/>
      <sheetName val="입출재고현황_(2)2"/>
      <sheetName val="TRE_TABLE2"/>
      <sheetName val="입찰내역_발주처_양식2"/>
      <sheetName val="POC_LIST2"/>
      <sheetName val="turnover_reason퇴직사유2"/>
      <sheetName val="SKU_Basic_Data2"/>
      <sheetName val="Entity_Target2"/>
      <sheetName val="DETALLE_MENSUAL2"/>
      <sheetName val="Drop-down_List1"/>
      <sheetName val="by_DD1"/>
      <sheetName val="VALIDACION_DE_DATOS1"/>
      <sheetName val="Jul-Sep_Actual_cost_(2)1"/>
      <sheetName val="부재료_비교(11년_vs_10년)"/>
      <sheetName val="Sheet3_(2)"/>
      <sheetName val="Lao_&amp;_Cam"/>
      <sheetName val="Hoegaarden_2019"/>
      <sheetName val="Lao_&amp;_Cam_2019"/>
      <sheetName val="Malaysia_2019"/>
      <sheetName val="Singapore_2019"/>
      <sheetName val="Sheet2_(2)"/>
      <sheetName val="요일_테이블_"/>
      <sheetName val="Other_Listings"/>
      <sheetName val="2__Indicadores"/>
      <sheetName val="Lista_de_Entrenamientos_RSO"/>
      <sheetName val="Tablero_SDG3"/>
      <sheetName val="Lista_Areas3"/>
      <sheetName val="One_Page3"/>
      <sheetName val="Sub-Productos_HN1"/>
      <sheetName val="Eficiencia_linea"/>
      <sheetName val="_mngt_Pillar"/>
      <sheetName val="Un"/>
      <sheetName val="Justificativas"/>
      <sheetName val="DO NOT MOVE"/>
      <sheetName val="PINC汇总"/>
      <sheetName val="Note"/>
      <sheetName val="物料主数据"/>
      <sheetName val="选项"/>
      <sheetName val="品牌填写下拉菜单"/>
      <sheetName val="Dropdown list"/>
      <sheetName val="Liste"/>
      <sheetName val="清单"/>
      <sheetName val="beerflow"/>
      <sheetName val="요일_테이블7"/>
      <sheetName val="요일_테이블_(2)6"/>
      <sheetName val="TO_Data_Base15"/>
      <sheetName val="YTD_Summary14"/>
      <sheetName val="Month_Summary14"/>
      <sheetName val="Trial_Balance_MAY_200914"/>
      <sheetName val="TB_Pivot14"/>
      <sheetName val="total_per_LB_LB214"/>
      <sheetName val="Trial_Balance_Vlookup14"/>
      <sheetName val="Trial_Balance_APRIL_200914"/>
      <sheetName val="Roll_Out_AQ14"/>
      <sheetName val="Evolução_mandamentos14"/>
      <sheetName val="Planilha_resultados13"/>
      <sheetName val="Historico_200313"/>
      <sheetName val="Sig_Cycles_Accts_&amp;_Processes13"/>
      <sheetName val="3_ISo_YTD7"/>
      <sheetName val="E_法规NC7"/>
      <sheetName val="Données_LMU7"/>
      <sheetName val="Brazil_Sovereign7"/>
      <sheetName val="Resumen_Costo7"/>
      <sheetName val="Fixed_ZBB7"/>
      <sheetName val="5_17"/>
      <sheetName val="Extract_Loss7"/>
      <sheetName val="QA_跟踪记录表7"/>
      <sheetName val="RG_Depots7"/>
      <sheetName val="material_data7"/>
      <sheetName val="other_data7"/>
      <sheetName val="Como_Estamos7"/>
      <sheetName val="Database_(RUR)Mar_YTD7"/>
      <sheetName val="SKU_Mapping7"/>
      <sheetName val="Drop_Down7"/>
      <sheetName val="Raw_Data7"/>
      <sheetName val="EBM-2_GHQ7"/>
      <sheetName val="Base_PEF8"/>
      <sheetName val="Base_de_Dados7"/>
      <sheetName val="Testing_Template_Guidance7"/>
      <sheetName val="Test_Programs7"/>
      <sheetName val="Dados_BLP7"/>
      <sheetName val="Controls_data9"/>
      <sheetName val="FJJX_Bud_IB6"/>
      <sheetName val="look-up_data6"/>
      <sheetName val="JOB_PROFILE_-_LAS7"/>
      <sheetName val="ARdistr_(2)7"/>
      <sheetName val="Prd_Hierarchy(产品层级)6"/>
      <sheetName val="Com_(2PK)6"/>
      <sheetName val="전사_PL8"/>
      <sheetName val="자금_제외_PL8"/>
      <sheetName val="자금_PL8"/>
      <sheetName val="전사_BS8"/>
      <sheetName val="자금_제외_BS8"/>
      <sheetName val="자금_BS8"/>
      <sheetName val="BS_계정_설명8"/>
      <sheetName val="_Cash_Flow(전사)8"/>
      <sheetName val="_Cash_Flow(자금제외)8"/>
      <sheetName val="_Cash_Flow(자금)8"/>
      <sheetName val="ROIC_8"/>
      <sheetName val="인건비_명세8"/>
      <sheetName val="판관비_명세8"/>
      <sheetName val="OH_Cost경비(내역)8"/>
      <sheetName val="OH_Cost경비(배부기준)8"/>
      <sheetName val="기타수지&amp;특별손익_명세8"/>
      <sheetName val="업무연락_(2)7"/>
      <sheetName val="제시_손익계산서7"/>
      <sheetName val="01_02월_성과급8"/>
      <sheetName val="M_7회차_담금_계획7"/>
      <sheetName val="팀별_실적7"/>
      <sheetName val="팀별_실적_(환산)7"/>
      <sheetName val="4__Inj_투자상세내역7"/>
      <sheetName val="3__Blow_투자_상세내역7"/>
      <sheetName val="Process_List7"/>
      <sheetName val="7_(2)7"/>
      <sheetName val="Prd_Hierarchy(产品层次)6"/>
      <sheetName val="Project_Code6"/>
      <sheetName val="_손익기01_XL6"/>
      <sheetName val="drop_down_list6"/>
      <sheetName val="[손익기01_XL_x005f_x0000__x005f_x0000_DePara6"/>
      <sheetName val="Income_Stmt6"/>
      <sheetName val="Quarterly_LBO_Model6"/>
      <sheetName val="_손익기01_XL_x005f_x0000__x005f_x0000_DePara6"/>
      <sheetName val="[손익기01_XL6"/>
      <sheetName val="15년_BL_사계6"/>
      <sheetName val="1_종합손익(도급)6"/>
      <sheetName val="1_종합손익(주택,개발)6"/>
      <sheetName val="2_실행예산6"/>
      <sheetName val="2_2과부족6"/>
      <sheetName val="2_3원가절감6"/>
      <sheetName val="8_외주비집행현황6"/>
      <sheetName val="9_자재비6"/>
      <sheetName val="10_현장집행6"/>
      <sheetName val="3_추가원가6"/>
      <sheetName val="3_추가원가_(2)6"/>
      <sheetName val="4_사전공사6"/>
      <sheetName val="5_추정공사비6"/>
      <sheetName val="6_금융비용6"/>
      <sheetName val="7_공사비집행현황(총괄)6"/>
      <sheetName val="11_1생산성6"/>
      <sheetName val="11_2인원산출6"/>
      <sheetName val="Classification_分类5"/>
      <sheetName val="Figures_Report5"/>
      <sheetName val="Set_Up6"/>
      <sheetName val="Fare_prices5"/>
      <sheetName val="Hotel_prices5"/>
      <sheetName val="__한국_AMP_ASP-23_판매가격__5"/>
      <sheetName val="CC_Down_load_07165"/>
      <sheetName val="변경실행(2차)_5"/>
      <sheetName val="나_출고5"/>
      <sheetName val="나_입고5"/>
      <sheetName val="09년_인건비(속리산)5"/>
      <sheetName val="합산목표(감가+57_5)5"/>
      <sheetName val="제조원가_원단위_분석5"/>
      <sheetName val="종합표양식(품의_&amp;_입고)_25"/>
      <sheetName val="원가관리_(동월대비)5"/>
      <sheetName val="b_balju_(2)5"/>
      <sheetName val="2-2_매출분석5"/>
      <sheetName val="몰드시스템_리스트5"/>
      <sheetName val="11_외화채무증권(AFS,HTM)085"/>
      <sheetName val="13_감액TEST_085"/>
      <sheetName val="12년_CF(9월)5"/>
      <sheetName val="중기조종사_단위단가5"/>
      <sheetName val="6PILE__(돌출)5"/>
      <sheetName val="기성청구_공문5"/>
      <sheetName val="Sheet1_(2)5"/>
      <sheetName val="09~10년_매출계획5"/>
      <sheetName val="1_MDF1공장5"/>
      <sheetName val="tab_STATUS_DO_PROCESSO_5"/>
      <sheetName val="Perf__Plan__Diário15"/>
      <sheetName val="In_(2)5"/>
      <sheetName val="slide_24_cat_A5"/>
      <sheetName val="slide_82_cat_b5"/>
      <sheetName val="Incident_유형구분표5"/>
      <sheetName val="CLASIFICACION_DE_AI5"/>
      <sheetName val="Base_da_Datos5"/>
      <sheetName val="Dados_dos_Produtos5"/>
      <sheetName val="DD_list5"/>
      <sheetName val="3YP2016-Bottom_up4"/>
      <sheetName val="2_카드채권(대출포함)4"/>
      <sheetName val="表21_净利润调节表4"/>
      <sheetName val="MASTER_APP4"/>
      <sheetName val="Cond__Inseguros4"/>
      <sheetName val="Comp__Inseguros4"/>
      <sheetName val="Lista_de_datos4"/>
      <sheetName val="Base_de_Datos4"/>
      <sheetName val="_DD_List4"/>
      <sheetName val="Share_Price_20024"/>
      <sheetName val="Clasif_4"/>
      <sheetName val="Lista_CI4"/>
      <sheetName val="Farol_Acciones4"/>
      <sheetName val="Lista_de_Entrenamientos4"/>
      <sheetName val="Supply_Cost_Centers4"/>
      <sheetName val="BEP_加薪_KPI3"/>
      <sheetName val="F08_-_Asia_Pac_Full_Year_Q34"/>
      <sheetName val="Top_Priorities4"/>
      <sheetName val="Listco_Stock4"/>
      <sheetName val="Intl_Purchase4"/>
      <sheetName val="FY_outlook4"/>
      <sheetName val="CY_outlook4"/>
      <sheetName val="Cash_metrics4"/>
      <sheetName val="P6_74"/>
      <sheetName val="DATOS_BASE3"/>
      <sheetName val="Unidades_SAC-REVENDA5"/>
      <sheetName val="FornecM_Check3"/>
      <sheetName val="Estratificación_AI3"/>
      <sheetName val="condicion_inseguras3"/>
      <sheetName val="Actos_Inseguros3"/>
      <sheetName val="Control_de_incidentes3"/>
      <sheetName val="Plan_de_Acción3"/>
      <sheetName val="Dashboard_Prevención_Riesgos_3"/>
      <sheetName val="TOP_KPIs_MTM3"/>
      <sheetName val="PLAN_DE_ACCION3"/>
      <sheetName val="Faro_de_Indicadores3"/>
      <sheetName val="Hazards_Analysis-隐患分析3"/>
      <sheetName val="_손익기01_XL_x005f_x005f_x005f_x0000__x005f_x005f_x3"/>
      <sheetName val="97_사업추정(WEKI)3"/>
      <sheetName val="Tong_hop3"/>
      <sheetName val="95_1_1이후취득자산(숨기기상태)3"/>
      <sheetName val="6월_공정외주3"/>
      <sheetName val="입출재고현황_(2)3"/>
      <sheetName val="TRE_TABLE3"/>
      <sheetName val="입찰내역_발주처_양식3"/>
      <sheetName val="Jul-Sep_Actual_cost_(2)2"/>
      <sheetName val="Issues_List_Payments3"/>
      <sheetName val="turnover_reason퇴직사유3"/>
      <sheetName val="Grafica_Actos3"/>
      <sheetName val="POC_LIST3"/>
      <sheetName val="부재료_비교(11년_vs_10년)1"/>
      <sheetName val="Condiciones_SyE3"/>
      <sheetName val="DETALLE_MENSUAL3"/>
      <sheetName val="do_not_delete3"/>
      <sheetName val="APAC_S3"/>
      <sheetName val="APAC_N3"/>
      <sheetName val="Slide_output3"/>
      <sheetName val="[손익기01_XL??DePara3"/>
      <sheetName val="Farol_Metas3"/>
      <sheetName val="Mod_Relac_3"/>
      <sheetName val="REALxMETA_-_CERVEJA5"/>
      <sheetName val="REALxMETA_-_REFRI5"/>
      <sheetName val="Directrices_de_Metas_20173"/>
      <sheetName val="Data_validation3"/>
      <sheetName val="SKU_Basic_Data3"/>
      <sheetName val="Entity_Target3"/>
      <sheetName val="VALIDACION_DE_DATOS2"/>
      <sheetName val="Drop-down_List2"/>
      <sheetName val="by_DD2"/>
      <sheetName val="Check_Qualidade1"/>
      <sheetName val="De_Para2"/>
      <sheetName val="Check_Aderencia1"/>
      <sheetName val="_손익기01_XL_x005f_x0000__x01"/>
      <sheetName val="Base_Farol1"/>
      <sheetName val="Gerencial_IL1"/>
      <sheetName val="Ventas_Campo1"/>
      <sheetName val="ACTOS_POR_RIESGO1"/>
      <sheetName val="drop_lists1"/>
      <sheetName val="MRL_NON_SUPPLY_URU1"/>
      <sheetName val="AIIM_-_Empresas_Ext_20121"/>
      <sheetName val="KPIs_Hana1"/>
      <sheetName val="Catalago_de_refacciones_1"/>
      <sheetName val="Existencias_al_07-Nov-20121"/>
      <sheetName val="Check_GG1"/>
      <sheetName val="Sheet3_(2)1"/>
      <sheetName val="요일_테이블_1"/>
      <sheetName val="Nombre_de_SOP1"/>
      <sheetName val="_mngt_Pillar1"/>
      <sheetName val="2__Indicadores1"/>
      <sheetName val="Ta_1"/>
      <sheetName val="Lao_&amp;_Cam1"/>
      <sheetName val="Hoegaarden_20191"/>
      <sheetName val="Lao_&amp;_Cam_20191"/>
      <sheetName val="Malaysia_20191"/>
      <sheetName val="Singapore_20191"/>
      <sheetName val="Sheet2_(2)1"/>
      <sheetName val="Other_Listings1"/>
      <sheetName val="Lista_de_Entrenamientos_RSO1"/>
      <sheetName val="Tablero_SDG4"/>
      <sheetName val="Lista_Areas4"/>
      <sheetName val="One_Page4"/>
      <sheetName val="Sub-Productos_HN2"/>
      <sheetName val="Eficiencia_linea1"/>
      <sheetName val="Pauta_RPS_Distribuição"/>
      <sheetName val="Estoque_(2)"/>
      <sheetName val="_손익기01_XL_x0"/>
      <sheetName val="Comp_Inseguros"/>
      <sheetName val="BNR_2012_в_ящике"/>
      <sheetName val="DATOS_DE_VALIDACIÓN"/>
      <sheetName val="Datos_con"/>
      <sheetName val="_Datos_Cond_"/>
      <sheetName val="DO_NOT_MOVE"/>
      <sheetName val="INGRESO_(2)"/>
      <sheetName val="PG-K1610_(UEN_Areas)MNG"/>
      <sheetName val="DATOS_GEN_"/>
      <sheetName val="NUEVOS_CRITERIOS"/>
      <sheetName val="Condiciones_Agua"/>
      <sheetName val="[손익기01_XLDePara5"/>
      <sheetName val="_손익기01_XLDePara5"/>
      <sheetName val="Control de Fallas"/>
      <sheetName val="Setup for Templates"/>
      <sheetName val="Datos emp"/>
      <sheetName val="Проверки"/>
      <sheetName val="Drop list"/>
      <sheetName val="FX Rates"/>
      <sheetName val="Proced."/>
      <sheetName val="PTN"/>
      <sheetName val="Cut Machine Summary"/>
      <sheetName val="Validation lists"/>
      <sheetName val="Planilha_relts_xdb75__xdb62_eos7"/>
      <sheetName val="Testing_Template_Huidance1"/>
      <sheetName val="  한국 AMP ASP-23 판㧤가격  "/>
      <sheetName val="11.䡸화채무줝ⴌ(AFS,HTM)08"/>
      <sheetName val="status"/>
      <sheetName val="TIPO DE ACTO"/>
      <sheetName val="Marcas"/>
      <sheetName val="Concentrado"/>
      <sheetName val="CRITICIDAD DE CI"/>
      <sheetName val="Catálogo de CI"/>
      <sheetName val="% CUMPLIMIENTO"/>
      <sheetName val="% cumplimiento "/>
      <sheetName val="CALIFICACIONES 2019"/>
      <sheetName val="Lev 4 360 deg check Crit Task"/>
      <sheetName val="Lev 4 Chk IC Stock Crit Task"/>
      <sheetName val="Lev 4 WMS Putaway Crit Task"/>
      <sheetName val="Final_Summary-All"/>
      <sheetName val="Auxiliary"/>
      <sheetName val="PREENCHIMENTO"/>
      <sheetName val="Vagas x Candidatos"/>
      <sheetName val="Listas y equipos a evaluar"/>
      <sheetName val="NH3"/>
      <sheetName val="Hoja7"/>
      <sheetName val="Data Reporte"/>
      <sheetName val="Read me"/>
      <sheetName val="_x0000__x0005__x0000__x0001__x0000__x0000__x0000_"/>
      <sheetName val="_x0000__x0005__x0000_ÿ_x000f__x0000_ÿ"/>
      <sheetName val="Imputs"/>
      <sheetName val="Champions List"/>
      <sheetName val="Guidelines"/>
      <sheetName val="NAZ Strategy"/>
      <sheetName val="Daily Dashboard"/>
      <sheetName val="TO_Data_Base16"/>
      <sheetName val="YTD_Summary15"/>
      <sheetName val="Month_Summary15"/>
      <sheetName val="Trial_Balance_MAY_200915"/>
      <sheetName val="TB_Pivot15"/>
      <sheetName val="total_per_LB_LB215"/>
      <sheetName val="Trial_Balance_Vlookup15"/>
      <sheetName val="Trial_Balance_APRIL_200915"/>
      <sheetName val="Roll_Out_AQ15"/>
      <sheetName val="Evolução_mandamentos15"/>
      <sheetName val="Planilha_resultados14"/>
      <sheetName val="Historico_200314"/>
      <sheetName val="Sig_Cycles_Accts_&amp;_Processes14"/>
      <sheetName val="Fixed_ZBB8"/>
      <sheetName val="Como_Estamos8"/>
      <sheetName val="3_ISo_YTD8"/>
      <sheetName val="E_法规NC8"/>
      <sheetName val="Données_LMU8"/>
      <sheetName val="Brazil_Sovereign8"/>
      <sheetName val="Resumen_Costo8"/>
      <sheetName val="Base_de_Dados8"/>
      <sheetName val="Extract_Loss8"/>
      <sheetName val="5_18"/>
      <sheetName val="QA_跟踪记录表8"/>
      <sheetName val="RG_Depots8"/>
      <sheetName val="material_data8"/>
      <sheetName val="other_data8"/>
      <sheetName val="JOB_PROFILE_-_LAS8"/>
      <sheetName val="Database_(RUR)Mar_YTD8"/>
      <sheetName val="SKU_Mapping8"/>
      <sheetName val="Drop_Down8"/>
      <sheetName val="Raw_Data8"/>
      <sheetName val="EBM-2_GHQ8"/>
      <sheetName val="Base_PEF9"/>
      <sheetName val="Testing_Template_Guidance8"/>
      <sheetName val="Test_Programs8"/>
      <sheetName val="Controls_data10"/>
      <sheetName val="Dados_BLP8"/>
      <sheetName val="FJJX_Bud_IB7"/>
      <sheetName val="ARdistr_(2)8"/>
      <sheetName val="look-up_data7"/>
      <sheetName val="Prd_Hierarchy(产品层级)7"/>
      <sheetName val="Com_(2PK)7"/>
      <sheetName val="요일_테이블8"/>
      <sheetName val="요일_테이블_(2)7"/>
      <sheetName val="Prd_Hierarchy(产品层次)7"/>
      <sheetName val="Project_Code7"/>
      <sheetName val="전사_PL9"/>
      <sheetName val="자금_제외_PL9"/>
      <sheetName val="자금_PL9"/>
      <sheetName val="전사_BS9"/>
      <sheetName val="자금_제외_BS9"/>
      <sheetName val="자금_BS9"/>
      <sheetName val="BS_계정_설명9"/>
      <sheetName val="_Cash_Flow(전사)9"/>
      <sheetName val="_Cash_Flow(자금제외)9"/>
      <sheetName val="_Cash_Flow(자금)9"/>
      <sheetName val="ROIC_9"/>
      <sheetName val="인건비_명세9"/>
      <sheetName val="판관비_명세9"/>
      <sheetName val="OH_Cost경비(내역)9"/>
      <sheetName val="OH_Cost경비(배부기준)9"/>
      <sheetName val="기타수지&amp;특별손익_명세9"/>
      <sheetName val="업무연락_(2)8"/>
      <sheetName val="제시_손익계산서8"/>
      <sheetName val="01_02월_성과급9"/>
      <sheetName val="M_7회차_담금_계획8"/>
      <sheetName val="팀별_실적8"/>
      <sheetName val="팀별_실적_(환산)8"/>
      <sheetName val="4__Inj_투자상세내역8"/>
      <sheetName val="3__Blow_투자_상세내역8"/>
      <sheetName val="Process_List8"/>
      <sheetName val="7_(2)8"/>
      <sheetName val="_손익기01_XL7"/>
      <sheetName val="drop_down_list7"/>
      <sheetName val="[손익기01_XL_x005f_x0000__x005f_x0000_DePara7"/>
      <sheetName val="Income_Stmt7"/>
      <sheetName val="Quarterly_LBO_Model7"/>
      <sheetName val="Figures_Report6"/>
      <sheetName val="Set_Up7"/>
      <sheetName val="[손익기01_XL7"/>
      <sheetName val="tab_STATUS_DO_PROCESSO_6"/>
      <sheetName val="_손익기01_XL_x005f_x0000__x005f_x0000_DePara7"/>
      <sheetName val="Perf__Plan__Diário16"/>
      <sheetName val="In_(2)6"/>
      <sheetName val="Fare_prices6"/>
      <sheetName val="Hotel_prices6"/>
      <sheetName val="15년_BL_사계7"/>
      <sheetName val="Classification_分类6"/>
      <sheetName val="1_종합손익(도급)7"/>
      <sheetName val="1_종합손익(주택,개발)7"/>
      <sheetName val="2_실행예산7"/>
      <sheetName val="2_2과부족7"/>
      <sheetName val="2_3원가절감7"/>
      <sheetName val="8_외주비집행현황7"/>
      <sheetName val="9_자재비7"/>
      <sheetName val="10_현장집행7"/>
      <sheetName val="3_추가원가7"/>
      <sheetName val="3_추가원가_(2)7"/>
      <sheetName val="4_사전공사7"/>
      <sheetName val="5_추정공사비7"/>
      <sheetName val="6_금융비용7"/>
      <sheetName val="7_공사비집행현황(총괄)7"/>
      <sheetName val="11_1생산성7"/>
      <sheetName val="11_2인원산출7"/>
      <sheetName val="Clasif_5"/>
      <sheetName val="Cond__Inseguros5"/>
      <sheetName val="Comp__Inseguros5"/>
      <sheetName val="Lista_de_datos5"/>
      <sheetName val="MASTER_APP5"/>
      <sheetName val="CLASIFICACION_DE_AI6"/>
      <sheetName val="Base_da_Datos6"/>
      <sheetName val="__한국_AMP_ASP-23_판매가격__6"/>
      <sheetName val="CC_Down_load_07166"/>
      <sheetName val="변경실행(2차)_6"/>
      <sheetName val="나_출고6"/>
      <sheetName val="나_입고6"/>
      <sheetName val="09년_인건비(속리산)6"/>
      <sheetName val="합산목표(감가+57_5)6"/>
      <sheetName val="제조원가_원단위_분석6"/>
      <sheetName val="종합표양식(품의_&amp;_입고)_26"/>
      <sheetName val="원가관리_(동월대비)6"/>
      <sheetName val="b_balju_(2)6"/>
      <sheetName val="2-2_매출분석6"/>
      <sheetName val="몰드시스템_리스트6"/>
      <sheetName val="11_외화채무증권(AFS,HTM)086"/>
      <sheetName val="13_감액TEST_086"/>
      <sheetName val="12년_CF(9월)6"/>
      <sheetName val="중기조종사_단위단가6"/>
      <sheetName val="6PILE__(돌출)6"/>
      <sheetName val="기성청구_공문6"/>
      <sheetName val="Sheet1_(2)6"/>
      <sheetName val="slide_24_cat_A6"/>
      <sheetName val="slide_82_cat_b6"/>
      <sheetName val="Dados_dos_Produtos6"/>
      <sheetName val="09~10년_매출계획6"/>
      <sheetName val="1_MDF1공장6"/>
      <sheetName val="Incident_유형구분표6"/>
      <sheetName val="3YP2016-Bottom_up5"/>
      <sheetName val="DD_list6"/>
      <sheetName val="Lista_CI5"/>
      <sheetName val="Base_de_Datos5"/>
      <sheetName val="Dashboard_Prevención_Riesgos_4"/>
      <sheetName val="TOP_KPIs_MTM4"/>
      <sheetName val="PLAN_DE_ACCION4"/>
      <sheetName val="Faro_de_Indicadores4"/>
      <sheetName val="2_카드채권(대출포함)5"/>
      <sheetName val="表21_净利润调节表5"/>
      <sheetName val="DETALLE_MENSUAL4"/>
      <sheetName val="Farol_Acciones5"/>
      <sheetName val="FornecM_Check4"/>
      <sheetName val="Unidades_SAC-REVENDA6"/>
      <sheetName val="Lista_de_Entrenamientos5"/>
      <sheetName val="Supply_Cost_Centers5"/>
      <sheetName val="Estratificación_AI4"/>
      <sheetName val="condicion_inseguras4"/>
      <sheetName val="Actos_Inseguros4"/>
      <sheetName val="Control_de_incidentes4"/>
      <sheetName val="Plan_de_Acción4"/>
      <sheetName val="_DD_List5"/>
      <sheetName val="Share_Price_20025"/>
      <sheetName val="Grafica_Actos4"/>
      <sheetName val="Condiciones_SyE4"/>
      <sheetName val="REALxMETA_-_CERVEJA6"/>
      <sheetName val="REALxMETA_-_REFRI6"/>
      <sheetName val="BEP_加薪_KPI4"/>
      <sheetName val="[손익기01_XL??DePara4"/>
      <sheetName val="Farol_Metas4"/>
      <sheetName val="Mod_Relac_4"/>
      <sheetName val="Issues_List_Payments4"/>
      <sheetName val="Directrices_de_Metas_20174"/>
      <sheetName val="POC_LIST4"/>
      <sheetName val="Entity_Target4"/>
      <sheetName val="F08_-_Asia_Pac_Full_Year_Q35"/>
      <sheetName val="Top_Priorities5"/>
      <sheetName val="Listco_Stock5"/>
      <sheetName val="Intl_Purchase5"/>
      <sheetName val="FY_outlook5"/>
      <sheetName val="CY_outlook5"/>
      <sheetName val="Cash_metrics5"/>
      <sheetName val="P6_75"/>
      <sheetName val="DATOS_BASE4"/>
      <sheetName val="Hazards_Analysis-隐患分析4"/>
      <sheetName val="_손익기01_XL_x005f_x005f_x005f_x0000__x005f_x005f_x4"/>
      <sheetName val="SKU_Basic_Data4"/>
      <sheetName val="97_사업추정(WEKI)4"/>
      <sheetName val="Tong_hop4"/>
      <sheetName val="95_1_1이후취득자산(숨기기상태)4"/>
      <sheetName val="sum1_(2)4"/>
      <sheetName val="3_바닥판설계4"/>
      <sheetName val="6월_공정외주4"/>
      <sheetName val="2_대외공문4"/>
      <sheetName val="2_총괄표4"/>
      <sheetName val="입출재고현황_(2)4"/>
      <sheetName val="504전기실_동부하-L4"/>
      <sheetName val="OUTER_AREA(겹침없음)4"/>
      <sheetName val="EL_표면적4"/>
      <sheetName val="TRE_TABLE4"/>
      <sheetName val="입찰내역_발주처_양식4"/>
      <sheetName val="ACTOS_POR_RIESGO2"/>
      <sheetName val="do_not_delete4"/>
      <sheetName val="Check_Qualidade2"/>
      <sheetName val="De_Para3"/>
      <sheetName val="Nombre_de_SOP2"/>
      <sheetName val="drop_lists2"/>
      <sheetName val="APAC_S4"/>
      <sheetName val="APAC_N4"/>
      <sheetName val="Slide_output4"/>
      <sheetName val="turnover_reason퇴직사유4"/>
      <sheetName val="Data_validation4"/>
      <sheetName val="MRL_NON_SUPPLY_URU2"/>
      <sheetName val="Drop-down_List3"/>
      <sheetName val="by_DD3"/>
      <sheetName val="VALIDACION_DE_DATOS3"/>
      <sheetName val="Jul-Sep_Actual_cost_(2)3"/>
      <sheetName val="Check_Aderencia2"/>
      <sheetName val="Base_Farol2"/>
      <sheetName val="Gerencial_IL2"/>
      <sheetName val="Ventas_Campo2"/>
      <sheetName val="AIIM_-_Empresas_Ext_20122"/>
      <sheetName val="KPIs_Hana2"/>
      <sheetName val="Catalago_de_refacciones_2"/>
      <sheetName val="Existencias_al_07-Nov-20122"/>
      <sheetName val="Check_GG2"/>
      <sheetName val="Ta_2"/>
      <sheetName val="2__Indicadores2"/>
      <sheetName val="_손익기01_XL_x005f_x0000__x02"/>
      <sheetName val="부재료_비교(11년_vs_10년)2"/>
      <sheetName val="Sheet3_(2)2"/>
      <sheetName val="Lao_&amp;_Cam2"/>
      <sheetName val="Hoegaarden_20192"/>
      <sheetName val="Lao_&amp;_Cam_20192"/>
      <sheetName val="Malaysia_20192"/>
      <sheetName val="Singapore_20192"/>
      <sheetName val="Sheet2_(2)2"/>
      <sheetName val="Comp_Inseguros1"/>
      <sheetName val="Lista_de_Entrenamientos_RSO2"/>
      <sheetName val="_mngt_Pillar2"/>
      <sheetName val="Tablero_SDG5"/>
      <sheetName val="Lista_Areas5"/>
      <sheetName val="One_Page5"/>
      <sheetName val="Sub-Productos_HN3"/>
      <sheetName val="Eficiencia_linea2"/>
      <sheetName val="Pauta_RPS_Distribuição1"/>
      <sheetName val="Estoque_(2)1"/>
      <sheetName val="요일_테이블_2"/>
      <sheetName val="Other_Listings2"/>
      <sheetName val="BNR_2012_в_ящике1"/>
      <sheetName val="FX_Rates"/>
      <sheetName val="Vagas_x_Candidatos"/>
      <sheetName val="DO_NOT_MOVE1"/>
      <sheetName val="DATOS_DE_VALIDACIÓN1"/>
      <sheetName val="Datos_con1"/>
      <sheetName val="_Datos_Cond_1"/>
      <sheetName val="INGRESO_(2)1"/>
      <sheetName val="PG-K1610_(UEN_Areas)MNG1"/>
      <sheetName val="DATOS_GEN_1"/>
      <sheetName val="NUEVOS_CRITERIOS1"/>
      <sheetName val="Condiciones_Agua1"/>
      <sheetName val="__한국_AMP_ASP-23_판㧤가격__"/>
      <sheetName val="11_䡸화채무줝ⴌ(AFS,HTM)08"/>
      <sheetName val="Drop_list"/>
      <sheetName val="Dropdown_list"/>
      <sheetName val="Proced_"/>
      <sheetName val="Control_de_Fallas"/>
      <sheetName val="Setup_for_Templates"/>
      <sheetName val="Datos_emp"/>
      <sheetName val="TIPO_DE_ACTO"/>
      <sheetName val="%_cumplimiento_"/>
      <sheetName val="%_CUMPLIMIENTO"/>
      <sheetName val="Listas_y_equipos_a_evaluar"/>
      <sheetName val="CRITICIDAD_DE_CI"/>
      <sheetName val="Catálogo_de_CI"/>
      <sheetName val="Data_Reporte"/>
      <sheetName val="Read_me"/>
      <sheetName val="ÿÿ"/>
      <sheetName val="Validation_lists"/>
      <sheetName val="Cut_Machine_Summary"/>
      <sheetName val="Daily_Dashboard"/>
      <sheetName val="YTD_Summary16"/>
      <sheetName val="Month_Summary16"/>
      <sheetName val="Trial_Balance_MAY_200916"/>
      <sheetName val="TB_Pivot16"/>
      <sheetName val="total_per_LB_LB216"/>
      <sheetName val="Trial_Balance_Vlookup16"/>
      <sheetName val="Trial_Balance_APRIL_200916"/>
      <sheetName val="TO_Data_Base17"/>
      <sheetName val="Roll_Out_AQ16"/>
      <sheetName val="Evolução_mandamentos16"/>
      <sheetName val="Planilha_resultados15"/>
      <sheetName val="Historico_200315"/>
      <sheetName val="Sig_Cycles_Accts_&amp;_Processes15"/>
      <sheetName val="Fixed_ZBB9"/>
      <sheetName val="3_ISo_YTD9"/>
      <sheetName val="E_法规NC9"/>
      <sheetName val="Données_LMU9"/>
      <sheetName val="Brazil_Sovereign9"/>
      <sheetName val="Resumen_Costo9"/>
      <sheetName val="Extract_Loss9"/>
      <sheetName val="QA_跟踪记录表9"/>
      <sheetName val="5_19"/>
      <sheetName val="Como_Estamos9"/>
      <sheetName val="Base_de_Dados9"/>
      <sheetName val="RG_Depots9"/>
      <sheetName val="material_data9"/>
      <sheetName val="other_data9"/>
      <sheetName val="Database_(RUR)Mar_YTD9"/>
      <sheetName val="SKU_Mapping9"/>
      <sheetName val="Drop_Down9"/>
      <sheetName val="Raw_Data9"/>
      <sheetName val="EBM-2_GHQ9"/>
      <sheetName val="Base_PEF10"/>
      <sheetName val="Testing_Template_Guidance9"/>
      <sheetName val="Test_Programs9"/>
      <sheetName val="Controls_data11"/>
      <sheetName val="Dados_BLP9"/>
      <sheetName val="ARdistr_(2)9"/>
      <sheetName val="FJJX_Bud_IB8"/>
      <sheetName val="look-up_data8"/>
      <sheetName val="Prd_Hierarchy(产品层级)8"/>
      <sheetName val="Com_(2PK)8"/>
      <sheetName val="JOB_PROFILE_-_LAS9"/>
      <sheetName val="요일_테이블9"/>
      <sheetName val="요일_테이블_(2)8"/>
      <sheetName val="Prd_Hierarchy(产品层次)8"/>
      <sheetName val="Project_Code8"/>
      <sheetName val="전사_PL10"/>
      <sheetName val="자금_제외_PL10"/>
      <sheetName val="자금_PL10"/>
      <sheetName val="전사_BS10"/>
      <sheetName val="자금_제외_BS10"/>
      <sheetName val="자금_BS10"/>
      <sheetName val="BS_계정_설명10"/>
      <sheetName val="_Cash_Flow(전사)10"/>
      <sheetName val="_Cash_Flow(자금제외)10"/>
      <sheetName val="_Cash_Flow(자금)10"/>
      <sheetName val="ROIC_10"/>
      <sheetName val="인건비_명세10"/>
      <sheetName val="판관비_명세10"/>
      <sheetName val="OH_Cost경비(내역)10"/>
      <sheetName val="OH_Cost경비(배부기준)10"/>
      <sheetName val="기타수지&amp;특별손익_명세10"/>
      <sheetName val="업무연락_(2)9"/>
      <sheetName val="제시_손익계산서9"/>
      <sheetName val="01_02월_성과급10"/>
      <sheetName val="M_7회차_담금_계획9"/>
      <sheetName val="팀별_실적9"/>
      <sheetName val="팀별_실적_(환산)9"/>
      <sheetName val="4__Inj_투자상세내역9"/>
      <sheetName val="3__Blow_투자_상세내역9"/>
      <sheetName val="Process_List9"/>
      <sheetName val="7_(2)9"/>
      <sheetName val="_손익기01_XL8"/>
      <sheetName val="Income_Stmt8"/>
      <sheetName val="drop_down_list8"/>
      <sheetName val="Figures_Report7"/>
      <sheetName val="[손익기01_XL_x005f_x0000__x005f_x0000_DePara8"/>
      <sheetName val="Quarterly_LBO_Model8"/>
      <sheetName val="[손익기01_XL8"/>
      <sheetName val="_손익기01_XL_x005f_x0000__x005f_x0000_DePara8"/>
      <sheetName val="15년_BL_사계8"/>
      <sheetName val="1_종합손익(도급)8"/>
      <sheetName val="1_종합손익(주택,개발)8"/>
      <sheetName val="2_실행예산8"/>
      <sheetName val="2_2과부족8"/>
      <sheetName val="2_3원가절감8"/>
      <sheetName val="8_외주비집행현황8"/>
      <sheetName val="9_자재비8"/>
      <sheetName val="10_현장집행8"/>
      <sheetName val="3_추가원가8"/>
      <sheetName val="3_추가원가_(2)8"/>
      <sheetName val="4_사전공사8"/>
      <sheetName val="5_추정공사비8"/>
      <sheetName val="6_금융비용8"/>
      <sheetName val="7_공사비집행현황(총괄)8"/>
      <sheetName val="11_1생산성8"/>
      <sheetName val="11_2인원산출8"/>
      <sheetName val="Classification_分类7"/>
      <sheetName val="Set_Up8"/>
      <sheetName val="Fare_prices7"/>
      <sheetName val="Hotel_prices7"/>
      <sheetName val="tab_STATUS_DO_PROCESSO_7"/>
      <sheetName val="Perf__Plan__Diário17"/>
      <sheetName val="In_(2)7"/>
      <sheetName val="__한국_AMP_ASP-23_판매가격__7"/>
      <sheetName val="CC_Down_load_07167"/>
      <sheetName val="변경실행(2차)_7"/>
      <sheetName val="나_출고7"/>
      <sheetName val="나_입고7"/>
      <sheetName val="09년_인건비(속리산)7"/>
      <sheetName val="합산목표(감가+57_5)7"/>
      <sheetName val="제조원가_원단위_분석7"/>
      <sheetName val="종합표양식(품의_&amp;_입고)_27"/>
      <sheetName val="원가관리_(동월대비)7"/>
      <sheetName val="b_balju_(2)7"/>
      <sheetName val="2-2_매출분석7"/>
      <sheetName val="몰드시스템_리스트7"/>
      <sheetName val="11_외화채무증권(AFS,HTM)087"/>
      <sheetName val="13_감액TEST_087"/>
      <sheetName val="12년_CF(9월)7"/>
      <sheetName val="중기조종사_단위단가7"/>
      <sheetName val="6PILE__(돌출)7"/>
      <sheetName val="기성청구_공문7"/>
      <sheetName val="Sheet1_(2)7"/>
      <sheetName val="CLASIFICACION_DE_AI7"/>
      <sheetName val="Base_da_Datos7"/>
      <sheetName val="slide_24_cat_A7"/>
      <sheetName val="slide_82_cat_b7"/>
      <sheetName val="Dados_dos_Produtos7"/>
      <sheetName val="09~10년_매출계획7"/>
      <sheetName val="1_MDF1공장7"/>
      <sheetName val="Incident_유형구분표7"/>
      <sheetName val="3YP2016-Bottom_up6"/>
      <sheetName val="DD_list7"/>
      <sheetName val="Base_de_Datos6"/>
      <sheetName val="Supply_Cost_Centers6"/>
      <sheetName val="2_카드채권(대출포함)6"/>
      <sheetName val="表21_净利润调节表6"/>
      <sheetName val="Cond__Inseguros6"/>
      <sheetName val="Comp__Inseguros6"/>
      <sheetName val="Lista_de_datos6"/>
      <sheetName val="MASTER_APP6"/>
      <sheetName val="Clasif_6"/>
      <sheetName val="Farol_Acciones6"/>
      <sheetName val="Lista_de_Entrenamientos6"/>
      <sheetName val="Unidades_SAC-REVENDA7"/>
      <sheetName val="FornecM_Check5"/>
      <sheetName val="Lista_CI6"/>
      <sheetName val="Estratificación_AI5"/>
      <sheetName val="condicion_inseguras5"/>
      <sheetName val="Actos_Inseguros5"/>
      <sheetName val="Control_de_incidentes5"/>
      <sheetName val="Plan_de_Acción5"/>
      <sheetName val="_DD_List6"/>
      <sheetName val="Share_Price_20026"/>
      <sheetName val="Issues_List_Payments5"/>
      <sheetName val="BEP_加薪_KPI5"/>
      <sheetName val="Faro_de_Indicadores5"/>
      <sheetName val="TOP_KPIs_MTM5"/>
      <sheetName val="PLAN_DE_ACCION5"/>
      <sheetName val="Grafica_Actos5"/>
      <sheetName val="POC_LIST5"/>
      <sheetName val="Dashboard_Prevención_Riesgos_5"/>
      <sheetName val="APAC_S5"/>
      <sheetName val="APAC_N5"/>
      <sheetName val="Slide_output5"/>
      <sheetName val="do_not_delete5"/>
      <sheetName val="[손익기01_XL??DePara5"/>
      <sheetName val="Farol_Metas5"/>
      <sheetName val="Mod_Relac_5"/>
      <sheetName val="Condiciones_SyE5"/>
      <sheetName val="REALxMETA_-_CERVEJA7"/>
      <sheetName val="REALxMETA_-_REFRI7"/>
      <sheetName val="Directrices_de_Metas_20175"/>
      <sheetName val="F08_-_Asia_Pac_Full_Year_Q36"/>
      <sheetName val="Top_Priorities6"/>
      <sheetName val="Listco_Stock6"/>
      <sheetName val="Intl_Purchase6"/>
      <sheetName val="FY_outlook6"/>
      <sheetName val="CY_outlook6"/>
      <sheetName val="Cash_metrics6"/>
      <sheetName val="P6_76"/>
      <sheetName val="DATOS_BASE5"/>
      <sheetName val="DETALLE_MENSUAL5"/>
      <sheetName val="Entity_Target5"/>
      <sheetName val="VALIDACION_DE_DATOS4"/>
      <sheetName val="_손익기01_XL_x005f_x005f_x005f_x0000__x005f_x005f_x5"/>
      <sheetName val="Hazards_Analysis-隐患分析5"/>
      <sheetName val="97_사업추정(WEKI)5"/>
      <sheetName val="Tong_hop5"/>
      <sheetName val="95_1_1이후취득자산(숨기기상태)5"/>
      <sheetName val="sum1_(2)5"/>
      <sheetName val="3_바닥판설계5"/>
      <sheetName val="6월_공정외주5"/>
      <sheetName val="2_대외공문5"/>
      <sheetName val="2_총괄표5"/>
      <sheetName val="입출재고현황_(2)5"/>
      <sheetName val="504전기실_동부하-L5"/>
      <sheetName val="OUTER_AREA(겹침없음)5"/>
      <sheetName val="EL_표면적5"/>
      <sheetName val="TRE_TABLE5"/>
      <sheetName val="입찰내역_발주처_양식5"/>
      <sheetName val="Data_validation5"/>
      <sheetName val="turnover_reason퇴직사유5"/>
      <sheetName val="SKU_Basic_Data5"/>
      <sheetName val="Jul-Sep_Actual_cost_(2)4"/>
      <sheetName val="Drop-down_List4"/>
      <sheetName val="by_DD4"/>
      <sheetName val="Check_Qualidade3"/>
      <sheetName val="Check_Aderencia3"/>
      <sheetName val="De_Para4"/>
      <sheetName val="Base_Farol3"/>
      <sheetName val="Gerencial_IL3"/>
      <sheetName val="Ventas_Campo3"/>
      <sheetName val="ACTOS_POR_RIESGO3"/>
      <sheetName val="drop_lists3"/>
      <sheetName val="MRL_NON_SUPPLY_URU3"/>
      <sheetName val="AIIM_-_Empresas_Ext_20123"/>
      <sheetName val="KPIs_Hana3"/>
      <sheetName val="Catalago_de_refacciones_3"/>
      <sheetName val="Existencias_al_07-Nov-20123"/>
      <sheetName val="Check_GG3"/>
      <sheetName val="Nombre_de_SOP3"/>
      <sheetName val="Ta_3"/>
      <sheetName val="2__Indicadores3"/>
      <sheetName val="부재료_비교(11년_vs_10년)3"/>
      <sheetName val="_손익기01_XL_x005f_x0000__x03"/>
      <sheetName val="_mngt_Pillar3"/>
      <sheetName val="Sheet3_(2)3"/>
      <sheetName val="Lista_de_Entrenamientos_RSO3"/>
      <sheetName val="Tablero_SDG6"/>
      <sheetName val="Lista_Areas6"/>
      <sheetName val="One_Page6"/>
      <sheetName val="Sub-Productos_HN4"/>
      <sheetName val="Eficiencia_linea3"/>
      <sheetName val="요일_테이블_3"/>
      <sheetName val="Sheet2_(2)3"/>
      <sheetName val="Lao_&amp;_Cam3"/>
      <sheetName val="Hoegaarden_20193"/>
      <sheetName val="Lao_&amp;_Cam_20193"/>
      <sheetName val="Malaysia_20193"/>
      <sheetName val="Singapore_20193"/>
      <sheetName val="Other_Listings3"/>
      <sheetName val="Pauta_RPS_Distribuição2"/>
      <sheetName val="Estoque_(2)2"/>
      <sheetName val="Comp_Inseguros2"/>
      <sheetName val="BNR_2012_в_ящике2"/>
      <sheetName val="DATOS_DE_VALIDACIÓN2"/>
      <sheetName val="Datos_con2"/>
      <sheetName val="_Datos_Cond_2"/>
      <sheetName val="DO_NOT_MOVE2"/>
      <sheetName val="INGRESO_(2)2"/>
      <sheetName val="PG-K1610_(UEN_Areas)MNG2"/>
      <sheetName val="DATOS_GEN_2"/>
      <sheetName val="NUEVOS_CRITERIOS2"/>
      <sheetName val="Condiciones_Agua2"/>
      <sheetName val="Dropdown_list1"/>
      <sheetName val="FX_Rates1"/>
      <sheetName val="Vagas_x_Candidatos1"/>
      <sheetName val="__한국_AMP_ASP-23_판㧤가격__1"/>
      <sheetName val="11_䡸화채무줝ⴌ(AFS,HTM)081"/>
      <sheetName val="Drop_list1"/>
      <sheetName val="Proced_1"/>
      <sheetName val="Control_de_Fallas1"/>
      <sheetName val="Setup_for_Templates1"/>
      <sheetName val="Datos_emp1"/>
      <sheetName val="TIPO_DE_ACTO1"/>
      <sheetName val="%_cumplimiento_1"/>
      <sheetName val="%_CUMPLIMIENTO1"/>
      <sheetName val="Listas_y_equipos_a_evaluar1"/>
      <sheetName val="CRITICIDAD_DE_CI1"/>
      <sheetName val="Catálogo_de_CI1"/>
      <sheetName val="Data_Reporte1"/>
      <sheetName val="Read_me1"/>
      <sheetName val="Validation_lists1"/>
      <sheetName val="Cut_Machine_Summary1"/>
      <sheetName val="Daily_Dashboard1"/>
      <sheetName val="Champions_List"/>
      <sheetName val="_손익기01_XL_x0000__x1"/>
      <sheetName val="_손익기01_XL_x005f_x0000__x2"/>
      <sheetName val="费用指引"/>
      <sheetName val="进货时间"/>
      <sheetName val="参考字段（不许更改）"/>
      <sheetName val="Mapeo SKUs"/>
      <sheetName val="Vol.(Ds)"/>
      <sheetName val="Vol.(Ka)"/>
      <sheetName val="Vol.(Oth)"/>
      <sheetName val="Vol.(Oth) Cortesias"/>
      <sheetName val="INPUT-$Intervention(Ds)"/>
      <sheetName val="INPUT-ICO"/>
      <sheetName val="INPUT-Cust.Sugg.Margin(Ds)"/>
      <sheetName val="On Invoice"/>
      <sheetName val="INPUT-$Intervention(Ka)"/>
      <sheetName val="INPUT-Cust.Sugg.Margin(Ka)"/>
      <sheetName val="INPUT SKUs"/>
      <sheetName val="清單"/>
      <sheetName val="Brand P&amp;L"/>
      <sheetName val="MALTA"/>
      <sheetName val="SPARK"/>
      <sheetName val="SUPERMONT"/>
      <sheetName val="SUPERMONT P"/>
      <sheetName val="Mapeo_SKUs"/>
      <sheetName val="Vol_(Ds)"/>
      <sheetName val="Vol_(Ka)"/>
      <sheetName val="Vol_(Oth)"/>
      <sheetName val="Vol_(Oth)_Cortesias"/>
      <sheetName val="INPUT-Cust_Sugg_Margin(Ds)"/>
      <sheetName val="On_Invoice"/>
      <sheetName val="INPUT-Cust_Sugg_Margin(Ka)"/>
      <sheetName val="INPUT_SKUs"/>
      <sheetName val="Mapeo_SKUs1"/>
      <sheetName val="Vol_(Ds)1"/>
      <sheetName val="Vol_(Ka)1"/>
      <sheetName val="Vol_(Oth)1"/>
      <sheetName val="Vol_(Oth)_Cortesias1"/>
      <sheetName val="INPUT-Cust_Sugg_Margin(Ds)1"/>
      <sheetName val="On_Invoice1"/>
      <sheetName val="INPUT-Cust_Sugg_Margin(Ka)1"/>
      <sheetName val="INPUT_SKUs1"/>
      <sheetName val="유효성목록"/>
      <sheetName val="Data selection"/>
      <sheetName val="BMU_H"/>
      <sheetName val="1."/>
      <sheetName val="Customer &amp; SO"/>
      <sheetName val="Session Proposal"/>
      <sheetName val="社員リスト"/>
      <sheetName val="생산성"/>
      <sheetName val="Book1"/>
      <sheetName val="数据分类"/>
      <sheetName val="Dropdown Menu"/>
      <sheetName val="Territory"/>
      <sheetName val="MMR12活动类型"/>
      <sheetName val="经销商"/>
      <sheetName val="Region"/>
      <sheetName val="SalesPkg_TR_KHCode_TR_KHCode"/>
      <sheetName val="填写内容参考"/>
      <sheetName val="Análise Tempos"/>
      <sheetName val="Incentivo Automóvil"/>
      <sheetName val="EQR"/>
      <sheetName val="CNQ"/>
      <sheetName val="Справочник"/>
      <sheetName val="PDA BOP"/>
      <sheetName val="Referencias"/>
      <sheetName val="Códigos"/>
      <sheetName val="Validação de Dados"/>
      <sheetName val="No llenar "/>
      <sheetName val="0-info"/>
      <sheetName val="FAI分析"/>
      <sheetName val="미관리업소"/>
      <sheetName val="유류대 현황"/>
      <sheetName val="정평화"/>
      <sheetName val="김익성"/>
      <sheetName val="최일수"/>
      <sheetName val="정원구"/>
      <sheetName val="문공식"/>
      <sheetName val="박현일"/>
      <sheetName val="김진생"/>
      <sheetName val="Overdue(Feb)"/>
      <sheetName val="Overdue(Jan)"/>
      <sheetName val="취합"/>
      <sheetName val="PN+Extension"/>
      <sheetName val="1. 템플릿"/>
      <sheetName val="2. 작성 참고사항"/>
      <sheetName val="2월"/>
      <sheetName val="3월"/>
      <sheetName val="4월"/>
      <sheetName val="거리"/>
      <sheetName val="架构"/>
      <sheetName val="库存模板"/>
      <sheetName val="陈列明细"/>
      <sheetName val="mapping (2)"/>
      <sheetName val="Ref."/>
      <sheetName val="折扣类型"/>
      <sheetName val="目标SKU"/>
      <sheetName val="Backup"/>
      <sheetName val="匹配"/>
      <sheetName val="序列"/>
      <sheetName val="Lista de Motivos"/>
      <sheetName val="Ponto Crítico - Resp. Plano"/>
      <sheetName val="Lista Funcionários (2)"/>
      <sheetName val="PIRÂMIDE"/>
      <sheetName val="Consolidator"/>
      <sheetName val="2.3 Projects Status"/>
      <sheetName val="YTD_Summary17"/>
      <sheetName val="Month_Summary17"/>
      <sheetName val="Trial_Balance_MAY_200917"/>
      <sheetName val="TB_Pivot17"/>
      <sheetName val="total_per_LB_LB217"/>
      <sheetName val="Trial_Balance_Vlookup17"/>
      <sheetName val="Trial_Balance_APRIL_200917"/>
      <sheetName val="TO_Data_Base18"/>
      <sheetName val="Roll_Out_AQ17"/>
      <sheetName val="Evolução_mandamentos17"/>
      <sheetName val="Planilha_resultados16"/>
      <sheetName val="Historico_200316"/>
      <sheetName val="Sig_Cycles_Accts_&amp;_Processes16"/>
      <sheetName val="Fixed_ZBB10"/>
      <sheetName val="3_ISo_YTD10"/>
      <sheetName val="E_法规NC10"/>
      <sheetName val="Données_LMU10"/>
      <sheetName val="Brazil_Sovereign10"/>
      <sheetName val="Resumen_Costo10"/>
      <sheetName val="Extract_Loss10"/>
      <sheetName val="QA_跟踪记录表10"/>
      <sheetName val="5_110"/>
      <sheetName val="Como_Estamos10"/>
      <sheetName val="Base_de_Dados10"/>
      <sheetName val="RG_Depots10"/>
      <sheetName val="material_data10"/>
      <sheetName val="other_data10"/>
      <sheetName val="Database_(RUR)Mar_YTD10"/>
      <sheetName val="SKU_Mapping10"/>
      <sheetName val="Drop_Down10"/>
      <sheetName val="Raw_Data10"/>
      <sheetName val="EBM-2_GHQ10"/>
      <sheetName val="Base_PEF11"/>
      <sheetName val="Testing_Template_Guidance10"/>
      <sheetName val="Test_Programs10"/>
      <sheetName val="Controls_data12"/>
      <sheetName val="Dados_BLP10"/>
      <sheetName val="ARdistr_(2)10"/>
      <sheetName val="FJJX_Bud_IB9"/>
      <sheetName val="look-up_data9"/>
      <sheetName val="Prd_Hierarchy(产品层级)9"/>
      <sheetName val="Com_(2PK)9"/>
      <sheetName val="JOB_PROFILE_-_LAS10"/>
      <sheetName val="요일_테이블10"/>
      <sheetName val="요일_테이블_(2)9"/>
      <sheetName val="Prd_Hierarchy(产品层次)9"/>
      <sheetName val="Project_Code9"/>
      <sheetName val="전사_PL11"/>
      <sheetName val="자금_제외_PL11"/>
      <sheetName val="자금_PL11"/>
      <sheetName val="전사_BS11"/>
      <sheetName val="자금_제외_BS11"/>
      <sheetName val="자금_BS11"/>
      <sheetName val="BS_계정_설명11"/>
      <sheetName val="_Cash_Flow(전사)11"/>
      <sheetName val="_Cash_Flow(자금제외)11"/>
      <sheetName val="_Cash_Flow(자금)11"/>
      <sheetName val="ROIC_11"/>
      <sheetName val="인건비_명세11"/>
      <sheetName val="판관비_명세11"/>
      <sheetName val="OH_Cost경비(내역)11"/>
      <sheetName val="OH_Cost경비(배부기준)11"/>
      <sheetName val="기타수지&amp;특별손익_명세11"/>
      <sheetName val="업무연락_(2)10"/>
      <sheetName val="제시_손익계산서10"/>
      <sheetName val="01_02월_성과급11"/>
      <sheetName val="M_7회차_담금_계획10"/>
      <sheetName val="팀별_실적10"/>
      <sheetName val="팀별_실적_(환산)10"/>
      <sheetName val="4__Inj_투자상세내역10"/>
      <sheetName val="3__Blow_투자_상세내역10"/>
      <sheetName val="Process_List10"/>
      <sheetName val="7_(2)10"/>
      <sheetName val="_손익기01_XL9"/>
      <sheetName val="Income_Stmt9"/>
      <sheetName val="drop_down_list9"/>
      <sheetName val="Figures_Report8"/>
      <sheetName val="[손익기01_XL_x005f_x0000__x005f_x0000_DePara9"/>
      <sheetName val="Quarterly_LBO_Model9"/>
      <sheetName val="[손익기01_XL9"/>
      <sheetName val="_손익기01_XL_x005f_x0000__x005f_x0000_DePara9"/>
      <sheetName val="15년_BL_사계9"/>
      <sheetName val="1_종합손익(도급)9"/>
      <sheetName val="1_종합손익(주택,개발)9"/>
      <sheetName val="2_실행예산9"/>
      <sheetName val="2_2과부족9"/>
      <sheetName val="2_3원가절감9"/>
      <sheetName val="8_외주비집행현황9"/>
      <sheetName val="9_자재비9"/>
      <sheetName val="10_현장집행9"/>
      <sheetName val="3_추가원가9"/>
      <sheetName val="3_추가원가_(2)9"/>
      <sheetName val="4_사전공사9"/>
      <sheetName val="5_추정공사비9"/>
      <sheetName val="6_금융비용9"/>
      <sheetName val="7_공사비집행현황(총괄)9"/>
      <sheetName val="11_1생산성9"/>
      <sheetName val="11_2인원산출9"/>
      <sheetName val="Classification_分类8"/>
      <sheetName val="Set_Up9"/>
      <sheetName val="Fare_prices8"/>
      <sheetName val="Hotel_prices8"/>
      <sheetName val="tab_STATUS_DO_PROCESSO_8"/>
      <sheetName val="Perf__Plan__Diário18"/>
      <sheetName val="In_(2)8"/>
      <sheetName val="__한국_AMP_ASP-23_판매가격__8"/>
      <sheetName val="CC_Down_load_07168"/>
      <sheetName val="변경실행(2차)_8"/>
      <sheetName val="나_출고8"/>
      <sheetName val="나_입고8"/>
      <sheetName val="09년_인건비(속리산)8"/>
      <sheetName val="합산목표(감가+57_5)8"/>
      <sheetName val="제조원가_원단위_분석8"/>
      <sheetName val="종합표양식(품의_&amp;_입고)_28"/>
      <sheetName val="원가관리_(동월대비)8"/>
      <sheetName val="b_balju_(2)8"/>
      <sheetName val="2-2_매출분석8"/>
      <sheetName val="몰드시스템_리스트8"/>
      <sheetName val="11_외화채무증권(AFS,HTM)088"/>
      <sheetName val="13_감액TEST_088"/>
      <sheetName val="12년_CF(9월)8"/>
      <sheetName val="중기조종사_단위단가8"/>
      <sheetName val="6PILE__(돌출)8"/>
      <sheetName val="기성청구_공문8"/>
      <sheetName val="Sheet1_(2)8"/>
      <sheetName val="CLASIFICACION_DE_AI8"/>
      <sheetName val="Base_da_Datos8"/>
      <sheetName val="slide_24_cat_A8"/>
      <sheetName val="slide_82_cat_b8"/>
      <sheetName val="Dados_dos_Produtos8"/>
      <sheetName val="09~10년_매출계획8"/>
      <sheetName val="1_MDF1공장8"/>
      <sheetName val="Incident_유형구분표8"/>
      <sheetName val="3YP2016-Bottom_up7"/>
      <sheetName val="DD_list8"/>
      <sheetName val="Base_de_Datos7"/>
      <sheetName val="2_카드채권(대출포함)7"/>
      <sheetName val="表21_净利润调节表7"/>
      <sheetName val="MASTER_APP7"/>
      <sheetName val="Cond__Inseguros7"/>
      <sheetName val="Comp__Inseguros7"/>
      <sheetName val="Lista_de_datos7"/>
      <sheetName val="Supply_Cost_Centers7"/>
      <sheetName val="Clasif_7"/>
      <sheetName val="Farol_Acciones7"/>
      <sheetName val="Lista_de_Entrenamientos7"/>
      <sheetName val="Unidades_SAC-REVENDA8"/>
      <sheetName val="FornecM_Check6"/>
      <sheetName val="Lista_CI7"/>
      <sheetName val="Estratificación_AI6"/>
      <sheetName val="condicion_inseguras6"/>
      <sheetName val="Actos_Inseguros6"/>
      <sheetName val="Control_de_incidentes6"/>
      <sheetName val="Plan_de_Acción6"/>
      <sheetName val="_DD_List7"/>
      <sheetName val="Share_Price_20027"/>
      <sheetName val="BEP_加薪_KPI6"/>
      <sheetName val="F08_-_Asia_Pac_Full_Year_Q37"/>
      <sheetName val="Top_Priorities7"/>
      <sheetName val="Listco_Stock7"/>
      <sheetName val="Intl_Purchase7"/>
      <sheetName val="FY_outlook7"/>
      <sheetName val="CY_outlook7"/>
      <sheetName val="Cash_metrics7"/>
      <sheetName val="P6_77"/>
      <sheetName val="DATOS_BASE6"/>
      <sheetName val="Issues_List_Payments6"/>
      <sheetName val="Faro_de_Indicadores6"/>
      <sheetName val="TOP_KPIs_MTM6"/>
      <sheetName val="PLAN_DE_ACCION6"/>
      <sheetName val="Grafica_Actos6"/>
      <sheetName val="POC_LIST6"/>
      <sheetName val="Dashboard_Prevención_Riesgos_6"/>
      <sheetName val="APAC_S6"/>
      <sheetName val="APAC_N6"/>
      <sheetName val="Slide_output6"/>
      <sheetName val="do_not_delete6"/>
      <sheetName val="[손익기01_XL??DePara6"/>
      <sheetName val="Farol_Metas6"/>
      <sheetName val="Mod_Relac_6"/>
      <sheetName val="Condiciones_SyE6"/>
      <sheetName val="REALxMETA_-_CERVEJA8"/>
      <sheetName val="REALxMETA_-_REFRI8"/>
      <sheetName val="Directrices_de_Metas_20176"/>
      <sheetName val="DETALLE_MENSUAL6"/>
      <sheetName val="Entity_Target6"/>
      <sheetName val="VALIDACION_DE_DATOS5"/>
      <sheetName val="_손익기01_XL_x005f_x005f_x005f_x0000__x005f_x005f_x6"/>
      <sheetName val="Hazards_Analysis-隐患分析6"/>
      <sheetName val="97_사업추정(WEKI)6"/>
      <sheetName val="Tong_hop6"/>
      <sheetName val="95_1_1이후취득자산(숨기기상태)6"/>
      <sheetName val="sum1_(2)6"/>
      <sheetName val="3_바닥판설계6"/>
      <sheetName val="6월_공정외주6"/>
      <sheetName val="2_대외공문6"/>
      <sheetName val="2_총괄표6"/>
      <sheetName val="PAR"/>
      <sheetName val="订单追踪_信阳市区_0825"/>
      <sheetName val="Data_validation6"/>
      <sheetName val="입출재고현황_(2)6"/>
      <sheetName val="504전기실_동부하-L6"/>
      <sheetName val="OUTER_AREA(겹침없음)6"/>
      <sheetName val="EL_표면적6"/>
      <sheetName val="TRE_TABLE6"/>
      <sheetName val="입찰내역_발주처_양식6"/>
      <sheetName val="turnover_reason퇴직사유6"/>
      <sheetName val="SKU_Basic_Data6"/>
      <sheetName val="Check_Qualidade4"/>
      <sheetName val="De_Para5"/>
      <sheetName val="Check_Aderencia4"/>
      <sheetName val="Drop-down_List5"/>
      <sheetName val="by_DD5"/>
      <sheetName val="Jul-Sep_Actual_cost_(2)5"/>
      <sheetName val="Base_Farol4"/>
      <sheetName val="Gerencial_IL4"/>
      <sheetName val="Ventas_Campo4"/>
      <sheetName val="ACTOS_POR_RIESGO4"/>
      <sheetName val="drop_lists4"/>
      <sheetName val="MRL_NON_SUPPLY_URU4"/>
      <sheetName val="AIIM_-_Empresas_Ext_20124"/>
      <sheetName val="KPIs_Hana4"/>
      <sheetName val="Catalago_de_refacciones_4"/>
      <sheetName val="Existencias_al_07-Nov-20124"/>
      <sheetName val="Check_GG4"/>
      <sheetName val="Nombre_de_SOP4"/>
      <sheetName val="NAZ_Strategy"/>
      <sheetName val="Ta_4"/>
      <sheetName val="2__Indicadores4"/>
      <sheetName val="부재료_비교(11년_vs_10년)4"/>
      <sheetName val="_손익기01_XL_x005f_x0000__x04"/>
      <sheetName val="Lista_de_Entrenamientos_RSO4"/>
      <sheetName val="Tablero_SDG7"/>
      <sheetName val="Lista_Areas7"/>
      <sheetName val="One_Page7"/>
      <sheetName val="Sub-Productos_HN5"/>
      <sheetName val="Eficiencia_linea4"/>
      <sheetName val="_mngt_Pillar4"/>
      <sheetName val="Sheet3_(2)4"/>
      <sheetName val="요일_테이블_4"/>
      <sheetName val="Sheet2_(2)4"/>
      <sheetName val="Lao_&amp;_Cam4"/>
      <sheetName val="Hoegaarden_20194"/>
      <sheetName val="Lao_&amp;_Cam_20194"/>
      <sheetName val="Malaysia_20194"/>
      <sheetName val="Singapore_20194"/>
      <sheetName val="Other_Listings4"/>
      <sheetName val="Pauta_RPS_Distribuição3"/>
      <sheetName val="Estoque_(2)3"/>
      <sheetName val="Comp_Inseguros3"/>
      <sheetName val="BNR_2012_в_ящике3"/>
      <sheetName val="DATOS_DE_VALIDACIÓN3"/>
      <sheetName val="Datos_con3"/>
      <sheetName val="_Datos_Cond_3"/>
      <sheetName val="DO_NOT_MOVE3"/>
      <sheetName val="INGRESO_(2)3"/>
      <sheetName val="PG-K1610_(UEN_Areas)MNG3"/>
      <sheetName val="DATOS_GEN_3"/>
      <sheetName val="NUEVOS_CRITERIOS3"/>
      <sheetName val="Condiciones_Agua3"/>
      <sheetName val="Dropdown_list2"/>
      <sheetName val="Proced_2"/>
      <sheetName val="Drop_list2"/>
      <sheetName val="FX_Rates2"/>
      <sheetName val="Vagas_x_Candidatos2"/>
      <sheetName val="__한국_AMP_ASP-23_판㧤가격__2"/>
      <sheetName val="11_䡸화채무줝ⴌ(AFS,HTM)082"/>
      <sheetName val="Control_de_Fallas2"/>
      <sheetName val="Setup_for_Templates2"/>
      <sheetName val="Datos_emp2"/>
      <sheetName val="TIPO_DE_ACTO2"/>
      <sheetName val="%_cumplimiento_2"/>
      <sheetName val="%_CUMPLIMIENTO2"/>
      <sheetName val="Listas_y_equipos_a_evaluar2"/>
      <sheetName val="CRITICIDAD_DE_CI2"/>
      <sheetName val="Catálogo_de_CI2"/>
      <sheetName val="Data_Reporte2"/>
      <sheetName val="Read_me2"/>
      <sheetName val="Validation_lists2"/>
      <sheetName val="Cut_Machine_Summary2"/>
      <sheetName val="Daily_Dashboard2"/>
      <sheetName val="Champions_List1"/>
      <sheetName val="CALIFICACIONES_2019"/>
      <sheetName val="Lev_4_360_deg_check_Crit_Task"/>
      <sheetName val="Lev_4_Chk_IC_Stock_Crit_Task"/>
      <sheetName val="Lev_4_WMS_Putaway_Crit_Task"/>
      <sheetName val="Mapeo_SKUs2"/>
      <sheetName val="Vol_(Ds)2"/>
      <sheetName val="Vol_(Ka)2"/>
      <sheetName val="Vol_(Oth)2"/>
      <sheetName val="Vol_(Oth)_Cortesias2"/>
      <sheetName val="INPUT-Cust_Sugg_Margin(Ds)2"/>
      <sheetName val="On_Invoice2"/>
      <sheetName val="INPUT-Cust_Sugg_Margin(Ka)2"/>
      <sheetName val="INPUT_SKUs2"/>
      <sheetName val="Brand_P&amp;L"/>
      <sheetName val="SUPERMONT_P"/>
      <sheetName val="Data_selection"/>
      <sheetName val="1_"/>
      <sheetName val="Customer_&amp;_SO"/>
      <sheetName val="Session_Proposal"/>
      <sheetName val="PROCESS MD"/>
      <sheetName val="Table"/>
      <sheetName val="Consolidated_Project List"/>
      <sheetName val="Fixed Cost"/>
      <sheetName val="[손익기01_XL_x0000__x0000_DePara6"/>
      <sheetName val="_손익기01_XL_x0000__x0000_DePara6"/>
      <sheetName val="_손익기01_XL_x005f_x0000__x3"/>
      <sheetName val="_손익기01_XL_x0000__x01"/>
      <sheetName val="_손익기01_XL_x0000__x2"/>
      <sheetName val="_손익기01_XL_x0000__x3"/>
      <sheetName val="Project List"/>
      <sheetName val="概览"/>
      <sheetName val="Выпадающие списки"/>
      <sheetName val="Списки"/>
      <sheetName val="Listas desplegables"/>
      <sheetName val="Resumen General"/>
      <sheetName val="Cátalogo de CI"/>
      <sheetName val="Hoja2 (2)"/>
      <sheetName val="Technology check list"/>
      <sheetName val="Status de Usuario"/>
      <sheetName val="pel_nvo"/>
      <sheetName val="SST"/>
      <sheetName val="Actos y Condiciones "/>
      <sheetName val="Settings"/>
      <sheetName val="NO BORRAR"/>
      <sheetName val="CUMPLIMIENTO"/>
      <sheetName val="Formato checklist Lab"/>
      <sheetName val="SOP Freshness"/>
      <sheetName val="PAINEL RECOLHA CRÉDITO"/>
      <sheetName val="Gráficos - CDD"/>
      <sheetName val="Values"/>
      <sheetName val="Industries"/>
      <sheetName val="监控探头清单"/>
      <sheetName val="下拉选项"/>
      <sheetName val="不安全行为分类"/>
      <sheetName val="IQ_SALE_REAL_ESTATE_CF_FIN"/>
      <sheetName val="IQ_SALE_REAL_ESTATE_CF_INS"/>
      <sheetName val="IQ_SALE_REAL_ESTATE_CF_UTI"/>
      <sheetName val="IQ_SHORT_INTEREST_PERCENT"/>
      <sheetName val="IQ_TAX_EQUIV_NET_INT_INC"/>
      <sheetName val="IQ_TOTAL_DEBT_ISSUED_BNK"/>
      <sheetName val="IQ_TOTAL_DEBT_ISSUED_FIN"/>
      <sheetName val="IQ_TOTAL_DEBT_ISSUED_REIT"/>
      <sheetName val="IQ_TOTAL_DEBT_ISSUED_UTI"/>
      <sheetName val="IQ_TOTAL_DEBT_ISSUES_INS"/>
      <sheetName val="IQ_TOTAL_DEBT_OVER_EBITDA"/>
      <sheetName val="Text"/>
      <sheetName val="3. Training &amp; travel"/>
      <sheetName val="Mapeo_SKUs4"/>
      <sheetName val="Vol_(Ds)4"/>
      <sheetName val="Vol_(Ka)4"/>
      <sheetName val="Vol_(Oth)4"/>
      <sheetName val="Vol_(Oth)_Cortesias4"/>
      <sheetName val="INPUT-Cust_Sugg_Margin(Ds)4"/>
      <sheetName val="On_Invoice4"/>
      <sheetName val="INPUT-Cust_Sugg_Margin(Ka)4"/>
      <sheetName val="INPUT_SKUs4"/>
      <sheetName val="SUPERMONT_P2"/>
      <sheetName val="Brand_P&amp;L1"/>
      <sheetName val="Mapeo_SKUs3"/>
      <sheetName val="Vol_(Ds)3"/>
      <sheetName val="Vol_(Ka)3"/>
      <sheetName val="Vol_(Oth)3"/>
      <sheetName val="Vol_(Oth)_Cortesias3"/>
      <sheetName val="INPUT-Cust_Sugg_Margin(Ds)3"/>
      <sheetName val="On_Invoice3"/>
      <sheetName val="INPUT-Cust_Sugg_Margin(Ka)3"/>
      <sheetName val="INPUT_SKUs3"/>
      <sheetName val="SUPERMONT_P1"/>
      <sheetName val="Source"/>
      <sheetName val="Dimension IN Sheet1!D1912"/>
      <sheetName val="Dimension IN 1912"/>
      <sheetName val="Introduction"/>
      <sheetName val="Manage to Sustain"/>
      <sheetName val="Meeting List"/>
      <sheetName val="DropLists"/>
      <sheetName val="Packages Info"/>
      <sheetName val="Preferred Option"/>
      <sheetName val="TO_Data_Base19"/>
      <sheetName val="YTD_Summary18"/>
      <sheetName val="Month_Summary18"/>
      <sheetName val="Trial_Balance_MAY_200918"/>
      <sheetName val="TB_Pivot18"/>
      <sheetName val="total_per_LB_LB218"/>
      <sheetName val="Trial_Balance_Vlookup18"/>
      <sheetName val="Trial_Balance_APRIL_200918"/>
      <sheetName val="Roll_Out_AQ18"/>
      <sheetName val="Evolução_mandamentos18"/>
      <sheetName val="Planilha_resultados17"/>
      <sheetName val="Historico_200317"/>
      <sheetName val="Sig_Cycles_Accts_&amp;_Processes17"/>
      <sheetName val="Fixed_ZBB11"/>
      <sheetName val="E_法规NC11"/>
      <sheetName val="3_ISo_YTD11"/>
      <sheetName val="Données_LMU11"/>
      <sheetName val="Brazil_Sovereign11"/>
      <sheetName val="Resumen_Costo11"/>
      <sheetName val="Base_de_Dados11"/>
      <sheetName val="Extract_Loss11"/>
      <sheetName val="5_111"/>
      <sheetName val="QA_跟踪记录表11"/>
      <sheetName val="RG_Depots11"/>
      <sheetName val="material_data11"/>
      <sheetName val="other_data11"/>
      <sheetName val="Como_Estamos11"/>
      <sheetName val="Database_(RUR)Mar_YTD11"/>
      <sheetName val="SKU_Mapping11"/>
      <sheetName val="Drop_Down11"/>
      <sheetName val="Raw_Data11"/>
      <sheetName val="EBM-2_GHQ11"/>
      <sheetName val="Base_PEF12"/>
      <sheetName val="Controls_data13"/>
      <sheetName val="Testing_Template_Guidance11"/>
      <sheetName val="Test_Programs11"/>
      <sheetName val="Dados_BLP11"/>
      <sheetName val="JOB_PROFILE_-_LAS11"/>
      <sheetName val="ARdistr_(2)11"/>
      <sheetName val="FJJX_Bud_IB10"/>
      <sheetName val="look-up_data10"/>
      <sheetName val="Prd_Hierarchy(产品层级)10"/>
      <sheetName val="Com_(2PK)10"/>
      <sheetName val="Project_Code10"/>
      <sheetName val="[손익기01_XL10"/>
      <sheetName val="요일_테이블11"/>
      <sheetName val="요일_테이블_(2)10"/>
      <sheetName val="Prd_Hierarchy(产品层次)10"/>
      <sheetName val="전사_PL12"/>
      <sheetName val="자금_제외_PL12"/>
      <sheetName val="자금_PL12"/>
      <sheetName val="전사_BS12"/>
      <sheetName val="자금_제외_BS12"/>
      <sheetName val="자금_BS12"/>
      <sheetName val="BS_계정_설명12"/>
      <sheetName val="_Cash_Flow(전사)12"/>
      <sheetName val="_Cash_Flow(자금제외)12"/>
      <sheetName val="_Cash_Flow(자금)12"/>
      <sheetName val="ROIC_12"/>
      <sheetName val="인건비_명세12"/>
      <sheetName val="판관비_명세12"/>
      <sheetName val="OH_Cost경비(내역)12"/>
      <sheetName val="OH_Cost경비(배부기준)12"/>
      <sheetName val="기타수지&amp;특별손익_명세12"/>
      <sheetName val="업무연락_(2)11"/>
      <sheetName val="제시_손익계산서11"/>
      <sheetName val="01_02월_성과급12"/>
      <sheetName val="M_7회차_담금_계획11"/>
      <sheetName val="팀별_실적11"/>
      <sheetName val="팀별_실적_(환산)11"/>
      <sheetName val="4__Inj_투자상세내역11"/>
      <sheetName val="3__Blow_투자_상세내역11"/>
      <sheetName val="Process_List11"/>
      <sheetName val="7_(2)11"/>
      <sheetName val="_손익기01_XL10"/>
      <sheetName val="drop_down_list10"/>
      <sheetName val="Income_Stmt10"/>
      <sheetName val="[손익기01_XL_x005f_x0000__x005f_x0000_DePara10"/>
      <sheetName val="Quarterly_LBO_Model10"/>
      <sheetName val="_손익기01_XL_x005f_x0000__x005f_x0000_DePara10"/>
      <sheetName val="15년_BL_사계10"/>
      <sheetName val="1_종합손익(도급)10"/>
      <sheetName val="1_종합손익(주택,개발)10"/>
      <sheetName val="2_실행예산10"/>
      <sheetName val="2_2과부족10"/>
      <sheetName val="2_3원가절감10"/>
      <sheetName val="8_외주비집행현황10"/>
      <sheetName val="9_자재비10"/>
      <sheetName val="10_현장집행10"/>
      <sheetName val="3_추가원가10"/>
      <sheetName val="3_추가원가_(2)10"/>
      <sheetName val="4_사전공사10"/>
      <sheetName val="5_추정공사비10"/>
      <sheetName val="6_금융비용10"/>
      <sheetName val="7_공사비집행현황(총괄)10"/>
      <sheetName val="11_1생산성10"/>
      <sheetName val="11_2인원산출10"/>
      <sheetName val="Figures_Report9"/>
      <sheetName val="Classification_分类9"/>
      <sheetName val="Set_Up10"/>
      <sheetName val="Fare_prices9"/>
      <sheetName val="Hotel_prices9"/>
      <sheetName val="tab_STATUS_DO_PROCESSO_9"/>
      <sheetName val="slide_24_cat_A9"/>
      <sheetName val="slide_82_cat_b9"/>
      <sheetName val="__한국_AMP_ASP-23_판매가격__9"/>
      <sheetName val="CC_Down_load_07169"/>
      <sheetName val="변경실행(2차)_9"/>
      <sheetName val="나_출고9"/>
      <sheetName val="나_입고9"/>
      <sheetName val="09년_인건비(속리산)9"/>
      <sheetName val="합산목표(감가+57_5)9"/>
      <sheetName val="제조원가_원단위_분석9"/>
      <sheetName val="종합표양식(품의_&amp;_입고)_29"/>
      <sheetName val="원가관리_(동월대비)9"/>
      <sheetName val="b_balju_(2)9"/>
      <sheetName val="2-2_매출분석9"/>
      <sheetName val="몰드시스템_리스트9"/>
      <sheetName val="11_외화채무증권(AFS,HTM)089"/>
      <sheetName val="13_감액TEST_089"/>
      <sheetName val="12년_CF(9월)9"/>
      <sheetName val="중기조종사_단위단가9"/>
      <sheetName val="6PILE__(돌출)9"/>
      <sheetName val="기성청구_공문9"/>
      <sheetName val="Sheet1_(2)9"/>
      <sheetName val="Perf__Plan__Diário19"/>
      <sheetName val="In_(2)9"/>
      <sheetName val="CLASIFICACION_DE_AI9"/>
      <sheetName val="Base_da_Datos9"/>
      <sheetName val="Dados_dos_Produtos9"/>
      <sheetName val="09~10년_매출계획9"/>
      <sheetName val="1_MDF1공장9"/>
      <sheetName val="Incident_유형구분표9"/>
      <sheetName val="3YP2016-Bottom_up8"/>
      <sheetName val="DD_list9"/>
      <sheetName val="Base_de_Datos8"/>
      <sheetName val="Clasif_8"/>
      <sheetName val="Supply_Cost_Centers8"/>
      <sheetName val="Cond__Inseguros8"/>
      <sheetName val="Comp__Inseguros8"/>
      <sheetName val="Lista_de_datos8"/>
      <sheetName val="MASTER_APP8"/>
      <sheetName val="2_카드채권(대출포함)8"/>
      <sheetName val="表21_净利润调节表8"/>
      <sheetName val="Lista_CI8"/>
      <sheetName val="Dashboard_Prevención_Riesgos_7"/>
      <sheetName val="TOP_KPIs_MTM7"/>
      <sheetName val="PLAN_DE_ACCION7"/>
      <sheetName val="Faro_de_Indicadores7"/>
      <sheetName val="Farol_Acciones8"/>
      <sheetName val="Lista_de_Entrenamientos8"/>
      <sheetName val="Unidades_SAC-REVENDA9"/>
      <sheetName val="FornecM_Check7"/>
      <sheetName val="Share_Price_20028"/>
      <sheetName val="_DD_List8"/>
      <sheetName val="BEP_加薪_KPI7"/>
      <sheetName val="_손익기01_XL_x005f_x005f_x005f_x0000__x005f_x005f_x7"/>
      <sheetName val="F08_-_Asia_Pac_Full_Year_Q38"/>
      <sheetName val="Top_Priorities8"/>
      <sheetName val="Listco_Stock8"/>
      <sheetName val="Intl_Purchase8"/>
      <sheetName val="FY_outlook8"/>
      <sheetName val="CY_outlook8"/>
      <sheetName val="Cash_metrics8"/>
      <sheetName val="P6_78"/>
      <sheetName val="DATOS_BASE7"/>
      <sheetName val="Estratificación_AI7"/>
      <sheetName val="condicion_inseguras7"/>
      <sheetName val="Actos_Inseguros7"/>
      <sheetName val="Control_de_incidentes7"/>
      <sheetName val="Plan_de_Acción7"/>
      <sheetName val="Hazards_Analysis-隐患分析7"/>
      <sheetName val="97_사업추정(WEKI)7"/>
      <sheetName val="Tong_hop7"/>
      <sheetName val="95_1_1이후취득자산(숨기기상태)7"/>
      <sheetName val="sum1_(2)7"/>
      <sheetName val="3_바닥판설계7"/>
      <sheetName val="6월_공정외주7"/>
      <sheetName val="2_대외공문7"/>
      <sheetName val="2_총괄표7"/>
      <sheetName val="입출재고현황_(2)7"/>
      <sheetName val="504전기실_동부하-L7"/>
      <sheetName val="OUTER_AREA(겹침없음)7"/>
      <sheetName val="EL_표면적7"/>
      <sheetName val="TRE_TABLE7"/>
      <sheetName val="입찰내역_발주처_양식7"/>
      <sheetName val="Issues_List_Payments7"/>
      <sheetName val="turnover_reason퇴직사유7"/>
      <sheetName val="Grafica_Actos7"/>
      <sheetName val="POC_LIST7"/>
      <sheetName val="Condiciones_SyE7"/>
      <sheetName val="DETALLE_MENSUAL7"/>
      <sheetName val="SKU_Basic_Data7"/>
      <sheetName val="do_not_delete7"/>
      <sheetName val="APAC_S7"/>
      <sheetName val="APAC_N7"/>
      <sheetName val="Slide_output7"/>
      <sheetName val="[손익기01_XL??DePara7"/>
      <sheetName val="Farol_Metas7"/>
      <sheetName val="Mod_Relac_7"/>
      <sheetName val="REALxMETA_-_CERVEJA9"/>
      <sheetName val="REALxMETA_-_REFRI9"/>
      <sheetName val="Directrices_de_Metas_20177"/>
      <sheetName val="Data_validation7"/>
      <sheetName val="Drop-down_List6"/>
      <sheetName val="by_DD6"/>
      <sheetName val="VALIDACION_DE_DATOS6"/>
      <sheetName val="Entity_Target7"/>
      <sheetName val="Jul-Sep_Actual_cost_(2)6"/>
      <sheetName val="Check_Qualidade5"/>
      <sheetName val="De_Para6"/>
      <sheetName val="Check_Aderencia5"/>
      <sheetName val="부재료_비교(11년_vs_10년)5"/>
      <sheetName val="_손익기01_XL_x005f_x0000__x05"/>
      <sheetName val="Base_Farol5"/>
      <sheetName val="Gerencial_IL5"/>
      <sheetName val="Ventas_Campo5"/>
      <sheetName val="ACTOS_POR_RIESGO5"/>
      <sheetName val="drop_lists5"/>
      <sheetName val="MRL_NON_SUPPLY_URU5"/>
      <sheetName val="AIIM_-_Empresas_Ext_20125"/>
      <sheetName val="KPIs_Hana5"/>
      <sheetName val="Catalago_de_refacciones_5"/>
      <sheetName val="Existencias_al_07-Nov-20125"/>
      <sheetName val="Check_GG5"/>
      <sheetName val="Sheet3_(2)5"/>
      <sheetName val="Nombre_de_SOP5"/>
      <sheetName val="Lao_&amp;_Cam5"/>
      <sheetName val="Hoegaarden_20195"/>
      <sheetName val="Lao_&amp;_Cam_20195"/>
      <sheetName val="Malaysia_20195"/>
      <sheetName val="Singapore_20195"/>
      <sheetName val="_mngt_Pillar5"/>
      <sheetName val="2__Indicadores5"/>
      <sheetName val="Ta_5"/>
      <sheetName val="요일_테이블_5"/>
      <sheetName val="Sheet2_(2)5"/>
      <sheetName val="Other_Listings5"/>
      <sheetName val="Lista_de_Entrenamientos_RSO5"/>
      <sheetName val="Tablero_SDG8"/>
      <sheetName val="Lista_Areas8"/>
      <sheetName val="One_Page8"/>
      <sheetName val="Sub-Productos_HN6"/>
      <sheetName val="Eficiencia_linea5"/>
      <sheetName val="Pauta_RPS_Distribuição4"/>
      <sheetName val="Estoque_(2)4"/>
      <sheetName val="Comp_Inseguros4"/>
      <sheetName val="BNR_2012_в_ящике4"/>
      <sheetName val="DATOS_DE_VALIDACIÓN4"/>
      <sheetName val="Datos_con4"/>
      <sheetName val="_Datos_Cond_4"/>
      <sheetName val="DO_NOT_MOVE4"/>
      <sheetName val="INGRESO_(2)4"/>
      <sheetName val="PG-K1610_(UEN_Areas)MNG4"/>
      <sheetName val="DATOS_GEN_4"/>
      <sheetName val="NUEVOS_CRITERIOS4"/>
      <sheetName val="Condiciones_Agua4"/>
      <sheetName val="Dropdown_list3"/>
      <sheetName val="Proced_3"/>
      <sheetName val="Drop_list3"/>
      <sheetName val="FX_Rates3"/>
      <sheetName val="Cut_Machine_Summary3"/>
      <sheetName val="__한국_AMP_ASP-23_판㧤가격__3"/>
      <sheetName val="11_䡸화채무줝ⴌ(AFS,HTM)083"/>
      <sheetName val="Control_de_Fallas3"/>
      <sheetName val="Setup_for_Templates3"/>
      <sheetName val="Datos_emp3"/>
      <sheetName val="Validation_lists3"/>
      <sheetName val="TIPO_DE_ACTO3"/>
      <sheetName val="CRITICIDAD_DE_CI3"/>
      <sheetName val="Catálogo_de_CI3"/>
      <sheetName val="%_CUMPLIMIENTO3"/>
      <sheetName val="%_cumplimiento_3"/>
      <sheetName val="CALIFICACIONES_20191"/>
      <sheetName val="Lev_4_360_deg_check_Crit_Task1"/>
      <sheetName val="Lev_4_Chk_IC_Stock_Crit_Task1"/>
      <sheetName val="Lev_4_WMS_Putaway_Crit_Task1"/>
      <sheetName val="Data_selection1"/>
      <sheetName val="1_1"/>
      <sheetName val="Customer_&amp;_SO1"/>
      <sheetName val="Session_Proposal1"/>
      <sheetName val="Vagas_x_Candidatos3"/>
      <sheetName val="Listas_y_equipos_a_evaluar3"/>
      <sheetName val="Data_Reporte3"/>
      <sheetName val="Read_me3"/>
      <sheetName val="Champions_List2"/>
      <sheetName val="NAZ_Strategy1"/>
      <sheetName val="Daily_Dashboard3"/>
      <sheetName val="Dropdown_Menu"/>
      <sheetName val="Análise_Tempos"/>
      <sheetName val="PDA_BOP"/>
      <sheetName val="Validação_de_Dados"/>
      <sheetName val="No_llenar_"/>
      <sheetName val="Incentivo_Automóvil"/>
      <sheetName val="유류대_현황"/>
      <sheetName val="mapping_(2)"/>
      <sheetName val="Ref_"/>
      <sheetName val="2_3_Projects_Status"/>
      <sheetName val="Lista_de_Motivos"/>
      <sheetName val="Ponto_Crítico_-_Resp__Plano"/>
      <sheetName val="Lista_Funcionários_(2)"/>
      <sheetName val="Project_List"/>
      <sheetName val="PROCESS_MD"/>
      <sheetName val="Выпадающие_списки"/>
      <sheetName val="1__템플릿"/>
      <sheetName val="2__작성_참고사항"/>
      <sheetName val="Listas_desplegables"/>
      <sheetName val="Resumen_General"/>
      <sheetName val="Cátalogo_de_CI"/>
      <sheetName val="Hoja2_(2)"/>
      <sheetName val="Technology_check_list"/>
      <sheetName val="Status_de_Usuario"/>
      <sheetName val="Actos_y_Condiciones_"/>
      <sheetName val="NO_BORRAR"/>
      <sheetName val="Formato_checklist_Lab"/>
      <sheetName val="Consolidated_Project_List"/>
      <sheetName val="Fixed_Cost"/>
      <sheetName val="Supporting"/>
      <sheetName val="입문 트랜드(종합분석)"/>
      <sheetName val="Maestras"/>
      <sheetName val="Master CE"/>
      <sheetName val="CE_Final "/>
      <sheetName val="CALENDAR"/>
      <sheetName val="OL LIST"/>
      <sheetName val="YTD GUEST LIST"/>
      <sheetName val="Session Full list"/>
      <sheetName val="FOOD PAYMENT update JAN"/>
      <sheetName val="Rate card F19 "/>
      <sheetName val="Master Plan  (update)"/>
      <sheetName val="The KPI "/>
      <sheetName val="Mentor Plan "/>
      <sheetName val="Master Plan "/>
      <sheetName val="Tier 1 GOV_PC Networking "/>
      <sheetName val="Tier 1 LBO "/>
      <sheetName val="工作表7"/>
      <sheetName val="自定义"/>
      <sheetName val="[손익기01_XL_x0000__x0000_DePara7"/>
      <sheetName val="_손익기01_XL_x0000__x0000_DePara7"/>
      <sheetName val="_손익기01_XL_x0000__x02"/>
      <sheetName val="[손익기01_XL_x0000__x0000_DePara8"/>
      <sheetName val="_손익기01_XL_x0000__x0000_DePara8"/>
      <sheetName val="_손익기01_XL_x0000__x03"/>
      <sheetName val="[손익기01_XL_x0000__x0000_DePara9"/>
      <sheetName val="_손익기01_XL_x0000__x0000_DePara9"/>
      <sheetName val="_손익기01_XL_x0000__x04"/>
      <sheetName val="_손익기01_XL_x005f_x0000__x4"/>
      <sheetName val="_손익기01_XL_x005f_x0000__x5"/>
      <sheetName val="_손익기01_XL_x005f_x0000__x6"/>
      <sheetName val="链接数据"/>
      <sheetName val="类型"/>
      <sheetName val="2020 MMR12"/>
      <sheetName val="不安全行为分析"/>
      <sheetName val="Razão Social"/>
      <sheetName val="MOTOSxCONDUTOR"/>
      <sheetName val="Plan4"/>
      <sheetName val="filtros"/>
      <sheetName val="Relatorio"/>
      <sheetName val="Codes"/>
      <sheetName val="PAINEL_RECOLHA_CRÉDITO"/>
      <sheetName val="Gráficos_-_CDD"/>
      <sheetName val="YTD_Summary19"/>
      <sheetName val="Month_Summary19"/>
      <sheetName val="Trial_Balance_MAY_200919"/>
      <sheetName val="TB_Pivot19"/>
      <sheetName val="total_per_LB_LB219"/>
      <sheetName val="Trial_Balance_Vlookup19"/>
      <sheetName val="Trial_Balance_APRIL_200919"/>
      <sheetName val="TO_Data_Base20"/>
      <sheetName val="Roll_Out_AQ19"/>
      <sheetName val="Evolução_mandamentos19"/>
      <sheetName val="Planilha_resultados18"/>
      <sheetName val="Historico_200318"/>
      <sheetName val="Sig_Cycles_Accts_&amp;_Processes18"/>
      <sheetName val="Fixed_ZBB12"/>
      <sheetName val="3_ISo_YTD12"/>
      <sheetName val="E_法规NC12"/>
      <sheetName val="Données_LMU12"/>
      <sheetName val="Brazil_Sovereign12"/>
      <sheetName val="Resumen_Costo12"/>
      <sheetName val="Extract_Loss12"/>
      <sheetName val="QA_跟踪记录表12"/>
      <sheetName val="5_112"/>
      <sheetName val="Como_Estamos12"/>
      <sheetName val="Base_de_Dados12"/>
      <sheetName val="RG_Depots12"/>
      <sheetName val="material_data12"/>
      <sheetName val="other_data12"/>
      <sheetName val="Database_(RUR)Mar_YTD12"/>
      <sheetName val="SKU_Mapping12"/>
      <sheetName val="Drop_Down12"/>
      <sheetName val="Raw_Data12"/>
      <sheetName val="EBM-2_GHQ12"/>
      <sheetName val="Base_PEF13"/>
      <sheetName val="Testing_Template_Guidance12"/>
      <sheetName val="Test_Programs12"/>
      <sheetName val="Controls_data14"/>
      <sheetName val="Dados_BLP12"/>
      <sheetName val="ARdistr_(2)12"/>
      <sheetName val="FJJX_Bud_IB11"/>
      <sheetName val="look-up_data11"/>
      <sheetName val="Prd_Hierarchy(产品层级)11"/>
      <sheetName val="Com_(2PK)11"/>
      <sheetName val="JOB_PROFILE_-_LAS12"/>
      <sheetName val="요일_테이블12"/>
      <sheetName val="요일_테이블_(2)11"/>
      <sheetName val="Prd_Hierarchy(产品层次)11"/>
      <sheetName val="Project_Code11"/>
      <sheetName val="전사_PL13"/>
      <sheetName val="자금_제외_PL13"/>
      <sheetName val="자금_PL13"/>
      <sheetName val="전사_BS13"/>
      <sheetName val="자금_제외_BS13"/>
      <sheetName val="자금_BS13"/>
      <sheetName val="BS_계정_설명13"/>
      <sheetName val="_Cash_Flow(전사)13"/>
      <sheetName val="_Cash_Flow(자금제외)13"/>
      <sheetName val="_Cash_Flow(자금)13"/>
      <sheetName val="ROIC_13"/>
      <sheetName val="인건비_명세13"/>
      <sheetName val="판관비_명세13"/>
      <sheetName val="OH_Cost경비(내역)13"/>
      <sheetName val="OH_Cost경비(배부기준)13"/>
      <sheetName val="기타수지&amp;특별손익_명세13"/>
      <sheetName val="업무연락_(2)12"/>
      <sheetName val="제시_손익계산서12"/>
      <sheetName val="01_02월_성과급13"/>
      <sheetName val="M_7회차_담금_계획12"/>
      <sheetName val="팀별_실적12"/>
      <sheetName val="팀별_실적_(환산)12"/>
      <sheetName val="4__Inj_투자상세내역12"/>
      <sheetName val="3__Blow_투자_상세내역12"/>
      <sheetName val="Process_List12"/>
      <sheetName val="7_(2)12"/>
      <sheetName val="_손익기01_XL11"/>
      <sheetName val="Income_Stmt11"/>
      <sheetName val="drop_down_list11"/>
      <sheetName val="Figures_Report10"/>
      <sheetName val="[손익기01_XL_x005f_x0000__x005f_x0000_DePara11"/>
      <sheetName val="Quarterly_LBO_Model11"/>
      <sheetName val="[손익기01_XL11"/>
      <sheetName val="_손익기01_XL_x005f_x0000__x005f_x0000_DePara11"/>
      <sheetName val="15년_BL_사계11"/>
      <sheetName val="1_종합손익(도급)11"/>
      <sheetName val="1_종합손익(주택,개발)11"/>
      <sheetName val="2_실행예산11"/>
      <sheetName val="2_2과부족11"/>
      <sheetName val="2_3원가절감11"/>
      <sheetName val="8_외주비집행현황11"/>
      <sheetName val="9_자재비11"/>
      <sheetName val="10_현장집행11"/>
      <sheetName val="3_추가원가11"/>
      <sheetName val="3_추가원가_(2)11"/>
      <sheetName val="4_사전공사11"/>
      <sheetName val="5_추정공사비11"/>
      <sheetName val="6_금융비용11"/>
      <sheetName val="7_공사비집행현황(총괄)11"/>
      <sheetName val="11_1생산성11"/>
      <sheetName val="11_2인원산출11"/>
      <sheetName val="Classification_分类10"/>
      <sheetName val="Set_Up11"/>
      <sheetName val="Fare_prices10"/>
      <sheetName val="Hotel_prices10"/>
      <sheetName val="tab_STATUS_DO_PROCESSO_10"/>
      <sheetName val="Perf__Plan__Diário110"/>
      <sheetName val="In_(2)10"/>
      <sheetName val="__한국_AMP_ASP-23_판매가격__10"/>
      <sheetName val="CC_Down_load_071610"/>
      <sheetName val="변경실행(2차)_10"/>
      <sheetName val="나_출고10"/>
      <sheetName val="나_입고10"/>
      <sheetName val="09년_인건비(속리산)10"/>
      <sheetName val="합산목표(감가+57_5)10"/>
      <sheetName val="제조원가_원단위_분석10"/>
      <sheetName val="종합표양식(품의_&amp;_입고)_210"/>
      <sheetName val="원가관리_(동월대비)10"/>
      <sheetName val="b_balju_(2)10"/>
      <sheetName val="2-2_매출분석10"/>
      <sheetName val="몰드시스템_리스트10"/>
      <sheetName val="11_외화채무증권(AFS,HTM)0810"/>
      <sheetName val="13_감액TEST_0810"/>
      <sheetName val="12년_CF(9월)10"/>
      <sheetName val="중기조종사_단위단가10"/>
      <sheetName val="6PILE__(돌출)10"/>
      <sheetName val="기성청구_공문10"/>
      <sheetName val="Sheet1_(2)10"/>
      <sheetName val="CLASIFICACION_DE_AI10"/>
      <sheetName val="Base_da_Datos10"/>
      <sheetName val="slide_24_cat_A10"/>
      <sheetName val="slide_82_cat_b10"/>
      <sheetName val="Dados_dos_Produtos10"/>
      <sheetName val="09~10년_매출계획10"/>
      <sheetName val="1_MDF1공장10"/>
      <sheetName val="Incident_유형구분표10"/>
      <sheetName val="3YP2016-Bottom_up9"/>
      <sheetName val="DD_list10"/>
      <sheetName val="Base_de_Datos9"/>
      <sheetName val="Supply_Cost_Centers9"/>
      <sheetName val="2_카드채권(대출포함)9"/>
      <sheetName val="表21_净利润调节表9"/>
      <sheetName val="Cond__Inseguros9"/>
      <sheetName val="Comp__Inseguros9"/>
      <sheetName val="Lista_de_datos9"/>
      <sheetName val="MASTER_APP9"/>
      <sheetName val="Clasif_9"/>
      <sheetName val="Farol_Acciones9"/>
      <sheetName val="Lista_de_Entrenamientos9"/>
      <sheetName val="Unidades_SAC-REVENDA10"/>
      <sheetName val="FornecM_Check8"/>
      <sheetName val="Lista_CI9"/>
      <sheetName val="Estratificación_AI8"/>
      <sheetName val="condicion_inseguras8"/>
      <sheetName val="Actos_Inseguros8"/>
      <sheetName val="Control_de_incidentes8"/>
      <sheetName val="Plan_de_Acción8"/>
      <sheetName val="_DD_List9"/>
      <sheetName val="Share_Price_20029"/>
      <sheetName val="Issues_List_Payments8"/>
      <sheetName val="BEP_加薪_KPI8"/>
      <sheetName val="Faro_de_Indicadores8"/>
      <sheetName val="TOP_KPIs_MTM8"/>
      <sheetName val="PLAN_DE_ACCION8"/>
      <sheetName val="Grafica_Actos8"/>
      <sheetName val="POC_LIST8"/>
      <sheetName val="Dashboard_Prevención_Riesgos_8"/>
      <sheetName val="APAC_S8"/>
      <sheetName val="APAC_N8"/>
      <sheetName val="Slide_output8"/>
      <sheetName val="do_not_delete8"/>
      <sheetName val="[손익기01_XL??DePara8"/>
      <sheetName val="Farol_Metas8"/>
      <sheetName val="Mod_Relac_8"/>
      <sheetName val="Condiciones_SyE8"/>
      <sheetName val="REALxMETA_-_CERVEJA10"/>
      <sheetName val="REALxMETA_-_REFRI10"/>
      <sheetName val="Directrices_de_Metas_20178"/>
      <sheetName val="F08_-_Asia_Pac_Full_Year_Q39"/>
      <sheetName val="Top_Priorities9"/>
      <sheetName val="Listco_Stock9"/>
      <sheetName val="Intl_Purchase9"/>
      <sheetName val="FY_outlook9"/>
      <sheetName val="CY_outlook9"/>
      <sheetName val="Cash_metrics9"/>
      <sheetName val="P6_79"/>
      <sheetName val="DATOS_BASE8"/>
      <sheetName val="DETALLE_MENSUAL8"/>
      <sheetName val="Entity_Target8"/>
      <sheetName val="VALIDACION_DE_DATOS7"/>
      <sheetName val="_손익기01_XL_x005f_x005f_x005f_x0000__x005f_x005f_x8"/>
      <sheetName val="Hazards_Analysis-隐患分析8"/>
      <sheetName val="97_사업추정(WEKI)8"/>
      <sheetName val="Tong_hop8"/>
      <sheetName val="95_1_1이후취득자산(숨기기상태)8"/>
      <sheetName val="sum1_(2)8"/>
      <sheetName val="3_바닥판설계8"/>
      <sheetName val="6월_공정외주8"/>
      <sheetName val="2_대외공문8"/>
      <sheetName val="2_총괄표8"/>
      <sheetName val="입출재고현황_(2)8"/>
      <sheetName val="504전기실_동부하-L8"/>
      <sheetName val="OUTER_AREA(겹침없음)8"/>
      <sheetName val="EL_표면적8"/>
      <sheetName val="TRE_TABLE8"/>
      <sheetName val="입찰내역_발주처_양식8"/>
      <sheetName val="Data_validation8"/>
      <sheetName val="turnover_reason퇴직사유8"/>
      <sheetName val="SKU_Basic_Data8"/>
      <sheetName val="Jul-Sep_Actual_cost_(2)7"/>
      <sheetName val="Drop-down_List7"/>
      <sheetName val="by_DD7"/>
      <sheetName val="Check_Qualidade6"/>
      <sheetName val="Check_Aderencia6"/>
      <sheetName val="De_Para7"/>
      <sheetName val="Base_Farol6"/>
      <sheetName val="Gerencial_IL6"/>
      <sheetName val="Ventas_Campo6"/>
      <sheetName val="ACTOS_POR_RIESGO6"/>
      <sheetName val="drop_lists6"/>
      <sheetName val="MRL_NON_SUPPLY_URU6"/>
      <sheetName val="AIIM_-_Empresas_Ext_20126"/>
      <sheetName val="KPIs_Hana6"/>
      <sheetName val="Catalago_de_refacciones_6"/>
      <sheetName val="Existencias_al_07-Nov-20126"/>
      <sheetName val="Check_GG6"/>
      <sheetName val="Nombre_de_SOP6"/>
      <sheetName val="Ta_6"/>
      <sheetName val="2__Indicadores6"/>
      <sheetName val="부재료_비교(11년_vs_10년)6"/>
      <sheetName val="_손익기01_XL_x005f_x0000__x06"/>
      <sheetName val="Lista_de_Entrenamientos_RSO6"/>
      <sheetName val="Tablero_SDG9"/>
      <sheetName val="Lista_Areas9"/>
      <sheetName val="One_Page9"/>
      <sheetName val="Sub-Productos_HN7"/>
      <sheetName val="Eficiencia_linea6"/>
      <sheetName val="_mngt_Pillar6"/>
      <sheetName val="Sheet3_(2)6"/>
      <sheetName val="요일_테이블_6"/>
      <sheetName val="Sheet2_(2)6"/>
      <sheetName val="Lao_&amp;_Cam6"/>
      <sheetName val="Hoegaarden_20196"/>
      <sheetName val="Lao_&amp;_Cam_20196"/>
      <sheetName val="Malaysia_20196"/>
      <sheetName val="Singapore_20196"/>
      <sheetName val="Other_Listings6"/>
      <sheetName val="Pauta_RPS_Distribuição5"/>
      <sheetName val="Estoque_(2)5"/>
      <sheetName val="Comp_Inseguros5"/>
      <sheetName val="BNR_2012_в_ящике5"/>
      <sheetName val="DATOS_DE_VALIDACIÓN5"/>
      <sheetName val="Datos_con5"/>
      <sheetName val="_Datos_Cond_5"/>
      <sheetName val="DO_NOT_MOVE5"/>
      <sheetName val="INGRESO_(2)5"/>
      <sheetName val="PG-K1610_(UEN_Areas)MNG5"/>
      <sheetName val="DATOS_GEN_5"/>
      <sheetName val="NUEVOS_CRITERIOS5"/>
      <sheetName val="Condiciones_Agua5"/>
      <sheetName val="Dropdown_list4"/>
      <sheetName val="FX_Rates4"/>
      <sheetName val="Vagas_x_Candidatos4"/>
      <sheetName val="__한국_AMP_ASP-23_판㧤가격__4"/>
      <sheetName val="11_䡸화채무줝ⴌ(AFS,HTM)084"/>
      <sheetName val="Drop_list4"/>
      <sheetName val="Proced_4"/>
      <sheetName val="Control_de_Fallas4"/>
      <sheetName val="Setup_for_Templates4"/>
      <sheetName val="Datos_emp4"/>
      <sheetName val="TIPO_DE_ACTO4"/>
      <sheetName val="%_cumplimiento_4"/>
      <sheetName val="%_CUMPLIMIENTO4"/>
      <sheetName val="Listas_y_equipos_a_evaluar4"/>
      <sheetName val="CRITICIDAD_DE_CI4"/>
      <sheetName val="Catálogo_de_CI4"/>
      <sheetName val="Data_Reporte4"/>
      <sheetName val="Read_me4"/>
      <sheetName val="Validation_lists4"/>
      <sheetName val="Cut_Machine_Summary4"/>
      <sheetName val="Daily_Dashboard4"/>
      <sheetName val="Champions_List3"/>
      <sheetName val="NAZ_Strategy2"/>
      <sheetName val="CALIFICACIONES_20192"/>
      <sheetName val="Lev_4_360_deg_check_Crit_Task2"/>
      <sheetName val="Lev_4_Chk_IC_Stock_Crit_Task2"/>
      <sheetName val="Lev_4_WMS_Putaway_Crit_Task2"/>
      <sheetName val="Brand_P&amp;L2"/>
      <sheetName val="Data_selection2"/>
      <sheetName val="1_2"/>
      <sheetName val="Customer_&amp;_SO2"/>
      <sheetName val="Session_Proposal2"/>
      <sheetName val="Análise_Tempos1"/>
      <sheetName val="Validação_de_Dados1"/>
      <sheetName val="No_llenar_1"/>
      <sheetName val="PDA_BOP1"/>
      <sheetName val="Incentivo_Automóvil1"/>
      <sheetName val="PROCESS_MD1"/>
      <sheetName val="Lista_de_Motivos1"/>
      <sheetName val="Ponto_Crítico_-_Resp__Plano1"/>
      <sheetName val="Lista_Funcionários_(2)1"/>
      <sheetName val="PAINEL_RECOLHA_CRÉDITO1"/>
      <sheetName val="Gráficos_-_CDD1"/>
      <sheetName val="데이터유효성목록"/>
      <sheetName val="네고14"/>
      <sheetName val="관리1"/>
      <sheetName val="연체리스료"/>
      <sheetName val="control sheet"/>
      <sheetName val="NCR_HEC_6 Opens"/>
      <sheetName val="NCR_HEC_4 Open &amp; Vendor_2 Opens"/>
      <sheetName val="2.FM Fee_2차년도"/>
      <sheetName val="3.감가장비"/>
      <sheetName val="1711월"/>
      <sheetName val="OH _x000f__x0000__x000c__x0000__x0006__x0000__x0005__x0000__x000c__x0000_"/>
      <sheetName val="_x0000__x0004__x0000__x0002__x0000__x0002__x0000__x0005__x0000__x0008__x0000_"/>
      <sheetName val="ࠀ฀က฀Ԁ"/>
      <sheetName val="OH _x000f_"/>
      <sheetName val="대환취급"/>
      <sheetName val="001"/>
      <sheetName val="공통부대비"/>
      <sheetName val="7_공사비집"/>
      <sheetName val="산출"/>
      <sheetName val="OUTER_A՜_x0000_缀_x0000__x0000__x0000_尀빙끯"/>
      <sheetName val="증감대비"/>
      <sheetName val="공종단가"/>
      <sheetName val="1공구산출내역서"/>
      <sheetName val="01_02월_성B_x0000_"/>
      <sheetName val="날개벽(시점좌측)"/>
      <sheetName val="1.설계조건"/>
      <sheetName val="_x005f_x0018__"/>
      <sheetName val="BSD (2)"/>
      <sheetName val="유리단가"/>
      <sheetName val="2_주요계수총괄2"/>
      <sheetName val="Project_Brief2"/>
      <sheetName val="단면_(2)2"/>
      <sheetName val="Facility_Information2"/>
      <sheetName val="P_M_별3"/>
      <sheetName val="PAD_TR보호대기초1"/>
      <sheetName val="1__시공측량1"/>
      <sheetName val="1_본사계정별2"/>
      <sheetName val="납부내역총괄표_(수정)1"/>
      <sheetName val="근거_및_가정1"/>
      <sheetName val="118_세금과공과2"/>
      <sheetName val="수종별수량_(2)1"/>
      <sheetName val="1_차입금1"/>
      <sheetName val="부대시행1_(2)1"/>
      <sheetName val="3_6_2남양주택배1"/>
      <sheetName val="Back_Data_12"/>
      <sheetName val="1월_예산1"/>
      <sheetName val="_견적서1"/>
      <sheetName val="Weekly_Progress(계장)1"/>
      <sheetName val="해외_기술훈련비_(합계)2"/>
      <sheetName val="설문_평가1"/>
      <sheetName val="전선_및_전선관1"/>
      <sheetName val="설산1_나1"/>
      <sheetName val="#1)_투자_구분1"/>
      <sheetName val="2013_2월_연결대상1"/>
      <sheetName val="Utility_Usage_YTN_TOWER1"/>
      <sheetName val="B-1_기본정보1"/>
      <sheetName val="대투_보관자료_변경1"/>
      <sheetName val="G_R300경비"/>
      <sheetName val="AS포장복구_"/>
      <sheetName val="설_계"/>
      <sheetName val="수량산출서_갑지"/>
      <sheetName val="KEY_CODE1"/>
      <sheetName val="실행기성_갑지1"/>
      <sheetName val="Eq__Mobilization"/>
      <sheetName val="준검_내역서"/>
      <sheetName val="날개수량1_5"/>
      <sheetName val="Rev__Recon_1"/>
      <sheetName val="1_고객불만건수"/>
      <sheetName val="1_변경범위"/>
      <sheetName val="외주현황_wq11"/>
      <sheetName val="2-1_강사료,교통비_지급명세1"/>
      <sheetName val="13_포장용역비표준1"/>
      <sheetName val="9_가공부자재표준1"/>
      <sheetName val="8_ROLL표준(TSW)1"/>
      <sheetName val="4_톤당조관량표준1"/>
      <sheetName val="5_조관부자재표준1"/>
      <sheetName val="2-2_투자1"/>
      <sheetName val="Proj__Fin_1"/>
      <sheetName val="ITS_Assumptions"/>
      <sheetName val="Master_Data"/>
      <sheetName val="HQ_급여_"/>
      <sheetName val="OF_급여"/>
      <sheetName val="F_Ma급여"/>
      <sheetName val="SMT_급여"/>
      <sheetName val="QC_급여"/>
      <sheetName val="Sam_sung_급여"/>
      <sheetName val="Dlock_급여"/>
      <sheetName val="_thôi_việc_급여"/>
      <sheetName val="Công_smt"/>
      <sheetName val="Công_smt_(2)"/>
      <sheetName val="Detail_smt"/>
      <sheetName val="Công_QC"/>
      <sheetName val="Detail_QC_"/>
      <sheetName val="Công_SS"/>
      <sheetName val="Detail_SS"/>
      <sheetName val="Công_FMa"/>
      <sheetName val="Detail_FMa"/>
      <sheetName val="Công_OF"/>
      <sheetName val="Detail_OF"/>
      <sheetName val="Công_Dlock"/>
      <sheetName val="Detail_Dlock"/>
      <sheetName val="Công_thôi_việc"/>
      <sheetName val="Detail_thôi"/>
      <sheetName val="7_Utility_Analysis"/>
      <sheetName val="Operational_Activities"/>
      <sheetName val="F_월별기성수금현황_"/>
      <sheetName val="기초정보_코드"/>
      <sheetName val="1__작성방식"/>
      <sheetName val="조도계산서_(도서)"/>
      <sheetName val="C1_3_1"/>
      <sheetName val="입찰내역_Ĉᇆ"/>
      <sheetName val="입찰내역_Ĉᇆ"/>
      <sheetName val="6월_공嚺㓶가"/>
      <sheetName val="sum_x000a_"/>
      <sheetName val="_"/>
      <sheetName val="설비등록"/>
      <sheetName val="표)CFT장_조직별_배분"/>
      <sheetName val="20180214_P&amp;T"/>
      <sheetName val="Ref__중점_추진_과제별_상세"/>
      <sheetName val="2_6_三无_(2)"/>
      <sheetName val="Worker_List"/>
      <sheetName val="GB-IC_Villingen_GG"/>
      <sheetName val="A(Rev_3)"/>
      <sheetName val="총괄집계표"/>
      <sheetName val="합계표"/>
      <sheetName val="_x005f_x0000___x0000__x0000__x0005__x0000_㴐ኰ"/>
      <sheetName val="_x005f_x0000___x0000__x0000__x0005__x0000_움ᕕ"/>
      <sheetName val="2_실행ﶻĉ_x0000_"/>
      <sheetName val="2_실행䔭疖꜀"/>
      <sheetName val="2_실행ﶻ_x001e__x0000_"/>
      <sheetName val="공통비_x0000__x0000_ʯ"/>
      <sheetName val="공통비_x0000_í遘̩"/>
      <sheetName val="날개벽수량표"/>
      <sheetName val="수량산출서 (2)"/>
      <sheetName val="이름표"/>
      <sheetName val="____"/>
      <sheetName val="Cash2"/>
      <sheetName val="Z"/>
      <sheetName val="항목(1)"/>
      <sheetName val="BOOK4"/>
      <sheetName val="철거산출근거"/>
      <sheetName val="DB"/>
      <sheetName val="SS20"/>
      <sheetName val="SS10"/>
      <sheetName val="부대공사총괄"/>
      <sheetName val="건축공사집계표"/>
      <sheetName val="방배동내역 (총괄)"/>
      <sheetName val="C1ㅇ"/>
      <sheetName val="단가조정"/>
      <sheetName val="나_출_x0000__x0000_"/>
      <sheetName val="입찰내역_Ĉ"/>
      <sheetName val="보고서_표"/>
      <sheetName val="0__가정_및_결론"/>
      <sheetName val="1__투자비"/>
      <sheetName val="2__Rent-roll"/>
      <sheetName val="3__Funding"/>
      <sheetName val="4__운영수익"/>
      <sheetName val="5__운영비용"/>
      <sheetName val="6_1_N+1년차_NOI_산정"/>
      <sheetName val="6__부동산매각"/>
      <sheetName val="7__보유세"/>
      <sheetName val="8__교통유발부담금"/>
      <sheetName val="9__BS부속"/>
      <sheetName val="10__CF(M)"/>
      <sheetName val="11__IS(M)"/>
      <sheetName val="12__BS(M)"/>
      <sheetName val="14__IS(FY)"/>
      <sheetName val="13__CF(FY)"/>
      <sheetName val="15__BS(FY)"/>
      <sheetName val="16__RE(FY)"/>
      <sheetName val="1_수인터널"/>
      <sheetName val="工완성공사율"/>
      <sheetName val="개발계획수립"/>
      <sheetName val="건축"/>
      <sheetName val="산근(목록)"/>
      <sheetName val="심사계산"/>
      <sheetName val="변수"/>
      <sheetName val="심사물량"/>
      <sheetName val="입력"/>
      <sheetName val="노임단"/>
      <sheetName val="단위수량"/>
      <sheetName val="예측단가간지"/>
      <sheetName val="환경일위대가"/>
      <sheetName val="1~69"/>
      <sheetName val="01_건설공사_투입인원수_산정"/>
      <sheetName val="운반공"/>
      <sheetName val="이형관중량"/>
      <sheetName val="일위목록"/>
      <sheetName val="자재단"/>
      <sheetName val="장비단"/>
      <sheetName val="고시단가"/>
      <sheetName val="지구단위계획"/>
      <sheetName val="단위모델"/>
      <sheetName val="PAD_TR보호대기초2"/>
      <sheetName val="1__시공측량2"/>
      <sheetName val="납부내역총괄표_(수정)2"/>
      <sheetName val="수종별수량_(2)2"/>
      <sheetName val="Weekly_Progress(계장)2"/>
      <sheetName val="근거_및_가정2"/>
      <sheetName val="1_차입금2"/>
      <sheetName val="부대시행1_(2)2"/>
      <sheetName val="3_6_2남양주택배2"/>
      <sheetName val="설산1_나2"/>
      <sheetName val="공종별집계"/>
      <sheetName val="상반기손익차2총괄"/>
      <sheetName val="물가대비표"/>
      <sheetName val="자판실행"/>
      <sheetName val="OUTER_A՜"/>
      <sheetName val="Mot_So_Thuat_Ngu_EN-VI"/>
      <sheetName val="NKC (final)"/>
      <sheetName val="자금_제_x0000__x0000_Ԁ_x0000_"/>
      <sheetName val="M&amp;Q_Lead"/>
      <sheetName val="Phieu_trinh_ky_cấu_tháp"/>
      <sheetName val="Phieu_trinh_ky_VTP"/>
      <sheetName val="KS-VL_rời"/>
      <sheetName val="Tai_san"/>
      <sheetName val="Check_dong_tien"/>
      <sheetName val="Chi_phí_SDTS"/>
      <sheetName val="Check_COST"/>
      <sheetName val="DATA_HD"/>
      <sheetName val="Tong_hop_1TM"/>
      <sheetName val="NS_Lán_trại"/>
      <sheetName val="Check_cong_no_NC"/>
      <sheetName val="4_1_월별_에너지_사용량"/>
      <sheetName val="첨부#2_Cash_Flow(현장작성)"/>
      <sheetName val="7_공사비집Ā翸"/>
      <sheetName val="Bank_code"/>
      <sheetName val="Drop-down_RAW"/>
      <sheetName val="NKC_(final)"/>
      <sheetName val="1-2_설계변경요청서(갑지)"/>
      <sheetName val="첨부1_(주차관제-_당공)"/>
      <sheetName val="첨부1-1_설계변경내역서(CCTV)"/>
      <sheetName val="첨부1-2_(주차관제-변공)"/>
      <sheetName val="2-6_변공량(추가공사)"/>
      <sheetName val="_2-1_관제(물량산출서집계표)"/>
      <sheetName val="_2-2_유도(물량산출서집계표)"/>
      <sheetName val="3-1_주차관제"/>
      <sheetName val="3-2_주차-광케이블"/>
      <sheetName val="3-3_층별LPR"/>
      <sheetName val="4-1_유도-광케이블"/>
      <sheetName val="4-2_주차키오스크"/>
      <sheetName val="4-3_4면카메라"/>
      <sheetName val="4-5_CCTV"/>
      <sheetName val="4-6_블럭유도등"/>
      <sheetName val="4-7_입구만차등"/>
      <sheetName val="4-8_비상벨"/>
      <sheetName val="건축갑지"/>
      <sheetName val="건축내역서"/>
      <sheetName val="견적보고서"/>
      <sheetName val="Macro3"/>
      <sheetName val="6F8"/>
      <sheetName val="원가관리_(동월대-_x0000_Ԁ"/>
      <sheetName val="_x005f_x0000_"/>
      <sheetName val="기타수지&amp;특별손익_ﹴÕ"/>
      <sheetName val="생산"/>
      <sheetName val="운반"/>
      <sheetName val="토공(우물통,기타) "/>
      <sheetName val="총 원가계산"/>
      <sheetName val="첨부1-2. 증감사유내역서(을)"/>
      <sheetName val="NG Item"/>
      <sheetName val="C"/>
      <sheetName val="91"/>
      <sheetName val="생산1-2"/>
      <sheetName val="생산1-1"/>
      <sheetName val="매출계획"/>
      <sheetName val="품의서개정(갑)"/>
      <sheetName val="10.예산 및 원가 계획(02년)"/>
      <sheetName val="손익계산서"/>
      <sheetName val="입찰내역 _x0000__x0000__x0000__x0001_Ԁ_x0000_"/>
      <sheetName val="국내_x0000__x0000_"/>
      <sheetName val="_Cash_Flow(자_x0000__x0000_"/>
      <sheetName val="504전기실_Ç_x0000_Ԁ_x0000_瀀"/>
      <sheetName val="504전기실_Ç_x0000_Ԁ_x0000_退"/>
      <sheetName val="504전기실_壇멿︀ⳕԯ"/>
      <sheetName val="504전기실_x0000__x0000__x0001_Ԁ_x0000_"/>
      <sheetName val="공기연장현황"/>
      <sheetName val="Project Count"/>
      <sheetName val="Index1"/>
      <sheetName val="STRAT_PLAN_WKSHT1"/>
      <sheetName val="Sales_Plan_&amp;_other1"/>
      <sheetName val="drop_downs"/>
      <sheetName val="대구은행"/>
      <sheetName val="원재료"/>
      <sheetName val="비품"/>
      <sheetName val="PF 현황(11년12월)"/>
      <sheetName val="Sensitivity and GC Value"/>
      <sheetName val="지급어음"/>
      <sheetName val="중속정보"/>
      <sheetName val="실행예산SHEET도장재검토"/>
      <sheetName val="0901"/>
      <sheetName val="식문화"/>
      <sheetName val="SRS 월별 BS"/>
      <sheetName val="SRS"/>
      <sheetName val="중기매출"/>
      <sheetName val="제조비(신청)"/>
      <sheetName val="경쟁사생산량추이"/>
      <sheetName val="12매출실적Copy"/>
      <sheetName val="매출액"/>
      <sheetName val="경영현황"/>
      <sheetName val="4월실적"/>
      <sheetName val="평가&amp;선급.미지급"/>
      <sheetName val="지질조사"/>
      <sheetName val="07년10~12월"/>
      <sheetName val="EXC IND"/>
      <sheetName val="SRS_월별_BS"/>
      <sheetName val="평가&amp;선급_미지급"/>
      <sheetName val="COLOR별 인쇄"/>
      <sheetName val="일정표"/>
      <sheetName val="FED"/>
      <sheetName val="급여인상효과-연간부담분"/>
      <sheetName val="오스피셔스제사차"/>
      <sheetName val="단가조사표"/>
      <sheetName val="지급제한자"/>
      <sheetName val="__Dscljh_c_EXCEL________1_96__2"/>
      <sheetName val="3.공통공사대비"/>
      <sheetName val="2002년12월"/>
      <sheetName val="현장관리비 산출내역"/>
      <sheetName val="일일투입집계표"/>
      <sheetName val="평가데이터"/>
      <sheetName val="tifico"/>
      <sheetName val="무형자산 LS11"/>
      <sheetName val="Global"/>
      <sheetName val="master(ZH)"/>
      <sheetName val="_x005f_x005f_x005f_x005f_x005f_x005f_x005f_x0018__x005f"/>
      <sheetName val="_x005f_x005f_x005f_x0018__"/>
      <sheetName val="Ref. Spec Review 양식"/>
      <sheetName val="Ref. 시험항목 테이블"/>
      <sheetName val="Ref. Search Result 테이블"/>
      <sheetName val="Basic_Information"/>
      <sheetName val="Exchange_rate"/>
      <sheetName val="견적서"/>
      <sheetName val="증감내역서"/>
      <sheetName val="단면치수"/>
      <sheetName val="간접비"/>
      <sheetName val="집계확_x0000_"/>
      <sheetName val="신당동집계표"/>
      <sheetName val="입찰내역 _x0000_⊍_x0000__x0000_∀的"/>
      <sheetName val="체신주조서"/>
      <sheetName val="_x005f_x0000__"/>
      <sheetName val="공통비"/>
      <sheetName val="조도"/>
      <sheetName val="本月预计"/>
      <sheetName val="1)추진현황"/>
      <sheetName val="매출회전"/>
      <sheetName val="TMPA"/>
      <sheetName val="소방사항"/>
      <sheetName val="P-J"/>
      <sheetName val="자금_제"/>
      <sheetName val="504전기실"/>
      <sheetName val="유효성 목록"/>
      <sheetName val="드롭다운(수정금지)"/>
      <sheetName val="6PILE__(Y_x0000__x0000_"/>
      <sheetName val="6PILE__(剙_x0010__x0000_"/>
      <sheetName val="합산목표(감가+5_x0000__x0000_Ԁ_x0000_䀀"/>
      <sheetName val="식재총괄"/>
      <sheetName val="inter"/>
      <sheetName val="UPA(Part C,D,E,G,H)"/>
      <sheetName val="UPA(Part F)"/>
      <sheetName val="Materials"/>
      <sheetName val="일위대가 (Part C,D,E,G,H)"/>
      <sheetName val="Insulation_Utl_Off"/>
      <sheetName val="Note_Piping"/>
      <sheetName val="7_Utility_Analysis1"/>
      <sheetName val="Operational_Activities1"/>
      <sheetName val="참고3.DATA"/>
      <sheetName val="4월25일실행"/>
      <sheetName val="경계석,골재외 (2)"/>
      <sheetName val="철거공사1"/>
      <sheetName val="Menu_Link"/>
      <sheetName val="간접경상비"/>
      <sheetName val="23기-3분기결산PL"/>
      <sheetName val="경영비율 "/>
      <sheetName val="계정정보"/>
      <sheetName val="기준정보基准信息参考"/>
      <sheetName val="FORM4"/>
      <sheetName val="FORM1"/>
      <sheetName val="FORM2"/>
      <sheetName val="FORM3"/>
      <sheetName val="FORM5"/>
      <sheetName val="FORM10"/>
      <sheetName val="FORM15"/>
      <sheetName val="FORM16"/>
      <sheetName val="4월 매출"/>
      <sheetName val="2005조관부자재표준"/>
      <sheetName val="2005공정별직접노무비표준"/>
      <sheetName val="2005공정별전력비표준"/>
      <sheetName val="2005도금부자재표준"/>
      <sheetName val="2005톤당조관량표준"/>
      <sheetName val="2005인발표준"/>
      <sheetName val="Stop"/>
      <sheetName val="Accueil"/>
      <sheetName val="C61X-BOM"/>
      <sheetName val="Sheet16"/>
      <sheetName val="Planilha_relts??eos7"/>
      <sheetName val="B05"/>
      <sheetName val="B07"/>
      <sheetName val="A02"/>
      <sheetName val="A04"/>
      <sheetName val="A13"/>
      <sheetName val="B08"/>
      <sheetName val="B10"/>
      <sheetName val="공사비지급"/>
      <sheetName val="SPT vs PHI"/>
      <sheetName val="main"/>
      <sheetName val="무역한도관리"/>
      <sheetName val="STRAT_PLAN_WKSHT2"/>
      <sheetName val="Sales_Plan_&amp;_other2"/>
      <sheetName val="drop_downs1"/>
      <sheetName val="산자사_운전용품"/>
      <sheetName val="업무_분류(Category)"/>
      <sheetName val="구분_Table"/>
      <sheetName val="역T형옹벽(3_0)"/>
      <sheetName val="외상매출금현황-수정분_A2"/>
      <sheetName val="3_일반사상"/>
      <sheetName val="Project_Count"/>
      <sheetName val="control_sheet"/>
      <sheetName val="PF_현황(11년12월)"/>
      <sheetName val="Diesel_Price_"/>
      <sheetName val="진행_DATA_(2)"/>
      <sheetName val="견적_맵"/>
      <sheetName val="업무분장_"/>
      <sheetName val="7300-1000_111"/>
      <sheetName val="PJT_현황"/>
      <sheetName val="참고)_기준정보"/>
      <sheetName val="Long_Term_Prices"/>
      <sheetName val="문의내용_카테고리_분류(수정X)"/>
      <sheetName val="Sensitivity_and_GC_Value"/>
      <sheetName val="사업단위"/>
      <sheetName val="품목리스트"/>
      <sheetName val="Insight MTD QTD YTD DATA"/>
      <sheetName val="Working (PivotTable)"/>
      <sheetName val="Essbase (53 Weeks)"/>
      <sheetName val="Essbase (52 Weeks)"/>
      <sheetName val="Store Listing"/>
      <sheetName val="COMP Working"/>
      <sheetName val="Q1"/>
      <sheetName val="Q2"/>
      <sheetName val="Q3"/>
      <sheetName val="COMP LLY Working"/>
      <sheetName val="주주명부&lt;끝&gt;"/>
      <sheetName val="지역개발"/>
      <sheetName val="매입매출(입력)"/>
      <sheetName val="상표권"/>
      <sheetName val="ALK_Chi tiết công nợ"/>
      <sheetName val="Parem"/>
      <sheetName val="CHITIET VL-NC-TT1p"/>
      <sheetName val="TONGKE3p"/>
      <sheetName val="기본사항"/>
      <sheetName val="20년 동일기간 소테마"/>
      <sheetName val="연결조정사항(2019)"/>
      <sheetName val="TLoss"/>
      <sheetName val="0304"/>
      <sheetName val="예총"/>
      <sheetName val="1__작성방식1"/>
      <sheetName val="표)CFT장_조직별_배분1"/>
      <sheetName val="20180214_P&amp;T1"/>
      <sheetName val="Ref__중점_추진_과제별_상세1"/>
      <sheetName val="Bank_code1"/>
      <sheetName val="Drop-down_RAW1"/>
      <sheetName val="Basic_Information1"/>
      <sheetName val="Exchange_rate1"/>
      <sheetName val="NG_Item"/>
      <sheetName val="Ref__Spec_Review_양식"/>
      <sheetName val="Ref__시험항목_테이블"/>
      <sheetName val="Ref__Search_Result_테이블"/>
      <sheetName val="TOWER_12TON"/>
      <sheetName val="TOWER_10TON"/>
      <sheetName val="JIB_CRANE,HOIST"/>
      <sheetName val="07.01"/>
      <sheetName val="설계내역양식"/>
      <sheetName val="P_M_별4"/>
      <sheetName val="Back_Data_13"/>
      <sheetName val="Facility_Information3"/>
      <sheetName val="1__작성방식2"/>
      <sheetName val="2_주요계수총괄3"/>
      <sheetName val="Project_Brief3"/>
      <sheetName val="Utility_Usage_YTN_TOWER2"/>
      <sheetName val="118_세금과공과3"/>
      <sheetName val="1_본사계정별3"/>
      <sheetName val="단면_(2)3"/>
      <sheetName val="표)CFT장_조직별_배분2"/>
      <sheetName val="20180214_P&amp;T2"/>
      <sheetName val="Ref__중점_추진_과제별_상세2"/>
      <sheetName val="Bank_code2"/>
      <sheetName val="B-1_기본정보2"/>
      <sheetName val="해외_기술훈련비_(합계)3"/>
      <sheetName val="_견적서2"/>
      <sheetName val="1월_예산2"/>
      <sheetName val="Drop-down_RAW2"/>
      <sheetName val="설문_평가2"/>
      <sheetName val="Basic_Information2"/>
      <sheetName val="외주현황_wq12"/>
      <sheetName val="대투_보관자료_변경2"/>
      <sheetName val="#1)_투자_구분2"/>
      <sheetName val="전선_및_전선관2"/>
      <sheetName val="Exchange_rate2"/>
      <sheetName val="실행기성_갑지2"/>
      <sheetName val="Eq__Mobilization1"/>
      <sheetName val="진행_DATA_(2)1"/>
      <sheetName val="Ref__Spec_Review_양식1"/>
      <sheetName val="Ref__시험항목_테이블1"/>
      <sheetName val="Ref__Search_Result_테이블1"/>
      <sheetName val="NG_Item1"/>
      <sheetName val="2013_2월_연결대상2"/>
      <sheetName val="Rev__Recon_11"/>
      <sheetName val="1_고객불만건수1"/>
      <sheetName val="1_변경범위1"/>
      <sheetName val="2-2_투자2"/>
      <sheetName val="Proj__Fin_2"/>
      <sheetName val="ITS_Assumptions1"/>
      <sheetName val="Master_Data1"/>
      <sheetName val="C1_3_11"/>
      <sheetName val="HQ_급여_1"/>
      <sheetName val="OF_급여1"/>
      <sheetName val="F_Ma급여1"/>
      <sheetName val="SMT_급여1"/>
      <sheetName val="QC_급여1"/>
      <sheetName val="Sam_sung_급여1"/>
      <sheetName val="Dlock_급여1"/>
      <sheetName val="_thôi_việc_급여1"/>
      <sheetName val="Công_smt1"/>
      <sheetName val="Công_smt_(2)1"/>
      <sheetName val="Detail_smt1"/>
      <sheetName val="Công_QC1"/>
      <sheetName val="Detail_QC_1"/>
      <sheetName val="Công_SS1"/>
      <sheetName val="Detail_SS1"/>
      <sheetName val="Công_FMa1"/>
      <sheetName val="Detail_FMa1"/>
      <sheetName val="Công_OF1"/>
      <sheetName val="Detail_OF1"/>
      <sheetName val="Công_Dlock1"/>
      <sheetName val="Detail_Dlock1"/>
      <sheetName val="Công_thôi_việc1"/>
      <sheetName val="Detail_thôi1"/>
      <sheetName val="2-1_강사료,교통비_지급명세2"/>
      <sheetName val="KEY_CODE2"/>
      <sheetName val="13_포장용역비표준2"/>
      <sheetName val="9_가공부자재표준2"/>
      <sheetName val="8_ROLL표준(TSW)2"/>
      <sheetName val="4_톤당조관량표준2"/>
      <sheetName val="5_조관부자재표준2"/>
      <sheetName val="F_월별기성수금현황_1"/>
      <sheetName val="준검_내역서1"/>
      <sheetName val="수량산출서_갑지1"/>
      <sheetName val="G_R300경비1"/>
      <sheetName val="AS포장복구_1"/>
      <sheetName val="설_계1"/>
      <sheetName val="조도계산서_(도서)1"/>
      <sheetName val="기초정보_코드1"/>
      <sheetName val="날개수량1_51"/>
      <sheetName val="6월_공嚺㓶가1"/>
      <sheetName val="2_6_三无_(2)1"/>
      <sheetName val="보고서_표1"/>
      <sheetName val="0__가정_및_결론1"/>
      <sheetName val="1__투자비1"/>
      <sheetName val="2__Rent-roll1"/>
      <sheetName val="3__Funding1"/>
      <sheetName val="4__운영수익1"/>
      <sheetName val="5__운영비용1"/>
      <sheetName val="6_1_N+1년차_NOI_산정1"/>
      <sheetName val="6__부동산매각1"/>
      <sheetName val="7__보유세1"/>
      <sheetName val="8__교통유발부담금1"/>
      <sheetName val="9__BS부속1"/>
      <sheetName val="10__CF(M)1"/>
      <sheetName val="11__IS(M)1"/>
      <sheetName val="12__BS(M)1"/>
      <sheetName val="14__IS(FY)1"/>
      <sheetName val="13__CF(FY)1"/>
      <sheetName val="15__BS(FY)1"/>
      <sheetName val="16__RE(FY)1"/>
      <sheetName val="4_1_월별_에너지_사용량1"/>
      <sheetName val="TOWER_12TON1"/>
      <sheetName val="TOWER_10TON1"/>
      <sheetName val="JIB_CRANE,HOIST1"/>
      <sheetName val="Worker_List1"/>
      <sheetName val="GB-IC_Villingen_GG1"/>
      <sheetName val="M&amp;Q_Lead1"/>
      <sheetName val="sum"/>
      <sheetName val="OH_"/>
      <sheetName val="#1_Basic"/>
      <sheetName val="경영비율_"/>
      <sheetName val="Dropbox_목록"/>
      <sheetName val="실행"/>
      <sheetName val="제조원가_원단ၒ_x0000__x0000__x0000_"/>
      <sheetName val="제조원가_원단_x0000_좏_x0000__x0000_"/>
      <sheetName val="제조원가_원단_x0000_泀_x0000__x0000_"/>
      <sheetName val="제조원가_원단_x0010__x0000_༘֜"/>
      <sheetName val="제조원가_원단_x0000_ī_x0000_"/>
      <sheetName val="통က_x0000_"/>
      <sheetName val="1.설계기준"/>
      <sheetName val="1_종합손익(주택,绘ÿ헾⽊"/>
      <sheetName val="sum "/>
      <sheetName val="단가산출서"/>
      <sheetName val="경상직원"/>
      <sheetName val="원가관리_(동월대-"/>
      <sheetName val="골조"/>
      <sheetName val="견적 (2)"/>
      <sheetName val="방배2E"/>
      <sheetName val="Salary(해외)"/>
      <sheetName val="목차 "/>
      <sheetName val="0. 물류비집계 rev1"/>
      <sheetName val="0. 물류비 집계"/>
      <sheetName val="(1-2) 국내 구간별 운송 견적 1"/>
      <sheetName val="(1-1) 국내 구간별 운송 실적  (2)"/>
      <sheetName val="(1) 국내 사이트 상세 주소 "/>
      <sheetName val="수입 건수 정리"/>
      <sheetName val="(2-1) 수출 해상 (LCL) "/>
      <sheetName val="(2-2) 수출 항공 "/>
      <sheetName val="(2-4) 수출 내륙 운송료"/>
      <sheetName val="(3-1) 수입 해상 (FCL)"/>
      <sheetName val="(3-2) 수입 해상 (LCL) "/>
      <sheetName val="(3-3) 수입 항공 "/>
      <sheetName val="(3-5) 수입 내륙 운송료"/>
      <sheetName val="물류비"/>
      <sheetName val="운송내역 "/>
      <sheetName val="MTP1"/>
      <sheetName val="영업보증금"/>
      <sheetName val="F4-F7"/>
      <sheetName val="Supplement2"/>
      <sheetName val="운영경비 세부작성근거"/>
      <sheetName val="类别"/>
      <sheetName val="(실사조정)총괄"/>
      <sheetName val="단기대여금"/>
      <sheetName val="장기대여금"/>
      <sheetName val="⑤항목별2"/>
      <sheetName val="퇴직사유"/>
      <sheetName val="__한국_AMP_ASP-23_판매가격_롟"/>
      <sheetName val="기타코드"/>
      <sheetName val="카테고리 분류 (수정X)"/>
      <sheetName val="3.판관비명세서"/>
      <sheetName val="산출기준(파견전산실)"/>
      <sheetName val="보빈규격"/>
      <sheetName val="수량이동"/>
      <sheetName val="토지조서(원본)"/>
      <sheetName val="공사"/>
      <sheetName val="변동률산출"/>
      <sheetName val="완성차 미수금"/>
      <sheetName val="▶ 일일출역 집계_20210819143316"/>
      <sheetName val="504전기실__x0000_Ԁ_x0000_"/>
      <sheetName val="504전기실__x0000_Ԁ_x0000_က"/>
      <sheetName val="Ⅴ-2.공종별내역"/>
      <sheetName val="Process Li"/>
      <sheetName val="암거날개벽"/>
      <sheetName val="L형옹벽"/>
      <sheetName val="물가정보"/>
      <sheetName val="정부노임"/>
      <sheetName val="입찰내역"/>
      <sheetName val="ITB COST"/>
      <sheetName val="T13(P68~72,78)"/>
      <sheetName val="합산목표(감가+5"/>
      <sheetName val="DRUM"/>
      <sheetName val="EE-PROP"/>
      <sheetName val="집계표(OPTION)"/>
      <sheetName val="일위"/>
      <sheetName val="Rate Analysis"/>
      <sheetName val="제주환경순환센터"/>
      <sheetName val="SAP_Role"/>
      <sheetName val="cctr"/>
      <sheetName val="계정_H100"/>
      <sheetName val="계정_1000"/>
      <sheetName val="계정_7000"/>
      <sheetName val="계정_8000"/>
      <sheetName val="AP_H100"/>
      <sheetName val="AP_1000"/>
      <sheetName val="AP_7000"/>
      <sheetName val="AP_8000"/>
      <sheetName val="CIP"/>
      <sheetName val="손익합산"/>
      <sheetName val="HERO01"/>
      <sheetName val="인건비"/>
      <sheetName val="04_4월말_합병시_지분변동차액"/>
      <sheetName val="2007"/>
      <sheetName val=" Drop"/>
      <sheetName val="KEBHANA(평균환율)"/>
      <sheetName val="SAP 검증(평균환율)"/>
      <sheetName val="KEBHANA(월말환율)"/>
      <sheetName val="SAP 검증(월말환율)"/>
      <sheetName val="환율"/>
      <sheetName val="작성방법"/>
      <sheetName val="전분기말 정산표(PQE)"/>
      <sheetName val="전년동기 정산표"/>
      <sheetName val="전기말 정산표(PYE)"/>
      <sheetName val="당기말 정산표(CPE)"/>
      <sheetName val="회사명"/>
      <sheetName val="목차(Contents)"/>
      <sheetName val="연결정산표"/>
      <sheetName val="범주별"/>
      <sheetName val="A01-1"/>
      <sheetName val="A01-2"/>
      <sheetName val="A01-3"/>
      <sheetName val="A01-3 조정내역"/>
      <sheetName val="A01-3 단순합산"/>
      <sheetName val="현금등"/>
      <sheetName val="A02-1"/>
      <sheetName val="A02-2"/>
      <sheetName val="CF_refer"/>
      <sheetName val="매출채권 및 금융자산"/>
      <sheetName val="A03-1"/>
      <sheetName val="A03-2"/>
      <sheetName val="A03-3"/>
      <sheetName val="A03-3 연결조정"/>
      <sheetName val="A04-1"/>
      <sheetName val="A04-2"/>
      <sheetName val="A04-3"/>
      <sheetName val="A04-4"/>
      <sheetName val="재고"/>
      <sheetName val="A05"/>
      <sheetName val="기타자산"/>
      <sheetName val="A06"/>
      <sheetName val="유형자산"/>
      <sheetName val="A07"/>
      <sheetName val="A07. 유형자산 차기이월, 미실현"/>
      <sheetName val="A07. 유형자산 감가상각"/>
      <sheetName val="A08"/>
      <sheetName val="A08. 연결 조정"/>
      <sheetName val="A09"/>
      <sheetName val="A09. 연결 조정"/>
      <sheetName val="A10"/>
      <sheetName val="A11"/>
      <sheetName val="차입금(완)"/>
      <sheetName val="B01-1"/>
      <sheetName val="B01-2"/>
      <sheetName val="B01-3"/>
      <sheetName val="B01-4"/>
      <sheetName val="B02"/>
      <sheetName val="B03"/>
      <sheetName val="B01 연결 조정"/>
      <sheetName val="순확정급여부채"/>
      <sheetName val="B04"/>
      <sheetName val="B04-1"/>
      <sheetName val="B04 연결 조정"/>
      <sheetName val="충당,계약부채"/>
      <sheetName val="B05 연결 조정"/>
      <sheetName val="B06"/>
      <sheetName val="납입자본(연결자본변동표 참조 작성)"/>
      <sheetName val="이익잉여금(연결자본변동표 참조 작성)"/>
      <sheetName val="기타포괄손익누계액(연결자본변동표 참조 작성)"/>
      <sheetName val="C01(신)"/>
      <sheetName val="C01(구)"/>
      <sheetName val="C02"/>
      <sheetName val="비용의성격"/>
      <sheetName val="D01-1"/>
      <sheetName val="D01-2"/>
      <sheetName val="D01 연결 조정"/>
      <sheetName val="판관비기타금융"/>
      <sheetName val="D02"/>
      <sheetName val="E01"/>
      <sheetName val="E02"/>
      <sheetName val="F01"/>
      <sheetName val="주당손익(개별파일 작성)"/>
      <sheetName val="우발약정"/>
      <sheetName val="G01"/>
      <sheetName val="G02"/>
      <sheetName val="G03"/>
      <sheetName val="G04"/>
      <sheetName val="특관자"/>
      <sheetName val="H01"/>
      <sheetName val="H02"/>
      <sheetName val="H03"/>
      <sheetName val="H04"/>
      <sheetName val="H05"/>
      <sheetName val="H06"/>
      <sheetName val="위험관리"/>
      <sheetName val="I01"/>
      <sheetName val="I02"/>
      <sheetName val="I03"/>
      <sheetName val="I04-1"/>
      <sheetName val="I04-2(내부거래)"/>
      <sheetName val="I04-3(내부거래)"/>
      <sheetName val="I04-4(내부거래)"/>
      <sheetName val="I04-5(장기리스)"/>
      <sheetName val="I05"/>
      <sheetName val="I06"/>
      <sheetName val="J01"/>
      <sheetName val="J01-1"/>
      <sheetName val="K01"/>
      <sheetName val="K02"/>
      <sheetName val="K03"/>
      <sheetName val="K03-1"/>
      <sheetName val="K04"/>
      <sheetName val="금액집계(리포트)"/>
      <sheetName val="입찰내역 "/>
      <sheetName val="GL"/>
      <sheetName val="2003FX"/>
      <sheetName val="BS준비"/>
      <sheetName val="7 _2_"/>
      <sheetName val="ALL"/>
      <sheetName val="LIDE"/>
      <sheetName val="7__2_"/>
      <sheetName val="부서실적"/>
      <sheetName val="xSeries255"/>
      <sheetName val="매출_비용"/>
      <sheetName val="조립지적"/>
      <sheetName val="1st"/>
      <sheetName val="krsec08"/>
      <sheetName val="Report Setup"/>
      <sheetName val="마력및원가표"/>
      <sheetName val="지성학원"/>
      <sheetName val="특정현금과예금"/>
      <sheetName val="현금과예금"/>
      <sheetName val="OWNER-1 (2)"/>
      <sheetName val="Sheet7"/>
      <sheetName val="유예기간"/>
      <sheetName val="07수주상세"/>
      <sheetName val="생산대일정"/>
      <sheetName val="pre-inv"/>
      <sheetName val="보조부문비배부"/>
      <sheetName val="1월말"/>
      <sheetName val="고객만족도 향상"/>
      <sheetName val="ScraRework"/>
      <sheetName val="생산계획"/>
      <sheetName val="판매계획"/>
      <sheetName val="IS_KGAAP"/>
      <sheetName val="통일"/>
      <sheetName val="3-3"/>
      <sheetName val="산출데이타(a)"/>
      <sheetName val="02"/>
      <sheetName val="3"/>
      <sheetName val="4"/>
      <sheetName val="08"/>
      <sheetName val="월확9601"/>
      <sheetName val="가격조사서"/>
      <sheetName val="108.수선비"/>
      <sheetName val="7__2_1"/>
      <sheetName val="Report_Setup"/>
      <sheetName val="OWNER-1_(2)"/>
      <sheetName val="MethodB"/>
      <sheetName val="제조부문배부"/>
      <sheetName val="자재코드"/>
      <sheetName val="DX220LC_M-BOM"/>
      <sheetName val="MethodC"/>
      <sheetName val="S225NLC-V"/>
      <sheetName val="S300V-MBOM"/>
      <sheetName val="WELDING"/>
      <sheetName val="프로젝트_LIST"/>
      <sheetName val="공정불량LIST"/>
      <sheetName val="입고단가기준"/>
      <sheetName val="7__2_2"/>
      <sheetName val="Report_Setup1"/>
      <sheetName val="#1_Basic1"/>
      <sheetName val="OWNER-1_(2)1"/>
      <sheetName val="BS준비.XLS"/>
      <sheetName val="BS%EC%A4%80%EB%B9%84.XLS"/>
      <sheetName val="ITEM-LIST"/>
      <sheetName val="출자한도"/>
      <sheetName val="CD-실적"/>
      <sheetName val="기초데이타"/>
      <sheetName val="품의"/>
      <sheetName val="동해title"/>
      <sheetName val="3210이연법인세"/>
      <sheetName val="0212"/>
      <sheetName val="comm"/>
      <sheetName val="리드"/>
      <sheetName val="CashFlow(중간집계)"/>
      <sheetName val="현재"/>
      <sheetName val="퇴직금추계(04.9.30)"/>
      <sheetName val="세율등"/>
      <sheetName val="1.경제설계"/>
      <sheetName val="해외생산"/>
      <sheetName val="경수97.02"/>
      <sheetName val="업무분장(현행)"/>
      <sheetName val="현금명세"/>
      <sheetName val="1995년 섹터별 매출"/>
      <sheetName val="현금및현금등가물"/>
      <sheetName val="GA"/>
      <sheetName val="서울(안)"/>
      <sheetName val="Lead"/>
      <sheetName val="Links"/>
      <sheetName val="실적분석"/>
      <sheetName val="SALE&amp;COST"/>
      <sheetName val="44-2Q 주석.xlsx"/>
      <sheetName val="고상실행"/>
      <sheetName val="MCS"/>
      <sheetName val="종합표"/>
      <sheetName val="팀_업체별 월기성실적"/>
      <sheetName val="팀_업체별 시공의뢰"/>
      <sheetName val="Discipline별"/>
      <sheetName val="수정추가"/>
      <sheetName val="호선별"/>
      <sheetName val="업체별_기능별"/>
      <sheetName val="참고용(시공)"/>
      <sheetName val="참고용(실적)"/>
      <sheetName val="월별인력"/>
      <sheetName val="손익계산서(전사)"/>
      <sheetName val="xxxxxx"/>
      <sheetName val="A(1)"/>
      <sheetName val="A (3)"/>
      <sheetName val="2공구산출내역"/>
      <sheetName val="회사제시BS"/>
      <sheetName val="대차대조"/>
      <sheetName val="DL08 DF 모드"/>
      <sheetName val="CRITERIA1"/>
      <sheetName val="CRITERIA2"/>
      <sheetName val="CRITERIA3"/>
      <sheetName val="재료비_매출원가"/>
      <sheetName val="견적구분"/>
      <sheetName val="99금액"/>
      <sheetName val="원지 수급가"/>
      <sheetName val="현금경비중역"/>
      <sheetName val="2.상각보정명세"/>
      <sheetName val="현금흐름Ⅰ"/>
      <sheetName val="Table_K7"/>
      <sheetName val="부재료입고집계"/>
      <sheetName val="YOEMAGUM"/>
      <sheetName val="4b Consolidated PL"/>
      <sheetName val="C200"/>
      <sheetName val="TT List"/>
      <sheetName val="직종부호"/>
      <sheetName val="A(Rev_3)1"/>
      <sheetName val="1~9_하중계산"/>
      <sheetName val="504전기실Ԁ"/>
      <sheetName val="BSD_(2)"/>
      <sheetName val="시스템_개요_유효값"/>
      <sheetName val="전기요금_산출내역"/>
      <sheetName val="_x005f_x0000__㴐ኰ"/>
      <sheetName val="_x005f_x0000__움ᕕ"/>
      <sheetName val="2_실행ﶻ"/>
      <sheetName val="단양 00 아파트-세부내역"/>
      <sheetName val="97노임단가"/>
      <sheetName val="입력란"/>
      <sheetName val="돈암사업"/>
      <sheetName val="원형1호맨홀토공수량"/>
      <sheetName val="자료입력"/>
      <sheetName val="기본값"/>
      <sheetName val="토지평가조서(발송용)"/>
      <sheetName val="종합표양식(품의좲_xdd02_쒥⠀쮎_x001d__x0000__x0000_"/>
      <sheetName val="SS215065"/>
      <sheetName val="3_ReasonCode"/>
      <sheetName val="_손익기01.XL_x005f_x0000__x005f_x005f_x0"/>
      <sheetName val="pp"/>
      <sheetName val="YTD_Summary20"/>
      <sheetName val="Month_Summary20"/>
      <sheetName val="Trial_Balance_MAY_200920"/>
      <sheetName val="TB_Pivot20"/>
      <sheetName val="total_per_LB_LB220"/>
      <sheetName val="Trial_Balance_Vlookup20"/>
      <sheetName val="Trial_Balance_APRIL_200920"/>
      <sheetName val="TO_Data_Base21"/>
      <sheetName val="Roll_Out_AQ20"/>
      <sheetName val="Evolução_mandamentos20"/>
      <sheetName val="Planilha_resultados19"/>
      <sheetName val="Historico_200319"/>
      <sheetName val="Sig_Cycles_Accts_&amp;_Processes19"/>
      <sheetName val="Fixed_ZBB13"/>
      <sheetName val="3_ISo_YTD13"/>
      <sheetName val="E_法规NC13"/>
      <sheetName val="Données_LMU13"/>
      <sheetName val="Brazil_Sovereign13"/>
      <sheetName val="Resumen_Costo13"/>
      <sheetName val="Extract_Loss13"/>
      <sheetName val="QA_跟踪记录表13"/>
      <sheetName val="5_113"/>
      <sheetName val="Como_Estamos13"/>
      <sheetName val="Base_de_Dados13"/>
      <sheetName val="RG_Depots13"/>
      <sheetName val="material_data13"/>
      <sheetName val="other_data13"/>
      <sheetName val="Database_(RUR)Mar_YTD13"/>
      <sheetName val="SKU_Mapping13"/>
      <sheetName val="Drop_Down13"/>
      <sheetName val="Raw_Data13"/>
      <sheetName val="EBM-2_GHQ13"/>
      <sheetName val="Base_PEF14"/>
      <sheetName val="Testing_Template_Guidance13"/>
      <sheetName val="Test_Programs13"/>
      <sheetName val="Controls_data15"/>
      <sheetName val="Dados_BLP13"/>
      <sheetName val="ARdistr_(2)13"/>
      <sheetName val="FJJX_Bud_IB12"/>
      <sheetName val="look-up_data12"/>
      <sheetName val="Prd_Hierarchy(产品层级)12"/>
      <sheetName val="Com_(2PK)12"/>
      <sheetName val="JOB_PROFILE_-_LAS13"/>
      <sheetName val="요일_테이블13"/>
      <sheetName val="요일_테이블_(2)12"/>
      <sheetName val="Prd_Hierarchy(产品层次)12"/>
      <sheetName val="Project_Code12"/>
      <sheetName val="전사_PL14"/>
      <sheetName val="자금_제외_PL14"/>
      <sheetName val="자금_PL14"/>
      <sheetName val="전사_BS14"/>
      <sheetName val="자금_제외_BS14"/>
      <sheetName val="자금_BS14"/>
      <sheetName val="BS_계정_설명14"/>
      <sheetName val="_Cash_Flow(전사)14"/>
      <sheetName val="_Cash_Flow(자금제외)14"/>
      <sheetName val="_Cash_Flow(자금)14"/>
      <sheetName val="ROIC_14"/>
      <sheetName val="인건비_명세14"/>
      <sheetName val="판관비_명세14"/>
      <sheetName val="OH_Cost경비(내역)14"/>
      <sheetName val="OH_Cost경비(배부기준)14"/>
      <sheetName val="기타수지&amp;특별손익_명세14"/>
      <sheetName val="업무연락_(2)13"/>
      <sheetName val="제시_손익계산서13"/>
      <sheetName val="01_02월_성과급14"/>
      <sheetName val="M_7회차_담금_계획13"/>
      <sheetName val="팀별_실적13"/>
      <sheetName val="팀별_실적_(환산)13"/>
      <sheetName val="4__Inj_투자상세내역13"/>
      <sheetName val="3__Blow_투자_상세내역13"/>
      <sheetName val="Process_List13"/>
      <sheetName val="7_(2)13"/>
      <sheetName val="_손익기01_XL12"/>
      <sheetName val="Income_Stmt12"/>
      <sheetName val="drop_down_list12"/>
      <sheetName val="Figures_Report11"/>
      <sheetName val="[손익기01_XL_x005f_x0000__x005f_x0000_DePara12"/>
      <sheetName val="Quarterly_LBO_Model12"/>
      <sheetName val="[손익기01_XL12"/>
      <sheetName val="_손익기01_XL_x005f_x0000__x005f_x0000_DePara12"/>
      <sheetName val="15년_BL_사계12"/>
      <sheetName val="1_종합손익(도급)12"/>
      <sheetName val="1_종합손익(주택,개발)12"/>
      <sheetName val="2_실행예산12"/>
      <sheetName val="2_2과부족12"/>
      <sheetName val="2_3원가절감12"/>
      <sheetName val="8_외주비집행현황12"/>
      <sheetName val="9_자재비12"/>
      <sheetName val="10_현장집행12"/>
      <sheetName val="3_추가원가12"/>
      <sheetName val="3_추가원가_(2)12"/>
      <sheetName val="4_사전공사12"/>
      <sheetName val="5_추정공사비12"/>
      <sheetName val="6_금융비용12"/>
      <sheetName val="7_공사비집행현황(총괄)12"/>
      <sheetName val="11_1생산성12"/>
      <sheetName val="11_2인원산출12"/>
      <sheetName val="Classification_分类11"/>
      <sheetName val="Set_Up12"/>
      <sheetName val="Fare_prices11"/>
      <sheetName val="Hotel_prices11"/>
      <sheetName val="tab_STATUS_DO_PROCESSO_11"/>
      <sheetName val="Perf__Plan__Diário111"/>
      <sheetName val="In_(2)11"/>
      <sheetName val="__한국_AMP_ASP-23_판매가격__11"/>
      <sheetName val="CC_Down_load_071611"/>
      <sheetName val="변경실행(2차)_11"/>
      <sheetName val="나_출고11"/>
      <sheetName val="나_입고11"/>
      <sheetName val="09년_인건비(속리산)11"/>
      <sheetName val="합산목표(감가+57_5)11"/>
      <sheetName val="제조원가_원단위_분석11"/>
      <sheetName val="종합표양식(품의_&amp;_입고)_211"/>
      <sheetName val="원가관리_(동월대비)11"/>
      <sheetName val="b_balju_(2)11"/>
      <sheetName val="2-2_매출분석11"/>
      <sheetName val="몰드시스템_리스트11"/>
      <sheetName val="11_외화채무증권(AFS,HTM)0811"/>
      <sheetName val="13_감액TEST_0811"/>
      <sheetName val="12년_CF(9월)11"/>
      <sheetName val="중기조종사_단위단가11"/>
      <sheetName val="6PILE__(돌출)11"/>
      <sheetName val="기성청구_공문11"/>
      <sheetName val="Sheet1_(2)11"/>
      <sheetName val="CLASIFICACION_DE_AI11"/>
      <sheetName val="Base_da_Datos11"/>
      <sheetName val="slide_24_cat_A11"/>
      <sheetName val="slide_82_cat_b11"/>
      <sheetName val="Dados_dos_Produtos11"/>
      <sheetName val="09~10년_매출계획11"/>
      <sheetName val="1_MDF1공장11"/>
      <sheetName val="Incident_유형구분표11"/>
      <sheetName val="3YP2016-Bottom_up10"/>
      <sheetName val="DD_list11"/>
      <sheetName val="Base_de_Datos10"/>
      <sheetName val="2_카드채권(대출포함)10"/>
      <sheetName val="表21_净利润调节表10"/>
      <sheetName val="MASTER_APP10"/>
      <sheetName val="Cond__Inseguros10"/>
      <sheetName val="Comp__Inseguros10"/>
      <sheetName val="Lista_de_datos10"/>
      <sheetName val="Supply_Cost_Centers10"/>
      <sheetName val="Clasif_10"/>
      <sheetName val="Farol_Acciones10"/>
      <sheetName val="Lista_de_Entrenamientos10"/>
      <sheetName val="Unidades_SAC-REVENDA11"/>
      <sheetName val="FornecM_Check9"/>
      <sheetName val="Lista_CI10"/>
      <sheetName val="Estratificación_AI9"/>
      <sheetName val="condicion_inseguras9"/>
      <sheetName val="Actos_Inseguros9"/>
      <sheetName val="Control_de_incidentes9"/>
      <sheetName val="Plan_de_Acción9"/>
      <sheetName val="_DD_List10"/>
      <sheetName val="Share_Price_200210"/>
      <sheetName val="BEP_加薪_KPI9"/>
      <sheetName val="F08_-_Asia_Pac_Full_Year_Q310"/>
      <sheetName val="Top_Priorities10"/>
      <sheetName val="Listco_Stock10"/>
      <sheetName val="Intl_Purchase10"/>
      <sheetName val="FY_outlook10"/>
      <sheetName val="CY_outlook10"/>
      <sheetName val="Cash_metrics10"/>
      <sheetName val="P6_710"/>
      <sheetName val="DATOS_BASE9"/>
      <sheetName val="Issues_List_Payments9"/>
      <sheetName val="Faro_de_Indicadores9"/>
      <sheetName val="TOP_KPIs_MTM9"/>
      <sheetName val="PLAN_DE_ACCION9"/>
      <sheetName val="Grafica_Actos9"/>
      <sheetName val="POC_LIST9"/>
      <sheetName val="Dashboard_Prevención_Riesgos_9"/>
      <sheetName val="APAC_S9"/>
      <sheetName val="APAC_N9"/>
      <sheetName val="Slide_output9"/>
      <sheetName val="do_not_delete9"/>
      <sheetName val="[손익기01_XL??DePara9"/>
      <sheetName val="Farol_Metas9"/>
      <sheetName val="Mod_Relac_9"/>
      <sheetName val="Condiciones_SyE9"/>
      <sheetName val="REALxMETA_-_CERVEJA11"/>
      <sheetName val="REALxMETA_-_REFRI11"/>
      <sheetName val="Directrices_de_Metas_20179"/>
      <sheetName val="DETALLE_MENSUAL9"/>
      <sheetName val="Entity_Target9"/>
      <sheetName val="VALIDACION_DE_DATOS8"/>
      <sheetName val="_손익기01_XL_x005f_x005f_x005f_x0000__x005f_x005f_x9"/>
      <sheetName val="Hazards_Analysis-隐患分析9"/>
      <sheetName val="97_사업추정(WEKI)9"/>
      <sheetName val="Tong_hop9"/>
      <sheetName val="95_1_1이후취득자산(숨기기상태)9"/>
      <sheetName val="sum1_(2)9"/>
      <sheetName val="3_바닥판설계9"/>
      <sheetName val="6월_공정외주9"/>
      <sheetName val="2_대외공문9"/>
      <sheetName val="2_총괄표9"/>
      <sheetName val="입출재고현황_(2)9"/>
      <sheetName val="504전기실_동부하-L9"/>
      <sheetName val="OUTER_AREA(겹침없음)9"/>
      <sheetName val="EL_표면적9"/>
      <sheetName val="TRE_TABLE9"/>
      <sheetName val="입찰내역_발주처_양식9"/>
      <sheetName val="Data_validation9"/>
      <sheetName val="turnover_reason퇴직사유9"/>
      <sheetName val="SKU_Basic_Data9"/>
      <sheetName val="Jul-Sep_Actual_cost_(2)8"/>
      <sheetName val="Drop-down_List8"/>
      <sheetName val="by_DD8"/>
      <sheetName val="Check_Qualidade7"/>
      <sheetName val="Check_Aderencia7"/>
      <sheetName val="De_Para8"/>
      <sheetName val="Base_Farol7"/>
      <sheetName val="Gerencial_IL7"/>
      <sheetName val="Ventas_Campo7"/>
      <sheetName val="ACTOS_POR_RIESGO7"/>
      <sheetName val="drop_lists7"/>
      <sheetName val="MRL_NON_SUPPLY_URU7"/>
      <sheetName val="AIIM_-_Empresas_Ext_20127"/>
      <sheetName val="KPIs_Hana7"/>
      <sheetName val="Catalago_de_refacciones_7"/>
      <sheetName val="Existencias_al_07-Nov-20127"/>
      <sheetName val="Check_GG7"/>
      <sheetName val="Nombre_de_SOP7"/>
      <sheetName val="Ta_7"/>
      <sheetName val="2__Indicadores7"/>
      <sheetName val="부재료_비교(11년_vs_10년)7"/>
      <sheetName val="_손익기01_XL_x005f_x0000__x07"/>
      <sheetName val="_mngt_Pillar7"/>
      <sheetName val="Sheet3_(2)7"/>
      <sheetName val="Lista_de_Entrenamientos_RSO7"/>
      <sheetName val="Tablero_SDG10"/>
      <sheetName val="Lista_Areas10"/>
      <sheetName val="One_Page10"/>
      <sheetName val="Sub-Productos_HN8"/>
      <sheetName val="Eficiencia_linea7"/>
      <sheetName val="요일_테이블_7"/>
      <sheetName val="Sheet2_(2)7"/>
      <sheetName val="Lao_&amp;_Cam7"/>
      <sheetName val="Hoegaarden_20197"/>
      <sheetName val="Lao_&amp;_Cam_20197"/>
      <sheetName val="Malaysia_20197"/>
      <sheetName val="Singapore_20197"/>
      <sheetName val="Other_Listings7"/>
      <sheetName val="Pauta_RPS_Distribuição6"/>
      <sheetName val="Estoque_(2)6"/>
      <sheetName val="Comp_Inseguros6"/>
      <sheetName val="BNR_2012_в_ящике6"/>
      <sheetName val="DATOS_DE_VALIDACIÓN6"/>
      <sheetName val="Datos_con6"/>
      <sheetName val="_Datos_Cond_6"/>
      <sheetName val="DO_NOT_MOVE6"/>
      <sheetName val="INGRESO_(2)6"/>
      <sheetName val="PG-K1610_(UEN_Areas)MNG6"/>
      <sheetName val="DATOS_GEN_6"/>
      <sheetName val="NUEVOS_CRITERIOS6"/>
      <sheetName val="Condiciones_Agua6"/>
      <sheetName val="Dropdown_list5"/>
      <sheetName val="__한국_AMP_ASP-23_판㧤가격__5"/>
      <sheetName val="11_䡸화채무줝ⴌ(AFS,HTM)085"/>
      <sheetName val="Drop_list5"/>
      <sheetName val="FX_Rates5"/>
      <sheetName val="Vagas_x_Candidatos5"/>
      <sheetName val="Proced_5"/>
      <sheetName val="Cut_Machine_Summary5"/>
      <sheetName val="Control_de_Fallas5"/>
      <sheetName val="Setup_for_Templates5"/>
      <sheetName val="Datos_emp5"/>
      <sheetName val="Validation_lists5"/>
      <sheetName val="TIPO_DE_ACTO5"/>
      <sheetName val="CRITICIDAD_DE_CI5"/>
      <sheetName val="Catálogo_de_CI5"/>
      <sheetName val="%_CUMPLIMIENTO5"/>
      <sheetName val="%_cumplimiento_5"/>
      <sheetName val="CALIFICACIONES_20193"/>
      <sheetName val="Lev_4_360_deg_check_Crit_Task3"/>
      <sheetName val="Lev_4_Chk_IC_Stock_Crit_Task3"/>
      <sheetName val="Lev_4_WMS_Putaway_Crit_Task3"/>
      <sheetName val="Listas_y_equipos_a_evaluar5"/>
      <sheetName val="Data_Reporte5"/>
      <sheetName val="Read_me5"/>
      <sheetName val="NAZ_Strategy3"/>
      <sheetName val="Champions_List4"/>
      <sheetName val="Daily_Dashboard5"/>
      <sheetName val="Mapeo_SKUs5"/>
      <sheetName val="Vol_(Ds)5"/>
      <sheetName val="Vol_(Ka)5"/>
      <sheetName val="Vol_(Oth)5"/>
      <sheetName val="Vol_(Oth)_Cortesias5"/>
      <sheetName val="INPUT-Cust_Sugg_Margin(Ds)5"/>
      <sheetName val="On_Invoice5"/>
      <sheetName val="INPUT-Cust_Sugg_Margin(Ka)5"/>
      <sheetName val="INPUT_SKUs5"/>
      <sheetName val="Brand_P&amp;L3"/>
      <sheetName val="SUPERMONT_P3"/>
      <sheetName val="Data_selection3"/>
      <sheetName val="1_3"/>
      <sheetName val="Customer_&amp;_SO3"/>
      <sheetName val="Session_Proposal3"/>
      <sheetName val="Análise_Tempos2"/>
      <sheetName val="Validação_de_Dados2"/>
      <sheetName val="No_llenar_2"/>
      <sheetName val="PDA_BOP2"/>
      <sheetName val="Incentivo_Automóvil2"/>
      <sheetName val="PROCESS_MD2"/>
      <sheetName val="Lista_de_Motivos2"/>
      <sheetName val="Ponto_Crítico_-_Resp__Plano2"/>
      <sheetName val="Lista_Funcionários_(2)2"/>
      <sheetName val="PAINEL_RECOLHA_CRÉDITO2"/>
      <sheetName val="Gráficos_-_CDD2"/>
      <sheetName val="Dropdown_Menu1"/>
      <sheetName val="Project_List1"/>
      <sheetName val="Выпадающие_списки1"/>
      <sheetName val="SOP_Freshness"/>
      <sheetName val="Dimension_IN_Sheet1!D1912"/>
      <sheetName val="Dimension_IN_1912"/>
      <sheetName val="Admin"/>
      <sheetName val="DHEQSUPT"/>
      <sheetName val="504전기실_Ç"/>
      <sheetName val="PAD_TR보호대기초3"/>
      <sheetName val="1__시공측량3"/>
      <sheetName val="근거_및_가정3"/>
      <sheetName val="설산1_나3"/>
      <sheetName val="1_차입금3"/>
      <sheetName val="수종별수량_(2)3"/>
      <sheetName val="납부내역총괄표_(수정)3"/>
      <sheetName val="부대시행1_(2)3"/>
      <sheetName val="3_6_2남양주택배3"/>
      <sheetName val="Weekly_Progress(계장)3"/>
      <sheetName val="입찰내역_Ĉ1"/>
      <sheetName val="1_수인터널1"/>
      <sheetName val="NCR_HEC_6_Opens"/>
      <sheetName val="NCR_HEC_4_Open_&amp;_Vendor_2_Opens"/>
      <sheetName val="JT3_0견적-구1"/>
      <sheetName val="방배동내역_(총괄)"/>
      <sheetName val="2014"/>
      <sheetName val="2018"/>
      <sheetName val="유림콘도"/>
      <sheetName val="예산관리대장"/>
      <sheetName val="Xunit (단위환산)"/>
      <sheetName val="책임준비금"/>
      <sheetName val="@공통코드"/>
      <sheetName val="_x005f_x005f_x005f_x0018_"/>
      <sheetName val="입찰내역 Ĉ_x005f_x0000__x005f_x0000_ᇆ"/>
      <sheetName val="입찰내역 Ĉ_x005f_x0000__x005f_x0000_ᇆ"/>
      <sheetName val="_x005f_x005f_x005f_x005f_x005f_x005f_x005f_x0000__x005f"/>
      <sheetName val="기준정보"/>
      <sheetName val="PH_5"/>
      <sheetName val="bar_chart-rev"/>
      <sheetName val="1_설계조건"/>
      <sheetName val="수량산출서_(2)"/>
      <sheetName val="노원열병합__건축공사기성내역서"/>
      <sheetName val="Investment_Category"/>
      <sheetName val="유류대_현황1"/>
      <sheetName val="1__템플릿1"/>
      <sheetName val="2__작성_참고사항1"/>
      <sheetName val="mapping_(2)1"/>
      <sheetName val="Ref_1"/>
      <sheetName val="2_3_Projects_Status1"/>
      <sheetName val="Consolidated_Project_List1"/>
      <sheetName val="Fixed_Cost1"/>
      <sheetName val="Listas_desplegables1"/>
      <sheetName val="Resumen_General1"/>
      <sheetName val="Cátalogo_de_CI1"/>
      <sheetName val="Hoja2_(2)1"/>
      <sheetName val="Technology_check_list1"/>
      <sheetName val="Status_de_Usuario1"/>
      <sheetName val="Actos_y_Condiciones_1"/>
      <sheetName val="NO_BORRAR1"/>
      <sheetName val="Formato_checklist_Lab1"/>
      <sheetName val="3__Training_&amp;_travel"/>
      <sheetName val="Manage_to_Sustain"/>
      <sheetName val="Meeting_List"/>
      <sheetName val="Packages_Info"/>
      <sheetName val="Preferred_Option"/>
      <sheetName val="입문_트랜드(종합분석)"/>
      <sheetName val="Master_CE"/>
      <sheetName val="CE_Final_"/>
      <sheetName val="OL_LIST"/>
      <sheetName val="YTD_GUEST_LIST"/>
      <sheetName val="Session_Full_list"/>
      <sheetName val="FOOD_PAYMENT_update_JAN"/>
      <sheetName val="Rate_card_F19_"/>
      <sheetName val="Master_Plan__(update)"/>
      <sheetName val="The_KPI_"/>
      <sheetName val="Mentor_Plan_"/>
      <sheetName val="Master_Plan_"/>
      <sheetName val="Tier_1_GOV_PC_Networking_"/>
      <sheetName val="Tier_1_LBO_"/>
      <sheetName val="2020_MMR12"/>
      <sheetName val="Razão_Social"/>
      <sheetName val="2_FM_Fee_2차년도"/>
      <sheetName val="3_감가장비"/>
      <sheetName val="G2설비도급"/>
      <sheetName val="장비명"/>
      <sheetName val="Ext. Stone-P"/>
      <sheetName val="Process Li 鸴"/>
      <sheetName val="분류기준"/>
      <sheetName val="OH_Cost경비(배부呸2닑"/>
      <sheetName val="TTL"/>
      <sheetName val="제조원가_원단_x0000_ǻ_x0000_"/>
      <sheetName val="6PILE__(돌출_x0000_"/>
      <sheetName val="96보완계획7.12"/>
      <sheetName val="시공비2"/>
      <sheetName val="DOOR"/>
      <sheetName val="STEEL"/>
      <sheetName val="비교표"/>
      <sheetName val="예산표 "/>
      <sheetName val="시공비"/>
      <sheetName val="M-UP"/>
      <sheetName val="상주비"/>
      <sheetName val="특수"/>
      <sheetName val="GLASS"/>
      <sheetName val="GRANITE"/>
      <sheetName val="PAINT (2)"/>
      <sheetName val="VOLUMN"/>
      <sheetName val="물량표 (2)"/>
      <sheetName val="MOCK-UP"/>
      <sheetName val="제조원가_원단"/>
      <sheetName val="제조원가_원단_x0010_"/>
      <sheetName val="본사공가현황"/>
      <sheetName val="통က"/>
      <sheetName val="ENE-CAL"/>
      <sheetName val="경영혁신본부"/>
      <sheetName val="콘크리트타설집계표"/>
      <sheetName val="anaysis_sheet"/>
      <sheetName val="주관사업"/>
      <sheetName val="4Q주석"/>
      <sheetName val="다목적갑"/>
      <sheetName val="Warranty"/>
      <sheetName val="실행내역서 "/>
      <sheetName val="Quantity"/>
      <sheetName val="CAL1"/>
      <sheetName val="2.Consideration sheet"/>
      <sheetName val="3. Export"/>
      <sheetName val="목록구분"/>
      <sheetName val="1-11조직표"/>
      <sheetName val="Name"/>
      <sheetName val="참고(3)고정비"/>
      <sheetName val="Requirement(Work Crew)"/>
      <sheetName val="DESBAST"/>
      <sheetName val="database"/>
      <sheetName val="sum_x0008__x0000_ _x0000__x0006__x0000_"/>
      <sheetName val="슬래?"/>
      <sheetName val="_x005f_x0000__x005f"/>
      <sheetName val="[손익기01_XL_x0000__x0000_DePara10"/>
      <sheetName val="_손익기01_XL_x0000__x0000_DePara10"/>
      <sheetName val="_손익기01_XL_x0000__x05"/>
      <sheetName val="_손익기01_XL_x0000__x4"/>
      <sheetName val="_손익기01_XL_x0000__x5"/>
      <sheetName val="_손익기01_XL_x0000__x6"/>
      <sheetName val="[손익기01_XL_x0000__x0000_DePara11"/>
      <sheetName val="_손익기01_XL_x0000__x0000_DePara11"/>
      <sheetName val="_손익기01_XL_x0000__x06"/>
      <sheetName val="_x0000___x0000__x0000__x0005__x0000_㴐ኰ"/>
      <sheetName val="_x0000___x0000__x0000__x0005__x0000_움ᕕ"/>
      <sheetName val="_x005f_x005f_x005f_x0018__x005f"/>
      <sheetName val="KPIs- TTP, PTP, People Turnover"/>
      <sheetName val="部门"/>
      <sheetName val="1월 목표"/>
      <sheetName val="FILIAL MINAS"/>
      <sheetName val="info for drop box"/>
      <sheetName val="_손익기01_XL_x005f_x0000__x7"/>
      <sheetName val="POCM 배송지"/>
      <sheetName val="IT_CHNG_01-K"/>
      <sheetName val="IPE"/>
      <sheetName val="GBP_BODS"/>
      <sheetName val="GFP_CFIN"/>
      <sheetName val="GDP_MDG"/>
      <sheetName val="GUP_SLT"/>
      <sheetName val="GAP_SOL"/>
      <sheetName val="GXP_PO"/>
      <sheetName val="%_Automation_Analysis_Business"/>
      <sheetName val="Curvas"/>
      <sheetName val="BD_Geral"/>
      <sheetName val="Produtos_e_Custos1"/>
      <sheetName val="EE"/>
      <sheetName val="BD_-_Realizado1"/>
      <sheetName val="Cadastro_de_Veículos1"/>
      <sheetName val="Sispec"/>
      <sheetName val="公式页面"/>
      <sheetName val="CC"/>
      <sheetName val="데이터 유효성 목록"/>
      <sheetName val="Mapping "/>
      <sheetName val="WS DB"/>
      <sheetName val="Region "/>
      <sheetName val="SKU DB"/>
      <sheetName val="SKU信息"/>
      <sheetName val="销售项费用项"/>
      <sheetName val="陈列描述"/>
      <sheetName val="大组压仓"/>
      <sheetName val="CPR用Rate&amp;Mix"/>
      <sheetName val="Pivot"/>
      <sheetName val="TO_Data_Base22"/>
      <sheetName val="YTD_Summary21"/>
      <sheetName val="Month_Summary21"/>
      <sheetName val="Trial_Balance_MAY_200921"/>
      <sheetName val="TB_Pivot21"/>
      <sheetName val="total_per_LB_LB221"/>
      <sheetName val="Trial_Balance_Vlookup21"/>
      <sheetName val="Trial_Balance_APRIL_200921"/>
      <sheetName val="Roll_Out_AQ21"/>
      <sheetName val="Evolução_mandamentos21"/>
      <sheetName val="Planilha_resultados20"/>
      <sheetName val="Historico_200320"/>
      <sheetName val="Sig_Cycles_Accts_&amp;_Processes20"/>
      <sheetName val="Fixed_ZBB14"/>
      <sheetName val="E_法规NC14"/>
      <sheetName val="3_ISo_YTD14"/>
      <sheetName val="Données_LMU14"/>
      <sheetName val="Brazil_Sovereign14"/>
      <sheetName val="Resumen_Costo14"/>
      <sheetName val="Extract_Loss14"/>
      <sheetName val="QA_跟踪记录表14"/>
      <sheetName val="5_114"/>
      <sheetName val="Base_de_Dados14"/>
      <sheetName val="Como_Estamos14"/>
      <sheetName val="Controls_data16"/>
      <sheetName val="RG_Depots14"/>
      <sheetName val="material_data14"/>
      <sheetName val="other_data14"/>
      <sheetName val="Database_(RUR)Mar_YTD14"/>
      <sheetName val="SKU_Mapping14"/>
      <sheetName val="Drop_Down14"/>
      <sheetName val="Raw_Data14"/>
      <sheetName val="EBM-2_GHQ14"/>
      <sheetName val="Base_PEF15"/>
      <sheetName val="Testing_Template_Guidance14"/>
      <sheetName val="Test_Programs14"/>
      <sheetName val="Dados_BLP14"/>
      <sheetName val="FJJX_Bud_IB13"/>
      <sheetName val="JOB_PROFILE_-_LAS14"/>
      <sheetName val="ARdistr_(2)14"/>
      <sheetName val="look-up_data13"/>
      <sheetName val="Prd_Hierarchy(产品层级)13"/>
      <sheetName val="Com_(2PK)13"/>
      <sheetName val="Project_Code13"/>
      <sheetName val="요일_테이블14"/>
      <sheetName val="요일_테이블_(2)13"/>
      <sheetName val="Prd_Hierarchy(产品层次)13"/>
      <sheetName val="전사_PL15"/>
      <sheetName val="자금_제외_PL15"/>
      <sheetName val="자금_PL15"/>
      <sheetName val="전사_BS15"/>
      <sheetName val="자금_제외_BS15"/>
      <sheetName val="자금_BS15"/>
      <sheetName val="BS_계정_설명15"/>
      <sheetName val="_Cash_Flow(전사)15"/>
      <sheetName val="_Cash_Flow(자금제외)15"/>
      <sheetName val="_Cash_Flow(자금)15"/>
      <sheetName val="ROIC_15"/>
      <sheetName val="인건비_명세15"/>
      <sheetName val="판관비_명세15"/>
      <sheetName val="OH_Cost경비(내역)15"/>
      <sheetName val="OH_Cost경비(배부기준)15"/>
      <sheetName val="기타수지&amp;특별손익_명세15"/>
      <sheetName val="업무연락_(2)14"/>
      <sheetName val="제시_손익계산서14"/>
      <sheetName val="01_02월_성과급15"/>
      <sheetName val="M_7회차_담금_계획14"/>
      <sheetName val="팀별_실적14"/>
      <sheetName val="팀별_실적_(환산)14"/>
      <sheetName val="4__Inj_투자상세내역14"/>
      <sheetName val="3__Blow_투자_상세내역14"/>
      <sheetName val="Process_List14"/>
      <sheetName val="7_(2)14"/>
      <sheetName val="_손익기01_XL13"/>
      <sheetName val="Income_Stmt13"/>
      <sheetName val="drop_down_list13"/>
      <sheetName val="[손익기01_XL_x005f_x0000__x005f_x0000_DePara13"/>
      <sheetName val="Quarterly_LBO_Model13"/>
      <sheetName val="Figures_Report12"/>
      <sheetName val="[손익기01_XL13"/>
      <sheetName val="_손익기01_XL_x005f_x0000__x005f_x0000_DePara13"/>
      <sheetName val="Fare_prices12"/>
      <sheetName val="Hotel_prices12"/>
      <sheetName val="Set_Up13"/>
      <sheetName val="15년_BL_사계13"/>
      <sheetName val="1_종합손익(도급)13"/>
      <sheetName val="1_종합손익(주택,개발)13"/>
      <sheetName val="2_실행예산13"/>
      <sheetName val="2_2과부족13"/>
      <sheetName val="2_3원가절감13"/>
      <sheetName val="8_외주비집행현황13"/>
      <sheetName val="9_자재비13"/>
      <sheetName val="10_현장집행13"/>
      <sheetName val="3_추가원가13"/>
      <sheetName val="3_추가원가_(2)13"/>
      <sheetName val="4_사전공사13"/>
      <sheetName val="5_추정공사비13"/>
      <sheetName val="6_금융비용13"/>
      <sheetName val="7_공사비집행현황(총괄)13"/>
      <sheetName val="11_1생산성13"/>
      <sheetName val="11_2인원산출13"/>
      <sheetName val="Classification_分类12"/>
      <sheetName val="tab_STATUS_DO_PROCESSO_12"/>
      <sheetName val="Perf__Plan__Diário112"/>
      <sheetName val="In_(2)12"/>
      <sheetName val="__한국_AMP_ASP-23_판매가격__12"/>
      <sheetName val="CC_Down_load_071612"/>
      <sheetName val="변경실행(2차)_12"/>
      <sheetName val="나_출고12"/>
      <sheetName val="나_입고12"/>
      <sheetName val="09년_인건비(속리산)12"/>
      <sheetName val="합산목표(감가+57_5)12"/>
      <sheetName val="제조원가_원단위_분석12"/>
      <sheetName val="종합표양식(품의_&amp;_입고)_212"/>
      <sheetName val="원가관리_(동월대비)12"/>
      <sheetName val="b_balju_(2)12"/>
      <sheetName val="2-2_매출분석12"/>
      <sheetName val="몰드시스템_리스트12"/>
      <sheetName val="11_외화채무증권(AFS,HTM)0812"/>
      <sheetName val="13_감액TEST_0812"/>
      <sheetName val="12년_CF(9월)12"/>
      <sheetName val="중기조종사_단위단가12"/>
      <sheetName val="6PILE__(돌출)12"/>
      <sheetName val="기성청구_공문12"/>
      <sheetName val="Sheet1_(2)12"/>
      <sheetName val="CLASIFICACION_DE_AI12"/>
      <sheetName val="Base_da_Datos12"/>
      <sheetName val="slide_24_cat_A12"/>
      <sheetName val="slide_82_cat_b12"/>
      <sheetName val="Dados_dos_Produtos12"/>
      <sheetName val="09~10년_매출계획12"/>
      <sheetName val="1_MDF1공장12"/>
      <sheetName val="Incident_유형구분표12"/>
      <sheetName val="3YP2016-Bottom_up11"/>
      <sheetName val="DD_list12"/>
      <sheetName val="Base_de_Datos11"/>
      <sheetName val="Clasif_11"/>
      <sheetName val="Supply_Cost_Centers11"/>
      <sheetName val="Cond__Inseguros11"/>
      <sheetName val="Comp__Inseguros11"/>
      <sheetName val="Lista_de_datos11"/>
      <sheetName val="MASTER_APP11"/>
      <sheetName val="2_카드채권(대출포함)11"/>
      <sheetName val="表21_净利润调节表11"/>
      <sheetName val="Lista_CI11"/>
      <sheetName val="Dashboard_Prevención_Riesgos_10"/>
      <sheetName val="TOP_KPIs_MTM10"/>
      <sheetName val="PLAN_DE_ACCION10"/>
      <sheetName val="Faro_de_Indicadores10"/>
      <sheetName val="Farol_Acciones11"/>
      <sheetName val="Lista_de_Entrenamientos11"/>
      <sheetName val="Unidades_SAC-REVENDA12"/>
      <sheetName val="FornecM_Check10"/>
      <sheetName val="Share_Price_200211"/>
      <sheetName val="_DD_List11"/>
      <sheetName val="BEP_加薪_KPI10"/>
      <sheetName val="Estratificación_AI10"/>
      <sheetName val="condicion_inseguras10"/>
      <sheetName val="Actos_Inseguros10"/>
      <sheetName val="Control_de_incidentes10"/>
      <sheetName val="Plan_de_Acción10"/>
      <sheetName val="Issues_List_Payments10"/>
      <sheetName val="do_not_delete10"/>
      <sheetName val="Grafica_Actos10"/>
      <sheetName val="APAC_S10"/>
      <sheetName val="APAC_N10"/>
      <sheetName val="Slide_output10"/>
      <sheetName val="[손익기01_XL??DePara10"/>
      <sheetName val="Farol_Metas10"/>
      <sheetName val="Mod_Relac_10"/>
      <sheetName val="Condiciones_SyE10"/>
      <sheetName val="REALxMETA_-_CERVEJA12"/>
      <sheetName val="REALxMETA_-_REFRI12"/>
      <sheetName val="Directrices_de_Metas_201710"/>
      <sheetName val="Data_validation10"/>
      <sheetName val="_손익기01_XL_x005f_x005f_x005f_x0000__x005f_x005f_10"/>
      <sheetName val="Hazards_Analysis-隐患分析10"/>
      <sheetName val="F08_-_Asia_Pac_Full_Year_Q311"/>
      <sheetName val="Top_Priorities11"/>
      <sheetName val="Listco_Stock11"/>
      <sheetName val="Intl_Purchase11"/>
      <sheetName val="FY_outlook11"/>
      <sheetName val="CY_outlook11"/>
      <sheetName val="Cash_metrics11"/>
      <sheetName val="P6_711"/>
      <sheetName val="DATOS_BASE10"/>
      <sheetName val="97_사업추정(WEKI)10"/>
      <sheetName val="Tong_hop10"/>
      <sheetName val="95_1_1이후취득자산(숨기기상태)10"/>
      <sheetName val="sum1_(2)10"/>
      <sheetName val="3_바닥판설계10"/>
      <sheetName val="6월_공정외주10"/>
      <sheetName val="2_대외공문10"/>
      <sheetName val="2_총괄표10"/>
      <sheetName val="입출재고현황_(2)10"/>
      <sheetName val="504전기실_동부하-L10"/>
      <sheetName val="OUTER_AREA(겹침없음)10"/>
      <sheetName val="EL_표면적10"/>
      <sheetName val="TRE_TABLE10"/>
      <sheetName val="입찰내역_발주처_양식10"/>
      <sheetName val="POC_LIST10"/>
      <sheetName val="turnover_reason퇴직사유10"/>
      <sheetName val="SKU_Basic_Data10"/>
      <sheetName val="Entity_Target10"/>
      <sheetName val="DETALLE_MENSUAL10"/>
      <sheetName val="Drop-down_List9"/>
      <sheetName val="by_DD9"/>
      <sheetName val="VALIDACION_DE_DATOS9"/>
      <sheetName val="Jul-Sep_Actual_cost_(2)9"/>
      <sheetName val="Check_Qualidade8"/>
      <sheetName val="De_Para9"/>
      <sheetName val="Check_Aderencia8"/>
      <sheetName val="_손익기01_XL_x005f_x0000__x08"/>
      <sheetName val="부재료_비교(11년_vs_10년)8"/>
      <sheetName val="Base_Farol8"/>
      <sheetName val="Gerencial_IL8"/>
      <sheetName val="Ventas_Campo8"/>
      <sheetName val="ACTOS_POR_RIESGO8"/>
      <sheetName val="drop_lists8"/>
      <sheetName val="MRL_NON_SUPPLY_URU8"/>
      <sheetName val="AIIM_-_Empresas_Ext_20128"/>
      <sheetName val="KPIs_Hana8"/>
      <sheetName val="Catalago_de_refacciones_8"/>
      <sheetName val="Existencias_al_07-Nov-20128"/>
      <sheetName val="Check_GG8"/>
      <sheetName val="Sheet3_(2)8"/>
      <sheetName val="Nombre_de_SOP8"/>
      <sheetName val="Lao_&amp;_Cam8"/>
      <sheetName val="Hoegaarden_20198"/>
      <sheetName val="Lao_&amp;_Cam_20198"/>
      <sheetName val="Malaysia_20198"/>
      <sheetName val="Singapore_20198"/>
      <sheetName val="Sheet2_(2)8"/>
      <sheetName val="요일_테이블_8"/>
      <sheetName val="Other_Listings8"/>
      <sheetName val="2__Indicadores8"/>
      <sheetName val="Ta_8"/>
      <sheetName val="Lista_de_Entrenamientos_RSO8"/>
      <sheetName val="Tablero_SDG11"/>
      <sheetName val="Lista_Areas11"/>
      <sheetName val="One_Page11"/>
      <sheetName val="Sub-Productos_HN9"/>
      <sheetName val="Eficiencia_linea8"/>
      <sheetName val="_mngt_Pillar8"/>
      <sheetName val="Pauta_RPS_Distribuição7"/>
      <sheetName val="Estoque_(2)7"/>
      <sheetName val="BNR_2012_в_ящике7"/>
      <sheetName val="Comp_Inseguros7"/>
      <sheetName val="DO_NOT_MOVE7"/>
      <sheetName val="DATOS_DE_VALIDACIÓN7"/>
      <sheetName val="Datos_con7"/>
      <sheetName val="_Datos_Cond_7"/>
      <sheetName val="INGRESO_(2)7"/>
      <sheetName val="PG-K1610_(UEN_Areas)MNG7"/>
      <sheetName val="DATOS_GEN_7"/>
      <sheetName val="NUEVOS_CRITERIOS7"/>
      <sheetName val="Condiciones_Agua7"/>
      <sheetName val="__한국_AMP_ASP-23_판㧤가격__6"/>
      <sheetName val="11_䡸화채무줝ⴌ(AFS,HTM)086"/>
      <sheetName val="Drop_list6"/>
      <sheetName val="FX_Rates6"/>
      <sheetName val="Dropdown_list6"/>
      <sheetName val="Vagas_x_Candidatos6"/>
      <sheetName val="Proced_6"/>
      <sheetName val="Cut_Machine_Summary6"/>
      <sheetName val="Control_de_Fallas6"/>
      <sheetName val="Setup_for_Templates6"/>
      <sheetName val="Datos_emp6"/>
      <sheetName val="Validation_lists6"/>
      <sheetName val="TIPO_DE_ACTO6"/>
      <sheetName val="CRITICIDAD_DE_CI6"/>
      <sheetName val="Catálogo_de_CI6"/>
      <sheetName val="%_CUMPLIMIENTO6"/>
      <sheetName val="%_cumplimiento_6"/>
      <sheetName val="CALIFICACIONES_20194"/>
      <sheetName val="Lev_4_360_deg_check_Crit_Task4"/>
      <sheetName val="Lev_4_Chk_IC_Stock_Crit_Task4"/>
      <sheetName val="Lev_4_WMS_Putaway_Crit_Task4"/>
      <sheetName val="Listas_y_equipos_a_evaluar6"/>
      <sheetName val="Data_Reporte6"/>
      <sheetName val="Read_me6"/>
      <sheetName val="NAZ_Strategy4"/>
      <sheetName val="Champions_List5"/>
      <sheetName val="Daily_Dashboard6"/>
      <sheetName val="Mapeo_SKUs6"/>
      <sheetName val="Vol_(Ds)6"/>
      <sheetName val="Vol_(Ka)6"/>
      <sheetName val="Vol_(Oth)6"/>
      <sheetName val="Vol_(Oth)_Cortesias6"/>
      <sheetName val="INPUT-Cust_Sugg_Margin(Ds)6"/>
      <sheetName val="On_Invoice6"/>
      <sheetName val="INPUT-Cust_Sugg_Margin(Ka)6"/>
      <sheetName val="INPUT_SKUs6"/>
      <sheetName val="Brand_P&amp;L4"/>
      <sheetName val="SUPERMONT_P4"/>
      <sheetName val="Data_selection4"/>
      <sheetName val="1_4"/>
      <sheetName val="Customer_&amp;_SO4"/>
      <sheetName val="Session_Proposal4"/>
      <sheetName val="Análise_Tempos3"/>
      <sheetName val="Incentivo_Automóvil3"/>
      <sheetName val="Dropdown_Menu2"/>
      <sheetName val="PDA_BOP3"/>
      <sheetName val="Validação_de_Dados3"/>
      <sheetName val="No_llenar_3"/>
      <sheetName val="PROCESS_MD3"/>
      <sheetName val="Lista_de_Motivos3"/>
      <sheetName val="Ponto_Crítico_-_Resp__Plano3"/>
      <sheetName val="Lista_Funcionários_(2)3"/>
      <sheetName val="PAINEL_RECOLHA_CRÉDITO3"/>
      <sheetName val="Gráficos_-_CDD3"/>
      <sheetName val="Project_List2"/>
      <sheetName val="Выпадающие_списки2"/>
      <sheetName val="SOP_Freshness1"/>
      <sheetName val="Dimension_IN_Sheet1!D19121"/>
      <sheetName val="Dimension_IN_19121"/>
      <sheetName val="辅助表格"/>
      <sheetName val="10 麦汁CIP清洗标准水量"/>
      <sheetName val="BU"/>
      <sheetName val="Tipo Viaje"/>
      <sheetName val="Flota y Personal"/>
      <sheetName val="_손익기01_XL_x0000__x7"/>
      <sheetName val="SAP info"/>
      <sheetName val="Target Book"/>
      <sheetName val="后台"/>
      <sheetName val="AL来源"/>
      <sheetName val="Name List"/>
      <sheetName val="Ref_New Contract Model"/>
      <sheetName val="Dec"/>
      <sheetName val="리스트용"/>
      <sheetName val="Mapeo_SKUs7"/>
      <sheetName val="Vol_(Ds)7"/>
      <sheetName val="Vol_(Ka)7"/>
      <sheetName val="Vol_(Oth)7"/>
      <sheetName val="Vol_(Oth)_Cortesias7"/>
      <sheetName val="INPUT-Cust_Sugg_Margin(Ds)7"/>
      <sheetName val="On_Invoice7"/>
      <sheetName val="INPUT-Cust_Sugg_Margin(Ka)7"/>
      <sheetName val="INPUT_SKUs7"/>
      <sheetName val="SUPERMONT_P5"/>
      <sheetName val="3__Training_&amp;_travel2"/>
      <sheetName val="3__Training_&amp;_travel1"/>
      <sheetName val="Mapeo_SKUs8"/>
      <sheetName val="Vol_(Ds)8"/>
      <sheetName val="Vol_(Ka)8"/>
      <sheetName val="Vol_(Oth)8"/>
      <sheetName val="Vol_(Oth)_Cortesias8"/>
      <sheetName val="INPUT-Cust_Sugg_Margin(Ds)8"/>
      <sheetName val="On_Invoice8"/>
      <sheetName val="INPUT-Cust_Sugg_Margin(Ka)8"/>
      <sheetName val="INPUT_SKUs8"/>
      <sheetName val="Brand_P&amp;L5"/>
      <sheetName val="SUPERMONT_P6"/>
      <sheetName val="3__Training_&amp;_travel3"/>
      <sheetName val="DIAGEO VENTURE"/>
      <sheetName val="Mapeo_SKUs9"/>
      <sheetName val="Vol_(Ds)9"/>
      <sheetName val="Vol_(Ka)9"/>
      <sheetName val="Vol_(Oth)9"/>
      <sheetName val="Vol_(Oth)_Cortesias9"/>
      <sheetName val="INPUT-Cust_Sugg_Margin(Ds)9"/>
      <sheetName val="On_Invoice9"/>
      <sheetName val="INPUT-Cust_Sugg_Margin(Ka)9"/>
      <sheetName val="INPUT_SKUs9"/>
      <sheetName val="Brand_P&amp;L6"/>
      <sheetName val="SUPERMONT_P7"/>
      <sheetName val="Data_selection5"/>
      <sheetName val="1_5"/>
      <sheetName val="3__Training_&amp;_travel4"/>
      <sheetName val="MAESTRO CODIGOS"/>
      <sheetName val="Por regional"/>
      <sheetName val="Por Proveedor"/>
      <sheetName val="X Categoria"/>
      <sheetName val="Por Vendedor"/>
      <sheetName val="Por Mayoristas"/>
      <sheetName val="Por Cliente"/>
      <sheetName val="Por producto"/>
      <sheetName val="Por producto cant."/>
      <sheetName val="Por producto cant. (2)"/>
      <sheetName val="Por Vendedor X Ciudad"/>
      <sheetName val="Act por cliente"/>
      <sheetName val="Act por Proveedor"/>
      <sheetName val="Act por producto"/>
      <sheetName val="매출내역"/>
      <sheetName val="가설전기별첨"/>
      <sheetName val="Essbase"/>
      <sheetName val="투입계획서(변경)"/>
      <sheetName val="기안"/>
      <sheetName val="지하시설물작성"/>
      <sheetName val="사다리"/>
      <sheetName val="504전기실_"/>
      <sheetName val="기준표"/>
      <sheetName val="예산입력방법"/>
      <sheetName val="예산간사조직표"/>
      <sheetName val="특수,항공 부서코드표"/>
      <sheetName val="본부별예산편성총괄표"/>
      <sheetName val="집행부서별예산계획표"/>
      <sheetName val="집행부서별예산산출내역표"/>
      <sheetName val="본부별인원인건비총괄표"/>
      <sheetName val="부서별인원인건비계획"/>
      <sheetName val="용역인원인건비계획"/>
      <sheetName val="예산조정신청서 양식"/>
      <sheetName val="96예산신청을 위한 양식및 공문"/>
      <sheetName val="특수,항공_부서코드표"/>
      <sheetName val="예산조정신청서_양식"/>
      <sheetName val="96예산신청을_위한_양식및_공문"/>
      <sheetName val="세계수요종합OK"/>
      <sheetName val="사양조정"/>
      <sheetName val="투입분"/>
      <sheetName val="LASER"/>
      <sheetName val="PLASMA"/>
      <sheetName val="96예산신청을%20위한%20양식및%20공문.XLS"/>
      <sheetName val="96%EC%98%88%EC%82%B0%EC%8B%A0%E"/>
      <sheetName val="특수,항공_부서코드표1"/>
      <sheetName val="예산조정신청서_양식1"/>
      <sheetName val="96예산신청을_위한_양식및_공문1"/>
      <sheetName val="96예산신청을%20위한%20양식및%20공문_XLS"/>
      <sheetName val="특수,항공_부서코드표2"/>
      <sheetName val="예산조정신청서_양식2"/>
      <sheetName val="96예산신청을_위한_양식및_공문2"/>
      <sheetName val="제임스짐 예상매출 for 2023B"/>
      <sheetName val="ACTIVITY CODE &amp; AREA LIST"/>
      <sheetName val="ASALTOTA"/>
      <sheetName val="국민연금"/>
      <sheetName val="Noncurrent assets"/>
      <sheetName val="2장(1사업부)ERP"/>
      <sheetName val="1) MALL"/>
      <sheetName val="계정code"/>
      <sheetName val="선택옵션"/>
      <sheetName val="옵션"/>
      <sheetName val="CriteriaUpdate"/>
      <sheetName val="주간남10대순위1"/>
      <sheetName val="주간여30대순위1"/>
      <sheetName val="건강_미결"/>
      <sheetName val="SRS_월별_BS1"/>
      <sheetName val="평가&amp;선급_미지급1"/>
      <sheetName val="EXC_IND"/>
      <sheetName val="COLOR별_인쇄"/>
      <sheetName val="Mot_So_Thuat_Ngu_EN-VI1"/>
      <sheetName val="_Cash_Flo_x0000__x0000__x0000__x0000__x0000_"/>
      <sheetName val="일위대가목록"/>
      <sheetName val="중기단가목록"/>
      <sheetName val="화기9901매출"/>
      <sheetName val="Act vs. budget"/>
      <sheetName val="연간점유"/>
      <sheetName val="업무계획1"/>
      <sheetName val="8月水电燃使用表"/>
      <sheetName val="자산LIST"/>
      <sheetName val="해외출자현황(원본틀)"/>
      <sheetName val="추정99"/>
      <sheetName val="종합"/>
      <sheetName val="DATA SHEET(절대삭제 금지)"/>
      <sheetName val="07~08 PL"/>
      <sheetName val="argl(1)"/>
      <sheetName val="CO"/>
      <sheetName val="부가가치"/>
      <sheetName val="2021 KPI_SD (대표이사)"/>
      <sheetName val="기성및원가"/>
      <sheetName val="표준공사비-조명제외x10%up"/>
      <sheetName val="D"/>
      <sheetName val="act98"/>
      <sheetName val="건설중인"/>
      <sheetName val="대지급(한미)"/>
      <sheetName val="loading"/>
      <sheetName val="a.연결정리"/>
      <sheetName val="NOZZLE제작단가"/>
      <sheetName val="Electrical Load List"/>
      <sheetName val="월별"/>
      <sheetName val="Piping Design Data"/>
      <sheetName val="表21_净利润釘×㜀࠷"/>
      <sheetName val="2담당0113"/>
      <sheetName val="1담당0113"/>
      <sheetName val="#88"/>
      <sheetName val="#10"/>
      <sheetName val="#100"/>
      <sheetName val="#101"/>
      <sheetName val="#102"/>
      <sheetName val="#103"/>
      <sheetName val="#104"/>
      <sheetName val="#105"/>
      <sheetName val="#106"/>
      <sheetName val="#107"/>
      <sheetName val="#108"/>
      <sheetName val="#11"/>
      <sheetName val="#21"/>
      <sheetName val="#22"/>
      <sheetName val="#95"/>
      <sheetName val="#60"/>
      <sheetName val="#61"/>
      <sheetName val="#62"/>
      <sheetName val="#63"/>
      <sheetName val="#64"/>
      <sheetName val="#65"/>
      <sheetName val="#70"/>
      <sheetName val="#71"/>
      <sheetName val="#72"/>
      <sheetName val="#73"/>
      <sheetName val="#74"/>
      <sheetName val="#75"/>
      <sheetName val="#76"/>
      <sheetName val="#77"/>
      <sheetName val="#82"/>
      <sheetName val="#83"/>
      <sheetName val="#84"/>
      <sheetName val="#87"/>
      <sheetName val="#90"/>
      <sheetName val="#91"/>
      <sheetName val="#92"/>
      <sheetName val="#93"/>
      <sheetName val="#94"/>
      <sheetName val="#98"/>
      <sheetName val="DANHPHAP"/>
      <sheetName val="CHITIET VL-NC-TT -1p"/>
      <sheetName val="CHITIET VL-NC-TT-3p"/>
      <sheetName val="TONG HOP VL-NC TT"/>
      <sheetName val="TDTKP1"/>
      <sheetName val="KPVC-BD "/>
      <sheetName val="P_M_별5"/>
      <sheetName val="2_주요계수총괄4"/>
      <sheetName val="1_본사계정별4"/>
      <sheetName val="118_세금과공과4"/>
      <sheetName val="Back_Data_14"/>
      <sheetName val="Project_Brief4"/>
      <sheetName val="Facility_Information4"/>
      <sheetName val="단면_(2)4"/>
      <sheetName val="1월_예산3"/>
      <sheetName val="_견적서3"/>
      <sheetName val="설문_평가3"/>
      <sheetName val="해외_기술훈련비_(합계)4"/>
      <sheetName val="외주현황_wq13"/>
      <sheetName val="#1)_투자_구분3"/>
      <sheetName val="B-1_기본정보3"/>
      <sheetName val="Utility_Usage_YTN_TOWER3"/>
      <sheetName val="대투_보관자료_변경3"/>
      <sheetName val="전선_및_전선관3"/>
      <sheetName val="2013_2월_연결대상3"/>
      <sheetName val="Rev__Recon_12"/>
      <sheetName val="1_고객불만건수2"/>
      <sheetName val="1_변경범위2"/>
      <sheetName val="KEY_CODE3"/>
      <sheetName val="2-1_강사료,교통비_지급명세3"/>
      <sheetName val="13_포장용역비표준3"/>
      <sheetName val="9_가공부자재표준3"/>
      <sheetName val="8_ROLL표준(TSW)3"/>
      <sheetName val="4_톤당조관량표준3"/>
      <sheetName val="5_조관부자재표준3"/>
      <sheetName val="2-2_투자3"/>
      <sheetName val="Proj__Fin_3"/>
      <sheetName val="ITS_Assumptions2"/>
      <sheetName val="Master_Data2"/>
      <sheetName val="HQ_급여_2"/>
      <sheetName val="OF_급여2"/>
      <sheetName val="F_Ma급여2"/>
      <sheetName val="SMT_급여2"/>
      <sheetName val="QC_급여2"/>
      <sheetName val="Sam_sung_급여2"/>
      <sheetName val="Dlock_급여2"/>
      <sheetName val="_thôi_việc_급여2"/>
      <sheetName val="Công_smt2"/>
      <sheetName val="Công_smt_(2)2"/>
      <sheetName val="Detail_smt2"/>
      <sheetName val="Công_QC2"/>
      <sheetName val="Detail_QC_2"/>
      <sheetName val="Công_SS2"/>
      <sheetName val="Detail_SS2"/>
      <sheetName val="Công_FMa2"/>
      <sheetName val="Detail_FMa2"/>
      <sheetName val="Công_OF2"/>
      <sheetName val="Detail_OF2"/>
      <sheetName val="Công_Dlock2"/>
      <sheetName val="Detail_Dlock2"/>
      <sheetName val="Công_thôi_việc2"/>
      <sheetName val="Detail_thôi2"/>
      <sheetName val="7_Utility_Analysis2"/>
      <sheetName val="Operational_Activities2"/>
      <sheetName val="C1_3_12"/>
      <sheetName val="실행기성_갑지3"/>
      <sheetName val="Eq__Mobilization2"/>
      <sheetName val="1__작성방식3"/>
      <sheetName val="표)CFT장_조직별_배분3"/>
      <sheetName val="20180214_P&amp;T3"/>
      <sheetName val="Ref__중점_추진_과제별_상세3"/>
      <sheetName val="2_6_三无_(2)2"/>
      <sheetName val="수량산출서_갑지2"/>
      <sheetName val="G_R300경비2"/>
      <sheetName val="AS포장복구_2"/>
      <sheetName val="설_계2"/>
      <sheetName val="Worker_List2"/>
      <sheetName val="GB-IC_Villingen_GG2"/>
      <sheetName val="Bank_code3"/>
      <sheetName val="Drop-down_RAW3"/>
      <sheetName val="Basic_Information3"/>
      <sheetName val="Exchange_rate3"/>
      <sheetName val="진행_DATA_(2)2"/>
      <sheetName val="Ref__Spec_Review_양식2"/>
      <sheetName val="Ref__시험항목_테이블2"/>
      <sheetName val="Ref__Search_Result_테이블2"/>
      <sheetName val="NG_Item2"/>
      <sheetName val="F_월별기성수금현황_2"/>
      <sheetName val="준검_내역서2"/>
      <sheetName val="조도계산서_(도서)2"/>
      <sheetName val="기초정보_코드2"/>
      <sheetName val="날개수량1_52"/>
      <sheetName val="6월_공嚺㓶가2"/>
      <sheetName val="3_일반사상1"/>
      <sheetName val="보고서_표2"/>
      <sheetName val="0__가정_및_결론2"/>
      <sheetName val="1__투자비2"/>
      <sheetName val="2__Rent-roll2"/>
      <sheetName val="3__Funding2"/>
      <sheetName val="4__운영수익2"/>
      <sheetName val="5__운영비용2"/>
      <sheetName val="6_1_N+1년차_NOI_산정2"/>
      <sheetName val="6__부동산매각2"/>
      <sheetName val="7__보유세2"/>
      <sheetName val="8__교통유발부담금2"/>
      <sheetName val="9__BS부속2"/>
      <sheetName val="10__CF(M)2"/>
      <sheetName val="11__IS(M)2"/>
      <sheetName val="12__BS(M)2"/>
      <sheetName val="14__IS(FY)2"/>
      <sheetName val="13__CF(FY)2"/>
      <sheetName val="15__BS(FY)2"/>
      <sheetName val="16__RE(FY)2"/>
      <sheetName val="산자사_운전용품1"/>
      <sheetName val="4_1_월별_에너지_사용량2"/>
      <sheetName val="업무_분류(Category)1"/>
      <sheetName val="첨부#2_Cash_Flow(현장작성)1"/>
      <sheetName val="M&amp;Q_Lead2"/>
      <sheetName val="10_예산_및_원가_계획(02년)"/>
      <sheetName val="TOWER_12TON2"/>
      <sheetName val="TOWER_10TON2"/>
      <sheetName val="JIB_CRANE,HOIST2"/>
      <sheetName val="경영비율_1"/>
      <sheetName val="Dropbox_목록1"/>
      <sheetName val="20년_동일기간_소테마"/>
      <sheetName val="07_01"/>
      <sheetName val="실행내역서_"/>
      <sheetName val="무형자산_LS11"/>
      <sheetName val="2_Consideration_sheet"/>
      <sheetName val="3__Export"/>
      <sheetName val="PC%계산"/>
      <sheetName val="_손익기01.XL__DePara"/>
      <sheetName val="_손익기01_XL__DePara"/>
      <sheetName val="TEMP2"/>
      <sheetName val="#1_Basic2"/>
      <sheetName val="STRAT_PLAN_WKSHT3"/>
      <sheetName val="Sales_Plan_&amp;_other3"/>
      <sheetName val="drop_downs2"/>
      <sheetName val="견적_맵1"/>
      <sheetName val="7300-1000_112"/>
      <sheetName val="PJT_현황1"/>
      <sheetName val="참고)_기준정보1"/>
      <sheetName val="Long_Term_Prices1"/>
      <sheetName val="업무분장_1"/>
      <sheetName val="구분_Table1"/>
      <sheetName val="문의내용_카테고리_분류(수정X)1"/>
      <sheetName val="Diesel_Price_1"/>
      <sheetName val="Phieu_trinh_ky_cấu_tháp1"/>
      <sheetName val="Phieu_trinh_ky_VTP1"/>
      <sheetName val="KS-VL_rời1"/>
      <sheetName val="Tai_san1"/>
      <sheetName val="Check_dong_tien1"/>
      <sheetName val="Chi_phí_SDTS1"/>
      <sheetName val="Check_COST1"/>
      <sheetName val="DATA_HD1"/>
      <sheetName val="Tong_hop_1TM1"/>
      <sheetName val="NS_Lán_trại1"/>
      <sheetName val="Check_cong_no_NC1"/>
      <sheetName val="목차_"/>
      <sheetName val="0__물류비집계_rev1"/>
      <sheetName val="0__물류비_집계"/>
      <sheetName val="(1-2)_국내_구간별_운송_견적_1"/>
      <sheetName val="(1-1)_국내_구간별_운송_실적__(2)"/>
      <sheetName val="(1)_국내_사이트_상세_주소_"/>
      <sheetName val="수입_건수_정리"/>
      <sheetName val="(2-1)_수출_해상_(LCL)_"/>
      <sheetName val="(2-2)_수출_항공_"/>
      <sheetName val="(2-4)_수출_내륙_운송료"/>
      <sheetName val="(3-1)_수입_해상_(FCL)"/>
      <sheetName val="(3-2)_수입_해상_(LCL)_"/>
      <sheetName val="(3-3)_수입_항공_"/>
      <sheetName val="(3-5)_수입_내륙_운송료"/>
      <sheetName val="운송내역_"/>
      <sheetName val="Project_Count1"/>
      <sheetName val="역T형옹벽(3_0)1"/>
      <sheetName val="외상매출금현황-수정분_A21"/>
      <sheetName val="control_sheet1"/>
      <sheetName val="SPT_vs_PHI"/>
      <sheetName val="1-2_설계변경요청서(갑지)1"/>
      <sheetName val="첨부1_(주차관제-_당공)1"/>
      <sheetName val="첨부1-1_설계변경내역서(CCTV)1"/>
      <sheetName val="첨부1-2_(주차관제-변공)1"/>
      <sheetName val="2-6_변공량(추가공사)1"/>
      <sheetName val="_2-1_관제(물량산출서집계표)1"/>
      <sheetName val="_2-2_유도(물량산출서집계표)1"/>
      <sheetName val="3-1_주차관제1"/>
      <sheetName val="3-2_주차-광케이블1"/>
      <sheetName val="3-3_층별LPR1"/>
      <sheetName val="4-1_유도-광케이블1"/>
      <sheetName val="4-2_주차키오스크1"/>
      <sheetName val="4-3_4면카메라1"/>
      <sheetName val="4-5_CCTV1"/>
      <sheetName val="4-6_블럭유도등1"/>
      <sheetName val="4-7_입구만차등1"/>
      <sheetName val="4-8_비상벨1"/>
      <sheetName val="NKC_(final)1"/>
      <sheetName val="PF_현황(11년12월)1"/>
      <sheetName val="입찰내역_Ԁ"/>
      <sheetName val="입찰내역_⊍∀的"/>
      <sheetName val="Sensitivity_and_GC_Value1"/>
      <sheetName val="3_공통공사대비"/>
      <sheetName val="현장관리비_산출내역"/>
      <sheetName val="운영경비_세부작성근거"/>
      <sheetName val="참고3_DATA"/>
      <sheetName val="입찰내역_"/>
      <sheetName val="토공(우물통,기타)_"/>
      <sheetName val="Insight_MTD_QTD_YTD_DATA"/>
      <sheetName val="Working_(PivotTable)"/>
      <sheetName val="Essbase_(53_Weeks)"/>
      <sheetName val="Essbase_(52_Weeks)"/>
      <sheetName val="Store_Listing"/>
      <sheetName val="COMP_Working"/>
      <sheetName val="COMP_LLY_Working"/>
      <sheetName val="ALK_Chi_tiết_công_nợ"/>
      <sheetName val="CHITIET_VL-NC-TT1p"/>
      <sheetName val="Xunit_(단위환산)"/>
      <sheetName val="4월_매출"/>
      <sheetName val="SAP_검증(평균환율)"/>
      <sheetName val="SAP_검증(월말환율)"/>
      <sheetName val="전분기말_정산표(PQE)"/>
      <sheetName val="전년동기_정산표"/>
      <sheetName val="전기말_정산표(PYE)"/>
      <sheetName val="당기말_정산표(CPE)"/>
      <sheetName val="A01-3_조정내역"/>
      <sheetName val="A01-3_단순합산"/>
      <sheetName val="매출채권_및_금융자산"/>
      <sheetName val="A03-3_연결조정"/>
      <sheetName val="A07__유형자산_차기이월,_미실현"/>
      <sheetName val="A07__유형자산_감가상각"/>
      <sheetName val="A08__연결_조정"/>
      <sheetName val="A09__연결_조정"/>
      <sheetName val="B01_연결_조정"/>
      <sheetName val="B04_연결_조정"/>
      <sheetName val="B05_연결_조정"/>
      <sheetName val="납입자본(연결자본변동표_참조_작성)"/>
      <sheetName val="이익잉여금(연결자본변동표_참조_작성)"/>
      <sheetName val="기타포괄손익누계액(연결자본변동표_참조_작성)"/>
      <sheetName val="D01_연결_조정"/>
      <sheetName val="주당손익(개별파일_작성)"/>
      <sheetName val="_Drop"/>
      <sheetName val="7__2_3"/>
      <sheetName val="Report_Setup2"/>
      <sheetName val="OWNER-1_(2)2"/>
      <sheetName val="고객만족도_향상"/>
      <sheetName val="108_수선비"/>
      <sheetName val="BS준비_XLS"/>
      <sheetName val="BS%EC%A4%80%EB%B9%84_XLS"/>
      <sheetName val="퇴직금추계(04_9_30)"/>
      <sheetName val="1_경제설계"/>
      <sheetName val="경수97_02"/>
      <sheetName val="1995년_섹터별_매출"/>
      <sheetName val="44-2Q_주석_xlsx"/>
      <sheetName val="팀_업체별_월기성실적"/>
      <sheetName val="팀_업체별_시공의뢰"/>
      <sheetName val="A_(3)"/>
      <sheetName val="DL08_DF_모드"/>
      <sheetName val="원지_수급가"/>
      <sheetName val="2_상각보정명세"/>
      <sheetName val="특수,항공_부서코드표3"/>
      <sheetName val="예산조정신청서_양식3"/>
      <sheetName val="96예산신청을_위한_양식및_공문3"/>
      <sheetName val="96예산신청을%20위한%20양식및%20공문_XLS1"/>
      <sheetName val="4b_Consolidated_PL"/>
      <sheetName val="TT_List"/>
      <sheetName val="2_주요계수총괄5"/>
      <sheetName val="Facility_Information5"/>
      <sheetName val="P_M_별6"/>
      <sheetName val="근거_및_가정4"/>
      <sheetName val="118_세금과공과5"/>
      <sheetName val="Project_Brief5"/>
      <sheetName val="단면_(2)5"/>
      <sheetName val="설문_평가4"/>
      <sheetName val="PAD_TR보호대기초4"/>
      <sheetName val="해외_기술훈련비_(합계)5"/>
      <sheetName val="1_차입금4"/>
      <sheetName val="부대시행1_(2)4"/>
      <sheetName val="1__시공측량4"/>
      <sheetName val="1_본사계정별5"/>
      <sheetName val="납부내역총괄표_(수정)4"/>
      <sheetName val="3_6_2남양주택배4"/>
      <sheetName val="_견적서4"/>
      <sheetName val="Utility_Usage_YTN_TOWER4"/>
      <sheetName val="Back_Data_15"/>
      <sheetName val="Rev__Recon_13"/>
      <sheetName val="1_고객불만건수3"/>
      <sheetName val="1_변경범위3"/>
      <sheetName val="수종별수량_(2)4"/>
      <sheetName val="Weekly_Progress(계장)4"/>
      <sheetName val="2013_2월_연결대상4"/>
      <sheetName val="1월_예산4"/>
      <sheetName val="설산1_나4"/>
      <sheetName val="전선_및_전선관4"/>
      <sheetName val="#1)_투자_구분4"/>
      <sheetName val="B-1_기본정보4"/>
      <sheetName val="외주현황_wq14"/>
      <sheetName val="대투_보관자료_변경4"/>
      <sheetName val="13_포장용역비표준4"/>
      <sheetName val="9_가공부자재표준4"/>
      <sheetName val="8_ROLL표준(TSW)4"/>
      <sheetName val="4_톤당조관량표준4"/>
      <sheetName val="5_조관부자재표준4"/>
      <sheetName val="7_Utility_Analysis3"/>
      <sheetName val="Operational_Activities3"/>
      <sheetName val="2-2_투자4"/>
      <sheetName val="Proj__Fin_4"/>
      <sheetName val="ITS_Assumptions3"/>
      <sheetName val="Master_Data3"/>
      <sheetName val="실행기성_갑지4"/>
      <sheetName val="Eq__Mobilization3"/>
      <sheetName val="6월_공嚺㓶가3"/>
      <sheetName val="KEY_CODE4"/>
      <sheetName val="2-1_강사료,교통비_지급명세4"/>
      <sheetName val="HQ_급여_3"/>
      <sheetName val="OF_급여3"/>
      <sheetName val="F_Ma급여3"/>
      <sheetName val="SMT_급여3"/>
      <sheetName val="QC_급여3"/>
      <sheetName val="Sam_sung_급여3"/>
      <sheetName val="Dlock_급여3"/>
      <sheetName val="_thôi_việc_급여3"/>
      <sheetName val="Công_smt3"/>
      <sheetName val="Công_smt_(2)3"/>
      <sheetName val="Detail_smt3"/>
      <sheetName val="Công_QC3"/>
      <sheetName val="Detail_QC_3"/>
      <sheetName val="Công_SS3"/>
      <sheetName val="Detail_SS3"/>
      <sheetName val="Công_FMa3"/>
      <sheetName val="Detail_FMa3"/>
      <sheetName val="Công_OF3"/>
      <sheetName val="Detail_OF3"/>
      <sheetName val="Công_Dlock3"/>
      <sheetName val="Detail_Dlock3"/>
      <sheetName val="Công_thôi_việc3"/>
      <sheetName val="Detail_thôi3"/>
      <sheetName val="C1_3_13"/>
      <sheetName val="1__작성방식4"/>
      <sheetName val="표)CFT장_조직별_배분4"/>
      <sheetName val="20180214_P&amp;T4"/>
      <sheetName val="Ref__중점_추진_과제별_상세4"/>
      <sheetName val="2_6_三无_(2)3"/>
      <sheetName val="업무_분류(Category)2"/>
      <sheetName val="수량산출서_갑지3"/>
      <sheetName val="G_R300경비3"/>
      <sheetName val="AS포장복구_3"/>
      <sheetName val="설_계3"/>
      <sheetName val="Worker_List3"/>
      <sheetName val="GB-IC_Villingen_GG3"/>
      <sheetName val="Exchange_rate4"/>
      <sheetName val="준검_내역서3"/>
      <sheetName val="날개수량1_53"/>
      <sheetName val="F_월별기성수금현황_3"/>
      <sheetName val="기초정보_코드3"/>
      <sheetName val="#1_Basic3"/>
      <sheetName val="첨부#2_Cash_Flow(현장작성)2"/>
      <sheetName val="Bank_code4"/>
      <sheetName val="Drop-down_RAW4"/>
      <sheetName val="산자사_운전용품2"/>
      <sheetName val="보고서_표3"/>
      <sheetName val="0__가정_및_결론3"/>
      <sheetName val="1__투자비3"/>
      <sheetName val="2__Rent-roll3"/>
      <sheetName val="3__Funding3"/>
      <sheetName val="4__운영수익3"/>
      <sheetName val="5__운영비용3"/>
      <sheetName val="6_1_N+1년차_NOI_산정3"/>
      <sheetName val="6__부동산매각3"/>
      <sheetName val="7__보유세3"/>
      <sheetName val="8__교통유발부담금3"/>
      <sheetName val="9__BS부속3"/>
      <sheetName val="10__CF(M)3"/>
      <sheetName val="11__IS(M)3"/>
      <sheetName val="12__BS(M)3"/>
      <sheetName val="14__IS(FY)3"/>
      <sheetName val="13__CF(FY)3"/>
      <sheetName val="15__BS(FY)3"/>
      <sheetName val="16__RE(FY)3"/>
      <sheetName val="4_1_월별_에너지_사용량3"/>
      <sheetName val="3_일반사상2"/>
      <sheetName val="조도계산서_(도서)3"/>
      <sheetName val="A(Rev_3)2"/>
      <sheetName val="M&amp;Q_Lead3"/>
      <sheetName val="STRAT_PLAN_WKSHT4"/>
      <sheetName val="Sales_Plan_&amp;_other4"/>
      <sheetName val="drop_downs3"/>
      <sheetName val="Basic_Information4"/>
      <sheetName val="Mot_So_Thuat_Ngu_EN-VI2"/>
      <sheetName val="노원열병합__건축공사기성내역서1"/>
      <sheetName val="진행_DATA_(2)3"/>
      <sheetName val="견적_맵2"/>
      <sheetName val="7300-1000_113"/>
      <sheetName val="PJT_현황2"/>
      <sheetName val="참고)_기준정보2"/>
      <sheetName val="Long_Term_Prices2"/>
      <sheetName val="업무분장_2"/>
      <sheetName val="구분_Table2"/>
      <sheetName val="유류대_현황2"/>
      <sheetName val="1__템플릿2"/>
      <sheetName val="2__작성_참고사항2"/>
      <sheetName val="mapping_(2)2"/>
      <sheetName val="Ref_2"/>
      <sheetName val="2_3_Projects_Status2"/>
      <sheetName val="Consolidated_Project_List2"/>
      <sheetName val="Fixed_Cost2"/>
      <sheetName val="Listas_desplegables2"/>
      <sheetName val="Resumen_General2"/>
      <sheetName val="Cátalogo_de_CI2"/>
      <sheetName val="Hoja2_(2)2"/>
      <sheetName val="Technology_check_list2"/>
      <sheetName val="Status_de_Usuario2"/>
      <sheetName val="Actos_y_Condiciones_2"/>
      <sheetName val="NO_BORRAR2"/>
      <sheetName val="Formato_checklist_Lab2"/>
      <sheetName val="Manage_to_Sustain1"/>
      <sheetName val="Meeting_List1"/>
      <sheetName val="Packages_Info1"/>
      <sheetName val="Preferred_Option1"/>
      <sheetName val="입문_트랜드(종합분석)1"/>
      <sheetName val="Master_CE1"/>
      <sheetName val="CE_Final_1"/>
      <sheetName val="OL_LIST1"/>
      <sheetName val="YTD_GUEST_LIST1"/>
      <sheetName val="Session_Full_list1"/>
      <sheetName val="FOOD_PAYMENT_update_JAN1"/>
      <sheetName val="Rate_card_F19_1"/>
      <sheetName val="Master_Plan__(update)1"/>
      <sheetName val="The_KPI_1"/>
      <sheetName val="Mentor_Plan_1"/>
      <sheetName val="Master_Plan_1"/>
      <sheetName val="Tier_1_GOV_PC_Networking_1"/>
      <sheetName val="Tier_1_LBO_1"/>
      <sheetName val="2020_MMR121"/>
      <sheetName val="Razão_Social1"/>
      <sheetName val="Investment_Category1"/>
      <sheetName val="문의내용_카테고리_분류(수정X)2"/>
      <sheetName val="Diesel_Price_2"/>
      <sheetName val="TOWER_12TON3"/>
      <sheetName val="TOWER_10TON3"/>
      <sheetName val="JIB_CRANE,HOIST3"/>
      <sheetName val="시스템_개요_유효값1"/>
      <sheetName val="입찰내역_Ĉ2"/>
      <sheetName val="Phieu_trinh_ky_cấu_tháp2"/>
      <sheetName val="Phieu_trinh_ky_VTP2"/>
      <sheetName val="KS-VL_rời2"/>
      <sheetName val="Tai_san2"/>
      <sheetName val="Check_dong_tien2"/>
      <sheetName val="Chi_phí_SDTS2"/>
      <sheetName val="Check_COST2"/>
      <sheetName val="DATA_HD2"/>
      <sheetName val="Tong_hop_1TM2"/>
      <sheetName val="NS_Lán_trại2"/>
      <sheetName val="Check_cong_no_NC2"/>
      <sheetName val="목차_1"/>
      <sheetName val="0__물류비집계_rev11"/>
      <sheetName val="0__물류비_집계1"/>
      <sheetName val="(1-2)_국내_구간별_운송_견적_11"/>
      <sheetName val="(1-1)_국내_구간별_운송_실적__(2)1"/>
      <sheetName val="(1)_국내_사이트_상세_주소_1"/>
      <sheetName val="수입_건수_정리1"/>
      <sheetName val="(2-1)_수출_해상_(LCL)_1"/>
      <sheetName val="(2-2)_수출_항공_1"/>
      <sheetName val="(2-4)_수출_내륙_운송료1"/>
      <sheetName val="(3-1)_수입_해상_(FCL)1"/>
      <sheetName val="(3-2)_수입_해상_(LCL)_1"/>
      <sheetName val="(3-3)_수입_항공_1"/>
      <sheetName val="(3-5)_수입_내륙_운송료1"/>
      <sheetName val="운송내역_1"/>
      <sheetName val="Project_Count2"/>
      <sheetName val="수량산출서_(2)1"/>
      <sheetName val="1_수인터널2"/>
      <sheetName val="역T형옹벽(3_0)2"/>
      <sheetName val="외상매출금현황-수정분_A22"/>
      <sheetName val="control_sheet2"/>
      <sheetName val="JT3_0견적-구11"/>
      <sheetName val="Dropbox_목록2"/>
      <sheetName val="SPT_vs_PHI1"/>
      <sheetName val="전기요금_산출내역1"/>
      <sheetName val="1-2_설계변경요청서(갑지)2"/>
      <sheetName val="첨부1_(주차관제-_당공)2"/>
      <sheetName val="첨부1-1_설계변경내역서(CCTV)2"/>
      <sheetName val="첨부1-2_(주차관제-변공)2"/>
      <sheetName val="2-6_변공량(추가공사)2"/>
      <sheetName val="_2-1_관제(물량산출서집계표)2"/>
      <sheetName val="_2-2_유도(물량산출서집계표)2"/>
      <sheetName val="3-1_주차관제2"/>
      <sheetName val="3-2_주차-광케이블2"/>
      <sheetName val="3-3_층별LPR2"/>
      <sheetName val="4-1_유도-광케이블2"/>
      <sheetName val="4-2_주차키오스크2"/>
      <sheetName val="4-3_4면카메라2"/>
      <sheetName val="4-5_CCTV2"/>
      <sheetName val="4-6_블럭유도등2"/>
      <sheetName val="4-7_입구만차등2"/>
      <sheetName val="4-8_비상벨2"/>
      <sheetName val="1~9_하중계산1"/>
      <sheetName val="BSD_(2)1"/>
      <sheetName val="방배동내역_(총괄)1"/>
      <sheetName val="NKC_(final)2"/>
      <sheetName val="NCR_HEC_6_Opens1"/>
      <sheetName val="NCR_HEC_4_Open_&amp;_Vendor_2_Open1"/>
      <sheetName val="PF_현황(11년12월)2"/>
      <sheetName val="Ref__Spec_Review_양식3"/>
      <sheetName val="Ref__시험항목_테이블3"/>
      <sheetName val="Ref__Search_Result_테이블3"/>
      <sheetName val="NG_Item3"/>
      <sheetName val="20년_동일기간_소테마1"/>
      <sheetName val="SRS_월별_BS2"/>
      <sheetName val="평가&amp;선급_미지급2"/>
      <sheetName val="EXC_IND1"/>
      <sheetName val="COLOR별_인쇄1"/>
      <sheetName val="무형자산_LS111"/>
      <sheetName val="10_예산_및_원가_계획(02년)1"/>
      <sheetName val="Sensitivity_and_GC_Value2"/>
      <sheetName val="07_011"/>
      <sheetName val="경영비율_2"/>
      <sheetName val="2_FM_Fee_2차년도1"/>
      <sheetName val="3_감가장비1"/>
      <sheetName val="3_공통공사대비1"/>
      <sheetName val="현장관리비_산출내역1"/>
      <sheetName val="운영경비_세부작성근거1"/>
      <sheetName val="참고3_DATA1"/>
      <sheetName val="입찰내역_1"/>
      <sheetName val="토공(우물통,기타)_1"/>
      <sheetName val="Insight_MTD_QTD_YTD_DATA1"/>
      <sheetName val="Working_(PivotTable)1"/>
      <sheetName val="Essbase_(53_Weeks)1"/>
      <sheetName val="Essbase_(52_Weeks)1"/>
      <sheetName val="Store_Listing1"/>
      <sheetName val="COMP_Working1"/>
      <sheetName val="COMP_LLY_Working1"/>
      <sheetName val="ALK_Chi_tiết_công_nợ1"/>
      <sheetName val="CHITIET_VL-NC-TT1p1"/>
      <sheetName val="PH_51"/>
      <sheetName val="bar_chart-rev1"/>
      <sheetName val="Xunit_(단위환산)1"/>
      <sheetName val="4월_매출1"/>
      <sheetName val="SAP_검증(평균환율)1"/>
      <sheetName val="SAP_검증(월말환율)1"/>
      <sheetName val="전분기말_정산표(PQE)1"/>
      <sheetName val="전년동기_정산표1"/>
      <sheetName val="전기말_정산표(PYE)1"/>
      <sheetName val="당기말_정산표(CPE)1"/>
      <sheetName val="A01-3_조정내역1"/>
      <sheetName val="A01-3_단순합산1"/>
      <sheetName val="매출채권_및_금융자산1"/>
      <sheetName val="A03-3_연결조정1"/>
      <sheetName val="A07__유형자산_차기이월,_미실현1"/>
      <sheetName val="A07__유형자산_감가상각1"/>
      <sheetName val="A08__연결_조정1"/>
      <sheetName val="A09__연결_조정1"/>
      <sheetName val="B01_연결_조정1"/>
      <sheetName val="B04_연결_조정1"/>
      <sheetName val="B05_연결_조정1"/>
      <sheetName val="납입자본(연결자본변동표_참조_작성)1"/>
      <sheetName val="이익잉여금(연결자본변동표_참조_작성)1"/>
      <sheetName val="기타포괄손익누계액(연결자본변동표_참조_작성)1"/>
      <sheetName val="D01_연결_조정1"/>
      <sheetName val="주당손익(개별파일_작성)1"/>
      <sheetName val="_Drop1"/>
      <sheetName val="7__2_4"/>
      <sheetName val="Report_Setup3"/>
      <sheetName val="OWNER-1_(2)3"/>
      <sheetName val="고객만족도_향상1"/>
      <sheetName val="108_수선비1"/>
      <sheetName val="BS준비_XLS1"/>
      <sheetName val="BS%EC%A4%80%EB%B9%84_XLS1"/>
      <sheetName val="퇴직금추계(04_9_30)1"/>
      <sheetName val="1_경제설계1"/>
      <sheetName val="경수97_021"/>
      <sheetName val="1995년_섹터별_매출1"/>
      <sheetName val="44-2Q_주석_xlsx1"/>
      <sheetName val="팀_업체별_월기성실적1"/>
      <sheetName val="팀_업체별_시공의뢰1"/>
      <sheetName val="A_(3)1"/>
      <sheetName val="DL08_DF_모드1"/>
      <sheetName val="원지_수급가1"/>
      <sheetName val="2_상각보정명세1"/>
      <sheetName val="특수,항공_부서코드표4"/>
      <sheetName val="예산조정신청서_양식4"/>
      <sheetName val="96예산신청을_위한_양식및_공문4"/>
      <sheetName val="96예산신청을%20위한%20양식및%20공문_XLS2"/>
      <sheetName val="4b_Consolidated_PL1"/>
      <sheetName val="TT_List1"/>
      <sheetName val="건축개요_"/>
      <sheetName val="VS P-Q"/>
      <sheetName val="B"/>
      <sheetName val="MAIN_TABLE"/>
      <sheetName val="3BL공동구 수량"/>
      <sheetName val="member design"/>
      <sheetName val="design criteria"/>
      <sheetName val="working load at the btm ft."/>
      <sheetName val="plan&amp;section of foundation"/>
      <sheetName val="7_공사비집_x0000_跇˜_x0000__x0000__x0000_Ā_x0000_"/>
      <sheetName val="97 사업추정(W؀_x0001__x0000__x0000_"/>
      <sheetName val="일위목차"/>
      <sheetName val="0226"/>
      <sheetName val="2)단가비교표"/>
      <sheetName val="SHEET"/>
      <sheetName val="설비등록ၒ_x0000_"/>
      <sheetName val="첨부1-2__증감사유내역서(을)"/>
      <sheetName val="유효성_목록"/>
      <sheetName val="총_원가계산"/>
      <sheetName val="1_설계기준"/>
      <sheetName val="6PILE__(剙"/>
      <sheetName val="Ⅴ-2_공종별내역"/>
      <sheetName val="경계석,골재외_(2)"/>
      <sheetName val="카테고리_분류_(수정X)"/>
      <sheetName val="3_판관비명세서"/>
      <sheetName val="제조원가_원단༘֜"/>
      <sheetName val="▶_일일출역_집계_20210819143316"/>
      <sheetName val="sum_"/>
      <sheetName val="UPA(Part_C,D,E,G,H)"/>
      <sheetName val="UPA(Part_F)"/>
      <sheetName val="일위대가_(Part_C,D,E,G,H)"/>
      <sheetName val="완성차_미수금"/>
      <sheetName val="견적_(2)"/>
      <sheetName val="ITB_COST"/>
      <sheetName val="종합표양식(품의좲쒥⠀쮎"/>
      <sheetName val="Process_Li"/>
      <sheetName val="_㴐ኰ"/>
      <sheetName val="_움ᕕ"/>
      <sheetName val="단양_00_아파트-세부내역"/>
      <sheetName val="96보완계획7_12"/>
      <sheetName val="8호선 원가 투입내역"/>
      <sheetName val="_x005f_x0000__x00_x0000__x0000__x0000_"/>
      <sheetName val="천마갑지"/>
      <sheetName val="下拉框选项"/>
      <sheetName val="Criteria List"/>
      <sheetName val="应收帐款(외상매출금)"/>
      <sheetName val="0405比较_查询"/>
      <sheetName val="북마크"/>
      <sheetName val="방법론선택및업로드"/>
      <sheetName val="생산"/>
      <sheetName val="구매대행이행율(2)"/>
      <sheetName val="FB150’980123"/>
      <sheetName val="category대응"/>
      <sheetName val="대출 상환액 산출표"/>
      <sheetName val="사외외주 9월 현황"/>
      <sheetName val="GRACE"/>
      <sheetName val="Ⅱ.추정종합"/>
      <sheetName val="단독빌딩 총합계본"/>
      <sheetName val="COVER-P"/>
      <sheetName val="할증 "/>
      <sheetName val="다이꾸"/>
      <sheetName val="7_공사비집_x0000__x0000__x0000__x0000_⽐ʇ_x0000_"/>
      <sheetName val="NON SLIP"/>
      <sheetName val="변경내역대비표(2)"/>
      <sheetName val="총괄표_전체"/>
      <sheetName val="총괄표_기본"/>
      <sheetName val="총괄표_확장"/>
      <sheetName val="제조원가_원단_x0000_궰_x0000__x0000_"/>
      <sheetName val="제조원가_원단_x0000_聏_x0000__x0000_"/>
      <sheetName val="제조원가_원단샀_x000e__x0000__x0000_"/>
      <sheetName val="종합표양식(품의_&amp;¾_x0000__x0000__x0000__x0000_漁ן"/>
      <sheetName val="TinhGiaNC"/>
      <sheetName val="Thiet Bi"/>
      <sheetName val="Arch"/>
      <sheetName val="주식"/>
      <sheetName val="Assumption List"/>
      <sheetName val="schbhn"/>
      <sheetName val="schalt"/>
      <sheetName val="schtng"/>
      <sheetName val="PSV2701F"/>
      <sheetName val="_REF"/>
      <sheetName val="H.P견적(참조)"/>
      <sheetName val="공사예산하조서(O.K)"/>
      <sheetName val="타견적(을)"/>
      <sheetName val="플랜트 설치"/>
      <sheetName val="표건"/>
      <sheetName val="제조원가_원단뿰朮_x0000__x0000_"/>
      <sheetName val="제조원가_원단뽰_x0000__x0000_"/>
      <sheetName val="제조원가_원단뽀ᚔ_x0000__x0000_"/>
      <sheetName val="C.S.A"/>
      <sheetName val="Rate"/>
      <sheetName val="Sch.6"/>
      <sheetName val="12년_CF(9월_x0000_"/>
      <sheetName val="운반거리(0.7km)"/>
      <sheetName val="총제품수불"/>
      <sheetName val="견적내역서(산출근거)"/>
      <sheetName val="1_종합손익(주택,&quot;_x0000__x0000__x0000_"/>
      <sheetName val="Template"/>
      <sheetName val="나_출؀_x0001_"/>
      <sheetName val="공사직종별노임"/>
      <sheetName val="리드14"/>
      <sheetName val="backdata"/>
      <sheetName val="Spreadsheet Information"/>
      <sheetName val="major"/>
      <sheetName val="챤넬"/>
      <sheetName val="제작LIST"/>
      <sheetName val="표지 (3)"/>
      <sheetName val="감가상각비(2002)"/>
      <sheetName val="Sheet376"/>
      <sheetName val="품목코드"/>
      <sheetName val="12월시산표"/>
      <sheetName val="손익계산서(출력)"/>
      <sheetName val="매출원가"/>
      <sheetName val="목공사품의서"/>
      <sheetName val="온라인 계수 기준표"/>
      <sheetName val="1.현금예금"/>
      <sheetName val="利润表"/>
      <sheetName val="정산표Y_E(10년-4Q)"/>
      <sheetName val="资产负债"/>
      <sheetName val="scoreY_E(10년-4Q)"/>
      <sheetName val="利润表FY10"/>
      <sheetName val="1차)기초데이터_인건비월별추정"/>
      <sheetName val="STROPEZ"/>
      <sheetName val="1_종합손익(도급)14"/>
      <sheetName val="1_종합손익(주택,개발)14"/>
      <sheetName val="2_실행예산14"/>
      <sheetName val="2_2과부족14"/>
      <sheetName val="2_3원가절감14"/>
      <sheetName val="8_외주비집행현황14"/>
      <sheetName val="9_자재비14"/>
      <sheetName val="10_현장집행14"/>
      <sheetName val="3_추가원가14"/>
      <sheetName val="3_추가원가_(2)14"/>
      <sheetName val="4_사전공사14"/>
      <sheetName val="5_추정공사비14"/>
      <sheetName val="6_금융비용14"/>
      <sheetName val="7_공사비집행현황(총괄)14"/>
      <sheetName val="11_1생산성14"/>
      <sheetName val="11_2인원산출14"/>
      <sheetName val="CC_Down_load_071613"/>
      <sheetName val="변경실행(2차)_13"/>
      <sheetName val="__한국_AMP_ASP-23_판매가격__13"/>
      <sheetName val="나_출고13"/>
      <sheetName val="나_입고13"/>
      <sheetName val="09년_인건비(속리산)13"/>
      <sheetName val="합산목표(감가+57_5)13"/>
      <sheetName val="b_balju_(2)13"/>
      <sheetName val="제조원가_원단위_분석13"/>
      <sheetName val="종합표양식(품의_&amp;_입고)_213"/>
      <sheetName val="원가관리_(동월대비)13"/>
      <sheetName val="중기조종사_단위단가13"/>
      <sheetName val="2-2_매출분석13"/>
      <sheetName val="6PILE__(돌출)13"/>
      <sheetName val="기성청구_공문13"/>
      <sheetName val="몰드시스템_리스트13"/>
      <sheetName val="11_외화채무증권(AFS,HTM)0813"/>
      <sheetName val="13_감액TEST_0813"/>
      <sheetName val="7_(2)15"/>
      <sheetName val="12년_CF(9월)13"/>
      <sheetName val="Sheet1_(2)13"/>
      <sheetName val="2_총괄표11"/>
      <sheetName val="sum1_(2)11"/>
      <sheetName val="504전기실_동부하-L11"/>
      <sheetName val="2_대외공문11"/>
      <sheetName val="表21_净利润调节表12"/>
      <sheetName val="입출재고현황_(2)11"/>
      <sheetName val="Facility_Information6"/>
      <sheetName val="2_주요계수총괄6"/>
      <sheetName val="3_바닥판설계11"/>
      <sheetName val="입찰내역_발주처_양식11"/>
      <sheetName val="P_M_별7"/>
      <sheetName val="TRE_TABLE11"/>
      <sheetName val="OUTER_AREA(겹침없음)11"/>
      <sheetName val="EL_표면적11"/>
      <sheetName val="Project_Brief6"/>
      <sheetName val="PAD_TR보호대기초5"/>
      <sheetName val="단면_(2)6"/>
      <sheetName val="근거_및_가정5"/>
      <sheetName val="09~10년_매출계획13"/>
      <sheetName val="2_카드채권(대출포함)12"/>
      <sheetName val="전사_PL16"/>
      <sheetName val="자금_제외_PL16"/>
      <sheetName val="자금_PL16"/>
      <sheetName val="전사_BS16"/>
      <sheetName val="자금_제외_BS16"/>
      <sheetName val="자금_BS16"/>
      <sheetName val="BS_계정_설명16"/>
      <sheetName val="_Cash_Flow(전사)16"/>
      <sheetName val="_Cash_Flow(자금제외)16"/>
      <sheetName val="_Cash_Flow(자금)16"/>
      <sheetName val="ROIC_16"/>
      <sheetName val="인건비_명세16"/>
      <sheetName val="판관비_명세16"/>
      <sheetName val="OH_Cost경비(내역)16"/>
      <sheetName val="OH_Cost경비(배부기준)16"/>
      <sheetName val="기타수지&amp;특별손익_명세16"/>
      <sheetName val="Process_List15"/>
      <sheetName val="제시_손익계산서15"/>
      <sheetName val="업무연락_(2)15"/>
      <sheetName val="M_7회차_담금_계획15"/>
      <sheetName val="01_02월_성과급16"/>
      <sheetName val="97_사업추정(WEKI)11"/>
      <sheetName val="팀별_실적15"/>
      <sheetName val="팀별_실적_(환산)15"/>
      <sheetName val="6월_공정외주11"/>
      <sheetName val="1_차입금5"/>
      <sheetName val="118_세금과공과6"/>
      <sheetName val="Tong_hop11"/>
      <sheetName val="95_1_1이후취득자산(숨기기상태)11"/>
      <sheetName val="1_MDF1공장13"/>
      <sheetName val="1__시공측량5"/>
      <sheetName val="1_본사계정별6"/>
      <sheetName val="부대시행1_(2)5"/>
      <sheetName val="3_6_2남양주택배5"/>
      <sheetName val="Back_Data_16"/>
      <sheetName val="해외_기술훈련비_(합계)6"/>
      <sheetName val="수종별수량_(2)5"/>
      <sheetName val="전선_및_전선관5"/>
      <sheetName val="1월_예산5"/>
      <sheetName val="_견적서5"/>
      <sheetName val="#1)_투자_구분5"/>
      <sheetName val="Weekly_Progress(계장)5"/>
      <sheetName val="설산1_나5"/>
      <sheetName val="납부내역총괄표_(수정)5"/>
      <sheetName val="설문_평가5"/>
      <sheetName val="Utility_Usage_YTN_TOWER5"/>
      <sheetName val="B-1_기본정보5"/>
      <sheetName val="대투_보관자료_변경5"/>
      <sheetName val="G_R300경비4"/>
      <sheetName val="AS포장복구_4"/>
      <sheetName val="설_계4"/>
      <sheetName val="2013_2월_연결대상5"/>
      <sheetName val="Rev__Recon_14"/>
      <sheetName val="1_고객불만건수4"/>
      <sheetName val="1_변경범위4"/>
      <sheetName val="외주현황_wq15"/>
      <sheetName val="수량산출서_갑지4"/>
      <sheetName val="실행기성_갑지5"/>
      <sheetName val="Eq__Mobilization4"/>
      <sheetName val="KEY_CODE5"/>
      <sheetName val="2-1_강사료,교통비_지급명세5"/>
      <sheetName val="13_포장용역비표준5"/>
      <sheetName val="9_가공부자재표준5"/>
      <sheetName val="8_ROLL표준(TSW)5"/>
      <sheetName val="4_톤당조관량표준5"/>
      <sheetName val="5_조관부자재표준5"/>
      <sheetName val="4__Inj_투자상세내역15"/>
      <sheetName val="3__Blow_투자_상세내역15"/>
      <sheetName val="Jul-Sep_Actual_cost_(2)10"/>
      <sheetName val="요일_테이블15"/>
      <sheetName val="요일_테이블_(2)14"/>
      <sheetName val="TO_Data_Base23"/>
      <sheetName val="YTD_Summary22"/>
      <sheetName val="Month_Summary22"/>
      <sheetName val="Trial_Balance_MAY_200922"/>
      <sheetName val="TB_Pivot22"/>
      <sheetName val="total_per_LB_LB222"/>
      <sheetName val="Trial_Balance_Vlookup22"/>
      <sheetName val="Trial_Balance_APRIL_200922"/>
      <sheetName val="Roll_Out_AQ22"/>
      <sheetName val="Evolução_mandamentos22"/>
      <sheetName val="Planilha_resultados21"/>
      <sheetName val="Historico_200321"/>
      <sheetName val="Sig_Cycles_Accts_&amp;_Processes21"/>
      <sheetName val="3_ISo_YTD15"/>
      <sheetName val="E_法规NC15"/>
      <sheetName val="Données_LMU15"/>
      <sheetName val="Brazil_Sovereign15"/>
      <sheetName val="Resumen_Costo15"/>
      <sheetName val="Fixed_ZBB15"/>
      <sheetName val="5_115"/>
      <sheetName val="Extract_Loss15"/>
      <sheetName val="QA_跟踪记录表15"/>
      <sheetName val="RG_Depots15"/>
      <sheetName val="material_data15"/>
      <sheetName val="other_data15"/>
      <sheetName val="Como_Estamos15"/>
      <sheetName val="Database_(RUR)Mar_YTD15"/>
      <sheetName val="SKU_Mapping15"/>
      <sheetName val="Drop_Down15"/>
      <sheetName val="Raw_Data15"/>
      <sheetName val="EBM-2_GHQ15"/>
      <sheetName val="Base_PEF16"/>
      <sheetName val="Base_de_Dados15"/>
      <sheetName val="Testing_Template_Guidance15"/>
      <sheetName val="Test_Programs15"/>
      <sheetName val="Dados_BLP15"/>
      <sheetName val="Controls_data17"/>
      <sheetName val="FJJX_Bud_IB14"/>
      <sheetName val="look-up_data14"/>
      <sheetName val="JOB_PROFILE_-_LAS15"/>
      <sheetName val="ARdistr_(2)15"/>
      <sheetName val="Prd_Hierarchy(产品层级)14"/>
      <sheetName val="Com_(2PK)14"/>
      <sheetName val="Prd_Hierarchy(产品层次)14"/>
      <sheetName val="Project_Code14"/>
      <sheetName val="15년_BL_사계14"/>
      <sheetName val="_손익기01_XL14"/>
      <sheetName val="drop_down_list14"/>
      <sheetName val="[손익기01_XL_x005f_x0000__x005f_x0000_DePara14"/>
      <sheetName val="[손익기01_XL14"/>
      <sheetName val="Income_Stmt14"/>
      <sheetName val="Quarterly_LBO_Model14"/>
      <sheetName val="_손익기01_XL_x005f_x0000__x005f_x0000_DePara14"/>
      <sheetName val="Classification_分类13"/>
      <sheetName val="Figures_Report13"/>
      <sheetName val="Set_Up14"/>
      <sheetName val="Fare_prices13"/>
      <sheetName val="Hotel_prices13"/>
      <sheetName val="tab_STATUS_DO_PROCESSO_13"/>
      <sheetName val="Perf__Plan__Diário113"/>
      <sheetName val="In_(2)13"/>
      <sheetName val="slide_24_cat_A13"/>
      <sheetName val="slide_82_cat_b13"/>
      <sheetName val="Incident_유형구분표13"/>
      <sheetName val="CLASIFICACION_DE_AI13"/>
      <sheetName val="Base_da_Datos13"/>
      <sheetName val="Dados_dos_Produtos13"/>
      <sheetName val="DD_list13"/>
      <sheetName val="3YP2016-Bottom_up12"/>
      <sheetName val="MASTER_APP12"/>
      <sheetName val="Cond__Inseguros12"/>
      <sheetName val="Comp__Inseguros12"/>
      <sheetName val="Lista_de_datos12"/>
      <sheetName val="Base_de_Datos12"/>
      <sheetName val="_DD_List12"/>
      <sheetName val="Share_Price_200212"/>
      <sheetName val="Clasif_12"/>
      <sheetName val="Lista_CI12"/>
      <sheetName val="Farol_Acciones12"/>
      <sheetName val="Lista_de_Entrenamientos12"/>
      <sheetName val="Supply_Cost_Centers12"/>
      <sheetName val="BEP_加薪_KPI11"/>
      <sheetName val="2-2_투자5"/>
      <sheetName val="Proj__Fin_5"/>
      <sheetName val="ITS_Assumptions4"/>
      <sheetName val="Master_Data4"/>
      <sheetName val="HQ_급여_4"/>
      <sheetName val="OF_급여4"/>
      <sheetName val="F_Ma급여4"/>
      <sheetName val="SMT_급여4"/>
      <sheetName val="QC_급여4"/>
      <sheetName val="Sam_sung_급여4"/>
      <sheetName val="Dlock_급여4"/>
      <sheetName val="_thôi_việc_급여4"/>
      <sheetName val="Công_smt4"/>
      <sheetName val="Công_smt_(2)4"/>
      <sheetName val="Detail_smt4"/>
      <sheetName val="Công_QC4"/>
      <sheetName val="Detail_QC_4"/>
      <sheetName val="Công_SS4"/>
      <sheetName val="Detail_SS4"/>
      <sheetName val="Công_FMa4"/>
      <sheetName val="Detail_FMa4"/>
      <sheetName val="Công_OF4"/>
      <sheetName val="Detail_OF4"/>
      <sheetName val="Công_Dlock4"/>
      <sheetName val="Detail_Dlock4"/>
      <sheetName val="Công_thôi_việc4"/>
      <sheetName val="Detail_thôi4"/>
      <sheetName val="7_Utility_Analysis4"/>
      <sheetName val="Operational_Activities4"/>
      <sheetName val="기초정보_코드4"/>
      <sheetName val="1__작성방식5"/>
      <sheetName val="조도계산서_(도서)4"/>
      <sheetName val="C1_3_14"/>
      <sheetName val="준검_내역서4"/>
      <sheetName val="F_월별기성수금현황_4"/>
      <sheetName val="A(Rev_3)3"/>
      <sheetName val="날개수량1_54"/>
      <sheetName val="표)CFT장_조직별_배분5"/>
      <sheetName val="20180214_P&amp;T5"/>
      <sheetName val="Ref__중점_추진_과제별_상세5"/>
      <sheetName val="2_6_三无_(2)4"/>
      <sheetName val="Worker_List4"/>
      <sheetName val="GB-IC_Villingen_GG4"/>
      <sheetName val="입찰내역_Ĉ3"/>
      <sheetName val="6월_공嚺㓶가4"/>
      <sheetName val="보고서_표4"/>
      <sheetName val="0__가정_및_결론4"/>
      <sheetName val="1__투자비4"/>
      <sheetName val="2__Rent-roll4"/>
      <sheetName val="3__Funding4"/>
      <sheetName val="4__운영수익4"/>
      <sheetName val="5__운영비용4"/>
      <sheetName val="6_1_N+1년차_NOI_산정4"/>
      <sheetName val="6__부동산매각4"/>
      <sheetName val="7__보유세4"/>
      <sheetName val="8__교통유발부담금4"/>
      <sheetName val="9__BS부속4"/>
      <sheetName val="10__CF(M)4"/>
      <sheetName val="11__IS(M)4"/>
      <sheetName val="12__BS(M)4"/>
      <sheetName val="14__IS(FY)4"/>
      <sheetName val="13__CF(FY)4"/>
      <sheetName val="15__BS(FY)4"/>
      <sheetName val="16__RE(FY)4"/>
      <sheetName val="M&amp;Q_Lead4"/>
      <sheetName val="4_1_월별_에너지_사용량4"/>
      <sheetName val="Bank_code5"/>
      <sheetName val="Drop-down_RAW5"/>
      <sheetName val="산자사_운전용품3"/>
      <sheetName val="업무_분류(Category)3"/>
      <sheetName val="전기요금_산출내역2"/>
      <sheetName val="3_일반사상3"/>
      <sheetName val="부재료_비교(11년_vs_10년)9"/>
      <sheetName val="Dashboard_Prevención_Riesgos_11"/>
      <sheetName val="TOP_KPIs_MTM11"/>
      <sheetName val="PLAN_DE_ACCION11"/>
      <sheetName val="Faro_de_Indicadores11"/>
      <sheetName val="Unidades_SAC-REVENDA13"/>
      <sheetName val="FornecM_Check11"/>
      <sheetName val="Hazards_Analysis-隐患分析11"/>
      <sheetName val="F08_-_Asia_Pac_Full_Year_Q312"/>
      <sheetName val="Top_Priorities12"/>
      <sheetName val="Listco_Stock12"/>
      <sheetName val="Intl_Purchase12"/>
      <sheetName val="FY_outlook12"/>
      <sheetName val="CY_outlook12"/>
      <sheetName val="Cash_metrics12"/>
      <sheetName val="P6_712"/>
      <sheetName val="DATOS_BASE11"/>
      <sheetName val="Estratificación_AI11"/>
      <sheetName val="condicion_inseguras11"/>
      <sheetName val="Actos_Inseguros11"/>
      <sheetName val="Control_de_incidentes11"/>
      <sheetName val="Plan_de_Acción11"/>
      <sheetName val="_손익기01_XL_x005f_x005f_x005f_x0000__x005f_x005f_11"/>
      <sheetName val="Issues_List_Payments11"/>
      <sheetName val="turnover_reason퇴직사유11"/>
      <sheetName val="Grafica_Actos11"/>
      <sheetName val="POC_LIST11"/>
      <sheetName val="Condiciones_SyE11"/>
      <sheetName val="DETALLE_MENSUAL11"/>
      <sheetName val="do_not_delete11"/>
      <sheetName val="APAC_S11"/>
      <sheetName val="APAC_N11"/>
      <sheetName val="Slide_output11"/>
      <sheetName val="[손익기01_XL??DePara11"/>
      <sheetName val="Farol_Metas11"/>
      <sheetName val="Mod_Relac_11"/>
      <sheetName val="REALxMETA_-_CERVEJA13"/>
      <sheetName val="REALxMETA_-_REFRI13"/>
      <sheetName val="Directrices_de_Metas_201711"/>
      <sheetName val="SKU_Basic_Data11"/>
      <sheetName val="Entity_Target11"/>
      <sheetName val="VALIDACION_DE_DATOS10"/>
      <sheetName val="Drop-down_List10"/>
      <sheetName val="by_DD10"/>
      <sheetName val="Check_Qualidade9"/>
      <sheetName val="De_Para10"/>
      <sheetName val="Check_Aderencia9"/>
      <sheetName val="Exchange_rate5"/>
      <sheetName val="TOWER_12TON4"/>
      <sheetName val="TOWER_10TON4"/>
      <sheetName val="JIB_CRANE,HOIST4"/>
      <sheetName val="첨부#2_Cash_Flow(현장작성)3"/>
      <sheetName val="1~9_하중계산2"/>
      <sheetName val="1_수인터널3"/>
      <sheetName val="시스템_개요_유효값2"/>
      <sheetName val="Basic_Information5"/>
      <sheetName val="JT3_0견적-구12"/>
      <sheetName val="진행_DATA_(2)4"/>
      <sheetName val="Dropbox_목록3"/>
      <sheetName val="Investment_Category2"/>
      <sheetName val="Base_Farol9"/>
      <sheetName val="Gerencial_IL9"/>
      <sheetName val="Ventas_Campo9"/>
      <sheetName val="ACTOS_POR_RIESGO9"/>
      <sheetName val="drop_lists9"/>
      <sheetName val="MRL_NON_SUPPLY_URU9"/>
      <sheetName val="AIIM_-_Empresas_Ext_20129"/>
      <sheetName val="KPIs_Hana9"/>
      <sheetName val="Catalago_de_refacciones_9"/>
      <sheetName val="Existencias_al_07-Nov-20129"/>
      <sheetName val="Check_GG9"/>
      <sheetName val="_손익기01_XL_x005f_x0000__x09"/>
      <sheetName val="요일_테이블_9"/>
      <sheetName val="Nombre_de_SOP9"/>
      <sheetName val="_mngt_Pillar9"/>
      <sheetName val="2__Indicadores9"/>
      <sheetName val="Ta_9"/>
      <sheetName val="Sheet3_(2)9"/>
      <sheetName val="Lao_&amp;_Cam9"/>
      <sheetName val="Hoegaarden_20199"/>
      <sheetName val="Lao_&amp;_Cam_20199"/>
      <sheetName val="Malaysia_20199"/>
      <sheetName val="Singapore_20199"/>
      <sheetName val="Sheet2_(2)9"/>
      <sheetName val="Other_Listings9"/>
      <sheetName val="Lista_de_Entrenamientos_RSO9"/>
      <sheetName val="Tablero_SDG12"/>
      <sheetName val="Lista_Areas12"/>
      <sheetName val="One_Page12"/>
      <sheetName val="Sub-Productos_HN10"/>
      <sheetName val="Eficiencia_linea9"/>
      <sheetName val="Pauta_RPS_Distribuição8"/>
      <sheetName val="Estoque_(2)8"/>
      <sheetName val="DATOS_DE_VALIDACIÓN8"/>
      <sheetName val="Datos_con8"/>
      <sheetName val="_Datos_Cond_8"/>
      <sheetName val="Comp_Inseguros8"/>
      <sheetName val="BNR_2012_в_ящике8"/>
      <sheetName val="INGRESO_(2)8"/>
      <sheetName val="PG-K1610_(UEN_Areas)MNG8"/>
      <sheetName val="DATOS_GEN_8"/>
      <sheetName val="NUEVOS_CRITERIOS8"/>
      <sheetName val="Condiciones_Agua8"/>
      <sheetName val="DO_NOT_MOVE8"/>
      <sheetName val="Dropdown_list7"/>
      <sheetName val="Control_de_Fallas7"/>
      <sheetName val="Setup_for_Templates7"/>
      <sheetName val="Datos_emp7"/>
      <sheetName val="Drop_list7"/>
      <sheetName val="FX_Rates7"/>
      <sheetName val="Proced_7"/>
      <sheetName val="Cut_Machine_Summary7"/>
      <sheetName val="Validation_lists7"/>
      <sheetName val="__한국_AMP_ASP-23_판㧤가격__7"/>
      <sheetName val="11_䡸화채무줝ⴌ(AFS,HTM)087"/>
      <sheetName val="TIPO_DE_ACTO7"/>
      <sheetName val="CRITICIDAD_DE_CI7"/>
      <sheetName val="Catálogo_de_CI7"/>
      <sheetName val="%_CUMPLIMIENTO7"/>
      <sheetName val="%_cumplimiento_7"/>
      <sheetName val="CALIFICACIONES_20195"/>
      <sheetName val="Lev_4_360_deg_check_Crit_Task5"/>
      <sheetName val="Lev_4_Chk_IC_Stock_Crit_Task5"/>
      <sheetName val="Lev_4_WMS_Putaway_Crit_Task5"/>
      <sheetName val="Vagas_x_Candidatos7"/>
      <sheetName val="Listas_y_equipos_a_evaluar7"/>
      <sheetName val="Data_Reporte7"/>
      <sheetName val="Read_me7"/>
      <sheetName val="Champions_List6"/>
      <sheetName val="NAZ_Strategy5"/>
      <sheetName val="Daily_Dashboard7"/>
      <sheetName val="Mapeo_SKUs10"/>
      <sheetName val="Vol_(Ds)10"/>
      <sheetName val="Vol_(Ka)10"/>
      <sheetName val="Vol_(Oth)10"/>
      <sheetName val="Vol_(Oth)_Cortesias10"/>
      <sheetName val="INPUT-Cust_Sugg_Margin(Ds)10"/>
      <sheetName val="On_Invoice10"/>
      <sheetName val="INPUT-Cust_Sugg_Margin(Ka)10"/>
      <sheetName val="INPUT_SKUs10"/>
      <sheetName val="Brand_P&amp;L7"/>
      <sheetName val="SUPERMONT_P8"/>
      <sheetName val="Data_selection6"/>
      <sheetName val="1_6"/>
      <sheetName val="Customer_&amp;_SO5"/>
      <sheetName val="Session_Proposal5"/>
      <sheetName val="Dropdown_Menu3"/>
      <sheetName val="Análise_Tempos4"/>
      <sheetName val="Incentivo_Automóvil4"/>
      <sheetName val="PDA_BOP4"/>
      <sheetName val="Validação_de_Dados4"/>
      <sheetName val="No_llenar_4"/>
      <sheetName val="유류대_현황3"/>
      <sheetName val="1__템플릿3"/>
      <sheetName val="2__작성_참고사항3"/>
      <sheetName val="mapping_(2)3"/>
      <sheetName val="Ref_3"/>
      <sheetName val="Lista_de_Motivos4"/>
      <sheetName val="Ponto_Crítico_-_Resp__Plano4"/>
      <sheetName val="Lista_Funcionários_(2)4"/>
      <sheetName val="2_3_Projects_Status3"/>
      <sheetName val="PROCESS_MD4"/>
      <sheetName val="Consolidated_Project_List3"/>
      <sheetName val="Fixed_Cost3"/>
      <sheetName val="Project_List3"/>
      <sheetName val="Выпадающие_списки3"/>
      <sheetName val="Listas_desplegables3"/>
      <sheetName val="Resumen_General3"/>
      <sheetName val="Cátalogo_de_CI3"/>
      <sheetName val="Hoja2_(2)3"/>
      <sheetName val="Technology_check_list3"/>
      <sheetName val="Status_de_Usuario3"/>
      <sheetName val="Actos_y_Condiciones_3"/>
      <sheetName val="NO_BORRAR3"/>
      <sheetName val="Formato_checklist_Lab3"/>
      <sheetName val="SOP_Freshness2"/>
      <sheetName val="PAINEL_RECOLHA_CRÉDITO4"/>
      <sheetName val="Gráficos_-_CDD4"/>
      <sheetName val="3__Training_&amp;_travel5"/>
      <sheetName val="Dimension_IN_Sheet1!D19122"/>
      <sheetName val="Dimension_IN_19122"/>
      <sheetName val="Manage_to_Sustain2"/>
      <sheetName val="Meeting_List2"/>
      <sheetName val="Packages_Info2"/>
      <sheetName val="Preferred_Option2"/>
      <sheetName val="입문_트랜드(종합분석)2"/>
      <sheetName val="Master_CE2"/>
      <sheetName val="CE_Final_2"/>
      <sheetName val="OL_LIST2"/>
      <sheetName val="YTD_GUEST_LIST2"/>
      <sheetName val="Session_Full_list2"/>
      <sheetName val="FOOD_PAYMENT_update_JAN2"/>
      <sheetName val="Rate_card_F19_2"/>
      <sheetName val="Master_Plan__(update)2"/>
      <sheetName val="The_KPI_2"/>
      <sheetName val="Mentor_Plan_2"/>
      <sheetName val="Master_Plan_2"/>
      <sheetName val="Tier_1_GOV_PC_Networking_2"/>
      <sheetName val="Tier_1_LBO_2"/>
      <sheetName val="2020_MMR122"/>
      <sheetName val="Razão_Social2"/>
      <sheetName val="방배동내역_(총괄)2"/>
      <sheetName val="BSD_(2)2"/>
      <sheetName val="SRS_월별_BS3"/>
      <sheetName val="평가&amp;선급_미지급3"/>
      <sheetName val="EXC_IND2"/>
      <sheetName val="COLOR별_인쇄2"/>
      <sheetName val="Mot_So_Thuat_Ngu_EN-VI3"/>
      <sheetName val="노원열병합__건축공사기성내역서2"/>
      <sheetName val="3_공통공사대비2"/>
      <sheetName val="현장관리비_산출내역2"/>
      <sheetName val="무형자산_LS112"/>
      <sheetName val="NG_Item4"/>
      <sheetName val="NCR_HEC_6_Opens2"/>
      <sheetName val="NCR_HEC_4_Open_&amp;_Vendor_2_Open2"/>
      <sheetName val="수량산출서_(2)2"/>
      <sheetName val="첨부1-2__증감사유내역서(을)1"/>
      <sheetName val="경계석,골재외_(2)1"/>
      <sheetName val="Ref__Spec_Review_양식4"/>
      <sheetName val="Ref__시험항목_테이블4"/>
      <sheetName val="Ref__Search_Result_테이블4"/>
      <sheetName val="2_FM_Fee_2차년도2"/>
      <sheetName val="3_감가장비2"/>
      <sheetName val="10_예산_및_원가_계획(02년)2"/>
      <sheetName val="경영비율_3"/>
      <sheetName val="20년_동일기간_소테마2"/>
      <sheetName val="07_012"/>
      <sheetName val="3_판관비명세서1"/>
      <sheetName val="유효성_목록1"/>
      <sheetName val="총_원가계산1"/>
      <sheetName val="1_설계조건1"/>
      <sheetName val="1_설계기준1"/>
      <sheetName val="UPA(Part_C,D,E,G,H)1"/>
      <sheetName val="UPA(Part_F)1"/>
      <sheetName val="일위대가_(Part_C,D,E,G,H)1"/>
      <sheetName val="완성차_미수금1"/>
      <sheetName val="Process_Li1"/>
      <sheetName val="sum_1"/>
      <sheetName val="운영경비_세부작성근거2"/>
      <sheetName val="카테고리_분류_(수정X)1"/>
      <sheetName val="▶_일일출역_집계_202108191433161"/>
      <sheetName val="Ⅴ-2_공종별내역1"/>
      <sheetName val="ITB_COST1"/>
      <sheetName val="견적_(2)1"/>
      <sheetName val="실행내역서_1"/>
      <sheetName val="Ext__Stone-P"/>
      <sheetName val="Process_Li 鸴"/>
      <sheetName val="단양_00_아파트-세부내역1"/>
      <sheetName val="Rate_Analysis"/>
      <sheetName val="_손익기01_XL_x005f_x0000__x005f_x005f_x0"/>
      <sheetName val="KPIs-_TTP,_PTP,_People_Turnover"/>
      <sheetName val="1월_목표"/>
      <sheetName val="FILIAL_MINAS"/>
      <sheetName val="info_for_drop_box"/>
      <sheetName val="POCM_배송지"/>
      <sheetName val="데이터_유효성_목록"/>
      <sheetName val="Mapping_"/>
      <sheetName val="WS_DB"/>
      <sheetName val="Region_"/>
      <sheetName val="SKU_DB"/>
      <sheetName val="10_麦汁CIP清洗标准水量"/>
      <sheetName val="Tipo_Viaje"/>
      <sheetName val="Flota_y_Personal"/>
      <sheetName val="SAP_info"/>
      <sheetName val="Target_Book"/>
      <sheetName val="Name_List"/>
      <sheetName val="Ref_New_Contract_Model"/>
      <sheetName val="DIAGEO_VENTURE"/>
      <sheetName val="MAESTRO_CODIGOS"/>
      <sheetName val="Por_regional"/>
      <sheetName val="Por_Proveedor"/>
      <sheetName val="X_Categoria"/>
      <sheetName val="Por_Vendedor"/>
      <sheetName val="Por_Mayoristas"/>
      <sheetName val="Por_Cliente"/>
      <sheetName val="Por_producto"/>
      <sheetName val="Por_producto_cant_"/>
      <sheetName val="Por_producto_cant__(2)"/>
      <sheetName val="Por_Vendedor_X_Ciudad"/>
      <sheetName val="Act_por_cliente"/>
      <sheetName val="Act_por_Proveedor"/>
      <sheetName val="Act_por_producto"/>
      <sheetName val="입찰내역_Ĉ_x005f_x0000__x005f_x0000_ᇆ"/>
      <sheetName val="입찰내역_Ĉ_x005f_x0000__x005f_x0000_ᇆ"/>
      <sheetName val="제임스짐_예상매출_for_2023B"/>
      <sheetName val="ACTIVITY_CODE_&amp;_AREA_LIST"/>
      <sheetName val="예산표_"/>
      <sheetName val="PAINT_(2)"/>
      <sheetName val="물량표_(2)"/>
      <sheetName val="Noncurrent_assets"/>
      <sheetName val="1)_MALL"/>
      <sheetName val="2_Consideration_sheet1"/>
      <sheetName val="3__Export1"/>
      <sheetName val="표지_(3)"/>
      <sheetName val="Act_vs__budget"/>
      <sheetName val="a_연결정리"/>
      <sheetName val="2021_KPI_SD_(대표이사)"/>
      <sheetName val="07~08_PL"/>
      <sheetName val="_손익기01_XL__DePara1"/>
      <sheetName val="Ⅱ_추정종합"/>
      <sheetName val="단독빌딩_총합계본"/>
      <sheetName val="96보완계획7_121"/>
      <sheetName val="member_design"/>
      <sheetName val="design_criteria"/>
      <sheetName val="working_load_at_the_btm_ft_"/>
      <sheetName val="plan&amp;section_of_foundation"/>
      <sheetName val="97_사업추정(W؀"/>
      <sheetName val="Requirement(Work_Crew)"/>
      <sheetName val="3BL공동구_수량"/>
      <sheetName val="NON_SLIP"/>
      <sheetName val="8호선_원가_투입내역"/>
      <sheetName val="Criteria_List"/>
      <sheetName val="DATA_SHEET(절대삭제_금지)"/>
      <sheetName val="Spreadsheet_Information"/>
      <sheetName val="VS_P-Q"/>
      <sheetName val="Electrical_Load_List"/>
      <sheetName val="12년_CF౮_x0002_저殑"/>
      <sheetName val="6PILE__(_xddf4_ㆥ堀"/>
      <sheetName val="6PILE__(౮_x0002_저"/>
      <sheetName val="말뚝지지력산정"/>
      <sheetName val="_손익기01_XL_x005f_x0000__x8"/>
      <sheetName val="_x0000__x005f"/>
      <sheetName val="_x005f_x0018__x005f"/>
      <sheetName val="[손익기01_XL_x0000__x0000_DePara12"/>
      <sheetName val="_손익기01_XL_x0000__x0000_DePara12"/>
      <sheetName val="_손익기01_XL_x005f_x0000__x9"/>
      <sheetName val="_손익기01_XL_x0000__x07"/>
      <sheetName val="[손익기01_XL_x0000__x0000_DePara13"/>
      <sheetName val="_손익기01_XL_x0000__x0000_DePara13"/>
      <sheetName val="_손익기01_XL_x005f_x0000__10"/>
      <sheetName val="_손익기01_XL_x0000__x08"/>
      <sheetName val="종합표양식(품의좲?쒥⠀쮎_x001d__x0000__x0000_"/>
      <sheetName val="_x0000__x00_x0000__x0000__x0000_"/>
      <sheetName val="[손익기01_XL_x0000__x0000_DePara14"/>
      <sheetName val="_손익기01_XL_x0000__x0000_DePara14"/>
      <sheetName val="_손익기01_XL_x005f_x0000__11"/>
      <sheetName val="_손익기01_XL_x0000__x09"/>
      <sheetName val="6PILE__(?ㆥ堀"/>
      <sheetName val="Tr.C 당일자금판"/>
      <sheetName val="적용단가표 (2)"/>
      <sheetName val="Attach 4-18"/>
      <sheetName val="_손익기01_XL__DePara2"/>
      <sheetName val="_손익기01_XL__DePara3"/>
      <sheetName val="_손익기01_XL__DePara4"/>
      <sheetName val="_손익기01_XL__DePara5"/>
      <sheetName val="_손익기01_XL__DePara6"/>
      <sheetName val="_손익기01_XL__DePara7"/>
      <sheetName val="_손익기01_XL__DePara8"/>
      <sheetName val="Planilha_relts__eos7"/>
      <sheetName val="_손익기01_XL__DePara9"/>
      <sheetName val="슬래_"/>
      <sheetName val="_손익기01_XL__DePara10"/>
      <sheetName val="_x005f_x0000__x00_x0000__x0000_Ԁ"/>
      <sheetName val="Notes"/>
      <sheetName val="내역서(토목)"/>
      <sheetName val="별제권_정리담보권"/>
      <sheetName val="범한여행"/>
      <sheetName val="자본금99(수)"/>
      <sheetName val="KENworth"/>
      <sheetName val="8월현금흐름표"/>
      <sheetName val="12"/>
      <sheetName val="※유형구분분류 (2)"/>
      <sheetName val="Ref1"/>
      <sheetName val="1-8"/>
      <sheetName val="HK1.83站合力改善 "/>
      <sheetName val="제조원가"/>
      <sheetName val="원료 CODE"/>
      <sheetName val="계열사현황종합"/>
      <sheetName val="생계99ST"/>
      <sheetName val="SHAFT"/>
      <sheetName val="실토지와투자자12.6.30"/>
      <sheetName val="REQUEST"/>
      <sheetName val="VC"/>
      <sheetName val="간접비 총괄표"/>
      <sheetName val="구의33고"/>
      <sheetName val="D1300 자삽"/>
      <sheetName val="기본자료"/>
      <sheetName val="기성내역"/>
      <sheetName val="총괄집계 "/>
      <sheetName val="입찰내역서(통합)A3"/>
      <sheetName val="입찰내역서(기본)"/>
      <sheetName val="입찰내역서(확장)"/>
      <sheetName val="2.하중산정"/>
      <sheetName val="C_d"/>
      <sheetName val="tabulation (comparison)"/>
      <sheetName val="TIE-INS"/>
      <sheetName val="MAT_N048"/>
      <sheetName val="HYDROTEST DIAGRAM"/>
      <sheetName val="GAE8'97"/>
      <sheetName val="Process Piping"/>
      <sheetName val="BREAKDOWN(철거설치)"/>
      <sheetName val="SITE DEV,T"/>
      <sheetName val="Equipt Rental"/>
      <sheetName val="GRAND SUM"/>
      <sheetName val="Rates"/>
      <sheetName val="BOQ"/>
      <sheetName val="FINANCIAL (FLR)"/>
      <sheetName val="Land Dev't. Ph-1"/>
      <sheetName val="4-Lane bridge"/>
      <sheetName val="Hac.Lots"/>
      <sheetName val="Res.Lots"/>
      <sheetName val="Spine Road"/>
      <sheetName val="Personnel"/>
      <sheetName val="자재단가조사표-수목"/>
      <sheetName val="チューブ仕様"/>
      <sheetName val="石炭性状"/>
      <sheetName val="Tabulation "/>
      <sheetName val="TOSHIBA-Structure"/>
      <sheetName val="PBS"/>
      <sheetName val="8.PILE  (돌출)"/>
      <sheetName val="기계내역서"/>
      <sheetName val="BM"/>
      <sheetName val="Code 07"/>
      <sheetName val="villa"/>
      <sheetName val="project management"/>
      <sheetName val="지수적용공사비내역서"/>
      <sheetName val="ORIGN"/>
      <sheetName val="Price Summary (2)"/>
      <sheetName val="B1"/>
      <sheetName val="LBR"/>
      <sheetName val="MTL"/>
      <sheetName val="EQT"/>
      <sheetName val="Wts"/>
      <sheetName val="BTRP-230kV.wts"/>
      <sheetName val="bill 2"/>
      <sheetName val="도기류"/>
      <sheetName val="prod-rates2"/>
      <sheetName val="corbeldatail"/>
      <sheetName val="TYPE-A"/>
      <sheetName val="INDIRECT"/>
      <sheetName val="03-13 Anticipated"/>
      <sheetName val="(COV)"/>
      <sheetName val="subcon sched"/>
      <sheetName val="5-Digit"/>
      <sheetName val="eqpmt"/>
      <sheetName val="mat'ls"/>
      <sheetName val="Schedule S-Curve Revision#3"/>
      <sheetName val="Bill No. 2 July 6"/>
      <sheetName val="pile Fabrication"/>
      <sheetName val="main report"/>
      <sheetName val="Derive"/>
      <sheetName val="DESBASTE"/>
      <sheetName val="1_종합손익탬됊혁酧_x0000__x0000_ꠀⅱ"/>
      <sheetName val="1_종합손익훬酧_x0000__x0000_怀ꇨ吖ᑌ"/>
      <sheetName val="1_종합손익훬酧_x0000__x0000_㠀ᥖ吨ᑌ"/>
      <sheetName val="1_종합손익(_x0000__x0000_ᥨᗊ"/>
      <sheetName val="1_종합손익(葔ǯૐŖ"/>
      <sheetName val="1_종합손익(_x0000__x0000__x0005__x0000_"/>
      <sheetName val="변경전"/>
      <sheetName val="일위대가D"/>
      <sheetName val="청산공사"/>
      <sheetName val="을"/>
      <sheetName val="개산견적원본"/>
      <sheetName val="로우프"/>
      <sheetName val="중기사용료"/>
      <sheetName val="통합ﶻ%"/>
      <sheetName val="통합৘"/>
      <sheetName val="anti-termite"/>
      <sheetName val="Manpower costs + data"/>
      <sheetName val="10.Linkway"/>
      <sheetName val="Project Name"/>
      <sheetName val="Deliver Date"/>
      <sheetName val="Staff"/>
      <sheetName val="Prelim"/>
      <sheetName val="동력"/>
      <sheetName val="변압기"/>
      <sheetName val="단"/>
      <sheetName val="투찰가"/>
      <sheetName val="차도부연장현황"/>
      <sheetName val="____01_XL_x005f_x005f_x005f_x0000__x005f_x005f__2"/>
      <sheetName val="____01_XL_x005f_x005f_x005f_x0000__x005f_x005f__3"/>
      <sheetName val="____01_XL_x005f_x005f_x005f_x0000__x005f_x005f__4"/>
      <sheetName val="____01_XL_x005f_x005f_x005f_x0000__x005f_x005f__5"/>
      <sheetName val="____01_XL_x005f_x005f_x005f_x0000__x005f_x005f__6"/>
      <sheetName val="____01_XL_x005f_x005f_x005f_x0000__x005f_x005f__7"/>
      <sheetName val="U-TYPE(1)"/>
      <sheetName val="Data추가sheet"/>
      <sheetName val="시설이용권명세서"/>
      <sheetName val="NBCF"/>
      <sheetName val="INVDAYS"/>
      <sheetName val="개요"/>
      <sheetName val="계획대비 실적_조정후"/>
      <sheetName val="투자비 상세(180117_김인태+2F 리모델링 추가)"/>
      <sheetName val="대비"/>
      <sheetName val="Sheet⤖_x0000_崒"/>
      <sheetName val="총괄갑 "/>
      <sheetName val="가압장(토목)"/>
      <sheetName val="재고선1"/>
      <sheetName val="연차일수"/>
      <sheetName val="주요지표"/>
      <sheetName val=" PL"/>
      <sheetName val="매출액명세"/>
      <sheetName val="매출원가명세"/>
      <sheetName val="매출이익명세"/>
      <sheetName val="판관비-공통"/>
      <sheetName val="판관비-기타경비명세"/>
      <sheetName val="기타&amp;특별수지 명세"/>
      <sheetName val="매출채권산출"/>
      <sheetName val="재고자산산출"/>
      <sheetName val="수입계획"/>
      <sheetName val="매입채무산출"/>
      <sheetName val="이자비용"/>
      <sheetName val="BS계정"/>
      <sheetName val="ROIC"/>
      <sheetName val=" Cash Flow"/>
      <sheetName val="Sensible Indicator"/>
      <sheetName val="2001Org"/>
      <sheetName val="신규공종"/>
      <sheetName val="샤워실위생"/>
      <sheetName val="H_P견적(참조)"/>
      <sheetName val="공사예산하조서(O_K)"/>
      <sheetName val="일위대가1"/>
      <sheetName val="익산"/>
      <sheetName val="인제내역"/>
      <sheetName val="95년12월말"/>
      <sheetName val="수리결과"/>
      <sheetName val="design load"/>
      <sheetName val="stability check"/>
      <sheetName val="설계기준"/>
      <sheetName val="내역1"/>
      <sheetName val="이자율"/>
      <sheetName val="AN-01"/>
      <sheetName val="신규단가 #1"/>
      <sheetName val="외장판넬 내역서"/>
      <sheetName val="_손익기01_XL_x005f_x0000__x005f_x005f_x1"/>
      <sheetName val="_손익기01_XL_x005f_x0000__x005f_x005f_x2"/>
      <sheetName val="_손익기01_XL_x005f_x0000__x005f_x005f_x3"/>
      <sheetName val="Planilha_relts?eos7"/>
      <sheetName val="_손익기01_XL_x005f_x0000__x005f_x005f_x4"/>
      <sheetName val="_손익기01_XL_x005f_x0000__x005f_x005f_x5"/>
      <sheetName val="_손익기01_XL_x005f_x0000__x005f_x005f_x6"/>
      <sheetName val="_손익기01_XL_x005f_x0000__x005f_x005f_x7"/>
      <sheetName val="_손익기01_XL_x005f_x0000__x005f_x005f_x8"/>
      <sheetName val="_손익기01_XL_x005f_x0000__x005f_x005f_x9"/>
      <sheetName val="_손익기01_XL_x005f_x0000__x005f_x005f_10"/>
      <sheetName val="스테인리스 (일위대가)"/>
      <sheetName val="스테인리스 (일위대가) 요약"/>
      <sheetName val="Field"/>
      <sheetName val="TA10"/>
      <sheetName val="XL4Poppy"/>
      <sheetName val="_x0000_ "/>
      <sheetName val="_x0000__x0009_"/>
      <sheetName val="은아수_05월 주간 및 요일별 평균매출"/>
      <sheetName val="C&amp;C유형"/>
      <sheetName val="C021(SEAT ASSY) "/>
      <sheetName val="PCS"/>
      <sheetName val="업무연덽_(2)9"/>
      <sheetName val="일위_파일"/>
      <sheetName val="Ma CV"/>
      <sheetName val="공정-일반MG"/>
      <sheetName val="아파트진행률"/>
      <sheetName val="운행일지"/>
      <sheetName val="상품보조수불"/>
      <sheetName val="ARP"/>
      <sheetName val="1-1.교육 일정표(지점도약)"/>
      <sheetName val="전체"/>
      <sheetName val="DUTY%"/>
      <sheetName val="H3500"/>
      <sheetName val="전체공정표"/>
      <sheetName val="실행간萹_x0014_旄"/>
      <sheetName val="실행간萹į㿔"/>
      <sheetName val="실행간萹⼴"/>
      <sheetName val="실행간萹%ㄤ"/>
      <sheetName val="실행간萹ç⽄"/>
      <sheetName val="실행간萹Ľ≌"/>
      <sheetName val="실행간萹Ăㇴ"/>
      <sheetName val="실행간萹à⌌"/>
      <sheetName val="실행간萹Ó㋄"/>
      <sheetName val="실행간萹Ĭ㈤"/>
      <sheetName val="실행간_x0000__x0000__x0005_"/>
      <sheetName val="Report"/>
      <sheetName val="손익(11)_수출포_x0000_"/>
      <sheetName val="영업.일1"/>
      <sheetName val="제조원가계산"/>
      <sheetName val="품목별매출"/>
      <sheetName val="A-41"/>
      <sheetName val="7_공사비집记ଯ_x0000_ᤅ೟翷_x0000_"/>
      <sheetName val="OUTER_AREA(_x0000__x0000_Ԁ_x0000_ "/>
      <sheetName val="OUTER_AREA(_x0000__x0000_Ԁ_x0000_퀀"/>
      <sheetName val="OUTER_AREA(_x0000__x0000_Ԁ_x0000_ꀀ"/>
      <sheetName val="OUTER_AREA(_x0000__x0000_Ԁ_x0000_䀀"/>
      <sheetName val="기성청구°_x0000__x0000__x0000_"/>
      <sheetName val="0000"/>
      <sheetName val="장비 (2)"/>
      <sheetName val="계림(함평)"/>
      <sheetName val="계림(장성)"/>
      <sheetName val="3. GROUNDING SYSTEM"/>
      <sheetName val="단가입력창"/>
      <sheetName val="종합표양식(품의_&amp;¾"/>
    </sheetNames>
    <sheetDataSet>
      <sheetData sheetId="0"/>
      <sheetData sheetId="1"/>
      <sheetData sheetId="2"/>
      <sheetData sheetId="3"/>
      <sheetData sheetId="4" refreshError="1"/>
      <sheetData sheetId="5" refreshError="1"/>
      <sheetData sheetId="6" refreshError="1"/>
      <sheetData sheetId="7" refreshError="1"/>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refreshError="1"/>
      <sheetData sheetId="48" refreshError="1"/>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sheetData sheetId="764"/>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sheetData sheetId="796"/>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sheetData sheetId="1062"/>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sheetData sheetId="1204"/>
      <sheetData sheetId="1205"/>
      <sheetData sheetId="1206"/>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sheetData sheetId="1404"/>
      <sheetData sheetId="1405"/>
      <sheetData sheetId="1406"/>
      <sheetData sheetId="1407" refreshError="1"/>
      <sheetData sheetId="1408" refreshError="1"/>
      <sheetData sheetId="1409" refreshError="1"/>
      <sheetData sheetId="1410" refreshError="1"/>
      <sheetData sheetId="1411" refreshError="1"/>
      <sheetData sheetId="1412" refreshError="1"/>
      <sheetData sheetId="1413" refreshError="1"/>
      <sheetData sheetId="1414"/>
      <sheetData sheetId="1415" refreshError="1"/>
      <sheetData sheetId="1416"/>
      <sheetData sheetId="1417"/>
      <sheetData sheetId="1418"/>
      <sheetData sheetId="1419"/>
      <sheetData sheetId="1420"/>
      <sheetData sheetId="1421"/>
      <sheetData sheetId="1422"/>
      <sheetData sheetId="1423"/>
      <sheetData sheetId="1424"/>
      <sheetData sheetId="1425"/>
      <sheetData sheetId="1426"/>
      <sheetData sheetId="1427"/>
      <sheetData sheetId="1428"/>
      <sheetData sheetId="1429"/>
      <sheetData sheetId="1430"/>
      <sheetData sheetId="143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 sheetId="1490" refreshError="1"/>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refreshError="1"/>
      <sheetData sheetId="1520" refreshError="1"/>
      <sheetData sheetId="1521" refreshError="1"/>
      <sheetData sheetId="1522" refreshError="1"/>
      <sheetData sheetId="1523" refreshError="1"/>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refreshError="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refreshError="1"/>
      <sheetData sheetId="1745" refreshError="1"/>
      <sheetData sheetId="1746" refreshError="1"/>
      <sheetData sheetId="1747" refreshError="1"/>
      <sheetData sheetId="1748" refreshError="1"/>
      <sheetData sheetId="1749" refreshError="1"/>
      <sheetData sheetId="1750" refreshError="1"/>
      <sheetData sheetId="1751" refreshError="1"/>
      <sheetData sheetId="1752" refreshError="1"/>
      <sheetData sheetId="1753" refreshError="1"/>
      <sheetData sheetId="1754" refreshError="1"/>
      <sheetData sheetId="1755" refreshError="1"/>
      <sheetData sheetId="1756" refreshError="1"/>
      <sheetData sheetId="1757" refreshError="1"/>
      <sheetData sheetId="1758" refreshError="1"/>
      <sheetData sheetId="1759" refreshError="1"/>
      <sheetData sheetId="1760" refreshError="1"/>
      <sheetData sheetId="1761" refreshError="1"/>
      <sheetData sheetId="1762" refreshError="1"/>
      <sheetData sheetId="1763" refreshError="1"/>
      <sheetData sheetId="1764" refreshError="1"/>
      <sheetData sheetId="1765" refreshError="1"/>
      <sheetData sheetId="1766" refreshError="1"/>
      <sheetData sheetId="1767" refreshError="1"/>
      <sheetData sheetId="1768" refreshError="1"/>
      <sheetData sheetId="1769" refreshError="1"/>
      <sheetData sheetId="1770" refreshError="1"/>
      <sheetData sheetId="1771" refreshError="1"/>
      <sheetData sheetId="1772" refreshError="1"/>
      <sheetData sheetId="1773" refreshError="1"/>
      <sheetData sheetId="1774"/>
      <sheetData sheetId="1775" refreshError="1"/>
      <sheetData sheetId="1776"/>
      <sheetData sheetId="1777"/>
      <sheetData sheetId="1778"/>
      <sheetData sheetId="1779"/>
      <sheetData sheetId="1780"/>
      <sheetData sheetId="1781"/>
      <sheetData sheetId="1782"/>
      <sheetData sheetId="1783"/>
      <sheetData sheetId="1784"/>
      <sheetData sheetId="1785"/>
      <sheetData sheetId="1786"/>
      <sheetData sheetId="1787"/>
      <sheetData sheetId="1788"/>
      <sheetData sheetId="1789"/>
      <sheetData sheetId="1790"/>
      <sheetData sheetId="1791"/>
      <sheetData sheetId="1792"/>
      <sheetData sheetId="1793"/>
      <sheetData sheetId="1794"/>
      <sheetData sheetId="1795"/>
      <sheetData sheetId="1796"/>
      <sheetData sheetId="1797"/>
      <sheetData sheetId="1798"/>
      <sheetData sheetId="1799"/>
      <sheetData sheetId="1800"/>
      <sheetData sheetId="1801"/>
      <sheetData sheetId="1802"/>
      <sheetData sheetId="1803"/>
      <sheetData sheetId="1804"/>
      <sheetData sheetId="1805"/>
      <sheetData sheetId="1806"/>
      <sheetData sheetId="1807"/>
      <sheetData sheetId="1808"/>
      <sheetData sheetId="1809"/>
      <sheetData sheetId="1810"/>
      <sheetData sheetId="1811"/>
      <sheetData sheetId="1812"/>
      <sheetData sheetId="1813"/>
      <sheetData sheetId="1814"/>
      <sheetData sheetId="1815"/>
      <sheetData sheetId="1816"/>
      <sheetData sheetId="1817"/>
      <sheetData sheetId="1818"/>
      <sheetData sheetId="1819"/>
      <sheetData sheetId="1820"/>
      <sheetData sheetId="1821"/>
      <sheetData sheetId="1822"/>
      <sheetData sheetId="1823"/>
      <sheetData sheetId="1824"/>
      <sheetData sheetId="1825"/>
      <sheetData sheetId="1826"/>
      <sheetData sheetId="1827"/>
      <sheetData sheetId="1828"/>
      <sheetData sheetId="1829"/>
      <sheetData sheetId="1830"/>
      <sheetData sheetId="1831"/>
      <sheetData sheetId="1832"/>
      <sheetData sheetId="1833"/>
      <sheetData sheetId="1834"/>
      <sheetData sheetId="1835"/>
      <sheetData sheetId="1836"/>
      <sheetData sheetId="1837"/>
      <sheetData sheetId="1838"/>
      <sheetData sheetId="1839"/>
      <sheetData sheetId="1840"/>
      <sheetData sheetId="1841"/>
      <sheetData sheetId="1842"/>
      <sheetData sheetId="1843"/>
      <sheetData sheetId="1844"/>
      <sheetData sheetId="1845"/>
      <sheetData sheetId="1846"/>
      <sheetData sheetId="1847"/>
      <sheetData sheetId="1848"/>
      <sheetData sheetId="1849"/>
      <sheetData sheetId="1850"/>
      <sheetData sheetId="1851"/>
      <sheetData sheetId="1852"/>
      <sheetData sheetId="1853"/>
      <sheetData sheetId="1854"/>
      <sheetData sheetId="1855"/>
      <sheetData sheetId="1856"/>
      <sheetData sheetId="1857"/>
      <sheetData sheetId="1858"/>
      <sheetData sheetId="1859"/>
      <sheetData sheetId="1860"/>
      <sheetData sheetId="1861"/>
      <sheetData sheetId="1862"/>
      <sheetData sheetId="1863"/>
      <sheetData sheetId="1864"/>
      <sheetData sheetId="1865"/>
      <sheetData sheetId="1866"/>
      <sheetData sheetId="1867"/>
      <sheetData sheetId="1868"/>
      <sheetData sheetId="1869"/>
      <sheetData sheetId="1870"/>
      <sheetData sheetId="1871"/>
      <sheetData sheetId="1872"/>
      <sheetData sheetId="1873"/>
      <sheetData sheetId="1874"/>
      <sheetData sheetId="1875"/>
      <sheetData sheetId="1876"/>
      <sheetData sheetId="1877"/>
      <sheetData sheetId="1878"/>
      <sheetData sheetId="1879"/>
      <sheetData sheetId="1880"/>
      <sheetData sheetId="1881"/>
      <sheetData sheetId="1882"/>
      <sheetData sheetId="1883"/>
      <sheetData sheetId="1884"/>
      <sheetData sheetId="1885"/>
      <sheetData sheetId="1886"/>
      <sheetData sheetId="1887"/>
      <sheetData sheetId="1888"/>
      <sheetData sheetId="1889"/>
      <sheetData sheetId="1890"/>
      <sheetData sheetId="1891"/>
      <sheetData sheetId="1892"/>
      <sheetData sheetId="1893"/>
      <sheetData sheetId="1894"/>
      <sheetData sheetId="1895"/>
      <sheetData sheetId="1896"/>
      <sheetData sheetId="1897"/>
      <sheetData sheetId="1898"/>
      <sheetData sheetId="1899"/>
      <sheetData sheetId="1900"/>
      <sheetData sheetId="1901"/>
      <sheetData sheetId="1902"/>
      <sheetData sheetId="1903"/>
      <sheetData sheetId="1904"/>
      <sheetData sheetId="1905"/>
      <sheetData sheetId="1906"/>
      <sheetData sheetId="1907"/>
      <sheetData sheetId="1908"/>
      <sheetData sheetId="1909"/>
      <sheetData sheetId="1910"/>
      <sheetData sheetId="1911"/>
      <sheetData sheetId="1912"/>
      <sheetData sheetId="1913"/>
      <sheetData sheetId="1914"/>
      <sheetData sheetId="1915"/>
      <sheetData sheetId="1916"/>
      <sheetData sheetId="1917"/>
      <sheetData sheetId="1918"/>
      <sheetData sheetId="1919"/>
      <sheetData sheetId="1920"/>
      <sheetData sheetId="1921"/>
      <sheetData sheetId="1922" refreshError="1"/>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sheetData sheetId="1936"/>
      <sheetData sheetId="1937" refreshError="1"/>
      <sheetData sheetId="1938" refreshError="1"/>
      <sheetData sheetId="1939" refreshError="1"/>
      <sheetData sheetId="1940" refreshError="1"/>
      <sheetData sheetId="1941" refreshError="1"/>
      <sheetData sheetId="1942" refreshError="1"/>
      <sheetData sheetId="1943" refreshError="1"/>
      <sheetData sheetId="1944"/>
      <sheetData sheetId="1945"/>
      <sheetData sheetId="1946"/>
      <sheetData sheetId="1947"/>
      <sheetData sheetId="1948"/>
      <sheetData sheetId="1949"/>
      <sheetData sheetId="1950"/>
      <sheetData sheetId="1951"/>
      <sheetData sheetId="1952"/>
      <sheetData sheetId="1953"/>
      <sheetData sheetId="1954"/>
      <sheetData sheetId="1955"/>
      <sheetData sheetId="1956"/>
      <sheetData sheetId="1957"/>
      <sheetData sheetId="1958"/>
      <sheetData sheetId="1959"/>
      <sheetData sheetId="1960"/>
      <sheetData sheetId="1961"/>
      <sheetData sheetId="1962"/>
      <sheetData sheetId="1963"/>
      <sheetData sheetId="1964"/>
      <sheetData sheetId="1965"/>
      <sheetData sheetId="1966"/>
      <sheetData sheetId="1967"/>
      <sheetData sheetId="1968"/>
      <sheetData sheetId="1969"/>
      <sheetData sheetId="1970"/>
      <sheetData sheetId="1971"/>
      <sheetData sheetId="1972"/>
      <sheetData sheetId="1973"/>
      <sheetData sheetId="1974"/>
      <sheetData sheetId="1975"/>
      <sheetData sheetId="1976"/>
      <sheetData sheetId="1977"/>
      <sheetData sheetId="1978"/>
      <sheetData sheetId="1979"/>
      <sheetData sheetId="1980"/>
      <sheetData sheetId="1981"/>
      <sheetData sheetId="1982"/>
      <sheetData sheetId="1983"/>
      <sheetData sheetId="1984"/>
      <sheetData sheetId="1985"/>
      <sheetData sheetId="1986"/>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refreshError="1"/>
      <sheetData sheetId="2007" refreshError="1"/>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sheetData sheetId="2032" refreshError="1"/>
      <sheetData sheetId="2033" refreshError="1"/>
      <sheetData sheetId="2034" refreshError="1"/>
      <sheetData sheetId="2035" refreshError="1"/>
      <sheetData sheetId="2036" refreshError="1"/>
      <sheetData sheetId="2037" refreshError="1"/>
      <sheetData sheetId="2038"/>
      <sheetData sheetId="2039" refreshError="1"/>
      <sheetData sheetId="2040" refreshError="1"/>
      <sheetData sheetId="2041" refreshError="1"/>
      <sheetData sheetId="2042" refreshError="1"/>
      <sheetData sheetId="2043" refreshError="1"/>
      <sheetData sheetId="2044" refreshError="1"/>
      <sheetData sheetId="2045" refreshError="1"/>
      <sheetData sheetId="2046" refreshError="1"/>
      <sheetData sheetId="2047" refreshError="1"/>
      <sheetData sheetId="2048" refreshError="1"/>
      <sheetData sheetId="2049" refreshError="1"/>
      <sheetData sheetId="2050" refreshError="1"/>
      <sheetData sheetId="2051" refreshError="1"/>
      <sheetData sheetId="2052" refreshError="1"/>
      <sheetData sheetId="2053" refreshError="1"/>
      <sheetData sheetId="2054" refreshError="1"/>
      <sheetData sheetId="2055" refreshError="1"/>
      <sheetData sheetId="2056" refreshError="1"/>
      <sheetData sheetId="2057" refreshError="1"/>
      <sheetData sheetId="2058" refreshError="1"/>
      <sheetData sheetId="2059" refreshError="1"/>
      <sheetData sheetId="2060" refreshError="1"/>
      <sheetData sheetId="2061" refreshError="1"/>
      <sheetData sheetId="2062" refreshError="1"/>
      <sheetData sheetId="2063" refreshError="1"/>
      <sheetData sheetId="2064" refreshError="1"/>
      <sheetData sheetId="2065" refreshError="1"/>
      <sheetData sheetId="2066" refreshError="1"/>
      <sheetData sheetId="2067" refreshError="1"/>
      <sheetData sheetId="2068" refreshError="1"/>
      <sheetData sheetId="2069" refreshError="1"/>
      <sheetData sheetId="2070" refreshError="1"/>
      <sheetData sheetId="2071" refreshError="1"/>
      <sheetData sheetId="2072" refreshError="1"/>
      <sheetData sheetId="2073" refreshError="1"/>
      <sheetData sheetId="2074" refreshError="1"/>
      <sheetData sheetId="2075" refreshError="1"/>
      <sheetData sheetId="2076" refreshError="1"/>
      <sheetData sheetId="2077" refreshError="1"/>
      <sheetData sheetId="2078" refreshError="1"/>
      <sheetData sheetId="2079" refreshError="1"/>
      <sheetData sheetId="2080" refreshError="1"/>
      <sheetData sheetId="2081" refreshError="1"/>
      <sheetData sheetId="2082" refreshError="1"/>
      <sheetData sheetId="2083" refreshError="1"/>
      <sheetData sheetId="2084" refreshError="1"/>
      <sheetData sheetId="2085" refreshError="1"/>
      <sheetData sheetId="2086" refreshError="1"/>
      <sheetData sheetId="2087" refreshError="1"/>
      <sheetData sheetId="2088" refreshError="1"/>
      <sheetData sheetId="2089" refreshError="1"/>
      <sheetData sheetId="2090" refreshError="1"/>
      <sheetData sheetId="2091" refreshError="1"/>
      <sheetData sheetId="2092" refreshError="1"/>
      <sheetData sheetId="2093" refreshError="1"/>
      <sheetData sheetId="2094" refreshError="1"/>
      <sheetData sheetId="2095" refreshError="1"/>
      <sheetData sheetId="2096" refreshError="1"/>
      <sheetData sheetId="2097" refreshError="1"/>
      <sheetData sheetId="2098" refreshError="1"/>
      <sheetData sheetId="2099" refreshError="1"/>
      <sheetData sheetId="2100" refreshError="1"/>
      <sheetData sheetId="2101" refreshError="1"/>
      <sheetData sheetId="2102" refreshError="1"/>
      <sheetData sheetId="2103" refreshError="1"/>
      <sheetData sheetId="2104" refreshError="1"/>
      <sheetData sheetId="2105"/>
      <sheetData sheetId="2106" refreshError="1"/>
      <sheetData sheetId="2107" refreshError="1"/>
      <sheetData sheetId="2108" refreshError="1"/>
      <sheetData sheetId="2109" refreshError="1"/>
      <sheetData sheetId="2110" refreshError="1"/>
      <sheetData sheetId="2111" refreshError="1"/>
      <sheetData sheetId="2112" refreshError="1"/>
      <sheetData sheetId="2113" refreshError="1"/>
      <sheetData sheetId="2114" refreshError="1"/>
      <sheetData sheetId="2115" refreshError="1"/>
      <sheetData sheetId="2116" refreshError="1"/>
      <sheetData sheetId="2117" refreshError="1"/>
      <sheetData sheetId="2118" refreshError="1"/>
      <sheetData sheetId="2119" refreshError="1"/>
      <sheetData sheetId="2120" refreshError="1"/>
      <sheetData sheetId="2121" refreshError="1"/>
      <sheetData sheetId="2122" refreshError="1"/>
      <sheetData sheetId="2123" refreshError="1"/>
      <sheetData sheetId="2124" refreshError="1"/>
      <sheetData sheetId="2125" refreshError="1"/>
      <sheetData sheetId="2126" refreshError="1"/>
      <sheetData sheetId="2127" refreshError="1"/>
      <sheetData sheetId="2128" refreshError="1"/>
      <sheetData sheetId="2129" refreshError="1"/>
      <sheetData sheetId="2130" refreshError="1"/>
      <sheetData sheetId="2131" refreshError="1"/>
      <sheetData sheetId="2132" refreshError="1"/>
      <sheetData sheetId="2133" refreshError="1"/>
      <sheetData sheetId="2134" refreshError="1"/>
      <sheetData sheetId="2135" refreshError="1"/>
      <sheetData sheetId="2136" refreshError="1"/>
      <sheetData sheetId="2137" refreshError="1"/>
      <sheetData sheetId="2138" refreshError="1"/>
      <sheetData sheetId="2139" refreshError="1"/>
      <sheetData sheetId="2140" refreshError="1"/>
      <sheetData sheetId="2141" refreshError="1"/>
      <sheetData sheetId="2142" refreshError="1"/>
      <sheetData sheetId="2143" refreshError="1"/>
      <sheetData sheetId="2144" refreshError="1"/>
      <sheetData sheetId="2145" refreshError="1"/>
      <sheetData sheetId="2146" refreshError="1"/>
      <sheetData sheetId="2147" refreshError="1"/>
      <sheetData sheetId="2148" refreshError="1"/>
      <sheetData sheetId="2149" refreshError="1"/>
      <sheetData sheetId="2150" refreshError="1"/>
      <sheetData sheetId="2151" refreshError="1"/>
      <sheetData sheetId="2152" refreshError="1"/>
      <sheetData sheetId="2153" refreshError="1"/>
      <sheetData sheetId="2154" refreshError="1"/>
      <sheetData sheetId="2155" refreshError="1"/>
      <sheetData sheetId="2156"/>
      <sheetData sheetId="2157" refreshError="1"/>
      <sheetData sheetId="2158" refreshError="1"/>
      <sheetData sheetId="2159" refreshError="1"/>
      <sheetData sheetId="2160" refreshError="1"/>
      <sheetData sheetId="2161" refreshError="1"/>
      <sheetData sheetId="2162" refreshError="1"/>
      <sheetData sheetId="2163" refreshError="1"/>
      <sheetData sheetId="2164" refreshError="1"/>
      <sheetData sheetId="2165" refreshError="1"/>
      <sheetData sheetId="2166" refreshError="1"/>
      <sheetData sheetId="2167" refreshError="1"/>
      <sheetData sheetId="2168" refreshError="1"/>
      <sheetData sheetId="2169" refreshError="1"/>
      <sheetData sheetId="2170" refreshError="1"/>
      <sheetData sheetId="2171" refreshError="1"/>
      <sheetData sheetId="2172" refreshError="1"/>
      <sheetData sheetId="2173" refreshError="1"/>
      <sheetData sheetId="2174" refreshError="1"/>
      <sheetData sheetId="2175" refreshError="1"/>
      <sheetData sheetId="2176" refreshError="1"/>
      <sheetData sheetId="2177" refreshError="1"/>
      <sheetData sheetId="2178" refreshError="1"/>
      <sheetData sheetId="2179" refreshError="1"/>
      <sheetData sheetId="2180" refreshError="1"/>
      <sheetData sheetId="2181" refreshError="1"/>
      <sheetData sheetId="2182" refreshError="1"/>
      <sheetData sheetId="2183" refreshError="1"/>
      <sheetData sheetId="2184" refreshError="1"/>
      <sheetData sheetId="2185" refreshError="1"/>
      <sheetData sheetId="2186" refreshError="1"/>
      <sheetData sheetId="2187" refreshError="1"/>
      <sheetData sheetId="2188" refreshError="1"/>
      <sheetData sheetId="2189" refreshError="1"/>
      <sheetData sheetId="2190" refreshError="1"/>
      <sheetData sheetId="2191" refreshError="1"/>
      <sheetData sheetId="2192" refreshError="1"/>
      <sheetData sheetId="2193" refreshError="1"/>
      <sheetData sheetId="2194" refreshError="1"/>
      <sheetData sheetId="2195" refreshError="1"/>
      <sheetData sheetId="2196" refreshError="1"/>
      <sheetData sheetId="2197" refreshError="1"/>
      <sheetData sheetId="2198" refreshError="1"/>
      <sheetData sheetId="2199" refreshError="1"/>
      <sheetData sheetId="2200" refreshError="1"/>
      <sheetData sheetId="2201" refreshError="1"/>
      <sheetData sheetId="2202" refreshError="1"/>
      <sheetData sheetId="2203" refreshError="1"/>
      <sheetData sheetId="2204" refreshError="1"/>
      <sheetData sheetId="2205" refreshError="1"/>
      <sheetData sheetId="2206" refreshError="1"/>
      <sheetData sheetId="2207" refreshError="1"/>
      <sheetData sheetId="2208" refreshError="1"/>
      <sheetData sheetId="2209" refreshError="1"/>
      <sheetData sheetId="2210" refreshError="1"/>
      <sheetData sheetId="2211" refreshError="1"/>
      <sheetData sheetId="2212" refreshError="1"/>
      <sheetData sheetId="2213" refreshError="1"/>
      <sheetData sheetId="2214" refreshError="1"/>
      <sheetData sheetId="2215" refreshError="1"/>
      <sheetData sheetId="2216" refreshError="1"/>
      <sheetData sheetId="2217" refreshError="1"/>
      <sheetData sheetId="2218" refreshError="1"/>
      <sheetData sheetId="2219" refreshError="1"/>
      <sheetData sheetId="2220" refreshError="1"/>
      <sheetData sheetId="2221" refreshError="1"/>
      <sheetData sheetId="2222" refreshError="1"/>
      <sheetData sheetId="2223" refreshError="1"/>
      <sheetData sheetId="2224" refreshError="1"/>
      <sheetData sheetId="2225" refreshError="1"/>
      <sheetData sheetId="2226" refreshError="1"/>
      <sheetData sheetId="2227" refreshError="1"/>
      <sheetData sheetId="2228" refreshError="1"/>
      <sheetData sheetId="2229" refreshError="1"/>
      <sheetData sheetId="2230" refreshError="1"/>
      <sheetData sheetId="2231" refreshError="1"/>
      <sheetData sheetId="2232" refreshError="1"/>
      <sheetData sheetId="2233" refreshError="1"/>
      <sheetData sheetId="2234" refreshError="1"/>
      <sheetData sheetId="2235" refreshError="1"/>
      <sheetData sheetId="2236" refreshError="1"/>
      <sheetData sheetId="2237" refreshError="1"/>
      <sheetData sheetId="2238" refreshError="1"/>
      <sheetData sheetId="2239" refreshError="1"/>
      <sheetData sheetId="2240" refreshError="1"/>
      <sheetData sheetId="2241" refreshError="1"/>
      <sheetData sheetId="2242" refreshError="1"/>
      <sheetData sheetId="2243" refreshError="1"/>
      <sheetData sheetId="2244" refreshError="1"/>
      <sheetData sheetId="2245" refreshError="1"/>
      <sheetData sheetId="2246" refreshError="1"/>
      <sheetData sheetId="2247" refreshError="1"/>
      <sheetData sheetId="2248" refreshError="1"/>
      <sheetData sheetId="2249" refreshError="1"/>
      <sheetData sheetId="2250" refreshError="1"/>
      <sheetData sheetId="2251" refreshError="1"/>
      <sheetData sheetId="2252" refreshError="1"/>
      <sheetData sheetId="2253" refreshError="1"/>
      <sheetData sheetId="2254" refreshError="1"/>
      <sheetData sheetId="2255" refreshError="1"/>
      <sheetData sheetId="2256" refreshError="1"/>
      <sheetData sheetId="2257" refreshError="1"/>
      <sheetData sheetId="2258" refreshError="1"/>
      <sheetData sheetId="2259" refreshError="1"/>
      <sheetData sheetId="2260" refreshError="1"/>
      <sheetData sheetId="2261" refreshError="1"/>
      <sheetData sheetId="2262" refreshError="1"/>
      <sheetData sheetId="2263" refreshError="1"/>
      <sheetData sheetId="2264" refreshError="1"/>
      <sheetData sheetId="2265" refreshError="1"/>
      <sheetData sheetId="2266" refreshError="1"/>
      <sheetData sheetId="2267" refreshError="1"/>
      <sheetData sheetId="2268" refreshError="1"/>
      <sheetData sheetId="2269" refreshError="1"/>
      <sheetData sheetId="2270" refreshError="1"/>
      <sheetData sheetId="2271" refreshError="1"/>
      <sheetData sheetId="2272" refreshError="1"/>
      <sheetData sheetId="2273" refreshError="1"/>
      <sheetData sheetId="2274" refreshError="1"/>
      <sheetData sheetId="2275" refreshError="1"/>
      <sheetData sheetId="2276" refreshError="1"/>
      <sheetData sheetId="2277" refreshError="1"/>
      <sheetData sheetId="2278" refreshError="1"/>
      <sheetData sheetId="2279" refreshError="1"/>
      <sheetData sheetId="2280" refreshError="1"/>
      <sheetData sheetId="2281" refreshError="1"/>
      <sheetData sheetId="2282" refreshError="1"/>
      <sheetData sheetId="2283" refreshError="1"/>
      <sheetData sheetId="2284" refreshError="1"/>
      <sheetData sheetId="2285" refreshError="1"/>
      <sheetData sheetId="2286" refreshError="1"/>
      <sheetData sheetId="2287" refreshError="1"/>
      <sheetData sheetId="2288" refreshError="1"/>
      <sheetData sheetId="2289" refreshError="1"/>
      <sheetData sheetId="2290" refreshError="1"/>
      <sheetData sheetId="2291" refreshError="1"/>
      <sheetData sheetId="2292" refreshError="1"/>
      <sheetData sheetId="2293" refreshError="1"/>
      <sheetData sheetId="2294" refreshError="1"/>
      <sheetData sheetId="2295" refreshError="1"/>
      <sheetData sheetId="2296" refreshError="1"/>
      <sheetData sheetId="2297" refreshError="1"/>
      <sheetData sheetId="2298" refreshError="1"/>
      <sheetData sheetId="2299" refreshError="1"/>
      <sheetData sheetId="2300" refreshError="1"/>
      <sheetData sheetId="2301" refreshError="1"/>
      <sheetData sheetId="2302" refreshError="1"/>
      <sheetData sheetId="2303" refreshError="1"/>
      <sheetData sheetId="2304" refreshError="1"/>
      <sheetData sheetId="2305" refreshError="1"/>
      <sheetData sheetId="2306" refreshError="1"/>
      <sheetData sheetId="2307" refreshError="1"/>
      <sheetData sheetId="2308" refreshError="1"/>
      <sheetData sheetId="2309" refreshError="1"/>
      <sheetData sheetId="2310" refreshError="1"/>
      <sheetData sheetId="2311" refreshError="1"/>
      <sheetData sheetId="2312" refreshError="1"/>
      <sheetData sheetId="2313" refreshError="1"/>
      <sheetData sheetId="2314" refreshError="1"/>
      <sheetData sheetId="2315" refreshError="1"/>
      <sheetData sheetId="2316" refreshError="1"/>
      <sheetData sheetId="2317" refreshError="1"/>
      <sheetData sheetId="2318" refreshError="1"/>
      <sheetData sheetId="2319" refreshError="1"/>
      <sheetData sheetId="2320" refreshError="1"/>
      <sheetData sheetId="2321" refreshError="1"/>
      <sheetData sheetId="2322" refreshError="1"/>
      <sheetData sheetId="2323" refreshError="1"/>
      <sheetData sheetId="2324" refreshError="1"/>
      <sheetData sheetId="2325" refreshError="1"/>
      <sheetData sheetId="2326" refreshError="1"/>
      <sheetData sheetId="2327" refreshError="1"/>
      <sheetData sheetId="2328" refreshError="1"/>
      <sheetData sheetId="2329" refreshError="1"/>
      <sheetData sheetId="2330" refreshError="1"/>
      <sheetData sheetId="2331" refreshError="1"/>
      <sheetData sheetId="2332" refreshError="1"/>
      <sheetData sheetId="2333" refreshError="1"/>
      <sheetData sheetId="2334" refreshError="1"/>
      <sheetData sheetId="2335" refreshError="1"/>
      <sheetData sheetId="2336" refreshError="1"/>
      <sheetData sheetId="2337" refreshError="1"/>
      <sheetData sheetId="2338" refreshError="1"/>
      <sheetData sheetId="2339" refreshError="1"/>
      <sheetData sheetId="2340" refreshError="1"/>
      <sheetData sheetId="2341" refreshError="1"/>
      <sheetData sheetId="2342" refreshError="1"/>
      <sheetData sheetId="2343" refreshError="1"/>
      <sheetData sheetId="2344" refreshError="1"/>
      <sheetData sheetId="2345" refreshError="1"/>
      <sheetData sheetId="2346" refreshError="1"/>
      <sheetData sheetId="2347" refreshError="1"/>
      <sheetData sheetId="2348" refreshError="1"/>
      <sheetData sheetId="2349" refreshError="1"/>
      <sheetData sheetId="2350" refreshError="1"/>
      <sheetData sheetId="2351" refreshError="1"/>
      <sheetData sheetId="2352" refreshError="1"/>
      <sheetData sheetId="2353" refreshError="1"/>
      <sheetData sheetId="2354" refreshError="1"/>
      <sheetData sheetId="2355" refreshError="1"/>
      <sheetData sheetId="2356" refreshError="1"/>
      <sheetData sheetId="2357" refreshError="1"/>
      <sheetData sheetId="2358" refreshError="1"/>
      <sheetData sheetId="2359" refreshError="1"/>
      <sheetData sheetId="2360" refreshError="1"/>
      <sheetData sheetId="2361" refreshError="1"/>
      <sheetData sheetId="2362" refreshError="1"/>
      <sheetData sheetId="2363" refreshError="1"/>
      <sheetData sheetId="2364" refreshError="1"/>
      <sheetData sheetId="2365" refreshError="1"/>
      <sheetData sheetId="2366" refreshError="1"/>
      <sheetData sheetId="2367" refreshError="1"/>
      <sheetData sheetId="2368" refreshError="1"/>
      <sheetData sheetId="2369" refreshError="1"/>
      <sheetData sheetId="2370" refreshError="1"/>
      <sheetData sheetId="2371" refreshError="1"/>
      <sheetData sheetId="2372" refreshError="1"/>
      <sheetData sheetId="2373" refreshError="1"/>
      <sheetData sheetId="2374" refreshError="1"/>
      <sheetData sheetId="2375" refreshError="1"/>
      <sheetData sheetId="2376" refreshError="1"/>
      <sheetData sheetId="2377" refreshError="1"/>
      <sheetData sheetId="2378" refreshError="1"/>
      <sheetData sheetId="2379" refreshError="1"/>
      <sheetData sheetId="2380" refreshError="1"/>
      <sheetData sheetId="2381" refreshError="1"/>
      <sheetData sheetId="2382" refreshError="1"/>
      <sheetData sheetId="2383" refreshError="1"/>
      <sheetData sheetId="2384" refreshError="1"/>
      <sheetData sheetId="2385" refreshError="1"/>
      <sheetData sheetId="2386" refreshError="1"/>
      <sheetData sheetId="2387" refreshError="1"/>
      <sheetData sheetId="2388" refreshError="1"/>
      <sheetData sheetId="2389" refreshError="1"/>
      <sheetData sheetId="2390" refreshError="1"/>
      <sheetData sheetId="2391" refreshError="1"/>
      <sheetData sheetId="2392" refreshError="1"/>
      <sheetData sheetId="2393" refreshError="1"/>
      <sheetData sheetId="2394" refreshError="1"/>
      <sheetData sheetId="2395" refreshError="1"/>
      <sheetData sheetId="2396" refreshError="1"/>
      <sheetData sheetId="2397" refreshError="1"/>
      <sheetData sheetId="2398" refreshError="1"/>
      <sheetData sheetId="2399" refreshError="1"/>
      <sheetData sheetId="2400" refreshError="1"/>
      <sheetData sheetId="2401" refreshError="1"/>
      <sheetData sheetId="2402" refreshError="1"/>
      <sheetData sheetId="2403" refreshError="1"/>
      <sheetData sheetId="2404" refreshError="1"/>
      <sheetData sheetId="2405" refreshError="1"/>
      <sheetData sheetId="2406" refreshError="1"/>
      <sheetData sheetId="2407" refreshError="1"/>
      <sheetData sheetId="2408" refreshError="1"/>
      <sheetData sheetId="2409" refreshError="1"/>
      <sheetData sheetId="2410" refreshError="1"/>
      <sheetData sheetId="2411" refreshError="1"/>
      <sheetData sheetId="2412" refreshError="1"/>
      <sheetData sheetId="2413" refreshError="1"/>
      <sheetData sheetId="2414" refreshError="1"/>
      <sheetData sheetId="2415" refreshError="1"/>
      <sheetData sheetId="2416" refreshError="1"/>
      <sheetData sheetId="2417" refreshError="1"/>
      <sheetData sheetId="2418" refreshError="1"/>
      <sheetData sheetId="2419" refreshError="1"/>
      <sheetData sheetId="2420" refreshError="1"/>
      <sheetData sheetId="2421" refreshError="1"/>
      <sheetData sheetId="2422" refreshError="1"/>
      <sheetData sheetId="2423" refreshError="1"/>
      <sheetData sheetId="2424" refreshError="1"/>
      <sheetData sheetId="2425" refreshError="1"/>
      <sheetData sheetId="2426" refreshError="1"/>
      <sheetData sheetId="2427" refreshError="1"/>
      <sheetData sheetId="2428" refreshError="1"/>
      <sheetData sheetId="2429" refreshError="1"/>
      <sheetData sheetId="2430" refreshError="1"/>
      <sheetData sheetId="2431" refreshError="1"/>
      <sheetData sheetId="2432" refreshError="1"/>
      <sheetData sheetId="2433" refreshError="1"/>
      <sheetData sheetId="2434" refreshError="1"/>
      <sheetData sheetId="2435"/>
      <sheetData sheetId="2436"/>
      <sheetData sheetId="2437"/>
      <sheetData sheetId="2438"/>
      <sheetData sheetId="2439"/>
      <sheetData sheetId="2440"/>
      <sheetData sheetId="2441" refreshError="1"/>
      <sheetData sheetId="2442" refreshError="1"/>
      <sheetData sheetId="2443" refreshError="1"/>
      <sheetData sheetId="2444" refreshError="1"/>
      <sheetData sheetId="2445" refreshError="1"/>
      <sheetData sheetId="2446" refreshError="1"/>
      <sheetData sheetId="2447" refreshError="1"/>
      <sheetData sheetId="2448" refreshError="1"/>
      <sheetData sheetId="2449" refreshError="1"/>
      <sheetData sheetId="2450" refreshError="1"/>
      <sheetData sheetId="2451" refreshError="1"/>
      <sheetData sheetId="2452" refreshError="1"/>
      <sheetData sheetId="2453" refreshError="1"/>
      <sheetData sheetId="2454"/>
      <sheetData sheetId="2455" refreshError="1"/>
      <sheetData sheetId="2456" refreshError="1"/>
      <sheetData sheetId="2457" refreshError="1"/>
      <sheetData sheetId="2458" refreshError="1"/>
      <sheetData sheetId="2459" refreshError="1"/>
      <sheetData sheetId="2460" refreshError="1"/>
      <sheetData sheetId="2461" refreshError="1"/>
      <sheetData sheetId="2462" refreshError="1"/>
      <sheetData sheetId="2463" refreshError="1"/>
      <sheetData sheetId="2464" refreshError="1"/>
      <sheetData sheetId="2465" refreshError="1"/>
      <sheetData sheetId="2466" refreshError="1"/>
      <sheetData sheetId="2467" refreshError="1"/>
      <sheetData sheetId="2468" refreshError="1"/>
      <sheetData sheetId="2469" refreshError="1"/>
      <sheetData sheetId="2470" refreshError="1"/>
      <sheetData sheetId="2471" refreshError="1"/>
      <sheetData sheetId="2472" refreshError="1"/>
      <sheetData sheetId="2473" refreshError="1"/>
      <sheetData sheetId="2474" refreshError="1"/>
      <sheetData sheetId="2475" refreshError="1"/>
      <sheetData sheetId="2476" refreshError="1"/>
      <sheetData sheetId="2477" refreshError="1"/>
      <sheetData sheetId="2478" refreshError="1"/>
      <sheetData sheetId="2479" refreshError="1"/>
      <sheetData sheetId="2480" refreshError="1"/>
      <sheetData sheetId="2481" refreshError="1"/>
      <sheetData sheetId="2482" refreshError="1"/>
      <sheetData sheetId="2483" refreshError="1"/>
      <sheetData sheetId="2484" refreshError="1"/>
      <sheetData sheetId="2485" refreshError="1"/>
      <sheetData sheetId="2486" refreshError="1"/>
      <sheetData sheetId="2487" refreshError="1"/>
      <sheetData sheetId="2488" refreshError="1"/>
      <sheetData sheetId="2489" refreshError="1"/>
      <sheetData sheetId="2490" refreshError="1"/>
      <sheetData sheetId="2491" refreshError="1"/>
      <sheetData sheetId="2492" refreshError="1"/>
      <sheetData sheetId="2493" refreshError="1"/>
      <sheetData sheetId="2494" refreshError="1"/>
      <sheetData sheetId="2495" refreshError="1"/>
      <sheetData sheetId="2496" refreshError="1"/>
      <sheetData sheetId="2497" refreshError="1"/>
      <sheetData sheetId="2498" refreshError="1"/>
      <sheetData sheetId="2499" refreshError="1"/>
      <sheetData sheetId="2500" refreshError="1"/>
      <sheetData sheetId="2501" refreshError="1"/>
      <sheetData sheetId="2502" refreshError="1"/>
      <sheetData sheetId="2503" refreshError="1"/>
      <sheetData sheetId="2504" refreshError="1"/>
      <sheetData sheetId="2505" refreshError="1"/>
      <sheetData sheetId="2506" refreshError="1"/>
      <sheetData sheetId="2507" refreshError="1"/>
      <sheetData sheetId="2508" refreshError="1"/>
      <sheetData sheetId="2509" refreshError="1"/>
      <sheetData sheetId="2510" refreshError="1"/>
      <sheetData sheetId="2511" refreshError="1"/>
      <sheetData sheetId="2512" refreshError="1"/>
      <sheetData sheetId="2513" refreshError="1"/>
      <sheetData sheetId="2514" refreshError="1"/>
      <sheetData sheetId="2515" refreshError="1"/>
      <sheetData sheetId="2516"/>
      <sheetData sheetId="2517" refreshError="1"/>
      <sheetData sheetId="2518" refreshError="1"/>
      <sheetData sheetId="2519" refreshError="1"/>
      <sheetData sheetId="2520" refreshError="1"/>
      <sheetData sheetId="2521" refreshError="1"/>
      <sheetData sheetId="2522" refreshError="1"/>
      <sheetData sheetId="2523" refreshError="1"/>
      <sheetData sheetId="2524" refreshError="1"/>
      <sheetData sheetId="2525" refreshError="1"/>
      <sheetData sheetId="2526" refreshError="1"/>
      <sheetData sheetId="2527" refreshError="1"/>
      <sheetData sheetId="2528" refreshError="1"/>
      <sheetData sheetId="2529" refreshError="1"/>
      <sheetData sheetId="2530" refreshError="1"/>
      <sheetData sheetId="2531" refreshError="1"/>
      <sheetData sheetId="2532" refreshError="1"/>
      <sheetData sheetId="2533" refreshError="1"/>
      <sheetData sheetId="2534" refreshError="1"/>
      <sheetData sheetId="2535" refreshError="1"/>
      <sheetData sheetId="2536" refreshError="1"/>
      <sheetData sheetId="2537" refreshError="1"/>
      <sheetData sheetId="2538" refreshError="1"/>
      <sheetData sheetId="2539" refreshError="1"/>
      <sheetData sheetId="2540" refreshError="1"/>
      <sheetData sheetId="2541" refreshError="1"/>
      <sheetData sheetId="2542"/>
      <sheetData sheetId="2543" refreshError="1"/>
      <sheetData sheetId="2544" refreshError="1"/>
      <sheetData sheetId="2545"/>
      <sheetData sheetId="2546"/>
      <sheetData sheetId="2547" refreshError="1"/>
      <sheetData sheetId="2548" refreshError="1"/>
      <sheetData sheetId="2549" refreshError="1"/>
      <sheetData sheetId="2550" refreshError="1"/>
      <sheetData sheetId="2551" refreshError="1"/>
      <sheetData sheetId="2552" refreshError="1"/>
      <sheetData sheetId="2553"/>
      <sheetData sheetId="2554" refreshError="1"/>
      <sheetData sheetId="2555" refreshError="1"/>
      <sheetData sheetId="2556" refreshError="1"/>
      <sheetData sheetId="2557" refreshError="1"/>
      <sheetData sheetId="2558" refreshError="1"/>
      <sheetData sheetId="2559" refreshError="1"/>
      <sheetData sheetId="2560" refreshError="1"/>
      <sheetData sheetId="2561" refreshError="1"/>
      <sheetData sheetId="2562" refreshError="1"/>
      <sheetData sheetId="2563" refreshError="1"/>
      <sheetData sheetId="2564" refreshError="1"/>
      <sheetData sheetId="2565" refreshError="1"/>
      <sheetData sheetId="2566" refreshError="1"/>
      <sheetData sheetId="2567"/>
      <sheetData sheetId="2568"/>
      <sheetData sheetId="2569"/>
      <sheetData sheetId="2570"/>
      <sheetData sheetId="2571"/>
      <sheetData sheetId="2572"/>
      <sheetData sheetId="2573"/>
      <sheetData sheetId="2574"/>
      <sheetData sheetId="2575"/>
      <sheetData sheetId="2576"/>
      <sheetData sheetId="2577"/>
      <sheetData sheetId="2578"/>
      <sheetData sheetId="2579"/>
      <sheetData sheetId="2580"/>
      <sheetData sheetId="2581"/>
      <sheetData sheetId="2582"/>
      <sheetData sheetId="2583"/>
      <sheetData sheetId="2584"/>
      <sheetData sheetId="2585"/>
      <sheetData sheetId="2586"/>
      <sheetData sheetId="2587"/>
      <sheetData sheetId="2588"/>
      <sheetData sheetId="2589"/>
      <sheetData sheetId="2590"/>
      <sheetData sheetId="2591"/>
      <sheetData sheetId="2592"/>
      <sheetData sheetId="2593"/>
      <sheetData sheetId="2594"/>
      <sheetData sheetId="2595"/>
      <sheetData sheetId="2596"/>
      <sheetData sheetId="2597"/>
      <sheetData sheetId="2598"/>
      <sheetData sheetId="2599"/>
      <sheetData sheetId="2600"/>
      <sheetData sheetId="2601"/>
      <sheetData sheetId="2602"/>
      <sheetData sheetId="2603"/>
      <sheetData sheetId="2604"/>
      <sheetData sheetId="2605"/>
      <sheetData sheetId="2606"/>
      <sheetData sheetId="2607"/>
      <sheetData sheetId="2608"/>
      <sheetData sheetId="2609"/>
      <sheetData sheetId="2610"/>
      <sheetData sheetId="2611"/>
      <sheetData sheetId="2612"/>
      <sheetData sheetId="2613"/>
      <sheetData sheetId="2614"/>
      <sheetData sheetId="2615"/>
      <sheetData sheetId="2616"/>
      <sheetData sheetId="2617"/>
      <sheetData sheetId="2618"/>
      <sheetData sheetId="2619"/>
      <sheetData sheetId="2620"/>
      <sheetData sheetId="2621"/>
      <sheetData sheetId="2622"/>
      <sheetData sheetId="2623"/>
      <sheetData sheetId="2624"/>
      <sheetData sheetId="2625"/>
      <sheetData sheetId="2626"/>
      <sheetData sheetId="2627"/>
      <sheetData sheetId="2628"/>
      <sheetData sheetId="2629"/>
      <sheetData sheetId="2630"/>
      <sheetData sheetId="2631"/>
      <sheetData sheetId="2632"/>
      <sheetData sheetId="2633"/>
      <sheetData sheetId="2634"/>
      <sheetData sheetId="2635"/>
      <sheetData sheetId="2636"/>
      <sheetData sheetId="2637"/>
      <sheetData sheetId="2638"/>
      <sheetData sheetId="2639"/>
      <sheetData sheetId="2640"/>
      <sheetData sheetId="2641"/>
      <sheetData sheetId="2642"/>
      <sheetData sheetId="2643"/>
      <sheetData sheetId="2644"/>
      <sheetData sheetId="2645" refreshError="1"/>
      <sheetData sheetId="2646"/>
      <sheetData sheetId="2647"/>
      <sheetData sheetId="2648"/>
      <sheetData sheetId="2649"/>
      <sheetData sheetId="2650"/>
      <sheetData sheetId="2651"/>
      <sheetData sheetId="2652"/>
      <sheetData sheetId="2653"/>
      <sheetData sheetId="2654"/>
      <sheetData sheetId="2655"/>
      <sheetData sheetId="2656"/>
      <sheetData sheetId="2657"/>
      <sheetData sheetId="2658"/>
      <sheetData sheetId="2659"/>
      <sheetData sheetId="2660"/>
      <sheetData sheetId="2661"/>
      <sheetData sheetId="2662"/>
      <sheetData sheetId="2663"/>
      <sheetData sheetId="2664"/>
      <sheetData sheetId="2665"/>
      <sheetData sheetId="2666"/>
      <sheetData sheetId="2667" refreshError="1"/>
      <sheetData sheetId="2668"/>
      <sheetData sheetId="2669"/>
      <sheetData sheetId="2670"/>
      <sheetData sheetId="2671"/>
      <sheetData sheetId="2672"/>
      <sheetData sheetId="2673"/>
      <sheetData sheetId="2674"/>
      <sheetData sheetId="2675"/>
      <sheetData sheetId="2676"/>
      <sheetData sheetId="2677" refreshError="1"/>
      <sheetData sheetId="2678" refreshError="1"/>
      <sheetData sheetId="2679" refreshError="1"/>
      <sheetData sheetId="2680" refreshError="1"/>
      <sheetData sheetId="2681" refreshError="1"/>
      <sheetData sheetId="2682" refreshError="1"/>
      <sheetData sheetId="2683" refreshError="1"/>
      <sheetData sheetId="2684" refreshError="1"/>
      <sheetData sheetId="2685" refreshError="1"/>
      <sheetData sheetId="2686"/>
      <sheetData sheetId="2687"/>
      <sheetData sheetId="2688"/>
      <sheetData sheetId="2689"/>
      <sheetData sheetId="2690"/>
      <sheetData sheetId="2691"/>
      <sheetData sheetId="2692"/>
      <sheetData sheetId="2693"/>
      <sheetData sheetId="2694"/>
      <sheetData sheetId="2695"/>
      <sheetData sheetId="2696"/>
      <sheetData sheetId="2697"/>
      <sheetData sheetId="2698"/>
      <sheetData sheetId="2699"/>
      <sheetData sheetId="2700"/>
      <sheetData sheetId="2701"/>
      <sheetData sheetId="2702"/>
      <sheetData sheetId="2703"/>
      <sheetData sheetId="2704"/>
      <sheetData sheetId="2705"/>
      <sheetData sheetId="2706"/>
      <sheetData sheetId="2707"/>
      <sheetData sheetId="2708"/>
      <sheetData sheetId="2709"/>
      <sheetData sheetId="2710"/>
      <sheetData sheetId="2711"/>
      <sheetData sheetId="2712"/>
      <sheetData sheetId="2713"/>
      <sheetData sheetId="2714"/>
      <sheetData sheetId="2715"/>
      <sheetData sheetId="2716"/>
      <sheetData sheetId="2717"/>
      <sheetData sheetId="2718"/>
      <sheetData sheetId="2719"/>
      <sheetData sheetId="2720"/>
      <sheetData sheetId="2721"/>
      <sheetData sheetId="2722"/>
      <sheetData sheetId="2723"/>
      <sheetData sheetId="2724"/>
      <sheetData sheetId="2725"/>
      <sheetData sheetId="2726"/>
      <sheetData sheetId="2727"/>
      <sheetData sheetId="2728"/>
      <sheetData sheetId="2729"/>
      <sheetData sheetId="2730"/>
      <sheetData sheetId="2731"/>
      <sheetData sheetId="2732"/>
      <sheetData sheetId="2733"/>
      <sheetData sheetId="2734"/>
      <sheetData sheetId="2735"/>
      <sheetData sheetId="2736"/>
      <sheetData sheetId="2737"/>
      <sheetData sheetId="2738"/>
      <sheetData sheetId="2739"/>
      <sheetData sheetId="2740"/>
      <sheetData sheetId="2741"/>
      <sheetData sheetId="2742"/>
      <sheetData sheetId="2743"/>
      <sheetData sheetId="2744"/>
      <sheetData sheetId="2745"/>
      <sheetData sheetId="2746"/>
      <sheetData sheetId="2747"/>
      <sheetData sheetId="2748"/>
      <sheetData sheetId="2749"/>
      <sheetData sheetId="2750"/>
      <sheetData sheetId="2751"/>
      <sheetData sheetId="2752"/>
      <sheetData sheetId="2753"/>
      <sheetData sheetId="2754"/>
      <sheetData sheetId="2755"/>
      <sheetData sheetId="2756"/>
      <sheetData sheetId="2757"/>
      <sheetData sheetId="2758"/>
      <sheetData sheetId="2759"/>
      <sheetData sheetId="2760"/>
      <sheetData sheetId="2761"/>
      <sheetData sheetId="2762"/>
      <sheetData sheetId="2763"/>
      <sheetData sheetId="2764"/>
      <sheetData sheetId="2765"/>
      <sheetData sheetId="2766"/>
      <sheetData sheetId="2767"/>
      <sheetData sheetId="2768"/>
      <sheetData sheetId="2769"/>
      <sheetData sheetId="2770"/>
      <sheetData sheetId="2771"/>
      <sheetData sheetId="2772"/>
      <sheetData sheetId="2773"/>
      <sheetData sheetId="2774"/>
      <sheetData sheetId="2775"/>
      <sheetData sheetId="2776"/>
      <sheetData sheetId="2777"/>
      <sheetData sheetId="2778"/>
      <sheetData sheetId="2779"/>
      <sheetData sheetId="2780"/>
      <sheetData sheetId="2781"/>
      <sheetData sheetId="2782"/>
      <sheetData sheetId="2783"/>
      <sheetData sheetId="2784"/>
      <sheetData sheetId="2785"/>
      <sheetData sheetId="2786"/>
      <sheetData sheetId="2787"/>
      <sheetData sheetId="2788"/>
      <sheetData sheetId="2789"/>
      <sheetData sheetId="2790"/>
      <sheetData sheetId="2791"/>
      <sheetData sheetId="2792" refreshError="1"/>
      <sheetData sheetId="2793"/>
      <sheetData sheetId="2794"/>
      <sheetData sheetId="2795"/>
      <sheetData sheetId="2796"/>
      <sheetData sheetId="2797"/>
      <sheetData sheetId="2798"/>
      <sheetData sheetId="2799"/>
      <sheetData sheetId="2800"/>
      <sheetData sheetId="2801"/>
      <sheetData sheetId="2802"/>
      <sheetData sheetId="2803"/>
      <sheetData sheetId="2804"/>
      <sheetData sheetId="2805" refreshError="1"/>
      <sheetData sheetId="2806"/>
      <sheetData sheetId="2807"/>
      <sheetData sheetId="2808"/>
      <sheetData sheetId="2809"/>
      <sheetData sheetId="2810"/>
      <sheetData sheetId="2811"/>
      <sheetData sheetId="2812"/>
      <sheetData sheetId="2813"/>
      <sheetData sheetId="2814"/>
      <sheetData sheetId="2815"/>
      <sheetData sheetId="2816"/>
      <sheetData sheetId="2817"/>
      <sheetData sheetId="2818"/>
      <sheetData sheetId="2819"/>
      <sheetData sheetId="2820"/>
      <sheetData sheetId="2821"/>
      <sheetData sheetId="2822"/>
      <sheetData sheetId="2823"/>
      <sheetData sheetId="2824"/>
      <sheetData sheetId="2825"/>
      <sheetData sheetId="2826"/>
      <sheetData sheetId="2827"/>
      <sheetData sheetId="2828" refreshError="1"/>
      <sheetData sheetId="2829" refreshError="1"/>
      <sheetData sheetId="2830" refreshError="1"/>
      <sheetData sheetId="2831" refreshError="1"/>
      <sheetData sheetId="2832" refreshError="1"/>
      <sheetData sheetId="2833"/>
      <sheetData sheetId="2834"/>
      <sheetData sheetId="2835"/>
      <sheetData sheetId="2836"/>
      <sheetData sheetId="2837" refreshError="1"/>
      <sheetData sheetId="2838" refreshError="1"/>
      <sheetData sheetId="2839" refreshError="1"/>
      <sheetData sheetId="2840" refreshError="1"/>
      <sheetData sheetId="2841" refreshError="1"/>
      <sheetData sheetId="2842" refreshError="1"/>
      <sheetData sheetId="2843" refreshError="1"/>
      <sheetData sheetId="2844" refreshError="1"/>
      <sheetData sheetId="2845" refreshError="1"/>
      <sheetData sheetId="2846"/>
      <sheetData sheetId="2847" refreshError="1"/>
      <sheetData sheetId="2848" refreshError="1"/>
      <sheetData sheetId="2849" refreshError="1"/>
      <sheetData sheetId="2850" refreshError="1"/>
      <sheetData sheetId="2851" refreshError="1"/>
      <sheetData sheetId="2852" refreshError="1"/>
      <sheetData sheetId="2853"/>
      <sheetData sheetId="2854" refreshError="1"/>
      <sheetData sheetId="2855" refreshError="1"/>
      <sheetData sheetId="2856" refreshError="1"/>
      <sheetData sheetId="2857" refreshError="1"/>
      <sheetData sheetId="2858"/>
      <sheetData sheetId="2859" refreshError="1"/>
      <sheetData sheetId="2860" refreshError="1"/>
      <sheetData sheetId="2861" refreshError="1"/>
      <sheetData sheetId="2862" refreshError="1"/>
      <sheetData sheetId="2863" refreshError="1"/>
      <sheetData sheetId="2864" refreshError="1"/>
      <sheetData sheetId="2865" refreshError="1"/>
      <sheetData sheetId="2866"/>
      <sheetData sheetId="2867"/>
      <sheetData sheetId="2868"/>
      <sheetData sheetId="2869"/>
      <sheetData sheetId="2870"/>
      <sheetData sheetId="2871"/>
      <sheetData sheetId="2872"/>
      <sheetData sheetId="2873" refreshError="1"/>
      <sheetData sheetId="2874" refreshError="1"/>
      <sheetData sheetId="2875" refreshError="1"/>
      <sheetData sheetId="2876" refreshError="1"/>
      <sheetData sheetId="2877" refreshError="1"/>
      <sheetData sheetId="2878" refreshError="1"/>
      <sheetData sheetId="2879" refreshError="1"/>
      <sheetData sheetId="2880" refreshError="1"/>
      <sheetData sheetId="2881" refreshError="1"/>
      <sheetData sheetId="2882" refreshError="1"/>
      <sheetData sheetId="2883" refreshError="1"/>
      <sheetData sheetId="2884" refreshError="1"/>
      <sheetData sheetId="2885" refreshError="1"/>
      <sheetData sheetId="2886" refreshError="1"/>
      <sheetData sheetId="2887"/>
      <sheetData sheetId="2888" refreshError="1"/>
      <sheetData sheetId="2889" refreshError="1"/>
      <sheetData sheetId="2890" refreshError="1"/>
      <sheetData sheetId="2891" refreshError="1"/>
      <sheetData sheetId="2892" refreshError="1"/>
      <sheetData sheetId="2893" refreshError="1"/>
      <sheetData sheetId="2894" refreshError="1"/>
      <sheetData sheetId="2895" refreshError="1"/>
      <sheetData sheetId="2896" refreshError="1"/>
      <sheetData sheetId="2897" refreshError="1"/>
      <sheetData sheetId="2898" refreshError="1"/>
      <sheetData sheetId="2899" refreshError="1"/>
      <sheetData sheetId="2900" refreshError="1"/>
      <sheetData sheetId="2901" refreshError="1"/>
      <sheetData sheetId="2902" refreshError="1"/>
      <sheetData sheetId="2903" refreshError="1"/>
      <sheetData sheetId="2904" refreshError="1"/>
      <sheetData sheetId="2905" refreshError="1"/>
      <sheetData sheetId="2906" refreshError="1"/>
      <sheetData sheetId="2907" refreshError="1"/>
      <sheetData sheetId="2908" refreshError="1"/>
      <sheetData sheetId="2909" refreshError="1"/>
      <sheetData sheetId="2910" refreshError="1"/>
      <sheetData sheetId="2911" refreshError="1"/>
      <sheetData sheetId="2912" refreshError="1"/>
      <sheetData sheetId="2913" refreshError="1"/>
      <sheetData sheetId="2914" refreshError="1"/>
      <sheetData sheetId="2915" refreshError="1"/>
      <sheetData sheetId="2916" refreshError="1"/>
      <sheetData sheetId="2917" refreshError="1"/>
      <sheetData sheetId="2918" refreshError="1"/>
      <sheetData sheetId="2919" refreshError="1"/>
      <sheetData sheetId="2920" refreshError="1"/>
      <sheetData sheetId="2921" refreshError="1"/>
      <sheetData sheetId="2922" refreshError="1"/>
      <sheetData sheetId="2923" refreshError="1"/>
      <sheetData sheetId="2924" refreshError="1"/>
      <sheetData sheetId="2925" refreshError="1"/>
      <sheetData sheetId="2926" refreshError="1"/>
      <sheetData sheetId="2927" refreshError="1"/>
      <sheetData sheetId="2928" refreshError="1"/>
      <sheetData sheetId="2929" refreshError="1"/>
      <sheetData sheetId="2930" refreshError="1"/>
      <sheetData sheetId="2931" refreshError="1"/>
      <sheetData sheetId="2932" refreshError="1"/>
      <sheetData sheetId="2933" refreshError="1"/>
      <sheetData sheetId="2934" refreshError="1"/>
      <sheetData sheetId="2935" refreshError="1"/>
      <sheetData sheetId="2936" refreshError="1"/>
      <sheetData sheetId="2937" refreshError="1"/>
      <sheetData sheetId="2938" refreshError="1"/>
      <sheetData sheetId="2939" refreshError="1"/>
      <sheetData sheetId="2940" refreshError="1"/>
      <sheetData sheetId="2941" refreshError="1"/>
      <sheetData sheetId="2942" refreshError="1"/>
      <sheetData sheetId="2943" refreshError="1"/>
      <sheetData sheetId="2944" refreshError="1"/>
      <sheetData sheetId="2945" refreshError="1"/>
      <sheetData sheetId="2946" refreshError="1"/>
      <sheetData sheetId="2947" refreshError="1"/>
      <sheetData sheetId="2948"/>
      <sheetData sheetId="2949"/>
      <sheetData sheetId="2950"/>
      <sheetData sheetId="2951" refreshError="1"/>
      <sheetData sheetId="2952" refreshError="1"/>
      <sheetData sheetId="2953" refreshError="1"/>
      <sheetData sheetId="2954" refreshError="1"/>
      <sheetData sheetId="2955" refreshError="1"/>
      <sheetData sheetId="2956" refreshError="1"/>
      <sheetData sheetId="2957" refreshError="1"/>
      <sheetData sheetId="2958" refreshError="1"/>
      <sheetData sheetId="2959"/>
      <sheetData sheetId="2960" refreshError="1"/>
      <sheetData sheetId="2961" refreshError="1"/>
      <sheetData sheetId="2962" refreshError="1"/>
      <sheetData sheetId="2963" refreshError="1"/>
      <sheetData sheetId="2964"/>
      <sheetData sheetId="2965"/>
      <sheetData sheetId="2966" refreshError="1"/>
      <sheetData sheetId="2967" refreshError="1"/>
      <sheetData sheetId="2968" refreshError="1"/>
      <sheetData sheetId="2969" refreshError="1"/>
      <sheetData sheetId="2970"/>
      <sheetData sheetId="2971"/>
      <sheetData sheetId="2972"/>
      <sheetData sheetId="2973" refreshError="1"/>
      <sheetData sheetId="2974"/>
      <sheetData sheetId="2975"/>
      <sheetData sheetId="2976"/>
      <sheetData sheetId="2977"/>
      <sheetData sheetId="2978"/>
      <sheetData sheetId="2979"/>
      <sheetData sheetId="2980"/>
      <sheetData sheetId="2981"/>
      <sheetData sheetId="2982"/>
      <sheetData sheetId="2983"/>
      <sheetData sheetId="2984"/>
      <sheetData sheetId="2985"/>
      <sheetData sheetId="2986"/>
      <sheetData sheetId="2987"/>
      <sheetData sheetId="2988"/>
      <sheetData sheetId="2989"/>
      <sheetData sheetId="2990"/>
      <sheetData sheetId="2991"/>
      <sheetData sheetId="2992"/>
      <sheetData sheetId="2993"/>
      <sheetData sheetId="2994"/>
      <sheetData sheetId="2995"/>
      <sheetData sheetId="2996"/>
      <sheetData sheetId="2997"/>
      <sheetData sheetId="2998"/>
      <sheetData sheetId="2999"/>
      <sheetData sheetId="3000"/>
      <sheetData sheetId="3001"/>
      <sheetData sheetId="3002"/>
      <sheetData sheetId="3003"/>
      <sheetData sheetId="3004"/>
      <sheetData sheetId="3005"/>
      <sheetData sheetId="3006"/>
      <sheetData sheetId="3007"/>
      <sheetData sheetId="3008"/>
      <sheetData sheetId="3009"/>
      <sheetData sheetId="3010"/>
      <sheetData sheetId="3011"/>
      <sheetData sheetId="3012"/>
      <sheetData sheetId="3013"/>
      <sheetData sheetId="3014"/>
      <sheetData sheetId="3015"/>
      <sheetData sheetId="3016"/>
      <sheetData sheetId="3017"/>
      <sheetData sheetId="3018"/>
      <sheetData sheetId="3019"/>
      <sheetData sheetId="3020"/>
      <sheetData sheetId="3021"/>
      <sheetData sheetId="3022"/>
      <sheetData sheetId="3023"/>
      <sheetData sheetId="3024"/>
      <sheetData sheetId="3025"/>
      <sheetData sheetId="3026"/>
      <sheetData sheetId="3027"/>
      <sheetData sheetId="3028"/>
      <sheetData sheetId="3029"/>
      <sheetData sheetId="3030"/>
      <sheetData sheetId="3031"/>
      <sheetData sheetId="3032"/>
      <sheetData sheetId="3033"/>
      <sheetData sheetId="3034"/>
      <sheetData sheetId="3035"/>
      <sheetData sheetId="3036"/>
      <sheetData sheetId="3037"/>
      <sheetData sheetId="3038"/>
      <sheetData sheetId="3039"/>
      <sheetData sheetId="3040"/>
      <sheetData sheetId="3041"/>
      <sheetData sheetId="3042"/>
      <sheetData sheetId="3043"/>
      <sheetData sheetId="3044"/>
      <sheetData sheetId="3045"/>
      <sheetData sheetId="3046"/>
      <sheetData sheetId="3047"/>
      <sheetData sheetId="3048"/>
      <sheetData sheetId="3049"/>
      <sheetData sheetId="3050"/>
      <sheetData sheetId="3051"/>
      <sheetData sheetId="3052"/>
      <sheetData sheetId="3053"/>
      <sheetData sheetId="3054"/>
      <sheetData sheetId="3055"/>
      <sheetData sheetId="3056"/>
      <sheetData sheetId="3057"/>
      <sheetData sheetId="3058"/>
      <sheetData sheetId="3059"/>
      <sheetData sheetId="3060"/>
      <sheetData sheetId="3061"/>
      <sheetData sheetId="3062"/>
      <sheetData sheetId="3063"/>
      <sheetData sheetId="3064"/>
      <sheetData sheetId="3065"/>
      <sheetData sheetId="3066"/>
      <sheetData sheetId="3067"/>
      <sheetData sheetId="3068" refreshError="1"/>
      <sheetData sheetId="3069" refreshError="1"/>
      <sheetData sheetId="3070" refreshError="1"/>
      <sheetData sheetId="3071" refreshError="1"/>
      <sheetData sheetId="3072" refreshError="1"/>
      <sheetData sheetId="3073" refreshError="1"/>
      <sheetData sheetId="3074" refreshError="1"/>
      <sheetData sheetId="3075" refreshError="1"/>
      <sheetData sheetId="3076" refreshError="1"/>
      <sheetData sheetId="3077" refreshError="1"/>
      <sheetData sheetId="3078" refreshError="1"/>
      <sheetData sheetId="3079" refreshError="1"/>
      <sheetData sheetId="3080" refreshError="1"/>
      <sheetData sheetId="3081" refreshError="1"/>
      <sheetData sheetId="3082" refreshError="1"/>
      <sheetData sheetId="3083"/>
      <sheetData sheetId="3084"/>
      <sheetData sheetId="3085"/>
      <sheetData sheetId="3086"/>
      <sheetData sheetId="3087" refreshError="1"/>
      <sheetData sheetId="3088" refreshError="1"/>
      <sheetData sheetId="3089"/>
      <sheetData sheetId="3090" refreshError="1"/>
      <sheetData sheetId="3091" refreshError="1"/>
      <sheetData sheetId="3092" refreshError="1"/>
      <sheetData sheetId="3093" refreshError="1"/>
      <sheetData sheetId="3094" refreshError="1"/>
      <sheetData sheetId="3095" refreshError="1"/>
      <sheetData sheetId="3096" refreshError="1"/>
      <sheetData sheetId="3097" refreshError="1"/>
      <sheetData sheetId="3098" refreshError="1"/>
      <sheetData sheetId="3099" refreshError="1"/>
      <sheetData sheetId="3100"/>
      <sheetData sheetId="3101"/>
      <sheetData sheetId="3102"/>
      <sheetData sheetId="3103"/>
      <sheetData sheetId="3104"/>
      <sheetData sheetId="3105"/>
      <sheetData sheetId="3106"/>
      <sheetData sheetId="3107"/>
      <sheetData sheetId="3108"/>
      <sheetData sheetId="3109"/>
      <sheetData sheetId="3110"/>
      <sheetData sheetId="3111"/>
      <sheetData sheetId="3112"/>
      <sheetData sheetId="3113"/>
      <sheetData sheetId="3114"/>
      <sheetData sheetId="3115"/>
      <sheetData sheetId="3116"/>
      <sheetData sheetId="3117"/>
      <sheetData sheetId="3118"/>
      <sheetData sheetId="3119"/>
      <sheetData sheetId="3120"/>
      <sheetData sheetId="3121"/>
      <sheetData sheetId="3122"/>
      <sheetData sheetId="3123"/>
      <sheetData sheetId="3124"/>
      <sheetData sheetId="3125"/>
      <sheetData sheetId="3126"/>
      <sheetData sheetId="3127"/>
      <sheetData sheetId="3128"/>
      <sheetData sheetId="3129"/>
      <sheetData sheetId="3130"/>
      <sheetData sheetId="3131"/>
      <sheetData sheetId="3132"/>
      <sheetData sheetId="3133"/>
      <sheetData sheetId="3134"/>
      <sheetData sheetId="3135"/>
      <sheetData sheetId="3136"/>
      <sheetData sheetId="3137"/>
      <sheetData sheetId="3138" refreshError="1"/>
      <sheetData sheetId="3139"/>
      <sheetData sheetId="3140"/>
      <sheetData sheetId="3141"/>
      <sheetData sheetId="3142"/>
      <sheetData sheetId="3143"/>
      <sheetData sheetId="3144"/>
      <sheetData sheetId="3145"/>
      <sheetData sheetId="3146"/>
      <sheetData sheetId="3147"/>
      <sheetData sheetId="3148"/>
      <sheetData sheetId="3149"/>
      <sheetData sheetId="3150" refreshError="1"/>
      <sheetData sheetId="3151" refreshError="1"/>
      <sheetData sheetId="3152" refreshError="1"/>
      <sheetData sheetId="3153" refreshError="1"/>
      <sheetData sheetId="3154" refreshError="1"/>
      <sheetData sheetId="3155" refreshError="1"/>
      <sheetData sheetId="3156" refreshError="1"/>
      <sheetData sheetId="3157"/>
      <sheetData sheetId="3158"/>
      <sheetData sheetId="3159"/>
      <sheetData sheetId="3160"/>
      <sheetData sheetId="3161"/>
      <sheetData sheetId="3162"/>
      <sheetData sheetId="3163"/>
      <sheetData sheetId="3164"/>
      <sheetData sheetId="3165" refreshError="1"/>
      <sheetData sheetId="3166"/>
      <sheetData sheetId="3167"/>
      <sheetData sheetId="3168"/>
      <sheetData sheetId="3169"/>
      <sheetData sheetId="3170"/>
      <sheetData sheetId="3171"/>
      <sheetData sheetId="3172" refreshError="1"/>
      <sheetData sheetId="3173" refreshError="1"/>
      <sheetData sheetId="3174" refreshError="1"/>
      <sheetData sheetId="3175" refreshError="1"/>
      <sheetData sheetId="3176" refreshError="1"/>
      <sheetData sheetId="3177"/>
      <sheetData sheetId="3178"/>
      <sheetData sheetId="3179"/>
      <sheetData sheetId="3180" refreshError="1"/>
      <sheetData sheetId="3181" refreshError="1"/>
      <sheetData sheetId="3182" refreshError="1"/>
      <sheetData sheetId="3183" refreshError="1"/>
      <sheetData sheetId="3184" refreshError="1"/>
      <sheetData sheetId="3185" refreshError="1"/>
      <sheetData sheetId="3186" refreshError="1"/>
      <sheetData sheetId="3187" refreshError="1"/>
      <sheetData sheetId="3188" refreshError="1"/>
      <sheetData sheetId="3189"/>
      <sheetData sheetId="3190"/>
      <sheetData sheetId="3191"/>
      <sheetData sheetId="3192"/>
      <sheetData sheetId="3193"/>
      <sheetData sheetId="3194"/>
      <sheetData sheetId="3195"/>
      <sheetData sheetId="3196"/>
      <sheetData sheetId="3197"/>
      <sheetData sheetId="3198"/>
      <sheetData sheetId="3199"/>
      <sheetData sheetId="3200"/>
      <sheetData sheetId="3201"/>
      <sheetData sheetId="3202"/>
      <sheetData sheetId="3203"/>
      <sheetData sheetId="3204"/>
      <sheetData sheetId="3205"/>
      <sheetData sheetId="3206"/>
      <sheetData sheetId="3207"/>
      <sheetData sheetId="3208"/>
      <sheetData sheetId="3209"/>
      <sheetData sheetId="3210"/>
      <sheetData sheetId="3211"/>
      <sheetData sheetId="3212"/>
      <sheetData sheetId="3213"/>
      <sheetData sheetId="3214"/>
      <sheetData sheetId="3215"/>
      <sheetData sheetId="3216"/>
      <sheetData sheetId="3217"/>
      <sheetData sheetId="3218"/>
      <sheetData sheetId="3219"/>
      <sheetData sheetId="3220"/>
      <sheetData sheetId="3221"/>
      <sheetData sheetId="3222"/>
      <sheetData sheetId="3223"/>
      <sheetData sheetId="3224"/>
      <sheetData sheetId="3225"/>
      <sheetData sheetId="3226"/>
      <sheetData sheetId="3227"/>
      <sheetData sheetId="3228"/>
      <sheetData sheetId="3229"/>
      <sheetData sheetId="3230"/>
      <sheetData sheetId="3231"/>
      <sheetData sheetId="3232"/>
      <sheetData sheetId="3233"/>
      <sheetData sheetId="3234"/>
      <sheetData sheetId="3235"/>
      <sheetData sheetId="3236"/>
      <sheetData sheetId="3237"/>
      <sheetData sheetId="3238"/>
      <sheetData sheetId="3239"/>
      <sheetData sheetId="3240"/>
      <sheetData sheetId="3241"/>
      <sheetData sheetId="3242"/>
      <sheetData sheetId="3243"/>
      <sheetData sheetId="3244"/>
      <sheetData sheetId="3245"/>
      <sheetData sheetId="3246"/>
      <sheetData sheetId="3247"/>
      <sheetData sheetId="3248"/>
      <sheetData sheetId="3249"/>
      <sheetData sheetId="3250"/>
      <sheetData sheetId="3251"/>
      <sheetData sheetId="3252"/>
      <sheetData sheetId="3253"/>
      <sheetData sheetId="3254"/>
      <sheetData sheetId="3255"/>
      <sheetData sheetId="3256"/>
      <sheetData sheetId="3257"/>
      <sheetData sheetId="3258"/>
      <sheetData sheetId="3259"/>
      <sheetData sheetId="3260"/>
      <sheetData sheetId="3261"/>
      <sheetData sheetId="3262"/>
      <sheetData sheetId="3263"/>
      <sheetData sheetId="3264"/>
      <sheetData sheetId="3265"/>
      <sheetData sheetId="3266"/>
      <sheetData sheetId="3267"/>
      <sheetData sheetId="3268"/>
      <sheetData sheetId="3269"/>
      <sheetData sheetId="3270"/>
      <sheetData sheetId="3271"/>
      <sheetData sheetId="3272"/>
      <sheetData sheetId="3273"/>
      <sheetData sheetId="3274"/>
      <sheetData sheetId="3275"/>
      <sheetData sheetId="3276"/>
      <sheetData sheetId="3277" refreshError="1"/>
      <sheetData sheetId="3278"/>
      <sheetData sheetId="3279"/>
      <sheetData sheetId="3280"/>
      <sheetData sheetId="3281"/>
      <sheetData sheetId="3282"/>
      <sheetData sheetId="3283"/>
      <sheetData sheetId="3284"/>
      <sheetData sheetId="3285"/>
      <sheetData sheetId="3286"/>
      <sheetData sheetId="3287"/>
      <sheetData sheetId="3288"/>
      <sheetData sheetId="3289"/>
      <sheetData sheetId="3290"/>
      <sheetData sheetId="3291"/>
      <sheetData sheetId="3292"/>
      <sheetData sheetId="3293"/>
      <sheetData sheetId="3294"/>
      <sheetData sheetId="3295"/>
      <sheetData sheetId="3296"/>
      <sheetData sheetId="3297"/>
      <sheetData sheetId="3298"/>
      <sheetData sheetId="3299" refreshError="1"/>
      <sheetData sheetId="3300" refreshError="1"/>
      <sheetData sheetId="3301" refreshError="1"/>
      <sheetData sheetId="3302" refreshError="1"/>
      <sheetData sheetId="3303" refreshError="1"/>
      <sheetData sheetId="3304" refreshError="1"/>
      <sheetData sheetId="3305"/>
      <sheetData sheetId="3306"/>
      <sheetData sheetId="3307"/>
      <sheetData sheetId="3308"/>
      <sheetData sheetId="3309"/>
      <sheetData sheetId="3310"/>
      <sheetData sheetId="3311"/>
      <sheetData sheetId="3312"/>
      <sheetData sheetId="3313"/>
      <sheetData sheetId="3314"/>
      <sheetData sheetId="3315"/>
      <sheetData sheetId="3316" refreshError="1"/>
      <sheetData sheetId="3317"/>
      <sheetData sheetId="3318"/>
      <sheetData sheetId="3319"/>
      <sheetData sheetId="3320"/>
      <sheetData sheetId="3321"/>
      <sheetData sheetId="3322"/>
      <sheetData sheetId="3323"/>
      <sheetData sheetId="3324"/>
      <sheetData sheetId="3325"/>
      <sheetData sheetId="3326"/>
      <sheetData sheetId="3327"/>
      <sheetData sheetId="3328"/>
      <sheetData sheetId="3329"/>
      <sheetData sheetId="3330"/>
      <sheetData sheetId="3331"/>
      <sheetData sheetId="3332" refreshError="1"/>
      <sheetData sheetId="3333"/>
      <sheetData sheetId="3334"/>
      <sheetData sheetId="3335"/>
      <sheetData sheetId="3336"/>
      <sheetData sheetId="3337"/>
      <sheetData sheetId="3338"/>
      <sheetData sheetId="3339"/>
      <sheetData sheetId="3340"/>
      <sheetData sheetId="3341"/>
      <sheetData sheetId="3342"/>
      <sheetData sheetId="3343"/>
      <sheetData sheetId="3344"/>
      <sheetData sheetId="3345"/>
      <sheetData sheetId="3346"/>
      <sheetData sheetId="3347"/>
      <sheetData sheetId="3348"/>
      <sheetData sheetId="3349"/>
      <sheetData sheetId="3350"/>
      <sheetData sheetId="3351"/>
      <sheetData sheetId="3352"/>
      <sheetData sheetId="3353"/>
      <sheetData sheetId="3354"/>
      <sheetData sheetId="3355"/>
      <sheetData sheetId="3356"/>
      <sheetData sheetId="3357"/>
      <sheetData sheetId="3358"/>
      <sheetData sheetId="3359"/>
      <sheetData sheetId="3360"/>
      <sheetData sheetId="3361"/>
      <sheetData sheetId="3362"/>
      <sheetData sheetId="3363"/>
      <sheetData sheetId="3364"/>
      <sheetData sheetId="3365"/>
      <sheetData sheetId="3366"/>
      <sheetData sheetId="3367"/>
      <sheetData sheetId="3368"/>
      <sheetData sheetId="3369"/>
      <sheetData sheetId="3370"/>
      <sheetData sheetId="3371"/>
      <sheetData sheetId="3372"/>
      <sheetData sheetId="3373"/>
      <sheetData sheetId="3374"/>
      <sheetData sheetId="3375"/>
      <sheetData sheetId="3376"/>
      <sheetData sheetId="3377"/>
      <sheetData sheetId="3378"/>
      <sheetData sheetId="3379"/>
      <sheetData sheetId="3380"/>
      <sheetData sheetId="3381"/>
      <sheetData sheetId="3382"/>
      <sheetData sheetId="3383"/>
      <sheetData sheetId="3384"/>
      <sheetData sheetId="3385"/>
      <sheetData sheetId="3386"/>
      <sheetData sheetId="3387"/>
      <sheetData sheetId="3388"/>
      <sheetData sheetId="3389"/>
      <sheetData sheetId="3390"/>
      <sheetData sheetId="3391"/>
      <sheetData sheetId="3392"/>
      <sheetData sheetId="3393"/>
      <sheetData sheetId="3394"/>
      <sheetData sheetId="3395"/>
      <sheetData sheetId="3396"/>
      <sheetData sheetId="3397"/>
      <sheetData sheetId="3398"/>
      <sheetData sheetId="3399"/>
      <sheetData sheetId="3400"/>
      <sheetData sheetId="3401"/>
      <sheetData sheetId="3402"/>
      <sheetData sheetId="3403"/>
      <sheetData sheetId="3404"/>
      <sheetData sheetId="3405"/>
      <sheetData sheetId="3406"/>
      <sheetData sheetId="3407"/>
      <sheetData sheetId="3408"/>
      <sheetData sheetId="3409"/>
      <sheetData sheetId="3410"/>
      <sheetData sheetId="3411"/>
      <sheetData sheetId="3412"/>
      <sheetData sheetId="3413"/>
      <sheetData sheetId="3414"/>
      <sheetData sheetId="3415"/>
      <sheetData sheetId="3416"/>
      <sheetData sheetId="3417"/>
      <sheetData sheetId="3418"/>
      <sheetData sheetId="3419"/>
      <sheetData sheetId="3420"/>
      <sheetData sheetId="3421"/>
      <sheetData sheetId="3422"/>
      <sheetData sheetId="3423"/>
      <sheetData sheetId="3424"/>
      <sheetData sheetId="3425"/>
      <sheetData sheetId="3426"/>
      <sheetData sheetId="3427"/>
      <sheetData sheetId="3428"/>
      <sheetData sheetId="3429"/>
      <sheetData sheetId="3430"/>
      <sheetData sheetId="3431"/>
      <sheetData sheetId="3432"/>
      <sheetData sheetId="3433"/>
      <sheetData sheetId="3434"/>
      <sheetData sheetId="3435" refreshError="1"/>
      <sheetData sheetId="3436" refreshError="1"/>
      <sheetData sheetId="3437" refreshError="1"/>
      <sheetData sheetId="3438" refreshError="1"/>
      <sheetData sheetId="3439" refreshError="1"/>
      <sheetData sheetId="3440"/>
      <sheetData sheetId="3441"/>
      <sheetData sheetId="3442" refreshError="1"/>
      <sheetData sheetId="3443" refreshError="1"/>
      <sheetData sheetId="3444" refreshError="1"/>
      <sheetData sheetId="3445" refreshError="1"/>
      <sheetData sheetId="3446" refreshError="1"/>
      <sheetData sheetId="3447" refreshError="1"/>
      <sheetData sheetId="3448" refreshError="1"/>
      <sheetData sheetId="3449" refreshError="1"/>
      <sheetData sheetId="3450" refreshError="1"/>
      <sheetData sheetId="3451" refreshError="1"/>
      <sheetData sheetId="3452"/>
      <sheetData sheetId="3453"/>
      <sheetData sheetId="3454"/>
      <sheetData sheetId="3455"/>
      <sheetData sheetId="3456" refreshError="1"/>
      <sheetData sheetId="3457" refreshError="1"/>
      <sheetData sheetId="3458" refreshError="1"/>
      <sheetData sheetId="3459" refreshError="1"/>
      <sheetData sheetId="3460" refreshError="1"/>
      <sheetData sheetId="3461" refreshError="1"/>
      <sheetData sheetId="3462" refreshError="1"/>
      <sheetData sheetId="3463" refreshError="1"/>
      <sheetData sheetId="3464" refreshError="1"/>
      <sheetData sheetId="3465" refreshError="1"/>
      <sheetData sheetId="3466" refreshError="1"/>
      <sheetData sheetId="3467" refreshError="1"/>
      <sheetData sheetId="3468"/>
      <sheetData sheetId="3469" refreshError="1"/>
      <sheetData sheetId="3470" refreshError="1"/>
      <sheetData sheetId="3471" refreshError="1"/>
      <sheetData sheetId="3472" refreshError="1"/>
      <sheetData sheetId="3473" refreshError="1"/>
      <sheetData sheetId="3474" refreshError="1"/>
      <sheetData sheetId="3475" refreshError="1"/>
      <sheetData sheetId="3476" refreshError="1"/>
      <sheetData sheetId="3477" refreshError="1"/>
      <sheetData sheetId="3478" refreshError="1"/>
      <sheetData sheetId="3479" refreshError="1"/>
      <sheetData sheetId="3480" refreshError="1"/>
      <sheetData sheetId="3481" refreshError="1"/>
      <sheetData sheetId="3482" refreshError="1"/>
      <sheetData sheetId="3483" refreshError="1"/>
      <sheetData sheetId="3484"/>
      <sheetData sheetId="3485"/>
      <sheetData sheetId="3486"/>
      <sheetData sheetId="3487"/>
      <sheetData sheetId="3488"/>
      <sheetData sheetId="3489"/>
      <sheetData sheetId="3490"/>
      <sheetData sheetId="3491"/>
      <sheetData sheetId="3492"/>
      <sheetData sheetId="3493"/>
      <sheetData sheetId="3494"/>
      <sheetData sheetId="3495"/>
      <sheetData sheetId="3496"/>
      <sheetData sheetId="3497"/>
      <sheetData sheetId="3498"/>
      <sheetData sheetId="3499"/>
      <sheetData sheetId="3500"/>
      <sheetData sheetId="3501"/>
      <sheetData sheetId="3502"/>
      <sheetData sheetId="3503"/>
      <sheetData sheetId="3504"/>
      <sheetData sheetId="3505"/>
      <sheetData sheetId="3506"/>
      <sheetData sheetId="3507"/>
      <sheetData sheetId="3508"/>
      <sheetData sheetId="3509"/>
      <sheetData sheetId="3510"/>
      <sheetData sheetId="3511"/>
      <sheetData sheetId="3512"/>
      <sheetData sheetId="3513"/>
      <sheetData sheetId="3514"/>
      <sheetData sheetId="3515"/>
      <sheetData sheetId="3516"/>
      <sheetData sheetId="3517"/>
      <sheetData sheetId="3518"/>
      <sheetData sheetId="3519"/>
      <sheetData sheetId="3520"/>
      <sheetData sheetId="3521"/>
      <sheetData sheetId="3522"/>
      <sheetData sheetId="3523"/>
      <sheetData sheetId="3524"/>
      <sheetData sheetId="3525"/>
      <sheetData sheetId="3526"/>
      <sheetData sheetId="3527"/>
      <sheetData sheetId="3528"/>
      <sheetData sheetId="3529"/>
      <sheetData sheetId="3530"/>
      <sheetData sheetId="3531"/>
      <sheetData sheetId="3532"/>
      <sheetData sheetId="3533"/>
      <sheetData sheetId="3534"/>
      <sheetData sheetId="3535"/>
      <sheetData sheetId="3536"/>
      <sheetData sheetId="3537"/>
      <sheetData sheetId="3538"/>
      <sheetData sheetId="3539"/>
      <sheetData sheetId="3540"/>
      <sheetData sheetId="3541"/>
      <sheetData sheetId="3542"/>
      <sheetData sheetId="3543"/>
      <sheetData sheetId="3544"/>
      <sheetData sheetId="3545"/>
      <sheetData sheetId="3546"/>
      <sheetData sheetId="3547"/>
      <sheetData sheetId="3548"/>
      <sheetData sheetId="3549"/>
      <sheetData sheetId="3550"/>
      <sheetData sheetId="3551"/>
      <sheetData sheetId="3552"/>
      <sheetData sheetId="3553"/>
      <sheetData sheetId="3554"/>
      <sheetData sheetId="3555"/>
      <sheetData sheetId="3556"/>
      <sheetData sheetId="3557"/>
      <sheetData sheetId="3558"/>
      <sheetData sheetId="3559"/>
      <sheetData sheetId="3560"/>
      <sheetData sheetId="3561"/>
      <sheetData sheetId="3562"/>
      <sheetData sheetId="3563"/>
      <sheetData sheetId="3564"/>
      <sheetData sheetId="3565"/>
      <sheetData sheetId="3566"/>
      <sheetData sheetId="3567"/>
      <sheetData sheetId="3568"/>
      <sheetData sheetId="3569"/>
      <sheetData sheetId="3570"/>
      <sheetData sheetId="3571"/>
      <sheetData sheetId="3572"/>
      <sheetData sheetId="3573"/>
      <sheetData sheetId="3574"/>
      <sheetData sheetId="3575"/>
      <sheetData sheetId="3576"/>
      <sheetData sheetId="3577"/>
      <sheetData sheetId="3578"/>
      <sheetData sheetId="3579"/>
      <sheetData sheetId="3580"/>
      <sheetData sheetId="3581"/>
      <sheetData sheetId="3582"/>
      <sheetData sheetId="3583"/>
      <sheetData sheetId="3584"/>
      <sheetData sheetId="3585"/>
      <sheetData sheetId="3586"/>
      <sheetData sheetId="3587"/>
      <sheetData sheetId="3588"/>
      <sheetData sheetId="3589"/>
      <sheetData sheetId="3590"/>
      <sheetData sheetId="3591"/>
      <sheetData sheetId="3592"/>
      <sheetData sheetId="3593"/>
      <sheetData sheetId="3594"/>
      <sheetData sheetId="3595"/>
      <sheetData sheetId="3596"/>
      <sheetData sheetId="3597"/>
      <sheetData sheetId="3598"/>
      <sheetData sheetId="3599"/>
      <sheetData sheetId="3600"/>
      <sheetData sheetId="3601"/>
      <sheetData sheetId="3602"/>
      <sheetData sheetId="3603"/>
      <sheetData sheetId="3604"/>
      <sheetData sheetId="3605"/>
      <sheetData sheetId="3606"/>
      <sheetData sheetId="3607"/>
      <sheetData sheetId="3608"/>
      <sheetData sheetId="3609"/>
      <sheetData sheetId="3610"/>
      <sheetData sheetId="3611"/>
      <sheetData sheetId="3612"/>
      <sheetData sheetId="3613"/>
      <sheetData sheetId="3614"/>
      <sheetData sheetId="3615"/>
      <sheetData sheetId="3616"/>
      <sheetData sheetId="3617"/>
      <sheetData sheetId="3618"/>
      <sheetData sheetId="3619"/>
      <sheetData sheetId="3620"/>
      <sheetData sheetId="3621"/>
      <sheetData sheetId="3622"/>
      <sheetData sheetId="3623"/>
      <sheetData sheetId="3624"/>
      <sheetData sheetId="3625"/>
      <sheetData sheetId="3626"/>
      <sheetData sheetId="3627"/>
      <sheetData sheetId="3628"/>
      <sheetData sheetId="3629"/>
      <sheetData sheetId="3630"/>
      <sheetData sheetId="3631"/>
      <sheetData sheetId="3632"/>
      <sheetData sheetId="3633"/>
      <sheetData sheetId="3634"/>
      <sheetData sheetId="3635"/>
      <sheetData sheetId="3636"/>
      <sheetData sheetId="3637"/>
      <sheetData sheetId="3638"/>
      <sheetData sheetId="3639"/>
      <sheetData sheetId="3640"/>
      <sheetData sheetId="3641"/>
      <sheetData sheetId="3642"/>
      <sheetData sheetId="3643"/>
      <sheetData sheetId="3644"/>
      <sheetData sheetId="3645"/>
      <sheetData sheetId="3646"/>
      <sheetData sheetId="3647"/>
      <sheetData sheetId="3648"/>
      <sheetData sheetId="3649"/>
      <sheetData sheetId="3650"/>
      <sheetData sheetId="3651"/>
      <sheetData sheetId="3652"/>
      <sheetData sheetId="3653"/>
      <sheetData sheetId="3654"/>
      <sheetData sheetId="3655"/>
      <sheetData sheetId="3656"/>
      <sheetData sheetId="3657"/>
      <sheetData sheetId="3658"/>
      <sheetData sheetId="3659"/>
      <sheetData sheetId="3660"/>
      <sheetData sheetId="3661"/>
      <sheetData sheetId="3662"/>
      <sheetData sheetId="3663"/>
      <sheetData sheetId="3664"/>
      <sheetData sheetId="3665"/>
      <sheetData sheetId="3666"/>
      <sheetData sheetId="3667"/>
      <sheetData sheetId="3668"/>
      <sheetData sheetId="3669"/>
      <sheetData sheetId="3670"/>
      <sheetData sheetId="3671"/>
      <sheetData sheetId="3672"/>
      <sheetData sheetId="3673"/>
      <sheetData sheetId="3674"/>
      <sheetData sheetId="3675"/>
      <sheetData sheetId="3676"/>
      <sheetData sheetId="3677"/>
      <sheetData sheetId="3678"/>
      <sheetData sheetId="3679" refreshError="1"/>
      <sheetData sheetId="3680" refreshError="1"/>
      <sheetData sheetId="3681"/>
      <sheetData sheetId="3682" refreshError="1"/>
      <sheetData sheetId="3683" refreshError="1"/>
      <sheetData sheetId="3684"/>
      <sheetData sheetId="3685" refreshError="1"/>
      <sheetData sheetId="3686" refreshError="1"/>
      <sheetData sheetId="3687" refreshError="1"/>
      <sheetData sheetId="3688"/>
      <sheetData sheetId="3689"/>
      <sheetData sheetId="3690"/>
      <sheetData sheetId="3691"/>
      <sheetData sheetId="3692"/>
      <sheetData sheetId="3693"/>
      <sheetData sheetId="3694"/>
      <sheetData sheetId="3695"/>
      <sheetData sheetId="3696"/>
      <sheetData sheetId="3697"/>
      <sheetData sheetId="3698"/>
      <sheetData sheetId="3699"/>
      <sheetData sheetId="3700"/>
      <sheetData sheetId="3701"/>
      <sheetData sheetId="3702"/>
      <sheetData sheetId="3703"/>
      <sheetData sheetId="3704"/>
      <sheetData sheetId="3705"/>
      <sheetData sheetId="3706"/>
      <sheetData sheetId="3707"/>
      <sheetData sheetId="3708"/>
      <sheetData sheetId="3709"/>
      <sheetData sheetId="3710"/>
      <sheetData sheetId="3711"/>
      <sheetData sheetId="3712"/>
      <sheetData sheetId="3713"/>
      <sheetData sheetId="3714"/>
      <sheetData sheetId="3715"/>
      <sheetData sheetId="3716"/>
      <sheetData sheetId="3717"/>
      <sheetData sheetId="3718"/>
      <sheetData sheetId="3719"/>
      <sheetData sheetId="3720"/>
      <sheetData sheetId="3721"/>
      <sheetData sheetId="3722"/>
      <sheetData sheetId="3723"/>
      <sheetData sheetId="3724"/>
      <sheetData sheetId="3725"/>
      <sheetData sheetId="3726"/>
      <sheetData sheetId="3727"/>
      <sheetData sheetId="3728"/>
      <sheetData sheetId="3729"/>
      <sheetData sheetId="3730"/>
      <sheetData sheetId="3731"/>
      <sheetData sheetId="3732"/>
      <sheetData sheetId="3733"/>
      <sheetData sheetId="3734"/>
      <sheetData sheetId="3735"/>
      <sheetData sheetId="3736"/>
      <sheetData sheetId="3737"/>
      <sheetData sheetId="3738"/>
      <sheetData sheetId="3739"/>
      <sheetData sheetId="3740"/>
      <sheetData sheetId="3741"/>
      <sheetData sheetId="3742"/>
      <sheetData sheetId="3743"/>
      <sheetData sheetId="3744"/>
      <sheetData sheetId="3745"/>
      <sheetData sheetId="3746"/>
      <sheetData sheetId="3747"/>
      <sheetData sheetId="3748"/>
      <sheetData sheetId="3749"/>
      <sheetData sheetId="3750"/>
      <sheetData sheetId="3751"/>
      <sheetData sheetId="3752"/>
      <sheetData sheetId="3753"/>
      <sheetData sheetId="3754"/>
      <sheetData sheetId="3755"/>
      <sheetData sheetId="3756"/>
      <sheetData sheetId="3757"/>
      <sheetData sheetId="3758"/>
      <sheetData sheetId="3759"/>
      <sheetData sheetId="3760"/>
      <sheetData sheetId="3761"/>
      <sheetData sheetId="3762"/>
      <sheetData sheetId="3763"/>
      <sheetData sheetId="3764"/>
      <sheetData sheetId="3765"/>
      <sheetData sheetId="3766"/>
      <sheetData sheetId="3767"/>
      <sheetData sheetId="3768"/>
      <sheetData sheetId="3769"/>
      <sheetData sheetId="3770"/>
      <sheetData sheetId="3771"/>
      <sheetData sheetId="3772"/>
      <sheetData sheetId="3773"/>
      <sheetData sheetId="3774"/>
      <sheetData sheetId="3775"/>
      <sheetData sheetId="3776"/>
      <sheetData sheetId="3777"/>
      <sheetData sheetId="3778"/>
      <sheetData sheetId="3779"/>
      <sheetData sheetId="3780"/>
      <sheetData sheetId="3781"/>
      <sheetData sheetId="3782"/>
      <sheetData sheetId="3783"/>
      <sheetData sheetId="3784"/>
      <sheetData sheetId="3785"/>
      <sheetData sheetId="3786"/>
      <sheetData sheetId="3787"/>
      <sheetData sheetId="3788"/>
      <sheetData sheetId="3789"/>
      <sheetData sheetId="3790"/>
      <sheetData sheetId="3791"/>
      <sheetData sheetId="3792"/>
      <sheetData sheetId="3793"/>
      <sheetData sheetId="3794"/>
      <sheetData sheetId="3795"/>
      <sheetData sheetId="3796"/>
      <sheetData sheetId="3797"/>
      <sheetData sheetId="3798"/>
      <sheetData sheetId="3799"/>
      <sheetData sheetId="3800"/>
      <sheetData sheetId="3801"/>
      <sheetData sheetId="3802"/>
      <sheetData sheetId="3803"/>
      <sheetData sheetId="3804"/>
      <sheetData sheetId="3805"/>
      <sheetData sheetId="3806"/>
      <sheetData sheetId="3807"/>
      <sheetData sheetId="3808"/>
      <sheetData sheetId="3809"/>
      <sheetData sheetId="3810"/>
      <sheetData sheetId="3811"/>
      <sheetData sheetId="3812"/>
      <sheetData sheetId="3813"/>
      <sheetData sheetId="3814"/>
      <sheetData sheetId="3815"/>
      <sheetData sheetId="3816"/>
      <sheetData sheetId="3817"/>
      <sheetData sheetId="3818"/>
      <sheetData sheetId="3819"/>
      <sheetData sheetId="3820"/>
      <sheetData sheetId="3821"/>
      <sheetData sheetId="3822"/>
      <sheetData sheetId="3823"/>
      <sheetData sheetId="3824"/>
      <sheetData sheetId="3825"/>
      <sheetData sheetId="3826"/>
      <sheetData sheetId="3827"/>
      <sheetData sheetId="3828"/>
      <sheetData sheetId="3829"/>
      <sheetData sheetId="3830"/>
      <sheetData sheetId="3831"/>
      <sheetData sheetId="3832"/>
      <sheetData sheetId="3833"/>
      <sheetData sheetId="3834"/>
      <sheetData sheetId="3835"/>
      <sheetData sheetId="3836"/>
      <sheetData sheetId="3837"/>
      <sheetData sheetId="3838"/>
      <sheetData sheetId="3839"/>
      <sheetData sheetId="3840"/>
      <sheetData sheetId="3841"/>
      <sheetData sheetId="3842"/>
      <sheetData sheetId="3843"/>
      <sheetData sheetId="3844"/>
      <sheetData sheetId="3845"/>
      <sheetData sheetId="3846"/>
      <sheetData sheetId="3847"/>
      <sheetData sheetId="3848"/>
      <sheetData sheetId="3849"/>
      <sheetData sheetId="3850"/>
      <sheetData sheetId="3851"/>
      <sheetData sheetId="3852"/>
      <sheetData sheetId="3853"/>
      <sheetData sheetId="3854"/>
      <sheetData sheetId="3855"/>
      <sheetData sheetId="3856"/>
      <sheetData sheetId="3857"/>
      <sheetData sheetId="3858"/>
      <sheetData sheetId="3859"/>
      <sheetData sheetId="3860"/>
      <sheetData sheetId="3861"/>
      <sheetData sheetId="3862"/>
      <sheetData sheetId="3863"/>
      <sheetData sheetId="3864"/>
      <sheetData sheetId="3865"/>
      <sheetData sheetId="3866"/>
      <sheetData sheetId="3867"/>
      <sheetData sheetId="3868"/>
      <sheetData sheetId="3869"/>
      <sheetData sheetId="3870"/>
      <sheetData sheetId="3871"/>
      <sheetData sheetId="3872"/>
      <sheetData sheetId="3873"/>
      <sheetData sheetId="3874"/>
      <sheetData sheetId="3875"/>
      <sheetData sheetId="3876"/>
      <sheetData sheetId="3877"/>
      <sheetData sheetId="3878"/>
      <sheetData sheetId="3879"/>
      <sheetData sheetId="3880"/>
      <sheetData sheetId="3881"/>
      <sheetData sheetId="3882"/>
      <sheetData sheetId="3883"/>
      <sheetData sheetId="3884"/>
      <sheetData sheetId="3885"/>
      <sheetData sheetId="3886"/>
      <sheetData sheetId="3887"/>
      <sheetData sheetId="3888"/>
      <sheetData sheetId="3889"/>
      <sheetData sheetId="3890"/>
      <sheetData sheetId="3891"/>
      <sheetData sheetId="3892"/>
      <sheetData sheetId="3893"/>
      <sheetData sheetId="3894"/>
      <sheetData sheetId="3895"/>
      <sheetData sheetId="3896"/>
      <sheetData sheetId="3897"/>
      <sheetData sheetId="3898"/>
      <sheetData sheetId="3899"/>
      <sheetData sheetId="3900"/>
      <sheetData sheetId="3901"/>
      <sheetData sheetId="3902"/>
      <sheetData sheetId="3903"/>
      <sheetData sheetId="3904"/>
      <sheetData sheetId="3905"/>
      <sheetData sheetId="3906"/>
      <sheetData sheetId="3907"/>
      <sheetData sheetId="3908"/>
      <sheetData sheetId="3909"/>
      <sheetData sheetId="3910"/>
      <sheetData sheetId="3911"/>
      <sheetData sheetId="3912"/>
      <sheetData sheetId="3913"/>
      <sheetData sheetId="3914"/>
      <sheetData sheetId="3915"/>
      <sheetData sheetId="3916"/>
      <sheetData sheetId="3917"/>
      <sheetData sheetId="3918"/>
      <sheetData sheetId="3919"/>
      <sheetData sheetId="3920"/>
      <sheetData sheetId="3921"/>
      <sheetData sheetId="3922"/>
      <sheetData sheetId="3923"/>
      <sheetData sheetId="3924"/>
      <sheetData sheetId="3925"/>
      <sheetData sheetId="3926"/>
      <sheetData sheetId="3927"/>
      <sheetData sheetId="3928"/>
      <sheetData sheetId="3929"/>
      <sheetData sheetId="3930"/>
      <sheetData sheetId="3931"/>
      <sheetData sheetId="3932"/>
      <sheetData sheetId="3933"/>
      <sheetData sheetId="3934"/>
      <sheetData sheetId="3935"/>
      <sheetData sheetId="3936"/>
      <sheetData sheetId="3937"/>
      <sheetData sheetId="3938"/>
      <sheetData sheetId="3939"/>
      <sheetData sheetId="3940"/>
      <sheetData sheetId="3941"/>
      <sheetData sheetId="3942"/>
      <sheetData sheetId="3943"/>
      <sheetData sheetId="3944"/>
      <sheetData sheetId="3945"/>
      <sheetData sheetId="3946"/>
      <sheetData sheetId="3947"/>
      <sheetData sheetId="3948"/>
      <sheetData sheetId="3949"/>
      <sheetData sheetId="3950"/>
      <sheetData sheetId="3951"/>
      <sheetData sheetId="3952"/>
      <sheetData sheetId="3953"/>
      <sheetData sheetId="3954"/>
      <sheetData sheetId="3955"/>
      <sheetData sheetId="3956"/>
      <sheetData sheetId="3957"/>
      <sheetData sheetId="3958"/>
      <sheetData sheetId="3959"/>
      <sheetData sheetId="3960"/>
      <sheetData sheetId="3961"/>
      <sheetData sheetId="3962"/>
      <sheetData sheetId="3963"/>
      <sheetData sheetId="3964"/>
      <sheetData sheetId="3965"/>
      <sheetData sheetId="3966"/>
      <sheetData sheetId="3967"/>
      <sheetData sheetId="3968"/>
      <sheetData sheetId="3969"/>
      <sheetData sheetId="3970"/>
      <sheetData sheetId="3971"/>
      <sheetData sheetId="3972"/>
      <sheetData sheetId="3973"/>
      <sheetData sheetId="3974"/>
      <sheetData sheetId="3975"/>
      <sheetData sheetId="3976"/>
      <sheetData sheetId="3977"/>
      <sheetData sheetId="3978"/>
      <sheetData sheetId="3979"/>
      <sheetData sheetId="3980"/>
      <sheetData sheetId="3981"/>
      <sheetData sheetId="3982"/>
      <sheetData sheetId="3983"/>
      <sheetData sheetId="3984"/>
      <sheetData sheetId="3985"/>
      <sheetData sheetId="3986"/>
      <sheetData sheetId="3987"/>
      <sheetData sheetId="3988"/>
      <sheetData sheetId="3989"/>
      <sheetData sheetId="3990"/>
      <sheetData sheetId="3991"/>
      <sheetData sheetId="3992"/>
      <sheetData sheetId="3993"/>
      <sheetData sheetId="3994"/>
      <sheetData sheetId="3995"/>
      <sheetData sheetId="3996"/>
      <sheetData sheetId="3997"/>
      <sheetData sheetId="3998"/>
      <sheetData sheetId="3999"/>
      <sheetData sheetId="4000"/>
      <sheetData sheetId="4001"/>
      <sheetData sheetId="4002"/>
      <sheetData sheetId="4003"/>
      <sheetData sheetId="4004"/>
      <sheetData sheetId="4005"/>
      <sheetData sheetId="4006"/>
      <sheetData sheetId="4007"/>
      <sheetData sheetId="4008"/>
      <sheetData sheetId="4009"/>
      <sheetData sheetId="4010"/>
      <sheetData sheetId="4011"/>
      <sheetData sheetId="4012"/>
      <sheetData sheetId="4013"/>
      <sheetData sheetId="4014"/>
      <sheetData sheetId="4015"/>
      <sheetData sheetId="4016"/>
      <sheetData sheetId="4017"/>
      <sheetData sheetId="4018"/>
      <sheetData sheetId="4019"/>
      <sheetData sheetId="4020"/>
      <sheetData sheetId="4021"/>
      <sheetData sheetId="4022"/>
      <sheetData sheetId="4023"/>
      <sheetData sheetId="4024"/>
      <sheetData sheetId="4025"/>
      <sheetData sheetId="4026"/>
      <sheetData sheetId="4027"/>
      <sheetData sheetId="4028"/>
      <sheetData sheetId="4029"/>
      <sheetData sheetId="4030"/>
      <sheetData sheetId="4031"/>
      <sheetData sheetId="4032"/>
      <sheetData sheetId="4033"/>
      <sheetData sheetId="4034"/>
      <sheetData sheetId="4035"/>
      <sheetData sheetId="4036"/>
      <sheetData sheetId="4037"/>
      <sheetData sheetId="4038"/>
      <sheetData sheetId="4039"/>
      <sheetData sheetId="4040"/>
      <sheetData sheetId="4041"/>
      <sheetData sheetId="4042"/>
      <sheetData sheetId="4043"/>
      <sheetData sheetId="4044" refreshError="1"/>
      <sheetData sheetId="4045" refreshError="1"/>
      <sheetData sheetId="4046" refreshError="1"/>
      <sheetData sheetId="4047" refreshError="1"/>
      <sheetData sheetId="4048" refreshError="1"/>
      <sheetData sheetId="4049" refreshError="1"/>
      <sheetData sheetId="4050" refreshError="1"/>
      <sheetData sheetId="4051" refreshError="1"/>
      <sheetData sheetId="4052" refreshError="1"/>
      <sheetData sheetId="4053" refreshError="1"/>
      <sheetData sheetId="4054" refreshError="1"/>
      <sheetData sheetId="4055" refreshError="1"/>
      <sheetData sheetId="4056" refreshError="1"/>
      <sheetData sheetId="4057" refreshError="1"/>
      <sheetData sheetId="4058" refreshError="1"/>
      <sheetData sheetId="4059" refreshError="1"/>
      <sheetData sheetId="4060" refreshError="1"/>
      <sheetData sheetId="4061" refreshError="1"/>
      <sheetData sheetId="4062" refreshError="1"/>
      <sheetData sheetId="4063" refreshError="1"/>
      <sheetData sheetId="4064" refreshError="1"/>
      <sheetData sheetId="4065"/>
      <sheetData sheetId="4066"/>
      <sheetData sheetId="4067"/>
      <sheetData sheetId="4068"/>
      <sheetData sheetId="4069"/>
      <sheetData sheetId="4070"/>
      <sheetData sheetId="4071"/>
      <sheetData sheetId="4072"/>
      <sheetData sheetId="4073"/>
      <sheetData sheetId="4074"/>
      <sheetData sheetId="4075"/>
      <sheetData sheetId="4076"/>
      <sheetData sheetId="4077"/>
      <sheetData sheetId="4078"/>
      <sheetData sheetId="4079"/>
      <sheetData sheetId="4080"/>
      <sheetData sheetId="4081"/>
      <sheetData sheetId="4082"/>
      <sheetData sheetId="4083" refreshError="1"/>
      <sheetData sheetId="4084" refreshError="1"/>
      <sheetData sheetId="4085" refreshError="1"/>
      <sheetData sheetId="4086" refreshError="1"/>
      <sheetData sheetId="4087" refreshError="1"/>
      <sheetData sheetId="4088" refreshError="1"/>
      <sheetData sheetId="4089" refreshError="1"/>
      <sheetData sheetId="4090" refreshError="1"/>
      <sheetData sheetId="4091" refreshError="1"/>
      <sheetData sheetId="4092" refreshError="1"/>
      <sheetData sheetId="4093" refreshError="1"/>
      <sheetData sheetId="4094" refreshError="1"/>
      <sheetData sheetId="4095" refreshError="1"/>
      <sheetData sheetId="4096" refreshError="1"/>
      <sheetData sheetId="4097" refreshError="1"/>
      <sheetData sheetId="4098" refreshError="1"/>
      <sheetData sheetId="4099" refreshError="1"/>
      <sheetData sheetId="4100" refreshError="1"/>
      <sheetData sheetId="4101"/>
      <sheetData sheetId="4102" refreshError="1"/>
      <sheetData sheetId="4103" refreshError="1"/>
      <sheetData sheetId="4104" refreshError="1"/>
      <sheetData sheetId="4105" refreshError="1"/>
      <sheetData sheetId="4106" refreshError="1"/>
      <sheetData sheetId="4107" refreshError="1"/>
      <sheetData sheetId="4108" refreshError="1"/>
      <sheetData sheetId="4109" refreshError="1"/>
      <sheetData sheetId="4110" refreshError="1"/>
      <sheetData sheetId="4111" refreshError="1"/>
      <sheetData sheetId="4112"/>
      <sheetData sheetId="4113" refreshError="1"/>
      <sheetData sheetId="4114" refreshError="1"/>
      <sheetData sheetId="4115" refreshError="1"/>
      <sheetData sheetId="4116" refreshError="1"/>
      <sheetData sheetId="4117" refreshError="1"/>
      <sheetData sheetId="4118" refreshError="1"/>
      <sheetData sheetId="4119" refreshError="1"/>
      <sheetData sheetId="4120" refreshError="1"/>
      <sheetData sheetId="4121"/>
      <sheetData sheetId="4122"/>
      <sheetData sheetId="4123"/>
      <sheetData sheetId="4124"/>
      <sheetData sheetId="4125"/>
      <sheetData sheetId="4126"/>
      <sheetData sheetId="4127"/>
      <sheetData sheetId="4128"/>
      <sheetData sheetId="4129"/>
      <sheetData sheetId="4130"/>
      <sheetData sheetId="4131" refreshError="1"/>
      <sheetData sheetId="4132" refreshError="1"/>
      <sheetData sheetId="4133" refreshError="1"/>
      <sheetData sheetId="4134" refreshError="1"/>
      <sheetData sheetId="4135" refreshError="1"/>
      <sheetData sheetId="4136" refreshError="1"/>
      <sheetData sheetId="4137" refreshError="1"/>
      <sheetData sheetId="4138" refreshError="1"/>
      <sheetData sheetId="4139" refreshError="1"/>
      <sheetData sheetId="4140" refreshError="1"/>
      <sheetData sheetId="4141" refreshError="1"/>
      <sheetData sheetId="4142"/>
      <sheetData sheetId="4143"/>
      <sheetData sheetId="4144"/>
      <sheetData sheetId="4145" refreshError="1"/>
      <sheetData sheetId="4146" refreshError="1"/>
      <sheetData sheetId="4147"/>
      <sheetData sheetId="4148"/>
      <sheetData sheetId="4149"/>
      <sheetData sheetId="4150"/>
      <sheetData sheetId="4151"/>
      <sheetData sheetId="4152"/>
      <sheetData sheetId="4153"/>
      <sheetData sheetId="4154"/>
      <sheetData sheetId="4155"/>
      <sheetData sheetId="4156"/>
      <sheetData sheetId="4157"/>
      <sheetData sheetId="4158"/>
      <sheetData sheetId="4159"/>
      <sheetData sheetId="4160"/>
      <sheetData sheetId="4161"/>
      <sheetData sheetId="4162"/>
      <sheetData sheetId="4163"/>
      <sheetData sheetId="4164"/>
      <sheetData sheetId="4165"/>
      <sheetData sheetId="4166"/>
      <sheetData sheetId="4167"/>
      <sheetData sheetId="4168"/>
      <sheetData sheetId="4169"/>
      <sheetData sheetId="4170"/>
      <sheetData sheetId="4171"/>
      <sheetData sheetId="4172"/>
      <sheetData sheetId="4173"/>
      <sheetData sheetId="4174"/>
      <sheetData sheetId="4175"/>
      <sheetData sheetId="4176"/>
      <sheetData sheetId="4177"/>
      <sheetData sheetId="4178"/>
      <sheetData sheetId="4179"/>
      <sheetData sheetId="4180"/>
      <sheetData sheetId="4181"/>
      <sheetData sheetId="4182"/>
      <sheetData sheetId="4183"/>
      <sheetData sheetId="4184"/>
      <sheetData sheetId="4185"/>
      <sheetData sheetId="4186"/>
      <sheetData sheetId="4187"/>
      <sheetData sheetId="4188"/>
      <sheetData sheetId="4189"/>
      <sheetData sheetId="4190"/>
      <sheetData sheetId="4191"/>
      <sheetData sheetId="4192"/>
      <sheetData sheetId="4193"/>
      <sheetData sheetId="4194"/>
      <sheetData sheetId="4195"/>
      <sheetData sheetId="4196"/>
      <sheetData sheetId="4197"/>
      <sheetData sheetId="4198"/>
      <sheetData sheetId="4199"/>
      <sheetData sheetId="4200"/>
      <sheetData sheetId="4201"/>
      <sheetData sheetId="4202"/>
      <sheetData sheetId="4203"/>
      <sheetData sheetId="4204"/>
      <sheetData sheetId="4205"/>
      <sheetData sheetId="4206"/>
      <sheetData sheetId="4207"/>
      <sheetData sheetId="4208"/>
      <sheetData sheetId="4209"/>
      <sheetData sheetId="4210"/>
      <sheetData sheetId="4211"/>
      <sheetData sheetId="4212"/>
      <sheetData sheetId="4213"/>
      <sheetData sheetId="4214"/>
      <sheetData sheetId="4215"/>
      <sheetData sheetId="4216"/>
      <sheetData sheetId="4217"/>
      <sheetData sheetId="4218"/>
      <sheetData sheetId="4219"/>
      <sheetData sheetId="4220"/>
      <sheetData sheetId="4221"/>
      <sheetData sheetId="4222"/>
      <sheetData sheetId="4223"/>
      <sheetData sheetId="4224"/>
      <sheetData sheetId="4225"/>
      <sheetData sheetId="4226"/>
      <sheetData sheetId="4227"/>
      <sheetData sheetId="4228"/>
      <sheetData sheetId="4229"/>
      <sheetData sheetId="4230"/>
      <sheetData sheetId="4231"/>
      <sheetData sheetId="4232"/>
      <sheetData sheetId="4233"/>
      <sheetData sheetId="4234"/>
      <sheetData sheetId="4235"/>
      <sheetData sheetId="4236"/>
      <sheetData sheetId="4237"/>
      <sheetData sheetId="4238"/>
      <sheetData sheetId="4239"/>
      <sheetData sheetId="4240"/>
      <sheetData sheetId="4241"/>
      <sheetData sheetId="4242"/>
      <sheetData sheetId="4243"/>
      <sheetData sheetId="4244"/>
      <sheetData sheetId="4245"/>
      <sheetData sheetId="4246"/>
      <sheetData sheetId="4247"/>
      <sheetData sheetId="4248"/>
      <sheetData sheetId="4249"/>
      <sheetData sheetId="4250"/>
      <sheetData sheetId="4251"/>
      <sheetData sheetId="4252"/>
      <sheetData sheetId="4253"/>
      <sheetData sheetId="4254"/>
      <sheetData sheetId="4255"/>
      <sheetData sheetId="4256"/>
      <sheetData sheetId="4257"/>
      <sheetData sheetId="4258"/>
      <sheetData sheetId="4259"/>
      <sheetData sheetId="4260"/>
      <sheetData sheetId="4261"/>
      <sheetData sheetId="4262"/>
      <sheetData sheetId="4263"/>
      <sheetData sheetId="4264"/>
      <sheetData sheetId="4265"/>
      <sheetData sheetId="4266"/>
      <sheetData sheetId="4267"/>
      <sheetData sheetId="4268"/>
      <sheetData sheetId="4269"/>
      <sheetData sheetId="4270"/>
      <sheetData sheetId="4271"/>
      <sheetData sheetId="4272"/>
      <sheetData sheetId="4273"/>
      <sheetData sheetId="4274"/>
      <sheetData sheetId="4275"/>
      <sheetData sheetId="4276"/>
      <sheetData sheetId="4277"/>
      <sheetData sheetId="4278"/>
      <sheetData sheetId="4279"/>
      <sheetData sheetId="4280"/>
      <sheetData sheetId="4281"/>
      <sheetData sheetId="4282"/>
      <sheetData sheetId="4283"/>
      <sheetData sheetId="4284"/>
      <sheetData sheetId="4285"/>
      <sheetData sheetId="4286"/>
      <sheetData sheetId="4287"/>
      <sheetData sheetId="4288"/>
      <sheetData sheetId="4289"/>
      <sheetData sheetId="4290"/>
      <sheetData sheetId="4291"/>
      <sheetData sheetId="4292"/>
      <sheetData sheetId="4293"/>
      <sheetData sheetId="4294"/>
      <sheetData sheetId="4295"/>
      <sheetData sheetId="4296"/>
      <sheetData sheetId="4297"/>
      <sheetData sheetId="4298"/>
      <sheetData sheetId="4299"/>
      <sheetData sheetId="4300"/>
      <sheetData sheetId="4301"/>
      <sheetData sheetId="4302"/>
      <sheetData sheetId="4303"/>
      <sheetData sheetId="4304"/>
      <sheetData sheetId="4305"/>
      <sheetData sheetId="4306"/>
      <sheetData sheetId="4307"/>
      <sheetData sheetId="4308"/>
      <sheetData sheetId="4309"/>
      <sheetData sheetId="4310"/>
      <sheetData sheetId="4311"/>
      <sheetData sheetId="4312"/>
      <sheetData sheetId="4313"/>
      <sheetData sheetId="4314"/>
      <sheetData sheetId="4315"/>
      <sheetData sheetId="4316"/>
      <sheetData sheetId="4317"/>
      <sheetData sheetId="4318"/>
      <sheetData sheetId="4319"/>
      <sheetData sheetId="4320"/>
      <sheetData sheetId="4321"/>
      <sheetData sheetId="4322"/>
      <sheetData sheetId="4323"/>
      <sheetData sheetId="4324"/>
      <sheetData sheetId="4325"/>
      <sheetData sheetId="4326"/>
      <sheetData sheetId="4327"/>
      <sheetData sheetId="4328"/>
      <sheetData sheetId="4329"/>
      <sheetData sheetId="4330"/>
      <sheetData sheetId="4331"/>
      <sheetData sheetId="4332"/>
      <sheetData sheetId="4333"/>
      <sheetData sheetId="4334"/>
      <sheetData sheetId="4335"/>
      <sheetData sheetId="4336"/>
      <sheetData sheetId="4337"/>
      <sheetData sheetId="4338"/>
      <sheetData sheetId="4339"/>
      <sheetData sheetId="4340"/>
      <sheetData sheetId="4341"/>
      <sheetData sheetId="4342"/>
      <sheetData sheetId="4343"/>
      <sheetData sheetId="4344" refreshError="1"/>
      <sheetData sheetId="4345" refreshError="1"/>
      <sheetData sheetId="4346"/>
      <sheetData sheetId="4347"/>
      <sheetData sheetId="4348"/>
      <sheetData sheetId="4349"/>
      <sheetData sheetId="4350"/>
      <sheetData sheetId="4351"/>
      <sheetData sheetId="4352"/>
      <sheetData sheetId="4353"/>
      <sheetData sheetId="4354"/>
      <sheetData sheetId="4355"/>
      <sheetData sheetId="4356"/>
      <sheetData sheetId="4357"/>
      <sheetData sheetId="4358"/>
      <sheetData sheetId="4359"/>
      <sheetData sheetId="4360"/>
      <sheetData sheetId="4361"/>
      <sheetData sheetId="4362"/>
      <sheetData sheetId="4363"/>
      <sheetData sheetId="4364"/>
      <sheetData sheetId="4365"/>
      <sheetData sheetId="4366"/>
      <sheetData sheetId="4367"/>
      <sheetData sheetId="4368"/>
      <sheetData sheetId="4369"/>
      <sheetData sheetId="4370"/>
      <sheetData sheetId="4371"/>
      <sheetData sheetId="4372"/>
      <sheetData sheetId="4373"/>
      <sheetData sheetId="4374"/>
      <sheetData sheetId="4375"/>
      <sheetData sheetId="4376"/>
      <sheetData sheetId="4377"/>
      <sheetData sheetId="4378"/>
      <sheetData sheetId="4379"/>
      <sheetData sheetId="4380"/>
      <sheetData sheetId="4381"/>
      <sheetData sheetId="4382"/>
      <sheetData sheetId="4383"/>
      <sheetData sheetId="4384"/>
      <sheetData sheetId="4385"/>
      <sheetData sheetId="4386"/>
      <sheetData sheetId="4387"/>
      <sheetData sheetId="4388"/>
      <sheetData sheetId="4389"/>
      <sheetData sheetId="4390"/>
      <sheetData sheetId="4391"/>
      <sheetData sheetId="4392"/>
      <sheetData sheetId="4393"/>
      <sheetData sheetId="4394"/>
      <sheetData sheetId="4395"/>
      <sheetData sheetId="4396"/>
      <sheetData sheetId="4397"/>
      <sheetData sheetId="4398"/>
      <sheetData sheetId="4399"/>
      <sheetData sheetId="4400"/>
      <sheetData sheetId="4401"/>
      <sheetData sheetId="4402"/>
      <sheetData sheetId="4403"/>
      <sheetData sheetId="4404"/>
      <sheetData sheetId="4405"/>
      <sheetData sheetId="4406"/>
      <sheetData sheetId="4407"/>
      <sheetData sheetId="4408"/>
      <sheetData sheetId="4409"/>
      <sheetData sheetId="4410"/>
      <sheetData sheetId="4411"/>
      <sheetData sheetId="4412"/>
      <sheetData sheetId="4413"/>
      <sheetData sheetId="4414"/>
      <sheetData sheetId="4415"/>
      <sheetData sheetId="4416"/>
      <sheetData sheetId="4417"/>
      <sheetData sheetId="4418"/>
      <sheetData sheetId="4419"/>
      <sheetData sheetId="4420"/>
      <sheetData sheetId="4421"/>
      <sheetData sheetId="4422"/>
      <sheetData sheetId="4423"/>
      <sheetData sheetId="4424"/>
      <sheetData sheetId="4425"/>
      <sheetData sheetId="4426"/>
      <sheetData sheetId="4427"/>
      <sheetData sheetId="4428"/>
      <sheetData sheetId="4429"/>
      <sheetData sheetId="4430"/>
      <sheetData sheetId="4431"/>
      <sheetData sheetId="4432"/>
      <sheetData sheetId="4433"/>
      <sheetData sheetId="4434"/>
      <sheetData sheetId="4435"/>
      <sheetData sheetId="4436"/>
      <sheetData sheetId="4437"/>
      <sheetData sheetId="4438"/>
      <sheetData sheetId="4439"/>
      <sheetData sheetId="4440"/>
      <sheetData sheetId="4441"/>
      <sheetData sheetId="4442"/>
      <sheetData sheetId="4443"/>
      <sheetData sheetId="4444"/>
      <sheetData sheetId="4445"/>
      <sheetData sheetId="4446"/>
      <sheetData sheetId="4447"/>
      <sheetData sheetId="4448" refreshError="1"/>
      <sheetData sheetId="4449" refreshError="1"/>
      <sheetData sheetId="4450" refreshError="1"/>
      <sheetData sheetId="4451" refreshError="1"/>
      <sheetData sheetId="4452"/>
      <sheetData sheetId="4453"/>
      <sheetData sheetId="4454"/>
      <sheetData sheetId="4455"/>
      <sheetData sheetId="4456"/>
      <sheetData sheetId="4457"/>
      <sheetData sheetId="4458" refreshError="1"/>
      <sheetData sheetId="4459" refreshError="1"/>
      <sheetData sheetId="4460" refreshError="1"/>
      <sheetData sheetId="4461" refreshError="1"/>
      <sheetData sheetId="4462" refreshError="1"/>
      <sheetData sheetId="4463" refreshError="1"/>
      <sheetData sheetId="4464" refreshError="1"/>
      <sheetData sheetId="4465" refreshError="1"/>
      <sheetData sheetId="4466" refreshError="1"/>
      <sheetData sheetId="4467" refreshError="1"/>
      <sheetData sheetId="4468" refreshError="1"/>
      <sheetData sheetId="4469" refreshError="1"/>
      <sheetData sheetId="4470" refreshError="1"/>
      <sheetData sheetId="4471" refreshError="1"/>
      <sheetData sheetId="4472" refreshError="1"/>
      <sheetData sheetId="4473" refreshError="1"/>
      <sheetData sheetId="4474" refreshError="1"/>
      <sheetData sheetId="4475" refreshError="1"/>
      <sheetData sheetId="4476" refreshError="1"/>
      <sheetData sheetId="4477" refreshError="1"/>
      <sheetData sheetId="4478" refreshError="1"/>
      <sheetData sheetId="4479" refreshError="1"/>
      <sheetData sheetId="4480" refreshError="1"/>
      <sheetData sheetId="4481" refreshError="1"/>
      <sheetData sheetId="4482" refreshError="1"/>
      <sheetData sheetId="4483" refreshError="1"/>
      <sheetData sheetId="4484" refreshError="1"/>
      <sheetData sheetId="4485" refreshError="1"/>
      <sheetData sheetId="4486" refreshError="1"/>
      <sheetData sheetId="4487" refreshError="1"/>
      <sheetData sheetId="4488" refreshError="1"/>
      <sheetData sheetId="4489" refreshError="1"/>
      <sheetData sheetId="4490" refreshError="1"/>
      <sheetData sheetId="4491" refreshError="1"/>
      <sheetData sheetId="4492" refreshError="1"/>
      <sheetData sheetId="4493" refreshError="1"/>
      <sheetData sheetId="4494" refreshError="1"/>
      <sheetData sheetId="4495" refreshError="1"/>
      <sheetData sheetId="4496"/>
      <sheetData sheetId="4497"/>
      <sheetData sheetId="4498"/>
      <sheetData sheetId="4499"/>
      <sheetData sheetId="4500"/>
      <sheetData sheetId="4501"/>
      <sheetData sheetId="4502"/>
      <sheetData sheetId="4503"/>
      <sheetData sheetId="4504"/>
      <sheetData sheetId="4505"/>
      <sheetData sheetId="4506"/>
      <sheetData sheetId="4507"/>
      <sheetData sheetId="4508"/>
      <sheetData sheetId="4509"/>
      <sheetData sheetId="4510"/>
      <sheetData sheetId="4511"/>
      <sheetData sheetId="4512"/>
      <sheetData sheetId="4513"/>
      <sheetData sheetId="4514"/>
      <sheetData sheetId="4515"/>
      <sheetData sheetId="4516"/>
      <sheetData sheetId="4517" refreshError="1"/>
      <sheetData sheetId="4518" refreshError="1"/>
      <sheetData sheetId="4519" refreshError="1"/>
      <sheetData sheetId="4520" refreshError="1"/>
      <sheetData sheetId="4521" refreshError="1"/>
      <sheetData sheetId="4522"/>
      <sheetData sheetId="4523" refreshError="1"/>
      <sheetData sheetId="4524" refreshError="1"/>
      <sheetData sheetId="4525" refreshError="1"/>
      <sheetData sheetId="4526" refreshError="1"/>
      <sheetData sheetId="4527" refreshError="1"/>
      <sheetData sheetId="4528" refreshError="1"/>
      <sheetData sheetId="4529" refreshError="1"/>
      <sheetData sheetId="4530" refreshError="1"/>
      <sheetData sheetId="4531" refreshError="1"/>
      <sheetData sheetId="4532" refreshError="1"/>
      <sheetData sheetId="4533" refreshError="1"/>
      <sheetData sheetId="4534" refreshError="1"/>
      <sheetData sheetId="4535" refreshError="1"/>
      <sheetData sheetId="4536" refreshError="1"/>
      <sheetData sheetId="4537" refreshError="1"/>
      <sheetData sheetId="4538" refreshError="1"/>
      <sheetData sheetId="4539" refreshError="1"/>
      <sheetData sheetId="4540" refreshError="1"/>
      <sheetData sheetId="4541" refreshError="1"/>
      <sheetData sheetId="4542" refreshError="1"/>
      <sheetData sheetId="4543" refreshError="1"/>
      <sheetData sheetId="4544" refreshError="1"/>
      <sheetData sheetId="4545" refreshError="1"/>
      <sheetData sheetId="4546" refreshError="1"/>
      <sheetData sheetId="4547" refreshError="1"/>
      <sheetData sheetId="4548" refreshError="1"/>
      <sheetData sheetId="4549" refreshError="1"/>
      <sheetData sheetId="4550" refreshError="1"/>
      <sheetData sheetId="4551" refreshError="1"/>
      <sheetData sheetId="4552" refreshError="1"/>
      <sheetData sheetId="4553" refreshError="1"/>
      <sheetData sheetId="4554" refreshError="1"/>
      <sheetData sheetId="4555" refreshError="1"/>
      <sheetData sheetId="4556" refreshError="1"/>
      <sheetData sheetId="4557" refreshError="1"/>
      <sheetData sheetId="4558" refreshError="1"/>
      <sheetData sheetId="4559" refreshError="1"/>
      <sheetData sheetId="4560" refreshError="1"/>
      <sheetData sheetId="4561" refreshError="1"/>
      <sheetData sheetId="4562" refreshError="1"/>
      <sheetData sheetId="4563" refreshError="1"/>
      <sheetData sheetId="4564" refreshError="1"/>
      <sheetData sheetId="4565" refreshError="1"/>
      <sheetData sheetId="4566" refreshError="1"/>
      <sheetData sheetId="4567" refreshError="1"/>
      <sheetData sheetId="4568" refreshError="1"/>
      <sheetData sheetId="4569" refreshError="1"/>
      <sheetData sheetId="4570" refreshError="1"/>
      <sheetData sheetId="4571" refreshError="1"/>
      <sheetData sheetId="4572" refreshError="1"/>
      <sheetData sheetId="4573" refreshError="1"/>
      <sheetData sheetId="4574" refreshError="1"/>
      <sheetData sheetId="4575" refreshError="1"/>
      <sheetData sheetId="4576" refreshError="1"/>
      <sheetData sheetId="4577" refreshError="1"/>
      <sheetData sheetId="4578" refreshError="1"/>
      <sheetData sheetId="4579" refreshError="1"/>
      <sheetData sheetId="4580" refreshError="1"/>
      <sheetData sheetId="4581" refreshError="1"/>
      <sheetData sheetId="4582" refreshError="1"/>
      <sheetData sheetId="4583" refreshError="1"/>
      <sheetData sheetId="4584" refreshError="1"/>
      <sheetData sheetId="4585" refreshError="1"/>
      <sheetData sheetId="4586" refreshError="1"/>
      <sheetData sheetId="4587" refreshError="1"/>
      <sheetData sheetId="4588" refreshError="1"/>
      <sheetData sheetId="4589" refreshError="1"/>
      <sheetData sheetId="4590" refreshError="1"/>
      <sheetData sheetId="4591" refreshError="1"/>
      <sheetData sheetId="4592" refreshError="1"/>
      <sheetData sheetId="4593" refreshError="1"/>
      <sheetData sheetId="4594" refreshError="1"/>
      <sheetData sheetId="4595" refreshError="1"/>
      <sheetData sheetId="4596" refreshError="1"/>
      <sheetData sheetId="4597" refreshError="1"/>
      <sheetData sheetId="4598" refreshError="1"/>
      <sheetData sheetId="4599" refreshError="1"/>
      <sheetData sheetId="4600" refreshError="1"/>
      <sheetData sheetId="4601" refreshError="1"/>
      <sheetData sheetId="4602" refreshError="1"/>
      <sheetData sheetId="4603" refreshError="1"/>
      <sheetData sheetId="4604" refreshError="1"/>
      <sheetData sheetId="4605" refreshError="1"/>
      <sheetData sheetId="4606" refreshError="1"/>
      <sheetData sheetId="4607" refreshError="1"/>
      <sheetData sheetId="4608" refreshError="1"/>
      <sheetData sheetId="4609" refreshError="1"/>
      <sheetData sheetId="4610" refreshError="1"/>
      <sheetData sheetId="4611" refreshError="1"/>
      <sheetData sheetId="4612" refreshError="1"/>
      <sheetData sheetId="4613" refreshError="1"/>
      <sheetData sheetId="4614" refreshError="1"/>
      <sheetData sheetId="4615" refreshError="1"/>
      <sheetData sheetId="4616" refreshError="1"/>
      <sheetData sheetId="4617" refreshError="1"/>
      <sheetData sheetId="4618" refreshError="1"/>
      <sheetData sheetId="4619" refreshError="1"/>
      <sheetData sheetId="4620" refreshError="1"/>
      <sheetData sheetId="4621" refreshError="1"/>
      <sheetData sheetId="4622" refreshError="1"/>
      <sheetData sheetId="4623" refreshError="1"/>
      <sheetData sheetId="4624" refreshError="1"/>
      <sheetData sheetId="4625" refreshError="1"/>
      <sheetData sheetId="4626" refreshError="1"/>
      <sheetData sheetId="4627" refreshError="1"/>
      <sheetData sheetId="4628" refreshError="1"/>
      <sheetData sheetId="4629" refreshError="1"/>
      <sheetData sheetId="4630" refreshError="1"/>
      <sheetData sheetId="4631" refreshError="1"/>
      <sheetData sheetId="4632" refreshError="1"/>
      <sheetData sheetId="4633" refreshError="1"/>
      <sheetData sheetId="4634" refreshError="1"/>
      <sheetData sheetId="4635" refreshError="1"/>
      <sheetData sheetId="4636" refreshError="1"/>
      <sheetData sheetId="4637" refreshError="1"/>
      <sheetData sheetId="4638" refreshError="1"/>
      <sheetData sheetId="4639" refreshError="1"/>
      <sheetData sheetId="4640" refreshError="1"/>
      <sheetData sheetId="4641" refreshError="1"/>
      <sheetData sheetId="4642" refreshError="1"/>
      <sheetData sheetId="4643" refreshError="1"/>
      <sheetData sheetId="4644" refreshError="1"/>
      <sheetData sheetId="4645" refreshError="1"/>
      <sheetData sheetId="4646" refreshError="1"/>
      <sheetData sheetId="4647" refreshError="1"/>
      <sheetData sheetId="4648" refreshError="1"/>
      <sheetData sheetId="4649" refreshError="1"/>
      <sheetData sheetId="4650" refreshError="1"/>
      <sheetData sheetId="4651" refreshError="1"/>
      <sheetData sheetId="4652" refreshError="1"/>
      <sheetData sheetId="4653" refreshError="1"/>
      <sheetData sheetId="4654" refreshError="1"/>
      <sheetData sheetId="4655" refreshError="1"/>
      <sheetData sheetId="4656" refreshError="1"/>
      <sheetData sheetId="4657" refreshError="1"/>
      <sheetData sheetId="4658" refreshError="1"/>
      <sheetData sheetId="4659" refreshError="1"/>
      <sheetData sheetId="4660" refreshError="1"/>
      <sheetData sheetId="4661" refreshError="1"/>
      <sheetData sheetId="4662" refreshError="1"/>
      <sheetData sheetId="4663" refreshError="1"/>
      <sheetData sheetId="4664" refreshError="1"/>
      <sheetData sheetId="4665" refreshError="1"/>
      <sheetData sheetId="4666" refreshError="1"/>
      <sheetData sheetId="4667" refreshError="1"/>
      <sheetData sheetId="4668" refreshError="1"/>
      <sheetData sheetId="4669" refreshError="1"/>
      <sheetData sheetId="4670" refreshError="1"/>
      <sheetData sheetId="4671" refreshError="1"/>
      <sheetData sheetId="4672" refreshError="1"/>
      <sheetData sheetId="4673" refreshError="1"/>
      <sheetData sheetId="4674" refreshError="1"/>
      <sheetData sheetId="4675" refreshError="1"/>
      <sheetData sheetId="4676" refreshError="1"/>
      <sheetData sheetId="4677" refreshError="1"/>
      <sheetData sheetId="4678" refreshError="1"/>
      <sheetData sheetId="4679" refreshError="1"/>
      <sheetData sheetId="4680" refreshError="1"/>
      <sheetData sheetId="4681" refreshError="1"/>
      <sheetData sheetId="4682" refreshError="1"/>
      <sheetData sheetId="4683" refreshError="1"/>
      <sheetData sheetId="4684" refreshError="1"/>
      <sheetData sheetId="4685" refreshError="1"/>
      <sheetData sheetId="4686" refreshError="1"/>
      <sheetData sheetId="4687" refreshError="1"/>
      <sheetData sheetId="4688" refreshError="1"/>
      <sheetData sheetId="4689" refreshError="1"/>
      <sheetData sheetId="4690" refreshError="1"/>
      <sheetData sheetId="4691" refreshError="1"/>
      <sheetData sheetId="4692" refreshError="1"/>
      <sheetData sheetId="4693" refreshError="1"/>
      <sheetData sheetId="4694" refreshError="1"/>
      <sheetData sheetId="4695" refreshError="1"/>
      <sheetData sheetId="4696" refreshError="1"/>
      <sheetData sheetId="4697" refreshError="1"/>
      <sheetData sheetId="4698" refreshError="1"/>
      <sheetData sheetId="4699" refreshError="1"/>
      <sheetData sheetId="4700" refreshError="1"/>
      <sheetData sheetId="4701" refreshError="1"/>
      <sheetData sheetId="4702" refreshError="1"/>
      <sheetData sheetId="4703" refreshError="1"/>
      <sheetData sheetId="4704" refreshError="1"/>
      <sheetData sheetId="4705" refreshError="1"/>
      <sheetData sheetId="4706" refreshError="1"/>
      <sheetData sheetId="4707" refreshError="1"/>
      <sheetData sheetId="4708" refreshError="1"/>
      <sheetData sheetId="4709" refreshError="1"/>
      <sheetData sheetId="4710" refreshError="1"/>
      <sheetData sheetId="4711" refreshError="1"/>
      <sheetData sheetId="4712" refreshError="1"/>
      <sheetData sheetId="4713" refreshError="1"/>
      <sheetData sheetId="4714" refreshError="1"/>
      <sheetData sheetId="4715" refreshError="1"/>
      <sheetData sheetId="4716" refreshError="1"/>
      <sheetData sheetId="4717" refreshError="1"/>
      <sheetData sheetId="4718" refreshError="1"/>
      <sheetData sheetId="4719" refreshError="1"/>
      <sheetData sheetId="4720" refreshError="1"/>
      <sheetData sheetId="4721" refreshError="1"/>
      <sheetData sheetId="4722" refreshError="1"/>
      <sheetData sheetId="4723" refreshError="1"/>
      <sheetData sheetId="4724" refreshError="1"/>
      <sheetData sheetId="4725" refreshError="1"/>
      <sheetData sheetId="4726" refreshError="1"/>
      <sheetData sheetId="4727" refreshError="1"/>
      <sheetData sheetId="4728" refreshError="1"/>
      <sheetData sheetId="4729" refreshError="1"/>
      <sheetData sheetId="4730" refreshError="1"/>
      <sheetData sheetId="4731" refreshError="1"/>
      <sheetData sheetId="4732" refreshError="1"/>
      <sheetData sheetId="4733" refreshError="1"/>
      <sheetData sheetId="4734" refreshError="1"/>
      <sheetData sheetId="4735" refreshError="1"/>
      <sheetData sheetId="4736" refreshError="1"/>
      <sheetData sheetId="4737" refreshError="1"/>
      <sheetData sheetId="4738" refreshError="1"/>
      <sheetData sheetId="4739" refreshError="1"/>
      <sheetData sheetId="4740" refreshError="1"/>
      <sheetData sheetId="4741" refreshError="1"/>
      <sheetData sheetId="4742" refreshError="1"/>
      <sheetData sheetId="4743" refreshError="1"/>
      <sheetData sheetId="4744" refreshError="1"/>
      <sheetData sheetId="4745" refreshError="1"/>
      <sheetData sheetId="4746" refreshError="1"/>
      <sheetData sheetId="4747" refreshError="1"/>
      <sheetData sheetId="4748" refreshError="1"/>
      <sheetData sheetId="4749" refreshError="1"/>
      <sheetData sheetId="4750" refreshError="1"/>
      <sheetData sheetId="4751" refreshError="1"/>
      <sheetData sheetId="4752" refreshError="1"/>
      <sheetData sheetId="4753" refreshError="1"/>
      <sheetData sheetId="4754" refreshError="1"/>
      <sheetData sheetId="4755" refreshError="1"/>
      <sheetData sheetId="4756" refreshError="1"/>
      <sheetData sheetId="4757" refreshError="1"/>
      <sheetData sheetId="4758" refreshError="1"/>
      <sheetData sheetId="4759" refreshError="1"/>
      <sheetData sheetId="4760" refreshError="1"/>
      <sheetData sheetId="4761" refreshError="1"/>
      <sheetData sheetId="4762" refreshError="1"/>
      <sheetData sheetId="4763" refreshError="1"/>
      <sheetData sheetId="4764" refreshError="1"/>
      <sheetData sheetId="4765" refreshError="1"/>
      <sheetData sheetId="4766" refreshError="1"/>
      <sheetData sheetId="4767" refreshError="1"/>
      <sheetData sheetId="4768" refreshError="1"/>
      <sheetData sheetId="4769" refreshError="1"/>
      <sheetData sheetId="4770" refreshError="1"/>
      <sheetData sheetId="4771" refreshError="1"/>
      <sheetData sheetId="4772" refreshError="1"/>
      <sheetData sheetId="4773" refreshError="1"/>
      <sheetData sheetId="4774" refreshError="1"/>
      <sheetData sheetId="4775" refreshError="1"/>
      <sheetData sheetId="4776" refreshError="1"/>
      <sheetData sheetId="4777" refreshError="1"/>
      <sheetData sheetId="4778" refreshError="1"/>
      <sheetData sheetId="4779" refreshError="1"/>
      <sheetData sheetId="4780" refreshError="1"/>
      <sheetData sheetId="4781" refreshError="1"/>
      <sheetData sheetId="4782" refreshError="1"/>
      <sheetData sheetId="4783" refreshError="1"/>
      <sheetData sheetId="4784" refreshError="1"/>
      <sheetData sheetId="4785" refreshError="1"/>
      <sheetData sheetId="4786" refreshError="1"/>
      <sheetData sheetId="4787" refreshError="1"/>
      <sheetData sheetId="4788" refreshError="1"/>
      <sheetData sheetId="4789" refreshError="1"/>
      <sheetData sheetId="4790" refreshError="1"/>
      <sheetData sheetId="4791" refreshError="1"/>
      <sheetData sheetId="4792" refreshError="1"/>
      <sheetData sheetId="4793" refreshError="1"/>
      <sheetData sheetId="4794" refreshError="1"/>
      <sheetData sheetId="4795" refreshError="1"/>
      <sheetData sheetId="4796" refreshError="1"/>
      <sheetData sheetId="4797" refreshError="1"/>
      <sheetData sheetId="4798" refreshError="1"/>
      <sheetData sheetId="4799" refreshError="1"/>
      <sheetData sheetId="4800" refreshError="1"/>
      <sheetData sheetId="4801" refreshError="1"/>
      <sheetData sheetId="4802" refreshError="1"/>
      <sheetData sheetId="4803" refreshError="1"/>
      <sheetData sheetId="4804" refreshError="1"/>
      <sheetData sheetId="4805" refreshError="1"/>
      <sheetData sheetId="4806" refreshError="1"/>
      <sheetData sheetId="4807" refreshError="1"/>
      <sheetData sheetId="4808" refreshError="1"/>
      <sheetData sheetId="4809" refreshError="1"/>
      <sheetData sheetId="4810" refreshError="1"/>
      <sheetData sheetId="4811" refreshError="1"/>
      <sheetData sheetId="4812" refreshError="1"/>
      <sheetData sheetId="4813" refreshError="1"/>
      <sheetData sheetId="4814" refreshError="1"/>
      <sheetData sheetId="4815" refreshError="1"/>
      <sheetData sheetId="4816" refreshError="1"/>
      <sheetData sheetId="4817" refreshError="1"/>
      <sheetData sheetId="4818" refreshError="1"/>
      <sheetData sheetId="4819" refreshError="1"/>
      <sheetData sheetId="4820" refreshError="1"/>
      <sheetData sheetId="4821" refreshError="1"/>
      <sheetData sheetId="4822" refreshError="1"/>
      <sheetData sheetId="4823" refreshError="1"/>
      <sheetData sheetId="4824" refreshError="1"/>
      <sheetData sheetId="4825" refreshError="1"/>
      <sheetData sheetId="4826" refreshError="1"/>
      <sheetData sheetId="4827" refreshError="1"/>
      <sheetData sheetId="4828" refreshError="1"/>
      <sheetData sheetId="4829" refreshError="1"/>
      <sheetData sheetId="4830" refreshError="1"/>
      <sheetData sheetId="4831" refreshError="1"/>
      <sheetData sheetId="4832" refreshError="1"/>
      <sheetData sheetId="4833" refreshError="1"/>
      <sheetData sheetId="4834" refreshError="1"/>
      <sheetData sheetId="4835" refreshError="1"/>
      <sheetData sheetId="4836" refreshError="1"/>
      <sheetData sheetId="4837" refreshError="1"/>
      <sheetData sheetId="4838" refreshError="1"/>
      <sheetData sheetId="4839" refreshError="1"/>
      <sheetData sheetId="4840" refreshError="1"/>
      <sheetData sheetId="4841" refreshError="1"/>
      <sheetData sheetId="4842" refreshError="1"/>
      <sheetData sheetId="4843" refreshError="1"/>
      <sheetData sheetId="4844" refreshError="1"/>
      <sheetData sheetId="4845" refreshError="1"/>
      <sheetData sheetId="4846"/>
      <sheetData sheetId="4847"/>
      <sheetData sheetId="4848"/>
      <sheetData sheetId="4849"/>
      <sheetData sheetId="4850"/>
      <sheetData sheetId="4851"/>
      <sheetData sheetId="4852"/>
      <sheetData sheetId="4853"/>
      <sheetData sheetId="4854"/>
      <sheetData sheetId="4855"/>
      <sheetData sheetId="4856"/>
      <sheetData sheetId="4857"/>
      <sheetData sheetId="4858"/>
      <sheetData sheetId="4859"/>
      <sheetData sheetId="4860" refreshError="1"/>
      <sheetData sheetId="4861" refreshError="1"/>
      <sheetData sheetId="4862"/>
      <sheetData sheetId="4863"/>
      <sheetData sheetId="4864"/>
      <sheetData sheetId="4865"/>
      <sheetData sheetId="4866"/>
      <sheetData sheetId="4867"/>
      <sheetData sheetId="4868"/>
      <sheetData sheetId="4869"/>
      <sheetData sheetId="4870"/>
      <sheetData sheetId="4871"/>
      <sheetData sheetId="4872"/>
      <sheetData sheetId="4873"/>
      <sheetData sheetId="4874" refreshError="1"/>
      <sheetData sheetId="4875" refreshError="1"/>
      <sheetData sheetId="4876" refreshError="1"/>
      <sheetData sheetId="4877" refreshError="1"/>
      <sheetData sheetId="4878" refreshError="1"/>
      <sheetData sheetId="4879" refreshError="1"/>
      <sheetData sheetId="4880" refreshError="1"/>
      <sheetData sheetId="4881" refreshError="1"/>
      <sheetData sheetId="4882" refreshError="1"/>
      <sheetData sheetId="4883" refreshError="1"/>
      <sheetData sheetId="4884"/>
      <sheetData sheetId="4885"/>
      <sheetData sheetId="4886"/>
      <sheetData sheetId="4887"/>
      <sheetData sheetId="4888"/>
      <sheetData sheetId="4889"/>
      <sheetData sheetId="4890"/>
      <sheetData sheetId="4891"/>
      <sheetData sheetId="4892"/>
      <sheetData sheetId="4893"/>
      <sheetData sheetId="4894"/>
      <sheetData sheetId="4895"/>
      <sheetData sheetId="4896"/>
      <sheetData sheetId="4897"/>
      <sheetData sheetId="4898"/>
      <sheetData sheetId="4899"/>
      <sheetData sheetId="4900"/>
      <sheetData sheetId="4901"/>
      <sheetData sheetId="4902"/>
      <sheetData sheetId="4903"/>
      <sheetData sheetId="4904"/>
      <sheetData sheetId="4905"/>
      <sheetData sheetId="4906"/>
      <sheetData sheetId="4907"/>
      <sheetData sheetId="4908"/>
      <sheetData sheetId="4909"/>
      <sheetData sheetId="4910"/>
      <sheetData sheetId="4911"/>
      <sheetData sheetId="4912"/>
      <sheetData sheetId="4913"/>
      <sheetData sheetId="4914"/>
      <sheetData sheetId="4915"/>
      <sheetData sheetId="4916"/>
      <sheetData sheetId="4917"/>
      <sheetData sheetId="4918"/>
      <sheetData sheetId="4919"/>
      <sheetData sheetId="4920"/>
      <sheetData sheetId="4921"/>
      <sheetData sheetId="4922"/>
      <sheetData sheetId="4923"/>
      <sheetData sheetId="4924"/>
      <sheetData sheetId="4925"/>
      <sheetData sheetId="4926"/>
      <sheetData sheetId="4927"/>
      <sheetData sheetId="4928"/>
      <sheetData sheetId="4929"/>
      <sheetData sheetId="4930"/>
      <sheetData sheetId="4931"/>
      <sheetData sheetId="4932"/>
      <sheetData sheetId="4933"/>
      <sheetData sheetId="4934"/>
      <sheetData sheetId="4935"/>
      <sheetData sheetId="4936"/>
      <sheetData sheetId="4937"/>
      <sheetData sheetId="4938"/>
      <sheetData sheetId="4939"/>
      <sheetData sheetId="4940"/>
      <sheetData sheetId="4941"/>
      <sheetData sheetId="4942"/>
      <sheetData sheetId="4943"/>
      <sheetData sheetId="4944"/>
      <sheetData sheetId="4945"/>
      <sheetData sheetId="4946"/>
      <sheetData sheetId="4947"/>
      <sheetData sheetId="4948"/>
      <sheetData sheetId="4949"/>
      <sheetData sheetId="4950"/>
      <sheetData sheetId="4951"/>
      <sheetData sheetId="4952"/>
      <sheetData sheetId="4953"/>
      <sheetData sheetId="4954"/>
      <sheetData sheetId="4955"/>
      <sheetData sheetId="4956"/>
      <sheetData sheetId="4957"/>
      <sheetData sheetId="4958"/>
      <sheetData sheetId="4959"/>
      <sheetData sheetId="4960"/>
      <sheetData sheetId="4961"/>
      <sheetData sheetId="4962"/>
      <sheetData sheetId="4963"/>
      <sheetData sheetId="4964"/>
      <sheetData sheetId="4965"/>
      <sheetData sheetId="4966"/>
      <sheetData sheetId="4967"/>
      <sheetData sheetId="4968"/>
      <sheetData sheetId="4969"/>
      <sheetData sheetId="4970"/>
      <sheetData sheetId="4971"/>
      <sheetData sheetId="4972"/>
      <sheetData sheetId="4973"/>
      <sheetData sheetId="4974"/>
      <sheetData sheetId="4975"/>
      <sheetData sheetId="4976"/>
      <sheetData sheetId="4977"/>
      <sheetData sheetId="4978"/>
      <sheetData sheetId="4979"/>
      <sheetData sheetId="4980"/>
      <sheetData sheetId="4981"/>
      <sheetData sheetId="4982"/>
      <sheetData sheetId="4983"/>
      <sheetData sheetId="4984"/>
      <sheetData sheetId="4985"/>
      <sheetData sheetId="4986"/>
      <sheetData sheetId="4987"/>
      <sheetData sheetId="4988"/>
      <sheetData sheetId="4989"/>
      <sheetData sheetId="4990"/>
      <sheetData sheetId="4991"/>
      <sheetData sheetId="4992"/>
      <sheetData sheetId="4993"/>
      <sheetData sheetId="4994"/>
      <sheetData sheetId="4995"/>
      <sheetData sheetId="4996"/>
      <sheetData sheetId="4997"/>
      <sheetData sheetId="4998"/>
      <sheetData sheetId="4999"/>
      <sheetData sheetId="5000"/>
      <sheetData sheetId="5001"/>
      <sheetData sheetId="5002"/>
      <sheetData sheetId="5003"/>
      <sheetData sheetId="5004"/>
      <sheetData sheetId="5005"/>
      <sheetData sheetId="5006"/>
      <sheetData sheetId="5007"/>
      <sheetData sheetId="5008"/>
      <sheetData sheetId="5009"/>
      <sheetData sheetId="5010"/>
      <sheetData sheetId="5011"/>
      <sheetData sheetId="5012"/>
      <sheetData sheetId="5013"/>
      <sheetData sheetId="5014"/>
      <sheetData sheetId="5015"/>
      <sheetData sheetId="5016"/>
      <sheetData sheetId="5017"/>
      <sheetData sheetId="5018"/>
      <sheetData sheetId="5019"/>
      <sheetData sheetId="5020"/>
      <sheetData sheetId="5021"/>
      <sheetData sheetId="5022"/>
      <sheetData sheetId="5023"/>
      <sheetData sheetId="5024"/>
      <sheetData sheetId="5025"/>
      <sheetData sheetId="5026"/>
      <sheetData sheetId="5027"/>
      <sheetData sheetId="5028"/>
      <sheetData sheetId="5029"/>
      <sheetData sheetId="5030"/>
      <sheetData sheetId="5031"/>
      <sheetData sheetId="5032"/>
      <sheetData sheetId="5033"/>
      <sheetData sheetId="5034"/>
      <sheetData sheetId="5035"/>
      <sheetData sheetId="5036"/>
      <sheetData sheetId="5037"/>
      <sheetData sheetId="5038"/>
      <sheetData sheetId="5039"/>
      <sheetData sheetId="5040"/>
      <sheetData sheetId="5041"/>
      <sheetData sheetId="5042"/>
      <sheetData sheetId="5043"/>
      <sheetData sheetId="5044"/>
      <sheetData sheetId="5045"/>
      <sheetData sheetId="5046"/>
      <sheetData sheetId="5047"/>
      <sheetData sheetId="5048"/>
      <sheetData sheetId="5049"/>
      <sheetData sheetId="5050"/>
      <sheetData sheetId="5051"/>
      <sheetData sheetId="5052"/>
      <sheetData sheetId="5053"/>
      <sheetData sheetId="5054"/>
      <sheetData sheetId="5055"/>
      <sheetData sheetId="5056"/>
      <sheetData sheetId="5057"/>
      <sheetData sheetId="5058"/>
      <sheetData sheetId="5059"/>
      <sheetData sheetId="5060"/>
      <sheetData sheetId="5061"/>
      <sheetData sheetId="5062"/>
      <sheetData sheetId="5063"/>
      <sheetData sheetId="5064"/>
      <sheetData sheetId="5065"/>
      <sheetData sheetId="5066"/>
      <sheetData sheetId="5067"/>
      <sheetData sheetId="5068"/>
      <sheetData sheetId="5069"/>
      <sheetData sheetId="5070"/>
      <sheetData sheetId="5071"/>
      <sheetData sheetId="5072"/>
      <sheetData sheetId="5073"/>
      <sheetData sheetId="5074"/>
      <sheetData sheetId="5075"/>
      <sheetData sheetId="5076"/>
      <sheetData sheetId="5077"/>
      <sheetData sheetId="5078"/>
      <sheetData sheetId="5079"/>
      <sheetData sheetId="5080"/>
      <sheetData sheetId="5081"/>
      <sheetData sheetId="5082"/>
      <sheetData sheetId="5083"/>
      <sheetData sheetId="5084"/>
      <sheetData sheetId="5085"/>
      <sheetData sheetId="5086"/>
      <sheetData sheetId="5087"/>
      <sheetData sheetId="5088"/>
      <sheetData sheetId="5089"/>
      <sheetData sheetId="5090"/>
      <sheetData sheetId="5091"/>
      <sheetData sheetId="5092"/>
      <sheetData sheetId="5093"/>
      <sheetData sheetId="5094"/>
      <sheetData sheetId="5095"/>
      <sheetData sheetId="5096"/>
      <sheetData sheetId="5097"/>
      <sheetData sheetId="5098"/>
      <sheetData sheetId="5099"/>
      <sheetData sheetId="5100"/>
      <sheetData sheetId="5101"/>
      <sheetData sheetId="5102"/>
      <sheetData sheetId="5103"/>
      <sheetData sheetId="5104"/>
      <sheetData sheetId="5105"/>
      <sheetData sheetId="5106"/>
      <sheetData sheetId="5107"/>
      <sheetData sheetId="5108"/>
      <sheetData sheetId="5109"/>
      <sheetData sheetId="5110"/>
      <sheetData sheetId="5111"/>
      <sheetData sheetId="5112"/>
      <sheetData sheetId="5113"/>
      <sheetData sheetId="5114"/>
      <sheetData sheetId="5115"/>
      <sheetData sheetId="5116"/>
      <sheetData sheetId="5117"/>
      <sheetData sheetId="5118"/>
      <sheetData sheetId="5119"/>
      <sheetData sheetId="5120"/>
      <sheetData sheetId="5121"/>
      <sheetData sheetId="5122"/>
      <sheetData sheetId="5123"/>
      <sheetData sheetId="5124"/>
      <sheetData sheetId="5125"/>
      <sheetData sheetId="5126"/>
      <sheetData sheetId="5127"/>
      <sheetData sheetId="5128"/>
      <sheetData sheetId="5129"/>
      <sheetData sheetId="5130"/>
      <sheetData sheetId="5131"/>
      <sheetData sheetId="5132"/>
      <sheetData sheetId="5133"/>
      <sheetData sheetId="5134"/>
      <sheetData sheetId="5135"/>
      <sheetData sheetId="5136"/>
      <sheetData sheetId="5137"/>
      <sheetData sheetId="5138"/>
      <sheetData sheetId="5139"/>
      <sheetData sheetId="5140"/>
      <sheetData sheetId="5141"/>
      <sheetData sheetId="5142"/>
      <sheetData sheetId="5143"/>
      <sheetData sheetId="5144"/>
      <sheetData sheetId="5145"/>
      <sheetData sheetId="5146"/>
      <sheetData sheetId="5147"/>
      <sheetData sheetId="5148"/>
      <sheetData sheetId="5149"/>
      <sheetData sheetId="5150"/>
      <sheetData sheetId="5151"/>
      <sheetData sheetId="5152"/>
      <sheetData sheetId="5153"/>
      <sheetData sheetId="5154"/>
      <sheetData sheetId="5155"/>
      <sheetData sheetId="5156"/>
      <sheetData sheetId="5157"/>
      <sheetData sheetId="5158"/>
      <sheetData sheetId="5159"/>
      <sheetData sheetId="5160"/>
      <sheetData sheetId="5161"/>
      <sheetData sheetId="5162"/>
      <sheetData sheetId="5163"/>
      <sheetData sheetId="5164"/>
      <sheetData sheetId="5165"/>
      <sheetData sheetId="5166"/>
      <sheetData sheetId="5167"/>
      <sheetData sheetId="5168"/>
      <sheetData sheetId="5169"/>
      <sheetData sheetId="5170"/>
      <sheetData sheetId="5171"/>
      <sheetData sheetId="5172"/>
      <sheetData sheetId="5173"/>
      <sheetData sheetId="5174"/>
      <sheetData sheetId="5175"/>
      <sheetData sheetId="5176"/>
      <sheetData sheetId="5177"/>
      <sheetData sheetId="5178"/>
      <sheetData sheetId="5179"/>
      <sheetData sheetId="5180"/>
      <sheetData sheetId="5181"/>
      <sheetData sheetId="5182"/>
      <sheetData sheetId="5183"/>
      <sheetData sheetId="5184"/>
      <sheetData sheetId="5185"/>
      <sheetData sheetId="5186" refreshError="1"/>
      <sheetData sheetId="5187" refreshError="1"/>
      <sheetData sheetId="5188" refreshError="1"/>
      <sheetData sheetId="5189" refreshError="1"/>
      <sheetData sheetId="5190" refreshError="1"/>
      <sheetData sheetId="5191" refreshError="1"/>
      <sheetData sheetId="5192" refreshError="1"/>
      <sheetData sheetId="5193" refreshError="1"/>
      <sheetData sheetId="5194" refreshError="1"/>
      <sheetData sheetId="5195" refreshError="1"/>
      <sheetData sheetId="5196" refreshError="1"/>
      <sheetData sheetId="5197" refreshError="1"/>
      <sheetData sheetId="5198" refreshError="1"/>
      <sheetData sheetId="5199" refreshError="1"/>
      <sheetData sheetId="5200" refreshError="1"/>
      <sheetData sheetId="5201" refreshError="1"/>
      <sheetData sheetId="5202" refreshError="1"/>
      <sheetData sheetId="5203" refreshError="1"/>
      <sheetData sheetId="5204" refreshError="1"/>
      <sheetData sheetId="5205" refreshError="1"/>
      <sheetData sheetId="5206" refreshError="1"/>
      <sheetData sheetId="5207" refreshError="1"/>
      <sheetData sheetId="5208" refreshError="1"/>
      <sheetData sheetId="5209" refreshError="1"/>
      <sheetData sheetId="5210" refreshError="1"/>
      <sheetData sheetId="5211"/>
      <sheetData sheetId="5212"/>
      <sheetData sheetId="5213" refreshError="1"/>
      <sheetData sheetId="5214" refreshError="1"/>
      <sheetData sheetId="5215" refreshError="1"/>
      <sheetData sheetId="5216" refreshError="1"/>
      <sheetData sheetId="5217" refreshError="1"/>
      <sheetData sheetId="5218"/>
      <sheetData sheetId="5219" refreshError="1"/>
      <sheetData sheetId="5220" refreshError="1"/>
      <sheetData sheetId="5221" refreshError="1"/>
      <sheetData sheetId="5222" refreshError="1"/>
      <sheetData sheetId="5223" refreshError="1"/>
      <sheetData sheetId="5224" refreshError="1"/>
      <sheetData sheetId="5225" refreshError="1"/>
      <sheetData sheetId="5226" refreshError="1"/>
      <sheetData sheetId="5227" refreshError="1"/>
      <sheetData sheetId="5228" refreshError="1"/>
      <sheetData sheetId="5229" refreshError="1"/>
      <sheetData sheetId="5230" refreshError="1"/>
      <sheetData sheetId="5231" refreshError="1"/>
      <sheetData sheetId="5232"/>
      <sheetData sheetId="5233" refreshError="1"/>
      <sheetData sheetId="5234" refreshError="1"/>
      <sheetData sheetId="5235" refreshError="1"/>
      <sheetData sheetId="5236" refreshError="1"/>
      <sheetData sheetId="5237" refreshError="1"/>
      <sheetData sheetId="5238" refreshError="1"/>
      <sheetData sheetId="5239" refreshError="1"/>
      <sheetData sheetId="5240" refreshError="1"/>
      <sheetData sheetId="5241" refreshError="1"/>
      <sheetData sheetId="5242" refreshError="1"/>
      <sheetData sheetId="5243" refreshError="1"/>
      <sheetData sheetId="5244" refreshError="1"/>
      <sheetData sheetId="5245" refreshError="1"/>
      <sheetData sheetId="5246" refreshError="1"/>
      <sheetData sheetId="5247" refreshError="1"/>
      <sheetData sheetId="5248" refreshError="1"/>
      <sheetData sheetId="5249" refreshError="1"/>
      <sheetData sheetId="5250" refreshError="1"/>
      <sheetData sheetId="5251" refreshError="1"/>
      <sheetData sheetId="5252" refreshError="1"/>
      <sheetData sheetId="5253" refreshError="1"/>
      <sheetData sheetId="5254" refreshError="1"/>
      <sheetData sheetId="5255" refreshError="1"/>
      <sheetData sheetId="5256" refreshError="1"/>
      <sheetData sheetId="5257" refreshError="1"/>
      <sheetData sheetId="5258" refreshError="1"/>
      <sheetData sheetId="5259" refreshError="1"/>
      <sheetData sheetId="5260" refreshError="1"/>
      <sheetData sheetId="5261" refreshError="1"/>
      <sheetData sheetId="5262" refreshError="1"/>
      <sheetData sheetId="5263" refreshError="1"/>
      <sheetData sheetId="5264" refreshError="1"/>
      <sheetData sheetId="5265" refreshError="1"/>
      <sheetData sheetId="5266" refreshError="1"/>
      <sheetData sheetId="5267" refreshError="1"/>
      <sheetData sheetId="5268" refreshError="1"/>
      <sheetData sheetId="5269" refreshError="1"/>
      <sheetData sheetId="5270" refreshError="1"/>
      <sheetData sheetId="5271" refreshError="1"/>
      <sheetData sheetId="5272" refreshError="1"/>
      <sheetData sheetId="5273" refreshError="1"/>
      <sheetData sheetId="5274" refreshError="1"/>
      <sheetData sheetId="5275" refreshError="1"/>
      <sheetData sheetId="5276" refreshError="1"/>
      <sheetData sheetId="5277" refreshError="1"/>
      <sheetData sheetId="5278" refreshError="1"/>
      <sheetData sheetId="5279" refreshError="1"/>
      <sheetData sheetId="5280" refreshError="1"/>
      <sheetData sheetId="5281" refreshError="1"/>
      <sheetData sheetId="5282" refreshError="1"/>
      <sheetData sheetId="5283" refreshError="1"/>
      <sheetData sheetId="5284" refreshError="1"/>
      <sheetData sheetId="5285" refreshError="1"/>
      <sheetData sheetId="5286" refreshError="1"/>
      <sheetData sheetId="5287" refreshError="1"/>
      <sheetData sheetId="5288" refreshError="1"/>
      <sheetData sheetId="5289" refreshError="1"/>
      <sheetData sheetId="5290" refreshError="1"/>
      <sheetData sheetId="5291" refreshError="1"/>
      <sheetData sheetId="5292" refreshError="1"/>
      <sheetData sheetId="5293" refreshError="1"/>
      <sheetData sheetId="5294" refreshError="1"/>
      <sheetData sheetId="5295" refreshError="1"/>
      <sheetData sheetId="5296" refreshError="1"/>
      <sheetData sheetId="5297" refreshError="1"/>
      <sheetData sheetId="5298" refreshError="1"/>
      <sheetData sheetId="5299" refreshError="1"/>
      <sheetData sheetId="5300" refreshError="1"/>
      <sheetData sheetId="5301" refreshError="1"/>
      <sheetData sheetId="5302" refreshError="1"/>
      <sheetData sheetId="5303" refreshError="1"/>
      <sheetData sheetId="5304" refreshError="1"/>
      <sheetData sheetId="5305" refreshError="1"/>
      <sheetData sheetId="5306" refreshError="1"/>
      <sheetData sheetId="5307" refreshError="1"/>
      <sheetData sheetId="5308" refreshError="1"/>
      <sheetData sheetId="5309" refreshError="1"/>
      <sheetData sheetId="5310" refreshError="1"/>
      <sheetData sheetId="5311" refreshError="1"/>
      <sheetData sheetId="5312" refreshError="1"/>
      <sheetData sheetId="5313"/>
      <sheetData sheetId="5314"/>
      <sheetData sheetId="5315" refreshError="1"/>
      <sheetData sheetId="5316" refreshError="1"/>
      <sheetData sheetId="5317" refreshError="1"/>
      <sheetData sheetId="5318" refreshError="1"/>
      <sheetData sheetId="5319" refreshError="1"/>
      <sheetData sheetId="5320"/>
      <sheetData sheetId="5321"/>
      <sheetData sheetId="5322"/>
      <sheetData sheetId="5323" refreshError="1"/>
      <sheetData sheetId="5324" refreshError="1"/>
      <sheetData sheetId="5325" refreshError="1"/>
      <sheetData sheetId="5326" refreshError="1"/>
      <sheetData sheetId="5327" refreshError="1"/>
      <sheetData sheetId="5328" refreshError="1"/>
      <sheetData sheetId="5329" refreshError="1"/>
      <sheetData sheetId="5330" refreshError="1"/>
      <sheetData sheetId="5331" refreshError="1"/>
      <sheetData sheetId="5332" refreshError="1"/>
      <sheetData sheetId="5333" refreshError="1"/>
      <sheetData sheetId="5334" refreshError="1"/>
      <sheetData sheetId="5335" refreshError="1"/>
      <sheetData sheetId="5336" refreshError="1"/>
      <sheetData sheetId="5337" refreshError="1"/>
      <sheetData sheetId="5338" refreshError="1"/>
      <sheetData sheetId="5339" refreshError="1"/>
      <sheetData sheetId="5340" refreshError="1"/>
      <sheetData sheetId="5341" refreshError="1"/>
      <sheetData sheetId="5342" refreshError="1"/>
      <sheetData sheetId="5343" refreshError="1"/>
      <sheetData sheetId="5344" refreshError="1"/>
      <sheetData sheetId="5345" refreshError="1"/>
      <sheetData sheetId="5346" refreshError="1"/>
      <sheetData sheetId="5347" refreshError="1"/>
      <sheetData sheetId="5348" refreshError="1"/>
      <sheetData sheetId="5349" refreshError="1"/>
      <sheetData sheetId="5350" refreshError="1"/>
      <sheetData sheetId="5351" refreshError="1"/>
      <sheetData sheetId="5352" refreshError="1"/>
      <sheetData sheetId="5353" refreshError="1"/>
      <sheetData sheetId="5354" refreshError="1"/>
      <sheetData sheetId="5355" refreshError="1"/>
      <sheetData sheetId="5356" refreshError="1"/>
      <sheetData sheetId="5357" refreshError="1"/>
      <sheetData sheetId="5358" refreshError="1"/>
      <sheetData sheetId="5359" refreshError="1"/>
      <sheetData sheetId="5360" refreshError="1"/>
      <sheetData sheetId="5361" refreshError="1"/>
      <sheetData sheetId="5362" refreshError="1"/>
      <sheetData sheetId="5363" refreshError="1"/>
      <sheetData sheetId="5364" refreshError="1"/>
      <sheetData sheetId="5365" refreshError="1"/>
      <sheetData sheetId="5366" refreshError="1"/>
      <sheetData sheetId="5367" refreshError="1"/>
      <sheetData sheetId="5368" refreshError="1"/>
      <sheetData sheetId="5369" refreshError="1"/>
      <sheetData sheetId="5370" refreshError="1"/>
      <sheetData sheetId="5371" refreshError="1"/>
      <sheetData sheetId="5372" refreshError="1"/>
      <sheetData sheetId="5373" refreshError="1"/>
      <sheetData sheetId="5374" refreshError="1"/>
      <sheetData sheetId="5375" refreshError="1"/>
      <sheetData sheetId="5376" refreshError="1"/>
      <sheetData sheetId="5377" refreshError="1"/>
      <sheetData sheetId="5378" refreshError="1"/>
      <sheetData sheetId="5379" refreshError="1"/>
      <sheetData sheetId="5380" refreshError="1"/>
      <sheetData sheetId="5381" refreshError="1"/>
      <sheetData sheetId="5382" refreshError="1"/>
      <sheetData sheetId="5383" refreshError="1"/>
      <sheetData sheetId="5384" refreshError="1"/>
      <sheetData sheetId="5385" refreshError="1"/>
      <sheetData sheetId="5386" refreshError="1"/>
      <sheetData sheetId="5387" refreshError="1"/>
      <sheetData sheetId="5388" refreshError="1"/>
      <sheetData sheetId="5389" refreshError="1"/>
      <sheetData sheetId="5390" refreshError="1"/>
      <sheetData sheetId="5391" refreshError="1"/>
      <sheetData sheetId="5392" refreshError="1"/>
      <sheetData sheetId="5393"/>
      <sheetData sheetId="5394"/>
      <sheetData sheetId="5395"/>
      <sheetData sheetId="5396" refreshError="1"/>
      <sheetData sheetId="5397" refreshError="1"/>
      <sheetData sheetId="5398" refreshError="1"/>
      <sheetData sheetId="5399" refreshError="1"/>
      <sheetData sheetId="5400" refreshError="1"/>
      <sheetData sheetId="5401"/>
      <sheetData sheetId="5402" refreshError="1"/>
      <sheetData sheetId="5403" refreshError="1"/>
      <sheetData sheetId="5404"/>
      <sheetData sheetId="5405"/>
      <sheetData sheetId="5406"/>
      <sheetData sheetId="5407"/>
      <sheetData sheetId="5408"/>
      <sheetData sheetId="5409"/>
      <sheetData sheetId="5410"/>
      <sheetData sheetId="5411"/>
      <sheetData sheetId="5412"/>
      <sheetData sheetId="5413"/>
      <sheetData sheetId="5414"/>
      <sheetData sheetId="5415"/>
      <sheetData sheetId="5416"/>
      <sheetData sheetId="5417"/>
      <sheetData sheetId="5418"/>
      <sheetData sheetId="5419"/>
      <sheetData sheetId="5420"/>
      <sheetData sheetId="5421"/>
      <sheetData sheetId="5422"/>
      <sheetData sheetId="5423"/>
      <sheetData sheetId="5424"/>
      <sheetData sheetId="5425"/>
      <sheetData sheetId="5426"/>
      <sheetData sheetId="5427"/>
      <sheetData sheetId="5428"/>
      <sheetData sheetId="5429"/>
      <sheetData sheetId="5430"/>
      <sheetData sheetId="5431"/>
      <sheetData sheetId="5432"/>
      <sheetData sheetId="5433"/>
      <sheetData sheetId="5434"/>
      <sheetData sheetId="5435"/>
      <sheetData sheetId="5436"/>
      <sheetData sheetId="5437"/>
      <sheetData sheetId="5438"/>
      <sheetData sheetId="5439" refreshError="1"/>
      <sheetData sheetId="5440" refreshError="1"/>
      <sheetData sheetId="5441" refreshError="1"/>
      <sheetData sheetId="5442" refreshError="1"/>
      <sheetData sheetId="5443" refreshError="1"/>
      <sheetData sheetId="5444" refreshError="1"/>
      <sheetData sheetId="5445" refreshError="1"/>
      <sheetData sheetId="5446" refreshError="1"/>
      <sheetData sheetId="5447" refreshError="1"/>
      <sheetData sheetId="5448" refreshError="1"/>
      <sheetData sheetId="5449" refreshError="1"/>
      <sheetData sheetId="5450" refreshError="1"/>
      <sheetData sheetId="5451" refreshError="1"/>
      <sheetData sheetId="5452" refreshError="1"/>
      <sheetData sheetId="5453" refreshError="1"/>
      <sheetData sheetId="5454" refreshError="1"/>
      <sheetData sheetId="5455" refreshError="1"/>
      <sheetData sheetId="5456" refreshError="1"/>
      <sheetData sheetId="5457" refreshError="1"/>
      <sheetData sheetId="5458" refreshError="1"/>
      <sheetData sheetId="5459" refreshError="1"/>
      <sheetData sheetId="5460" refreshError="1"/>
      <sheetData sheetId="5461" refreshError="1"/>
      <sheetData sheetId="5462" refreshError="1"/>
      <sheetData sheetId="5463" refreshError="1"/>
      <sheetData sheetId="5464" refreshError="1"/>
      <sheetData sheetId="5465" refreshError="1"/>
      <sheetData sheetId="5466" refreshError="1"/>
      <sheetData sheetId="5467" refreshError="1"/>
      <sheetData sheetId="5468" refreshError="1"/>
      <sheetData sheetId="5469" refreshError="1"/>
      <sheetData sheetId="5470" refreshError="1"/>
      <sheetData sheetId="5471"/>
      <sheetData sheetId="5472"/>
      <sheetData sheetId="5473"/>
      <sheetData sheetId="5474" refreshError="1"/>
      <sheetData sheetId="5475" refreshError="1"/>
      <sheetData sheetId="5476" refreshError="1"/>
      <sheetData sheetId="5477" refreshError="1"/>
      <sheetData sheetId="5478" refreshError="1"/>
      <sheetData sheetId="5479" refreshError="1"/>
      <sheetData sheetId="5480" refreshError="1"/>
      <sheetData sheetId="5481" refreshError="1"/>
      <sheetData sheetId="5482" refreshError="1"/>
      <sheetData sheetId="5483" refreshError="1"/>
      <sheetData sheetId="5484" refreshError="1"/>
      <sheetData sheetId="5485" refreshError="1"/>
      <sheetData sheetId="5486" refreshError="1"/>
      <sheetData sheetId="5487" refreshError="1"/>
      <sheetData sheetId="5488" refreshError="1"/>
      <sheetData sheetId="5489" refreshError="1"/>
      <sheetData sheetId="5490" refreshError="1"/>
      <sheetData sheetId="5491" refreshError="1"/>
      <sheetData sheetId="5492" refreshError="1"/>
      <sheetData sheetId="5493" refreshError="1"/>
      <sheetData sheetId="5494" refreshError="1"/>
      <sheetData sheetId="5495" refreshError="1"/>
      <sheetData sheetId="5496" refreshError="1"/>
      <sheetData sheetId="5497"/>
      <sheetData sheetId="5498"/>
      <sheetData sheetId="5499" refreshError="1"/>
      <sheetData sheetId="5500" refreshError="1"/>
      <sheetData sheetId="5501" refreshError="1"/>
      <sheetData sheetId="5502" refreshError="1"/>
      <sheetData sheetId="5503" refreshError="1"/>
      <sheetData sheetId="5504" refreshError="1"/>
      <sheetData sheetId="5505" refreshError="1"/>
      <sheetData sheetId="5506"/>
      <sheetData sheetId="5507" refreshError="1"/>
      <sheetData sheetId="5508" refreshError="1"/>
      <sheetData sheetId="5509" refreshError="1"/>
      <sheetData sheetId="5510" refreshError="1"/>
      <sheetData sheetId="5511" refreshError="1"/>
      <sheetData sheetId="5512" refreshError="1"/>
      <sheetData sheetId="5513" refreshError="1"/>
      <sheetData sheetId="5514" refreshError="1"/>
      <sheetData sheetId="5515" refreshError="1"/>
      <sheetData sheetId="5516" refreshError="1"/>
      <sheetData sheetId="5517" refreshError="1"/>
      <sheetData sheetId="5518" refreshError="1"/>
      <sheetData sheetId="5519" refreshError="1"/>
      <sheetData sheetId="5520" refreshError="1"/>
      <sheetData sheetId="5521"/>
      <sheetData sheetId="5522"/>
      <sheetData sheetId="5523" refreshError="1"/>
      <sheetData sheetId="5524" refreshError="1"/>
      <sheetData sheetId="5525" refreshError="1"/>
      <sheetData sheetId="5526" refreshError="1"/>
      <sheetData sheetId="5527" refreshError="1"/>
      <sheetData sheetId="5528" refreshError="1"/>
      <sheetData sheetId="5529" refreshError="1"/>
      <sheetData sheetId="5530" refreshError="1"/>
      <sheetData sheetId="5531" refreshError="1"/>
      <sheetData sheetId="5532" refreshError="1"/>
      <sheetData sheetId="5533" refreshError="1"/>
      <sheetData sheetId="5534" refreshError="1"/>
      <sheetData sheetId="5535" refreshError="1"/>
      <sheetData sheetId="5536" refreshError="1"/>
      <sheetData sheetId="5537" refreshError="1"/>
      <sheetData sheetId="5538" refreshError="1"/>
      <sheetData sheetId="5539" refreshError="1"/>
      <sheetData sheetId="5540" refreshError="1"/>
      <sheetData sheetId="5541" refreshError="1"/>
      <sheetData sheetId="5542" refreshError="1"/>
      <sheetData sheetId="5543" refreshError="1"/>
      <sheetData sheetId="5544" refreshError="1"/>
      <sheetData sheetId="5545" refreshError="1"/>
      <sheetData sheetId="5546" refreshError="1"/>
      <sheetData sheetId="5547" refreshError="1"/>
      <sheetData sheetId="5548" refreshError="1"/>
      <sheetData sheetId="5549" refreshError="1"/>
      <sheetData sheetId="5550" refreshError="1"/>
      <sheetData sheetId="5551" refreshError="1"/>
      <sheetData sheetId="5552" refreshError="1"/>
      <sheetData sheetId="5553" refreshError="1"/>
      <sheetData sheetId="5554" refreshError="1"/>
      <sheetData sheetId="5555"/>
      <sheetData sheetId="5556"/>
      <sheetData sheetId="5557" refreshError="1"/>
      <sheetData sheetId="5558" refreshError="1"/>
      <sheetData sheetId="5559" refreshError="1"/>
      <sheetData sheetId="5560" refreshError="1"/>
      <sheetData sheetId="5561" refreshError="1"/>
      <sheetData sheetId="5562" refreshError="1"/>
      <sheetData sheetId="5563" refreshError="1"/>
      <sheetData sheetId="5564" refreshError="1"/>
      <sheetData sheetId="5565" refreshError="1"/>
      <sheetData sheetId="5566" refreshError="1"/>
      <sheetData sheetId="5567" refreshError="1"/>
      <sheetData sheetId="5568" refreshError="1"/>
      <sheetData sheetId="5569" refreshError="1"/>
      <sheetData sheetId="5570" refreshError="1"/>
      <sheetData sheetId="5571" refreshError="1"/>
      <sheetData sheetId="5572" refreshError="1"/>
      <sheetData sheetId="5573" refreshError="1"/>
      <sheetData sheetId="5574" refreshError="1"/>
      <sheetData sheetId="5575" refreshError="1"/>
      <sheetData sheetId="5576" refreshError="1"/>
      <sheetData sheetId="5577" refreshError="1"/>
      <sheetData sheetId="5578" refreshError="1"/>
      <sheetData sheetId="5579" refreshError="1"/>
      <sheetData sheetId="5580" refreshError="1"/>
      <sheetData sheetId="5581" refreshError="1"/>
      <sheetData sheetId="5582" refreshError="1"/>
      <sheetData sheetId="5583" refreshError="1"/>
      <sheetData sheetId="5584" refreshError="1"/>
      <sheetData sheetId="5585" refreshError="1"/>
      <sheetData sheetId="5586"/>
      <sheetData sheetId="5587" refreshError="1"/>
      <sheetData sheetId="5588" refreshError="1"/>
      <sheetData sheetId="5589" refreshError="1"/>
      <sheetData sheetId="5590" refreshError="1"/>
      <sheetData sheetId="5591" refreshError="1"/>
      <sheetData sheetId="5592" refreshError="1"/>
      <sheetData sheetId="5593" refreshError="1"/>
      <sheetData sheetId="5594" refreshError="1"/>
      <sheetData sheetId="5595" refreshError="1"/>
      <sheetData sheetId="5596" refreshError="1"/>
      <sheetData sheetId="5597" refreshError="1"/>
      <sheetData sheetId="5598"/>
      <sheetData sheetId="5599"/>
      <sheetData sheetId="5600"/>
      <sheetData sheetId="5601"/>
      <sheetData sheetId="5602"/>
      <sheetData sheetId="5603"/>
      <sheetData sheetId="5604"/>
      <sheetData sheetId="5605"/>
      <sheetData sheetId="5606"/>
      <sheetData sheetId="5607"/>
      <sheetData sheetId="5608"/>
      <sheetData sheetId="5609"/>
      <sheetData sheetId="5610"/>
      <sheetData sheetId="5611"/>
      <sheetData sheetId="5612"/>
      <sheetData sheetId="5613"/>
      <sheetData sheetId="5614"/>
      <sheetData sheetId="5615"/>
      <sheetData sheetId="5616"/>
      <sheetData sheetId="5617"/>
      <sheetData sheetId="5618"/>
      <sheetData sheetId="5619"/>
      <sheetData sheetId="5620" refreshError="1"/>
      <sheetData sheetId="5621" refreshError="1"/>
      <sheetData sheetId="5622" refreshError="1"/>
      <sheetData sheetId="5623" refreshError="1"/>
      <sheetData sheetId="5624" refreshError="1"/>
      <sheetData sheetId="5625" refreshError="1"/>
      <sheetData sheetId="5626" refreshError="1"/>
      <sheetData sheetId="5627" refreshError="1"/>
      <sheetData sheetId="5628" refreshError="1"/>
      <sheetData sheetId="5629" refreshError="1"/>
      <sheetData sheetId="5630" refreshError="1"/>
      <sheetData sheetId="5631" refreshError="1"/>
      <sheetData sheetId="5632" refreshError="1"/>
      <sheetData sheetId="5633" refreshError="1"/>
      <sheetData sheetId="5634" refreshError="1"/>
      <sheetData sheetId="5635" refreshError="1"/>
      <sheetData sheetId="5636" refreshError="1"/>
      <sheetData sheetId="5637" refreshError="1"/>
      <sheetData sheetId="5638" refreshError="1"/>
      <sheetData sheetId="5639" refreshError="1"/>
      <sheetData sheetId="5640" refreshError="1"/>
      <sheetData sheetId="5641" refreshError="1"/>
      <sheetData sheetId="5642" refreshError="1"/>
      <sheetData sheetId="5643" refreshError="1"/>
      <sheetData sheetId="5644" refreshError="1"/>
      <sheetData sheetId="5645" refreshError="1"/>
      <sheetData sheetId="5646" refreshError="1"/>
      <sheetData sheetId="5647" refreshError="1"/>
      <sheetData sheetId="5648" refreshError="1"/>
      <sheetData sheetId="5649" refreshError="1"/>
      <sheetData sheetId="5650" refreshError="1"/>
      <sheetData sheetId="5651" refreshError="1"/>
      <sheetData sheetId="5652" refreshError="1"/>
      <sheetData sheetId="5653" refreshError="1"/>
      <sheetData sheetId="5654" refreshError="1"/>
      <sheetData sheetId="5655" refreshError="1"/>
      <sheetData sheetId="5656" refreshError="1"/>
      <sheetData sheetId="5657" refreshError="1"/>
      <sheetData sheetId="5658" refreshError="1"/>
      <sheetData sheetId="5659" refreshError="1"/>
      <sheetData sheetId="5660" refreshError="1"/>
      <sheetData sheetId="5661" refreshError="1"/>
      <sheetData sheetId="5662" refreshError="1"/>
      <sheetData sheetId="5663" refreshError="1"/>
      <sheetData sheetId="5664" refreshError="1"/>
      <sheetData sheetId="5665" refreshError="1"/>
      <sheetData sheetId="5666" refreshError="1"/>
      <sheetData sheetId="5667" refreshError="1"/>
      <sheetData sheetId="5668" refreshError="1"/>
      <sheetData sheetId="5669" refreshError="1"/>
      <sheetData sheetId="5670" refreshError="1"/>
      <sheetData sheetId="5671" refreshError="1"/>
      <sheetData sheetId="5672" refreshError="1"/>
      <sheetData sheetId="5673" refreshError="1"/>
      <sheetData sheetId="5674" refreshError="1"/>
      <sheetData sheetId="5675" refreshError="1"/>
      <sheetData sheetId="5676" refreshError="1"/>
      <sheetData sheetId="5677" refreshError="1"/>
      <sheetData sheetId="5678" refreshError="1"/>
      <sheetData sheetId="5679" refreshError="1"/>
      <sheetData sheetId="5680" refreshError="1"/>
      <sheetData sheetId="5681" refreshError="1"/>
      <sheetData sheetId="5682" refreshError="1"/>
      <sheetData sheetId="5683" refreshError="1"/>
      <sheetData sheetId="5684" refreshError="1"/>
      <sheetData sheetId="5685" refreshError="1"/>
      <sheetData sheetId="5686" refreshError="1"/>
      <sheetData sheetId="5687" refreshError="1"/>
      <sheetData sheetId="5688" refreshError="1"/>
      <sheetData sheetId="5689" refreshError="1"/>
      <sheetData sheetId="5690" refreshError="1"/>
      <sheetData sheetId="5691" refreshError="1"/>
      <sheetData sheetId="5692" refreshError="1"/>
      <sheetData sheetId="5693" refreshError="1"/>
      <sheetData sheetId="5694" refreshError="1"/>
      <sheetData sheetId="5695" refreshError="1"/>
      <sheetData sheetId="5696" refreshError="1"/>
      <sheetData sheetId="5697" refreshError="1"/>
      <sheetData sheetId="5698" refreshError="1"/>
      <sheetData sheetId="5699" refreshError="1"/>
      <sheetData sheetId="5700" refreshError="1"/>
      <sheetData sheetId="5701" refreshError="1"/>
      <sheetData sheetId="5702" refreshError="1"/>
      <sheetData sheetId="5703" refreshError="1"/>
      <sheetData sheetId="5704" refreshError="1"/>
      <sheetData sheetId="5705" refreshError="1"/>
      <sheetData sheetId="5706" refreshError="1"/>
      <sheetData sheetId="5707" refreshError="1"/>
      <sheetData sheetId="5708" refreshError="1"/>
      <sheetData sheetId="5709" refreshError="1"/>
      <sheetData sheetId="5710" refreshError="1"/>
      <sheetData sheetId="5711" refreshError="1"/>
      <sheetData sheetId="5712" refreshError="1"/>
      <sheetData sheetId="5713" refreshError="1"/>
      <sheetData sheetId="5714" refreshError="1"/>
      <sheetData sheetId="5715" refreshError="1"/>
      <sheetData sheetId="5716" refreshError="1"/>
      <sheetData sheetId="5717" refreshError="1"/>
      <sheetData sheetId="5718" refreshError="1"/>
      <sheetData sheetId="5719" refreshError="1"/>
      <sheetData sheetId="5720" refreshError="1"/>
      <sheetData sheetId="5721" refreshError="1"/>
      <sheetData sheetId="5722" refreshError="1"/>
      <sheetData sheetId="5723" refreshError="1"/>
      <sheetData sheetId="5724" refreshError="1"/>
      <sheetData sheetId="5725" refreshError="1"/>
      <sheetData sheetId="5726" refreshError="1"/>
      <sheetData sheetId="5727" refreshError="1"/>
      <sheetData sheetId="5728" refreshError="1"/>
      <sheetData sheetId="5729" refreshError="1"/>
      <sheetData sheetId="5730" refreshError="1"/>
      <sheetData sheetId="5731" refreshError="1"/>
      <sheetData sheetId="5732" refreshError="1"/>
      <sheetData sheetId="5733" refreshError="1"/>
      <sheetData sheetId="5734" refreshError="1"/>
      <sheetData sheetId="5735" refreshError="1"/>
      <sheetData sheetId="5736" refreshError="1"/>
      <sheetData sheetId="5737" refreshError="1"/>
      <sheetData sheetId="5738" refreshError="1"/>
      <sheetData sheetId="5739" refreshError="1"/>
      <sheetData sheetId="5740" refreshError="1"/>
      <sheetData sheetId="5741" refreshError="1"/>
      <sheetData sheetId="5742" refreshError="1"/>
      <sheetData sheetId="5743" refreshError="1"/>
      <sheetData sheetId="5744" refreshError="1"/>
      <sheetData sheetId="5745" refreshError="1"/>
      <sheetData sheetId="5746" refreshError="1"/>
      <sheetData sheetId="5747" refreshError="1"/>
      <sheetData sheetId="5748" refreshError="1"/>
      <sheetData sheetId="5749" refreshError="1"/>
      <sheetData sheetId="5750" refreshError="1"/>
      <sheetData sheetId="5751" refreshError="1"/>
      <sheetData sheetId="5752" refreshError="1"/>
      <sheetData sheetId="5753" refreshError="1"/>
      <sheetData sheetId="5754" refreshError="1"/>
      <sheetData sheetId="5755" refreshError="1"/>
      <sheetData sheetId="5756" refreshError="1"/>
      <sheetData sheetId="5757" refreshError="1"/>
      <sheetData sheetId="5758" refreshError="1"/>
      <sheetData sheetId="5759" refreshError="1"/>
      <sheetData sheetId="5760" refreshError="1"/>
      <sheetData sheetId="5761" refreshError="1"/>
      <sheetData sheetId="5762" refreshError="1"/>
      <sheetData sheetId="5763" refreshError="1"/>
      <sheetData sheetId="5764" refreshError="1"/>
      <sheetData sheetId="5765" refreshError="1"/>
      <sheetData sheetId="5766" refreshError="1"/>
      <sheetData sheetId="5767" refreshError="1"/>
      <sheetData sheetId="5768" refreshError="1"/>
      <sheetData sheetId="5769" refreshError="1"/>
      <sheetData sheetId="5770" refreshError="1"/>
      <sheetData sheetId="5771" refreshError="1"/>
      <sheetData sheetId="5772" refreshError="1"/>
      <sheetData sheetId="5773" refreshError="1"/>
      <sheetData sheetId="5774" refreshError="1"/>
      <sheetData sheetId="5775" refreshError="1"/>
      <sheetData sheetId="5776" refreshError="1"/>
      <sheetData sheetId="5777" refreshError="1"/>
      <sheetData sheetId="5778" refreshError="1"/>
      <sheetData sheetId="5779" refreshError="1"/>
      <sheetData sheetId="5780" refreshError="1"/>
      <sheetData sheetId="5781" refreshError="1"/>
      <sheetData sheetId="5782" refreshError="1"/>
      <sheetData sheetId="5783" refreshError="1"/>
      <sheetData sheetId="5784" refreshError="1"/>
      <sheetData sheetId="5785" refreshError="1"/>
      <sheetData sheetId="5786"/>
      <sheetData sheetId="5787" refreshError="1"/>
      <sheetData sheetId="5788" refreshError="1"/>
      <sheetData sheetId="5789" refreshError="1"/>
      <sheetData sheetId="5790" refreshError="1"/>
      <sheetData sheetId="5791" refreshError="1"/>
      <sheetData sheetId="5792" refreshError="1"/>
      <sheetData sheetId="5793" refreshError="1"/>
      <sheetData sheetId="5794"/>
      <sheetData sheetId="5795"/>
      <sheetData sheetId="5796"/>
      <sheetData sheetId="5797"/>
      <sheetData sheetId="5798"/>
      <sheetData sheetId="5799"/>
      <sheetData sheetId="5800"/>
      <sheetData sheetId="5801"/>
      <sheetData sheetId="5802"/>
      <sheetData sheetId="5803"/>
      <sheetData sheetId="5804"/>
      <sheetData sheetId="5805"/>
      <sheetData sheetId="5806"/>
      <sheetData sheetId="5807"/>
      <sheetData sheetId="5808"/>
      <sheetData sheetId="5809"/>
      <sheetData sheetId="5810" refreshError="1"/>
      <sheetData sheetId="5811" refreshError="1"/>
      <sheetData sheetId="5812" refreshError="1"/>
      <sheetData sheetId="5813" refreshError="1"/>
      <sheetData sheetId="5814" refreshError="1"/>
      <sheetData sheetId="5815" refreshError="1"/>
      <sheetData sheetId="5816" refreshError="1"/>
      <sheetData sheetId="5817" refreshError="1"/>
      <sheetData sheetId="5818" refreshError="1"/>
      <sheetData sheetId="5819" refreshError="1"/>
      <sheetData sheetId="5820" refreshError="1"/>
      <sheetData sheetId="5821"/>
      <sheetData sheetId="5822" refreshError="1"/>
      <sheetData sheetId="5823" refreshError="1"/>
      <sheetData sheetId="5824" refreshError="1"/>
      <sheetData sheetId="5825" refreshError="1"/>
      <sheetData sheetId="5826" refreshError="1"/>
      <sheetData sheetId="5827" refreshError="1"/>
      <sheetData sheetId="5828" refreshError="1"/>
      <sheetData sheetId="5829" refreshError="1"/>
      <sheetData sheetId="5830" refreshError="1"/>
      <sheetData sheetId="5831" refreshError="1"/>
      <sheetData sheetId="5832" refreshError="1"/>
      <sheetData sheetId="5833" refreshError="1"/>
      <sheetData sheetId="5834" refreshError="1"/>
      <sheetData sheetId="5835" refreshError="1"/>
      <sheetData sheetId="5836" refreshError="1"/>
      <sheetData sheetId="5837" refreshError="1"/>
      <sheetData sheetId="5838" refreshError="1"/>
      <sheetData sheetId="5839" refreshError="1"/>
      <sheetData sheetId="5840" refreshError="1"/>
      <sheetData sheetId="5841" refreshError="1"/>
      <sheetData sheetId="5842" refreshError="1"/>
      <sheetData sheetId="5843" refreshError="1"/>
      <sheetData sheetId="5844" refreshError="1"/>
      <sheetData sheetId="5845" refreshError="1"/>
      <sheetData sheetId="5846" refreshError="1"/>
      <sheetData sheetId="5847" refreshError="1"/>
      <sheetData sheetId="5848" refreshError="1"/>
      <sheetData sheetId="5849" refreshError="1"/>
      <sheetData sheetId="5850" refreshError="1"/>
      <sheetData sheetId="5851"/>
      <sheetData sheetId="5852"/>
      <sheetData sheetId="5853"/>
      <sheetData sheetId="5854"/>
      <sheetData sheetId="5855"/>
      <sheetData sheetId="5856"/>
      <sheetData sheetId="5857"/>
      <sheetData sheetId="5858"/>
      <sheetData sheetId="5859"/>
      <sheetData sheetId="5860"/>
      <sheetData sheetId="5861" refreshError="1"/>
      <sheetData sheetId="5862" refreshError="1"/>
      <sheetData sheetId="5863" refreshError="1"/>
      <sheetData sheetId="5864" refreshError="1"/>
      <sheetData sheetId="5865" refreshError="1"/>
      <sheetData sheetId="5866" refreshError="1"/>
      <sheetData sheetId="5867" refreshError="1"/>
      <sheetData sheetId="5868"/>
      <sheetData sheetId="5869"/>
      <sheetData sheetId="5870"/>
      <sheetData sheetId="5871"/>
      <sheetData sheetId="5872"/>
      <sheetData sheetId="5873"/>
      <sheetData sheetId="5874"/>
      <sheetData sheetId="5875"/>
      <sheetData sheetId="5876"/>
      <sheetData sheetId="5877"/>
      <sheetData sheetId="5878"/>
      <sheetData sheetId="5879"/>
      <sheetData sheetId="5880"/>
      <sheetData sheetId="5881"/>
      <sheetData sheetId="5882"/>
      <sheetData sheetId="5883"/>
      <sheetData sheetId="5884"/>
      <sheetData sheetId="5885"/>
      <sheetData sheetId="5886"/>
      <sheetData sheetId="5887"/>
      <sheetData sheetId="5888"/>
      <sheetData sheetId="5889"/>
      <sheetData sheetId="5890"/>
      <sheetData sheetId="5891"/>
      <sheetData sheetId="5892"/>
      <sheetData sheetId="5893"/>
      <sheetData sheetId="5894"/>
      <sheetData sheetId="5895"/>
      <sheetData sheetId="5896"/>
      <sheetData sheetId="5897"/>
      <sheetData sheetId="5898"/>
      <sheetData sheetId="5899"/>
      <sheetData sheetId="5900"/>
      <sheetData sheetId="5901"/>
      <sheetData sheetId="5902"/>
      <sheetData sheetId="5903"/>
      <sheetData sheetId="5904"/>
      <sheetData sheetId="5905"/>
      <sheetData sheetId="5906"/>
      <sheetData sheetId="5907"/>
      <sheetData sheetId="5908"/>
      <sheetData sheetId="5909"/>
      <sheetData sheetId="5910"/>
      <sheetData sheetId="5911"/>
      <sheetData sheetId="5912"/>
      <sheetData sheetId="5913"/>
      <sheetData sheetId="5914"/>
      <sheetData sheetId="5915"/>
      <sheetData sheetId="5916"/>
      <sheetData sheetId="5917"/>
      <sheetData sheetId="5918"/>
      <sheetData sheetId="5919"/>
      <sheetData sheetId="5920"/>
      <sheetData sheetId="5921"/>
      <sheetData sheetId="5922"/>
      <sheetData sheetId="5923"/>
      <sheetData sheetId="5924"/>
      <sheetData sheetId="5925"/>
      <sheetData sheetId="5926"/>
      <sheetData sheetId="5927"/>
      <sheetData sheetId="5928"/>
      <sheetData sheetId="5929"/>
      <sheetData sheetId="5930"/>
      <sheetData sheetId="5931"/>
      <sheetData sheetId="5932"/>
      <sheetData sheetId="5933"/>
      <sheetData sheetId="5934"/>
      <sheetData sheetId="5935"/>
      <sheetData sheetId="5936"/>
      <sheetData sheetId="5937"/>
      <sheetData sheetId="5938"/>
      <sheetData sheetId="5939"/>
      <sheetData sheetId="5940"/>
      <sheetData sheetId="5941"/>
      <sheetData sheetId="5942"/>
      <sheetData sheetId="5943"/>
      <sheetData sheetId="5944"/>
      <sheetData sheetId="5945"/>
      <sheetData sheetId="5946"/>
      <sheetData sheetId="5947"/>
      <sheetData sheetId="5948"/>
      <sheetData sheetId="5949"/>
      <sheetData sheetId="5950"/>
      <sheetData sheetId="5951"/>
      <sheetData sheetId="5952"/>
      <sheetData sheetId="5953"/>
      <sheetData sheetId="5954"/>
      <sheetData sheetId="5955"/>
      <sheetData sheetId="5956"/>
      <sheetData sheetId="5957"/>
      <sheetData sheetId="5958"/>
      <sheetData sheetId="5959"/>
      <sheetData sheetId="5960"/>
      <sheetData sheetId="5961"/>
      <sheetData sheetId="5962"/>
      <sheetData sheetId="5963"/>
      <sheetData sheetId="5964"/>
      <sheetData sheetId="5965"/>
      <sheetData sheetId="5966"/>
      <sheetData sheetId="5967"/>
      <sheetData sheetId="5968"/>
      <sheetData sheetId="5969"/>
      <sheetData sheetId="5970"/>
      <sheetData sheetId="5971"/>
      <sheetData sheetId="5972"/>
      <sheetData sheetId="5973"/>
      <sheetData sheetId="5974"/>
      <sheetData sheetId="5975" refreshError="1"/>
      <sheetData sheetId="5976" refreshError="1"/>
      <sheetData sheetId="5977" refreshError="1"/>
      <sheetData sheetId="5978" refreshError="1"/>
      <sheetData sheetId="5979" refreshError="1"/>
      <sheetData sheetId="5980"/>
      <sheetData sheetId="5981" refreshError="1"/>
      <sheetData sheetId="5982" refreshError="1"/>
      <sheetData sheetId="5983" refreshError="1"/>
      <sheetData sheetId="5984" refreshError="1"/>
      <sheetData sheetId="5985" refreshError="1"/>
      <sheetData sheetId="5986" refreshError="1"/>
      <sheetData sheetId="5987" refreshError="1"/>
      <sheetData sheetId="5988" refreshError="1"/>
      <sheetData sheetId="5989" refreshError="1"/>
      <sheetData sheetId="5990" refreshError="1"/>
      <sheetData sheetId="5991" refreshError="1"/>
      <sheetData sheetId="5992" refreshError="1"/>
      <sheetData sheetId="5993" refreshError="1"/>
      <sheetData sheetId="5994" refreshError="1"/>
      <sheetData sheetId="5995" refreshError="1"/>
      <sheetData sheetId="5996" refreshError="1"/>
      <sheetData sheetId="5997" refreshError="1"/>
      <sheetData sheetId="5998" refreshError="1"/>
      <sheetData sheetId="5999" refreshError="1"/>
      <sheetData sheetId="6000" refreshError="1"/>
      <sheetData sheetId="6001" refreshError="1"/>
      <sheetData sheetId="6002" refreshError="1"/>
      <sheetData sheetId="6003" refreshError="1"/>
      <sheetData sheetId="6004" refreshError="1"/>
      <sheetData sheetId="6005" refreshError="1"/>
      <sheetData sheetId="6006" refreshError="1"/>
      <sheetData sheetId="6007" refreshError="1"/>
      <sheetData sheetId="6008" refreshError="1"/>
      <sheetData sheetId="6009" refreshError="1"/>
      <sheetData sheetId="6010" refreshError="1"/>
      <sheetData sheetId="6011" refreshError="1"/>
      <sheetData sheetId="6012" refreshError="1"/>
      <sheetData sheetId="6013" refreshError="1"/>
      <sheetData sheetId="6014" refreshError="1"/>
      <sheetData sheetId="6015" refreshError="1"/>
      <sheetData sheetId="6016" refreshError="1"/>
      <sheetData sheetId="6017" refreshError="1"/>
      <sheetData sheetId="6018" refreshError="1"/>
      <sheetData sheetId="6019" refreshError="1"/>
      <sheetData sheetId="6020" refreshError="1"/>
      <sheetData sheetId="6021" refreshError="1"/>
      <sheetData sheetId="6022" refreshError="1"/>
      <sheetData sheetId="6023" refreshError="1"/>
      <sheetData sheetId="6024" refreshError="1"/>
      <sheetData sheetId="6025" refreshError="1"/>
      <sheetData sheetId="6026" refreshError="1"/>
      <sheetData sheetId="6027" refreshError="1"/>
      <sheetData sheetId="6028" refreshError="1"/>
      <sheetData sheetId="6029" refreshError="1"/>
      <sheetData sheetId="6030" refreshError="1"/>
      <sheetData sheetId="6031" refreshError="1"/>
      <sheetData sheetId="6032" refreshError="1"/>
      <sheetData sheetId="6033" refreshError="1"/>
      <sheetData sheetId="6034" refreshError="1"/>
      <sheetData sheetId="6035" refreshError="1"/>
      <sheetData sheetId="6036" refreshError="1"/>
      <sheetData sheetId="6037" refreshError="1"/>
      <sheetData sheetId="6038" refreshError="1"/>
      <sheetData sheetId="6039" refreshError="1"/>
      <sheetData sheetId="6040" refreshError="1"/>
      <sheetData sheetId="6041" refreshError="1"/>
      <sheetData sheetId="6042" refreshError="1"/>
      <sheetData sheetId="6043" refreshError="1"/>
      <sheetData sheetId="6044" refreshError="1"/>
      <sheetData sheetId="6045" refreshError="1"/>
      <sheetData sheetId="6046" refreshError="1"/>
      <sheetData sheetId="6047" refreshError="1"/>
      <sheetData sheetId="6048" refreshError="1"/>
      <sheetData sheetId="6049" refreshError="1"/>
      <sheetData sheetId="6050" refreshError="1"/>
      <sheetData sheetId="6051" refreshError="1"/>
      <sheetData sheetId="6052" refreshError="1"/>
      <sheetData sheetId="6053" refreshError="1"/>
      <sheetData sheetId="6054" refreshError="1"/>
      <sheetData sheetId="6055" refreshError="1"/>
      <sheetData sheetId="6056" refreshError="1"/>
      <sheetData sheetId="6057" refreshError="1"/>
      <sheetData sheetId="6058" refreshError="1"/>
      <sheetData sheetId="6059" refreshError="1"/>
      <sheetData sheetId="6060" refreshError="1"/>
      <sheetData sheetId="6061" refreshError="1"/>
      <sheetData sheetId="6062" refreshError="1"/>
      <sheetData sheetId="6063" refreshError="1"/>
      <sheetData sheetId="6064" refreshError="1"/>
      <sheetData sheetId="6065" refreshError="1"/>
      <sheetData sheetId="6066" refreshError="1"/>
      <sheetData sheetId="6067" refreshError="1"/>
      <sheetData sheetId="6068" refreshError="1"/>
      <sheetData sheetId="6069" refreshError="1"/>
      <sheetData sheetId="6070" refreshError="1"/>
      <sheetData sheetId="6071" refreshError="1"/>
      <sheetData sheetId="6072" refreshError="1"/>
      <sheetData sheetId="6073" refreshError="1"/>
      <sheetData sheetId="6074" refreshError="1"/>
      <sheetData sheetId="6075"/>
      <sheetData sheetId="6076" refreshError="1"/>
      <sheetData sheetId="6077" refreshError="1"/>
      <sheetData sheetId="6078" refreshError="1"/>
      <sheetData sheetId="6079" refreshError="1"/>
      <sheetData sheetId="6080" refreshError="1"/>
      <sheetData sheetId="6081" refreshError="1"/>
      <sheetData sheetId="6082" refreshError="1"/>
      <sheetData sheetId="6083" refreshError="1"/>
      <sheetData sheetId="6084" refreshError="1"/>
      <sheetData sheetId="6085" refreshError="1"/>
      <sheetData sheetId="6086" refreshError="1"/>
      <sheetData sheetId="6087" refreshError="1"/>
      <sheetData sheetId="6088" refreshError="1"/>
      <sheetData sheetId="6089" refreshError="1"/>
      <sheetData sheetId="6090" refreshError="1"/>
      <sheetData sheetId="6091" refreshError="1"/>
      <sheetData sheetId="6092" refreshError="1"/>
      <sheetData sheetId="6093" refreshError="1"/>
      <sheetData sheetId="6094" refreshError="1"/>
      <sheetData sheetId="6095" refreshError="1"/>
      <sheetData sheetId="6096" refreshError="1"/>
      <sheetData sheetId="6097" refreshError="1"/>
      <sheetData sheetId="6098" refreshError="1"/>
      <sheetData sheetId="6099" refreshError="1"/>
      <sheetData sheetId="6100" refreshError="1"/>
      <sheetData sheetId="6101" refreshError="1"/>
      <sheetData sheetId="6102" refreshError="1"/>
      <sheetData sheetId="6103" refreshError="1"/>
      <sheetData sheetId="6104" refreshError="1"/>
      <sheetData sheetId="6105" refreshError="1"/>
      <sheetData sheetId="6106" refreshError="1"/>
      <sheetData sheetId="6107" refreshError="1"/>
      <sheetData sheetId="6108" refreshError="1"/>
      <sheetData sheetId="6109" refreshError="1"/>
      <sheetData sheetId="6110" refreshError="1"/>
      <sheetData sheetId="6111" refreshError="1"/>
      <sheetData sheetId="6112" refreshError="1"/>
      <sheetData sheetId="6113" refreshError="1"/>
      <sheetData sheetId="6114" refreshError="1"/>
      <sheetData sheetId="6115" refreshError="1"/>
      <sheetData sheetId="6116" refreshError="1"/>
      <sheetData sheetId="6117" refreshError="1"/>
      <sheetData sheetId="6118" refreshError="1"/>
      <sheetData sheetId="6119" refreshError="1"/>
      <sheetData sheetId="6120"/>
      <sheetData sheetId="6121" refreshError="1"/>
      <sheetData sheetId="6122" refreshError="1"/>
      <sheetData sheetId="6123" refreshError="1"/>
      <sheetData sheetId="6124" refreshError="1"/>
      <sheetData sheetId="6125" refreshError="1"/>
      <sheetData sheetId="6126" refreshError="1"/>
      <sheetData sheetId="6127" refreshError="1"/>
      <sheetData sheetId="6128" refreshError="1"/>
      <sheetData sheetId="6129" refreshError="1"/>
      <sheetData sheetId="6130" refreshError="1"/>
      <sheetData sheetId="6131" refreshError="1"/>
      <sheetData sheetId="6132" refreshError="1"/>
      <sheetData sheetId="6133" refreshError="1"/>
      <sheetData sheetId="6134" refreshError="1"/>
      <sheetData sheetId="6135" refreshError="1"/>
      <sheetData sheetId="6136" refreshError="1"/>
      <sheetData sheetId="6137" refreshError="1"/>
      <sheetData sheetId="6138" refreshError="1"/>
      <sheetData sheetId="6139" refreshError="1"/>
      <sheetData sheetId="6140" refreshError="1"/>
      <sheetData sheetId="6141" refreshError="1"/>
      <sheetData sheetId="6142" refreshError="1"/>
      <sheetData sheetId="6143" refreshError="1"/>
      <sheetData sheetId="6144" refreshError="1"/>
      <sheetData sheetId="6145" refreshError="1"/>
      <sheetData sheetId="6146" refreshError="1"/>
      <sheetData sheetId="6147" refreshError="1"/>
      <sheetData sheetId="6148" refreshError="1"/>
      <sheetData sheetId="6149" refreshError="1"/>
      <sheetData sheetId="6150" refreshError="1"/>
      <sheetData sheetId="6151" refreshError="1"/>
      <sheetData sheetId="6152" refreshError="1"/>
      <sheetData sheetId="6153" refreshError="1"/>
      <sheetData sheetId="6154" refreshError="1"/>
      <sheetData sheetId="6155" refreshError="1"/>
      <sheetData sheetId="6156" refreshError="1"/>
      <sheetData sheetId="6157" refreshError="1"/>
      <sheetData sheetId="6158" refreshError="1"/>
      <sheetData sheetId="6159" refreshError="1"/>
      <sheetData sheetId="6160" refreshError="1"/>
      <sheetData sheetId="6161" refreshError="1"/>
      <sheetData sheetId="6162" refreshError="1"/>
      <sheetData sheetId="6163" refreshError="1"/>
      <sheetData sheetId="6164" refreshError="1"/>
      <sheetData sheetId="6165" refreshError="1"/>
      <sheetData sheetId="6166" refreshError="1"/>
      <sheetData sheetId="6167" refreshError="1"/>
      <sheetData sheetId="6168" refreshError="1"/>
      <sheetData sheetId="6169" refreshError="1"/>
      <sheetData sheetId="6170" refreshError="1"/>
      <sheetData sheetId="6171" refreshError="1"/>
      <sheetData sheetId="6172" refreshError="1"/>
      <sheetData sheetId="6173" refreshError="1"/>
      <sheetData sheetId="6174" refreshError="1"/>
      <sheetData sheetId="6175" refreshError="1"/>
      <sheetData sheetId="6176" refreshError="1"/>
      <sheetData sheetId="6177" refreshError="1"/>
      <sheetData sheetId="6178" refreshError="1"/>
      <sheetData sheetId="6179" refreshError="1"/>
      <sheetData sheetId="6180" refreshError="1"/>
      <sheetData sheetId="6181" refreshError="1"/>
      <sheetData sheetId="6182" refreshError="1"/>
      <sheetData sheetId="6183" refreshError="1"/>
      <sheetData sheetId="6184" refreshError="1"/>
      <sheetData sheetId="6185" refreshError="1"/>
      <sheetData sheetId="6186" refreshError="1"/>
      <sheetData sheetId="6187" refreshError="1"/>
      <sheetData sheetId="6188" refreshError="1"/>
      <sheetData sheetId="6189" refreshError="1"/>
      <sheetData sheetId="6190" refreshError="1"/>
      <sheetData sheetId="6191" refreshError="1"/>
      <sheetData sheetId="6192" refreshError="1"/>
      <sheetData sheetId="6193" refreshError="1"/>
      <sheetData sheetId="6194" refreshError="1"/>
      <sheetData sheetId="6195" refreshError="1"/>
      <sheetData sheetId="6196" refreshError="1"/>
      <sheetData sheetId="6197" refreshError="1"/>
      <sheetData sheetId="6198" refreshError="1"/>
      <sheetData sheetId="6199" refreshError="1"/>
      <sheetData sheetId="6200" refreshError="1"/>
      <sheetData sheetId="6201" refreshError="1"/>
      <sheetData sheetId="6202" refreshError="1"/>
      <sheetData sheetId="6203" refreshError="1"/>
      <sheetData sheetId="6204" refreshError="1"/>
      <sheetData sheetId="6205" refreshError="1"/>
      <sheetData sheetId="6206" refreshError="1"/>
      <sheetData sheetId="6207" refreshError="1"/>
      <sheetData sheetId="6208" refreshError="1"/>
      <sheetData sheetId="6209" refreshError="1"/>
      <sheetData sheetId="6210" refreshError="1"/>
      <sheetData sheetId="6211" refreshError="1"/>
      <sheetData sheetId="6212" refreshError="1"/>
      <sheetData sheetId="6213" refreshError="1"/>
      <sheetData sheetId="6214" refreshError="1"/>
      <sheetData sheetId="6215" refreshError="1"/>
      <sheetData sheetId="6216" refreshError="1"/>
      <sheetData sheetId="6217" refreshError="1"/>
      <sheetData sheetId="6218" refreshError="1"/>
      <sheetData sheetId="6219" refreshError="1"/>
      <sheetData sheetId="6220" refreshError="1"/>
      <sheetData sheetId="6221" refreshError="1"/>
      <sheetData sheetId="6222" refreshError="1"/>
      <sheetData sheetId="6223" refreshError="1"/>
      <sheetData sheetId="6224" refreshError="1"/>
      <sheetData sheetId="6225" refreshError="1"/>
      <sheetData sheetId="6226" refreshError="1"/>
      <sheetData sheetId="6227" refreshError="1"/>
      <sheetData sheetId="6228" refreshError="1"/>
      <sheetData sheetId="6229" refreshError="1"/>
      <sheetData sheetId="6230" refreshError="1"/>
      <sheetData sheetId="6231" refreshError="1"/>
      <sheetData sheetId="6232" refreshError="1"/>
      <sheetData sheetId="6233" refreshError="1"/>
      <sheetData sheetId="6234" refreshError="1"/>
      <sheetData sheetId="6235" refreshError="1"/>
      <sheetData sheetId="6236" refreshError="1"/>
      <sheetData sheetId="6237" refreshError="1"/>
      <sheetData sheetId="6238" refreshError="1"/>
      <sheetData sheetId="6239" refreshError="1"/>
      <sheetData sheetId="6240" refreshError="1"/>
      <sheetData sheetId="6241" refreshError="1"/>
      <sheetData sheetId="6242" refreshError="1"/>
      <sheetData sheetId="6243" refreshError="1"/>
      <sheetData sheetId="6244" refreshError="1"/>
      <sheetData sheetId="6245" refreshError="1"/>
      <sheetData sheetId="6246" refreshError="1"/>
      <sheetData sheetId="6247" refreshError="1"/>
      <sheetData sheetId="6248" refreshError="1"/>
      <sheetData sheetId="6249" refreshError="1"/>
      <sheetData sheetId="6250" refreshError="1"/>
      <sheetData sheetId="6251" refreshError="1"/>
      <sheetData sheetId="6252" refreshError="1"/>
      <sheetData sheetId="6253" refreshError="1"/>
      <sheetData sheetId="6254" refreshError="1"/>
      <sheetData sheetId="6255" refreshError="1"/>
      <sheetData sheetId="6256" refreshError="1"/>
      <sheetData sheetId="6257" refreshError="1"/>
      <sheetData sheetId="6258" refreshError="1"/>
      <sheetData sheetId="6259" refreshError="1"/>
      <sheetData sheetId="6260" refreshError="1"/>
      <sheetData sheetId="6261" refreshError="1"/>
      <sheetData sheetId="6262" refreshError="1"/>
      <sheetData sheetId="6263" refreshError="1"/>
      <sheetData sheetId="6264" refreshError="1"/>
      <sheetData sheetId="6265" refreshError="1"/>
      <sheetData sheetId="6266" refreshError="1"/>
      <sheetData sheetId="6267" refreshError="1"/>
      <sheetData sheetId="6268" refreshError="1"/>
      <sheetData sheetId="6269" refreshError="1"/>
      <sheetData sheetId="6270" refreshError="1"/>
      <sheetData sheetId="6271" refreshError="1"/>
      <sheetData sheetId="6272" refreshError="1"/>
      <sheetData sheetId="6273" refreshError="1"/>
      <sheetData sheetId="6274" refreshError="1"/>
      <sheetData sheetId="6275" refreshError="1"/>
      <sheetData sheetId="6276" refreshError="1"/>
      <sheetData sheetId="6277" refreshError="1"/>
      <sheetData sheetId="6278" refreshError="1"/>
      <sheetData sheetId="6279" refreshError="1"/>
      <sheetData sheetId="6280" refreshError="1"/>
      <sheetData sheetId="6281" refreshError="1"/>
      <sheetData sheetId="6282" refreshError="1"/>
      <sheetData sheetId="6283" refreshError="1"/>
      <sheetData sheetId="6284" refreshError="1"/>
      <sheetData sheetId="6285" refreshError="1"/>
      <sheetData sheetId="6286" refreshError="1"/>
      <sheetData sheetId="6287" refreshError="1"/>
      <sheetData sheetId="6288" refreshError="1"/>
      <sheetData sheetId="6289" refreshError="1"/>
      <sheetData sheetId="6290" refreshError="1"/>
      <sheetData sheetId="6291" refreshError="1"/>
      <sheetData sheetId="6292" refreshError="1"/>
      <sheetData sheetId="6293" refreshError="1"/>
      <sheetData sheetId="6294" refreshError="1"/>
      <sheetData sheetId="6295" refreshError="1"/>
      <sheetData sheetId="6296" refreshError="1"/>
      <sheetData sheetId="6297" refreshError="1"/>
      <sheetData sheetId="6298" refreshError="1"/>
      <sheetData sheetId="6299" refreshError="1"/>
      <sheetData sheetId="6300" refreshError="1"/>
      <sheetData sheetId="6301" refreshError="1"/>
      <sheetData sheetId="6302" refreshError="1"/>
      <sheetData sheetId="6303" refreshError="1"/>
      <sheetData sheetId="6304" refreshError="1"/>
      <sheetData sheetId="6305" refreshError="1"/>
      <sheetData sheetId="6306" refreshError="1"/>
      <sheetData sheetId="6307" refreshError="1"/>
      <sheetData sheetId="6308" refreshError="1"/>
      <sheetData sheetId="6309" refreshError="1"/>
      <sheetData sheetId="6310" refreshError="1"/>
      <sheetData sheetId="6311" refreshError="1"/>
      <sheetData sheetId="6312" refreshError="1"/>
      <sheetData sheetId="6313" refreshError="1"/>
      <sheetData sheetId="6314" refreshError="1"/>
      <sheetData sheetId="6315" refreshError="1"/>
      <sheetData sheetId="6316" refreshError="1"/>
      <sheetData sheetId="6317" refreshError="1"/>
      <sheetData sheetId="6318" refreshError="1"/>
      <sheetData sheetId="6319" refreshError="1"/>
      <sheetData sheetId="6320" refreshError="1"/>
      <sheetData sheetId="6321" refreshError="1"/>
      <sheetData sheetId="6322" refreshError="1"/>
      <sheetData sheetId="6323" refreshError="1"/>
      <sheetData sheetId="6324" refreshError="1"/>
      <sheetData sheetId="6325" refreshError="1"/>
      <sheetData sheetId="6326" refreshError="1"/>
      <sheetData sheetId="6327" refreshError="1"/>
      <sheetData sheetId="6328" refreshError="1"/>
      <sheetData sheetId="6329" refreshError="1"/>
      <sheetData sheetId="6330" refreshError="1"/>
      <sheetData sheetId="6331" refreshError="1"/>
      <sheetData sheetId="6332" refreshError="1"/>
      <sheetData sheetId="6333" refreshError="1"/>
      <sheetData sheetId="6334" refreshError="1"/>
      <sheetData sheetId="6335" refreshError="1"/>
      <sheetData sheetId="6336" refreshError="1"/>
      <sheetData sheetId="6337" refreshError="1"/>
      <sheetData sheetId="6338" refreshError="1"/>
      <sheetData sheetId="6339" refreshError="1"/>
      <sheetData sheetId="6340" refreshError="1"/>
      <sheetData sheetId="6341" refreshError="1"/>
      <sheetData sheetId="6342" refreshError="1"/>
      <sheetData sheetId="6343" refreshError="1"/>
      <sheetData sheetId="6344" refreshError="1"/>
      <sheetData sheetId="6345" refreshError="1"/>
      <sheetData sheetId="6346" refreshError="1"/>
      <sheetData sheetId="6347" refreshError="1"/>
      <sheetData sheetId="6348" refreshError="1"/>
      <sheetData sheetId="6349" refreshError="1"/>
      <sheetData sheetId="6350" refreshError="1"/>
      <sheetData sheetId="6351" refreshError="1"/>
      <sheetData sheetId="6352" refreshError="1"/>
      <sheetData sheetId="6353" refreshError="1"/>
      <sheetData sheetId="6354" refreshError="1"/>
      <sheetData sheetId="6355" refreshError="1"/>
      <sheetData sheetId="6356" refreshError="1"/>
      <sheetData sheetId="6357" refreshError="1"/>
      <sheetData sheetId="6358" refreshError="1"/>
      <sheetData sheetId="6359" refreshError="1"/>
      <sheetData sheetId="6360" refreshError="1"/>
      <sheetData sheetId="6361" refreshError="1"/>
      <sheetData sheetId="6362" refreshError="1"/>
      <sheetData sheetId="6363" refreshError="1"/>
      <sheetData sheetId="6364" refreshError="1"/>
      <sheetData sheetId="6365" refreshError="1"/>
      <sheetData sheetId="6366" refreshError="1"/>
      <sheetData sheetId="6367" refreshError="1"/>
      <sheetData sheetId="6368" refreshError="1"/>
      <sheetData sheetId="6369" refreshError="1"/>
      <sheetData sheetId="6370" refreshError="1"/>
      <sheetData sheetId="6371" refreshError="1"/>
      <sheetData sheetId="6372" refreshError="1"/>
      <sheetData sheetId="6373" refreshError="1"/>
      <sheetData sheetId="6374" refreshError="1"/>
      <sheetData sheetId="6375" refreshError="1"/>
      <sheetData sheetId="6376" refreshError="1"/>
      <sheetData sheetId="6377" refreshError="1"/>
      <sheetData sheetId="6378" refreshError="1"/>
      <sheetData sheetId="6379" refreshError="1"/>
      <sheetData sheetId="6380" refreshError="1"/>
      <sheetData sheetId="6381" refreshError="1"/>
      <sheetData sheetId="6382" refreshError="1"/>
      <sheetData sheetId="6383" refreshError="1"/>
      <sheetData sheetId="6384" refreshError="1"/>
      <sheetData sheetId="6385" refreshError="1"/>
      <sheetData sheetId="6386" refreshError="1"/>
      <sheetData sheetId="6387" refreshError="1"/>
      <sheetData sheetId="6388" refreshError="1"/>
      <sheetData sheetId="6389" refreshError="1"/>
      <sheetData sheetId="6390" refreshError="1"/>
      <sheetData sheetId="6391" refreshError="1"/>
      <sheetData sheetId="6392" refreshError="1"/>
      <sheetData sheetId="6393" refreshError="1"/>
      <sheetData sheetId="6394" refreshError="1"/>
      <sheetData sheetId="6395" refreshError="1"/>
      <sheetData sheetId="6396" refreshError="1"/>
      <sheetData sheetId="6397" refreshError="1"/>
      <sheetData sheetId="6398" refreshError="1"/>
      <sheetData sheetId="6399" refreshError="1"/>
      <sheetData sheetId="6400" refreshError="1"/>
      <sheetData sheetId="6401" refreshError="1"/>
      <sheetData sheetId="6402" refreshError="1"/>
      <sheetData sheetId="6403" refreshError="1"/>
      <sheetData sheetId="6404" refreshError="1"/>
      <sheetData sheetId="6405" refreshError="1"/>
      <sheetData sheetId="6406" refreshError="1"/>
      <sheetData sheetId="6407" refreshError="1"/>
      <sheetData sheetId="6408" refreshError="1"/>
      <sheetData sheetId="6409" refreshError="1"/>
      <sheetData sheetId="6410" refreshError="1"/>
      <sheetData sheetId="6411" refreshError="1"/>
      <sheetData sheetId="6412" refreshError="1"/>
      <sheetData sheetId="6413" refreshError="1"/>
      <sheetData sheetId="6414" refreshError="1"/>
      <sheetData sheetId="6415" refreshError="1"/>
      <sheetData sheetId="6416" refreshError="1"/>
      <sheetData sheetId="6417" refreshError="1"/>
      <sheetData sheetId="6418" refreshError="1"/>
      <sheetData sheetId="6419" refreshError="1"/>
      <sheetData sheetId="6420" refreshError="1"/>
      <sheetData sheetId="6421" refreshError="1"/>
      <sheetData sheetId="6422" refreshError="1"/>
      <sheetData sheetId="6423" refreshError="1"/>
      <sheetData sheetId="6424" refreshError="1"/>
      <sheetData sheetId="6425" refreshError="1"/>
      <sheetData sheetId="6426" refreshError="1"/>
      <sheetData sheetId="6427" refreshError="1"/>
      <sheetData sheetId="6428" refreshError="1"/>
      <sheetData sheetId="6429" refreshError="1"/>
      <sheetData sheetId="6430" refreshError="1"/>
      <sheetData sheetId="6431" refreshError="1"/>
      <sheetData sheetId="6432" refreshError="1"/>
      <sheetData sheetId="6433" refreshError="1"/>
      <sheetData sheetId="6434" refreshError="1"/>
      <sheetData sheetId="6435" refreshError="1"/>
      <sheetData sheetId="6436" refreshError="1"/>
      <sheetData sheetId="6437" refreshError="1"/>
      <sheetData sheetId="6438" refreshError="1"/>
      <sheetData sheetId="6439" refreshError="1"/>
      <sheetData sheetId="6440" refreshError="1"/>
      <sheetData sheetId="6441" refreshError="1"/>
      <sheetData sheetId="6442" refreshError="1"/>
      <sheetData sheetId="6443"/>
      <sheetData sheetId="6444"/>
      <sheetData sheetId="6445"/>
      <sheetData sheetId="6446"/>
      <sheetData sheetId="6447"/>
      <sheetData sheetId="6448"/>
      <sheetData sheetId="6449"/>
      <sheetData sheetId="6450"/>
      <sheetData sheetId="6451"/>
      <sheetData sheetId="6452"/>
      <sheetData sheetId="6453"/>
      <sheetData sheetId="6454"/>
      <sheetData sheetId="6455"/>
      <sheetData sheetId="6456"/>
      <sheetData sheetId="6457"/>
      <sheetData sheetId="6458"/>
      <sheetData sheetId="6459"/>
      <sheetData sheetId="6460" refreshError="1"/>
      <sheetData sheetId="6461" refreshError="1"/>
      <sheetData sheetId="6462" refreshError="1"/>
      <sheetData sheetId="6463" refreshError="1"/>
      <sheetData sheetId="6464" refreshError="1"/>
      <sheetData sheetId="6465" refreshError="1"/>
      <sheetData sheetId="6466" refreshError="1"/>
      <sheetData sheetId="6467" refreshError="1"/>
      <sheetData sheetId="6468" refreshError="1"/>
      <sheetData sheetId="6469" refreshError="1"/>
      <sheetData sheetId="6470" refreshError="1"/>
      <sheetData sheetId="6471" refreshError="1"/>
      <sheetData sheetId="6472"/>
      <sheetData sheetId="6473"/>
      <sheetData sheetId="6474"/>
      <sheetData sheetId="6475"/>
      <sheetData sheetId="6476"/>
      <sheetData sheetId="6477"/>
      <sheetData sheetId="6478"/>
      <sheetData sheetId="6479"/>
      <sheetData sheetId="6480"/>
      <sheetData sheetId="6481"/>
      <sheetData sheetId="6482"/>
      <sheetData sheetId="6483"/>
      <sheetData sheetId="6484"/>
      <sheetData sheetId="6485"/>
      <sheetData sheetId="6486"/>
      <sheetData sheetId="6487"/>
      <sheetData sheetId="6488"/>
      <sheetData sheetId="6489"/>
      <sheetData sheetId="6490"/>
      <sheetData sheetId="6491"/>
      <sheetData sheetId="6492"/>
      <sheetData sheetId="6493"/>
      <sheetData sheetId="6494"/>
      <sheetData sheetId="6495"/>
      <sheetData sheetId="6496"/>
      <sheetData sheetId="6497"/>
      <sheetData sheetId="6498"/>
      <sheetData sheetId="6499"/>
      <sheetData sheetId="6500"/>
      <sheetData sheetId="6501"/>
      <sheetData sheetId="6502"/>
      <sheetData sheetId="6503"/>
      <sheetData sheetId="6504"/>
      <sheetData sheetId="6505"/>
      <sheetData sheetId="6506"/>
      <sheetData sheetId="6507"/>
      <sheetData sheetId="6508"/>
      <sheetData sheetId="6509"/>
      <sheetData sheetId="6510"/>
      <sheetData sheetId="6511"/>
      <sheetData sheetId="6512"/>
      <sheetData sheetId="6513"/>
      <sheetData sheetId="6514"/>
      <sheetData sheetId="6515"/>
      <sheetData sheetId="6516"/>
      <sheetData sheetId="6517"/>
      <sheetData sheetId="6518" refreshError="1"/>
      <sheetData sheetId="6519" refreshError="1"/>
      <sheetData sheetId="6520" refreshError="1"/>
      <sheetData sheetId="6521" refreshError="1"/>
      <sheetData sheetId="6522" refreshError="1"/>
      <sheetData sheetId="6523" refreshError="1"/>
      <sheetData sheetId="6524" refreshError="1"/>
      <sheetData sheetId="6525" refreshError="1"/>
      <sheetData sheetId="6526" refreshError="1"/>
      <sheetData sheetId="6527" refreshError="1"/>
      <sheetData sheetId="6528"/>
      <sheetData sheetId="6529"/>
      <sheetData sheetId="6530"/>
      <sheetData sheetId="6531"/>
      <sheetData sheetId="6532"/>
      <sheetData sheetId="6533"/>
      <sheetData sheetId="6534"/>
      <sheetData sheetId="6535"/>
      <sheetData sheetId="6536"/>
      <sheetData sheetId="6537"/>
      <sheetData sheetId="6538"/>
      <sheetData sheetId="6539"/>
      <sheetData sheetId="6540"/>
      <sheetData sheetId="6541"/>
      <sheetData sheetId="6542"/>
      <sheetData sheetId="6543" refreshError="1"/>
      <sheetData sheetId="6544" refreshError="1"/>
      <sheetData sheetId="6545" refreshError="1"/>
      <sheetData sheetId="6546" refreshError="1"/>
      <sheetData sheetId="6547" refreshError="1"/>
      <sheetData sheetId="6548" refreshError="1"/>
      <sheetData sheetId="6549" refreshError="1"/>
      <sheetData sheetId="6550" refreshError="1"/>
      <sheetData sheetId="6551" refreshError="1"/>
      <sheetData sheetId="6552" refreshError="1"/>
      <sheetData sheetId="6553" refreshError="1"/>
      <sheetData sheetId="6554" refreshError="1"/>
      <sheetData sheetId="6555" refreshError="1"/>
      <sheetData sheetId="6556" refreshError="1"/>
      <sheetData sheetId="6557" refreshError="1"/>
      <sheetData sheetId="6558" refreshError="1"/>
      <sheetData sheetId="6559" refreshError="1"/>
      <sheetData sheetId="6560" refreshError="1"/>
      <sheetData sheetId="6561" refreshError="1"/>
      <sheetData sheetId="6562" refreshError="1"/>
      <sheetData sheetId="6563" refreshError="1"/>
      <sheetData sheetId="6564" refreshError="1"/>
      <sheetData sheetId="6565" refreshError="1"/>
      <sheetData sheetId="6566" refreshError="1"/>
      <sheetData sheetId="6567" refreshError="1"/>
      <sheetData sheetId="6568" refreshError="1"/>
      <sheetData sheetId="6569" refreshError="1"/>
      <sheetData sheetId="6570" refreshError="1"/>
      <sheetData sheetId="6571" refreshError="1"/>
      <sheetData sheetId="6572" refreshError="1"/>
      <sheetData sheetId="6573" refreshError="1"/>
      <sheetData sheetId="6574" refreshError="1"/>
      <sheetData sheetId="6575" refreshError="1"/>
      <sheetData sheetId="6576" refreshError="1"/>
      <sheetData sheetId="6577" refreshError="1"/>
      <sheetData sheetId="6578" refreshError="1"/>
      <sheetData sheetId="6579" refreshError="1"/>
      <sheetData sheetId="6580" refreshError="1"/>
      <sheetData sheetId="6581" refreshError="1"/>
      <sheetData sheetId="6582" refreshError="1"/>
      <sheetData sheetId="6583" refreshError="1"/>
      <sheetData sheetId="6584" refreshError="1"/>
      <sheetData sheetId="6585" refreshError="1"/>
      <sheetData sheetId="6586" refreshError="1"/>
      <sheetData sheetId="6587" refreshError="1"/>
      <sheetData sheetId="6588" refreshError="1"/>
      <sheetData sheetId="6589"/>
      <sheetData sheetId="6590"/>
      <sheetData sheetId="6591"/>
      <sheetData sheetId="6592"/>
      <sheetData sheetId="6593"/>
      <sheetData sheetId="6594"/>
      <sheetData sheetId="6595"/>
      <sheetData sheetId="6596"/>
      <sheetData sheetId="6597"/>
      <sheetData sheetId="6598" refreshError="1"/>
      <sheetData sheetId="6599" refreshError="1"/>
      <sheetData sheetId="6600" refreshError="1"/>
      <sheetData sheetId="6601" refreshError="1"/>
      <sheetData sheetId="6602" refreshError="1"/>
      <sheetData sheetId="6603" refreshError="1"/>
      <sheetData sheetId="6604" refreshError="1"/>
      <sheetData sheetId="6605" refreshError="1"/>
      <sheetData sheetId="6606" refreshError="1"/>
      <sheetData sheetId="6607" refreshError="1"/>
      <sheetData sheetId="6608" refreshError="1"/>
      <sheetData sheetId="6609" refreshError="1"/>
      <sheetData sheetId="6610" refreshError="1"/>
      <sheetData sheetId="6611" refreshError="1"/>
      <sheetData sheetId="6612" refreshError="1"/>
      <sheetData sheetId="6613" refreshError="1"/>
      <sheetData sheetId="6614" refreshError="1"/>
      <sheetData sheetId="6615" refreshError="1"/>
      <sheetData sheetId="6616" refreshError="1"/>
      <sheetData sheetId="6617" refreshError="1"/>
      <sheetData sheetId="6618"/>
      <sheetData sheetId="6619"/>
      <sheetData sheetId="6620"/>
      <sheetData sheetId="6621"/>
      <sheetData sheetId="6622"/>
      <sheetData sheetId="6623"/>
      <sheetData sheetId="6624"/>
      <sheetData sheetId="6625"/>
      <sheetData sheetId="6626"/>
      <sheetData sheetId="6627"/>
      <sheetData sheetId="6628"/>
      <sheetData sheetId="6629"/>
      <sheetData sheetId="6630"/>
      <sheetData sheetId="6631"/>
      <sheetData sheetId="6632"/>
      <sheetData sheetId="6633"/>
      <sheetData sheetId="6634"/>
      <sheetData sheetId="6635"/>
      <sheetData sheetId="6636"/>
      <sheetData sheetId="6637"/>
      <sheetData sheetId="6638"/>
      <sheetData sheetId="6639"/>
      <sheetData sheetId="6640"/>
      <sheetData sheetId="6641"/>
      <sheetData sheetId="6642"/>
      <sheetData sheetId="6643"/>
      <sheetData sheetId="6644"/>
      <sheetData sheetId="6645"/>
      <sheetData sheetId="6646"/>
      <sheetData sheetId="6647"/>
      <sheetData sheetId="6648"/>
      <sheetData sheetId="6649"/>
      <sheetData sheetId="6650"/>
      <sheetData sheetId="6651"/>
      <sheetData sheetId="6652"/>
      <sheetData sheetId="6653"/>
      <sheetData sheetId="6654"/>
      <sheetData sheetId="6655"/>
      <sheetData sheetId="6656"/>
      <sheetData sheetId="6657"/>
      <sheetData sheetId="6658"/>
      <sheetData sheetId="6659"/>
      <sheetData sheetId="6660"/>
      <sheetData sheetId="6661"/>
      <sheetData sheetId="6662"/>
      <sheetData sheetId="6663"/>
      <sheetData sheetId="6664"/>
      <sheetData sheetId="6665"/>
      <sheetData sheetId="6666"/>
      <sheetData sheetId="6667"/>
      <sheetData sheetId="6668"/>
      <sheetData sheetId="6669"/>
      <sheetData sheetId="6670"/>
      <sheetData sheetId="6671"/>
      <sheetData sheetId="6672"/>
      <sheetData sheetId="6673"/>
      <sheetData sheetId="6674"/>
      <sheetData sheetId="6675"/>
      <sheetData sheetId="6676"/>
      <sheetData sheetId="6677"/>
      <sheetData sheetId="6678"/>
      <sheetData sheetId="6679"/>
      <sheetData sheetId="6680"/>
      <sheetData sheetId="6681"/>
      <sheetData sheetId="6682"/>
      <sheetData sheetId="6683"/>
      <sheetData sheetId="6684"/>
      <sheetData sheetId="6685"/>
      <sheetData sheetId="6686"/>
      <sheetData sheetId="6687"/>
      <sheetData sheetId="6688"/>
      <sheetData sheetId="6689"/>
      <sheetData sheetId="6690"/>
      <sheetData sheetId="6691"/>
      <sheetData sheetId="6692"/>
      <sheetData sheetId="6693"/>
      <sheetData sheetId="6694"/>
      <sheetData sheetId="6695"/>
      <sheetData sheetId="6696"/>
      <sheetData sheetId="6697"/>
      <sheetData sheetId="6698"/>
      <sheetData sheetId="6699"/>
      <sheetData sheetId="6700"/>
      <sheetData sheetId="6701"/>
      <sheetData sheetId="6702"/>
      <sheetData sheetId="6703"/>
      <sheetData sheetId="6704"/>
      <sheetData sheetId="6705"/>
      <sheetData sheetId="6706"/>
      <sheetData sheetId="6707"/>
      <sheetData sheetId="6708"/>
      <sheetData sheetId="6709"/>
      <sheetData sheetId="6710"/>
      <sheetData sheetId="6711"/>
      <sheetData sheetId="6712"/>
      <sheetData sheetId="6713"/>
      <sheetData sheetId="6714"/>
      <sheetData sheetId="6715"/>
      <sheetData sheetId="6716"/>
      <sheetData sheetId="6717"/>
      <sheetData sheetId="6718"/>
      <sheetData sheetId="6719"/>
      <sheetData sheetId="6720"/>
      <sheetData sheetId="6721"/>
      <sheetData sheetId="6722"/>
      <sheetData sheetId="6723"/>
      <sheetData sheetId="6724"/>
      <sheetData sheetId="6725"/>
      <sheetData sheetId="6726"/>
      <sheetData sheetId="6727"/>
      <sheetData sheetId="6728"/>
      <sheetData sheetId="6729"/>
      <sheetData sheetId="6730"/>
      <sheetData sheetId="6731"/>
      <sheetData sheetId="6732"/>
      <sheetData sheetId="6733"/>
      <sheetData sheetId="6734"/>
      <sheetData sheetId="6735"/>
      <sheetData sheetId="6736"/>
      <sheetData sheetId="6737"/>
      <sheetData sheetId="6738"/>
      <sheetData sheetId="6739"/>
      <sheetData sheetId="6740"/>
      <sheetData sheetId="6741"/>
      <sheetData sheetId="6742"/>
      <sheetData sheetId="6743"/>
      <sheetData sheetId="6744"/>
      <sheetData sheetId="6745"/>
      <sheetData sheetId="6746"/>
      <sheetData sheetId="6747"/>
      <sheetData sheetId="6748"/>
      <sheetData sheetId="6749"/>
      <sheetData sheetId="6750"/>
      <sheetData sheetId="6751"/>
      <sheetData sheetId="6752"/>
      <sheetData sheetId="6753"/>
      <sheetData sheetId="6754"/>
      <sheetData sheetId="6755"/>
      <sheetData sheetId="6756"/>
      <sheetData sheetId="6757"/>
      <sheetData sheetId="6758"/>
      <sheetData sheetId="6759"/>
      <sheetData sheetId="6760"/>
      <sheetData sheetId="6761"/>
      <sheetData sheetId="6762"/>
      <sheetData sheetId="6763"/>
      <sheetData sheetId="6764"/>
      <sheetData sheetId="6765"/>
      <sheetData sheetId="6766"/>
      <sheetData sheetId="6767"/>
      <sheetData sheetId="6768"/>
      <sheetData sheetId="6769"/>
      <sheetData sheetId="6770"/>
      <sheetData sheetId="6771"/>
      <sheetData sheetId="6772"/>
      <sheetData sheetId="6773"/>
      <sheetData sheetId="6774"/>
      <sheetData sheetId="6775"/>
      <sheetData sheetId="6776"/>
      <sheetData sheetId="6777"/>
      <sheetData sheetId="6778"/>
      <sheetData sheetId="6779"/>
      <sheetData sheetId="6780"/>
      <sheetData sheetId="6781"/>
      <sheetData sheetId="6782"/>
      <sheetData sheetId="6783"/>
      <sheetData sheetId="6784"/>
      <sheetData sheetId="6785"/>
      <sheetData sheetId="6786"/>
      <sheetData sheetId="6787"/>
      <sheetData sheetId="6788"/>
      <sheetData sheetId="6789"/>
      <sheetData sheetId="6790"/>
      <sheetData sheetId="6791"/>
      <sheetData sheetId="6792"/>
      <sheetData sheetId="6793"/>
      <sheetData sheetId="6794"/>
      <sheetData sheetId="6795"/>
      <sheetData sheetId="6796"/>
      <sheetData sheetId="6797"/>
      <sheetData sheetId="6798"/>
      <sheetData sheetId="6799"/>
      <sheetData sheetId="6800"/>
      <sheetData sheetId="6801"/>
      <sheetData sheetId="6802"/>
      <sheetData sheetId="6803"/>
      <sheetData sheetId="6804"/>
      <sheetData sheetId="6805"/>
      <sheetData sheetId="6806"/>
      <sheetData sheetId="6807"/>
      <sheetData sheetId="6808"/>
      <sheetData sheetId="6809"/>
      <sheetData sheetId="6810"/>
      <sheetData sheetId="6811"/>
      <sheetData sheetId="6812"/>
      <sheetData sheetId="6813"/>
      <sheetData sheetId="6814"/>
      <sheetData sheetId="6815"/>
      <sheetData sheetId="6816"/>
      <sheetData sheetId="6817"/>
      <sheetData sheetId="6818"/>
      <sheetData sheetId="6819"/>
      <sheetData sheetId="6820"/>
      <sheetData sheetId="6821"/>
      <sheetData sheetId="6822"/>
      <sheetData sheetId="6823"/>
      <sheetData sheetId="6824"/>
      <sheetData sheetId="6825"/>
      <sheetData sheetId="6826"/>
      <sheetData sheetId="6827"/>
      <sheetData sheetId="6828"/>
      <sheetData sheetId="6829"/>
      <sheetData sheetId="6830"/>
      <sheetData sheetId="6831"/>
      <sheetData sheetId="6832"/>
      <sheetData sheetId="6833"/>
      <sheetData sheetId="6834"/>
      <sheetData sheetId="6835"/>
      <sheetData sheetId="6836"/>
      <sheetData sheetId="6837"/>
      <sheetData sheetId="6838"/>
      <sheetData sheetId="6839"/>
      <sheetData sheetId="6840"/>
      <sheetData sheetId="6841"/>
      <sheetData sheetId="6842"/>
      <sheetData sheetId="6843"/>
      <sheetData sheetId="6844"/>
      <sheetData sheetId="6845"/>
      <sheetData sheetId="6846"/>
      <sheetData sheetId="6847"/>
      <sheetData sheetId="6848"/>
      <sheetData sheetId="6849"/>
      <sheetData sheetId="6850"/>
      <sheetData sheetId="6851"/>
      <sheetData sheetId="6852"/>
      <sheetData sheetId="6853"/>
      <sheetData sheetId="6854"/>
      <sheetData sheetId="6855"/>
      <sheetData sheetId="6856"/>
      <sheetData sheetId="6857"/>
      <sheetData sheetId="6858"/>
      <sheetData sheetId="6859"/>
      <sheetData sheetId="6860"/>
      <sheetData sheetId="6861"/>
      <sheetData sheetId="6862"/>
      <sheetData sheetId="6863"/>
      <sheetData sheetId="6864"/>
      <sheetData sheetId="6865"/>
      <sheetData sheetId="6866"/>
      <sheetData sheetId="6867"/>
      <sheetData sheetId="6868"/>
      <sheetData sheetId="6869"/>
      <sheetData sheetId="6870"/>
      <sheetData sheetId="6871"/>
      <sheetData sheetId="6872"/>
      <sheetData sheetId="6873"/>
      <sheetData sheetId="6874"/>
      <sheetData sheetId="6875"/>
      <sheetData sheetId="6876"/>
      <sheetData sheetId="6877"/>
      <sheetData sheetId="6878"/>
      <sheetData sheetId="6879"/>
      <sheetData sheetId="6880"/>
      <sheetData sheetId="6881"/>
      <sheetData sheetId="6882"/>
      <sheetData sheetId="6883"/>
      <sheetData sheetId="6884"/>
      <sheetData sheetId="6885"/>
      <sheetData sheetId="6886"/>
      <sheetData sheetId="6887"/>
      <sheetData sheetId="6888"/>
      <sheetData sheetId="6889"/>
      <sheetData sheetId="6890"/>
      <sheetData sheetId="6891"/>
      <sheetData sheetId="6892"/>
      <sheetData sheetId="6893"/>
      <sheetData sheetId="6894"/>
      <sheetData sheetId="6895"/>
      <sheetData sheetId="6896"/>
      <sheetData sheetId="6897"/>
      <sheetData sheetId="6898"/>
      <sheetData sheetId="6899"/>
      <sheetData sheetId="6900"/>
      <sheetData sheetId="6901"/>
      <sheetData sheetId="6902"/>
      <sheetData sheetId="6903"/>
      <sheetData sheetId="6904"/>
      <sheetData sheetId="6905"/>
      <sheetData sheetId="6906"/>
      <sheetData sheetId="6907"/>
      <sheetData sheetId="6908"/>
      <sheetData sheetId="6909"/>
      <sheetData sheetId="6910"/>
      <sheetData sheetId="6911" refreshError="1"/>
      <sheetData sheetId="6912"/>
      <sheetData sheetId="6913"/>
      <sheetData sheetId="6914"/>
      <sheetData sheetId="6915"/>
      <sheetData sheetId="6916"/>
      <sheetData sheetId="6917"/>
      <sheetData sheetId="6918"/>
      <sheetData sheetId="6919"/>
      <sheetData sheetId="6920"/>
      <sheetData sheetId="6921"/>
      <sheetData sheetId="6922"/>
      <sheetData sheetId="6923"/>
      <sheetData sheetId="6924"/>
      <sheetData sheetId="6925"/>
      <sheetData sheetId="6926"/>
      <sheetData sheetId="6927"/>
      <sheetData sheetId="6928"/>
      <sheetData sheetId="6929"/>
      <sheetData sheetId="6930"/>
      <sheetData sheetId="6931"/>
      <sheetData sheetId="6932"/>
      <sheetData sheetId="6933"/>
      <sheetData sheetId="6934" refreshError="1"/>
      <sheetData sheetId="6935" refreshError="1"/>
      <sheetData sheetId="6936" refreshError="1"/>
      <sheetData sheetId="6937" refreshError="1"/>
      <sheetData sheetId="6938" refreshError="1"/>
      <sheetData sheetId="6939" refreshError="1"/>
      <sheetData sheetId="6940" refreshError="1"/>
      <sheetData sheetId="6941" refreshError="1"/>
      <sheetData sheetId="6942" refreshError="1"/>
      <sheetData sheetId="6943" refreshError="1"/>
      <sheetData sheetId="6944" refreshError="1"/>
      <sheetData sheetId="6945" refreshError="1"/>
      <sheetData sheetId="6946" refreshError="1"/>
      <sheetData sheetId="6947" refreshError="1"/>
      <sheetData sheetId="6948"/>
      <sheetData sheetId="6949"/>
      <sheetData sheetId="6950"/>
      <sheetData sheetId="6951"/>
      <sheetData sheetId="6952"/>
      <sheetData sheetId="6953"/>
      <sheetData sheetId="6954"/>
      <sheetData sheetId="6955"/>
      <sheetData sheetId="6956"/>
      <sheetData sheetId="6957" refreshError="1"/>
      <sheetData sheetId="6958" refreshError="1"/>
      <sheetData sheetId="6959"/>
      <sheetData sheetId="6960"/>
      <sheetData sheetId="6961"/>
      <sheetData sheetId="6962"/>
      <sheetData sheetId="6963"/>
      <sheetData sheetId="6964"/>
      <sheetData sheetId="6965"/>
      <sheetData sheetId="6966"/>
      <sheetData sheetId="6967"/>
      <sheetData sheetId="6968"/>
      <sheetData sheetId="6969"/>
      <sheetData sheetId="6970"/>
      <sheetData sheetId="6971"/>
      <sheetData sheetId="6972" refreshError="1"/>
      <sheetData sheetId="6973"/>
      <sheetData sheetId="6974"/>
      <sheetData sheetId="6975"/>
      <sheetData sheetId="6976"/>
      <sheetData sheetId="6977"/>
      <sheetData sheetId="6978"/>
      <sheetData sheetId="6979"/>
      <sheetData sheetId="6980"/>
      <sheetData sheetId="6981"/>
      <sheetData sheetId="6982"/>
      <sheetData sheetId="6983"/>
      <sheetData sheetId="6984"/>
      <sheetData sheetId="6985"/>
      <sheetData sheetId="6986"/>
      <sheetData sheetId="6987"/>
      <sheetData sheetId="6988"/>
      <sheetData sheetId="6989"/>
      <sheetData sheetId="6990"/>
      <sheetData sheetId="6991"/>
      <sheetData sheetId="6992"/>
      <sheetData sheetId="6993"/>
      <sheetData sheetId="6994"/>
      <sheetData sheetId="6995"/>
      <sheetData sheetId="6996"/>
      <sheetData sheetId="6997"/>
      <sheetData sheetId="6998"/>
      <sheetData sheetId="6999"/>
      <sheetData sheetId="7000"/>
      <sheetData sheetId="7001" refreshError="1"/>
      <sheetData sheetId="7002" refreshError="1"/>
      <sheetData sheetId="7003" refreshError="1"/>
      <sheetData sheetId="7004" refreshError="1"/>
      <sheetData sheetId="7005" refreshError="1"/>
      <sheetData sheetId="7006" refreshError="1"/>
      <sheetData sheetId="7007" refreshError="1"/>
      <sheetData sheetId="7008" refreshError="1"/>
      <sheetData sheetId="7009" refreshError="1"/>
      <sheetData sheetId="7010" refreshError="1"/>
      <sheetData sheetId="7011" refreshError="1"/>
      <sheetData sheetId="7012" refreshError="1"/>
      <sheetData sheetId="7013" refreshError="1"/>
      <sheetData sheetId="7014" refreshError="1"/>
      <sheetData sheetId="7015" refreshError="1"/>
      <sheetData sheetId="7016" refreshError="1"/>
      <sheetData sheetId="7017" refreshError="1"/>
      <sheetData sheetId="7018" refreshError="1"/>
      <sheetData sheetId="7019" refreshError="1"/>
      <sheetData sheetId="7020" refreshError="1"/>
      <sheetData sheetId="7021" refreshError="1"/>
      <sheetData sheetId="7022" refreshError="1"/>
      <sheetData sheetId="7023" refreshError="1"/>
      <sheetData sheetId="7024" refreshError="1"/>
      <sheetData sheetId="7025" refreshError="1"/>
      <sheetData sheetId="7026" refreshError="1"/>
      <sheetData sheetId="7027" refreshError="1"/>
      <sheetData sheetId="7028" refreshError="1"/>
      <sheetData sheetId="7029" refreshError="1"/>
      <sheetData sheetId="7030" refreshError="1"/>
      <sheetData sheetId="7031"/>
      <sheetData sheetId="7032"/>
      <sheetData sheetId="7033"/>
      <sheetData sheetId="7034"/>
      <sheetData sheetId="7035"/>
      <sheetData sheetId="7036"/>
      <sheetData sheetId="7037"/>
      <sheetData sheetId="7038" refreshError="1"/>
      <sheetData sheetId="7039" refreshError="1"/>
      <sheetData sheetId="7040" refreshError="1"/>
      <sheetData sheetId="7041" refreshError="1"/>
      <sheetData sheetId="7042"/>
      <sheetData sheetId="7043" refreshError="1"/>
      <sheetData sheetId="7044" refreshError="1"/>
      <sheetData sheetId="7045" refreshError="1"/>
      <sheetData sheetId="7046" refreshError="1"/>
      <sheetData sheetId="7047" refreshError="1"/>
      <sheetData sheetId="7048" refreshError="1"/>
      <sheetData sheetId="7049" refreshError="1"/>
      <sheetData sheetId="7050" refreshError="1"/>
      <sheetData sheetId="7051" refreshError="1"/>
      <sheetData sheetId="7052"/>
      <sheetData sheetId="7053"/>
      <sheetData sheetId="7054"/>
      <sheetData sheetId="7055"/>
      <sheetData sheetId="7056"/>
      <sheetData sheetId="7057"/>
      <sheetData sheetId="7058" refreshError="1"/>
      <sheetData sheetId="7059" refreshError="1"/>
      <sheetData sheetId="7060" refreshError="1"/>
      <sheetData sheetId="7061" refreshError="1"/>
      <sheetData sheetId="7062" refreshError="1"/>
      <sheetData sheetId="7063" refreshError="1"/>
      <sheetData sheetId="7064" refreshError="1"/>
      <sheetData sheetId="7065" refreshError="1"/>
      <sheetData sheetId="7066" refreshError="1"/>
      <sheetData sheetId="7067" refreshError="1"/>
      <sheetData sheetId="7068" refreshError="1"/>
      <sheetData sheetId="7069" refreshError="1"/>
      <sheetData sheetId="7070" refreshError="1"/>
      <sheetData sheetId="7071" refreshError="1"/>
      <sheetData sheetId="7072" refreshError="1"/>
      <sheetData sheetId="7073" refreshError="1"/>
      <sheetData sheetId="7074" refreshError="1"/>
      <sheetData sheetId="7075" refreshError="1"/>
      <sheetData sheetId="7076" refreshError="1"/>
      <sheetData sheetId="7077" refreshError="1"/>
      <sheetData sheetId="7078" refreshError="1"/>
      <sheetData sheetId="7079" refreshError="1"/>
      <sheetData sheetId="7080" refreshError="1"/>
      <sheetData sheetId="7081" refreshError="1"/>
      <sheetData sheetId="7082" refreshError="1"/>
      <sheetData sheetId="7083" refreshError="1"/>
      <sheetData sheetId="7084" refreshError="1"/>
      <sheetData sheetId="7085" refreshError="1"/>
      <sheetData sheetId="7086" refreshError="1"/>
      <sheetData sheetId="7087" refreshError="1"/>
      <sheetData sheetId="7088" refreshError="1"/>
      <sheetData sheetId="7089" refreshError="1"/>
      <sheetData sheetId="7090" refreshError="1"/>
      <sheetData sheetId="7091" refreshError="1"/>
      <sheetData sheetId="7092" refreshError="1"/>
      <sheetData sheetId="7093" refreshError="1"/>
      <sheetData sheetId="7094" refreshError="1"/>
      <sheetData sheetId="7095" refreshError="1"/>
      <sheetData sheetId="7096" refreshError="1"/>
      <sheetData sheetId="7097" refreshError="1"/>
      <sheetData sheetId="7098" refreshError="1"/>
      <sheetData sheetId="7099" refreshError="1"/>
      <sheetData sheetId="7100" refreshError="1"/>
      <sheetData sheetId="7101" refreshError="1"/>
      <sheetData sheetId="7102" refreshError="1"/>
      <sheetData sheetId="7103" refreshError="1"/>
      <sheetData sheetId="7104" refreshError="1"/>
      <sheetData sheetId="7105" refreshError="1"/>
      <sheetData sheetId="7106" refreshError="1"/>
      <sheetData sheetId="7107" refreshError="1"/>
      <sheetData sheetId="7108" refreshError="1"/>
      <sheetData sheetId="7109" refreshError="1"/>
      <sheetData sheetId="7110" refreshError="1"/>
      <sheetData sheetId="7111" refreshError="1"/>
      <sheetData sheetId="7112" refreshError="1"/>
      <sheetData sheetId="7113" refreshError="1"/>
      <sheetData sheetId="7114" refreshError="1"/>
      <sheetData sheetId="7115" refreshError="1"/>
      <sheetData sheetId="7116" refreshError="1"/>
      <sheetData sheetId="7117" refreshError="1"/>
      <sheetData sheetId="7118" refreshError="1"/>
      <sheetData sheetId="7119" refreshError="1"/>
      <sheetData sheetId="7120" refreshError="1"/>
      <sheetData sheetId="7121" refreshError="1"/>
      <sheetData sheetId="7122" refreshError="1"/>
      <sheetData sheetId="7123" refreshError="1"/>
      <sheetData sheetId="7124" refreshError="1"/>
      <sheetData sheetId="7125" refreshError="1"/>
      <sheetData sheetId="7126" refreshError="1"/>
      <sheetData sheetId="7127" refreshError="1"/>
      <sheetData sheetId="7128" refreshError="1"/>
      <sheetData sheetId="7129" refreshError="1"/>
      <sheetData sheetId="7130" refreshError="1"/>
      <sheetData sheetId="7131" refreshError="1"/>
      <sheetData sheetId="7132" refreshError="1"/>
      <sheetData sheetId="7133" refreshError="1"/>
      <sheetData sheetId="7134" refreshError="1"/>
      <sheetData sheetId="7135"/>
      <sheetData sheetId="7136"/>
      <sheetData sheetId="7137"/>
      <sheetData sheetId="7138"/>
      <sheetData sheetId="7139"/>
      <sheetData sheetId="7140"/>
      <sheetData sheetId="7141"/>
      <sheetData sheetId="7142"/>
      <sheetData sheetId="7143"/>
      <sheetData sheetId="7144"/>
      <sheetData sheetId="7145"/>
      <sheetData sheetId="7146"/>
      <sheetData sheetId="7147"/>
      <sheetData sheetId="7148"/>
      <sheetData sheetId="7149"/>
      <sheetData sheetId="7150"/>
      <sheetData sheetId="7151"/>
      <sheetData sheetId="7152"/>
      <sheetData sheetId="7153"/>
      <sheetData sheetId="7154"/>
      <sheetData sheetId="7155"/>
      <sheetData sheetId="7156"/>
      <sheetData sheetId="7157"/>
      <sheetData sheetId="7158"/>
      <sheetData sheetId="7159"/>
      <sheetData sheetId="7160"/>
      <sheetData sheetId="7161"/>
      <sheetData sheetId="7162"/>
      <sheetData sheetId="7163"/>
      <sheetData sheetId="7164"/>
      <sheetData sheetId="7165"/>
      <sheetData sheetId="7166"/>
      <sheetData sheetId="7167"/>
      <sheetData sheetId="7168"/>
      <sheetData sheetId="7169"/>
      <sheetData sheetId="7170"/>
      <sheetData sheetId="7171"/>
      <sheetData sheetId="7172"/>
      <sheetData sheetId="7173"/>
      <sheetData sheetId="7174"/>
      <sheetData sheetId="7175"/>
      <sheetData sheetId="7176"/>
      <sheetData sheetId="7177"/>
      <sheetData sheetId="7178"/>
      <sheetData sheetId="7179"/>
      <sheetData sheetId="7180"/>
      <sheetData sheetId="7181"/>
      <sheetData sheetId="7182"/>
      <sheetData sheetId="7183"/>
      <sheetData sheetId="7184"/>
      <sheetData sheetId="7185"/>
      <sheetData sheetId="7186"/>
      <sheetData sheetId="7187"/>
      <sheetData sheetId="7188"/>
      <sheetData sheetId="7189"/>
      <sheetData sheetId="7190"/>
      <sheetData sheetId="7191"/>
      <sheetData sheetId="7192"/>
      <sheetData sheetId="7193"/>
      <sheetData sheetId="7194"/>
      <sheetData sheetId="7195"/>
      <sheetData sheetId="7196"/>
      <sheetData sheetId="7197"/>
      <sheetData sheetId="7198"/>
      <sheetData sheetId="7199"/>
      <sheetData sheetId="7200"/>
      <sheetData sheetId="7201"/>
      <sheetData sheetId="7202"/>
      <sheetData sheetId="7203"/>
      <sheetData sheetId="7204"/>
      <sheetData sheetId="7205"/>
      <sheetData sheetId="7206"/>
      <sheetData sheetId="7207"/>
      <sheetData sheetId="7208"/>
      <sheetData sheetId="7209"/>
      <sheetData sheetId="7210"/>
      <sheetData sheetId="7211"/>
      <sheetData sheetId="7212"/>
      <sheetData sheetId="7213"/>
      <sheetData sheetId="7214"/>
      <sheetData sheetId="7215"/>
      <sheetData sheetId="7216"/>
      <sheetData sheetId="7217"/>
      <sheetData sheetId="7218"/>
      <sheetData sheetId="7219"/>
      <sheetData sheetId="7220"/>
      <sheetData sheetId="7221"/>
      <sheetData sheetId="7222"/>
      <sheetData sheetId="7223"/>
      <sheetData sheetId="7224"/>
      <sheetData sheetId="7225"/>
      <sheetData sheetId="7226"/>
      <sheetData sheetId="7227"/>
      <sheetData sheetId="7228"/>
      <sheetData sheetId="7229"/>
      <sheetData sheetId="7230"/>
      <sheetData sheetId="7231"/>
      <sheetData sheetId="7232"/>
      <sheetData sheetId="7233"/>
      <sheetData sheetId="7234"/>
      <sheetData sheetId="7235"/>
      <sheetData sheetId="7236"/>
      <sheetData sheetId="7237"/>
      <sheetData sheetId="7238"/>
      <sheetData sheetId="7239"/>
      <sheetData sheetId="7240"/>
      <sheetData sheetId="7241"/>
      <sheetData sheetId="7242"/>
      <sheetData sheetId="7243"/>
      <sheetData sheetId="7244"/>
      <sheetData sheetId="7245"/>
      <sheetData sheetId="7246"/>
      <sheetData sheetId="7247"/>
      <sheetData sheetId="7248"/>
      <sheetData sheetId="7249"/>
      <sheetData sheetId="7250"/>
      <sheetData sheetId="7251"/>
      <sheetData sheetId="7252"/>
      <sheetData sheetId="7253"/>
      <sheetData sheetId="7254"/>
      <sheetData sheetId="7255"/>
      <sheetData sheetId="7256" refreshError="1"/>
      <sheetData sheetId="7257" refreshError="1"/>
      <sheetData sheetId="7258" refreshError="1"/>
      <sheetData sheetId="7259" refreshError="1"/>
      <sheetData sheetId="7260" refreshError="1"/>
      <sheetData sheetId="7261" refreshError="1"/>
      <sheetData sheetId="7262" refreshError="1"/>
      <sheetData sheetId="7263"/>
      <sheetData sheetId="7264"/>
      <sheetData sheetId="7265"/>
      <sheetData sheetId="7266"/>
      <sheetData sheetId="7267"/>
      <sheetData sheetId="7268"/>
      <sheetData sheetId="7269"/>
      <sheetData sheetId="7270"/>
      <sheetData sheetId="7271"/>
      <sheetData sheetId="7272"/>
      <sheetData sheetId="7273"/>
      <sheetData sheetId="7274"/>
      <sheetData sheetId="7275"/>
      <sheetData sheetId="7276"/>
      <sheetData sheetId="7277"/>
      <sheetData sheetId="7278"/>
      <sheetData sheetId="7279"/>
      <sheetData sheetId="7280"/>
      <sheetData sheetId="7281"/>
      <sheetData sheetId="7282"/>
      <sheetData sheetId="7283"/>
      <sheetData sheetId="7284"/>
      <sheetData sheetId="7285"/>
      <sheetData sheetId="7286"/>
      <sheetData sheetId="7287"/>
      <sheetData sheetId="7288"/>
      <sheetData sheetId="7289"/>
      <sheetData sheetId="7290"/>
      <sheetData sheetId="7291"/>
      <sheetData sheetId="7292"/>
      <sheetData sheetId="7293"/>
      <sheetData sheetId="7294"/>
      <sheetData sheetId="7295"/>
      <sheetData sheetId="7296"/>
      <sheetData sheetId="7297"/>
      <sheetData sheetId="7298"/>
      <sheetData sheetId="7299"/>
      <sheetData sheetId="7300"/>
      <sheetData sheetId="7301"/>
      <sheetData sheetId="7302"/>
      <sheetData sheetId="7303"/>
      <sheetData sheetId="7304"/>
      <sheetData sheetId="7305"/>
      <sheetData sheetId="7306"/>
      <sheetData sheetId="7307"/>
      <sheetData sheetId="7308"/>
      <sheetData sheetId="7309"/>
      <sheetData sheetId="7310"/>
      <sheetData sheetId="7311"/>
      <sheetData sheetId="7312"/>
      <sheetData sheetId="7313"/>
      <sheetData sheetId="7314"/>
      <sheetData sheetId="7315"/>
      <sheetData sheetId="7316"/>
      <sheetData sheetId="7317"/>
      <sheetData sheetId="7318"/>
      <sheetData sheetId="7319"/>
      <sheetData sheetId="7320"/>
      <sheetData sheetId="7321"/>
      <sheetData sheetId="7322"/>
      <sheetData sheetId="7323"/>
      <sheetData sheetId="7324"/>
      <sheetData sheetId="7325"/>
      <sheetData sheetId="7326"/>
      <sheetData sheetId="7327"/>
      <sheetData sheetId="7328"/>
      <sheetData sheetId="7329"/>
      <sheetData sheetId="7330"/>
      <sheetData sheetId="7331"/>
      <sheetData sheetId="7332"/>
      <sheetData sheetId="7333"/>
      <sheetData sheetId="7334"/>
      <sheetData sheetId="7335"/>
      <sheetData sheetId="7336"/>
      <sheetData sheetId="7337"/>
      <sheetData sheetId="7338"/>
      <sheetData sheetId="7339"/>
      <sheetData sheetId="7340"/>
      <sheetData sheetId="7341"/>
      <sheetData sheetId="7342"/>
      <sheetData sheetId="7343"/>
      <sheetData sheetId="7344"/>
      <sheetData sheetId="7345"/>
      <sheetData sheetId="7346"/>
      <sheetData sheetId="7347"/>
      <sheetData sheetId="7348"/>
      <sheetData sheetId="7349"/>
      <sheetData sheetId="7350"/>
      <sheetData sheetId="7351"/>
      <sheetData sheetId="7352"/>
      <sheetData sheetId="7353"/>
      <sheetData sheetId="7354"/>
      <sheetData sheetId="7355"/>
      <sheetData sheetId="7356"/>
      <sheetData sheetId="7357"/>
      <sheetData sheetId="7358"/>
      <sheetData sheetId="7359"/>
      <sheetData sheetId="7360"/>
      <sheetData sheetId="7361"/>
      <sheetData sheetId="7362"/>
      <sheetData sheetId="7363"/>
      <sheetData sheetId="7364"/>
      <sheetData sheetId="7365"/>
      <sheetData sheetId="7366"/>
      <sheetData sheetId="7367"/>
      <sheetData sheetId="7368"/>
      <sheetData sheetId="7369"/>
      <sheetData sheetId="7370"/>
      <sheetData sheetId="7371"/>
      <sheetData sheetId="7372"/>
      <sheetData sheetId="7373"/>
      <sheetData sheetId="7374"/>
      <sheetData sheetId="7375"/>
      <sheetData sheetId="7376"/>
      <sheetData sheetId="7377"/>
      <sheetData sheetId="7378"/>
      <sheetData sheetId="7379"/>
      <sheetData sheetId="7380"/>
      <sheetData sheetId="7381"/>
      <sheetData sheetId="7382"/>
      <sheetData sheetId="7383"/>
      <sheetData sheetId="7384"/>
      <sheetData sheetId="7385"/>
      <sheetData sheetId="7386"/>
      <sheetData sheetId="7387"/>
      <sheetData sheetId="7388"/>
      <sheetData sheetId="7389"/>
      <sheetData sheetId="7390"/>
      <sheetData sheetId="7391"/>
      <sheetData sheetId="7392"/>
      <sheetData sheetId="7393"/>
      <sheetData sheetId="7394"/>
      <sheetData sheetId="7395"/>
      <sheetData sheetId="7396"/>
      <sheetData sheetId="7397"/>
      <sheetData sheetId="7398"/>
      <sheetData sheetId="7399"/>
      <sheetData sheetId="7400"/>
      <sheetData sheetId="7401"/>
      <sheetData sheetId="7402"/>
      <sheetData sheetId="7403"/>
      <sheetData sheetId="7404"/>
      <sheetData sheetId="7405"/>
      <sheetData sheetId="7406"/>
      <sheetData sheetId="7407"/>
      <sheetData sheetId="7408"/>
      <sheetData sheetId="7409"/>
      <sheetData sheetId="7410"/>
      <sheetData sheetId="7411"/>
      <sheetData sheetId="7412"/>
      <sheetData sheetId="7413"/>
      <sheetData sheetId="7414"/>
      <sheetData sheetId="7415"/>
      <sheetData sheetId="7416"/>
      <sheetData sheetId="7417"/>
      <sheetData sheetId="7418"/>
      <sheetData sheetId="7419"/>
      <sheetData sheetId="7420"/>
      <sheetData sheetId="7421"/>
      <sheetData sheetId="7422"/>
      <sheetData sheetId="7423"/>
      <sheetData sheetId="7424"/>
      <sheetData sheetId="7425"/>
      <sheetData sheetId="7426"/>
      <sheetData sheetId="7427"/>
      <sheetData sheetId="7428"/>
      <sheetData sheetId="7429"/>
      <sheetData sheetId="7430"/>
      <sheetData sheetId="7431"/>
      <sheetData sheetId="7432"/>
      <sheetData sheetId="7433"/>
      <sheetData sheetId="7434"/>
      <sheetData sheetId="7435"/>
      <sheetData sheetId="7436"/>
      <sheetData sheetId="7437"/>
      <sheetData sheetId="7438"/>
      <sheetData sheetId="7439"/>
      <sheetData sheetId="7440"/>
      <sheetData sheetId="7441"/>
      <sheetData sheetId="7442"/>
      <sheetData sheetId="7443"/>
      <sheetData sheetId="7444"/>
      <sheetData sheetId="7445"/>
      <sheetData sheetId="7446"/>
      <sheetData sheetId="7447"/>
      <sheetData sheetId="7448"/>
      <sheetData sheetId="7449"/>
      <sheetData sheetId="7450"/>
      <sheetData sheetId="7451"/>
      <sheetData sheetId="7452"/>
      <sheetData sheetId="7453"/>
      <sheetData sheetId="7454"/>
      <sheetData sheetId="7455"/>
      <sheetData sheetId="7456"/>
      <sheetData sheetId="7457"/>
      <sheetData sheetId="7458"/>
      <sheetData sheetId="7459"/>
      <sheetData sheetId="7460"/>
      <sheetData sheetId="7461"/>
      <sheetData sheetId="7462"/>
      <sheetData sheetId="7463"/>
      <sheetData sheetId="7464"/>
      <sheetData sheetId="7465"/>
      <sheetData sheetId="7466"/>
      <sheetData sheetId="7467"/>
      <sheetData sheetId="7468"/>
      <sheetData sheetId="7469"/>
      <sheetData sheetId="7470"/>
      <sheetData sheetId="7471"/>
      <sheetData sheetId="7472"/>
      <sheetData sheetId="7473"/>
      <sheetData sheetId="7474"/>
      <sheetData sheetId="7475"/>
      <sheetData sheetId="7476"/>
      <sheetData sheetId="7477"/>
      <sheetData sheetId="7478"/>
      <sheetData sheetId="7479"/>
      <sheetData sheetId="7480"/>
      <sheetData sheetId="7481"/>
      <sheetData sheetId="7482"/>
      <sheetData sheetId="7483"/>
      <sheetData sheetId="7484"/>
      <sheetData sheetId="7485"/>
      <sheetData sheetId="7486"/>
      <sheetData sheetId="7487"/>
      <sheetData sheetId="7488"/>
      <sheetData sheetId="7489"/>
      <sheetData sheetId="7490"/>
      <sheetData sheetId="7491"/>
      <sheetData sheetId="7492"/>
      <sheetData sheetId="7493"/>
      <sheetData sheetId="7494"/>
      <sheetData sheetId="7495"/>
      <sheetData sheetId="7496"/>
      <sheetData sheetId="7497"/>
      <sheetData sheetId="7498"/>
      <sheetData sheetId="7499"/>
      <sheetData sheetId="7500"/>
      <sheetData sheetId="7501"/>
      <sheetData sheetId="7502"/>
      <sheetData sheetId="7503"/>
      <sheetData sheetId="7504"/>
      <sheetData sheetId="7505"/>
      <sheetData sheetId="7506"/>
      <sheetData sheetId="7507"/>
      <sheetData sheetId="7508"/>
      <sheetData sheetId="7509"/>
      <sheetData sheetId="7510"/>
      <sheetData sheetId="7511"/>
      <sheetData sheetId="7512"/>
      <sheetData sheetId="7513"/>
      <sheetData sheetId="7514"/>
      <sheetData sheetId="7515"/>
      <sheetData sheetId="7516"/>
      <sheetData sheetId="7517"/>
      <sheetData sheetId="7518"/>
      <sheetData sheetId="7519"/>
      <sheetData sheetId="7520"/>
      <sheetData sheetId="7521"/>
      <sheetData sheetId="7522"/>
      <sheetData sheetId="7523"/>
      <sheetData sheetId="7524"/>
      <sheetData sheetId="7525"/>
      <sheetData sheetId="7526"/>
      <sheetData sheetId="7527"/>
      <sheetData sheetId="7528"/>
      <sheetData sheetId="7529"/>
      <sheetData sheetId="7530"/>
      <sheetData sheetId="7531"/>
      <sheetData sheetId="7532"/>
      <sheetData sheetId="7533"/>
      <sheetData sheetId="7534"/>
      <sheetData sheetId="7535"/>
      <sheetData sheetId="7536"/>
      <sheetData sheetId="7537"/>
      <sheetData sheetId="7538"/>
      <sheetData sheetId="7539"/>
      <sheetData sheetId="7540"/>
      <sheetData sheetId="7541"/>
      <sheetData sheetId="7542"/>
      <sheetData sheetId="7543"/>
      <sheetData sheetId="7544"/>
      <sheetData sheetId="7545"/>
      <sheetData sheetId="7546"/>
      <sheetData sheetId="7547"/>
      <sheetData sheetId="7548"/>
      <sheetData sheetId="7549"/>
      <sheetData sheetId="7550"/>
      <sheetData sheetId="7551"/>
      <sheetData sheetId="7552"/>
      <sheetData sheetId="7553"/>
      <sheetData sheetId="7554"/>
      <sheetData sheetId="7555"/>
      <sheetData sheetId="7556"/>
      <sheetData sheetId="7557"/>
      <sheetData sheetId="7558"/>
      <sheetData sheetId="7559"/>
      <sheetData sheetId="7560"/>
      <sheetData sheetId="7561"/>
      <sheetData sheetId="7562"/>
      <sheetData sheetId="7563"/>
      <sheetData sheetId="7564"/>
      <sheetData sheetId="7565"/>
      <sheetData sheetId="7566"/>
      <sheetData sheetId="7567"/>
      <sheetData sheetId="7568"/>
      <sheetData sheetId="7569"/>
      <sheetData sheetId="7570"/>
      <sheetData sheetId="7571"/>
      <sheetData sheetId="7572"/>
      <sheetData sheetId="7573"/>
      <sheetData sheetId="7574"/>
      <sheetData sheetId="7575"/>
      <sheetData sheetId="7576"/>
      <sheetData sheetId="7577"/>
      <sheetData sheetId="7578"/>
      <sheetData sheetId="7579"/>
      <sheetData sheetId="7580"/>
      <sheetData sheetId="7581"/>
      <sheetData sheetId="7582"/>
      <sheetData sheetId="7583"/>
      <sheetData sheetId="7584"/>
      <sheetData sheetId="7585"/>
      <sheetData sheetId="7586"/>
      <sheetData sheetId="7587"/>
      <sheetData sheetId="7588"/>
      <sheetData sheetId="7589"/>
      <sheetData sheetId="7590"/>
      <sheetData sheetId="7591"/>
      <sheetData sheetId="7592"/>
      <sheetData sheetId="7593"/>
      <sheetData sheetId="7594"/>
      <sheetData sheetId="7595"/>
      <sheetData sheetId="7596"/>
      <sheetData sheetId="7597"/>
      <sheetData sheetId="7598"/>
      <sheetData sheetId="7599"/>
      <sheetData sheetId="7600"/>
      <sheetData sheetId="7601"/>
      <sheetData sheetId="7602"/>
      <sheetData sheetId="7603"/>
      <sheetData sheetId="7604"/>
      <sheetData sheetId="7605"/>
      <sheetData sheetId="7606"/>
      <sheetData sheetId="7607"/>
      <sheetData sheetId="7608"/>
      <sheetData sheetId="7609"/>
      <sheetData sheetId="7610"/>
      <sheetData sheetId="7611"/>
      <sheetData sheetId="7612"/>
      <sheetData sheetId="7613"/>
      <sheetData sheetId="7614"/>
      <sheetData sheetId="7615"/>
      <sheetData sheetId="7616"/>
      <sheetData sheetId="7617"/>
      <sheetData sheetId="7618"/>
      <sheetData sheetId="7619"/>
      <sheetData sheetId="7620"/>
      <sheetData sheetId="7621"/>
      <sheetData sheetId="7622"/>
      <sheetData sheetId="7623"/>
      <sheetData sheetId="7624"/>
      <sheetData sheetId="7625"/>
      <sheetData sheetId="7626"/>
      <sheetData sheetId="7627"/>
      <sheetData sheetId="7628"/>
      <sheetData sheetId="7629"/>
      <sheetData sheetId="7630"/>
      <sheetData sheetId="7631"/>
      <sheetData sheetId="7632"/>
      <sheetData sheetId="7633"/>
      <sheetData sheetId="7634"/>
      <sheetData sheetId="7635"/>
      <sheetData sheetId="7636"/>
      <sheetData sheetId="7637"/>
      <sheetData sheetId="7638"/>
      <sheetData sheetId="7639"/>
      <sheetData sheetId="7640"/>
      <sheetData sheetId="7641"/>
      <sheetData sheetId="7642"/>
      <sheetData sheetId="7643"/>
      <sheetData sheetId="7644"/>
      <sheetData sheetId="7645"/>
      <sheetData sheetId="7646"/>
      <sheetData sheetId="7647"/>
      <sheetData sheetId="7648"/>
      <sheetData sheetId="7649"/>
      <sheetData sheetId="7650"/>
      <sheetData sheetId="7651"/>
      <sheetData sheetId="7652"/>
      <sheetData sheetId="7653"/>
      <sheetData sheetId="7654"/>
      <sheetData sheetId="7655"/>
      <sheetData sheetId="7656"/>
      <sheetData sheetId="7657"/>
      <sheetData sheetId="7658"/>
      <sheetData sheetId="7659"/>
      <sheetData sheetId="7660"/>
      <sheetData sheetId="7661"/>
      <sheetData sheetId="7662"/>
      <sheetData sheetId="7663"/>
      <sheetData sheetId="7664"/>
      <sheetData sheetId="7665"/>
      <sheetData sheetId="7666"/>
      <sheetData sheetId="7667"/>
      <sheetData sheetId="7668"/>
      <sheetData sheetId="7669"/>
      <sheetData sheetId="7670"/>
      <sheetData sheetId="7671"/>
      <sheetData sheetId="7672"/>
      <sheetData sheetId="7673"/>
      <sheetData sheetId="7674"/>
      <sheetData sheetId="7675"/>
      <sheetData sheetId="7676"/>
      <sheetData sheetId="7677"/>
      <sheetData sheetId="7678"/>
      <sheetData sheetId="7679"/>
      <sheetData sheetId="7680"/>
      <sheetData sheetId="7681"/>
      <sheetData sheetId="7682"/>
      <sheetData sheetId="7683"/>
      <sheetData sheetId="7684"/>
      <sheetData sheetId="7685"/>
      <sheetData sheetId="7686"/>
      <sheetData sheetId="7687"/>
      <sheetData sheetId="7688"/>
      <sheetData sheetId="7689"/>
      <sheetData sheetId="7690"/>
      <sheetData sheetId="7691"/>
      <sheetData sheetId="7692"/>
      <sheetData sheetId="7693"/>
      <sheetData sheetId="7694"/>
      <sheetData sheetId="7695"/>
      <sheetData sheetId="7696"/>
      <sheetData sheetId="7697"/>
      <sheetData sheetId="7698"/>
      <sheetData sheetId="7699"/>
      <sheetData sheetId="7700"/>
      <sheetData sheetId="7701"/>
      <sheetData sheetId="7702"/>
      <sheetData sheetId="7703"/>
      <sheetData sheetId="7704"/>
      <sheetData sheetId="7705"/>
      <sheetData sheetId="7706"/>
      <sheetData sheetId="7707"/>
      <sheetData sheetId="7708"/>
      <sheetData sheetId="7709"/>
      <sheetData sheetId="7710"/>
      <sheetData sheetId="7711"/>
      <sheetData sheetId="7712" refreshError="1"/>
      <sheetData sheetId="7713" refreshError="1"/>
      <sheetData sheetId="7714" refreshError="1"/>
      <sheetData sheetId="7715" refreshError="1"/>
      <sheetData sheetId="7716" refreshError="1"/>
      <sheetData sheetId="7717" refreshError="1"/>
      <sheetData sheetId="7718" refreshError="1"/>
      <sheetData sheetId="7719" refreshError="1"/>
      <sheetData sheetId="7720" refreshError="1"/>
      <sheetData sheetId="7721" refreshError="1"/>
      <sheetData sheetId="7722" refreshError="1"/>
      <sheetData sheetId="7723" refreshError="1"/>
      <sheetData sheetId="7724" refreshError="1"/>
      <sheetData sheetId="7725" refreshError="1"/>
      <sheetData sheetId="7726" refreshError="1"/>
      <sheetData sheetId="7727" refreshError="1"/>
      <sheetData sheetId="7728"/>
      <sheetData sheetId="7729"/>
      <sheetData sheetId="7730"/>
      <sheetData sheetId="7731"/>
      <sheetData sheetId="7732"/>
      <sheetData sheetId="7733"/>
      <sheetData sheetId="7734"/>
      <sheetData sheetId="7735"/>
      <sheetData sheetId="7736"/>
      <sheetData sheetId="7737"/>
      <sheetData sheetId="7738"/>
      <sheetData sheetId="7739"/>
      <sheetData sheetId="7740"/>
      <sheetData sheetId="7741"/>
      <sheetData sheetId="7742"/>
      <sheetData sheetId="7743"/>
      <sheetData sheetId="7744"/>
      <sheetData sheetId="7745"/>
      <sheetData sheetId="7746"/>
      <sheetData sheetId="7747"/>
      <sheetData sheetId="7748"/>
      <sheetData sheetId="7749"/>
      <sheetData sheetId="7750"/>
      <sheetData sheetId="7751"/>
      <sheetData sheetId="7752" refreshError="1"/>
      <sheetData sheetId="7753" refreshError="1"/>
      <sheetData sheetId="7754" refreshError="1"/>
      <sheetData sheetId="7755" refreshError="1"/>
      <sheetData sheetId="7756" refreshError="1"/>
      <sheetData sheetId="7757" refreshError="1"/>
      <sheetData sheetId="7758" refreshError="1"/>
      <sheetData sheetId="7759"/>
      <sheetData sheetId="7760" refreshError="1"/>
      <sheetData sheetId="7761" refreshError="1"/>
      <sheetData sheetId="7762" refreshError="1"/>
      <sheetData sheetId="7763" refreshError="1"/>
      <sheetData sheetId="7764" refreshError="1"/>
      <sheetData sheetId="7765" refreshError="1"/>
      <sheetData sheetId="7766" refreshError="1"/>
      <sheetData sheetId="7767" refreshError="1"/>
      <sheetData sheetId="7768" refreshError="1"/>
      <sheetData sheetId="7769" refreshError="1"/>
      <sheetData sheetId="7770" refreshError="1"/>
      <sheetData sheetId="7771" refreshError="1"/>
      <sheetData sheetId="7772" refreshError="1"/>
      <sheetData sheetId="7773" refreshError="1"/>
      <sheetData sheetId="7774" refreshError="1"/>
      <sheetData sheetId="7775" refreshError="1"/>
      <sheetData sheetId="7776" refreshError="1"/>
      <sheetData sheetId="7777" refreshError="1"/>
      <sheetData sheetId="7778" refreshError="1"/>
      <sheetData sheetId="7779" refreshError="1"/>
      <sheetData sheetId="7780" refreshError="1"/>
      <sheetData sheetId="7781" refreshError="1"/>
      <sheetData sheetId="7782" refreshError="1"/>
      <sheetData sheetId="7783" refreshError="1"/>
      <sheetData sheetId="7784" refreshError="1"/>
      <sheetData sheetId="7785" refreshError="1"/>
      <sheetData sheetId="7786" refreshError="1"/>
      <sheetData sheetId="7787" refreshError="1"/>
      <sheetData sheetId="7788" refreshError="1"/>
      <sheetData sheetId="7789" refreshError="1"/>
      <sheetData sheetId="7790" refreshError="1"/>
      <sheetData sheetId="7791" refreshError="1"/>
      <sheetData sheetId="7792" refreshError="1"/>
      <sheetData sheetId="7793" refreshError="1"/>
      <sheetData sheetId="7794" refreshError="1"/>
      <sheetData sheetId="7795" refreshError="1"/>
      <sheetData sheetId="7796" refreshError="1"/>
      <sheetData sheetId="7797" refreshError="1"/>
      <sheetData sheetId="7798" refreshError="1"/>
      <sheetData sheetId="7799" refreshError="1"/>
      <sheetData sheetId="7800" refreshError="1"/>
      <sheetData sheetId="7801" refreshError="1"/>
      <sheetData sheetId="7802" refreshError="1"/>
      <sheetData sheetId="7803" refreshError="1"/>
      <sheetData sheetId="7804" refreshError="1"/>
      <sheetData sheetId="7805" refreshError="1"/>
      <sheetData sheetId="7806" refreshError="1"/>
      <sheetData sheetId="7807" refreshError="1"/>
      <sheetData sheetId="7808" refreshError="1"/>
      <sheetData sheetId="7809" refreshError="1"/>
      <sheetData sheetId="7810" refreshError="1"/>
      <sheetData sheetId="7811" refreshError="1"/>
      <sheetData sheetId="7812" refreshError="1"/>
      <sheetData sheetId="7813" refreshError="1"/>
      <sheetData sheetId="7814" refreshError="1"/>
      <sheetData sheetId="7815" refreshError="1"/>
      <sheetData sheetId="7816" refreshError="1"/>
      <sheetData sheetId="7817" refreshError="1"/>
      <sheetData sheetId="7818" refreshError="1"/>
      <sheetData sheetId="7819" refreshError="1"/>
      <sheetData sheetId="7820"/>
      <sheetData sheetId="7821" refreshError="1"/>
      <sheetData sheetId="7822" refreshError="1"/>
      <sheetData sheetId="7823" refreshError="1"/>
      <sheetData sheetId="7824" refreshError="1"/>
      <sheetData sheetId="7825" refreshError="1"/>
      <sheetData sheetId="7826" refreshError="1"/>
      <sheetData sheetId="7827" refreshError="1"/>
      <sheetData sheetId="7828" refreshError="1"/>
      <sheetData sheetId="7829" refreshError="1"/>
      <sheetData sheetId="7830" refreshError="1"/>
      <sheetData sheetId="7831" refreshError="1"/>
      <sheetData sheetId="7832" refreshError="1"/>
      <sheetData sheetId="7833" refreshError="1"/>
      <sheetData sheetId="7834" refreshError="1"/>
      <sheetData sheetId="7835"/>
      <sheetData sheetId="7836"/>
      <sheetData sheetId="7837"/>
      <sheetData sheetId="7838"/>
      <sheetData sheetId="7839"/>
      <sheetData sheetId="7840"/>
      <sheetData sheetId="7841"/>
      <sheetData sheetId="7842"/>
      <sheetData sheetId="7843"/>
      <sheetData sheetId="7844"/>
      <sheetData sheetId="7845"/>
      <sheetData sheetId="7846"/>
      <sheetData sheetId="7847"/>
      <sheetData sheetId="7848"/>
      <sheetData sheetId="7849"/>
      <sheetData sheetId="7850"/>
      <sheetData sheetId="7851"/>
      <sheetData sheetId="7852"/>
      <sheetData sheetId="7853"/>
      <sheetData sheetId="7854"/>
      <sheetData sheetId="7855"/>
      <sheetData sheetId="7856"/>
      <sheetData sheetId="7857"/>
      <sheetData sheetId="7858"/>
      <sheetData sheetId="7859"/>
      <sheetData sheetId="7860"/>
      <sheetData sheetId="7861"/>
      <sheetData sheetId="7862"/>
      <sheetData sheetId="7863"/>
      <sheetData sheetId="7864"/>
      <sheetData sheetId="7865"/>
      <sheetData sheetId="7866"/>
      <sheetData sheetId="7867"/>
      <sheetData sheetId="7868"/>
      <sheetData sheetId="7869"/>
      <sheetData sheetId="7870"/>
      <sheetData sheetId="7871"/>
      <sheetData sheetId="7872"/>
      <sheetData sheetId="7873"/>
      <sheetData sheetId="7874"/>
      <sheetData sheetId="7875"/>
      <sheetData sheetId="7876"/>
      <sheetData sheetId="7877"/>
      <sheetData sheetId="7878"/>
      <sheetData sheetId="7879"/>
      <sheetData sheetId="7880"/>
      <sheetData sheetId="7881"/>
      <sheetData sheetId="7882"/>
      <sheetData sheetId="7883"/>
      <sheetData sheetId="7884"/>
      <sheetData sheetId="7885"/>
      <sheetData sheetId="7886"/>
      <sheetData sheetId="7887"/>
      <sheetData sheetId="7888"/>
      <sheetData sheetId="7889"/>
      <sheetData sheetId="7890"/>
      <sheetData sheetId="7891"/>
      <sheetData sheetId="7892"/>
      <sheetData sheetId="7893"/>
      <sheetData sheetId="7894"/>
      <sheetData sheetId="7895"/>
      <sheetData sheetId="7896"/>
      <sheetData sheetId="7897"/>
      <sheetData sheetId="7898"/>
      <sheetData sheetId="7899"/>
      <sheetData sheetId="7900"/>
      <sheetData sheetId="7901"/>
      <sheetData sheetId="7902"/>
      <sheetData sheetId="7903"/>
      <sheetData sheetId="7904"/>
      <sheetData sheetId="7905"/>
      <sheetData sheetId="7906"/>
      <sheetData sheetId="7907"/>
      <sheetData sheetId="7908"/>
      <sheetData sheetId="7909"/>
      <sheetData sheetId="7910"/>
      <sheetData sheetId="7911"/>
      <sheetData sheetId="7912"/>
      <sheetData sheetId="7913"/>
      <sheetData sheetId="7914"/>
      <sheetData sheetId="7915"/>
      <sheetData sheetId="7916"/>
      <sheetData sheetId="7917"/>
      <sheetData sheetId="7918"/>
      <sheetData sheetId="7919"/>
      <sheetData sheetId="7920"/>
      <sheetData sheetId="7921"/>
      <sheetData sheetId="7922"/>
      <sheetData sheetId="7923"/>
      <sheetData sheetId="7924"/>
      <sheetData sheetId="7925"/>
      <sheetData sheetId="7926"/>
      <sheetData sheetId="7927"/>
      <sheetData sheetId="7928"/>
      <sheetData sheetId="7929"/>
      <sheetData sheetId="7930"/>
      <sheetData sheetId="7931"/>
      <sheetData sheetId="7932"/>
      <sheetData sheetId="7933"/>
      <sheetData sheetId="7934"/>
      <sheetData sheetId="7935"/>
      <sheetData sheetId="7936"/>
      <sheetData sheetId="7937"/>
      <sheetData sheetId="7938"/>
      <sheetData sheetId="7939"/>
      <sheetData sheetId="7940"/>
      <sheetData sheetId="7941"/>
      <sheetData sheetId="7942"/>
      <sheetData sheetId="7943"/>
      <sheetData sheetId="7944"/>
      <sheetData sheetId="7945"/>
      <sheetData sheetId="7946"/>
      <sheetData sheetId="7947"/>
      <sheetData sheetId="7948"/>
      <sheetData sheetId="7949"/>
      <sheetData sheetId="7950"/>
      <sheetData sheetId="7951"/>
      <sheetData sheetId="7952"/>
      <sheetData sheetId="7953"/>
      <sheetData sheetId="7954"/>
      <sheetData sheetId="7955"/>
      <sheetData sheetId="7956"/>
      <sheetData sheetId="7957"/>
      <sheetData sheetId="7958"/>
      <sheetData sheetId="7959"/>
      <sheetData sheetId="7960"/>
      <sheetData sheetId="7961"/>
      <sheetData sheetId="7962"/>
      <sheetData sheetId="7963"/>
      <sheetData sheetId="7964"/>
      <sheetData sheetId="7965"/>
      <sheetData sheetId="7966"/>
      <sheetData sheetId="7967"/>
      <sheetData sheetId="7968"/>
      <sheetData sheetId="7969"/>
      <sheetData sheetId="7970"/>
      <sheetData sheetId="7971"/>
      <sheetData sheetId="7972"/>
      <sheetData sheetId="7973"/>
      <sheetData sheetId="7974"/>
      <sheetData sheetId="7975"/>
      <sheetData sheetId="7976"/>
      <sheetData sheetId="7977"/>
      <sheetData sheetId="7978"/>
      <sheetData sheetId="7979"/>
      <sheetData sheetId="7980"/>
      <sheetData sheetId="7981"/>
      <sheetData sheetId="7982"/>
      <sheetData sheetId="7983"/>
      <sheetData sheetId="7984"/>
      <sheetData sheetId="7985"/>
      <sheetData sheetId="7986"/>
      <sheetData sheetId="7987"/>
      <sheetData sheetId="7988"/>
      <sheetData sheetId="7989"/>
      <sheetData sheetId="7990"/>
      <sheetData sheetId="7991"/>
      <sheetData sheetId="7992"/>
      <sheetData sheetId="7993"/>
      <sheetData sheetId="7994"/>
      <sheetData sheetId="7995"/>
      <sheetData sheetId="7996"/>
      <sheetData sheetId="7997"/>
      <sheetData sheetId="7998"/>
      <sheetData sheetId="7999"/>
      <sheetData sheetId="8000"/>
      <sheetData sheetId="8001"/>
      <sheetData sheetId="8002"/>
      <sheetData sheetId="8003"/>
      <sheetData sheetId="8004"/>
      <sheetData sheetId="8005"/>
      <sheetData sheetId="8006"/>
      <sheetData sheetId="8007"/>
      <sheetData sheetId="8008"/>
      <sheetData sheetId="8009"/>
      <sheetData sheetId="8010"/>
      <sheetData sheetId="8011"/>
      <sheetData sheetId="8012"/>
      <sheetData sheetId="8013"/>
      <sheetData sheetId="8014"/>
      <sheetData sheetId="8015"/>
      <sheetData sheetId="8016"/>
      <sheetData sheetId="8017"/>
      <sheetData sheetId="8018"/>
      <sheetData sheetId="8019"/>
      <sheetData sheetId="8020"/>
      <sheetData sheetId="8021"/>
      <sheetData sheetId="8022"/>
      <sheetData sheetId="8023"/>
      <sheetData sheetId="8024"/>
      <sheetData sheetId="8025"/>
      <sheetData sheetId="8026"/>
      <sheetData sheetId="8027"/>
      <sheetData sheetId="8028"/>
      <sheetData sheetId="8029"/>
      <sheetData sheetId="8030"/>
      <sheetData sheetId="8031"/>
      <sheetData sheetId="8032"/>
      <sheetData sheetId="8033"/>
      <sheetData sheetId="8034"/>
      <sheetData sheetId="8035"/>
      <sheetData sheetId="8036"/>
      <sheetData sheetId="8037"/>
      <sheetData sheetId="8038"/>
      <sheetData sheetId="8039"/>
      <sheetData sheetId="8040"/>
      <sheetData sheetId="8041"/>
      <sheetData sheetId="8042"/>
      <sheetData sheetId="8043"/>
      <sheetData sheetId="8044"/>
      <sheetData sheetId="8045"/>
      <sheetData sheetId="8046"/>
      <sheetData sheetId="8047"/>
      <sheetData sheetId="8048"/>
      <sheetData sheetId="8049"/>
      <sheetData sheetId="8050"/>
      <sheetData sheetId="8051"/>
      <sheetData sheetId="8052"/>
      <sheetData sheetId="8053"/>
      <sheetData sheetId="8054"/>
      <sheetData sheetId="8055"/>
      <sheetData sheetId="8056"/>
      <sheetData sheetId="8057"/>
      <sheetData sheetId="8058"/>
      <sheetData sheetId="8059"/>
      <sheetData sheetId="8060"/>
      <sheetData sheetId="8061"/>
      <sheetData sheetId="8062"/>
      <sheetData sheetId="8063"/>
      <sheetData sheetId="8064"/>
      <sheetData sheetId="8065"/>
      <sheetData sheetId="8066"/>
      <sheetData sheetId="8067"/>
      <sheetData sheetId="8068"/>
      <sheetData sheetId="8069"/>
      <sheetData sheetId="8070"/>
      <sheetData sheetId="8071"/>
      <sheetData sheetId="8072"/>
      <sheetData sheetId="8073"/>
      <sheetData sheetId="8074"/>
      <sheetData sheetId="8075"/>
      <sheetData sheetId="8076"/>
      <sheetData sheetId="8077"/>
      <sheetData sheetId="8078"/>
      <sheetData sheetId="8079"/>
      <sheetData sheetId="8080"/>
      <sheetData sheetId="8081"/>
      <sheetData sheetId="8082"/>
      <sheetData sheetId="8083"/>
      <sheetData sheetId="8084"/>
      <sheetData sheetId="8085"/>
      <sheetData sheetId="8086"/>
      <sheetData sheetId="8087"/>
      <sheetData sheetId="8088"/>
      <sheetData sheetId="8089"/>
      <sheetData sheetId="8090"/>
      <sheetData sheetId="8091"/>
      <sheetData sheetId="8092"/>
      <sheetData sheetId="8093"/>
      <sheetData sheetId="8094"/>
      <sheetData sheetId="8095"/>
      <sheetData sheetId="8096"/>
      <sheetData sheetId="8097"/>
      <sheetData sheetId="8098"/>
      <sheetData sheetId="8099"/>
      <sheetData sheetId="8100"/>
      <sheetData sheetId="8101"/>
      <sheetData sheetId="8102"/>
      <sheetData sheetId="8103"/>
      <sheetData sheetId="8104"/>
      <sheetData sheetId="8105"/>
      <sheetData sheetId="8106"/>
      <sheetData sheetId="8107"/>
      <sheetData sheetId="8108"/>
      <sheetData sheetId="8109"/>
      <sheetData sheetId="8110"/>
      <sheetData sheetId="8111"/>
      <sheetData sheetId="8112"/>
      <sheetData sheetId="8113"/>
      <sheetData sheetId="8114"/>
      <sheetData sheetId="8115"/>
      <sheetData sheetId="8116"/>
      <sheetData sheetId="8117"/>
      <sheetData sheetId="8118"/>
      <sheetData sheetId="8119"/>
      <sheetData sheetId="8120"/>
      <sheetData sheetId="8121"/>
      <sheetData sheetId="8122"/>
      <sheetData sheetId="8123"/>
      <sheetData sheetId="8124"/>
      <sheetData sheetId="8125"/>
      <sheetData sheetId="8126"/>
      <sheetData sheetId="8127"/>
      <sheetData sheetId="8128"/>
      <sheetData sheetId="8129"/>
      <sheetData sheetId="8130"/>
      <sheetData sheetId="8131"/>
      <sheetData sheetId="8132"/>
      <sheetData sheetId="8133"/>
      <sheetData sheetId="8134"/>
      <sheetData sheetId="8135"/>
      <sheetData sheetId="8136"/>
      <sheetData sheetId="8137"/>
      <sheetData sheetId="8138"/>
      <sheetData sheetId="8139"/>
      <sheetData sheetId="8140"/>
      <sheetData sheetId="8141"/>
      <sheetData sheetId="8142"/>
      <sheetData sheetId="8143"/>
      <sheetData sheetId="8144"/>
      <sheetData sheetId="8145"/>
      <sheetData sheetId="8146"/>
      <sheetData sheetId="8147"/>
      <sheetData sheetId="8148"/>
      <sheetData sheetId="8149"/>
      <sheetData sheetId="8150"/>
      <sheetData sheetId="8151"/>
      <sheetData sheetId="8152"/>
      <sheetData sheetId="8153"/>
      <sheetData sheetId="8154"/>
      <sheetData sheetId="8155"/>
      <sheetData sheetId="8156"/>
      <sheetData sheetId="8157"/>
      <sheetData sheetId="8158"/>
      <sheetData sheetId="8159"/>
      <sheetData sheetId="8160"/>
      <sheetData sheetId="8161"/>
      <sheetData sheetId="8162"/>
      <sheetData sheetId="8163"/>
      <sheetData sheetId="8164"/>
      <sheetData sheetId="8165"/>
      <sheetData sheetId="8166"/>
      <sheetData sheetId="8167"/>
      <sheetData sheetId="8168"/>
      <sheetData sheetId="8169"/>
      <sheetData sheetId="8170"/>
      <sheetData sheetId="8171"/>
      <sheetData sheetId="8172"/>
      <sheetData sheetId="8173"/>
      <sheetData sheetId="8174"/>
      <sheetData sheetId="8175"/>
      <sheetData sheetId="8176"/>
      <sheetData sheetId="8177"/>
      <sheetData sheetId="8178"/>
      <sheetData sheetId="8179"/>
      <sheetData sheetId="8180"/>
      <sheetData sheetId="8181"/>
      <sheetData sheetId="8182"/>
      <sheetData sheetId="8183"/>
      <sheetData sheetId="8184"/>
      <sheetData sheetId="8185"/>
      <sheetData sheetId="8186"/>
      <sheetData sheetId="8187"/>
      <sheetData sheetId="8188"/>
      <sheetData sheetId="8189"/>
      <sheetData sheetId="8190"/>
      <sheetData sheetId="8191"/>
      <sheetData sheetId="8192"/>
      <sheetData sheetId="8193"/>
      <sheetData sheetId="8194"/>
      <sheetData sheetId="8195"/>
      <sheetData sheetId="8196"/>
      <sheetData sheetId="8197"/>
      <sheetData sheetId="8198"/>
      <sheetData sheetId="8199"/>
      <sheetData sheetId="8200"/>
      <sheetData sheetId="8201"/>
      <sheetData sheetId="8202"/>
      <sheetData sheetId="8203"/>
      <sheetData sheetId="8204"/>
      <sheetData sheetId="8205"/>
      <sheetData sheetId="8206"/>
      <sheetData sheetId="8207"/>
      <sheetData sheetId="8208"/>
      <sheetData sheetId="8209"/>
      <sheetData sheetId="8210"/>
      <sheetData sheetId="8211"/>
      <sheetData sheetId="8212"/>
      <sheetData sheetId="8213"/>
      <sheetData sheetId="8214"/>
      <sheetData sheetId="8215"/>
      <sheetData sheetId="8216"/>
      <sheetData sheetId="8217"/>
      <sheetData sheetId="8218"/>
      <sheetData sheetId="8219"/>
      <sheetData sheetId="8220"/>
      <sheetData sheetId="8221"/>
      <sheetData sheetId="8222"/>
      <sheetData sheetId="8223"/>
      <sheetData sheetId="8224"/>
      <sheetData sheetId="8225"/>
      <sheetData sheetId="8226"/>
      <sheetData sheetId="8227"/>
      <sheetData sheetId="8228"/>
      <sheetData sheetId="8229"/>
      <sheetData sheetId="8230"/>
      <sheetData sheetId="8231"/>
      <sheetData sheetId="8232"/>
      <sheetData sheetId="8233"/>
      <sheetData sheetId="8234"/>
      <sheetData sheetId="8235"/>
      <sheetData sheetId="8236"/>
      <sheetData sheetId="8237"/>
      <sheetData sheetId="8238"/>
      <sheetData sheetId="8239"/>
      <sheetData sheetId="8240"/>
      <sheetData sheetId="8241"/>
      <sheetData sheetId="8242"/>
      <sheetData sheetId="8243"/>
      <sheetData sheetId="8244"/>
      <sheetData sheetId="8245"/>
      <sheetData sheetId="8246"/>
      <sheetData sheetId="8247"/>
      <sheetData sheetId="8248"/>
      <sheetData sheetId="8249"/>
      <sheetData sheetId="8250"/>
      <sheetData sheetId="8251"/>
      <sheetData sheetId="8252"/>
      <sheetData sheetId="8253"/>
      <sheetData sheetId="8254"/>
      <sheetData sheetId="8255"/>
      <sheetData sheetId="8256"/>
      <sheetData sheetId="8257"/>
      <sheetData sheetId="8258"/>
      <sheetData sheetId="8259"/>
      <sheetData sheetId="8260"/>
      <sheetData sheetId="8261"/>
      <sheetData sheetId="8262"/>
      <sheetData sheetId="8263"/>
      <sheetData sheetId="8264"/>
      <sheetData sheetId="8265"/>
      <sheetData sheetId="8266"/>
      <sheetData sheetId="8267"/>
      <sheetData sheetId="8268"/>
      <sheetData sheetId="8269"/>
      <sheetData sheetId="8270"/>
      <sheetData sheetId="8271"/>
      <sheetData sheetId="8272"/>
      <sheetData sheetId="8273"/>
      <sheetData sheetId="8274"/>
      <sheetData sheetId="8275"/>
      <sheetData sheetId="8276"/>
      <sheetData sheetId="8277"/>
      <sheetData sheetId="8278"/>
      <sheetData sheetId="8279"/>
      <sheetData sheetId="8280"/>
      <sheetData sheetId="8281"/>
      <sheetData sheetId="8282"/>
      <sheetData sheetId="8283"/>
      <sheetData sheetId="8284"/>
      <sheetData sheetId="8285"/>
      <sheetData sheetId="8286"/>
      <sheetData sheetId="8287"/>
      <sheetData sheetId="8288"/>
      <sheetData sheetId="8289"/>
      <sheetData sheetId="8290"/>
      <sheetData sheetId="8291"/>
      <sheetData sheetId="8292"/>
      <sheetData sheetId="8293"/>
      <sheetData sheetId="8294"/>
      <sheetData sheetId="8295"/>
      <sheetData sheetId="8296"/>
      <sheetData sheetId="8297"/>
      <sheetData sheetId="8298"/>
      <sheetData sheetId="8299"/>
      <sheetData sheetId="8300"/>
      <sheetData sheetId="8301"/>
      <sheetData sheetId="8302"/>
      <sheetData sheetId="8303"/>
      <sheetData sheetId="8304"/>
      <sheetData sheetId="8305"/>
      <sheetData sheetId="8306"/>
      <sheetData sheetId="8307"/>
      <sheetData sheetId="8308"/>
      <sheetData sheetId="8309"/>
      <sheetData sheetId="8310"/>
      <sheetData sheetId="8311"/>
      <sheetData sheetId="8312"/>
      <sheetData sheetId="8313"/>
      <sheetData sheetId="8314"/>
      <sheetData sheetId="8315"/>
      <sheetData sheetId="8316"/>
      <sheetData sheetId="8317"/>
      <sheetData sheetId="8318"/>
      <sheetData sheetId="8319"/>
      <sheetData sheetId="8320"/>
      <sheetData sheetId="8321"/>
      <sheetData sheetId="8322"/>
      <sheetData sheetId="8323"/>
      <sheetData sheetId="8324"/>
      <sheetData sheetId="8325"/>
      <sheetData sheetId="8326"/>
      <sheetData sheetId="8327"/>
      <sheetData sheetId="8328"/>
      <sheetData sheetId="8329"/>
      <sheetData sheetId="8330"/>
      <sheetData sheetId="8331"/>
      <sheetData sheetId="8332"/>
      <sheetData sheetId="8333"/>
      <sheetData sheetId="8334"/>
      <sheetData sheetId="8335"/>
      <sheetData sheetId="8336"/>
      <sheetData sheetId="8337"/>
      <sheetData sheetId="8338"/>
      <sheetData sheetId="8339"/>
      <sheetData sheetId="8340"/>
      <sheetData sheetId="8341"/>
      <sheetData sheetId="8342"/>
      <sheetData sheetId="8343"/>
      <sheetData sheetId="8344"/>
      <sheetData sheetId="8345"/>
      <sheetData sheetId="8346"/>
      <sheetData sheetId="8347"/>
      <sheetData sheetId="8348"/>
      <sheetData sheetId="8349"/>
      <sheetData sheetId="8350"/>
      <sheetData sheetId="8351"/>
      <sheetData sheetId="8352"/>
      <sheetData sheetId="8353"/>
      <sheetData sheetId="8354"/>
      <sheetData sheetId="8355"/>
      <sheetData sheetId="8356"/>
      <sheetData sheetId="8357"/>
      <sheetData sheetId="8358"/>
      <sheetData sheetId="8359"/>
      <sheetData sheetId="8360"/>
      <sheetData sheetId="8361"/>
      <sheetData sheetId="8362"/>
      <sheetData sheetId="8363"/>
      <sheetData sheetId="8364"/>
      <sheetData sheetId="8365"/>
      <sheetData sheetId="8366"/>
      <sheetData sheetId="8367"/>
      <sheetData sheetId="8368"/>
      <sheetData sheetId="8369"/>
      <sheetData sheetId="8370"/>
      <sheetData sheetId="8371"/>
      <sheetData sheetId="8372"/>
      <sheetData sheetId="8373"/>
      <sheetData sheetId="8374"/>
      <sheetData sheetId="8375"/>
      <sheetData sheetId="8376"/>
      <sheetData sheetId="8377"/>
      <sheetData sheetId="8378"/>
      <sheetData sheetId="8379"/>
      <sheetData sheetId="8380"/>
      <sheetData sheetId="8381"/>
      <sheetData sheetId="8382"/>
      <sheetData sheetId="8383"/>
      <sheetData sheetId="8384"/>
      <sheetData sheetId="8385"/>
      <sheetData sheetId="8386"/>
      <sheetData sheetId="8387"/>
      <sheetData sheetId="8388"/>
      <sheetData sheetId="8389"/>
      <sheetData sheetId="8390"/>
      <sheetData sheetId="8391"/>
      <sheetData sheetId="8392"/>
      <sheetData sheetId="8393"/>
      <sheetData sheetId="8394"/>
      <sheetData sheetId="8395"/>
      <sheetData sheetId="8396"/>
      <sheetData sheetId="8397"/>
      <sheetData sheetId="8398"/>
      <sheetData sheetId="8399"/>
      <sheetData sheetId="8400"/>
      <sheetData sheetId="8401"/>
      <sheetData sheetId="8402"/>
      <sheetData sheetId="8403"/>
      <sheetData sheetId="8404"/>
      <sheetData sheetId="8405"/>
      <sheetData sheetId="8406"/>
      <sheetData sheetId="8407"/>
      <sheetData sheetId="8408"/>
      <sheetData sheetId="8409"/>
      <sheetData sheetId="8410"/>
      <sheetData sheetId="8411"/>
      <sheetData sheetId="8412"/>
      <sheetData sheetId="8413"/>
      <sheetData sheetId="8414"/>
      <sheetData sheetId="8415"/>
      <sheetData sheetId="8416"/>
      <sheetData sheetId="8417"/>
      <sheetData sheetId="8418"/>
      <sheetData sheetId="8419"/>
      <sheetData sheetId="8420"/>
      <sheetData sheetId="8421"/>
      <sheetData sheetId="8422"/>
      <sheetData sheetId="8423"/>
      <sheetData sheetId="8424"/>
      <sheetData sheetId="8425"/>
      <sheetData sheetId="8426"/>
      <sheetData sheetId="8427"/>
      <sheetData sheetId="8428"/>
      <sheetData sheetId="8429"/>
      <sheetData sheetId="8430"/>
      <sheetData sheetId="8431"/>
      <sheetData sheetId="8432"/>
      <sheetData sheetId="8433" refreshError="1"/>
      <sheetData sheetId="8434" refreshError="1"/>
      <sheetData sheetId="8435" refreshError="1"/>
      <sheetData sheetId="8436" refreshError="1"/>
      <sheetData sheetId="8437" refreshError="1"/>
      <sheetData sheetId="8438" refreshError="1"/>
      <sheetData sheetId="8439" refreshError="1"/>
      <sheetData sheetId="8440" refreshError="1"/>
      <sheetData sheetId="8441" refreshError="1"/>
      <sheetData sheetId="8442" refreshError="1"/>
      <sheetData sheetId="8443" refreshError="1"/>
      <sheetData sheetId="8444" refreshError="1"/>
      <sheetData sheetId="8445" refreshError="1"/>
      <sheetData sheetId="8446" refreshError="1"/>
      <sheetData sheetId="8447" refreshError="1"/>
      <sheetData sheetId="8448" refreshError="1"/>
      <sheetData sheetId="8449" refreshError="1"/>
      <sheetData sheetId="8450" refreshError="1"/>
      <sheetData sheetId="8451" refreshError="1"/>
      <sheetData sheetId="8452" refreshError="1"/>
      <sheetData sheetId="8453" refreshError="1"/>
      <sheetData sheetId="8454" refreshError="1"/>
      <sheetData sheetId="8455" refreshError="1"/>
      <sheetData sheetId="8456" refreshError="1"/>
      <sheetData sheetId="8457" refreshError="1"/>
      <sheetData sheetId="8458" refreshError="1"/>
      <sheetData sheetId="8459" refreshError="1"/>
      <sheetData sheetId="8460" refreshError="1"/>
      <sheetData sheetId="8461" refreshError="1"/>
      <sheetData sheetId="8462" refreshError="1"/>
      <sheetData sheetId="8463" refreshError="1"/>
      <sheetData sheetId="8464" refreshError="1"/>
      <sheetData sheetId="8465" refreshError="1"/>
      <sheetData sheetId="8466" refreshError="1"/>
      <sheetData sheetId="8467" refreshError="1"/>
      <sheetData sheetId="8468" refreshError="1"/>
      <sheetData sheetId="8469" refreshError="1"/>
      <sheetData sheetId="8470" refreshError="1"/>
      <sheetData sheetId="8471" refreshError="1"/>
      <sheetData sheetId="8472" refreshError="1"/>
      <sheetData sheetId="8473" refreshError="1"/>
      <sheetData sheetId="8474" refreshError="1"/>
      <sheetData sheetId="8475" refreshError="1"/>
      <sheetData sheetId="8476" refreshError="1"/>
      <sheetData sheetId="8477" refreshError="1"/>
      <sheetData sheetId="8478" refreshError="1"/>
      <sheetData sheetId="8479" refreshError="1"/>
      <sheetData sheetId="8480" refreshError="1"/>
      <sheetData sheetId="8481" refreshError="1"/>
      <sheetData sheetId="8482" refreshError="1"/>
      <sheetData sheetId="8483" refreshError="1"/>
      <sheetData sheetId="8484" refreshError="1"/>
      <sheetData sheetId="8485" refreshError="1"/>
      <sheetData sheetId="8486" refreshError="1"/>
      <sheetData sheetId="8487" refreshError="1"/>
      <sheetData sheetId="8488" refreshError="1"/>
      <sheetData sheetId="8489" refreshError="1"/>
      <sheetData sheetId="8490" refreshError="1"/>
      <sheetData sheetId="8491" refreshError="1"/>
      <sheetData sheetId="8492" refreshError="1"/>
      <sheetData sheetId="8493" refreshError="1"/>
      <sheetData sheetId="8494" refreshError="1"/>
      <sheetData sheetId="8495" refreshError="1"/>
      <sheetData sheetId="8496" refreshError="1"/>
      <sheetData sheetId="8497" refreshError="1"/>
      <sheetData sheetId="8498" refreshError="1"/>
      <sheetData sheetId="8499" refreshError="1"/>
      <sheetData sheetId="8500" refreshError="1"/>
      <sheetData sheetId="8501" refreshError="1"/>
      <sheetData sheetId="8502" refreshError="1"/>
      <sheetData sheetId="8503" refreshError="1"/>
      <sheetData sheetId="8504" refreshError="1"/>
      <sheetData sheetId="8505" refreshError="1"/>
      <sheetData sheetId="8506" refreshError="1"/>
      <sheetData sheetId="8507" refreshError="1"/>
      <sheetData sheetId="8508" refreshError="1"/>
      <sheetData sheetId="8509" refreshError="1"/>
      <sheetData sheetId="8510" refreshError="1"/>
      <sheetData sheetId="8511" refreshError="1"/>
      <sheetData sheetId="8512" refreshError="1"/>
      <sheetData sheetId="8513" refreshError="1"/>
      <sheetData sheetId="8514" refreshError="1"/>
      <sheetData sheetId="8515" refreshError="1"/>
      <sheetData sheetId="8516" refreshError="1"/>
      <sheetData sheetId="8517" refreshError="1"/>
      <sheetData sheetId="8518" refreshError="1"/>
      <sheetData sheetId="8519" refreshError="1"/>
      <sheetData sheetId="8520" refreshError="1"/>
      <sheetData sheetId="8521" refreshError="1"/>
      <sheetData sheetId="8522" refreshError="1"/>
      <sheetData sheetId="8523" refreshError="1"/>
      <sheetData sheetId="8524" refreshError="1"/>
      <sheetData sheetId="8525" refreshError="1"/>
      <sheetData sheetId="8526" refreshError="1"/>
      <sheetData sheetId="8527" refreshError="1"/>
      <sheetData sheetId="8528" refreshError="1"/>
      <sheetData sheetId="8529" refreshError="1"/>
      <sheetData sheetId="8530" refreshError="1"/>
      <sheetData sheetId="8531" refreshError="1"/>
      <sheetData sheetId="8532" refreshError="1"/>
      <sheetData sheetId="8533" refreshError="1"/>
      <sheetData sheetId="8534" refreshError="1"/>
      <sheetData sheetId="8535" refreshError="1"/>
      <sheetData sheetId="8536" refreshError="1"/>
      <sheetData sheetId="8537" refreshError="1"/>
      <sheetData sheetId="8538" refreshError="1"/>
      <sheetData sheetId="8539" refreshError="1"/>
      <sheetData sheetId="8540" refreshError="1"/>
      <sheetData sheetId="8541" refreshError="1"/>
      <sheetData sheetId="8542" refreshError="1"/>
      <sheetData sheetId="8543" refreshError="1"/>
      <sheetData sheetId="8544" refreshError="1"/>
      <sheetData sheetId="8545" refreshError="1"/>
      <sheetData sheetId="8546" refreshError="1"/>
      <sheetData sheetId="8547" refreshError="1"/>
      <sheetData sheetId="8548" refreshError="1"/>
      <sheetData sheetId="8549" refreshError="1"/>
      <sheetData sheetId="8550" refreshError="1"/>
      <sheetData sheetId="8551" refreshError="1"/>
      <sheetData sheetId="8552" refreshError="1"/>
      <sheetData sheetId="8553" refreshError="1"/>
      <sheetData sheetId="8554" refreshError="1"/>
      <sheetData sheetId="8555" refreshError="1"/>
      <sheetData sheetId="8556" refreshError="1"/>
      <sheetData sheetId="8557" refreshError="1"/>
      <sheetData sheetId="8558" refreshError="1"/>
      <sheetData sheetId="8559"/>
      <sheetData sheetId="8560"/>
      <sheetData sheetId="8561"/>
      <sheetData sheetId="8562" refreshError="1"/>
      <sheetData sheetId="8563" refreshError="1"/>
      <sheetData sheetId="8564" refreshError="1"/>
      <sheetData sheetId="8565" refreshError="1"/>
      <sheetData sheetId="8566" refreshError="1"/>
      <sheetData sheetId="8567" refreshError="1"/>
      <sheetData sheetId="8568" refreshError="1"/>
      <sheetData sheetId="8569" refreshError="1"/>
      <sheetData sheetId="8570" refreshError="1"/>
      <sheetData sheetId="8571" refreshError="1"/>
      <sheetData sheetId="8572" refreshError="1"/>
      <sheetData sheetId="8573" refreshError="1"/>
      <sheetData sheetId="8574" refreshError="1"/>
      <sheetData sheetId="8575" refreshError="1"/>
      <sheetData sheetId="8576" refreshError="1"/>
      <sheetData sheetId="8577" refreshError="1"/>
      <sheetData sheetId="8578" refreshError="1"/>
      <sheetData sheetId="8579" refreshError="1"/>
      <sheetData sheetId="8580" refreshError="1"/>
      <sheetData sheetId="8581" refreshError="1"/>
      <sheetData sheetId="8582" refreshError="1"/>
      <sheetData sheetId="8583" refreshError="1"/>
      <sheetData sheetId="8584" refreshError="1"/>
      <sheetData sheetId="8585" refreshError="1"/>
      <sheetData sheetId="8586" refreshError="1"/>
      <sheetData sheetId="8587" refreshError="1"/>
      <sheetData sheetId="8588" refreshError="1"/>
      <sheetData sheetId="8589" refreshError="1"/>
      <sheetData sheetId="8590" refreshError="1"/>
      <sheetData sheetId="8591" refreshError="1"/>
      <sheetData sheetId="8592" refreshError="1"/>
      <sheetData sheetId="8593" refreshError="1"/>
      <sheetData sheetId="8594" refreshError="1"/>
      <sheetData sheetId="8595" refreshError="1"/>
      <sheetData sheetId="8596" refreshError="1"/>
      <sheetData sheetId="8597" refreshError="1"/>
      <sheetData sheetId="8598" refreshError="1"/>
      <sheetData sheetId="8599" refreshError="1"/>
      <sheetData sheetId="8600" refreshError="1"/>
      <sheetData sheetId="8601" refreshError="1"/>
      <sheetData sheetId="8602" refreshError="1"/>
      <sheetData sheetId="8603" refreshError="1"/>
      <sheetData sheetId="8604" refreshError="1"/>
      <sheetData sheetId="8605" refreshError="1"/>
      <sheetData sheetId="8606"/>
      <sheetData sheetId="8607"/>
      <sheetData sheetId="8608"/>
      <sheetData sheetId="8609"/>
      <sheetData sheetId="8610"/>
      <sheetData sheetId="8611"/>
      <sheetData sheetId="8612"/>
      <sheetData sheetId="8613"/>
      <sheetData sheetId="8614"/>
      <sheetData sheetId="8615"/>
      <sheetData sheetId="8616"/>
      <sheetData sheetId="8617"/>
      <sheetData sheetId="8618"/>
      <sheetData sheetId="8619"/>
      <sheetData sheetId="8620"/>
      <sheetData sheetId="8621"/>
      <sheetData sheetId="8622"/>
      <sheetData sheetId="8623" refreshError="1"/>
      <sheetData sheetId="8624" refreshError="1"/>
      <sheetData sheetId="8625" refreshError="1"/>
      <sheetData sheetId="8626" refreshError="1"/>
      <sheetData sheetId="8627" refreshError="1"/>
      <sheetData sheetId="8628" refreshError="1"/>
      <sheetData sheetId="8629" refreshError="1"/>
      <sheetData sheetId="8630" refreshError="1"/>
      <sheetData sheetId="8631" refreshError="1"/>
      <sheetData sheetId="8632" refreshError="1"/>
      <sheetData sheetId="8633" refreshError="1"/>
      <sheetData sheetId="8634" refreshError="1"/>
      <sheetData sheetId="8635" refreshError="1"/>
      <sheetData sheetId="8636" refreshError="1"/>
      <sheetData sheetId="8637" refreshError="1"/>
      <sheetData sheetId="8638" refreshError="1"/>
      <sheetData sheetId="8639" refreshError="1"/>
      <sheetData sheetId="8640" refreshError="1"/>
      <sheetData sheetId="8641"/>
      <sheetData sheetId="8642"/>
      <sheetData sheetId="8643"/>
      <sheetData sheetId="8644"/>
      <sheetData sheetId="8645"/>
      <sheetData sheetId="8646"/>
      <sheetData sheetId="8647"/>
      <sheetData sheetId="8648"/>
      <sheetData sheetId="8649"/>
      <sheetData sheetId="8650"/>
      <sheetData sheetId="8651"/>
      <sheetData sheetId="8652" refreshError="1"/>
      <sheetData sheetId="8653" refreshError="1"/>
      <sheetData sheetId="8654" refreshError="1"/>
      <sheetData sheetId="8655" refreshError="1"/>
      <sheetData sheetId="8656" refreshError="1"/>
      <sheetData sheetId="8657" refreshError="1"/>
      <sheetData sheetId="8658" refreshError="1"/>
      <sheetData sheetId="8659" refreshError="1"/>
      <sheetData sheetId="8660" refreshError="1"/>
      <sheetData sheetId="8661" refreshError="1"/>
      <sheetData sheetId="8662" refreshError="1"/>
      <sheetData sheetId="8663"/>
      <sheetData sheetId="8664" refreshError="1"/>
      <sheetData sheetId="8665" refreshError="1"/>
      <sheetData sheetId="8666" refreshError="1"/>
      <sheetData sheetId="8667" refreshError="1"/>
      <sheetData sheetId="8668" refreshError="1"/>
      <sheetData sheetId="8669" refreshError="1"/>
      <sheetData sheetId="8670" refreshError="1"/>
      <sheetData sheetId="8671" refreshError="1"/>
      <sheetData sheetId="8672" refreshError="1"/>
      <sheetData sheetId="8673" refreshError="1"/>
      <sheetData sheetId="8674" refreshError="1"/>
      <sheetData sheetId="8675" refreshError="1"/>
      <sheetData sheetId="8676"/>
      <sheetData sheetId="8677"/>
      <sheetData sheetId="8678"/>
      <sheetData sheetId="8679"/>
      <sheetData sheetId="8680"/>
      <sheetData sheetId="8681"/>
      <sheetData sheetId="8682"/>
      <sheetData sheetId="8683"/>
      <sheetData sheetId="8684"/>
      <sheetData sheetId="8685"/>
      <sheetData sheetId="8686"/>
      <sheetData sheetId="8687" refreshError="1"/>
      <sheetData sheetId="8688" refreshError="1"/>
      <sheetData sheetId="8689" refreshError="1"/>
      <sheetData sheetId="8690" refreshError="1"/>
      <sheetData sheetId="8691" refreshError="1"/>
      <sheetData sheetId="8692" refreshError="1"/>
      <sheetData sheetId="8693" refreshError="1"/>
      <sheetData sheetId="8694" refreshError="1"/>
      <sheetData sheetId="8695" refreshError="1"/>
      <sheetData sheetId="8696" refreshError="1"/>
      <sheetData sheetId="8697" refreshError="1"/>
      <sheetData sheetId="8698" refreshError="1"/>
      <sheetData sheetId="8699" refreshError="1"/>
      <sheetData sheetId="8700" refreshError="1"/>
      <sheetData sheetId="8701" refreshError="1"/>
      <sheetData sheetId="8702" refreshError="1"/>
      <sheetData sheetId="8703" refreshError="1"/>
      <sheetData sheetId="8704" refreshError="1"/>
      <sheetData sheetId="8705" refreshError="1"/>
    </sheetDataSet>
  </externalBook>
</externalLink>
</file>

<file path=xl/externalLinks/externalLink16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사업부배부A"/>
      <sheetName val="영업소실적"/>
      <sheetName val="사업부배부B"/>
      <sheetName val="사업부별실적A"/>
      <sheetName val="사업부별실적B"/>
      <sheetName val="임대원가"/>
      <sheetName val="관리비 추정"/>
      <sheetName val="예산초과내역"/>
      <sheetName val="계정별실적"/>
      <sheetName val="분기별계획"/>
      <sheetName val="해외인원추이"/>
      <sheetName val="배부비교"/>
      <sheetName val="상반기손익차2총괄"/>
      <sheetName val="BEND LOSS"/>
      <sheetName val="부표"/>
      <sheetName val="장비종합부표"/>
      <sheetName val="도급양식"/>
      <sheetName val="접대비명세서"/>
      <sheetName val="C급보 "/>
      <sheetName val="환율"/>
      <sheetName val="Sheet1"/>
      <sheetName val="N賃率-職"/>
      <sheetName val="6호기"/>
      <sheetName val="간접비 총괄표"/>
      <sheetName val="할증 "/>
      <sheetName val="배부961"/>
      <sheetName val="b_balju-단가단가단가"/>
      <sheetName val="패널"/>
      <sheetName val="주관사업"/>
      <sheetName val="노임단가"/>
      <sheetName val="수입"/>
      <sheetName val="공사내역"/>
      <sheetName val="세금자료"/>
      <sheetName val="노무비"/>
      <sheetName val="물가대비표"/>
      <sheetName val="단가산출"/>
      <sheetName val="7단가"/>
      <sheetName val="70%"/>
      <sheetName val="일위대가(건축)"/>
      <sheetName val="공사비_NDE"/>
      <sheetName val="견적서을"/>
      <sheetName val="설계명세서"/>
      <sheetName val="품셈표"/>
      <sheetName val="Cover"/>
      <sheetName val="2.1.1"/>
      <sheetName val="첨1.4"/>
      <sheetName val="첨1.5"/>
      <sheetName val="첨1.3"/>
      <sheetName val="DATE"/>
      <sheetName val="2공구산출내역"/>
      <sheetName val="내역서"/>
      <sheetName val="매각(6)"/>
      <sheetName val="실행예산SHEET도장재검토"/>
      <sheetName val="C3"/>
      <sheetName val="예산내역"/>
      <sheetName val="총괄수지표"/>
      <sheetName val="잡설비내역"/>
      <sheetName val="일위목록"/>
      <sheetName val="요율"/>
      <sheetName val="SIMULATION"/>
      <sheetName val="#REF"/>
      <sheetName val="가로등내역서"/>
      <sheetName val="도장시공집계"/>
      <sheetName val="부표총괄"/>
      <sheetName val="Sheet2"/>
      <sheetName val="NPC500"/>
      <sheetName val="경제지표"/>
      <sheetName val="PI"/>
      <sheetName val="코드목록(시스템담당용)"/>
      <sheetName val="1호인버트수량"/>
      <sheetName val="외화"/>
      <sheetName val="수주추정"/>
      <sheetName val="품셈"/>
      <sheetName val="노임단가산출근거"/>
      <sheetName val="정산표2"/>
      <sheetName val="Back up"/>
      <sheetName val="LOOKUP"/>
      <sheetName val="Bond Fee"/>
      <sheetName val="9-1차이내역"/>
      <sheetName val="eq_data"/>
      <sheetName val="산근"/>
      <sheetName val="97 사업추정(WEKI)"/>
      <sheetName val="DAN"/>
      <sheetName val="백호우계수"/>
      <sheetName val="h-013211-2"/>
      <sheetName val="RENUN"/>
      <sheetName val="PumpSpec"/>
      <sheetName val="손익차9월2"/>
      <sheetName val="입력"/>
      <sheetName val="연돌일위집계"/>
      <sheetName val="자재표"/>
      <sheetName val="당초"/>
      <sheetName val="노임9월"/>
      <sheetName val="도기류"/>
      <sheetName val="95삼성급(본사)"/>
      <sheetName val="CAT_5"/>
      <sheetName val="견적서"/>
      <sheetName val="집계표"/>
      <sheetName val="가도공"/>
      <sheetName val="INSTR"/>
      <sheetName val="Piping(Methanol)"/>
      <sheetName val="공사비 내역 (가)"/>
      <sheetName val="전선 및 전선관"/>
      <sheetName val="인건비"/>
      <sheetName val="ANALYSER"/>
      <sheetName val="3.건축(현장안)"/>
      <sheetName val="BM"/>
      <sheetName val="관리비_추정"/>
      <sheetName val="공사자료입력"/>
      <sheetName val="BEND_LOSS"/>
      <sheetName val="C급보_"/>
      <sheetName val="간접비_총괄표"/>
      <sheetName val="할증_"/>
      <sheetName val="2_1_1"/>
      <sheetName val="첨1_4"/>
      <sheetName val="첨1_5"/>
      <sheetName val="첨1_3"/>
      <sheetName val="Back_up"/>
      <sheetName val="Bond_Fee"/>
      <sheetName val="97_사업추정(WEKI)"/>
      <sheetName val="자재단가"/>
      <sheetName val="전선_및_전선관"/>
      <sheetName val="투입실적"/>
      <sheetName val="CBE-VSL"/>
      <sheetName val="member design"/>
      <sheetName val="working load at the btm ft."/>
      <sheetName val="soil bearing check"/>
      <sheetName val="육상토목 견적대비표-Rev.0(13.07.03).xlsx"/>
      <sheetName val="P.M 별"/>
      <sheetName val="골조시행"/>
      <sheetName val="옥외 전력간선공사"/>
      <sheetName val="단가조사"/>
      <sheetName val="ELEC_DCI"/>
      <sheetName val="INST_DCI"/>
      <sheetName val="인원현황"/>
      <sheetName val="수목데이타 "/>
      <sheetName val="ISBL"/>
      <sheetName val="OSBL"/>
      <sheetName val="사업계획"/>
      <sheetName val="1-11조직표"/>
      <sheetName val="세부내역"/>
      <sheetName val="차량운영비"/>
      <sheetName val="1.설계기준"/>
      <sheetName val="재료비"/>
      <sheetName val="매출vl"/>
      <sheetName val="현장업무"/>
      <sheetName val="일위대가 "/>
      <sheetName val="SS2"/>
      <sheetName val="★도급내역"/>
      <sheetName val="기타경비"/>
      <sheetName val="분개"/>
      <sheetName val="자재"/>
      <sheetName val="장산"/>
      <sheetName val="인산"/>
      <sheetName val="HDEC"/>
      <sheetName val="Mech CIF"/>
      <sheetName val="인원동원계획"/>
      <sheetName val="SE-611"/>
      <sheetName val="간접비총괄"/>
      <sheetName val="Instruction"/>
      <sheetName val="변경품셈총괄"/>
      <sheetName val="Sheet3"/>
      <sheetName val="음성방향"/>
      <sheetName val="Sheet4"/>
      <sheetName val="재집"/>
      <sheetName val="직재"/>
      <sheetName val="기준FACTOR"/>
      <sheetName val="1차 내역서"/>
      <sheetName val="유림골조"/>
      <sheetName val="공사계획서"/>
      <sheetName val="INPUT DATA"/>
      <sheetName val="일위대가표(DEEP)"/>
      <sheetName val="관리비_추정1"/>
      <sheetName val="BEND_LOSS1"/>
      <sheetName val="C급보_1"/>
      <sheetName val="간접비_총괄표1"/>
      <sheetName val="할증_1"/>
      <sheetName val="BULK_1"/>
      <sheetName val="환율CHANGE"/>
      <sheetName val="2.대외공문"/>
      <sheetName val="토목"/>
      <sheetName val="실행집계"/>
      <sheetName val="9811"/>
      <sheetName val="Sheet1 (2)"/>
      <sheetName val="variable"/>
      <sheetName val="CON'C"/>
      <sheetName val="안전장치"/>
      <sheetName val="Eq. Mobilization"/>
      <sheetName val="98수문일위"/>
      <sheetName val="단가"/>
      <sheetName val="설계내역서"/>
      <sheetName val="당진1,2호기전선관설치및접지4차공사내역서-을지"/>
      <sheetName val="member_design"/>
      <sheetName val="working_load_at_the_btm_ft_"/>
      <sheetName val="soil_bearing_check"/>
      <sheetName val="육상토목_견적대비표-Rev_0(13_07_03)_xlsx"/>
      <sheetName val="관리비_추정2"/>
      <sheetName val="BEND_LOSS2"/>
      <sheetName val="C급보_2"/>
      <sheetName val="간접비_총괄표2"/>
      <sheetName val="할증_2"/>
      <sheetName val="2_1_11"/>
      <sheetName val="첨1_41"/>
      <sheetName val="첨1_51"/>
      <sheetName val="첨1_31"/>
      <sheetName val="Back_up1"/>
      <sheetName val="Bond_Fee1"/>
      <sheetName val="97_사업추정(WEKI)1"/>
      <sheetName val="전선_및_전선관1"/>
      <sheetName val="공사비_내역_(가)"/>
      <sheetName val="3_건축(현장안)"/>
      <sheetName val="P_M_별"/>
      <sheetName val="옥외_전력간선공사"/>
      <sheetName val="수목데이타_"/>
      <sheetName val="1_설계기준"/>
      <sheetName val="일위대가_"/>
      <sheetName val="Mech_CIF"/>
      <sheetName val="1차_내역서"/>
      <sheetName val="INPUT_DATA"/>
      <sheetName val="2_대외공문"/>
      <sheetName val="Sheet1_(2)"/>
      <sheetName val="Eq__Mobilization"/>
      <sheetName val="관리비_추정3"/>
      <sheetName val="BEND_LOSS3"/>
      <sheetName val="C급보_3"/>
      <sheetName val="간접비_총괄표3"/>
      <sheetName val="할증_3"/>
      <sheetName val="2_1_12"/>
      <sheetName val="첨1_42"/>
      <sheetName val="첨1_52"/>
      <sheetName val="첨1_32"/>
      <sheetName val="Back_up2"/>
      <sheetName val="Bond_Fee2"/>
      <sheetName val="97_사업추정(WEKI)2"/>
      <sheetName val="전선_및_전선관2"/>
      <sheetName val="공사비_내역_(가)1"/>
      <sheetName val="3_건축(현장안)1"/>
      <sheetName val="member_design1"/>
      <sheetName val="working_load_at_the_btm_ft_1"/>
      <sheetName val="soil_bearing_check1"/>
      <sheetName val="육상토목_견적대비표-Rev_0(13_07_03)_xls1"/>
      <sheetName val="P_M_별1"/>
      <sheetName val="옥외_전력간선공사1"/>
      <sheetName val="수목데이타_1"/>
      <sheetName val="1_설계기준1"/>
      <sheetName val="일위대가_1"/>
      <sheetName val="Mech_CIF1"/>
      <sheetName val="1차_내역서1"/>
      <sheetName val="INPUT_DATA1"/>
      <sheetName val="2_대외공문1"/>
      <sheetName val="Sheet1_(2)1"/>
      <sheetName val="Eq__Mobilization1"/>
      <sheetName val="전기3.1 단가비교표(분전반)"/>
      <sheetName val="전기1. 단위내역목록"/>
      <sheetName val="전기4. 인건비"/>
      <sheetName val="배수내역"/>
      <sheetName val="SPARE(FOR COMM)"/>
      <sheetName val="일위대가목차"/>
      <sheetName val="MP월간계획"/>
      <sheetName val="MP주간계획"/>
      <sheetName val="MP일간계획"/>
      <sheetName val="Equipment Mobilization Plan"/>
      <sheetName val="Pipe"/>
      <sheetName val="HVAC"/>
      <sheetName val="노임이"/>
      <sheetName val="Estimate"/>
      <sheetName val="HRG BAHAN &amp; UPAH okk"/>
      <sheetName val="Data"/>
      <sheetName val="escon"/>
      <sheetName val="품의양"/>
      <sheetName val="삭제금지단가"/>
      <sheetName val="급여관련자료"/>
      <sheetName val="Sheet2 (2)"/>
      <sheetName val="5. 수량집계표"/>
      <sheetName val="dasar"/>
      <sheetName val="전기"/>
      <sheetName val="COVERSHEET PAGE"/>
      <sheetName val="6공구(당초)"/>
      <sheetName val="환경기계공정표 (3)"/>
      <sheetName val="DESCRIPTION"/>
      <sheetName val="BM DATA SHEET"/>
      <sheetName val="General Data"/>
      <sheetName val="HRG_BAHAN_&amp;_UPAH_okk"/>
      <sheetName val="General_Data"/>
      <sheetName val="기본단가"/>
      <sheetName val="인건비단가"/>
      <sheetName val="Steel"/>
      <sheetName val="현장관리비"/>
      <sheetName val="실행내역"/>
      <sheetName val="일위대가표"/>
      <sheetName val="設計温度圧力線図"/>
      <sheetName val="CTEMCOST"/>
      <sheetName val="1.설계조건"/>
      <sheetName val="1设备占用野三"/>
      <sheetName val="取费基准"/>
      <sheetName val="예산작성기준(전기)"/>
      <sheetName val="设备类型选择"/>
      <sheetName val="120"/>
      <sheetName val="130"/>
      <sheetName val="100"/>
      <sheetName val="101"/>
      <sheetName val="102"/>
      <sheetName val="103"/>
      <sheetName val="106"/>
      <sheetName val="108"/>
      <sheetName val="109"/>
      <sheetName val="131"/>
      <sheetName val="110"/>
      <sheetName val="111"/>
      <sheetName val="114"/>
      <sheetName val="116"/>
      <sheetName val="132"/>
      <sheetName val="140"/>
      <sheetName val="141"/>
      <sheetName val="142"/>
      <sheetName val="143"/>
      <sheetName val="144"/>
      <sheetName val="145"/>
      <sheetName val="146"/>
      <sheetName val="121"/>
      <sheetName val="147"/>
      <sheetName val="148"/>
      <sheetName val="160"/>
      <sheetName val="164"/>
      <sheetName val="Flaer Area"/>
      <sheetName val="123"/>
      <sheetName val="124"/>
      <sheetName val="125"/>
      <sheetName val="126"/>
      <sheetName val="127"/>
      <sheetName val="128"/>
      <sheetName val="129"/>
      <sheetName val="XLR_NoRangeSheet"/>
      <sheetName val="내역"/>
      <sheetName val="계약고별 차등단가"/>
      <sheetName val="환경기계공정표_(3)"/>
      <sheetName val="인원계획"/>
      <sheetName val="철거산출근거"/>
      <sheetName val="관리비_추정4"/>
      <sheetName val="BEND_LOSS4"/>
      <sheetName val="C급보_4"/>
      <sheetName val="간접비_총괄표4"/>
      <sheetName val="할증_4"/>
      <sheetName val="2_1_13"/>
      <sheetName val="첨1_43"/>
      <sheetName val="첨1_53"/>
      <sheetName val="첨1_33"/>
      <sheetName val="Back_up3"/>
      <sheetName val="Bond_Fee3"/>
      <sheetName val="97_사업추정(WEKI)3"/>
      <sheetName val="공사비_내역_(가)2"/>
      <sheetName val="전선_및_전선관3"/>
      <sheetName val="3_건축(현장안)2"/>
      <sheetName val="member_design2"/>
      <sheetName val="working_load_at_the_btm_ft_2"/>
      <sheetName val="soil_bearing_check2"/>
      <sheetName val="육상토목_견적대비표-Rev_0(13_07_03)_xls2"/>
      <sheetName val="P_M_별2"/>
      <sheetName val="옥외_전력간선공사2"/>
      <sheetName val="수목데이타_2"/>
      <sheetName val="1_설계기준2"/>
      <sheetName val="일위대가_2"/>
      <sheetName val="Mech_CIF2"/>
      <sheetName val="1차_내역서2"/>
      <sheetName val="INPUT_DATA2"/>
      <sheetName val="2_대외공문2"/>
      <sheetName val="Sheet1_(2)2"/>
      <sheetName val="Eq__Mobilization2"/>
      <sheetName val="전기3_1_단가비교표(분전반)"/>
      <sheetName val="전기1__단위내역목록"/>
      <sheetName val="전기4__인건비"/>
      <sheetName val="SPARE(FOR_COMM)"/>
      <sheetName val="Equipment_Mobilization_Plan"/>
      <sheetName val="5__수량집계표"/>
      <sheetName val="Sheet2_(2)"/>
      <sheetName val="COVERSHEET_PAGE"/>
      <sheetName val="단가일람"/>
      <sheetName val="조경일람"/>
    </sheetNames>
    <sheetDataSet>
      <sheetData sheetId="0"/>
      <sheetData sheetId="1" refreshError="1"/>
      <sheetData sheetId="2"/>
      <sheetData sheetId="3"/>
      <sheetData sheetId="4"/>
      <sheetData sheetId="5" refreshError="1"/>
      <sheetData sheetId="6"/>
      <sheetData sheetId="7" refreshError="1"/>
      <sheetData sheetId="8"/>
      <sheetData sheetId="9"/>
      <sheetData sheetId="10"/>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refreshError="1"/>
      <sheetData sheetId="253" refreshError="1"/>
      <sheetData sheetId="254" refreshError="1"/>
      <sheetData sheetId="255" refreshError="1"/>
      <sheetData sheetId="256" refreshError="1"/>
      <sheetData sheetId="257" refreshError="1"/>
      <sheetData sheetId="258"/>
      <sheetData sheetId="259"/>
      <sheetData sheetId="260"/>
      <sheetData sheetId="26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sheetData sheetId="283"/>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sheetData sheetId="336" refreshError="1"/>
      <sheetData sheetId="337" refreshError="1"/>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refreshError="1"/>
      <sheetData sheetId="377" refreshError="1"/>
    </sheetDataSet>
  </externalBook>
</externalLink>
</file>

<file path=xl/externalLinks/externalLink16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계약고변"/>
      <sheetName val="선투입재고 "/>
      <sheetName val="상반기 실적추정 총괄표 (2)"/>
      <sheetName val="상반기 실적추정 총괄표"/>
      <sheetName val="손익차상반기총괄"/>
      <sheetName val="상반기손익차2총괄"/>
      <sheetName val="전기"/>
      <sheetName val="결산실적01"/>
      <sheetName val="변경품셈총괄"/>
      <sheetName val="사업추정"/>
      <sheetName val="일위대가"/>
      <sheetName val="단가대비표"/>
      <sheetName val="#REF"/>
      <sheetName val="노임단가"/>
      <sheetName val="수목데이타 "/>
      <sheetName val="견적"/>
      <sheetName val="실행내역 "/>
      <sheetName val="안전장치"/>
      <sheetName val="간접비 총괄표"/>
      <sheetName val="집계표"/>
      <sheetName val="매각(6)"/>
      <sheetName val="TT 매입율"/>
      <sheetName val="세금자료"/>
      <sheetName val="Sheet1"/>
      <sheetName val="현장배치"/>
      <sheetName val="부표총괄"/>
      <sheetName val="수량산출"/>
      <sheetName val="금액결정"/>
      <sheetName val="BOJUNGGM"/>
      <sheetName val="기성수금(단단위)"/>
      <sheetName val="원가매출(단단위)"/>
      <sheetName val="현장"/>
      <sheetName val="첨부1"/>
      <sheetName val="원가계산서(남측)"/>
      <sheetName val="1-11조직표"/>
      <sheetName val="총괄내역서"/>
      <sheetName val="남대문빌딩"/>
      <sheetName val="1_11조직표"/>
      <sheetName val="당초"/>
      <sheetName val="DATE"/>
      <sheetName val="개시전표"/>
      <sheetName val="공사집계"/>
      <sheetName val="Sheet4"/>
      <sheetName val="등급"/>
      <sheetName val="손익차9월2"/>
      <sheetName val="단가비교(TOTAL)"/>
      <sheetName val="수입"/>
      <sheetName val="실행대비"/>
      <sheetName val="공문"/>
      <sheetName val="소화실적"/>
      <sheetName val="산수배수"/>
      <sheetName val="지급자재"/>
      <sheetName val="Sheet2"/>
      <sheetName val="97 사업추정(WEKI)"/>
      <sheetName val="SIMULATION"/>
      <sheetName val="자료"/>
      <sheetName val="유림골조"/>
      <sheetName val="대비"/>
      <sheetName val="마산월령동골조물량변경"/>
      <sheetName val="진주방향"/>
      <sheetName val="마산방향"/>
      <sheetName val="마산방향철근집계"/>
      <sheetName val="공사비 내역 (가)"/>
      <sheetName val="직노"/>
      <sheetName val="비교1"/>
      <sheetName val="주소록"/>
      <sheetName val="NYS"/>
      <sheetName val="마스터"/>
      <sheetName val="코드목록"/>
      <sheetName val="품목납기"/>
      <sheetName val="M-EQPT-Z"/>
      <sheetName val="현장현황"/>
      <sheetName val="내역"/>
      <sheetName val="공사손익"/>
      <sheetName val="고자현황"/>
      <sheetName val="변수목록"/>
      <sheetName val="카메라"/>
      <sheetName val="설계예시"/>
      <sheetName val="내역서"/>
      <sheetName val="9811"/>
      <sheetName val="하수급견적대비"/>
      <sheetName val="간접비총괄 (2)"/>
      <sheetName val="토목"/>
      <sheetName val="시운전연료"/>
      <sheetName val="15 문제점"/>
      <sheetName val="기준요인별"/>
      <sheetName val="영업소실적"/>
      <sheetName val="인원계획"/>
      <sheetName val="간접비(1)"/>
      <sheetName val="FWBS7000,8000"/>
      <sheetName val="ANALYSER"/>
      <sheetName val="주관사업"/>
      <sheetName val="건축공사실행"/>
      <sheetName val="선투입재고_"/>
      <sheetName val="상반기_실적추정_총괄표_(2)"/>
      <sheetName val="상반기_실적추정_총괄표"/>
      <sheetName val="수목데이타_"/>
      <sheetName val="실행내역_"/>
      <sheetName val="간접비_총괄표"/>
      <sheetName val="현장관리비"/>
      <sheetName val="간접비총괄"/>
      <sheetName val="조직표"/>
      <sheetName val="교육종류"/>
      <sheetName val="내역서(삼호)"/>
      <sheetName val="공사설계서"/>
      <sheetName val="공통부대비"/>
      <sheetName val="ELECTRIC"/>
      <sheetName val="급여TABLE"/>
      <sheetName val="기초일위"/>
      <sheetName val="시설일위"/>
      <sheetName val="조명일위"/>
      <sheetName val="9509"/>
      <sheetName val="기준액"/>
      <sheetName val="부대tu"/>
      <sheetName val="연결임시"/>
      <sheetName val="배수내역"/>
      <sheetName val="일위대가표"/>
      <sheetName val="제경비"/>
      <sheetName val="9-1차이내역"/>
      <sheetName val="참고자료"/>
      <sheetName val="h-013211-2"/>
      <sheetName val="Unit 49_분개표"/>
      <sheetName val="Unit 76_분개표"/>
      <sheetName val="UnitList"/>
      <sheetName val="RFP007"/>
      <sheetName val="INPUT DATA"/>
      <sheetName val="CIVIL WORK"/>
      <sheetName val="기계경비(시간당)"/>
      <sheetName val="램머"/>
      <sheetName val="경산"/>
      <sheetName val="생산직"/>
      <sheetName val="현금흐름표"/>
      <sheetName val="교각1"/>
      <sheetName val="신흥교"/>
      <sheetName val="TT_매입율"/>
      <sheetName val="97_사업추정(WEKI)"/>
      <sheetName val="공사비_내역_(가)"/>
      <sheetName val="단가조사"/>
      <sheetName val="사업부배부A"/>
      <sheetName val="COMPARISON TABLE"/>
      <sheetName val="DESCRIPTION"/>
      <sheetName val="월별사업계획_조정"/>
      <sheetName val="VC2 10.99"/>
      <sheetName val="Schedule 2 and 3"/>
      <sheetName val="BRICK"/>
      <sheetName val="B31.1"/>
      <sheetName val="PSIZE"/>
      <sheetName val="지사인원사무실"/>
      <sheetName val="ironmongery"/>
      <sheetName val="남양주부대"/>
      <sheetName val="96.12"/>
      <sheetName val="직원동원계획"/>
      <sheetName val="REDUCER"/>
      <sheetName val="WE'T"/>
      <sheetName val="OFFER RATE"/>
      <sheetName val="Mech CIF"/>
      <sheetName val="COVERSHEET PAGE"/>
      <sheetName val="본지점중"/>
      <sheetName val="TABLE2-2 OSBL-(SITE PREP)"/>
      <sheetName val="BOQ"/>
      <sheetName val="OSBL-TOTAL (OTHER WORK)"/>
      <sheetName val="OSBL-TOTAL (SEA WATER)"/>
      <sheetName val="OSBL-TOTAL (CIVIL WORK)"/>
      <sheetName val=" OVERALL"/>
      <sheetName val="SUMMARY"/>
      <sheetName val="1"/>
      <sheetName val="2.1"/>
      <sheetName val="2.2"/>
      <sheetName val="2.3"/>
      <sheetName val="2.4"/>
      <sheetName val="3"/>
      <sheetName val="4"/>
      <sheetName val="5.1"/>
      <sheetName val="5.2"/>
      <sheetName val="5.3"/>
      <sheetName val="6"/>
      <sheetName val="7"/>
      <sheetName val="8.1"/>
      <sheetName val="8.2"/>
      <sheetName val="9"/>
      <sheetName val="10"/>
      <sheetName val="11"/>
      <sheetName val="ATTACHMENT 1"/>
      <sheetName val="급여관련자료"/>
      <sheetName val="표지"/>
      <sheetName val="데이타"/>
      <sheetName val="증감내역서"/>
      <sheetName val="기성현황"/>
      <sheetName val="사업전망"/>
      <sheetName val="원가현황"/>
      <sheetName val="공사비_NDE"/>
      <sheetName val="INSTR"/>
      <sheetName val="95삼성급(본사)"/>
      <sheetName val="VC2 8.98"/>
      <sheetName val="단가표"/>
      <sheetName val="자재(원원+원대)"/>
      <sheetName val="일위대가(가설)"/>
      <sheetName val="Sheet1 (2)"/>
      <sheetName val="CTEMCOST"/>
      <sheetName val="작성지침(고정비)"/>
      <sheetName val="준검 내역서"/>
      <sheetName val="투찰내역"/>
      <sheetName val="MEED"/>
      <sheetName val="산1~6"/>
      <sheetName val="배수공"/>
      <sheetName val="측구공"/>
      <sheetName val="용소리교"/>
      <sheetName val="토공(우물통,기타) "/>
      <sheetName val="단가"/>
      <sheetName val="면접시간확인"/>
      <sheetName val="10ADIT05"/>
      <sheetName val="관로토공"/>
      <sheetName val="BOW"/>
      <sheetName val="Analisa"/>
      <sheetName val="BOQ and Estimation Sheet 100330"/>
      <sheetName val="설계예산서"/>
      <sheetName val="예산내역서"/>
      <sheetName val="예정공정표"/>
      <sheetName val="총계"/>
      <sheetName val="1차 내역서"/>
      <sheetName val="협조전"/>
      <sheetName val="Baby일위대가"/>
      <sheetName val="납부서"/>
      <sheetName val="삼보지질"/>
      <sheetName val="2000년1차"/>
      <sheetName val="내역서(토목)"/>
      <sheetName val="기초단가"/>
      <sheetName val="CAT_5"/>
      <sheetName val="연돌일위집계"/>
      <sheetName val="Avtivity Define"/>
      <sheetName val="설치공사비"/>
      <sheetName val="산1~4"/>
      <sheetName val="증감대비"/>
      <sheetName val="3.설계예산내역서(예산서)"/>
      <sheetName val="2.예정공정표"/>
      <sheetName val="터파기및재료"/>
      <sheetName val="영업,지장물,이사확인서(개인,법인,종중)"/>
      <sheetName val="회사정보"/>
      <sheetName val="지정"/>
      <sheetName val="건축개요"/>
      <sheetName val="정산표"/>
      <sheetName val="안산기계장치"/>
      <sheetName val="ABUT수량-A1"/>
      <sheetName val="변수"/>
      <sheetName val="데리네이타현황"/>
      <sheetName val="7공구-산출근거"/>
      <sheetName val="발주설계서(당초)"/>
      <sheetName val=" 냉각수펌프"/>
      <sheetName val="CB"/>
      <sheetName val="북제주-표지"/>
      <sheetName val="산근"/>
      <sheetName val="갑지"/>
      <sheetName val="설계명세서"/>
      <sheetName val="b_balju"/>
      <sheetName val="시행예산"/>
      <sheetName val="MANHOLE"/>
      <sheetName val="Basic"/>
      <sheetName val="inter"/>
      <sheetName val="기준"/>
      <sheetName val="Cover"/>
      <sheetName val="sum3"/>
      <sheetName val="PRO_DCI"/>
      <sheetName val="INST_DCI"/>
      <sheetName val="HVAC_DCI"/>
      <sheetName val="PIPE_DCI"/>
      <sheetName val="Summary Sheets"/>
      <sheetName val="금액내역서"/>
      <sheetName val="노임"/>
      <sheetName val="eq_data"/>
      <sheetName val="D2old"/>
      <sheetName val="Library"/>
      <sheetName val="VENDOR LIST"/>
      <sheetName val="공통비"/>
      <sheetName val="Ex-Rate"/>
      <sheetName val="요약배부"/>
      <sheetName val="경제지표"/>
      <sheetName val="Compare-1"/>
      <sheetName val="기계내역서"/>
      <sheetName val="현장지지물물량"/>
      <sheetName val="기기리스트"/>
      <sheetName val="가설공사 내역"/>
      <sheetName val="정산서"/>
      <sheetName val="보호"/>
      <sheetName val="120"/>
      <sheetName val="130"/>
      <sheetName val="100"/>
      <sheetName val="101"/>
      <sheetName val="102"/>
      <sheetName val="103"/>
      <sheetName val="106"/>
      <sheetName val="108"/>
      <sheetName val="109"/>
      <sheetName val="131"/>
      <sheetName val="110"/>
      <sheetName val="111"/>
      <sheetName val="114"/>
      <sheetName val="116"/>
      <sheetName val="132"/>
      <sheetName val="140"/>
      <sheetName val="141"/>
      <sheetName val="142"/>
      <sheetName val="143"/>
      <sheetName val="144"/>
      <sheetName val="145"/>
      <sheetName val="146"/>
      <sheetName val="121"/>
      <sheetName val="147"/>
      <sheetName val="148"/>
      <sheetName val="160"/>
      <sheetName val="164"/>
      <sheetName val="Flaer Area"/>
      <sheetName val="123"/>
      <sheetName val="124"/>
      <sheetName val="125"/>
      <sheetName val="126"/>
      <sheetName val="127"/>
      <sheetName val="128"/>
      <sheetName val="129"/>
      <sheetName val="슬래브(PF)(하류)"/>
      <sheetName val="공비대비"/>
      <sheetName val="내역(중앙)"/>
      <sheetName val="내역(창신)"/>
      <sheetName val="예총"/>
      <sheetName val="재료비"/>
      <sheetName val="매출vl"/>
      <sheetName val="기타경비"/>
      <sheetName val="잔토처리"/>
      <sheetName val="터파기,되메우기,램머,코아"/>
      <sheetName val="절단,포장깨기"/>
      <sheetName val="노임 단가"/>
      <sheetName val="5사남"/>
      <sheetName val="국산화"/>
      <sheetName val="기초자료"/>
      <sheetName val="본부별매출"/>
      <sheetName val="이름표"/>
      <sheetName val="토목주소"/>
      <sheetName val="BM"/>
      <sheetName val="공통비총괄표"/>
      <sheetName val="관급"/>
      <sheetName val="_REF"/>
      <sheetName val=" Sum"/>
      <sheetName val="PI"/>
      <sheetName val="일위대가목차"/>
      <sheetName val="출고집계"/>
      <sheetName val="2.대외공문"/>
      <sheetName val="BATCH"/>
      <sheetName val="기준표"/>
      <sheetName val="Control sheet"/>
      <sheetName val="기표"/>
      <sheetName val="해외"/>
      <sheetName val="기계설비"/>
      <sheetName val="YOEMAGUM"/>
      <sheetName val="최근결산기준"/>
      <sheetName val="합손"/>
      <sheetName val="Ctrl"/>
      <sheetName val="금융"/>
      <sheetName val="은행"/>
      <sheetName val="리스"/>
      <sheetName val="보험"/>
      <sheetName val="기초입력"/>
      <sheetName val="수주실적0709"/>
      <sheetName val="현장관리비데이타"/>
      <sheetName val="선투입재고_1"/>
      <sheetName val="상반기_실적추정_총괄표_(2)1"/>
      <sheetName val="상반기_실적추정_총괄표1"/>
      <sheetName val="수목데이타_1"/>
      <sheetName val="실행내역_1"/>
      <sheetName val="간접비_총괄표1"/>
      <sheetName val="간접비총괄_(2)"/>
      <sheetName val="15_문제점"/>
      <sheetName val="STAND98"/>
      <sheetName val="P.M 별"/>
      <sheetName val="DATA 입력부"/>
      <sheetName val="공조기"/>
      <sheetName val="투찰추정"/>
      <sheetName val="환율"/>
      <sheetName val="Total"/>
      <sheetName val="저"/>
      <sheetName val="노임이"/>
      <sheetName val="중기조종사 단위단가"/>
      <sheetName val="Languages"/>
      <sheetName val="파이프류"/>
      <sheetName val="Eq. Mobilization"/>
      <sheetName val="실행내역"/>
      <sheetName val="일반공사"/>
      <sheetName val="Sheet2 (2)"/>
      <sheetName val="인건비"/>
      <sheetName val="백룡교차로"/>
      <sheetName val="산정교차로"/>
      <sheetName val="신영교차로"/>
      <sheetName val="MOKDONG(1)"/>
      <sheetName val="DATA"/>
      <sheetName val="손익분석"/>
      <sheetName val="대차대조표"/>
      <sheetName val="※참고자료※"/>
      <sheetName val="내역서01"/>
      <sheetName val="NOMUBI"/>
      <sheetName val="Macro"/>
      <sheetName val=" 내역서"/>
      <sheetName val="도기류"/>
      <sheetName val="김관중"/>
      <sheetName val="Drn"/>
      <sheetName val="PLAN_FEB97"/>
      <sheetName val="notes"/>
      <sheetName val="1.01"/>
      <sheetName val="archi(본사)"/>
      <sheetName val="단가산출서"/>
      <sheetName val="LEGEND"/>
      <sheetName val="여비"/>
      <sheetName val="보고"/>
      <sheetName val="계정"/>
      <sheetName val="프랜트면허"/>
      <sheetName val="COL"/>
      <sheetName val="경영혁신본부"/>
      <sheetName val="cover page"/>
      <sheetName val="arun to"/>
      <sheetName val="Option"/>
      <sheetName val="WPL"/>
      <sheetName val="공사금액 내역 (1)"/>
      <sheetName val="조정율"/>
      <sheetName val="전선 및 전선관"/>
      <sheetName val="G29A"/>
      <sheetName val="D1"/>
      <sheetName val="D8 underpass WP-D592"/>
      <sheetName val="D10 "/>
      <sheetName val="D14"/>
      <sheetName val="WP-NW01"/>
      <sheetName val="WP-SN01-01 &amp; 02"/>
      <sheetName val="WP-WE02"/>
      <sheetName val="D16"/>
      <sheetName val="D17"/>
      <sheetName val="D18"/>
      <sheetName val="E1"/>
      <sheetName val="WP-EW01"/>
      <sheetName val="WP-NS-01"/>
      <sheetName val="WP-NS-02"/>
      <sheetName val="실행철강하도"/>
      <sheetName val="Trade Debtors"/>
      <sheetName val="단가비교"/>
      <sheetName val="코드"/>
      <sheetName val="11.28"/>
      <sheetName val="10매출"/>
      <sheetName val="2공구산출내역"/>
      <sheetName val="개산공사비"/>
      <sheetName val="수주현황2월"/>
      <sheetName val="총사업비명세"/>
      <sheetName val="요약&amp;결과"/>
      <sheetName val="빈"/>
      <sheetName val="기계공사"/>
      <sheetName val="N賃率-職"/>
      <sheetName val="실행(표지,갑,을)"/>
      <sheetName val="95하U$가격"/>
      <sheetName val="플랜트 설치"/>
      <sheetName val="BCPAB"/>
      <sheetName val="노임9월"/>
      <sheetName val="PIPE"/>
      <sheetName val="member design"/>
      <sheetName val="design criteria"/>
      <sheetName val="working load at the btm ft."/>
      <sheetName val="plan&amp;section of foundation"/>
      <sheetName val="soil bearing check"/>
      <sheetName val="제출계산서"/>
      <sheetName val="Exch_rates"/>
      <sheetName val="summ"/>
      <sheetName val="1,2공구원가계산서"/>
      <sheetName val="1공구산출내역서"/>
      <sheetName val="Cashflow Analysis"/>
      <sheetName val="D-623D"/>
      <sheetName val="BSD (2)"/>
      <sheetName val=" 갑지"/>
      <sheetName val="DB@Acess"/>
      <sheetName val="Civil"/>
      <sheetName val="별표총괄"/>
      <sheetName val="TUAS"/>
      <sheetName val="Ampecity Data"/>
      <sheetName val="KUNGDEVI"/>
      <sheetName val="BQMPALOC"/>
      <sheetName val="pipeline-1"/>
      <sheetName val="SG"/>
      <sheetName val="FLANGE"/>
      <sheetName val="VALVE"/>
      <sheetName val="인원배분"/>
      <sheetName val="BREAKDOWN(철거설치)"/>
      <sheetName val="리비아견적작업"/>
      <sheetName val="뜃맟뭁돽띿맟?-BLDG"/>
      <sheetName val="BREAKDOWN(신규설치)"/>
      <sheetName val="SUMMARY_철거"/>
      <sheetName val="뜃맟뭁돽띿맟_-BLDG"/>
      <sheetName val="식재인부"/>
      <sheetName val="6공구(당초)"/>
      <sheetName val="투찰"/>
      <sheetName val="갑지(추정)"/>
      <sheetName val="수리결과"/>
      <sheetName val=""/>
      <sheetName val="인사자료총집계"/>
      <sheetName val="공동"/>
      <sheetName val="단독"/>
      <sheetName val="4.2유효폭의 계산"/>
      <sheetName val="총물량"/>
      <sheetName val="조명시설"/>
      <sheetName val="Panel제작명세서"/>
      <sheetName val="RFP Codes"/>
      <sheetName val="sus slb"/>
      <sheetName val="Site"/>
      <sheetName val="TOEC"/>
      <sheetName val="9-30-06 graduates"/>
      <sheetName val="간접비"/>
      <sheetName val="10현장조직"/>
      <sheetName val="EQT-ESTN"/>
      <sheetName val="POWER"/>
      <sheetName val="설계내역서"/>
      <sheetName val="고창터널(고창방향)"/>
      <sheetName val="선투입재고_2"/>
      <sheetName val="상반기_실적추정_총괄표_(2)2"/>
      <sheetName val="상반기_실적추정_총괄표2"/>
      <sheetName val="수목데이타_2"/>
      <sheetName val="실행내역_2"/>
      <sheetName val="간접비_총괄표2"/>
      <sheetName val="TT_매입율1"/>
      <sheetName val="97_사업추정(WEKI)1"/>
      <sheetName val="공사비_내역_(가)1"/>
      <sheetName val="간접비총괄_(2)1"/>
      <sheetName val="15_문제점1"/>
      <sheetName val="Unit_49_분개표"/>
      <sheetName val="Unit_76_분개표"/>
      <sheetName val="INPUT_DATA"/>
      <sheetName val="CIVIL_WORK"/>
      <sheetName val="COMPARISON_TABLE"/>
      <sheetName val="VC2_10_99"/>
      <sheetName val="Schedule_2_and_3"/>
      <sheetName val="B31_1"/>
      <sheetName val="96_12"/>
      <sheetName val="OFFER_RATE"/>
      <sheetName val="Mech_CIF"/>
      <sheetName val="COVERSHEET_PAGE"/>
      <sheetName val="TABLE2-2_OSBL-(SITE_PREP)"/>
      <sheetName val="OSBL-TOTAL_(OTHER_WORK)"/>
      <sheetName val="OSBL-TOTAL_(SEA_WATER)"/>
      <sheetName val="OSBL-TOTAL_(CIVIL_WORK)"/>
      <sheetName val="_OVERALL"/>
      <sheetName val="2_1"/>
      <sheetName val="2_2"/>
      <sheetName val="2_3"/>
      <sheetName val="2_4"/>
      <sheetName val="5_1"/>
      <sheetName val="5_2"/>
      <sheetName val="5_3"/>
      <sheetName val="8_1"/>
      <sheetName val="8_2"/>
      <sheetName val="ATTACHMENT_1"/>
      <sheetName val="Sheet1_(2)"/>
      <sheetName val="VC2_8_98"/>
      <sheetName val="준검_내역서"/>
      <sheetName val="토공(우물통,기타)_"/>
      <sheetName val="BOQ_and_Estimation_Sheet_100330"/>
      <sheetName val="1차_내역서"/>
      <sheetName val="Avtivity_Define"/>
      <sheetName val="3_설계예산내역서(예산서)"/>
      <sheetName val="2_예정공정표"/>
      <sheetName val="Summary_Sheets"/>
      <sheetName val="VENDOR_LIST"/>
      <sheetName val="가설공사_내역"/>
      <sheetName val="Flaer_Area"/>
      <sheetName val="_냉각수펌프"/>
      <sheetName val="노임_단가"/>
      <sheetName val="2_대외공문"/>
      <sheetName val="D8_underpass_WP-D592"/>
      <sheetName val="D10_"/>
      <sheetName val="WP-SN01-01_&amp;_02"/>
      <sheetName val="Consolidated"/>
      <sheetName val="Daywork"/>
      <sheetName val="_Sum"/>
      <sheetName val="Control_sheet"/>
      <sheetName val="P_M_별"/>
      <sheetName val="DATA_입력부"/>
      <sheetName val="선투입재고_3"/>
      <sheetName val="상반기_실적추정_총괄표_(2)3"/>
      <sheetName val="상반기_실적추정_총괄표3"/>
      <sheetName val="수목데이타_3"/>
      <sheetName val="실행내역_3"/>
      <sheetName val="간접비_총괄표3"/>
      <sheetName val="TT_매입율2"/>
      <sheetName val="97_사업추정(WEKI)2"/>
      <sheetName val="공사비_내역_(가)2"/>
      <sheetName val="간접비총괄_(2)2"/>
      <sheetName val="15_문제점2"/>
      <sheetName val="Unit_49_분개표1"/>
      <sheetName val="Unit_76_분개표1"/>
      <sheetName val="INPUT_DATA1"/>
      <sheetName val="CIVIL_WORK1"/>
      <sheetName val="COMPARISON_TABLE1"/>
      <sheetName val="VC2_10_991"/>
      <sheetName val="Schedule_2_and_31"/>
      <sheetName val="B31_11"/>
      <sheetName val="96_121"/>
      <sheetName val="OFFER_RATE1"/>
      <sheetName val="Mech_CIF1"/>
      <sheetName val="COVERSHEET_PAGE1"/>
      <sheetName val="TABLE2-2_OSBL-(SITE_PREP)1"/>
      <sheetName val="OSBL-TOTAL_(OTHER_WORK)1"/>
      <sheetName val="OSBL-TOTAL_(SEA_WATER)1"/>
      <sheetName val="OSBL-TOTAL_(CIVIL_WORK)1"/>
      <sheetName val="_OVERALL1"/>
      <sheetName val="2_11"/>
      <sheetName val="2_21"/>
      <sheetName val="2_31"/>
      <sheetName val="2_41"/>
      <sheetName val="5_11"/>
      <sheetName val="5_21"/>
      <sheetName val="5_31"/>
      <sheetName val="8_11"/>
      <sheetName val="8_21"/>
      <sheetName val="ATTACHMENT_11"/>
      <sheetName val="Sheet1_(2)1"/>
      <sheetName val="VC2_8_981"/>
      <sheetName val="준검_내역서1"/>
      <sheetName val="토공(우물통,기타)_1"/>
      <sheetName val="BOQ_and_Estimation_Sheet_100331"/>
      <sheetName val="1차_내역서1"/>
      <sheetName val="Avtivity_Define1"/>
      <sheetName val="3_설계예산내역서(예산서)1"/>
      <sheetName val="2_예정공정표1"/>
      <sheetName val="Summary_Sheets1"/>
      <sheetName val="VENDOR_LIST1"/>
      <sheetName val="가설공사_내역1"/>
      <sheetName val="Flaer_Area1"/>
      <sheetName val="_냉각수펌프1"/>
      <sheetName val="노임_단가1"/>
      <sheetName val="2_대외공문1"/>
      <sheetName val="_Sum1"/>
      <sheetName val="Control_sheet1"/>
      <sheetName val="P_M_별1"/>
      <sheetName val="DATA_입력부1"/>
      <sheetName val="COA-17"/>
      <sheetName val="PRICE COMP"/>
      <sheetName val="명부1"/>
      <sheetName val="세부내용"/>
      <sheetName val="명부"/>
      <sheetName val="총회접수대장"/>
      <sheetName val="입력"/>
      <sheetName val="대여현황"/>
      <sheetName val="SORCE1"/>
      <sheetName val="부하(성남)"/>
      <sheetName val="01"/>
      <sheetName val="Basis"/>
      <sheetName val="1_01"/>
      <sheetName val="Sheet2_(2)"/>
      <sheetName val="Trade_Debtors"/>
      <sheetName val="Map"/>
      <sheetName val="Payment"/>
      <sheetName val="AQL(0.65)"/>
      <sheetName val="중기조종사_단위단가"/>
      <sheetName val="Eq__Mobilization"/>
      <sheetName val="_내역서"/>
      <sheetName val="AQL(0_65)"/>
      <sheetName val="절대지우지말것"/>
      <sheetName val="Definitions"/>
      <sheetName val="RSB_RATIO"/>
      <sheetName val="1999-2000 MONTHLY CASHFLOW"/>
      <sheetName val="실행"/>
      <sheetName val="P_평균"/>
      <sheetName val="명부 통합"/>
      <sheetName val="단위세대 개요"/>
      <sheetName val="포장복구집계"/>
      <sheetName val="RCF CLAIMED"/>
      <sheetName val="대공종"/>
      <sheetName val="견적서"/>
      <sheetName val="도"/>
      <sheetName val="공사개요"/>
      <sheetName val="참고"/>
      <sheetName val="물가자료"/>
      <sheetName val="Param"/>
      <sheetName val="Formula"/>
      <sheetName val="hGH정제"/>
      <sheetName val="Recovery Plan "/>
      <sheetName val="UW"/>
      <sheetName val="database"/>
      <sheetName val="WORKER"/>
      <sheetName val="choose"/>
      <sheetName val="INDENTIFICATION"/>
      <sheetName val="HVAC"/>
      <sheetName val="12CGOU"/>
      <sheetName val="자재단가조사표-수목"/>
      <sheetName val="D.S. Type 2"/>
      <sheetName val="性能取り纏め"/>
      <sheetName val="날개벽수량표"/>
      <sheetName val="Bin"/>
      <sheetName val="Equip"/>
      <sheetName val="101(2)f"/>
      <sheetName val="Wts"/>
      <sheetName val="BTRP-230kV.wts"/>
    </sheetNames>
    <sheetDataSet>
      <sheetData sheetId="0"/>
      <sheetData sheetId="1"/>
      <sheetData sheetId="2"/>
      <sheetData sheetId="3"/>
      <sheetData sheetId="4"/>
      <sheetData sheetId="5"/>
      <sheetData sheetId="6"/>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sheetData sheetId="135"/>
      <sheetData sheetId="136"/>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sheetData sheetId="363"/>
      <sheetData sheetId="364"/>
      <sheetData sheetId="365"/>
      <sheetData sheetId="366"/>
      <sheetData sheetId="367"/>
      <sheetData sheetId="368"/>
      <sheetData sheetId="369"/>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refreshError="1"/>
      <sheetData sheetId="570" refreshError="1"/>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refreshError="1"/>
      <sheetData sheetId="634" refreshError="1"/>
      <sheetData sheetId="635" refreshError="1"/>
      <sheetData sheetId="636" refreshError="1"/>
      <sheetData sheetId="637" refreshError="1"/>
      <sheetData sheetId="638" refreshError="1"/>
      <sheetData sheetId="639"/>
      <sheetData sheetId="640" refreshError="1"/>
      <sheetData sheetId="641" refreshError="1"/>
      <sheetData sheetId="642" refreshError="1"/>
      <sheetData sheetId="643" refreshError="1"/>
      <sheetData sheetId="644" refreshError="1"/>
      <sheetData sheetId="645"/>
      <sheetData sheetId="646"/>
      <sheetData sheetId="647"/>
      <sheetData sheetId="648" refreshError="1"/>
      <sheetData sheetId="649" refreshError="1"/>
      <sheetData sheetId="650" refreshError="1"/>
      <sheetData sheetId="651"/>
      <sheetData sheetId="652"/>
      <sheetData sheetId="653"/>
      <sheetData sheetId="654"/>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Set>
  </externalBook>
</externalLink>
</file>

<file path=xl/externalLinks/externalLink16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매각(6)"/>
      <sheetName val="97 사업추정(WEKI)"/>
      <sheetName val="Sheet2"/>
      <sheetName val="공통비총괄표"/>
      <sheetName val="간접비 총괄표"/>
      <sheetName val="개시전표"/>
      <sheetName val="공사집계"/>
      <sheetName val="XL4Poppy"/>
      <sheetName val="매각_6_"/>
      <sheetName val="공통부대비"/>
      <sheetName val="1-11조직표"/>
      <sheetName val="공사비 내역 (가)"/>
      <sheetName val="TT 매입율"/>
      <sheetName val="STAND98"/>
      <sheetName val="97년 SEACO예산"/>
      <sheetName val="99년하반기"/>
      <sheetName val="상반기손익차2총괄"/>
      <sheetName val="기준"/>
      <sheetName val="신Table"/>
      <sheetName val="총액"/>
      <sheetName val="Eq. Mobilization"/>
      <sheetName val="본지점중"/>
      <sheetName val="매립"/>
      <sheetName val="대비"/>
      <sheetName val="공문9712"/>
      <sheetName val="총괄표"/>
      <sheetName val="BRICK"/>
      <sheetName val="산근"/>
      <sheetName val="영업소실적"/>
      <sheetName val="본부소개"/>
      <sheetName val="간접비내역-1"/>
      <sheetName val="노임이"/>
      <sheetName val="BM"/>
      <sheetName val="등급"/>
      <sheetName val="현금흐름표"/>
      <sheetName val="P.M 별"/>
      <sheetName val="공사비_NDE"/>
      <sheetName val="D2old"/>
      <sheetName val="Library"/>
      <sheetName val="상촌터널실행"/>
      <sheetName val="인원현황총괄"/>
      <sheetName val="집계표"/>
      <sheetName val="Sheet4"/>
    </sheetNames>
    <sheetDataSet>
      <sheetData sheetId="0" refreshError="1">
        <row r="1">
          <cell r="A1" t="str">
            <v>고정자산 매각 내역</v>
          </cell>
        </row>
        <row r="2">
          <cell r="A2" t="str">
            <v>(        國)</v>
          </cell>
          <cell r="I2" t="str">
            <v xml:space="preserve">     (단위 : 현지화)</v>
          </cell>
        </row>
        <row r="3">
          <cell r="G3" t="str">
            <v>회   계   처   리</v>
          </cell>
        </row>
        <row r="4">
          <cell r="A4" t="str">
            <v>현  장</v>
          </cell>
          <cell r="B4" t="str">
            <v>사번호</v>
          </cell>
          <cell r="C4" t="str">
            <v>장 비 명</v>
          </cell>
          <cell r="D4" t="str">
            <v>매각일</v>
          </cell>
          <cell r="E4" t="str">
            <v>매각가</v>
          </cell>
          <cell r="F4" t="str">
            <v>특기사항</v>
          </cell>
          <cell r="G4" t="str">
            <v>Ｄ Ｒ</v>
          </cell>
          <cell r="I4" t="str">
            <v>Ｃ Ｒ</v>
          </cell>
        </row>
        <row r="5">
          <cell r="G5" t="str">
            <v>계  정</v>
          </cell>
          <cell r="H5" t="str">
            <v>금  액</v>
          </cell>
          <cell r="I5" t="str">
            <v>계  정</v>
          </cell>
          <cell r="J5" t="str">
            <v>금  액</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Set>
  </externalBook>
</externalLink>
</file>

<file path=xl/externalLinks/externalLink16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갑지"/>
      <sheetName val="분류"/>
      <sheetName val="커버"/>
      <sheetName val="교육예산"/>
      <sheetName val="양식#1"/>
      <sheetName val="첨부1"/>
      <sheetName val="첨부2"/>
      <sheetName val="견적서"/>
      <sheetName val="매각(6)"/>
      <sheetName val="원가계산서"/>
      <sheetName val=" 갑지"/>
      <sheetName val="NC8376C5"/>
      <sheetName val="기본설계기준"/>
      <sheetName val="영업소실적"/>
      <sheetName val="영흥TL(UP,DOWN) "/>
      <sheetName val="IT-BAT"/>
      <sheetName val="실행내역서 "/>
      <sheetName val="을"/>
      <sheetName val="97 사업추정(WEKI)"/>
      <sheetName val="할증 "/>
      <sheetName val="??"/>
      <sheetName val="일위대가"/>
      <sheetName val="실행내역서(DCU)"/>
      <sheetName val="FACTOR"/>
      <sheetName val="현장업무"/>
      <sheetName val="자재대"/>
      <sheetName val="측량요율"/>
      <sheetName val="sheet1"/>
      <sheetName val="__"/>
      <sheetName val="인부신상자료"/>
      <sheetName val="DATE"/>
      <sheetName val="투찰(하수)"/>
      <sheetName val="투찰내역"/>
      <sheetName val="소화실적"/>
      <sheetName val="대비2"/>
      <sheetName val="현장관리비"/>
      <sheetName val="공사개요"/>
      <sheetName val="#REF"/>
      <sheetName val="9-1차이내역"/>
      <sheetName val="견적정보"/>
      <sheetName val="산근"/>
      <sheetName val="lab"/>
      <sheetName val="cp1"/>
      <sheetName val="일위대가(1)"/>
      <sheetName val="DANGA"/>
      <sheetName val="실행철강하도"/>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Set>
  </externalBook>
</externalLink>
</file>

<file path=xl/externalLinks/externalLink16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97교육계획"/>
      <sheetName val="전문품의"/>
      <sheetName val="2.대외공문"/>
      <sheetName val="Macro1"/>
      <sheetName val="5사남"/>
      <sheetName val="95MAKER"/>
      <sheetName val="95하U$가격"/>
      <sheetName val="대외공문"/>
      <sheetName val="진도현황"/>
      <sheetName val="생산"/>
      <sheetName val="RD제품개발투자비(매가)"/>
      <sheetName val="남양시작동자105노65기1.3화1.2"/>
      <sheetName val="유림골조"/>
      <sheetName val="재종"/>
      <sheetName val=" 2012년 05월 공사원가보고서 (DYMOS).xlsx"/>
      <sheetName val="#REF"/>
      <sheetName val="45,46"/>
      <sheetName val="항목(1)"/>
      <sheetName val="특판제외"/>
      <sheetName val="수입"/>
      <sheetName val="98지급계획"/>
      <sheetName val="full (2)"/>
      <sheetName val="공량산출서"/>
      <sheetName val="new급여T(4을-운전)"/>
      <sheetName val="조건"/>
      <sheetName val="인사자료총집계"/>
      <sheetName val="Macro2"/>
      <sheetName val="토공사(흙막이)"/>
      <sheetName val="관람석제출"/>
      <sheetName val="97교육계획.xls"/>
      <sheetName val="97%EA%B5%90%EC%9C%A1%EA%B3%84%E"/>
      <sheetName val="R&amp;D"/>
      <sheetName val="매출pivot"/>
      <sheetName val="신재공재고평가"/>
      <sheetName val="을지"/>
      <sheetName val="직노"/>
      <sheetName val="FAB별"/>
      <sheetName val="내역"/>
      <sheetName val="세부추진"/>
      <sheetName val="상용보강"/>
      <sheetName val="BA"/>
      <sheetName val="카렌스센터계량기설치공사"/>
      <sheetName val="BOOK4"/>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Set>
  </externalBook>
</externalLink>
</file>

<file path=xl/externalLinks/externalLink16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유림골조"/>
      <sheetName val="NEW비교"/>
      <sheetName val="의뢰"/>
      <sheetName val="견적조건"/>
      <sheetName val="품의서"/>
      <sheetName val="새공통(97년3월)"/>
      <sheetName val="건축"/>
      <sheetName val="24평(계단식-TOWER)"/>
      <sheetName val="24평(계단식)"/>
      <sheetName val="32평"/>
      <sheetName val="43평"/>
      <sheetName val="48평"/>
      <sheetName val="동DATA"/>
      <sheetName val="파일본수"/>
      <sheetName val="파일공사"/>
      <sheetName val="SERVICE"/>
      <sheetName val="부대건축"/>
      <sheetName val="전기"/>
      <sheetName val="설비"/>
      <sheetName val="토공사및 흙막이공사"/>
      <sheetName val="옥외"/>
      <sheetName val="물가상승1"/>
      <sheetName val="써100 (A4)"/>
      <sheetName val="제출표지"/>
      <sheetName val="건축(주상복합)"/>
      <sheetName val="옥외및기타"/>
      <sheetName val="파일공사(APT)"/>
      <sheetName val="파일공사(부대동)"/>
      <sheetName val="의뢰서"/>
      <sheetName val="공통비"/>
      <sheetName val="총괄"/>
      <sheetName val="남양시작동자105노65기1.3화1.2"/>
      <sheetName val="일위대가(가설)"/>
      <sheetName val="물가자료"/>
      <sheetName val="Y-WORK"/>
      <sheetName val="고분전시관"/>
      <sheetName val="1"/>
      <sheetName val="부대시설"/>
      <sheetName val="1차설계변경내역"/>
      <sheetName val="단가표"/>
      <sheetName val="삭제금지단가"/>
      <sheetName val="97 사업추정(WEKI)"/>
      <sheetName val="청산공사"/>
      <sheetName val="터파기및재료"/>
      <sheetName val="직노"/>
      <sheetName val="구조물견적서"/>
      <sheetName val="기성내역"/>
      <sheetName val="표지 (2)"/>
      <sheetName val="일위대가"/>
      <sheetName val="도급FORM"/>
      <sheetName val="Sheet4"/>
      <sheetName val="수량산출서"/>
      <sheetName val="설계예산서"/>
      <sheetName val="Apt내역"/>
      <sheetName val="내역서"/>
      <sheetName val="SUMMARY"/>
      <sheetName val="PAINT"/>
      <sheetName val="을지"/>
      <sheetName val="골조시행"/>
      <sheetName val="손익차9월2"/>
      <sheetName val="EACT10"/>
      <sheetName val="기계설비"/>
      <sheetName val="단중표"/>
      <sheetName val="집계표"/>
      <sheetName val="내역"/>
      <sheetName val="금융비용"/>
      <sheetName val="Sheet2"/>
      <sheetName val="노임이"/>
      <sheetName val="소방"/>
      <sheetName val="unit 4"/>
      <sheetName val="단가비교표"/>
      <sheetName val="와동25-3(변경)"/>
      <sheetName val="건축공사실행"/>
      <sheetName val="P.M 별"/>
      <sheetName val="Total"/>
      <sheetName val="#REF"/>
      <sheetName val="맨홀"/>
      <sheetName val="수입"/>
      <sheetName val="Baby일위대가"/>
      <sheetName val="작업지시서-1호"/>
      <sheetName val="노임단가"/>
      <sheetName val="DAN"/>
      <sheetName val="백호우계수"/>
      <sheetName val="토목공사"/>
      <sheetName val="표지"/>
      <sheetName val="목차"/>
      <sheetName val="설계조건"/>
      <sheetName val="열관류율"/>
      <sheetName val="First"/>
      <sheetName val="Front"/>
      <sheetName val="wall"/>
      <sheetName val="부하계산서"/>
      <sheetName val="F.C.U ZONE집계"/>
      <sheetName val="A.H.U ZONE별집계"/>
      <sheetName val="PAC 집계"/>
      <sheetName val="난방부하집계(청소년수련관)"/>
      <sheetName val="냉온수기"/>
      <sheetName val="보일러&amp;응축수탱크"/>
      <sheetName val="열교환기"/>
      <sheetName val="공조기선정"/>
      <sheetName val="공조기리턴휀"/>
      <sheetName val="FAN"/>
      <sheetName val="저수조(교육,사이버)"/>
      <sheetName val="저수조(청소년)"/>
      <sheetName val="급탕탱크"/>
      <sheetName val="급수펌프"/>
      <sheetName val="펌프"/>
      <sheetName val="1.가스소비량"/>
      <sheetName val="환산길이"/>
      <sheetName val="1-3.가스관경계산-1"/>
      <sheetName val="1-4.가스관경계산-2"/>
      <sheetName val="1-5.가스관경계산-3"/>
      <sheetName val="1-6.가스관경계산-4 "/>
      <sheetName val="1-7.가스관경계산-5"/>
      <sheetName val="1-7.가스차압산출"/>
      <sheetName val="form"/>
      <sheetName val="ZONE"/>
      <sheetName val="DATA"/>
      <sheetName val="주차장환기량"/>
      <sheetName val="송풍기272대형(지하2층)"/>
      <sheetName val="송풍기272대형(지하1층)"/>
      <sheetName val="송풍기268대형(지하1층)"/>
      <sheetName val="덕트 및 배기그릴선정"/>
      <sheetName val="1.견적서목록"/>
      <sheetName val="SF적재계산"/>
      <sheetName val="FAX1"/>
      <sheetName val="주소록"/>
      <sheetName val="Module1"/>
      <sheetName val="Module2"/>
      <sheetName val="MM"/>
      <sheetName val="견적표지"/>
      <sheetName val="견적서"/>
      <sheetName val="부하계산서 (영문)"/>
      <sheetName val="PEND-ITEM"/>
      <sheetName val="PEND-ITEM (2)"/>
      <sheetName val="PEND-99"/>
      <sheetName val="0000"/>
      <sheetName val="설계자료"/>
      <sheetName val="Sheet1"/>
      <sheetName val="Sheet3"/>
      <sheetName val="Sheet7"/>
      <sheetName val="Sheet8"/>
      <sheetName val="Sheet9"/>
      <sheetName val="Sheet10"/>
      <sheetName val="Sheet11"/>
      <sheetName val="Sheet12"/>
      <sheetName val="Sheet13"/>
      <sheetName val="Sheet14"/>
      <sheetName val="Sheet15"/>
      <sheetName val="Sheet6"/>
      <sheetName val="Sheet16"/>
      <sheetName val="VXXXXXX"/>
      <sheetName val="목록"/>
      <sheetName val="파일정리"/>
      <sheetName val="견적표지(종)"/>
      <sheetName val="견적표지 (횡)"/>
      <sheetName val="화물선취"/>
      <sheetName val="부하집계표 (2안)"/>
      <sheetName val="부하계산서 "/>
      <sheetName val="동결부하계산서"/>
      <sheetName val="UNIT COOLER 선정표"/>
      <sheetName val="ACCUMULALOR (2안)"/>
      <sheetName val="동력집계표 (2안)"/>
      <sheetName val="cooling tower (2)"/>
      <sheetName val="cooling water pump"/>
      <sheetName val="DEFROEST PUMP"/>
      <sheetName val="기기선정표 (2안)"/>
      <sheetName val="부하집계표"/>
      <sheetName val="동력집계표"/>
      <sheetName val="ACCUMULALOR"/>
      <sheetName val="cooling tower"/>
      <sheetName val="기기선정표"/>
      <sheetName val="부하집계표 (2)"/>
      <sheetName val="방수몰탈"/>
      <sheetName val="조명시설"/>
      <sheetName val="토건"/>
      <sheetName val="1차 내역서"/>
      <sheetName val="사업부배부A"/>
      <sheetName val="당사수지비교표"/>
      <sheetName val="저"/>
      <sheetName val="산출-설비"/>
      <sheetName val="본선집계표"/>
      <sheetName val="차액보증"/>
      <sheetName val="안양1공구_건축"/>
      <sheetName val="인천제철"/>
      <sheetName val="BSD _2_"/>
      <sheetName val="노임"/>
      <sheetName val="내역서-수정본"/>
      <sheetName val="내역서 (2)"/>
      <sheetName val="BEND LOSS"/>
      <sheetName val="공조기"/>
      <sheetName val="공조기휀"/>
      <sheetName val="AHU집계"/>
      <sheetName val="OCT.FDN"/>
      <sheetName val="WIND"/>
      <sheetName val="SEISMIC"/>
      <sheetName val="SIZE"/>
      <sheetName val="EXT.CHECK"/>
      <sheetName val="DESIGN"/>
      <sheetName val="Demolition(Total)"/>
      <sheetName val="D-147E"/>
      <sheetName val="D-126E"/>
      <sheetName val="V-128E"/>
      <sheetName val="FL-123E1"/>
      <sheetName val="D-120E"/>
      <sheetName val="D-131E"/>
      <sheetName val="T-127E1"/>
      <sheetName val="Trench1"/>
      <sheetName val="Trench2"/>
      <sheetName val="Trench3"/>
      <sheetName val="P-147E1"/>
      <sheetName val="P-124E"/>
      <sheetName val="P-127E1,E2 "/>
      <sheetName val="P-121E"/>
      <sheetName val="P-122E"/>
      <sheetName val="P-120E1,E2"/>
      <sheetName val="P-123E1,E2 "/>
      <sheetName val="P-128E "/>
      <sheetName val="CONCRETE"/>
      <sheetName val="카메라"/>
      <sheetName val="토공(우물통,기타) "/>
      <sheetName val="도급원가"/>
      <sheetName val="교통대책내역"/>
      <sheetName val="경산"/>
      <sheetName val="일반공사"/>
      <sheetName val="기초단가"/>
      <sheetName val="2공구산출내역"/>
      <sheetName val="카렌스센터계량기설치공사"/>
      <sheetName val="A LINE"/>
      <sheetName val="DATE"/>
      <sheetName val="품셈TABLE"/>
      <sheetName val="내역표지"/>
      <sheetName val="3.건축(현장안)"/>
      <sheetName val="WEIGHT LIST"/>
      <sheetName val="산#2-1 (2)"/>
      <sheetName val="공조기(삭제)"/>
      <sheetName val="건축원가"/>
      <sheetName val="갑지(추정)"/>
      <sheetName val="PAC"/>
      <sheetName val="Sheet3-1"/>
      <sheetName val="물가자료비교"/>
      <sheetName val="3사단가비교"/>
      <sheetName val="대동"/>
      <sheetName val="성림"/>
      <sheetName val="금강"/>
      <sheetName val="bid"/>
      <sheetName val="xxxxxx"/>
      <sheetName val="（２）"/>
      <sheetName val="（３） "/>
      <sheetName val="97년-98년"/>
      <sheetName val="Sheet5"/>
      <sheetName val="주간업무보고"/>
      <sheetName val="주간업무보고4월첫째"/>
      <sheetName val="부재중업무보고"/>
      <sheetName val="주간업무보고4월네째"/>
      <sheetName val="3"/>
      <sheetName val="aola"/>
      <sheetName val="aola_2"/>
      <sheetName val="aola_3"/>
      <sheetName val="aola_4"/>
      <sheetName val="aola_5"/>
      <sheetName val="aola_6"/>
      <sheetName val="aola_7"/>
      <sheetName val="aola_8"/>
      <sheetName val="aola_9"/>
      <sheetName val="aola_10"/>
      <sheetName val="aola_11"/>
      <sheetName val="aola_12"/>
      <sheetName val="aola_13"/>
      <sheetName val="aola_14"/>
      <sheetName val="aola_15"/>
      <sheetName val="aola_16"/>
      <sheetName val="aola_17"/>
      <sheetName val="aola_18"/>
      <sheetName val="aola_19"/>
      <sheetName val="aola_20"/>
      <sheetName val="aola_21"/>
      <sheetName val="aola_22"/>
      <sheetName val="목차 (2)"/>
      <sheetName val="목차(1)"/>
      <sheetName val="1-1"/>
      <sheetName val="1-2"/>
      <sheetName val="1-3"/>
      <sheetName val="1-4"/>
      <sheetName val="1-5"/>
      <sheetName val="1-6"/>
      <sheetName val="1-7"/>
      <sheetName val="1-8"/>
      <sheetName val="1-9"/>
      <sheetName val="1-10"/>
      <sheetName val="1-11"/>
      <sheetName val="지침"/>
      <sheetName val="일정"/>
      <sheetName val="단위"/>
      <sheetName val="갱비산출근거"/>
      <sheetName val="양식목차"/>
      <sheetName val="1-1.손익(부문별)"/>
      <sheetName val="1-2.손익(월별)"/>
      <sheetName val="2-1.판관비(부문)"/>
      <sheetName val="2-2.판관비(월별)"/>
      <sheetName val="3-1.수익비용(부문별)"/>
      <sheetName val="3-2.수익비용(월별)"/>
      <sheetName val="4-1.투자(부문)"/>
      <sheetName val="4-2.투자(월별)"/>
      <sheetName val="5-1.인원(부문)"/>
      <sheetName val="5-2.인원(월별)"/>
      <sheetName val="6.산출근거"/>
      <sheetName val="7.현금흐름"/>
      <sheetName val="마케팅1"/>
      <sheetName val="마케팅1 (2)"/>
      <sheetName val="마케팅1 (3)"/>
      <sheetName val="마케팅1 (4)"/>
      <sheetName val="구판관비"/>
      <sheetName val="01 1담당매출계획27.8$"/>
      <sheetName val="01매출계획식자재"/>
      <sheetName val="01매출계획 선용품"/>
      <sheetName val="증감내역"/>
      <sheetName val="99~01년승선현황"/>
      <sheetName val="1월"/>
      <sheetName val="2월"/>
      <sheetName val="3월"/>
      <sheetName val="4월"/>
      <sheetName val="5월"/>
      <sheetName val="6월"/>
      <sheetName val="상반기"/>
      <sheetName val="7월"/>
      <sheetName val="9월"/>
      <sheetName val="8월"/>
      <sheetName val="10월"/>
      <sheetName val="11월"/>
      <sheetName val="12월"/>
      <sheetName val="하반기"/>
      <sheetName val="총계"/>
      <sheetName val="울산총계"/>
      <sheetName val="울산1월"/>
      <sheetName val="울산2월"/>
      <sheetName val="울산3월"/>
      <sheetName val="울산4월"/>
      <sheetName val="울산5월"/>
      <sheetName val="울산6월"/>
      <sheetName val="울산7월"/>
      <sheetName val="울산8월"/>
      <sheetName val="울산9월"/>
      <sheetName val="울산10월"/>
      <sheetName val="울산11월"/>
      <sheetName val="울산12월"/>
      <sheetName val="성남총계"/>
      <sheetName val="성남1월"/>
      <sheetName val="성남2월"/>
      <sheetName val="성남3월"/>
      <sheetName val="성남4월"/>
      <sheetName val="성남5월"/>
      <sheetName val="성남6월"/>
      <sheetName val="성남7월"/>
      <sheetName val="성남8월"/>
      <sheetName val="성남9월"/>
      <sheetName val="성남10월"/>
      <sheetName val="성남11월"/>
      <sheetName val="성남12월"/>
      <sheetName val="요약장"/>
      <sheetName val="부도어음수표"/>
      <sheetName val="악성채권"/>
      <sheetName val="작업전원본"/>
      <sheetName val="작업악성채권직원판매제외(거래선별종합)"/>
      <sheetName val="작업악성채권직원판매제외(거래선별) "/>
      <sheetName val="작업악성채권직원판매제외 (담당별종합)"/>
      <sheetName val="작업악성채권직원판매제외 (담당별)"/>
      <sheetName val="별첨1"/>
      <sheetName val="별첨2"/>
      <sheetName val="별첨3"/>
      <sheetName val="별첨4"/>
      <sheetName val="백1"/>
      <sheetName val="백2"/>
      <sheetName val="백3"/>
      <sheetName val="월별매출01"/>
      <sheetName val="식품"/>
      <sheetName val="포함"/>
      <sheetName val="울산점"/>
      <sheetName val="일반관리비"/>
      <sheetName val="판촉비예산 "/>
      <sheetName val="전산투자예산"/>
      <sheetName val="인테리어.시설"/>
      <sheetName val="파 3층 특설 장치장식비"/>
      <sheetName val="갑"/>
      <sheetName val="2"/>
      <sheetName val="4"/>
      <sheetName val="5"/>
      <sheetName val="6"/>
      <sheetName val="7"/>
      <sheetName val="채권총괄표(H&amp;S집계)"/>
      <sheetName val="표지(03년11월)"/>
      <sheetName val="총괄 (03년11월)h&amp;s"/>
      <sheetName val="총괄 (03년11월)여행"/>
      <sheetName val="세부내용 (03년11월)여행"/>
      <sheetName val="개인 세부내용 (03년11월)여행"/>
      <sheetName val="서울일반상품"/>
      <sheetName val="서울상품권"/>
      <sheetName val="동구일반상품 "/>
      <sheetName val="동구미수금"/>
      <sheetName val="금강산"/>
      <sheetName val="임대"/>
      <sheetName val="본사"/>
      <sheetName val="ꀀ"/>
      <sheetName val="영업2파트"/>
      <sheetName val="영업활동현황"/>
      <sheetName val="성과보고표지"/>
      <sheetName val="성과보고양식"/>
      <sheetName val="관람석제출"/>
      <sheetName val="TRE TABLE"/>
      <sheetName val="공통부대비"/>
      <sheetName val="9811"/>
      <sheetName val="base"/>
      <sheetName val="빙설"/>
      <sheetName val="첨부1-1"/>
      <sheetName val="입력"/>
      <sheetName val="ELECTRIC"/>
      <sheetName val="세금자료"/>
      <sheetName val="단가조사"/>
      <sheetName val="업체별기성내역"/>
      <sheetName val="7.수지"/>
      <sheetName val="수량산출"/>
      <sheetName val="동영견적(갑지)"/>
      <sheetName val="자재단가"/>
      <sheetName val="조건표"/>
      <sheetName val="2.2.10.샤시등"/>
      <sheetName val="A3.공사비 검토"/>
      <sheetName val="C3.토목_옹벽"/>
      <sheetName val="A6.샤시등"/>
      <sheetName val="공사개요"/>
      <sheetName val="공통비총괄표"/>
      <sheetName val="위치조서"/>
      <sheetName val="수리결과"/>
      <sheetName val="정화조동내역"/>
      <sheetName val="건물개요"/>
      <sheetName val="내역서 (3)"/>
      <sheetName val="내역서2"/>
      <sheetName val="내역서 (4)"/>
      <sheetName val="단가입력"/>
      <sheetName val="잡자재비"/>
      <sheetName val="공구손료"/>
      <sheetName val="인건비산출"/>
      <sheetName val="정릉견산출"/>
      <sheetName val="상도동견산출"/>
      <sheetName val="상도갑지"/>
      <sheetName val="ABUT수량-A1"/>
      <sheetName val="물량표"/>
      <sheetName val="평형공사비"/>
      <sheetName val="주소"/>
      <sheetName val="간접비"/>
      <sheetName val="공통가설"/>
      <sheetName val="수목표준대가"/>
      <sheetName val="기초일위"/>
      <sheetName val="시설일위"/>
      <sheetName val="조명일위"/>
      <sheetName val="sst,stl창호"/>
      <sheetName val="매각(6)"/>
      <sheetName val="TOWER 12TON"/>
      <sheetName val="JIB CRANE,HOIST"/>
      <sheetName val="TOWER 10TON"/>
      <sheetName val="원내역서3"/>
      <sheetName val="돈암사업"/>
      <sheetName val="J直材4"/>
      <sheetName val="N賃率-職"/>
      <sheetName val="분양가"/>
      <sheetName val="물량내역"/>
      <sheetName val="부대공"/>
      <sheetName val="포장공"/>
      <sheetName val="토공"/>
      <sheetName val="청천내"/>
      <sheetName val="노무산출서"/>
      <sheetName val="금액내역서"/>
      <sheetName val="집행내역"/>
      <sheetName val="EJ"/>
      <sheetName val="철콘(1차견적)"/>
      <sheetName val="PI"/>
      <sheetName val="지수"/>
      <sheetName val="실행철강하도"/>
      <sheetName val="PE거푸집(1.2)"/>
      <sheetName val="을"/>
      <sheetName val="가로등내역서"/>
      <sheetName val="화전내"/>
      <sheetName val="시장성초안camera"/>
      <sheetName val="용연"/>
      <sheetName val="울산"/>
      <sheetName val="진천"/>
      <sheetName val="구미"/>
      <sheetName val="대구"/>
      <sheetName val="언양"/>
      <sheetName val="보할공정"/>
      <sheetName val="단가대비표"/>
      <sheetName val="충주내역"/>
      <sheetName val="소요자재명세서"/>
      <sheetName val="노무비명세서"/>
      <sheetName val="압력시험보고서"/>
      <sheetName val="배관설치최종점검기록서"/>
      <sheetName val="PUNCH LIST"/>
      <sheetName val="WELDING JOINT INSPECTION STATUS"/>
      <sheetName val="명판"/>
      <sheetName val="업무"/>
      <sheetName val="4-0.툫자_x0000__x0000_문)"/>
      <sheetName val="토목주소"/>
      <sheetName val="프랜트면허"/>
      <sheetName val="개산공사비"/>
      <sheetName val="기안"/>
      <sheetName val="5사남"/>
      <sheetName val="APT"/>
      <sheetName val="부속동"/>
      <sheetName val="현관"/>
      <sheetName val="일위대가목차"/>
      <sheetName val="간접비 총괄표"/>
      <sheetName val="철거산출근거"/>
      <sheetName val="아파트 "/>
      <sheetName val="내역서2안"/>
      <sheetName val="BOX날개벽"/>
      <sheetName val="비교1"/>
      <sheetName val="노무비단가"/>
      <sheetName val="토목내역서 (도급단가)"/>
      <sheetName val="위생-sa"/>
      <sheetName val="8"/>
      <sheetName val="9"/>
      <sheetName val="10"/>
      <sheetName val="11"/>
      <sheetName val="12"/>
      <sheetName val="13"/>
      <sheetName val="14"/>
      <sheetName val="15"/>
      <sheetName val="16"/>
      <sheetName val="17"/>
      <sheetName val="18"/>
      <sheetName val="19"/>
      <sheetName val="20"/>
      <sheetName val="중방향비율"/>
      <sheetName val="골격"/>
      <sheetName val="가로교통량"/>
      <sheetName val="현황(무신호)"/>
      <sheetName val="미시(휴일-무신호)"/>
      <sheetName val="시행(휴일-무신호)"/>
      <sheetName val="현황-2차로분석)"/>
      <sheetName val="미시(휴일-2차로분석)"/>
      <sheetName val="시행(휴일-2차로분석)"/>
      <sheetName val="자단"/>
      <sheetName val="인공산출"/>
      <sheetName val="단락전류-A"/>
      <sheetName val="전선 및 전선관"/>
      <sheetName val="공사예산하조서(O.K)"/>
      <sheetName val="2000.05"/>
      <sheetName val="교대일반수량"/>
      <sheetName val="참고용"/>
      <sheetName val="참고용 (2)"/>
      <sheetName val="COMPARISON TABLE"/>
      <sheetName val="Eq. Mobilization"/>
      <sheetName val="_x0000_"/>
      <sheetName val="VXXXXXXX"/>
      <sheetName val="지사인원"/>
      <sheetName val="SIL98"/>
      <sheetName val="영업소실적"/>
      <sheetName val="상반기손익차2총괄"/>
      <sheetName val="업무분장"/>
      <sheetName val="회사99"/>
      <sheetName val="토목"/>
      <sheetName val="외주비"/>
      <sheetName val="BOQ"/>
      <sheetName val="콤보박스와 리스트박스의 연결"/>
      <sheetName val="교대일반수량총괄집계표"/>
      <sheetName val="구의33고"/>
      <sheetName val="Macro1"/>
      <sheetName val="2000년 공정표"/>
      <sheetName val="대비"/>
      <sheetName val="설계내역서"/>
      <sheetName val="A조"/>
      <sheetName val="충주"/>
      <sheetName val="0.갑지"/>
      <sheetName val="1.공통가설공사"/>
      <sheetName val="2.토목공사"/>
      <sheetName val="3.건축공사"/>
      <sheetName val="4.설비공사"/>
      <sheetName val="5.전기공사"/>
      <sheetName val="7.안전관리비"/>
      <sheetName val="8.현장관리비"/>
      <sheetName val="인원투입 계획표"/>
      <sheetName val="공사계약현황(공통가설공사)"/>
      <sheetName val="공사계약현황(토목)"/>
      <sheetName val="공사계약현황(건축)"/>
      <sheetName val="공사계약현황 (기계설비))"/>
      <sheetName val="공사계약현황 (전기)"/>
      <sheetName val="원본"/>
      <sheetName val="입찰안"/>
      <sheetName val="일위대가(계측기설치)"/>
      <sheetName val="일위_파일"/>
      <sheetName val="기둥(원형)"/>
      <sheetName val="기초공"/>
      <sheetName val="데리네이타현황"/>
      <sheetName val="수지예산"/>
      <sheetName val="남양주댠가표"/>
      <sheetName val="구리토평1전기"/>
      <sheetName val="교대(A1)"/>
      <sheetName val="통합"/>
      <sheetName val="45,46"/>
      <sheetName val="관류율"/>
      <sheetName val="g"/>
      <sheetName val="h"/>
      <sheetName val="c"/>
      <sheetName val="d"/>
      <sheetName val="e"/>
      <sheetName val="f"/>
      <sheetName val="난방집계"/>
      <sheetName val="난방입상"/>
      <sheetName val="난방횡주"/>
      <sheetName val="급수입상"/>
      <sheetName val="급수횡주"/>
      <sheetName val="급탕입상"/>
      <sheetName val="급탕횡주"/>
      <sheetName val="배수입상 "/>
      <sheetName val="배수횡주"/>
      <sheetName val="오수횡주"/>
      <sheetName val="LEGEND"/>
      <sheetName val="cover"/>
      <sheetName val="1장 "/>
      <sheetName val="1.개요 "/>
      <sheetName val="2.조건 "/>
      <sheetName val="3.공식붙임"/>
      <sheetName val="2장"/>
      <sheetName val="냉난방"/>
      <sheetName val="3장"/>
      <sheetName val="열원장비"/>
      <sheetName val="4장 "/>
      <sheetName val="1.AHU "/>
      <sheetName val="2.AHU-1"/>
      <sheetName val="2.FAN"/>
      <sheetName val="환기량"/>
      <sheetName val="5장"/>
      <sheetName val="1.급탕"/>
      <sheetName val="6장 별첨"/>
      <sheetName val="외기조건"/>
      <sheetName val="면적&amp;재실인원"/>
      <sheetName val="냉방부하"/>
      <sheetName val="AHU-1"/>
      <sheetName val="AHU-2"/>
      <sheetName val="AHU-3"/>
      <sheetName val="AHU-4"/>
      <sheetName val="AHU-5"/>
      <sheetName val="AHU-6"/>
      <sheetName val="설계개요"/>
      <sheetName val="기초입력"/>
      <sheetName val="추정공사비계산"/>
      <sheetName val="추정공사비 산출결과"/>
      <sheetName val="데이터"/>
      <sheetName val="급수공과금양식"/>
      <sheetName val="일반사항(1,2면)"/>
      <sheetName val="의무사항(3면)"/>
      <sheetName val="에너지성능지표검토서(건축)"/>
      <sheetName val="에너지성능지표검토서(기계, 전기, 신재생)"/>
      <sheetName val="21"/>
      <sheetName val="22"/>
      <sheetName val="손익(총괄)"/>
      <sheetName val="월별손익(총괄)"/>
      <sheetName val="월별손익(아케이드)"/>
      <sheetName val="월별손익(온정각)"/>
      <sheetName val="월별손익(용역) "/>
      <sheetName val="판관(총괄)"/>
      <sheetName val="월별판관(총괄)"/>
      <sheetName val="판관(아케이드)"/>
      <sheetName val="월별판관(아케이드)"/>
      <sheetName val="판관(온정각)"/>
      <sheetName val="월별판관(온정각)"/>
      <sheetName val="판관(용역)"/>
      <sheetName val="월별판관(용역)"/>
      <sheetName val="26"/>
      <sheetName val="1-1.손익(온정각)"/>
      <sheetName val="1-1.손익(관광식당)"/>
      <sheetName val="1-1.손익(직원식당)"/>
      <sheetName val="1-2.월별손익(온정각)"/>
      <sheetName val="1-2.월별손익(관광식당)"/>
      <sheetName val="200"/>
      <sheetName val="건축실행  (5)"/>
      <sheetName val="단가"/>
      <sheetName val="C급보 "/>
      <sheetName val="wage Cal"/>
      <sheetName val="암거"/>
      <sheetName val="스낵물량"/>
      <sheetName val="캔개발배경"/>
      <sheetName val="시장"/>
      <sheetName val="일정표"/>
      <sheetName val="04부품"/>
      <sheetName val="99년하반기"/>
      <sheetName val="6공구(당초)"/>
      <sheetName val="단가비교"/>
      <sheetName val="재정비직인"/>
      <sheetName val="재정비내역"/>
      <sheetName val="지적고시내역"/>
      <sheetName val="배수공"/>
      <sheetName val="6PILE  (돌출)"/>
      <sheetName val="수량산출서 갑지"/>
      <sheetName val="일반전기C"/>
      <sheetName val="총괄표"/>
      <sheetName val="설계명세"/>
      <sheetName val="간접"/>
      <sheetName val="전계가"/>
      <sheetName val="세원견적서"/>
      <sheetName val="남대문빌딩"/>
      <sheetName val="냉천부속동"/>
      <sheetName val="hvac(제어동)"/>
      <sheetName val="참조"/>
      <sheetName val="메인거더-크로스빔200연결부"/>
      <sheetName val="공통가설공사"/>
      <sheetName val="최종견"/>
      <sheetName val="IMP(MAIN)"/>
      <sheetName val="IMP (REACTOR)"/>
      <sheetName val="토공사및_흙막이공사"/>
      <sheetName val="써100_(A4)"/>
      <sheetName val="97_사업추정(WEKI)"/>
      <sheetName val="남양시작동자105노65기1_3화1_2"/>
      <sheetName val="7_수지"/>
      <sheetName val="F_C_U_ZONE집계"/>
      <sheetName val="A_H_U_ZONE별집계"/>
      <sheetName val="PAC_집계"/>
      <sheetName val="1_가스소비량"/>
      <sheetName val="1-3_가스관경계산-1"/>
      <sheetName val="1-4_가스관경계산-2"/>
      <sheetName val="1-5_가스관경계산-3"/>
      <sheetName val="1-6_가스관경계산-4_"/>
      <sheetName val="1-7_가스관경계산-5"/>
      <sheetName val="1-7_가스차압산출"/>
      <sheetName val="덕트_및_배기그릴선정"/>
      <sheetName val="1_견적서목록"/>
      <sheetName val="부하계산서_(영문)"/>
      <sheetName val="PEND-ITEM_(2)"/>
      <sheetName val="견적표지_(횡)"/>
      <sheetName val="부하집계표_(2안)"/>
      <sheetName val="부하계산서_"/>
      <sheetName val="UNIT_COOLER_선정표"/>
      <sheetName val="ACCUMULALOR_(2안)"/>
      <sheetName val="동력집계표_(2안)"/>
      <sheetName val="cooling_tower_(2)"/>
      <sheetName val="cooling_water_pump"/>
      <sheetName val="DEFROEST_PUMP"/>
      <sheetName val="기기선정표_(2안)"/>
      <sheetName val="cooling_tower"/>
      <sheetName val="부하집계표_(2)"/>
      <sheetName val="unit_4"/>
      <sheetName val="표지_(2)"/>
      <sheetName val="TOWER_12TON"/>
      <sheetName val="JIB_CRANE,HOIST"/>
      <sheetName val="TOWER_10TON"/>
      <sheetName val="P_M_별"/>
      <sheetName val="OCT_FDN"/>
      <sheetName val="EXT_CHECK"/>
      <sheetName val="P-127E1,E2_"/>
      <sheetName val="P-123E1,E2_"/>
      <sheetName val="P-128E_"/>
      <sheetName val="3_건축(현장안)"/>
      <sheetName val="BEND_LOSS"/>
      <sheetName val="1차_내역서"/>
      <sheetName val="A_LINE"/>
      <sheetName val="WEIGHT_LIST"/>
      <sheetName val="산#2-1_(2)"/>
      <sheetName val="（３）_"/>
      <sheetName val="목차_(2)"/>
      <sheetName val="1-1_손익(부문별)"/>
      <sheetName val="1-2_손익(월별)"/>
      <sheetName val="2-1_판관비(부문)"/>
      <sheetName val="2-2_판관비(월별)"/>
      <sheetName val="3-1_수익비용(부문별)"/>
      <sheetName val="3-2_수익비용(월별)"/>
      <sheetName val="4-1_투자(부문)"/>
      <sheetName val="4-2_투자(월별)"/>
      <sheetName val="5-1_인원(부문)"/>
      <sheetName val="5-2_인원(월별)"/>
      <sheetName val="6_산출근거"/>
      <sheetName val="7_현금흐름"/>
      <sheetName val="마케팅1_(2)"/>
      <sheetName val="마케팅1_(3)"/>
      <sheetName val="마케팅1_(4)"/>
      <sheetName val="01_1담당매출계획27_8$"/>
      <sheetName val="01매출계획_선용품"/>
      <sheetName val="작업악성채권직원판매제외(거래선별)_"/>
      <sheetName val="작업악성채권직원판매제외_(담당별종합)"/>
      <sheetName val="작업악성채권직원판매제외_(담당별)"/>
      <sheetName val="판촉비예산_"/>
      <sheetName val="인테리어_시설"/>
      <sheetName val="파_3층_특설_장치장식비"/>
      <sheetName val="총괄_(03년11월)h&amp;s"/>
      <sheetName val="총괄_(03년11월)여행"/>
      <sheetName val="세부내용_(03년11월)여행"/>
      <sheetName val="개인_세부내용_(03년11월)여행"/>
      <sheetName val="동구일반상품_"/>
      <sheetName val="2_2_10_샤시등"/>
      <sheetName val="A3_공사비_검토"/>
      <sheetName val="C3_토목_옹벽"/>
      <sheetName val="A6_샤시등"/>
      <sheetName val="토공(우물통,기타)_"/>
      <sheetName val="TRE_TABLE"/>
      <sheetName val="PUNCH_LIST"/>
      <sheetName val="WELDING_JOINT_INSPECTION_STATUS"/>
      <sheetName val="PE거푸집(1_2)"/>
      <sheetName val="아파트_"/>
      <sheetName val="BSD__2_"/>
      <sheetName val="내역서_(2)"/>
      <sheetName val="내역서_(3)"/>
      <sheetName val="내역서_(4)"/>
      <sheetName val="대비표"/>
      <sheetName val="동별내역-3월5일"/>
      <sheetName val="소요자재"/>
      <sheetName val="(첨부3)급탕,온수시방"/>
      <sheetName val="(첨부3)냉수,냉온수보온시방"/>
      <sheetName val="(첨부3)냉매보온"/>
      <sheetName val="잡비"/>
      <sheetName val="6호기"/>
      <sheetName val="EQT-ESTN"/>
      <sheetName val="공문"/>
      <sheetName val="공통비(전체)"/>
      <sheetName val="DB"/>
      <sheetName val="단가산출"/>
      <sheetName val="부대내역"/>
      <sheetName val="별제권_정리담보권1"/>
      <sheetName val="데이타"/>
      <sheetName val="깨기수량"/>
      <sheetName val="1.설계조건"/>
      <sheetName val="1-2.월별손익(직원식당)"/>
      <sheetName val="2-1.판관비(지원)"/>
      <sheetName val="2-1.판관비(관광)"/>
      <sheetName val="2-1.판관비(직원) "/>
      <sheetName val="소모품내역"/>
      <sheetName val="직원사급품"/>
      <sheetName val="합산손익"/>
      <sheetName val="인원,매출기준"/>
      <sheetName val="2-1.판관비(온정각)"/>
      <sheetName val="2-2.월별판관비(온정각)"/>
      <sheetName val="기초부하"/>
      <sheetName val="아파트건축"/>
      <sheetName val="적정심사"/>
      <sheetName val="2-2.월별판관비(지원)"/>
      <sheetName val="2-2.월별판관비(직원)"/>
      <sheetName val="2-2.월별판관비(휴게소)"/>
      <sheetName val="2-2.월별판관비(스넥코너)"/>
      <sheetName val="2-2.월별판관비(음료코너)"/>
      <sheetName val="2-2.월별판관비(온천장)"/>
      <sheetName val="5-1.인원(온정각)"/>
      <sheetName val="23"/>
      <sheetName val="24"/>
      <sheetName val="25"/>
      <sheetName val="27"/>
      <sheetName val="28"/>
      <sheetName val="29"/>
      <sheetName val="30"/>
      <sheetName val="인원계획"/>
      <sheetName val="99년누계 (월별)"/>
      <sheetName val="158"/>
      <sheetName val="159"/>
      <sheetName val="160"/>
      <sheetName val="161"/>
      <sheetName val="162"/>
      <sheetName val="163"/>
      <sheetName val="164"/>
      <sheetName val="165"/>
      <sheetName val="166"/>
      <sheetName val="167"/>
      <sheetName val="168"/>
      <sheetName val="169"/>
      <sheetName val="170"/>
      <sheetName val="171"/>
      <sheetName val="172"/>
      <sheetName val="173"/>
      <sheetName val="174"/>
      <sheetName val="175"/>
      <sheetName val="176"/>
      <sheetName val="177"/>
      <sheetName val="178"/>
      <sheetName val="179"/>
      <sheetName val="180"/>
      <sheetName val="181"/>
      <sheetName val="182"/>
      <sheetName val="183"/>
      <sheetName val="184"/>
      <sheetName val="참조1"/>
      <sheetName val="참조2"/>
      <sheetName val="2월15일"/>
      <sheetName val="아산공문"/>
      <sheetName val="매출현황"/>
      <sheetName val="총괄현황"/>
      <sheetName val="골프스포츠"/>
      <sheetName val="고효율 유도전동기 적용비율 계산서"/>
      <sheetName val="설비2차"/>
      <sheetName val="설계예시"/>
      <sheetName val="일위대가표"/>
      <sheetName val="마감사양"/>
      <sheetName val="금융"/>
      <sheetName val="봉천제출"/>
      <sheetName val="효율비교"/>
      <sheetName val="시설물기초"/>
      <sheetName val="2000년1차"/>
      <sheetName val="분당임차변경"/>
      <sheetName val="유림콘도"/>
      <sheetName val="건축내역"/>
      <sheetName val="2.대외공문"/>
      <sheetName val="물건조서"/>
      <sheetName val="유림총괄"/>
      <sheetName val="대차대조-보고"/>
      <sheetName val="갑지"/>
      <sheetName val="누락일위대가내역"/>
      <sheetName val="배수입상_"/>
      <sheetName val="토목내역서_(도급단가)"/>
      <sheetName val="1장_"/>
      <sheetName val="1_개요_"/>
      <sheetName val="2_조건_"/>
      <sheetName val="3_공식붙임"/>
      <sheetName val="4장_"/>
      <sheetName val="1_AHU_"/>
      <sheetName val="2_AHU-1"/>
      <sheetName val="2_FAN"/>
      <sheetName val="1_급탕"/>
      <sheetName val="6장_별첨"/>
      <sheetName val="전선_및_전선관"/>
      <sheetName val="추정공사비_산출결과"/>
      <sheetName val="에너지성능지표검토서(기계,_전기,_신재생)"/>
      <sheetName val="월별손익(용역)_"/>
      <sheetName val="1-1_손익(온정각)"/>
      <sheetName val="1-1_손익(관광식당)"/>
      <sheetName val="1-1_손익(직원식당)"/>
      <sheetName val="1-2_월별손익(온정각)"/>
      <sheetName val="1-2_월별손익(관광식당)"/>
      <sheetName val="1-2_월별손익(직원식당)"/>
      <sheetName val="2-1_판관비(지원)"/>
      <sheetName val="2-1_판관비(관광)"/>
      <sheetName val="2-1_판관비(직원)_"/>
      <sheetName val="2-1_판관비(온정각)"/>
      <sheetName val="2-2_월별판관비(온정각)"/>
      <sheetName val="2-2_월별판관비(지원)"/>
      <sheetName val="2-2_월별판관비(직원)"/>
      <sheetName val="2-2_월별판관비(휴게소)"/>
      <sheetName val="2-2_월별판관비(스넥코너)"/>
      <sheetName val="2-2_월별판관비(음료코너)"/>
      <sheetName val="2-2_월별판관비(온천장)"/>
      <sheetName val="5-1_인원(온정각)"/>
      <sheetName val="99년누계_(월별)"/>
      <sheetName val="고효율_유도전동기_적용비율_계산서"/>
      <sheetName val="정산서 "/>
      <sheetName val="일용노임단가"/>
      <sheetName val="총물량"/>
      <sheetName val="입찰"/>
      <sheetName val="현경"/>
      <sheetName val="RE9604"/>
      <sheetName val="99년신청"/>
      <sheetName val="구조     ."/>
      <sheetName val="주관사업"/>
      <sheetName val="1차배부(JB포함)"/>
      <sheetName val="C.배수관공"/>
      <sheetName val="수목데이타 "/>
      <sheetName val="CON'C"/>
      <sheetName val="ITEM"/>
      <sheetName val="전체"/>
      <sheetName val="1.수인터널"/>
      <sheetName val="노임조서"/>
      <sheetName val="_x000f__x0000_"/>
      <sheetName val="출장거리"/>
      <sheetName val="총괄장"/>
      <sheetName val="의류패션팀"/>
      <sheetName val="잡화가용팀"/>
      <sheetName val="판매기획팀"/>
      <sheetName val="식품팀"/>
      <sheetName val="과투입사유서"/>
      <sheetName val="공사현황"/>
      <sheetName val="갑지 (2)"/>
      <sheetName val="비목별 투자 집계"/>
      <sheetName val="목차2"/>
      <sheetName val="미불금"/>
      <sheetName val="상용인건비"/>
      <sheetName val="노무비집계"/>
      <sheetName val="보인"/>
      <sheetName val="목공(직영)"/>
      <sheetName val="측구목공(외주)"/>
      <sheetName val="목공교량외주"/>
      <sheetName val="철근교량외주"/>
      <sheetName val="조원공(외주)"/>
      <sheetName val="기성검사원"/>
      <sheetName val="외주집계"/>
      <sheetName val="모작기성"/>
      <sheetName val="수량집계표"/>
      <sheetName val="장비사용집계표"/>
      <sheetName val="장비사용내역"/>
      <sheetName val="자재집계표"/>
      <sheetName val="자재비내역 "/>
      <sheetName val="잡자재집계표"/>
      <sheetName val="잡자재비내역"/>
      <sheetName val="유류비집계표"/>
      <sheetName val="유대공제분산출내역"/>
      <sheetName val="유류사용내역서(관문)"/>
      <sheetName val="유류사용내역서(진성)"/>
      <sheetName val="기타유류내역"/>
      <sheetName val="운반비"/>
      <sheetName val="운반비 내역"/>
      <sheetName val="수선수리비집계표"/>
      <sheetName val="수선수리비내역"/>
      <sheetName val="소모공구비"/>
      <sheetName val="소모공구내역"/>
      <sheetName val="사무 용품비"/>
      <sheetName val="사무용품내역서"/>
      <sheetName val="안전관리비집계표"/>
      <sheetName val="안전관리비내역"/>
      <sheetName val="현장경비"/>
      <sheetName val="현장경비내역"/>
      <sheetName val="전기통신비"/>
      <sheetName val="지대 및 집세"/>
      <sheetName val="감가상각명세서"/>
      <sheetName val="전도금정산서"/>
      <sheetName val="복후집계표"/>
      <sheetName val="복리후생비내역"/>
      <sheetName val="식대내역집계표"/>
      <sheetName val="식대청구서"/>
      <sheetName val="애산리식당"/>
      <sheetName val="식대관문"/>
      <sheetName val="신흥상회"/>
      <sheetName val="임금계좌내역"/>
      <sheetName val="계산서발행내역"/>
      <sheetName val="갑지 2 (2)"/>
      <sheetName val="갑지 2"/>
      <sheetName val="공정보고서"/>
      <sheetName val="기계설비-내역서"/>
      <sheetName val="도급내역서"/>
      <sheetName val="기흥하도용"/>
      <sheetName val="일위목록"/>
      <sheetName val="요율"/>
      <sheetName val="플랜트 설치"/>
      <sheetName val="역T형옹벽(3.0)"/>
      <sheetName val="연결관암거"/>
      <sheetName val="갑지1"/>
      <sheetName val="당사"/>
      <sheetName val="49-119"/>
      <sheetName val="설계기준"/>
      <sheetName val="내역1"/>
      <sheetName val="양수장(기계)"/>
      <sheetName val="1.설계기준"/>
      <sheetName val="건축기술부대조건"/>
      <sheetName val="5.공종별예산내역서"/>
      <sheetName val="DATA1"/>
      <sheetName val="1.CB"/>
      <sheetName val="1.CB (2)"/>
      <sheetName val="1.CB (3)"/>
      <sheetName val="TEST"/>
      <sheetName val="합계"/>
      <sheetName val="수식"/>
      <sheetName val="외화"/>
      <sheetName val="도입"/>
      <sheetName val="정액"/>
      <sheetName val="변수"/>
      <sheetName val="정율"/>
      <sheetName val="외산지수"/>
      <sheetName val="환율(설치)"/>
      <sheetName val="환산율"/>
      <sheetName val="국내지수"/>
      <sheetName val="신공덕"/>
      <sheetName val="총괄집계표"/>
      <sheetName val="1.구리중 (제조사A)"/>
      <sheetName val="1.구리중 (제조사B)"/>
      <sheetName val="1.구리중 (제조사C)"/>
      <sheetName val="2.토평초(제조사A)"/>
      <sheetName val="2.토평초(제조사B)"/>
      <sheetName val="2.토평초(제조사C)"/>
      <sheetName val="3.평내초(제조사A)"/>
      <sheetName val="3.평내초(제조사B)"/>
      <sheetName val="3.평내초(제조사C)"/>
      <sheetName val="전체(삼성모델)"/>
      <sheetName val="전체(케리어모델)"/>
      <sheetName val="MDF"/>
      <sheetName val="실외기 배관트레이"/>
      <sheetName val="중앙콘트롤러설치용전선 "/>
      <sheetName val="자재단가표"/>
      <sheetName val="실내기전원"/>
      <sheetName val="부표총괄"/>
      <sheetName val="INPUT"/>
      <sheetName val="각형덕트"/>
      <sheetName val="터미널측정기록"/>
      <sheetName val="시운전연료"/>
      <sheetName val="유동표"/>
      <sheetName val="인건비"/>
      <sheetName val="을 1"/>
      <sheetName val="을 2"/>
      <sheetName val="ilch"/>
      <sheetName val="예산명세서"/>
      <sheetName val="1안"/>
      <sheetName val="일단의 주택지"/>
      <sheetName val="단"/>
      <sheetName val="적용률"/>
      <sheetName val="노무비"/>
      <sheetName val="설계명세서"/>
      <sheetName val="자료입력"/>
      <sheetName val="2.냉난방설비공사"/>
      <sheetName val="7.자동제어공사"/>
      <sheetName val="증감내역서"/>
      <sheetName val="CTEMCOST"/>
      <sheetName val="하도내역 (철콘)"/>
      <sheetName val="시설국장자료"/>
      <sheetName val="조건"/>
      <sheetName val="흙깎기(도로부)"/>
      <sheetName val="관리,부대비"/>
      <sheetName val="제경비율"/>
      <sheetName val="대차대조표"/>
      <sheetName val="큐비&amp;pnl_견적비교"/>
      <sheetName val="등_견적비교"/>
      <sheetName val="서울통신"/>
      <sheetName val="실행(1)"/>
      <sheetName val="1.취수장"/>
      <sheetName val="3.고급화검토"/>
      <sheetName val="입면고급화단가표"/>
      <sheetName val="2.공사비 검토"/>
      <sheetName val="합계잔액시산표"/>
      <sheetName val="비교대차대조표"/>
      <sheetName val="비교손익계산서 "/>
      <sheetName val="결손금처리계산서"/>
      <sheetName val="현금흐름표정산표"/>
      <sheetName val="현금흐름표"/>
      <sheetName val="현금흐름표_명세"/>
      <sheetName val="0312대차대조표"/>
      <sheetName val="(기준서반영)0312손익계산서"/>
      <sheetName val="상품"/>
      <sheetName val="매장상품"/>
      <sheetName val="외상매입금"/>
      <sheetName val="매출원가"/>
      <sheetName val="2003.12"/>
      <sheetName val="2002.12"/>
      <sheetName val="대차대조표_보고"/>
      <sheetName val="손익계산서_보고"/>
      <sheetName val="요약대차당해년"/>
      <sheetName val="요약대차대조표"/>
      <sheetName val="년도별손익계산서"/>
      <sheetName val="년도별대차대조표"/>
      <sheetName val="주요계정명세서_보고"/>
      <sheetName val="결산공고용"/>
      <sheetName val="영업.일1"/>
      <sheetName val="단가 "/>
      <sheetName val="단가산출서"/>
      <sheetName val="도급"/>
      <sheetName val="인건비 "/>
      <sheetName val="2. 공원조도"/>
      <sheetName val="01"/>
      <sheetName val="현장관리비"/>
      <sheetName val="장비비"/>
      <sheetName val="SEV wiress4 Total"/>
      <sheetName val="SEV wireles 4  fire fighting "/>
      <sheetName val="1-2-1"/>
      <sheetName val="1-2-2"/>
      <sheetName val="1-2-3"/>
      <sheetName val="1-3-1"/>
      <sheetName val="1-3-2"/>
      <sheetName val="1-3-3"/>
      <sheetName val="1-3-4"/>
      <sheetName val="2-1"/>
      <sheetName val="2-2-1"/>
      <sheetName val="2-2-2"/>
      <sheetName val="3-1"/>
      <sheetName val="3-2"/>
      <sheetName val="4-1"/>
      <sheetName val="4-2"/>
      <sheetName val="SEV wireles 4  fire Alarm"/>
      <sheetName val="B.1-1"/>
      <sheetName val="B.1-2"/>
      <sheetName val="B.1-3"/>
      <sheetName val="B.1-4"/>
      <sheetName val="B.1-5"/>
      <sheetName val="B.1-6"/>
      <sheetName val="B.1-7"/>
      <sheetName val="B.2"/>
      <sheetName val="B.3"/>
      <sheetName val="B.4"/>
      <sheetName val="B.6-1"/>
      <sheetName val="B.6-2"/>
      <sheetName val="7.경제성결과"/>
      <sheetName val="BSD (2)"/>
      <sheetName val="anaysis_sheet"/>
      <sheetName val="비용master"/>
      <sheetName val="일위대가(1)"/>
      <sheetName val="IN2"/>
      <sheetName val="대비표(토공1안)"/>
      <sheetName val="정부노임단가"/>
      <sheetName val="신공"/>
      <sheetName val="2호맨홀공제수량"/>
      <sheetName val="9GNG운반"/>
      <sheetName val="템플릿"/>
      <sheetName val="choose"/>
      <sheetName val="기준"/>
      <sheetName val="WORKER"/>
      <sheetName val="관세,통관수수료,운반비"/>
      <sheetName val="겉표지"/>
      <sheetName val="원가"/>
      <sheetName val="노임근거"/>
      <sheetName val="일대목차"/>
      <sheetName val="합산자재"/>
      <sheetName val="옵션"/>
      <sheetName val="사용설명"/>
      <sheetName val="Mech CIF"/>
      <sheetName val="WORK"/>
      <sheetName val="현장관리비데이타"/>
      <sheetName val="단위내역목록"/>
      <sheetName val="설비내역서"/>
      <sheetName val="전기내역서"/>
      <sheetName val="건축내역서"/>
      <sheetName val="b_balju-단가단가단가"/>
      <sheetName val="설직재-1"/>
      <sheetName val="산출내역서"/>
      <sheetName val="사업성"/>
      <sheetName val="대여현황"/>
      <sheetName val="금액순"/>
      <sheetName val="안산기계장치"/>
      <sheetName val="4-0.툫자"/>
      <sheetName val="인건-측정"/>
      <sheetName val="Hidden"/>
      <sheetName val="DATA(BAC)"/>
      <sheetName val="회사정보"/>
      <sheetName val="단위세대 개요"/>
      <sheetName val="매립"/>
      <sheetName val="예가표"/>
      <sheetName val="GATE_RFID_설치운영"/>
      <sheetName val="음료실행"/>
      <sheetName val="공틀공사"/>
      <sheetName val="별표"/>
      <sheetName val="설계"/>
      <sheetName val="기본자료"/>
      <sheetName val="토목단가"/>
      <sheetName val="본실행경비"/>
      <sheetName val="FAB별"/>
      <sheetName val="실행내역 "/>
      <sheetName val="공내역"/>
      <sheetName val="설 계"/>
      <sheetName val="새공통"/>
      <sheetName val="입출재고현황 (2)"/>
      <sheetName val="금호"/>
      <sheetName val="4-3 보온 기본물량집계"/>
      <sheetName val="XZLC004_PART2"/>
      <sheetName val="현장지지물물량"/>
      <sheetName val="경상비내역"/>
      <sheetName val="도시가스현황"/>
      <sheetName val="할증 "/>
      <sheetName val="매각대상"/>
      <sheetName val="승용C.S"/>
      <sheetName val="상용C.S"/>
      <sheetName val="내역(가지)"/>
      <sheetName val="1공구산출내역서"/>
      <sheetName val="1.우편집중내역서"/>
      <sheetName val="기계경비(시간당)"/>
      <sheetName val="램머"/>
      <sheetName val="TYPE-A"/>
      <sheetName val="XZLC003_PART1"/>
      <sheetName val="환율change"/>
      <sheetName val="토공정보"/>
      <sheetName val="기성내역서"/>
      <sheetName val="보온자재단가표"/>
      <sheetName val="CB"/>
      <sheetName val="b_yesan"/>
      <sheetName val="토목내역 (2)"/>
      <sheetName val="SG"/>
      <sheetName val="선수금,기성"/>
      <sheetName val="가격조사서"/>
      <sheetName val="70%"/>
      <sheetName val="골조"/>
      <sheetName val="E총"/>
      <sheetName val="EKOG10건축"/>
      <sheetName val="BM"/>
      <sheetName val="부재리스트"/>
      <sheetName val="H-Pile공"/>
      <sheetName val="환경기계공정표 (3)"/>
      <sheetName val="부산제일극장"/>
      <sheetName val="익산"/>
      <sheetName val="자재표"/>
      <sheetName val="일위(PN)"/>
      <sheetName val="인원계획-미화"/>
      <sheetName val="실행예산"/>
      <sheetName val="횡배수관집현황(2공구)"/>
      <sheetName val="공사비예산서(토목분)"/>
      <sheetName val="기안지"/>
      <sheetName val="1.집계표"/>
      <sheetName val="2.공통가설공사"/>
      <sheetName val="4.기계설비공사"/>
      <sheetName val="7. 안전관리비"/>
      <sheetName val="인원투입계획"/>
      <sheetName val="총괄계약금액"/>
      <sheetName val="계약현황"/>
      <sheetName val="식대 숙직비"/>
      <sheetName val="패널"/>
      <sheetName val="201801"/>
      <sheetName val="201802"/>
      <sheetName val="201803"/>
      <sheetName val="201804"/>
      <sheetName val="201805"/>
      <sheetName val="201806"/>
      <sheetName val="201807"/>
      <sheetName val="201808"/>
      <sheetName val="99노임기준"/>
      <sheetName val="VXXXXX"/>
      <sheetName val="견적서(방진)"/>
      <sheetName val="견적서(내진)-ULFM"/>
      <sheetName val="내진스토퍼-앙카체결"/>
      <sheetName val="신단가"/>
      <sheetName val="신단가 (내진설치비)"/>
      <sheetName val="PO-MAT견적(철근)"/>
      <sheetName val="PO-MAT견적(와이어메쉬)"/>
      <sheetName val="JACK-UP"/>
      <sheetName val="프린트 (3)"/>
      <sheetName val="측면지"/>
      <sheetName val="뒷표지"/>
      <sheetName val="앞표지"/>
      <sheetName val="제출문"/>
      <sheetName val="간지-2"/>
      <sheetName val="결과1"/>
      <sheetName val="결과2"/>
      <sheetName val="결과3"/>
      <sheetName val="결과4"/>
      <sheetName val="결과5"/>
      <sheetName val="결과6"/>
      <sheetName val="간지-2 (2)"/>
      <sheetName val=" 1. 개요"/>
      <sheetName val=" 2. 난방설비"/>
      <sheetName val="열관류율 계산서"/>
      <sheetName val="84A"/>
      <sheetName val="84B"/>
      <sheetName val="84C"/>
      <sheetName val="101A"/>
      <sheetName val="101B"/>
      <sheetName val="101C"/>
      <sheetName val="난방부하집계"/>
      <sheetName val="2.3 세대별난방부하집계"/>
      <sheetName val="보일러 선정"/>
      <sheetName val="84A (2)"/>
      <sheetName val="84B (2)"/>
      <sheetName val="84C (2)"/>
      <sheetName val="101A (2)"/>
      <sheetName val="101B (2)"/>
      <sheetName val="101C (2)"/>
      <sheetName val="난방부하집계 (2)"/>
      <sheetName val="2.3 세대별난방부하집계 (2)"/>
      <sheetName val="보일러 선정 (2)"/>
      <sheetName val="4.급수설비"/>
      <sheetName val="4.2 급수입상배관"/>
      <sheetName val="4.3 급수횡주관"/>
      <sheetName val="5.1 열교환기"/>
      <sheetName val="일위대가(건축)"/>
      <sheetName val="일위대가_가설_"/>
      <sheetName val="계측기"/>
      <sheetName val="Sheet1 (2)"/>
      <sheetName val="콘크리트"/>
      <sheetName val="시멘골재"/>
      <sheetName val="철근"/>
      <sheetName val="주요자재"/>
      <sheetName val="골재"/>
      <sheetName val="강재2"/>
      <sheetName val="XL4Poppy"/>
      <sheetName val="지급자재"/>
      <sheetName val="공사비총괄표"/>
      <sheetName val="중기사용료"/>
      <sheetName val="노임명세"/>
      <sheetName val="anti-termite"/>
      <sheetName val="_x0000__x0008__x0000_ꪀᗈ_x0000_"/>
      <sheetName val="EQUIPMENT -2"/>
      <sheetName val="도기류"/>
      <sheetName val="손익분석"/>
      <sheetName val="기본사항"/>
      <sheetName val="소야공정계획표"/>
      <sheetName val="기타수량"/>
      <sheetName val="DATA 입력란"/>
      <sheetName val="1. 설계조건 2.단면가정 3. 하중계산"/>
      <sheetName val="수량"/>
      <sheetName val="토공수량산출"/>
      <sheetName val="토적계산서"/>
      <sheetName val="공제구간조서"/>
      <sheetName val="3련 BOX"/>
      <sheetName val="공종"/>
      <sheetName val="---제2오수펌프장"/>
      <sheetName val="예산"/>
      <sheetName val="청하배수"/>
      <sheetName val="단가보완"/>
      <sheetName val="단위가격"/>
      <sheetName val="SR97-1"/>
      <sheetName val="1SGATE97"/>
      <sheetName val="가공비"/>
      <sheetName val="하수실행"/>
      <sheetName val="골재수량"/>
      <sheetName val="토공집계"/>
      <sheetName val="토공유동표"/>
      <sheetName val="토공계산서"/>
      <sheetName val="포장수량집계"/>
      <sheetName val="본선포장수량"/>
      <sheetName val="토적표"/>
      <sheetName val="배수공수집"/>
      <sheetName val="접도구역경계표주현황"/>
      <sheetName val="가도공"/>
      <sheetName val="본지사합"/>
      <sheetName val="일반수량"/>
      <sheetName val="공사"/>
      <sheetName val="용산1(해보)"/>
      <sheetName val="간지"/>
      <sheetName val="1.설계조건 "/>
      <sheetName val="설계기준설명 "/>
      <sheetName val="2.단면가정 (BASE)"/>
      <sheetName val="3.하중및토압 (고정)"/>
      <sheetName val="4.작용하중(고정)"/>
      <sheetName val="5.안정검토(고정)(풍화암)"/>
      <sheetName val="6.벽체계산"/>
      <sheetName val="7.흉벽계산(ASCON)"/>
      <sheetName val="8.FOOTING"/>
      <sheetName val="9.날개벽"/>
      <sheetName val="10.교좌받침"/>
      <sheetName val="11.접속슬라브(ASCON)"/>
      <sheetName val="주철근조립도"/>
      <sheetName val="기계공사내역"/>
      <sheetName val="특기사항"/>
      <sheetName val="수도메타"/>
      <sheetName val="수도FAX"/>
      <sheetName val="사코FAX"/>
      <sheetName val="사코"/>
      <sheetName val="설계내역2"/>
      <sheetName val="전체도급"/>
      <sheetName val="덕전리"/>
      <sheetName val="변압기L"/>
      <sheetName val="변압기E"/>
      <sheetName val="GEN "/>
      <sheetName val="세대"/>
      <sheetName val="L"/>
      <sheetName val="P"/>
      <sheetName val="LE"/>
      <sheetName val="주차장"/>
      <sheetName val="동력"/>
      <sheetName val="전압강하"/>
      <sheetName val="접지"/>
      <sheetName val="밧데리및정류기"/>
      <sheetName val="조도"/>
      <sheetName val="TRAY"/>
      <sheetName val="단락용량"/>
      <sheetName val="1동"/>
      <sheetName val="2동"/>
      <sheetName val="3동"/>
      <sheetName val="4동"/>
      <sheetName val="5동"/>
      <sheetName val="전화"/>
      <sheetName val="방송"/>
      <sheetName val="자료"/>
      <sheetName val="도급견적가"/>
      <sheetName val="식재인부"/>
      <sheetName val="하자보증"/>
      <sheetName val="개인DATA"/>
      <sheetName val="1차3회-개소별명세서-빨간색-인쇄용(21873)"/>
      <sheetName val="식재일위대가"/>
      <sheetName val="J형측구단위수량"/>
      <sheetName val="본사공가현황"/>
      <sheetName val="시추주상도"/>
      <sheetName val="ISO"/>
      <sheetName val="건   축"/>
      <sheetName val="아파트"/>
      <sheetName val="crude.SLAB RE-bar"/>
      <sheetName val="건축외주"/>
      <sheetName val="자  재"/>
      <sheetName val="동관마찰손실표"/>
      <sheetName val="원가계산"/>
      <sheetName val="12.17"/>
      <sheetName val="공조실11"/>
      <sheetName val="가스공사 "/>
      <sheetName val="공조실12"/>
      <sheetName val="매출"/>
      <sheetName val="8.PILE  (돌출)"/>
      <sheetName val="건축원가계산서"/>
      <sheetName val="빈"/>
      <sheetName val="15 문제점"/>
      <sheetName val="Sheet2 (2)"/>
      <sheetName val="가설대가"/>
      <sheetName val="토공대가"/>
      <sheetName val="구조대가"/>
      <sheetName val="포설대가1"/>
      <sheetName val="부대대가"/>
      <sheetName val="토목검측서"/>
      <sheetName val="2차공사"/>
      <sheetName val="Macro3"/>
      <sheetName val="암거날개벽재료집계"/>
      <sheetName val="예총"/>
      <sheetName val="집 계 표"/>
      <sheetName val="대비내역(총괄)"/>
      <sheetName val="수목데이타"/>
      <sheetName val="48평형"/>
      <sheetName val="62평형"/>
      <sheetName val="9,10월신제품 (2)"/>
      <sheetName val="기준9801"/>
      <sheetName val="비교9701"/>
      <sheetName val="0"/>
      <sheetName val="당년실적"/>
      <sheetName val="제품손익"/>
      <sheetName val="선택"/>
      <sheetName val="제조원가피벗"/>
      <sheetName val="위탁현황"/>
      <sheetName val="2001"/>
      <sheetName val="1999"/>
      <sheetName val="2000"/>
      <sheetName val="99차량"/>
      <sheetName val="피벗전체"/>
      <sheetName val="수출포함"/>
      <sheetName val="주간계획"/>
      <sheetName val="기초"/>
      <sheetName val="97손익"/>
      <sheetName val="98손익"/>
      <sheetName val="3부손익당월"/>
      <sheetName val="①매출"/>
      <sheetName val="당년사별실적"/>
      <sheetName val="Direct MP Updated"/>
      <sheetName val="단가조사서"/>
      <sheetName val="LG제품"/>
      <sheetName val="성단물량"/>
      <sheetName val="COL"/>
      <sheetName val="확약서"/>
      <sheetName val="기본DATA"/>
      <sheetName val="JUCK"/>
      <sheetName val="내역서1999.8최종"/>
      <sheetName val="D-3109"/>
      <sheetName val="도근좌표"/>
      <sheetName val="점수계산1-2"/>
      <sheetName val="EQUIP-H"/>
      <sheetName val="BOJUNGGM"/>
      <sheetName val="수량산출근거(본선)"/>
      <sheetName val="총투자비"/>
      <sheetName val="요약&amp;결과"/>
      <sheetName val="BS"/>
      <sheetName val="총사업비"/>
      <sheetName val="오피스매각가"/>
      <sheetName val="기자재비"/>
      <sheetName val="장비경비"/>
      <sheetName val="음성방향"/>
      <sheetName val="급수"/>
      <sheetName val="급탕"/>
      <sheetName val="시수"/>
      <sheetName val="급탕(순간식)"/>
      <sheetName val="4.3. 급수펌프선정"/>
      <sheetName val="4.3.2.급탕순환펌프"/>
      <sheetName val="4.3.3. 배수펌프"/>
      <sheetName val="4.4. 전기온수기"/>
      <sheetName val="4.5. 보일러"/>
      <sheetName val="4.4. 급탕탱크"/>
      <sheetName val="우수설계조건"/>
      <sheetName val="계통도"/>
      <sheetName val="설계계산서"/>
      <sheetName val="4.6. 급탕탱크"/>
      <sheetName val="---환기"/>
      <sheetName val="실별환기량산출"/>
      <sheetName val="수배전반 을지"/>
      <sheetName val="대,유,램"/>
      <sheetName val="노면표시수량집계"/>
      <sheetName val="마루67OB"/>
      <sheetName val="마루67OA"/>
      <sheetName val="마루52A"/>
      <sheetName val="마루45A"/>
      <sheetName val="마루42A"/>
      <sheetName val="평형별 세대수"/>
      <sheetName val="Title"/>
      <sheetName val="Load-Ut"/>
      <sheetName val="Load-Sum"/>
      <sheetName val="RM-Load0"/>
      <sheetName val="RM-Load1"/>
      <sheetName val="RM-Load2"/>
      <sheetName val="rm_data"/>
      <sheetName val="TE-Load"/>
      <sheetName val="FCU-Sel"/>
      <sheetName val="BL-Sum"/>
      <sheetName val="BL-Eq"/>
      <sheetName val="ZN-Sum"/>
      <sheetName val="1.공사개요(입력)"/>
      <sheetName val="LEGEND i"/>
      <sheetName val="마감"/>
      <sheetName val="기초데이타"/>
      <sheetName val="BOX구조해석 설명서"/>
      <sheetName val="단면가정"/>
      <sheetName val="좌표단면SPRING"/>
      <sheetName val="하중산정"/>
      <sheetName val="하중조합"/>
      <sheetName val="OUTPUT"/>
      <sheetName val="부재력요약"/>
      <sheetName val="철근량 검토"/>
      <sheetName val="우각부검토"/>
      <sheetName val="안정성검토"/>
      <sheetName val="철근배근"/>
      <sheetName val="96노임기준"/>
      <sheetName val="우배수"/>
      <sheetName val="S&amp;R"/>
      <sheetName val="6. 안전관리비"/>
      <sheetName val="5. 현장관리비(new) "/>
      <sheetName val="양지교"/>
      <sheetName val="내역서적용수량"/>
      <sheetName val="Bag Filter Sizing"/>
      <sheetName val="OHU"/>
      <sheetName val="서산일위대가수정분010603"/>
      <sheetName val="1~5월"/>
      <sheetName val="전화.인터넷(현장)"/>
      <sheetName val="텔레캅(현장)"/>
      <sheetName val="3.0냉난방열원집계"/>
      <sheetName val="4.1AHU"/>
      <sheetName val="4.3 공기압축기"/>
      <sheetName val="4.7 전기라디에타 "/>
      <sheetName val="4.9 AC "/>
      <sheetName val="4.11 FAN"/>
      <sheetName val="4.12 TANK 4.13 탈취기"/>
      <sheetName val="4.14 PUMP"/>
      <sheetName val="5.위생설비"/>
      <sheetName val="단가입耉"/>
      <sheetName val="22수량"/>
      <sheetName val="경영상태"/>
      <sheetName val="본체"/>
      <sheetName val="NH"/>
      <sheetName val="실행간접비용"/>
      <sheetName val="준검 내역서"/>
      <sheetName val="기술조건"/>
      <sheetName val="1.내역(청.하역장전등)"/>
      <sheetName val="기계"/>
      <sheetName val="정화조"/>
      <sheetName val="조경"/>
      <sheetName val="입찰견적보고서"/>
      <sheetName val="교각1"/>
      <sheetName val="결과보고서"/>
      <sheetName val="G.R300경비"/>
      <sheetName val="????"/>
      <sheetName val="전력"/>
      <sheetName val="가계약현황"/>
      <sheetName val="정계약 현황"/>
      <sheetName val="동호수배치도"/>
      <sheetName val="계약서불출대장"/>
      <sheetName val="우편수령"/>
      <sheetName val="계약해지"/>
      <sheetName val="납부서"/>
      <sheetName val="Construction"/>
      <sheetName val="영업소_x0000_"/>
      <sheetName val="BCA INDEX"/>
      <sheetName val="부대tu"/>
      <sheetName val="시설물"/>
      <sheetName val="파주 운정지구 A8블럭"/>
      <sheetName val="보차도경계석"/>
      <sheetName val="일위"/>
      <sheetName val="내역서(삼호)"/>
      <sheetName val="1.기계 납품 진행  현황"/>
      <sheetName val="2.협력업체 담당자 및 연락처"/>
      <sheetName val="프로젝트내용"/>
      <sheetName val="관경결정"/>
      <sheetName val="전신환매도율"/>
      <sheetName val="토공사및_흙막이공사1"/>
      <sheetName val="써100_(A4)1"/>
      <sheetName val="남양시작동자105노65기1_3화1_21"/>
      <sheetName val="F_C_U_ZONE집계1"/>
      <sheetName val="A_H_U_ZONE별집계1"/>
      <sheetName val="PAC_집계1"/>
      <sheetName val="1_가스소비량1"/>
      <sheetName val="1-3_가스관경계산-11"/>
      <sheetName val="1-4_가스관경계산-21"/>
      <sheetName val="1-5_가스관경계산-31"/>
      <sheetName val="1-6_가스관경계산-4_1"/>
      <sheetName val="1-7_가스관경계산-51"/>
      <sheetName val="1-7_가스차압산출1"/>
      <sheetName val="덕트_및_배기그릴선정1"/>
      <sheetName val="1_견적서목록1"/>
      <sheetName val="부하계산서_(영문)1"/>
      <sheetName val="PEND-ITEM_(2)1"/>
      <sheetName val="견적표지_(횡)1"/>
      <sheetName val="부하집계표_(2안)1"/>
      <sheetName val="부하계산서_1"/>
      <sheetName val="UNIT_COOLER_선정표1"/>
      <sheetName val="ACCUMULALOR_(2안)1"/>
      <sheetName val="동력집계표_(2안)1"/>
      <sheetName val="cooling_tower_(2)1"/>
      <sheetName val="cooling_water_pump1"/>
      <sheetName val="DEFROEST_PUMP1"/>
      <sheetName val="기기선정표_(2안)1"/>
      <sheetName val="cooling_tower1"/>
      <sheetName val="부하집계표_(2)1"/>
      <sheetName val="OCT_FDN1"/>
      <sheetName val="EXT_CHECK1"/>
      <sheetName val="P-127E1,E2_1"/>
      <sheetName val="P-123E1,E2_1"/>
      <sheetName val="P-128E_1"/>
      <sheetName val="97_사업추정(WEKI)1"/>
      <sheetName val="TRE_TABLE1"/>
      <sheetName val="표지_(2)1"/>
      <sheetName val="WEIGHT_LIST1"/>
      <sheetName val="산#2-1_(2)1"/>
      <sheetName val="unit_41"/>
      <sheetName val="3_건축(현장안)1"/>
      <sheetName val="（３）_1"/>
      <sheetName val="목차_(2)1"/>
      <sheetName val="1-1_손익(부문별)1"/>
      <sheetName val="1-2_손익(월별)1"/>
      <sheetName val="2-1_판관비(부문)1"/>
      <sheetName val="2-2_판관비(월별)1"/>
      <sheetName val="3-1_수익비용(부문별)1"/>
      <sheetName val="3-2_수익비용(월별)1"/>
      <sheetName val="4-1_투자(부문)1"/>
      <sheetName val="4-2_투자(월별)1"/>
      <sheetName val="5-1_인원(부문)1"/>
      <sheetName val="5-2_인원(월별)1"/>
      <sheetName val="6_산출근거1"/>
      <sheetName val="7_현금흐름1"/>
      <sheetName val="마케팅1_(2)1"/>
      <sheetName val="마케팅1_(3)1"/>
      <sheetName val="마케팅1_(4)1"/>
      <sheetName val="01_1담당매출계획27_8$1"/>
      <sheetName val="01매출계획_선용품1"/>
      <sheetName val="작업악성채권직원판매제외(거래선별)_1"/>
      <sheetName val="작업악성채권직원판매제외_(담당별종합)1"/>
      <sheetName val="작업악성채권직원판매제외_(담당별)1"/>
      <sheetName val="판촉비예산_1"/>
      <sheetName val="인테리어_시설1"/>
      <sheetName val="파_3층_특설_장치장식비1"/>
      <sheetName val="총괄_(03년11월)h&amp;s1"/>
      <sheetName val="총괄_(03년11월)여행1"/>
      <sheetName val="세부내용_(03년11월)여행1"/>
      <sheetName val="개인_세부내용_(03년11월)여행1"/>
      <sheetName val="동구일반상품_1"/>
      <sheetName val="PUNCH_LIST1"/>
      <sheetName val="WELDING_JOINT_INSPECTION_STATU1"/>
      <sheetName val="PE거푸집(1_2)1"/>
      <sheetName val="내역서_(3)1"/>
      <sheetName val="내역서_(4)1"/>
      <sheetName val="에너지성능지표검토서(기계,_전기,_신재생)1"/>
      <sheetName val="1장_1"/>
      <sheetName val="1_개요_1"/>
      <sheetName val="2_조건_1"/>
      <sheetName val="3_공식붙임1"/>
      <sheetName val="4장_1"/>
      <sheetName val="1_AHU_1"/>
      <sheetName val="2_AHU-11"/>
      <sheetName val="2_FAN1"/>
      <sheetName val="1_급탕1"/>
      <sheetName val="6장_별첨1"/>
      <sheetName val="추정공사비_산출결과1"/>
      <sheetName val="배수입상_1"/>
      <sheetName val="Mech_CIF"/>
      <sheetName val="2_냉난방설비공사"/>
      <sheetName val="7_자동제어공사"/>
      <sheetName val="P_M_별1"/>
      <sheetName val="1차_내역서1"/>
      <sheetName val="BEND_LOSS1"/>
      <sheetName val="A_LINE1"/>
      <sheetName val="2_2_10_샤시등1"/>
      <sheetName val="A3_공사비_검토1"/>
      <sheetName val="C3_토목_옹벽1"/>
      <sheetName val="A6_샤시등1"/>
      <sheetName val="토공(우물통,기타)_1"/>
      <sheetName val="BSD__2_1"/>
      <sheetName val="내역서_(2)1"/>
      <sheetName val="7_수지1"/>
      <sheetName val="TOWER_12TON1"/>
      <sheetName val="JIB_CRANE,HOIST1"/>
      <sheetName val="TOWER_10TON1"/>
      <sheetName val="아파트_1"/>
      <sheetName val="4-0_툫자문)"/>
      <sheetName val="2000_05"/>
      <sheetName val="토목내역서_(도급단가)1"/>
      <sheetName val="전선_및_전선관1"/>
      <sheetName val="2000년_공정표"/>
      <sheetName val="콤보박스와_리스트박스의_연결"/>
      <sheetName val="참고용_(2)"/>
      <sheetName val="COMPARISON_TABLE"/>
      <sheetName val="Eq__Mobilization"/>
      <sheetName val="간접비_총괄표"/>
      <sheetName val="월별손익(용역)_1"/>
      <sheetName val="1-1_손익(온정각)1"/>
      <sheetName val="1-1_손익(관광식당)1"/>
      <sheetName val="1-1_손익(직원식당)1"/>
      <sheetName val="1-2_월별손익(온정각)1"/>
      <sheetName val="1-2_월별손익(관광식당)1"/>
      <sheetName val="1-2_월별손익(직원식당)1"/>
      <sheetName val="2-1_판관비(지원)1"/>
      <sheetName val="2-1_판관비(관광)1"/>
      <sheetName val="2-1_판관비(직원)_1"/>
      <sheetName val="2-1_판관비(온정각)1"/>
      <sheetName val="2-2_월별판관비(온정각)1"/>
      <sheetName val="공사예산하조서(O_K)"/>
      <sheetName val="IMP_(REACTOR)"/>
      <sheetName val="0_갑지"/>
      <sheetName val="1_공통가설공사"/>
      <sheetName val="2_토목공사"/>
      <sheetName val="3_건축공사"/>
      <sheetName val="4_설비공사"/>
      <sheetName val="5_전기공사"/>
      <sheetName val="7_안전관리비"/>
      <sheetName val="8_현장관리비"/>
      <sheetName val="인원투입_계획표"/>
      <sheetName val="공사계약현황_(기계설비))"/>
      <sheetName val="공사계약현황_(전기)"/>
      <sheetName val="C_배수관공"/>
      <sheetName val="수목데이타_"/>
      <sheetName val="구조______"/>
      <sheetName val="2-2_월별판관비(지원)1"/>
      <sheetName val="2-2_월별판관비(직원)1"/>
      <sheetName val="2-2_월별판관비(휴게소)1"/>
      <sheetName val="2-2_월별판관비(스넥코너)1"/>
      <sheetName val="2-2_월별판관비(음료코너)1"/>
      <sheetName val="2-2_월별판관비(온천장)1"/>
      <sheetName val="5-1_인원(온정각)1"/>
      <sheetName val="99년누계_(월별)1"/>
      <sheetName val="고효율_유도전동기_적용비율_계산서1"/>
      <sheetName val="정산서_"/>
      <sheetName val="역T형옹벽(3_0)"/>
      <sheetName val="1_설계조건"/>
      <sheetName val="1_설계기준"/>
      <sheetName val="1_수인터널"/>
      <sheetName val="갑지_(2)"/>
      <sheetName val="비목별_투자_집계"/>
      <sheetName val="자재비내역_"/>
      <sheetName val="운반비_내역"/>
      <sheetName val="사무_용품비"/>
      <sheetName val="지대_및_집세"/>
      <sheetName val="5_공종별예산내역서"/>
      <sheetName val="건축실행__(5)"/>
      <sheetName val="1_취수장"/>
      <sheetName val="갑지_2_(2)"/>
      <sheetName val="갑지_2"/>
      <sheetName val="3_고급화검토"/>
      <sheetName val="2_공사비_검토"/>
      <sheetName val="플랜트_설치"/>
      <sheetName val="1_CB"/>
      <sheetName val="1_CB_(2)"/>
      <sheetName val="1_CB_(3)"/>
      <sheetName val="6PILE__(돌출)"/>
      <sheetName val="C급보_"/>
      <sheetName val="wage_Cal"/>
      <sheetName val="토공사및_흙막이공사2"/>
      <sheetName val="써100_(A4)2"/>
      <sheetName val="남양시작동자105노65기1_3화1_22"/>
      <sheetName val="F_C_U_ZONE집계2"/>
      <sheetName val="A_H_U_ZONE별집계2"/>
      <sheetName val="PAC_집계2"/>
      <sheetName val="1_가스소비량2"/>
      <sheetName val="1-3_가스관경계산-12"/>
      <sheetName val="1-4_가스관경계산-22"/>
      <sheetName val="1-5_가스관경계산-32"/>
      <sheetName val="1-6_가스관경계산-4_2"/>
      <sheetName val="1-7_가스관경계산-52"/>
      <sheetName val="1-7_가스차압산출2"/>
      <sheetName val="덕트_및_배기그릴선정2"/>
      <sheetName val="1_견적서목록2"/>
      <sheetName val="부하계산서_(영문)2"/>
      <sheetName val="PEND-ITEM_(2)2"/>
      <sheetName val="견적표지_(횡)2"/>
      <sheetName val="부하집계표_(2안)2"/>
      <sheetName val="부하계산서_2"/>
      <sheetName val="UNIT_COOLER_선정표2"/>
      <sheetName val="ACCUMULALOR_(2안)2"/>
      <sheetName val="동력집계표_(2안)2"/>
      <sheetName val="cooling_tower_(2)2"/>
      <sheetName val="cooling_water_pump2"/>
      <sheetName val="DEFROEST_PUMP2"/>
      <sheetName val="기기선정표_(2안)2"/>
      <sheetName val="cooling_tower2"/>
      <sheetName val="부하집계표_(2)2"/>
      <sheetName val="OCT_FDN2"/>
      <sheetName val="EXT_CHECK2"/>
      <sheetName val="P-127E1,E2_2"/>
      <sheetName val="P-123E1,E2_2"/>
      <sheetName val="P-128E_2"/>
      <sheetName val="97_사업추정(WEKI)2"/>
      <sheetName val="TRE_TABLE2"/>
      <sheetName val="표지_(2)2"/>
      <sheetName val="WEIGHT_LIST2"/>
      <sheetName val="산#2-1_(2)2"/>
      <sheetName val="unit_42"/>
      <sheetName val="3_건축(현장안)2"/>
      <sheetName val="（３）_2"/>
      <sheetName val="목차_(2)2"/>
      <sheetName val="1-1_손익(부문별)2"/>
      <sheetName val="1-2_손익(월별)2"/>
      <sheetName val="2-1_판관비(부문)2"/>
      <sheetName val="2-2_판관비(월별)2"/>
      <sheetName val="3-1_수익비용(부문별)2"/>
      <sheetName val="3-2_수익비용(월별)2"/>
      <sheetName val="4-1_투자(부문)2"/>
      <sheetName val="4-2_투자(월별)2"/>
      <sheetName val="5-1_인원(부문)2"/>
      <sheetName val="5-2_인원(월별)2"/>
      <sheetName val="6_산출근거2"/>
      <sheetName val="7_현금흐름2"/>
      <sheetName val="마케팅1_(2)2"/>
      <sheetName val="마케팅1_(3)2"/>
      <sheetName val="마케팅1_(4)2"/>
      <sheetName val="01_1담당매출계획27_8$2"/>
      <sheetName val="01매출계획_선용품2"/>
      <sheetName val="작업악성채권직원판매제외(거래선별)_2"/>
      <sheetName val="작업악성채권직원판매제외_(담당별종합)2"/>
      <sheetName val="작업악성채권직원판매제외_(담당별)2"/>
      <sheetName val="판촉비예산_2"/>
      <sheetName val="인테리어_시설2"/>
      <sheetName val="파_3층_특설_장치장식비2"/>
      <sheetName val="총괄_(03년11월)h&amp;s2"/>
      <sheetName val="총괄_(03년11월)여행2"/>
      <sheetName val="세부내용_(03년11월)여행2"/>
      <sheetName val="개인_세부내용_(03년11월)여행2"/>
      <sheetName val="동구일반상품_2"/>
      <sheetName val="PUNCH_LIST2"/>
      <sheetName val="WELDING_JOINT_INSPECTION_STATU2"/>
      <sheetName val="PE거푸집(1_2)2"/>
      <sheetName val="내역서_(3)2"/>
      <sheetName val="내역서_(4)2"/>
      <sheetName val="에너지성능지표검토서(기계,_전기,_신재생)2"/>
      <sheetName val="1장_2"/>
      <sheetName val="1_개요_2"/>
      <sheetName val="2_조건_2"/>
      <sheetName val="3_공식붙임2"/>
      <sheetName val="4장_2"/>
      <sheetName val="1_AHU_2"/>
      <sheetName val="2_AHU-12"/>
      <sheetName val="2_FAN2"/>
      <sheetName val="1_급탕2"/>
      <sheetName val="6장_별첨2"/>
      <sheetName val="추정공사비_산출결과2"/>
      <sheetName val="배수입상_2"/>
      <sheetName val="Mech_CIF1"/>
      <sheetName val="2_냉난방설비공사1"/>
      <sheetName val="7_자동제어공사1"/>
      <sheetName val="P_M_별2"/>
      <sheetName val="1차_내역서2"/>
      <sheetName val="BEND_LOSS2"/>
      <sheetName val="A_LINE2"/>
      <sheetName val="2_2_10_샤시등2"/>
      <sheetName val="A3_공사비_검토2"/>
      <sheetName val="C3_토목_옹벽2"/>
      <sheetName val="A6_샤시등2"/>
      <sheetName val="토공(우물통,기타)_2"/>
      <sheetName val="BSD__2_2"/>
      <sheetName val="내역서_(2)2"/>
      <sheetName val="7_수지2"/>
      <sheetName val="TOWER_12TON2"/>
      <sheetName val="JIB_CRANE,HOIST2"/>
      <sheetName val="TOWER_10TON2"/>
      <sheetName val="아파트_2"/>
      <sheetName val="2000_051"/>
      <sheetName val="토목내역서_(도급단가)2"/>
      <sheetName val="전선_및_전선관2"/>
      <sheetName val="2000년_공정표1"/>
      <sheetName val="콤보박스와_리스트박스의_연결1"/>
      <sheetName val="참고용_(2)1"/>
      <sheetName val="COMPARISON_TABLE1"/>
      <sheetName val="Eq__Mobilization1"/>
      <sheetName val="간접비_총괄표1"/>
      <sheetName val="월별손익(용역)_2"/>
      <sheetName val="1-1_손익(온정각)2"/>
      <sheetName val="1-1_손익(관광식당)2"/>
      <sheetName val="1-1_손익(직원식당)2"/>
      <sheetName val="1-2_월별손익(온정각)2"/>
      <sheetName val="1-2_월별손익(관광식당)2"/>
      <sheetName val="1-2_월별손익(직원식당)2"/>
      <sheetName val="2-1_판관비(지원)2"/>
      <sheetName val="2-1_판관비(관광)2"/>
      <sheetName val="2-1_판관비(직원)_2"/>
      <sheetName val="2-1_판관비(온정각)2"/>
      <sheetName val="2-2_월별판관비(온정각)2"/>
      <sheetName val="공사예산하조서(O_K)1"/>
      <sheetName val="IMP_(REACTOR)1"/>
      <sheetName val="0_갑지1"/>
      <sheetName val="1_공통가설공사1"/>
      <sheetName val="2_토목공사1"/>
      <sheetName val="3_건축공사1"/>
      <sheetName val="4_설비공사1"/>
      <sheetName val="5_전기공사1"/>
      <sheetName val="7_안전관리비1"/>
      <sheetName val="8_현장관리비1"/>
      <sheetName val="인원투입_계획표1"/>
      <sheetName val="공사계약현황_(기계설비))1"/>
      <sheetName val="공사계약현황_(전기)1"/>
      <sheetName val="C_배수관공1"/>
      <sheetName val="수목데이타_1"/>
      <sheetName val="구조______1"/>
      <sheetName val="2-2_월별판관비(지원)2"/>
      <sheetName val="2-2_월별판관비(직원)2"/>
      <sheetName val="2-2_월별판관비(휴게소)2"/>
      <sheetName val="2-2_월별판관비(스넥코너)2"/>
      <sheetName val="2-2_월별판관비(음료코너)2"/>
      <sheetName val="2-2_월별판관비(온천장)2"/>
      <sheetName val="5-1_인원(온정각)2"/>
      <sheetName val="99년누계_(월별)2"/>
      <sheetName val="고효율_유도전동기_적용비율_계산서2"/>
      <sheetName val="정산서_1"/>
      <sheetName val="역T형옹벽(3_0)1"/>
      <sheetName val="1_설계조건1"/>
      <sheetName val="1_설계기준1"/>
      <sheetName val="1_수인터널1"/>
      <sheetName val="갑지_(2)1"/>
      <sheetName val="비목별_투자_집계1"/>
      <sheetName val="자재비내역_1"/>
      <sheetName val="운반비_내역1"/>
      <sheetName val="사무_용품비1"/>
      <sheetName val="지대_및_집세1"/>
      <sheetName val="5_공종별예산내역서1"/>
      <sheetName val="건축실행__(5)1"/>
      <sheetName val="1_취수장1"/>
      <sheetName val="갑지_2_(2)1"/>
      <sheetName val="갑지_21"/>
      <sheetName val="3_고급화검토1"/>
      <sheetName val="2_공사비_검토1"/>
      <sheetName val="플랜트_설치1"/>
      <sheetName val="1_CB1"/>
      <sheetName val="1_CB_(2)1"/>
      <sheetName val="1_CB_(3)1"/>
      <sheetName val="6PILE__(돌출)1"/>
      <sheetName val="C급보_1"/>
      <sheetName val="wage_Cal1"/>
      <sheetName val="토공사및_흙막이공사3"/>
      <sheetName val="써100_(A4)3"/>
      <sheetName val="남양시작동자105노65기1_3화1_23"/>
      <sheetName val="F_C_U_ZONE집계3"/>
      <sheetName val="A_H_U_ZONE별집계3"/>
      <sheetName val="PAC_집계3"/>
      <sheetName val="1_가스소비량3"/>
      <sheetName val="1-3_가스관경계산-13"/>
      <sheetName val="1-4_가스관경계산-23"/>
      <sheetName val="1-5_가스관경계산-33"/>
      <sheetName val="1-6_가스관경계산-4_3"/>
      <sheetName val="1-7_가스관경계산-53"/>
      <sheetName val="1-7_가스차압산출3"/>
      <sheetName val="덕트_및_배기그릴선정3"/>
      <sheetName val="1_견적서목록3"/>
      <sheetName val="부하계산서_(영문)3"/>
      <sheetName val="PEND-ITEM_(2)3"/>
      <sheetName val="견적표지_(횡)3"/>
      <sheetName val="부하집계표_(2안)3"/>
      <sheetName val="부하계산서_3"/>
      <sheetName val="UNIT_COOLER_선정표3"/>
      <sheetName val="ACCUMULALOR_(2안)3"/>
      <sheetName val="동력집계표_(2안)3"/>
      <sheetName val="cooling_tower_(2)3"/>
      <sheetName val="cooling_water_pump3"/>
      <sheetName val="DEFROEST_PUMP3"/>
      <sheetName val="기기선정표_(2안)3"/>
      <sheetName val="cooling_tower3"/>
      <sheetName val="부하집계표_(2)3"/>
      <sheetName val="OCT_FDN3"/>
      <sheetName val="EXT_CHECK3"/>
      <sheetName val="P-127E1,E2_3"/>
      <sheetName val="P-123E1,E2_3"/>
      <sheetName val="P-128E_3"/>
      <sheetName val="97_사업추정(WEKI)3"/>
      <sheetName val="TRE_TABLE3"/>
      <sheetName val="표지_(2)3"/>
      <sheetName val="WEIGHT_LIST3"/>
      <sheetName val="산#2-1_(2)3"/>
      <sheetName val="unit_43"/>
      <sheetName val="3_건축(현장안)3"/>
      <sheetName val="（３）_3"/>
      <sheetName val="목차_(2)3"/>
      <sheetName val="1-1_손익(부문별)3"/>
      <sheetName val="1-2_손익(월별)3"/>
      <sheetName val="2-1_판관비(부문)3"/>
      <sheetName val="2-2_판관비(월별)3"/>
      <sheetName val="3-1_수익비용(부문별)3"/>
      <sheetName val="3-2_수익비용(월별)3"/>
      <sheetName val="4-1_투자(부문)3"/>
      <sheetName val="4-2_투자(월별)3"/>
      <sheetName val="5-1_인원(부문)3"/>
      <sheetName val="5-2_인원(월별)3"/>
      <sheetName val="6_산출근거3"/>
      <sheetName val="7_현금흐름3"/>
      <sheetName val="마케팅1_(2)3"/>
      <sheetName val="마케팅1_(3)3"/>
      <sheetName val="마케팅1_(4)3"/>
      <sheetName val="01_1담당매출계획27_8$3"/>
      <sheetName val="01매출계획_선용품3"/>
      <sheetName val="작업악성채권직원판매제외(거래선별)_3"/>
      <sheetName val="작업악성채권직원판매제외_(담당별종합)3"/>
      <sheetName val="작업악성채권직원판매제외_(담당별)3"/>
      <sheetName val="판촉비예산_3"/>
      <sheetName val="인테리어_시설3"/>
      <sheetName val="파_3층_특설_장치장식비3"/>
      <sheetName val="총괄_(03년11월)h&amp;s3"/>
      <sheetName val="총괄_(03년11월)여행3"/>
      <sheetName val="세부내용_(03년11월)여행3"/>
      <sheetName val="개인_세부내용_(03년11월)여행3"/>
      <sheetName val="동구일반상품_3"/>
      <sheetName val="PUNCH_LIST3"/>
      <sheetName val="WELDING_JOINT_INSPECTION_STATU3"/>
      <sheetName val="PE거푸집(1_2)3"/>
      <sheetName val="내역서_(3)3"/>
      <sheetName val="내역서_(4)3"/>
      <sheetName val="에너지성능지표검토서(기계,_전기,_신재생)3"/>
      <sheetName val="1장_3"/>
      <sheetName val="1_개요_3"/>
      <sheetName val="2_조건_3"/>
      <sheetName val="3_공식붙임3"/>
      <sheetName val="4장_3"/>
      <sheetName val="1_AHU_3"/>
      <sheetName val="2_AHU-13"/>
      <sheetName val="2_FAN3"/>
      <sheetName val="1_급탕3"/>
      <sheetName val="6장_별첨3"/>
      <sheetName val="추정공사비_산출결과3"/>
      <sheetName val="배수입상_3"/>
      <sheetName val="Mech_CIF2"/>
      <sheetName val="2_냉난방설비공사2"/>
      <sheetName val="7_자동제어공사2"/>
      <sheetName val="P_M_별3"/>
      <sheetName val="1차_내역서3"/>
      <sheetName val="BEND_LOSS3"/>
      <sheetName val="A_LINE3"/>
      <sheetName val="2_2_10_샤시등3"/>
      <sheetName val="A3_공사비_검토3"/>
      <sheetName val="C3_토목_옹벽3"/>
      <sheetName val="A6_샤시등3"/>
      <sheetName val="토공(우물통,기타)_3"/>
      <sheetName val="BSD__2_3"/>
      <sheetName val="내역서_(2)3"/>
      <sheetName val="7_수지3"/>
      <sheetName val="TOWER_12TON3"/>
      <sheetName val="JIB_CRANE,HOIST3"/>
      <sheetName val="TOWER_10TON3"/>
      <sheetName val="아파트_3"/>
      <sheetName val="2000_052"/>
      <sheetName val="토목내역서_(도급단가)3"/>
      <sheetName val="전선_및_전선관3"/>
      <sheetName val="2000년_공정표2"/>
      <sheetName val="콤보박스와_리스트박스의_연결2"/>
      <sheetName val="참고용_(2)2"/>
      <sheetName val="COMPARISON_TABLE2"/>
      <sheetName val="Eq__Mobilization2"/>
      <sheetName val="간접비_총괄표2"/>
      <sheetName val="월별손익(용역)_3"/>
      <sheetName val="1-1_손익(온정각)3"/>
      <sheetName val="1-1_손익(관광식당)3"/>
      <sheetName val="1-1_손익(직원식당)3"/>
      <sheetName val="1-2_월별손익(온정각)3"/>
      <sheetName val="1-2_월별손익(관광식당)3"/>
      <sheetName val="1-2_월별손익(직원식당)3"/>
      <sheetName val="2-1_판관비(지원)3"/>
      <sheetName val="2-1_판관비(관광)3"/>
      <sheetName val="2-1_판관비(직원)_3"/>
      <sheetName val="2-1_판관비(온정각)3"/>
      <sheetName val="2-2_월별판관비(온정각)3"/>
      <sheetName val="공사예산하조서(O_K)2"/>
      <sheetName val="IMP_(REACTOR)2"/>
      <sheetName val="0_갑지2"/>
      <sheetName val="1_공통가설공사2"/>
      <sheetName val="2_토목공사2"/>
      <sheetName val="3_건축공사2"/>
      <sheetName val="4_설비공사2"/>
      <sheetName val="5_전기공사2"/>
      <sheetName val="7_안전관리비2"/>
      <sheetName val="8_현장관리비2"/>
      <sheetName val="인원투입_계획표2"/>
      <sheetName val="공사계약현황_(기계설비))2"/>
      <sheetName val="공사계약현황_(전기)2"/>
      <sheetName val="C_배수관공2"/>
      <sheetName val="수목데이타_2"/>
      <sheetName val="구조______2"/>
      <sheetName val="2-2_월별판관비(지원)3"/>
      <sheetName val="2-2_월별판관비(직원)3"/>
      <sheetName val="2-2_월별판관비(휴게소)3"/>
      <sheetName val="2-2_월별판관비(스넥코너)3"/>
      <sheetName val="2-2_월별판관비(음료코너)3"/>
      <sheetName val="2-2_월별판관비(온천장)3"/>
      <sheetName val="5-1_인원(온정각)3"/>
      <sheetName val="99년누계_(월별)3"/>
      <sheetName val="고효율_유도전동기_적용비율_계산서3"/>
      <sheetName val="정산서_2"/>
      <sheetName val="역T형옹벽(3_0)2"/>
      <sheetName val="1_설계조건2"/>
      <sheetName val="1_설계기준2"/>
      <sheetName val="1_수인터널2"/>
      <sheetName val="갑지_(2)2"/>
      <sheetName val="비목별_투자_집계2"/>
      <sheetName val="자재비내역_2"/>
      <sheetName val="운반비_내역2"/>
      <sheetName val="사무_용품비2"/>
      <sheetName val="지대_및_집세2"/>
      <sheetName val="5_공종별예산내역서2"/>
      <sheetName val="건축실행__(5)2"/>
      <sheetName val="1_취수장2"/>
      <sheetName val="갑지_2_(2)2"/>
      <sheetName val="갑지_22"/>
      <sheetName val="3_고급화검토2"/>
      <sheetName val="2_공사비_검토2"/>
      <sheetName val="플랜트_설치2"/>
      <sheetName val="1_CB2"/>
      <sheetName val="1_CB_(2)2"/>
      <sheetName val="1_CB_(3)2"/>
      <sheetName val="6PILE__(돌출)2"/>
      <sheetName val="C급보_2"/>
      <sheetName val="wage_Cal2"/>
      <sheetName val="토공사및_흙막이공사5"/>
      <sheetName val="써100_(A4)5"/>
      <sheetName val="남양시작동자105노65기1_3화1_25"/>
      <sheetName val="F_C_U_ZONE집계5"/>
      <sheetName val="A_H_U_ZONE별집계5"/>
      <sheetName val="PAC_집계5"/>
      <sheetName val="1_가스소비량5"/>
      <sheetName val="1-3_가스관경계산-15"/>
      <sheetName val="1-4_가스관경계산-25"/>
      <sheetName val="1-5_가스관경계산-35"/>
      <sheetName val="1-6_가스관경계산-4_5"/>
      <sheetName val="1-7_가스관경계산-55"/>
      <sheetName val="1-7_가스차압산출5"/>
      <sheetName val="덕트_및_배기그릴선정5"/>
      <sheetName val="1_견적서목록5"/>
      <sheetName val="부하계산서_(영문)5"/>
      <sheetName val="PEND-ITEM_(2)5"/>
      <sheetName val="견적표지_(횡)5"/>
      <sheetName val="부하집계표_(2안)5"/>
      <sheetName val="부하계산서_5"/>
      <sheetName val="UNIT_COOLER_선정표5"/>
      <sheetName val="ACCUMULALOR_(2안)5"/>
      <sheetName val="동력집계표_(2안)5"/>
      <sheetName val="cooling_tower_(2)5"/>
      <sheetName val="cooling_water_pump5"/>
      <sheetName val="DEFROEST_PUMP5"/>
      <sheetName val="기기선정표_(2안)5"/>
      <sheetName val="cooling_tower5"/>
      <sheetName val="부하집계표_(2)5"/>
      <sheetName val="OCT_FDN5"/>
      <sheetName val="EXT_CHECK5"/>
      <sheetName val="P-127E1,E2_5"/>
      <sheetName val="P-123E1,E2_5"/>
      <sheetName val="P-128E_5"/>
      <sheetName val="97_사업추정(WEKI)5"/>
      <sheetName val="TRE_TABLE5"/>
      <sheetName val="표지_(2)5"/>
      <sheetName val="WEIGHT_LIST5"/>
      <sheetName val="산#2-1_(2)5"/>
      <sheetName val="unit_45"/>
      <sheetName val="3_건축(현장안)5"/>
      <sheetName val="（３）_5"/>
      <sheetName val="목차_(2)5"/>
      <sheetName val="1-1_손익(부문별)5"/>
      <sheetName val="1-2_손익(월별)5"/>
      <sheetName val="2-1_판관비(부문)5"/>
      <sheetName val="2-2_판관비(월별)5"/>
      <sheetName val="3-1_수익비용(부문별)5"/>
      <sheetName val="3-2_수익비용(월별)5"/>
      <sheetName val="4-1_투자(부문)5"/>
      <sheetName val="4-2_투자(월별)5"/>
      <sheetName val="5-1_인원(부문)5"/>
      <sheetName val="5-2_인원(월별)5"/>
      <sheetName val="6_산출근거5"/>
      <sheetName val="7_현금흐름5"/>
      <sheetName val="마케팅1_(2)5"/>
      <sheetName val="마케팅1_(3)5"/>
      <sheetName val="마케팅1_(4)5"/>
      <sheetName val="01_1담당매출계획27_8$5"/>
      <sheetName val="01매출계획_선용품5"/>
      <sheetName val="작업악성채권직원판매제외(거래선별)_5"/>
      <sheetName val="작업악성채권직원판매제외_(담당별종합)5"/>
      <sheetName val="작업악성채권직원판매제외_(담당별)5"/>
      <sheetName val="판촉비예산_5"/>
      <sheetName val="인테리어_시설5"/>
      <sheetName val="파_3층_특설_장치장식비5"/>
      <sheetName val="총괄_(03년11월)h&amp;s5"/>
      <sheetName val="총괄_(03년11월)여행5"/>
      <sheetName val="세부내용_(03년11월)여행5"/>
      <sheetName val="개인_세부내용_(03년11월)여행5"/>
      <sheetName val="동구일반상품_5"/>
      <sheetName val="PUNCH_LIST5"/>
      <sheetName val="WELDING_JOINT_INSPECTION_STATU5"/>
      <sheetName val="PE거푸집(1_2)5"/>
      <sheetName val="내역서_(3)5"/>
      <sheetName val="내역서_(4)5"/>
      <sheetName val="에너지성능지표검토서(기계,_전기,_신재생)5"/>
      <sheetName val="1장_5"/>
      <sheetName val="1_개요_5"/>
      <sheetName val="2_조건_5"/>
      <sheetName val="3_공식붙임5"/>
      <sheetName val="4장_5"/>
      <sheetName val="1_AHU_5"/>
      <sheetName val="2_AHU-15"/>
      <sheetName val="2_FAN5"/>
      <sheetName val="1_급탕5"/>
      <sheetName val="6장_별첨5"/>
      <sheetName val="추정공사비_산출결과5"/>
      <sheetName val="배수입상_5"/>
      <sheetName val="Mech_CIF4"/>
      <sheetName val="2_냉난방설비공사4"/>
      <sheetName val="7_자동제어공사4"/>
      <sheetName val="P_M_별5"/>
      <sheetName val="1차_내역서5"/>
      <sheetName val="BEND_LOSS5"/>
      <sheetName val="A_LINE5"/>
      <sheetName val="2_2_10_샤시등5"/>
      <sheetName val="A3_공사비_검토5"/>
      <sheetName val="C3_토목_옹벽5"/>
      <sheetName val="A6_샤시등5"/>
      <sheetName val="토공(우물통,기타)_5"/>
      <sheetName val="BSD__2_5"/>
      <sheetName val="내역서_(2)5"/>
      <sheetName val="7_수지5"/>
      <sheetName val="TOWER_12TON5"/>
      <sheetName val="JIB_CRANE,HOIST5"/>
      <sheetName val="TOWER_10TON5"/>
      <sheetName val="아파트_5"/>
      <sheetName val="2000_054"/>
      <sheetName val="토목내역서_(도급단가)5"/>
      <sheetName val="전선_및_전선관5"/>
      <sheetName val="2000년_공정표4"/>
      <sheetName val="콤보박스와_리스트박스의_연결4"/>
      <sheetName val="참고용_(2)4"/>
      <sheetName val="COMPARISON_TABLE4"/>
      <sheetName val="Eq__Mobilization4"/>
      <sheetName val="간접비_총괄표4"/>
      <sheetName val="월별손익(용역)_5"/>
      <sheetName val="1-1_손익(온정각)5"/>
      <sheetName val="1-1_손익(관광식당)5"/>
      <sheetName val="1-1_손익(직원식당)5"/>
      <sheetName val="1-2_월별손익(온정각)5"/>
      <sheetName val="1-2_월별손익(관광식당)5"/>
      <sheetName val="1-2_월별손익(직원식당)5"/>
      <sheetName val="2-1_판관비(지원)5"/>
      <sheetName val="2-1_판관비(관광)5"/>
      <sheetName val="2-1_판관비(직원)_5"/>
      <sheetName val="2-1_판관비(온정각)5"/>
      <sheetName val="2-2_월별판관비(온정각)5"/>
      <sheetName val="공사예산하조서(O_K)4"/>
      <sheetName val="IMP_(REACTOR)4"/>
      <sheetName val="0_갑지4"/>
      <sheetName val="1_공통가설공사4"/>
      <sheetName val="2_토목공사4"/>
      <sheetName val="3_건축공사4"/>
      <sheetName val="4_설비공사4"/>
      <sheetName val="5_전기공사4"/>
      <sheetName val="7_안전관리비4"/>
      <sheetName val="8_현장관리비4"/>
      <sheetName val="인원투입_계획표4"/>
      <sheetName val="공사계약현황_(기계설비))4"/>
      <sheetName val="공사계약현황_(전기)4"/>
      <sheetName val="C_배수관공4"/>
      <sheetName val="수목데이타_4"/>
      <sheetName val="구조______4"/>
      <sheetName val="2-2_월별판관비(지원)5"/>
      <sheetName val="2-2_월별판관비(직원)5"/>
      <sheetName val="2-2_월별판관비(휴게소)5"/>
      <sheetName val="2-2_월별판관비(스넥코너)5"/>
      <sheetName val="2-2_월별판관비(음료코너)5"/>
      <sheetName val="2-2_월별판관비(온천장)5"/>
      <sheetName val="5-1_인원(온정각)5"/>
      <sheetName val="99년누계_(월별)5"/>
      <sheetName val="고효율_유도전동기_적용비율_계산서5"/>
      <sheetName val="정산서_4"/>
      <sheetName val="역T형옹벽(3_0)4"/>
      <sheetName val="1_설계조건4"/>
      <sheetName val="1_설계기준4"/>
      <sheetName val="1_수인터널4"/>
      <sheetName val="갑지_(2)4"/>
      <sheetName val="비목별_투자_집계4"/>
      <sheetName val="자재비내역_4"/>
      <sheetName val="운반비_내역4"/>
      <sheetName val="사무_용품비4"/>
      <sheetName val="지대_및_집세4"/>
      <sheetName val="5_공종별예산내역서4"/>
      <sheetName val="건축실행__(5)4"/>
      <sheetName val="1_취수장4"/>
      <sheetName val="갑지_2_(2)4"/>
      <sheetName val="갑지_24"/>
      <sheetName val="3_고급화검토4"/>
      <sheetName val="2_공사비_검토4"/>
      <sheetName val="플랜트_설치4"/>
      <sheetName val="1_CB4"/>
      <sheetName val="1_CB_(2)4"/>
      <sheetName val="1_CB_(3)4"/>
      <sheetName val="6PILE__(돌출)4"/>
      <sheetName val="C급보_4"/>
      <sheetName val="wage_Cal4"/>
      <sheetName val="토공사및_흙막이공사4"/>
      <sheetName val="써100_(A4)4"/>
      <sheetName val="남양시작동자105노65기1_3화1_24"/>
      <sheetName val="F_C_U_ZONE집계4"/>
      <sheetName val="A_H_U_ZONE별집계4"/>
      <sheetName val="PAC_집계4"/>
      <sheetName val="1_가스소비량4"/>
      <sheetName val="1-3_가스관경계산-14"/>
      <sheetName val="1-4_가스관경계산-24"/>
      <sheetName val="1-5_가스관경계산-34"/>
      <sheetName val="1-6_가스관경계산-4_4"/>
      <sheetName val="1-7_가스관경계산-54"/>
      <sheetName val="1-7_가스차압산출4"/>
      <sheetName val="덕트_및_배기그릴선정4"/>
      <sheetName val="1_견적서목록4"/>
      <sheetName val="부하계산서_(영문)4"/>
      <sheetName val="PEND-ITEM_(2)4"/>
      <sheetName val="견적표지_(횡)4"/>
      <sheetName val="부하집계표_(2안)4"/>
      <sheetName val="부하계산서_4"/>
      <sheetName val="UNIT_COOLER_선정표4"/>
      <sheetName val="ACCUMULALOR_(2안)4"/>
      <sheetName val="동력집계표_(2안)4"/>
      <sheetName val="cooling_tower_(2)4"/>
      <sheetName val="cooling_water_pump4"/>
      <sheetName val="DEFROEST_PUMP4"/>
      <sheetName val="기기선정표_(2안)4"/>
      <sheetName val="cooling_tower4"/>
      <sheetName val="부하집계표_(2)4"/>
      <sheetName val="OCT_FDN4"/>
      <sheetName val="EXT_CHECK4"/>
      <sheetName val="P-127E1,E2_4"/>
      <sheetName val="P-123E1,E2_4"/>
      <sheetName val="P-128E_4"/>
      <sheetName val="97_사업추정(WEKI)4"/>
      <sheetName val="TRE_TABLE4"/>
      <sheetName val="표지_(2)4"/>
      <sheetName val="WEIGHT_LIST4"/>
      <sheetName val="산#2-1_(2)4"/>
      <sheetName val="unit_44"/>
      <sheetName val="3_건축(현장안)4"/>
      <sheetName val="（３）_4"/>
      <sheetName val="목차_(2)4"/>
      <sheetName val="1-1_손익(부문별)4"/>
      <sheetName val="1-2_손익(월별)4"/>
      <sheetName val="2-1_판관비(부문)4"/>
      <sheetName val="2-2_판관비(월별)4"/>
      <sheetName val="3-1_수익비용(부문별)4"/>
      <sheetName val="3-2_수익비용(월별)4"/>
      <sheetName val="4-1_투자(부문)4"/>
      <sheetName val="4-2_투자(월별)4"/>
      <sheetName val="5-1_인원(부문)4"/>
      <sheetName val="5-2_인원(월별)4"/>
      <sheetName val="6_산출근거4"/>
      <sheetName val="7_현금흐름4"/>
      <sheetName val="마케팅1_(2)4"/>
      <sheetName val="마케팅1_(3)4"/>
      <sheetName val="마케팅1_(4)4"/>
      <sheetName val="01_1담당매출계획27_8$4"/>
      <sheetName val="01매출계획_선용품4"/>
      <sheetName val="작업악성채권직원판매제외(거래선별)_4"/>
      <sheetName val="작업악성채권직원판매제외_(담당별종합)4"/>
      <sheetName val="작업악성채권직원판매제외_(담당별)4"/>
      <sheetName val="판촉비예산_4"/>
      <sheetName val="인테리어_시설4"/>
      <sheetName val="파_3층_특설_장치장식비4"/>
      <sheetName val="총괄_(03년11월)h&amp;s4"/>
      <sheetName val="총괄_(03년11월)여행4"/>
      <sheetName val="세부내용_(03년11월)여행4"/>
      <sheetName val="개인_세부내용_(03년11월)여행4"/>
      <sheetName val="동구일반상품_4"/>
      <sheetName val="PUNCH_LIST4"/>
      <sheetName val="WELDING_JOINT_INSPECTION_STATU4"/>
      <sheetName val="PE거푸집(1_2)4"/>
      <sheetName val="내역서_(3)4"/>
      <sheetName val="내역서_(4)4"/>
      <sheetName val="에너지성능지표검토서(기계,_전기,_신재생)4"/>
      <sheetName val="1장_4"/>
      <sheetName val="1_개요_4"/>
      <sheetName val="2_조건_4"/>
      <sheetName val="3_공식붙임4"/>
      <sheetName val="4장_4"/>
      <sheetName val="1_AHU_4"/>
      <sheetName val="2_AHU-14"/>
      <sheetName val="2_FAN4"/>
      <sheetName val="1_급탕4"/>
      <sheetName val="6장_별첨4"/>
      <sheetName val="추정공사비_산출결과4"/>
      <sheetName val="배수입상_4"/>
      <sheetName val="Mech_CIF3"/>
      <sheetName val="2_냉난방설비공사3"/>
      <sheetName val="7_자동제어공사3"/>
      <sheetName val="P_M_별4"/>
      <sheetName val="1차_내역서4"/>
      <sheetName val="BEND_LOSS4"/>
      <sheetName val="A_LINE4"/>
      <sheetName val="2_2_10_샤시등4"/>
      <sheetName val="A3_공사비_검토4"/>
      <sheetName val="C3_토목_옹벽4"/>
      <sheetName val="A6_샤시등4"/>
      <sheetName val="토공(우물통,기타)_4"/>
      <sheetName val="BSD__2_4"/>
      <sheetName val="내역서_(2)4"/>
      <sheetName val="7_수지4"/>
      <sheetName val="TOWER_12TON4"/>
      <sheetName val="JIB_CRANE,HOIST4"/>
      <sheetName val="TOWER_10TON4"/>
      <sheetName val="아파트_4"/>
      <sheetName val="2000_053"/>
      <sheetName val="토목내역서_(도급단가)4"/>
      <sheetName val="전선_및_전선관4"/>
      <sheetName val="2000년_공정표3"/>
      <sheetName val="콤보박스와_리스트박스의_연결3"/>
      <sheetName val="참고용_(2)3"/>
      <sheetName val="COMPARISON_TABLE3"/>
      <sheetName val="Eq__Mobilization3"/>
      <sheetName val="간접비_총괄표3"/>
      <sheetName val="월별손익(용역)_4"/>
      <sheetName val="1-1_손익(온정각)4"/>
      <sheetName val="1-1_손익(관광식당)4"/>
      <sheetName val="1-1_손익(직원식당)4"/>
      <sheetName val="1-2_월별손익(온정각)4"/>
      <sheetName val="1-2_월별손익(관광식당)4"/>
      <sheetName val="1-2_월별손익(직원식당)4"/>
      <sheetName val="2-1_판관비(지원)4"/>
      <sheetName val="2-1_판관비(관광)4"/>
      <sheetName val="2-1_판관비(직원)_4"/>
      <sheetName val="2-1_판관비(온정각)4"/>
      <sheetName val="2-2_월별판관비(온정각)4"/>
      <sheetName val="공사예산하조서(O_K)3"/>
      <sheetName val="IMP_(REACTOR)3"/>
      <sheetName val="0_갑지3"/>
      <sheetName val="1_공통가설공사3"/>
      <sheetName val="2_토목공사3"/>
      <sheetName val="3_건축공사3"/>
      <sheetName val="4_설비공사3"/>
      <sheetName val="5_전기공사3"/>
      <sheetName val="7_안전관리비3"/>
      <sheetName val="8_현장관리비3"/>
      <sheetName val="인원투입_계획표3"/>
      <sheetName val="공사계약현황_(기계설비))3"/>
      <sheetName val="공사계약현황_(전기)3"/>
      <sheetName val="C_배수관공3"/>
      <sheetName val="수목데이타_3"/>
      <sheetName val="구조______3"/>
      <sheetName val="2-2_월별판관비(지원)4"/>
      <sheetName val="2-2_월별판관비(직원)4"/>
      <sheetName val="2-2_월별판관비(휴게소)4"/>
      <sheetName val="2-2_월별판관비(스넥코너)4"/>
      <sheetName val="2-2_월별판관비(음료코너)4"/>
      <sheetName val="2-2_월별판관비(온천장)4"/>
      <sheetName val="5-1_인원(온정각)4"/>
      <sheetName val="99년누계_(월별)4"/>
      <sheetName val="고효율_유도전동기_적용비율_계산서4"/>
      <sheetName val="정산서_3"/>
      <sheetName val="역T형옹벽(3_0)3"/>
      <sheetName val="1_설계조건3"/>
      <sheetName val="1_설계기준3"/>
      <sheetName val="1_수인터널3"/>
      <sheetName val="갑지_(2)3"/>
      <sheetName val="비목별_투자_집계3"/>
      <sheetName val="자재비내역_3"/>
      <sheetName val="운반비_내역3"/>
      <sheetName val="사무_용품비3"/>
      <sheetName val="지대_및_집세3"/>
      <sheetName val="5_공종별예산내역서3"/>
      <sheetName val="건축실행__(5)3"/>
      <sheetName val="1_취수장3"/>
      <sheetName val="갑지_2_(2)3"/>
      <sheetName val="갑지_23"/>
      <sheetName val="3_고급화검토3"/>
      <sheetName val="2_공사비_검토3"/>
      <sheetName val="플랜트_설치3"/>
      <sheetName val="1_CB3"/>
      <sheetName val="1_CB_(2)3"/>
      <sheetName val="1_CB_(3)3"/>
      <sheetName val="6PILE__(돌출)3"/>
      <sheetName val="C급보_3"/>
      <sheetName val="wage_Cal3"/>
      <sheetName val="급殘⿗_x0000_"/>
      <sheetName val="5.세운W-A"/>
      <sheetName val="블럭 손익"/>
      <sheetName val="LOAD-46"/>
      <sheetName val="항목(1)"/>
      <sheetName val="BOOK4"/>
      <sheetName val="연부97-1"/>
      <sheetName val="실제업로드시트"/>
      <sheetName val="비목코드"/>
      <sheetName val="외화단가"/>
      <sheetName val="여부구분"/>
      <sheetName val="레미콘구분"/>
      <sheetName val="대표공종2"/>
      <sheetName val="토공수량"/>
      <sheetName val=" 총괄표"/>
      <sheetName val="개요"/>
      <sheetName val="A-4"/>
      <sheetName val="수목단가"/>
      <sheetName val="시설수량표"/>
      <sheetName val="식재수량표"/>
      <sheetName val="경비"/>
      <sheetName val="총 원가계산"/>
      <sheetName val="증감대비"/>
      <sheetName val="메서,변+증"/>
      <sheetName val="설계서"/>
      <sheetName val="준공내역서(을)"/>
      <sheetName val="3BL공동구 수량"/>
      <sheetName val="말뚝지지력산정"/>
      <sheetName val="공구"/>
      <sheetName val="guard(mac)"/>
      <sheetName val="tggwan(mac)"/>
      <sheetName val="woo(mac)"/>
      <sheetName val="적현로"/>
      <sheetName val="환산"/>
      <sheetName val="시화점실행"/>
      <sheetName val="건축공사"/>
      <sheetName val="샘플표지"/>
      <sheetName val="단가_"/>
      <sheetName val="하도내역_(철콘)"/>
      <sheetName val="수량산출서_갑지"/>
      <sheetName val="일단의_주택지"/>
      <sheetName val="비교손익계산서_"/>
      <sheetName val="2003_12"/>
      <sheetName val="2002_12"/>
      <sheetName val="영업_일1"/>
      <sheetName val="SEV_wiress4_Total"/>
      <sheetName val="SEV_wireles_4__fire_fighting_"/>
      <sheetName val="SEV_wireles_4__fire_Alarm"/>
      <sheetName val="B_1-1"/>
      <sheetName val="B_1-2"/>
      <sheetName val="B_1-3"/>
      <sheetName val="B_1-4"/>
      <sheetName val="B_1-5"/>
      <sheetName val="B_1-6"/>
      <sheetName val="B_1-7"/>
      <sheetName val="B_2"/>
      <sheetName val="B_3"/>
      <sheetName val="B_4"/>
      <sheetName val="B_6-1"/>
      <sheetName val="B_6-2"/>
      <sheetName val="7_경제성결과"/>
      <sheetName val="환경기계공정표_(3)"/>
      <sheetName val="실행내역_"/>
      <sheetName val="설_계"/>
      <sheetName val="입출재고현황_(2)"/>
      <sheetName val="4-3_보온_기본물량집계"/>
      <sheetName val="Sheet1_(2)"/>
      <sheetName val="인건비_"/>
      <sheetName val="2__공원조도"/>
      <sheetName val="4-0_툫자"/>
      <sheetName val="단위세대_개요"/>
      <sheetName val="2_대외공문"/>
      <sheetName val="1_구리중_(제조사A)"/>
      <sheetName val="1_구리중_(제조사B)"/>
      <sheetName val="1_구리중_(제조사C)"/>
      <sheetName val="2_토평초(제조사A)"/>
      <sheetName val="2_토평초(제조사B)"/>
      <sheetName val="2_토평초(제조사C)"/>
      <sheetName val="3_평내초(제조사A)"/>
      <sheetName val="3_평내초(제조사B)"/>
      <sheetName val="3_평내초(제조사C)"/>
      <sheetName val="실외기_배관트레이"/>
      <sheetName val="중앙콘트롤러설치용전선_"/>
      <sheetName val="1_집계표"/>
      <sheetName val="2_공통가설공사"/>
      <sheetName val="4_기계설비공사"/>
      <sheetName val="7__안전관리비"/>
      <sheetName val="식대_숙직비"/>
      <sheetName val="토목내역_(2)"/>
      <sheetName val="BSD_(2)"/>
      <sheetName val="을_1"/>
      <sheetName val="을_2"/>
      <sheetName val="인사자료총집계"/>
      <sheetName val="물가시세"/>
      <sheetName val="파이프류"/>
      <sheetName val="연결임시"/>
      <sheetName val="95신규호표"/>
      <sheetName val="7월집계(돌관인건비)"/>
      <sheetName val="7-17"/>
      <sheetName val="17일"/>
      <sheetName val="17사"/>
      <sheetName val="18일"/>
      <sheetName val="18사"/>
      <sheetName val="19일"/>
      <sheetName val="19사"/>
      <sheetName val="20일"/>
      <sheetName val="20사"/>
      <sheetName val="22일"/>
      <sheetName val="22사"/>
      <sheetName val="23일"/>
      <sheetName val="23사"/>
      <sheetName val="24일"/>
      <sheetName val="24사"/>
      <sheetName val="25일"/>
      <sheetName val="25사"/>
      <sheetName val="26일"/>
      <sheetName val="26사"/>
      <sheetName val="27일"/>
      <sheetName val="27사"/>
      <sheetName val="29일"/>
      <sheetName val="29사"/>
      <sheetName val="30일"/>
      <sheetName val="30사"/>
      <sheetName val="31"/>
      <sheetName val="31일"/>
      <sheetName val="31사"/>
      <sheetName val="우편번호"/>
      <sheetName val="98지급계획"/>
      <sheetName val="내역(100%)"/>
      <sheetName val="내역서(전기)"/>
      <sheetName val="성서방향-교대(A2)"/>
      <sheetName val="PSCbeam설계"/>
      <sheetName val="재료비"/>
      <sheetName val="CashFlow(중간집계)"/>
      <sheetName val="정리계획CF평가"/>
      <sheetName val="SS"/>
      <sheetName val="골조공사(아파트)"/>
      <sheetName val="파일의이용"/>
      <sheetName val="날개벽수량표"/>
      <sheetName val="구조물공1"/>
      <sheetName val="배수및구조물공1"/>
      <sheetName val="일반사항"/>
      <sheetName val="계정"/>
      <sheetName val="태화42 "/>
      <sheetName val="내역(설계)"/>
      <sheetName val="GAEYO"/>
      <sheetName val="2-1. 경관조명 내역총괄표"/>
      <sheetName val="돌담교 상부수량"/>
      <sheetName val="단가목록"/>
      <sheetName val="에너지성능지표_x0000__x0000_℀_x0002_쀀︪⇈"/>
      <sheetName val="추천서"/>
      <sheetName val="9567매출"/>
      <sheetName val="Internal Floor"/>
      <sheetName val="구리토평_x0000__x0000_Ԁ"/>
      <sheetName val="1.공통가설_x0000__x0000_"/>
      <sheetName val="구분자"/>
      <sheetName val="MEEDCO Vehicle List"/>
      <sheetName val="FitOutConfCentre"/>
      <sheetName val="Quality"/>
      <sheetName val="People"/>
      <sheetName val="Risk"/>
      <sheetName val="Training"/>
      <sheetName val="General"/>
      <sheetName val="Instructions"/>
      <sheetName val="날개벽(시점좌측)"/>
      <sheetName val="물량내역서"/>
      <sheetName val="4-10"/>
      <sheetName val="내역5"/>
      <sheetName val="연습"/>
      <sheetName val="5월 평균일수"/>
      <sheetName val="전기변내역"/>
      <sheetName val="토사(PE)"/>
      <sheetName val="발주설계서(당초)"/>
      <sheetName val="비탈면보호공수량산출"/>
      <sheetName val="DATA_입력란"/>
      <sheetName val="1__설계조건_2_단면가정_3__하중계산"/>
      <sheetName val="3련_BOX"/>
      <sheetName val="1_설계조건_"/>
      <sheetName val="설계기준설명_"/>
      <sheetName val="2_단면가정_(BASE)"/>
      <sheetName val="3_하중및토압_(고정)"/>
      <sheetName val="4_작용하중(고정)"/>
      <sheetName val="5_안정검토(고정)(풍화암)"/>
      <sheetName val="6_벽체계산"/>
      <sheetName val="7_흉벽계산(ASCON)"/>
      <sheetName val="8_FOOTING"/>
      <sheetName val="9_날개벽"/>
      <sheetName val="10_교좌받침"/>
      <sheetName val="11_접속슬라브(ASCON)"/>
      <sheetName val="GEN_"/>
      <sheetName val="할증_"/>
      <sheetName val="승용C_S"/>
      <sheetName val="상용C_S"/>
      <sheetName val="1_우편집중내역서"/>
      <sheetName val="ꪀᗈ"/>
      <sheetName val="EQUIPMENT_-2"/>
      <sheetName val="프린트_(3)"/>
      <sheetName val="간지-2_(2)"/>
      <sheetName val="_1__개요"/>
      <sheetName val="_2__난방설비"/>
      <sheetName val="열관류율_계산서"/>
      <sheetName val="2_3_세대별난방부하집계"/>
      <sheetName val="3.7교축하중"/>
      <sheetName val="[1.xls][1.xls]______C______99_4"/>
      <sheetName val="[1.xls][1.xls]______C______99_3"/>
      <sheetName val="[1.xls][1.xls]______C______99_2"/>
      <sheetName val="[1.xls][1.xls]______C______99_7"/>
      <sheetName val="[1.xls][1.xls]______C______99_6"/>
      <sheetName val="[1.xls][1.xls]______C______99_5"/>
      <sheetName val="철근(전기호)"/>
      <sheetName val="명부(최종신청)"/>
      <sheetName val="확정지번"/>
      <sheetName val="ADMIN"/>
      <sheetName val="집계표(건축전기)"/>
      <sheetName val="프로젝트"/>
      <sheetName val="C3"/>
      <sheetName val="PRECIOS"/>
      <sheetName val="당초"/>
      <sheetName val="Macro"/>
      <sheetName val="토공사및_흙막이공사6"/>
      <sheetName val="써100_(A4)6"/>
      <sheetName val="F_C_U_ZONE집계6"/>
      <sheetName val="A_H_U_ZONE별집계6"/>
      <sheetName val="PAC_집계6"/>
      <sheetName val="1_가스소비량6"/>
      <sheetName val="1-3_가스관경계산-16"/>
      <sheetName val="1-4_가스관경계산-26"/>
      <sheetName val="1-5_가스관경계산-36"/>
      <sheetName val="1-6_가스관경계산-4_6"/>
      <sheetName val="1-7_가스관경계산-56"/>
      <sheetName val="1-7_가스차압산출6"/>
      <sheetName val="1_견적서목록6"/>
      <sheetName val="부하계산서_(영문)6"/>
      <sheetName val="PEND-ITEM_(2)6"/>
      <sheetName val="견적표지_(횡)6"/>
      <sheetName val="부하집계표_(2안)6"/>
      <sheetName val="부하계산서_6"/>
      <sheetName val="UNIT_COOLER_선정표6"/>
      <sheetName val="ACCUMULALOR_(2안)6"/>
      <sheetName val="동력집계표_(2안)6"/>
      <sheetName val="cooling_tower_(2)6"/>
      <sheetName val="cooling_water_pump6"/>
      <sheetName val="DEFROEST_PUMP6"/>
      <sheetName val="기기선정표_(2안)6"/>
      <sheetName val="cooling_tower6"/>
      <sheetName val="부하집계표_(2)6"/>
      <sheetName val="덕트_및_배기그릴선정6"/>
      <sheetName val="OCT_FDN6"/>
      <sheetName val="EXT_CHECK6"/>
      <sheetName val="P-127E1,E2_6"/>
      <sheetName val="P-123E1,E2_6"/>
      <sheetName val="P-128E_6"/>
      <sheetName val="（３）_6"/>
      <sheetName val="목차_(2)6"/>
      <sheetName val="1-1_손익(부문별)6"/>
      <sheetName val="1-2_손익(월별)6"/>
      <sheetName val="2-1_판관비(부문)6"/>
      <sheetName val="2-2_판관비(월별)6"/>
      <sheetName val="3-1_수익비용(부문별)6"/>
      <sheetName val="3-2_수익비용(월별)6"/>
      <sheetName val="4-1_투자(부문)6"/>
      <sheetName val="4-2_투자(월별)6"/>
      <sheetName val="5-1_인원(부문)6"/>
      <sheetName val="5-2_인원(월별)6"/>
      <sheetName val="6_산출근거6"/>
      <sheetName val="7_현금흐름6"/>
      <sheetName val="마케팅1_(2)6"/>
      <sheetName val="마케팅1_(3)6"/>
      <sheetName val="마케팅1_(4)6"/>
      <sheetName val="01_1담당매출계획27_8$6"/>
      <sheetName val="01매출계획_선용품6"/>
      <sheetName val="작업악성채권직원판매제외(거래선별)_6"/>
      <sheetName val="작업악성채권직원판매제외_(담당별종합)6"/>
      <sheetName val="작업악성채권직원판매제외_(담당별)6"/>
      <sheetName val="판촉비예산_6"/>
      <sheetName val="인테리어_시설6"/>
      <sheetName val="파_3층_특설_장치장식비6"/>
      <sheetName val="총괄_(03년11월)h&amp;s6"/>
      <sheetName val="총괄_(03년11월)여행6"/>
      <sheetName val="세부내용_(03년11월)여행6"/>
      <sheetName val="개인_세부내용_(03년11월)여행6"/>
      <sheetName val="동구일반상품_6"/>
      <sheetName val="남양시작동자105노65기1_3화1_26"/>
      <sheetName val="97_사업추정(WEKI)6"/>
      <sheetName val="TRE_TABLE6"/>
      <sheetName val="1_수인터널5"/>
      <sheetName val="PE거푸집(1_2)6"/>
      <sheetName val="갑지_(2)5"/>
      <sheetName val="비목별_투자_집계5"/>
      <sheetName val="자재비내역_5"/>
      <sheetName val="운반비_내역5"/>
      <sheetName val="사무_용품비5"/>
      <sheetName val="지대_및_집세5"/>
      <sheetName val="갑지_2_(2)5"/>
      <sheetName val="갑지_25"/>
      <sheetName val="표지_(2)6"/>
      <sheetName val="unit_46"/>
      <sheetName val="1차_내역서6"/>
      <sheetName val="BEND_LOSS6"/>
      <sheetName val="토목내역서_(도급단가)6"/>
      <sheetName val="3_건축(현장안)6"/>
      <sheetName val="A_LINE6"/>
      <sheetName val="WEIGHT_LIST6"/>
      <sheetName val="산#2-1_(2)6"/>
      <sheetName val="P_M_별6"/>
      <sheetName val="PUNCH_LIST6"/>
      <sheetName val="WELDING_JOINT_INSPECTION_STATU6"/>
      <sheetName val="토공(우물통,기타)_6"/>
      <sheetName val="2_2_10_샤시등6"/>
      <sheetName val="A3_공사비_검토6"/>
      <sheetName val="C3_토목_옹벽6"/>
      <sheetName val="A6_샤시등6"/>
      <sheetName val="전선_및_전선관6"/>
      <sheetName val="에너지성능지표검토서(기계,_전기,_신재생)6"/>
      <sheetName val="7_수지6"/>
      <sheetName val="TOWER_12TON6"/>
      <sheetName val="JIB_CRANE,HOIST6"/>
      <sheetName val="TOWER_10TON6"/>
      <sheetName val="BSD__2_6"/>
      <sheetName val="내역서_(2)6"/>
      <sheetName val="구조______5"/>
      <sheetName val="배수입상_6"/>
      <sheetName val="내역서_(3)6"/>
      <sheetName val="내역서_(4)6"/>
      <sheetName val="아파트_6"/>
      <sheetName val="2000년_공정표5"/>
      <sheetName val="IMP_(REACTOR)5"/>
      <sheetName val="1장_6"/>
      <sheetName val="1_개요_6"/>
      <sheetName val="2_조건_6"/>
      <sheetName val="3_공식붙임6"/>
      <sheetName val="4장_6"/>
      <sheetName val="1_AHU_6"/>
      <sheetName val="2_AHU-16"/>
      <sheetName val="2_FAN6"/>
      <sheetName val="1_급탕6"/>
      <sheetName val="6장_별첨6"/>
      <sheetName val="콤보박스와_리스트박스의_연결5"/>
      <sheetName val="0_갑지5"/>
      <sheetName val="1_공통가설공사5"/>
      <sheetName val="2_토목공사5"/>
      <sheetName val="3_건축공사5"/>
      <sheetName val="4_설비공사5"/>
      <sheetName val="5_전기공사5"/>
      <sheetName val="7_안전관리비5"/>
      <sheetName val="8_현장관리비5"/>
      <sheetName val="인원투입_계획표5"/>
      <sheetName val="공사계약현황_(기계설비))5"/>
      <sheetName val="공사계약현황_(전기)5"/>
      <sheetName val="2000_055"/>
      <sheetName val="추정공사비_산출결과6"/>
      <sheetName val="월별손익(용역)_6"/>
      <sheetName val="1-1_손익(온정각)6"/>
      <sheetName val="1-1_손익(관광식당)6"/>
      <sheetName val="1-1_손익(직원식당)6"/>
      <sheetName val="1-2_월별손익(온정각)6"/>
      <sheetName val="1-2_월별손익(관광식당)6"/>
      <sheetName val="1-2_월별손익(직원식당)6"/>
      <sheetName val="2-1_판관비(지원)6"/>
      <sheetName val="2-1_판관비(관광)6"/>
      <sheetName val="2-1_판관비(직원)_6"/>
      <sheetName val="2-1_판관비(온정각)6"/>
      <sheetName val="2-2_월별판관비(온정각)6"/>
      <sheetName val="2-2_월별판관비(지원)6"/>
      <sheetName val="2-2_월별판관비(직원)6"/>
      <sheetName val="2-2_월별판관비(휴게소)6"/>
      <sheetName val="2-2_월별판관비(스넥코너)6"/>
      <sheetName val="2-2_월별판관비(음료코너)6"/>
      <sheetName val="2-2_월별판관비(온천장)6"/>
      <sheetName val="5-1_인원(온정각)6"/>
      <sheetName val="99년누계_(월별)6"/>
      <sheetName val="1_설계조건5"/>
      <sheetName val="고효율_유도전동기_적용비율_계산서6"/>
      <sheetName val="건축실행__(5)5"/>
      <sheetName val="플랜트_설치5"/>
      <sheetName val="참고용_(2)5"/>
      <sheetName val="COMPARISON_TABLE5"/>
      <sheetName val="Eq__Mobilization5"/>
      <sheetName val="간접비_총괄표5"/>
      <sheetName val="6PILE__(돌출)5"/>
      <sheetName val="공사예산하조서(O_K)5"/>
      <sheetName val="C_배수관공5"/>
      <sheetName val="수목데이타_5"/>
      <sheetName val="정산서_5"/>
      <sheetName val="1_설계기준5"/>
      <sheetName val="역T형옹벽(3_0)5"/>
      <sheetName val="2_냉난방설비공사5"/>
      <sheetName val="7_자동제어공사5"/>
      <sheetName val="1_취수장5"/>
      <sheetName val="3_고급화검토5"/>
      <sheetName val="2_공사비_검토5"/>
      <sheetName val="5_공종별예산내역서5"/>
      <sheetName val="1_CB5"/>
      <sheetName val="1_CB_(2)5"/>
      <sheetName val="1_CB_(3)5"/>
      <sheetName val="C급보_5"/>
      <sheetName val="wage_Cal5"/>
      <sheetName val="Mech_CIF5"/>
      <sheetName val="신단가_(내진설치비)"/>
      <sheetName val="보일러_선정"/>
      <sheetName val="84A_(2)"/>
      <sheetName val="84B_(2)"/>
      <sheetName val="84C_(2)"/>
      <sheetName val="101A_(2)"/>
      <sheetName val="101B_(2)"/>
      <sheetName val="101C_(2)"/>
      <sheetName val="난방부하집계_(2)"/>
      <sheetName val="2_3_세대별난방부하집계_(2)"/>
      <sheetName val="보일러_선정_(2)"/>
      <sheetName val="4_급수설비"/>
      <sheetName val="4_2_급수입상배관"/>
      <sheetName val="4_3_급수횡주관"/>
      <sheetName val="5_1_열교환기"/>
      <sheetName val="12_17"/>
      <sheetName val="가스공사_"/>
      <sheetName val="건___축"/>
      <sheetName val="4_3__급수펌프선정"/>
      <sheetName val="4_3_2_급탕순환펌프"/>
      <sheetName val="4_3_3__배수펌프"/>
      <sheetName val="4_4__전기온수기"/>
      <sheetName val="4_5__보일러"/>
      <sheetName val="4_4__급탕탱크"/>
      <sheetName val="4_6__급탕탱크"/>
      <sheetName val="crude_SLAB_RE-bar"/>
      <sheetName val="자__재"/>
      <sheetName val="Bag_Filter_Sizing"/>
      <sheetName val="BOX구조해석_설명서"/>
      <sheetName val="철근량_검토"/>
      <sheetName val="준검_내역서"/>
      <sheetName val="1_내역(청_하역장전등)"/>
      <sheetName val="내역서1999_8최종"/>
      <sheetName val="9,10월신제품_(2)"/>
      <sheetName val="1_공사개요(입력)"/>
      <sheetName val="6__안전관리비"/>
      <sheetName val="5__현장관리비(new)_"/>
      <sheetName val="LEGEND_i"/>
      <sheetName val="전화_인터넷(현장)"/>
      <sheetName val="3_0냉난방열원집계"/>
      <sheetName val="4_1AHU"/>
      <sheetName val="4_3_공기압축기"/>
      <sheetName val="4_7_전기라디에타_"/>
      <sheetName val="4_9_AC_"/>
      <sheetName val="4_11_FAN"/>
      <sheetName val="4_12_TANK_4_13_탈취기"/>
      <sheetName val="4_14_PUMP"/>
      <sheetName val="5_위생설비"/>
      <sheetName val="평형별_세대수"/>
      <sheetName val="G_R300경비"/>
      <sheetName val="집_계_표"/>
      <sheetName val="정계약_현황"/>
      <sheetName val="1_기계_납품_진행__현황"/>
      <sheetName val="2_협력업체_담당자_및_연락처"/>
      <sheetName val="15_문제점"/>
      <sheetName val="블럭_손익"/>
      <sheetName val="_총괄표"/>
      <sheetName val="수배전반_을지"/>
      <sheetName val="8_PILE__(돌출)"/>
      <sheetName val="Sheet2_(2)"/>
      <sheetName val="파주_운정지구_A8블럭"/>
      <sheetName val="3BL공동구_수량"/>
      <sheetName val="총_원가계산"/>
      <sheetName val="5_세운W-A"/>
      <sheetName val="토공사및_흙막이공사7"/>
      <sheetName val="써100_(A4)7"/>
      <sheetName val="F_C_U_ZONE집계7"/>
      <sheetName val="A_H_U_ZONE별집계7"/>
      <sheetName val="PAC_집계7"/>
      <sheetName val="1_가스소비량7"/>
      <sheetName val="1-3_가스관경계산-17"/>
      <sheetName val="1-4_가스관경계산-27"/>
      <sheetName val="1-5_가스관경계산-37"/>
      <sheetName val="1-6_가스관경계산-4_7"/>
      <sheetName val="1-7_가스관경계산-57"/>
      <sheetName val="1-7_가스차압산출7"/>
      <sheetName val="1_견적서목록7"/>
      <sheetName val="부하계산서_(영문)7"/>
      <sheetName val="PEND-ITEM_(2)7"/>
      <sheetName val="견적표지_(횡)7"/>
      <sheetName val="부하집계표_(2안)7"/>
      <sheetName val="부하계산서_7"/>
      <sheetName val="UNIT_COOLER_선정표7"/>
      <sheetName val="ACCUMULALOR_(2안)7"/>
      <sheetName val="동력집계표_(2안)7"/>
      <sheetName val="cooling_tower_(2)7"/>
      <sheetName val="cooling_water_pump7"/>
      <sheetName val="DEFROEST_PUMP7"/>
      <sheetName val="기기선정표_(2안)7"/>
      <sheetName val="cooling_tower7"/>
      <sheetName val="부하집계표_(2)7"/>
      <sheetName val="덕트_및_배기그릴선정7"/>
      <sheetName val="OCT_FDN7"/>
      <sheetName val="EXT_CHECK7"/>
      <sheetName val="P-127E1,E2_7"/>
      <sheetName val="P-123E1,E2_7"/>
      <sheetName val="P-128E_7"/>
      <sheetName val="（３）_7"/>
      <sheetName val="목차_(2)7"/>
      <sheetName val="1-1_손익(부문별)7"/>
      <sheetName val="1-2_손익(월별)7"/>
      <sheetName val="2-1_판관비(부문)7"/>
      <sheetName val="2-2_판관비(월별)7"/>
      <sheetName val="3-1_수익비용(부문별)7"/>
      <sheetName val="3-2_수익비용(월별)7"/>
      <sheetName val="4-1_투자(부문)7"/>
      <sheetName val="4-2_투자(월별)7"/>
      <sheetName val="5-1_인원(부문)7"/>
      <sheetName val="5-2_인원(월별)7"/>
      <sheetName val="6_산출근거7"/>
      <sheetName val="7_현금흐름7"/>
      <sheetName val="마케팅1_(2)7"/>
      <sheetName val="마케팅1_(3)7"/>
      <sheetName val="마케팅1_(4)7"/>
      <sheetName val="01_1담당매출계획27_8$7"/>
      <sheetName val="01매출계획_선용품7"/>
      <sheetName val="작업악성채권직원판매제외(거래선별)_7"/>
      <sheetName val="작업악성채권직원판매제외_(담당별종합)7"/>
      <sheetName val="작업악성채권직원판매제외_(담당별)7"/>
      <sheetName val="판촉비예산_7"/>
      <sheetName val="인테리어_시설7"/>
      <sheetName val="파_3층_특설_장치장식비7"/>
      <sheetName val="총괄_(03년11월)h&amp;s7"/>
      <sheetName val="총괄_(03년11월)여행7"/>
      <sheetName val="세부내용_(03년11월)여행7"/>
      <sheetName val="개인_세부내용_(03년11월)여행7"/>
      <sheetName val="동구일반상품_7"/>
      <sheetName val="남양시작동자105노65기1_3화1_27"/>
      <sheetName val="97_사업추정(WEKI)7"/>
      <sheetName val="TRE_TABLE7"/>
      <sheetName val="비교손익계산서_1"/>
      <sheetName val="2003_121"/>
      <sheetName val="2002_121"/>
      <sheetName val="1_수인터널6"/>
      <sheetName val="PE거푸집(1_2)7"/>
      <sheetName val="갑지_(2)6"/>
      <sheetName val="비목별_투자_집계6"/>
      <sheetName val="자재비내역_6"/>
      <sheetName val="운반비_내역6"/>
      <sheetName val="사무_용품비6"/>
      <sheetName val="지대_및_집세6"/>
      <sheetName val="갑지_2_(2)6"/>
      <sheetName val="갑지_26"/>
      <sheetName val="영업_일11"/>
      <sheetName val="표지_(2)7"/>
      <sheetName val="unit_47"/>
      <sheetName val="1차_내역서7"/>
      <sheetName val="BEND_LOSS7"/>
      <sheetName val="토목내역서_(도급단가)7"/>
      <sheetName val="3_건축(현장안)7"/>
      <sheetName val="A_LINE7"/>
      <sheetName val="WEIGHT_LIST7"/>
      <sheetName val="산#2-1_(2)7"/>
      <sheetName val="P_M_별7"/>
      <sheetName val="PUNCH_LIST7"/>
      <sheetName val="WELDING_JOINT_INSPECTION_STATU7"/>
      <sheetName val="토공(우물통,기타)_7"/>
      <sheetName val="2_2_10_샤시등7"/>
      <sheetName val="A3_공사비_검토7"/>
      <sheetName val="C3_토목_옹벽7"/>
      <sheetName val="A6_샤시등7"/>
      <sheetName val="전선_및_전선관7"/>
      <sheetName val="에너지성능지표검토서(기계,_전기,_신재생)7"/>
      <sheetName val="7_수지7"/>
      <sheetName val="TOWER_12TON7"/>
      <sheetName val="JIB_CRANE,HOIST7"/>
      <sheetName val="TOWER_10TON7"/>
      <sheetName val="BSD__2_7"/>
      <sheetName val="내역서_(2)7"/>
      <sheetName val="구조______6"/>
      <sheetName val="배수입상_7"/>
      <sheetName val="내역서_(3)7"/>
      <sheetName val="내역서_(4)7"/>
      <sheetName val="아파트_7"/>
      <sheetName val="2000년_공정표6"/>
      <sheetName val="IMP_(REACTOR)6"/>
      <sheetName val="1장_7"/>
      <sheetName val="1_개요_7"/>
      <sheetName val="2_조건_7"/>
      <sheetName val="3_공식붙임7"/>
      <sheetName val="4장_7"/>
      <sheetName val="1_AHU_7"/>
      <sheetName val="2_AHU-17"/>
      <sheetName val="2_FAN7"/>
      <sheetName val="1_급탕7"/>
      <sheetName val="6장_별첨7"/>
      <sheetName val="콤보박스와_리스트박스의_연결6"/>
      <sheetName val="0_갑지6"/>
      <sheetName val="1_공통가설공사6"/>
      <sheetName val="2_토목공사6"/>
      <sheetName val="3_건축공사6"/>
      <sheetName val="4_설비공사6"/>
      <sheetName val="5_전기공사6"/>
      <sheetName val="7_안전관리비6"/>
      <sheetName val="8_현장관리비6"/>
      <sheetName val="인원투입_계획표6"/>
      <sheetName val="공사계약현황_(기계설비))6"/>
      <sheetName val="공사계약현황_(전기)6"/>
      <sheetName val="2000_056"/>
      <sheetName val="추정공사비_산출결과7"/>
      <sheetName val="월별손익(용역)_7"/>
      <sheetName val="1-1_손익(온정각)7"/>
      <sheetName val="1-1_손익(관광식당)7"/>
      <sheetName val="1-1_손익(직원식당)7"/>
      <sheetName val="1-2_월별손익(온정각)7"/>
      <sheetName val="1-2_월별손익(관광식당)7"/>
      <sheetName val="1-2_월별손익(직원식당)7"/>
      <sheetName val="2-1_판관비(지원)7"/>
      <sheetName val="2-1_판관비(관광)7"/>
      <sheetName val="2-1_판관비(직원)_7"/>
      <sheetName val="2-1_판관비(온정각)7"/>
      <sheetName val="2-2_월별판관비(온정각)7"/>
      <sheetName val="2-2_월별판관비(지원)7"/>
      <sheetName val="2-2_월별판관비(직원)7"/>
      <sheetName val="2-2_월별판관비(휴게소)7"/>
      <sheetName val="2-2_월별판관비(스넥코너)7"/>
      <sheetName val="2-2_월별판관비(음료코너)7"/>
      <sheetName val="2-2_월별판관비(온천장)7"/>
      <sheetName val="5-1_인원(온정각)7"/>
      <sheetName val="99년누계_(월별)7"/>
      <sheetName val="1_설계조건6"/>
      <sheetName val="인건비_1"/>
      <sheetName val="2__공원조도1"/>
      <sheetName val="고효율_유도전동기_적용비율_계산서7"/>
      <sheetName val="건축실행__(5)6"/>
      <sheetName val="SEV_wiress4_Total1"/>
      <sheetName val="SEV_wireles_4__fire_fighting_1"/>
      <sheetName val="SEV_wireles_4__fire_Alarm1"/>
      <sheetName val="B_1-11"/>
      <sheetName val="B_1-21"/>
      <sheetName val="B_1-31"/>
      <sheetName val="B_1-41"/>
      <sheetName val="B_1-51"/>
      <sheetName val="B_1-61"/>
      <sheetName val="B_1-71"/>
      <sheetName val="B_21"/>
      <sheetName val="B_31"/>
      <sheetName val="B_41"/>
      <sheetName val="B_6-11"/>
      <sheetName val="B_6-21"/>
      <sheetName val="7_경제성결과1"/>
      <sheetName val="BSD_(2)1"/>
      <sheetName val="플랜트_설치6"/>
      <sheetName val="참고용_(2)6"/>
      <sheetName val="COMPARISON_TABLE6"/>
      <sheetName val="Eq__Mobilization6"/>
      <sheetName val="간접비_총괄표6"/>
      <sheetName val="6PILE__(돌출)6"/>
      <sheetName val="공사예산하조서(O_K)6"/>
      <sheetName val="C_배수관공6"/>
      <sheetName val="수목데이타_6"/>
      <sheetName val="정산서_6"/>
      <sheetName val="1_설계기준6"/>
      <sheetName val="역T형옹벽(3_0)6"/>
      <sheetName val="2_냉난방설비공사6"/>
      <sheetName val="7_자동제어공사6"/>
      <sheetName val="1_취수장6"/>
      <sheetName val="3_고급화검토6"/>
      <sheetName val="2_공사비_검토6"/>
      <sheetName val="5_공종별예산내역서6"/>
      <sheetName val="1_CB6"/>
      <sheetName val="1_CB_(2)6"/>
      <sheetName val="1_CB_(3)6"/>
      <sheetName val="C급보_6"/>
      <sheetName val="wage_Cal6"/>
      <sheetName val="일단의_주택지1"/>
      <sheetName val="단가_1"/>
      <sheetName val="하도내역_(철콘)1"/>
      <sheetName val="수량산출서_갑지1"/>
      <sheetName val="실행내역_1"/>
      <sheetName val="설_계1"/>
      <sheetName val="입출재고현황_(2)1"/>
      <sheetName val="4-3_보온_기본물량집계1"/>
      <sheetName val="Mech_CIF6"/>
      <sheetName val="할증_1"/>
      <sheetName val="승용C_S1"/>
      <sheetName val="상용C_S1"/>
      <sheetName val="1_우편집중내역서1"/>
      <sheetName val="환경기계공정표_(3)1"/>
      <sheetName val="신단가_(내진설치비)1"/>
      <sheetName val="1_집계표1"/>
      <sheetName val="2_공통가설공사1"/>
      <sheetName val="4_기계설비공사1"/>
      <sheetName val="7__안전관리비1"/>
      <sheetName val="식대_숙직비1"/>
      <sheetName val="프린트_(3)1"/>
      <sheetName val="간지-2_(2)1"/>
      <sheetName val="_1__개요1"/>
      <sheetName val="_2__난방설비1"/>
      <sheetName val="열관류율_계산서1"/>
      <sheetName val="2_3_세대별난방부하집계1"/>
      <sheetName val="보일러_선정1"/>
      <sheetName val="84A_(2)1"/>
      <sheetName val="84B_(2)1"/>
      <sheetName val="84C_(2)1"/>
      <sheetName val="101A_(2)1"/>
      <sheetName val="101B_(2)1"/>
      <sheetName val="101C_(2)1"/>
      <sheetName val="난방부하집계_(2)1"/>
      <sheetName val="2_3_세대별난방부하집계_(2)1"/>
      <sheetName val="보일러_선정_(2)1"/>
      <sheetName val="4_급수설비1"/>
      <sheetName val="4_2_급수입상배관1"/>
      <sheetName val="4_3_급수횡주관1"/>
      <sheetName val="5_1_열교환기1"/>
      <sheetName val="Sheet1_(2)1"/>
      <sheetName val="4-0_툫자1"/>
      <sheetName val="단위세대_개요1"/>
      <sheetName val="GEN_1"/>
      <sheetName val="2_대외공문1"/>
      <sheetName val="1_구리중_(제조사A)1"/>
      <sheetName val="1_구리중_(제조사B)1"/>
      <sheetName val="1_구리중_(제조사C)1"/>
      <sheetName val="2_토평초(제조사A)1"/>
      <sheetName val="2_토평초(제조사B)1"/>
      <sheetName val="2_토평초(제조사C)1"/>
      <sheetName val="3_평내초(제조사A)1"/>
      <sheetName val="3_평내초(제조사B)1"/>
      <sheetName val="3_평내초(제조사C)1"/>
      <sheetName val="실외기_배관트레이1"/>
      <sheetName val="중앙콘트롤러설치용전선_1"/>
      <sheetName val="을_11"/>
      <sheetName val="을_21"/>
      <sheetName val="토목내역_(2)1"/>
      <sheetName val="DATA_입력란1"/>
      <sheetName val="1__설계조건_2_단면가정_3__하중계산1"/>
      <sheetName val="12_171"/>
      <sheetName val="가스공사_1"/>
      <sheetName val="3련_BOX1"/>
      <sheetName val="1_설계조건_1"/>
      <sheetName val="설계기준설명_1"/>
      <sheetName val="2_단면가정_(BASE)1"/>
      <sheetName val="3_하중및토압_(고정)1"/>
      <sheetName val="4_작용하중(고정)1"/>
      <sheetName val="5_안정검토(고정)(풍화암)1"/>
      <sheetName val="6_벽체계산1"/>
      <sheetName val="7_흉벽계산(ASCON)1"/>
      <sheetName val="8_FOOTING1"/>
      <sheetName val="9_날개벽1"/>
      <sheetName val="10_교좌받침1"/>
      <sheetName val="11_접속슬라브(ASCON)1"/>
      <sheetName val="EQUIPMENT_-21"/>
      <sheetName val="건___축1"/>
      <sheetName val="4_3__급수펌프선정1"/>
      <sheetName val="4_3_2_급탕순환펌프1"/>
      <sheetName val="4_3_3__배수펌프1"/>
      <sheetName val="4_4__전기온수기1"/>
      <sheetName val="4_5__보일러1"/>
      <sheetName val="4_4__급탕탱크1"/>
      <sheetName val="4_6__급탕탱크1"/>
      <sheetName val="crude_SLAB_RE-bar1"/>
      <sheetName val="자__재1"/>
      <sheetName val="Bag_Filter_Sizing1"/>
      <sheetName val="BOX구조해석_설명서1"/>
      <sheetName val="철근량_검토1"/>
      <sheetName val="준검_내역서1"/>
      <sheetName val="1_내역(청_하역장전등)1"/>
      <sheetName val="내역서1999_8최종1"/>
      <sheetName val="9,10월신제품_(2)1"/>
      <sheetName val="1_공사개요(입력)1"/>
      <sheetName val="6__안전관리비1"/>
      <sheetName val="5__현장관리비(new)_1"/>
      <sheetName val="LEGEND_i1"/>
      <sheetName val="전화_인터넷(현장)1"/>
      <sheetName val="3_0냉난방열원집계1"/>
      <sheetName val="4_1AHU1"/>
      <sheetName val="4_3_공기압축기1"/>
      <sheetName val="4_7_전기라디에타_1"/>
      <sheetName val="4_9_AC_1"/>
      <sheetName val="4_11_FAN1"/>
      <sheetName val="4_12_TANK_4_13_탈취기1"/>
      <sheetName val="4_14_PUMP1"/>
      <sheetName val="5_위생설비1"/>
      <sheetName val="평형별_세대수1"/>
      <sheetName val="G_R300경비1"/>
      <sheetName val="집_계_표1"/>
      <sheetName val="정계약_현황1"/>
      <sheetName val="1_기계_납품_진행__현황1"/>
      <sheetName val="2_협력업체_담당자_및_연락처1"/>
      <sheetName val="15_문제점1"/>
      <sheetName val="블럭_손익1"/>
      <sheetName val="_총괄표1"/>
      <sheetName val="수배전반_을지1"/>
      <sheetName val="8_PILE__(돌출)1"/>
      <sheetName val="Sheet2_(2)1"/>
      <sheetName val="파주_운정지구_A8블럭1"/>
      <sheetName val="3BL공동구_수량1"/>
      <sheetName val="총_원가계산1"/>
      <sheetName val="5_세운W-A1"/>
      <sheetName val="토공사및_흙막이공사8"/>
      <sheetName val="써100_(A4)8"/>
      <sheetName val="F_C_U_ZONE집계8"/>
      <sheetName val="A_H_U_ZONE별집계8"/>
      <sheetName val="PAC_집계8"/>
      <sheetName val="1_가스소비량8"/>
      <sheetName val="1-3_가스관경계산-18"/>
      <sheetName val="1-4_가스관경계산-28"/>
      <sheetName val="1-5_가스관경계산-38"/>
      <sheetName val="1-6_가스관경계산-4_8"/>
      <sheetName val="1-7_가스관경계산-58"/>
      <sheetName val="1-7_가스차압산출8"/>
      <sheetName val="1_견적서목록8"/>
      <sheetName val="부하계산서_(영문)8"/>
      <sheetName val="PEND-ITEM_(2)8"/>
      <sheetName val="견적표지_(횡)8"/>
      <sheetName val="부하집계표_(2안)8"/>
      <sheetName val="부하계산서_8"/>
      <sheetName val="UNIT_COOLER_선정표8"/>
      <sheetName val="ACCUMULALOR_(2안)8"/>
      <sheetName val="동력집계표_(2안)8"/>
      <sheetName val="cooling_tower_(2)8"/>
      <sheetName val="cooling_water_pump8"/>
      <sheetName val="DEFROEST_PUMP8"/>
      <sheetName val="기기선정표_(2안)8"/>
      <sheetName val="cooling_tower8"/>
      <sheetName val="부하집계표_(2)8"/>
      <sheetName val="덕트_및_배기그릴선정8"/>
      <sheetName val="OCT_FDN8"/>
      <sheetName val="EXT_CHECK8"/>
      <sheetName val="P-127E1,E2_8"/>
      <sheetName val="P-123E1,E2_8"/>
      <sheetName val="P-128E_8"/>
      <sheetName val="（３）_8"/>
      <sheetName val="목차_(2)8"/>
      <sheetName val="1-1_손익(부문별)8"/>
      <sheetName val="1-2_손익(월별)8"/>
      <sheetName val="2-1_판관비(부문)8"/>
      <sheetName val="2-2_판관비(월별)8"/>
      <sheetName val="3-1_수익비용(부문별)8"/>
      <sheetName val="3-2_수익비용(월별)8"/>
      <sheetName val="4-1_투자(부문)8"/>
      <sheetName val="4-2_투자(월별)8"/>
      <sheetName val="5-1_인원(부문)8"/>
      <sheetName val="5-2_인원(월별)8"/>
      <sheetName val="6_산출근거8"/>
      <sheetName val="7_현금흐름8"/>
      <sheetName val="마케팅1_(2)8"/>
      <sheetName val="마케팅1_(3)8"/>
      <sheetName val="마케팅1_(4)8"/>
      <sheetName val="01_1담당매출계획27_8$8"/>
      <sheetName val="01매출계획_선용품8"/>
      <sheetName val="작업악성채권직원판매제외(거래선별)_8"/>
      <sheetName val="작업악성채권직원판매제외_(담당별종합)8"/>
      <sheetName val="작업악성채권직원판매제외_(담당별)8"/>
      <sheetName val="판촉비예산_8"/>
      <sheetName val="인테리어_시설8"/>
      <sheetName val="파_3층_특설_장치장식비8"/>
      <sheetName val="총괄_(03년11월)h&amp;s8"/>
      <sheetName val="총괄_(03년11월)여행8"/>
      <sheetName val="세부내용_(03년11월)여행8"/>
      <sheetName val="개인_세부내용_(03년11월)여행8"/>
      <sheetName val="동구일반상품_8"/>
      <sheetName val="남양시작동자105노65기1_3화1_28"/>
      <sheetName val="97_사업추정(WEKI)8"/>
      <sheetName val="TRE_TABLE8"/>
      <sheetName val="비교손익계산서_2"/>
      <sheetName val="2003_122"/>
      <sheetName val="2002_122"/>
      <sheetName val="1_수인터널7"/>
      <sheetName val="PE거푸집(1_2)8"/>
      <sheetName val="갑지_(2)7"/>
      <sheetName val="비목별_투자_집계7"/>
      <sheetName val="자재비내역_7"/>
      <sheetName val="운반비_내역7"/>
      <sheetName val="사무_용품비7"/>
      <sheetName val="지대_및_집세7"/>
      <sheetName val="갑지_2_(2)7"/>
      <sheetName val="갑지_27"/>
      <sheetName val="영업_일12"/>
      <sheetName val="표지_(2)8"/>
      <sheetName val="unit_48"/>
      <sheetName val="1차_내역서8"/>
      <sheetName val="BEND_LOSS8"/>
      <sheetName val="토목내역서_(도급단가)8"/>
      <sheetName val="3_건축(현장안)8"/>
      <sheetName val="A_LINE8"/>
      <sheetName val="WEIGHT_LIST8"/>
      <sheetName val="산#2-1_(2)8"/>
      <sheetName val="P_M_별8"/>
      <sheetName val="PUNCH_LIST8"/>
      <sheetName val="WELDING_JOINT_INSPECTION_STATU8"/>
      <sheetName val="토공(우물통,기타)_8"/>
      <sheetName val="2_2_10_샤시등8"/>
      <sheetName val="A3_공사비_검토8"/>
      <sheetName val="C3_토목_옹벽8"/>
      <sheetName val="A6_샤시등8"/>
      <sheetName val="전선_및_전선관8"/>
      <sheetName val="에너지성능지표검토서(기계,_전기,_신재생)8"/>
      <sheetName val="7_수지8"/>
      <sheetName val="TOWER_12TON8"/>
      <sheetName val="JIB_CRANE,HOIST8"/>
      <sheetName val="TOWER_10TON8"/>
      <sheetName val="BSD__2_8"/>
      <sheetName val="내역서_(2)8"/>
      <sheetName val="구조______7"/>
      <sheetName val="배수입상_8"/>
      <sheetName val="내역서_(3)8"/>
      <sheetName val="내역서_(4)8"/>
      <sheetName val="아파트_8"/>
      <sheetName val="2000년_공정표7"/>
      <sheetName val="IMP_(REACTOR)7"/>
      <sheetName val="1장_8"/>
      <sheetName val="1_개요_8"/>
      <sheetName val="2_조건_8"/>
      <sheetName val="3_공식붙임8"/>
      <sheetName val="4장_8"/>
      <sheetName val="1_AHU_8"/>
      <sheetName val="2_AHU-18"/>
      <sheetName val="2_FAN8"/>
      <sheetName val="1_급탕8"/>
      <sheetName val="6장_별첨8"/>
      <sheetName val="콤보박스와_리스트박스의_연결7"/>
      <sheetName val="0_갑지7"/>
      <sheetName val="1_공통가설공사7"/>
      <sheetName val="2_토목공사7"/>
      <sheetName val="3_건축공사7"/>
      <sheetName val="4_설비공사7"/>
      <sheetName val="5_전기공사7"/>
      <sheetName val="7_안전관리비7"/>
      <sheetName val="8_현장관리비7"/>
      <sheetName val="인원투입_계획표7"/>
      <sheetName val="공사계약현황_(기계설비))7"/>
      <sheetName val="공사계약현황_(전기)7"/>
      <sheetName val="2000_057"/>
      <sheetName val="추정공사비_산출결과8"/>
      <sheetName val="월별손익(용역)_8"/>
      <sheetName val="1-1_손익(온정각)8"/>
      <sheetName val="1-1_손익(관광식당)8"/>
      <sheetName val="1-1_손익(직원식당)8"/>
      <sheetName val="1-2_월별손익(온정각)8"/>
      <sheetName val="1-2_월별손익(관광식당)8"/>
      <sheetName val="1-2_월별손익(직원식당)8"/>
      <sheetName val="2-1_판관비(지원)8"/>
      <sheetName val="2-1_판관비(관광)8"/>
      <sheetName val="2-1_판관비(직원)_8"/>
      <sheetName val="2-1_판관비(온정각)8"/>
      <sheetName val="2-2_월별판관비(온정각)8"/>
      <sheetName val="2-2_월별판관비(지원)8"/>
      <sheetName val="2-2_월별판관비(직원)8"/>
      <sheetName val="2-2_월별판관비(휴게소)8"/>
      <sheetName val="2-2_월별판관비(스넥코너)8"/>
      <sheetName val="2-2_월별판관비(음료코너)8"/>
      <sheetName val="2-2_월별판관비(온천장)8"/>
      <sheetName val="5-1_인원(온정각)8"/>
      <sheetName val="99년누계_(월별)8"/>
      <sheetName val="1_설계조건7"/>
      <sheetName val="인건비_2"/>
      <sheetName val="2__공원조도2"/>
      <sheetName val="고효율_유도전동기_적용비율_계산서8"/>
      <sheetName val="건축실행__(5)7"/>
      <sheetName val="SEV_wiress4_Total2"/>
      <sheetName val="SEV_wireles_4__fire_fighting_2"/>
      <sheetName val="SEV_wireles_4__fire_Alarm2"/>
      <sheetName val="B_1-12"/>
      <sheetName val="B_1-22"/>
      <sheetName val="B_1-32"/>
      <sheetName val="B_1-42"/>
      <sheetName val="B_1-52"/>
      <sheetName val="B_1-62"/>
      <sheetName val="B_1-72"/>
      <sheetName val="B_22"/>
      <sheetName val="B_32"/>
      <sheetName val="B_42"/>
      <sheetName val="B_6-12"/>
      <sheetName val="B_6-22"/>
      <sheetName val="7_경제성결과2"/>
      <sheetName val="BSD_(2)2"/>
      <sheetName val="플랜트_설치7"/>
      <sheetName val="참고용_(2)7"/>
      <sheetName val="COMPARISON_TABLE7"/>
      <sheetName val="Eq__Mobilization7"/>
      <sheetName val="간접비_총괄표7"/>
      <sheetName val="6PILE__(돌출)7"/>
      <sheetName val="공사예산하조서(O_K)7"/>
      <sheetName val="C_배수관공7"/>
      <sheetName val="수목데이타_7"/>
      <sheetName val="정산서_7"/>
      <sheetName val="1_설계기준7"/>
      <sheetName val="역T형옹벽(3_0)7"/>
      <sheetName val="2_냉난방설비공사7"/>
      <sheetName val="7_자동제어공사7"/>
      <sheetName val="1_취수장7"/>
      <sheetName val="3_고급화검토7"/>
      <sheetName val="2_공사비_검토7"/>
      <sheetName val="5_공종별예산내역서7"/>
      <sheetName val="1_CB7"/>
      <sheetName val="1_CB_(2)7"/>
      <sheetName val="1_CB_(3)7"/>
      <sheetName val="C급보_7"/>
      <sheetName val="wage_Cal7"/>
      <sheetName val="일단의_주택지2"/>
      <sheetName val="단가_2"/>
      <sheetName val="하도내역_(철콘)2"/>
      <sheetName val="수량산출서_갑지2"/>
      <sheetName val="실행내역_2"/>
      <sheetName val="설_계2"/>
      <sheetName val="입출재고현황_(2)2"/>
      <sheetName val="4-3_보온_기본물량집계2"/>
      <sheetName val="Mech_CIF7"/>
      <sheetName val="할증_2"/>
      <sheetName val="승용C_S2"/>
      <sheetName val="상용C_S2"/>
      <sheetName val="1_우편집중내역서2"/>
      <sheetName val="환경기계공정표_(3)2"/>
      <sheetName val="신단가_(내진설치비)2"/>
      <sheetName val="1_집계표2"/>
      <sheetName val="2_공통가설공사2"/>
      <sheetName val="4_기계설비공사2"/>
      <sheetName val="7__안전관리비2"/>
      <sheetName val="식대_숙직비2"/>
      <sheetName val="프린트_(3)2"/>
      <sheetName val="간지-2_(2)2"/>
      <sheetName val="_1__개요2"/>
      <sheetName val="_2__난방설비2"/>
      <sheetName val="열관류율_계산서2"/>
      <sheetName val="2_3_세대별난방부하집계2"/>
      <sheetName val="보일러_선정2"/>
      <sheetName val="84A_(2)2"/>
      <sheetName val="84B_(2)2"/>
      <sheetName val="84C_(2)2"/>
      <sheetName val="101A_(2)2"/>
      <sheetName val="101B_(2)2"/>
      <sheetName val="101C_(2)2"/>
      <sheetName val="난방부하집계_(2)2"/>
      <sheetName val="2_3_세대별난방부하집계_(2)2"/>
      <sheetName val="보일러_선정_(2)2"/>
      <sheetName val="4_급수설비2"/>
      <sheetName val="4_2_급수입상배관2"/>
      <sheetName val="4_3_급수횡주관2"/>
      <sheetName val="5_1_열교환기2"/>
      <sheetName val="Sheet1_(2)2"/>
      <sheetName val="4-0_툫자2"/>
      <sheetName val="단위세대_개요2"/>
      <sheetName val="GEN_2"/>
      <sheetName val="2_대외공문2"/>
      <sheetName val="1_구리중_(제조사A)2"/>
      <sheetName val="1_구리중_(제조사B)2"/>
      <sheetName val="1_구리중_(제조사C)2"/>
      <sheetName val="2_토평초(제조사A)2"/>
      <sheetName val="2_토평초(제조사B)2"/>
      <sheetName val="2_토평초(제조사C)2"/>
      <sheetName val="3_평내초(제조사A)2"/>
      <sheetName val="3_평내초(제조사B)2"/>
      <sheetName val="3_평내초(제조사C)2"/>
      <sheetName val="실외기_배관트레이2"/>
      <sheetName val="중앙콘트롤러설치용전선_2"/>
      <sheetName val="을_12"/>
      <sheetName val="을_22"/>
      <sheetName val="토목내역_(2)2"/>
      <sheetName val="DATA_입력란2"/>
      <sheetName val="1__설계조건_2_단면가정_3__하중계산2"/>
      <sheetName val="12_172"/>
      <sheetName val="가스공사_2"/>
      <sheetName val="3련_BOX2"/>
      <sheetName val="1_설계조건_2"/>
      <sheetName val="설계기준설명_2"/>
      <sheetName val="2_단면가정_(BASE)2"/>
      <sheetName val="3_하중및토압_(고정)2"/>
      <sheetName val="4_작용하중(고정)2"/>
      <sheetName val="5_안정검토(고정)(풍화암)2"/>
      <sheetName val="6_벽체계산2"/>
      <sheetName val="7_흉벽계산(ASCON)2"/>
      <sheetName val="8_FOOTING2"/>
      <sheetName val="9_날개벽2"/>
      <sheetName val="10_교좌받침2"/>
      <sheetName val="11_접속슬라브(ASCON)2"/>
      <sheetName val="EQUIPMENT_-22"/>
      <sheetName val="건___축2"/>
      <sheetName val="4_3__급수펌프선정2"/>
      <sheetName val="4_3_2_급탕순환펌프2"/>
      <sheetName val="4_3_3__배수펌프2"/>
      <sheetName val="4_4__전기온수기2"/>
      <sheetName val="4_5__보일러2"/>
      <sheetName val="4_4__급탕탱크2"/>
      <sheetName val="4_6__급탕탱크2"/>
      <sheetName val="crude_SLAB_RE-bar2"/>
      <sheetName val="자__재2"/>
      <sheetName val="Bag_Filter_Sizing2"/>
      <sheetName val="BOX구조해석_설명서2"/>
      <sheetName val="철근량_검토2"/>
      <sheetName val="준검_내역서2"/>
      <sheetName val="1_내역(청_하역장전등)2"/>
      <sheetName val="내역서1999_8최종2"/>
      <sheetName val="9,10월신제품_(2)2"/>
      <sheetName val="1_공사개요(입력)2"/>
      <sheetName val="6__안전관리비2"/>
      <sheetName val="5__현장관리비(new)_2"/>
      <sheetName val="LEGEND_i2"/>
      <sheetName val="전화_인터넷(현장)2"/>
      <sheetName val="3_0냉난방열원집계2"/>
      <sheetName val="4_1AHU2"/>
      <sheetName val="4_3_공기압축기2"/>
      <sheetName val="4_7_전기라디에타_2"/>
      <sheetName val="4_9_AC_2"/>
      <sheetName val="4_11_FAN2"/>
      <sheetName val="4_12_TANK_4_13_탈취기2"/>
      <sheetName val="4_14_PUMP2"/>
      <sheetName val="5_위생설비2"/>
      <sheetName val="평형별_세대수2"/>
      <sheetName val="G_R300경비2"/>
      <sheetName val="집_계_표2"/>
      <sheetName val="정계약_현황2"/>
      <sheetName val="1_기계_납품_진행__현황2"/>
      <sheetName val="2_협력업체_담당자_및_연락처2"/>
      <sheetName val="15_문제점2"/>
      <sheetName val="블럭_손익2"/>
      <sheetName val="_총괄표2"/>
      <sheetName val="수배전반_을지2"/>
      <sheetName val="8_PILE__(돌출)2"/>
      <sheetName val="Sheet2_(2)2"/>
      <sheetName val="파주_운정지구_A8블럭2"/>
      <sheetName val="3BL공동구_수량2"/>
      <sheetName val="총_원가계산2"/>
      <sheetName val="5_세운W-A2"/>
      <sheetName val="터널조도"/>
      <sheetName val="노무비비목코드"/>
      <sheetName val="납품도설치도"/>
      <sheetName val="Mc1"/>
      <sheetName val="3단계"/>
      <sheetName val="1단계"/>
      <sheetName val="2단계"/>
      <sheetName val=" 냉각수펌프"/>
      <sheetName val="원가계산서(남측)"/>
      <sheetName val="내역서(기계)"/>
      <sheetName val="실행내역"/>
      <sheetName val="list"/>
      <sheetName val="견적내역"/>
      <sheetName val="백암비스타내역"/>
      <sheetName val="단위수량"/>
      <sheetName val="맨홀수량산출"/>
      <sheetName val="AV시스템"/>
      <sheetName val="적용토목"/>
      <sheetName val="FB25JN"/>
      <sheetName val="CODE"/>
      <sheetName val="수량집계"/>
      <sheetName val="BOX전기내역"/>
      <sheetName val="Check List"/>
      <sheetName val="구조물공"/>
      <sheetName val="CRUDE RE-bar"/>
      <sheetName val="MAIN GATE HOUSE"/>
      <sheetName val="__MIGA_______TOWER_P_KBLEE____2"/>
      <sheetName val="에너지성능지표"/>
      <sheetName val="년도별노임표"/>
      <sheetName val="중기목록표"/>
      <sheetName val="H-PILE수량집계"/>
      <sheetName val="S커브"/>
      <sheetName val="코드"/>
      <sheetName val="견적갑지"/>
      <sheetName val="danga"/>
      <sheetName val="Tool"/>
      <sheetName val="그림"/>
      <sheetName val="단가 및 재료비"/>
      <sheetName val="단가산출2"/>
      <sheetName val="단가산출1"/>
      <sheetName val="중기사용료산출근거"/>
      <sheetName val="내역서 "/>
      <sheetName val="FCU선정"/>
      <sheetName val="냉온수유니트"/>
      <sheetName val="물집"/>
      <sheetName val="PIPE"/>
      <sheetName val="FLANGE"/>
      <sheetName val="VALVE"/>
      <sheetName val="견적공통"/>
      <sheetName val="MC"/>
      <sheetName val="가격표"/>
      <sheetName val="간이2"/>
      <sheetName val="연결방지용"/>
      <sheetName val="차종별"/>
      <sheetName val="간이연락"/>
      <sheetName val="예산계획"/>
      <sheetName val="이름정의"/>
      <sheetName val="투자-국내2"/>
      <sheetName val="전체현황"/>
      <sheetName val="GRACE"/>
      <sheetName val="차수"/>
      <sheetName val="R&amp;D"/>
      <sheetName val="HP1AMLIST"/>
      <sheetName val="ML"/>
      <sheetName val="구동"/>
      <sheetName val="계열사현황종합"/>
      <sheetName val="CALENDAR"/>
      <sheetName val="재료율"/>
      <sheetName val="일괄인쇄"/>
      <sheetName val="B-III"/>
      <sheetName val="승용"/>
      <sheetName val="p2-1"/>
      <sheetName val="현장대리인_말일"/>
      <sheetName val="사원증 제작"/>
      <sheetName val="메일, 웹하드"/>
      <sheetName val="보험"/>
      <sheetName val="협업, 협회"/>
      <sheetName val="최진한"/>
      <sheetName val="윤원섭"/>
      <sheetName val="본사인적사항"/>
      <sheetName val="현장인적사항"/>
      <sheetName val="현장기술자배치기준"/>
      <sheetName val="보유명단_건설기술인협회"/>
      <sheetName val="최초교육대상"/>
      <sheetName val="사후정산-사회보험edi"/>
      <sheetName val="협력업체"/>
      <sheetName val="사업자등록증"/>
      <sheetName val="면허등록증"/>
      <sheetName val="Sheet3 (2)"/>
      <sheetName val="현장설명결의서"/>
      <sheetName val="제안서"/>
      <sheetName val="행정표준(1)"/>
      <sheetName val="행정표준(2)"/>
      <sheetName val="전입"/>
      <sheetName val="간접비 _x0000__x0000__x0005_"/>
      <sheetName val="설계내역"/>
      <sheetName val="금리계산"/>
      <sheetName val="DATA-UPS"/>
      <sheetName val="포장공자재집계표"/>
      <sheetName val="참조자료"/>
      <sheetName val="간접경상비"/>
      <sheetName val="급여인건비LS"/>
      <sheetName val="기술부대조건"/>
      <sheetName val="교각계산"/>
      <sheetName val="IMPEADENCE MAP 취수장"/>
      <sheetName val="OPGW기별"/>
      <sheetName val="급수 (LPM)"/>
      <sheetName val="단기차입금(200006)"/>
      <sheetName val="구리토평"/>
      <sheetName val="TANK견적대지"/>
      <sheetName val="실행"/>
      <sheetName val="공종단가"/>
      <sheetName val="노무비지급명세"/>
      <sheetName val="X17-TOTAL"/>
      <sheetName val="소방사항"/>
      <sheetName val="호표"/>
      <sheetName val="9-1차이내역"/>
      <sheetName val="현장관리비 산출내역"/>
      <sheetName val="일위대가 집계표"/>
      <sheetName val="98수문일위"/>
      <sheetName val="재료"/>
      <sheetName val="설치자재"/>
      <sheetName val="5.단면검토"/>
      <sheetName val="기초INPUT"/>
      <sheetName val="포장물량집계"/>
      <sheetName val="사업성분석"/>
      <sheetName val="제2호단위수량"/>
      <sheetName val="CAUDIT"/>
      <sheetName val="설계서을"/>
      <sheetName val="적용건축"/>
      <sheetName val="중기조종사 단위단가"/>
      <sheetName val="공종별현황_공무팀자료"/>
      <sheetName val="총투입계"/>
      <sheetName val="안전시설내역서"/>
      <sheetName val="매출매입"/>
      <sheetName val="접속도로1"/>
      <sheetName val="추정공사비계ꀀ"/>
      <sheetName val="4-2.실행분석표(실적)"/>
      <sheetName val="시설이용권명세서"/>
      <sheetName val="[1.xls][1.xls]______C______99_8"/>
      <sheetName val="연결관단위"/>
      <sheetName val="⑤항목별2"/>
      <sheetName val="원가계산서"/>
      <sheetName val="[1.xls][1.xls]______P_H_S_ex_15"/>
      <sheetName val="[1.xls][1.XLS]______P_H_S_ex_14"/>
      <sheetName val="[1.XLS][1.XLS]______P_H_S_exc_4"/>
      <sheetName val="[1.XLS][1.XLS]______P_H_S_exc_2"/>
      <sheetName val="[1.XLS][1.XLS]______P_H_S_exc_3"/>
      <sheetName val="[1.XLS][1.XLS]______P_H_S_exc_5"/>
      <sheetName val="[1.XLS][1.XLS]______P_H_S_exc_8"/>
      <sheetName val="[1.XLS][1.XLS]______P_H_S_exc_7"/>
      <sheetName val="[1.XLS][1.XLS]______P_H_S_exc_6"/>
      <sheetName val="[1.XLS][1.XLS]______P_H_S_exc_9"/>
      <sheetName val="[1.XLS][1.XLS]______P_H_S_ex_11"/>
      <sheetName val="[1.XLS][1.XLS]______P_H_S_ex_10"/>
      <sheetName val="[1.XLS][1.XLS]______P_H_S_ex_13"/>
      <sheetName val="[1.XLS][1.XLS]______P_H_S_ex_12"/>
      <sheetName val="3-3.빙축열시스템부하"/>
      <sheetName val="공정표"/>
      <sheetName val="출고표"/>
      <sheetName val="추적성관리대장"/>
      <sheetName val="설치공정표"/>
      <sheetName val="전기공사"/>
      <sheetName val="횡배수관토공수량"/>
      <sheetName val="[1.xls][1.xls]______P_H_S_ex_16"/>
      <sheetName val="[1.xls][1.xls]______P_H_S_ex_17"/>
      <sheetName val="11고객별 담당자"/>
      <sheetName val="[1.xls][1.xls]______P_H_S_ex_18"/>
      <sheetName val="단가결정"/>
      <sheetName val="내역아"/>
      <sheetName val="울타리"/>
      <sheetName val="시설물일위"/>
      <sheetName val="Q(&amp;F)_x0000__x0000_蓑_x0000__x0005__x0005_Ā_x000c_NateOn 정보(&amp;V)_x0000__x0000__x0000__x0003__x0005_"/>
      <sheetName val="_x000f_?"/>
      <sheetName val="거래명세표"/>
      <sheetName val="Q(&amp;F)"/>
      <sheetName val="손익"/>
      <sheetName val="월효율분석"/>
      <sheetName val="99생산계획 (1,300)"/>
      <sheetName val="분양금할인"/>
      <sheetName val="[1.xls][1.xls]______P_H_S_ex_25"/>
      <sheetName val="[1.xls][1.XLS]______P_H_S_ex_24"/>
      <sheetName val="견적 (2)"/>
      <sheetName val="★도급내역"/>
      <sheetName val="분류표"/>
      <sheetName val="유리"/>
      <sheetName val="영업소_x0005_"/>
      <sheetName val="[1.xls][1.XLS]______P_H_S_ex_21"/>
      <sheetName val="[1.xls][1.xls]______P_H_S_ex_20"/>
      <sheetName val="[1.xls][1.XLS]______P_H_S_ex_19"/>
      <sheetName val="에너지성능지표セ迢颚_x0000_㘀窢"/>
      <sheetName val="스포회원매출"/>
      <sheetName val="영업외손익등"/>
      <sheetName val="D1"/>
      <sheetName val="D8 underpass WP-D592"/>
      <sheetName val="D10 "/>
      <sheetName val="D14"/>
      <sheetName val="WP-NW01"/>
      <sheetName val="WP-SN01-01 &amp; 02"/>
      <sheetName val="WP-WE02"/>
      <sheetName val="D16"/>
      <sheetName val="D17"/>
      <sheetName val="D18"/>
      <sheetName val="E1"/>
      <sheetName val="WP-EW01"/>
      <sheetName val="WP-NS-01"/>
      <sheetName val="WP-NS-02"/>
      <sheetName val="[1.xls][1.xls]______P_H_S_ex_23"/>
      <sheetName val="[1.xls][1.XLS]______P_H_S_ex_22"/>
      <sheetName val="[1.xls][1.xls]______P_H_S_ex_26"/>
      <sheetName val="[1.xls][1.xls]______P_H_S_ex_27"/>
      <sheetName val="[1.xls][1.xls]______P_H_S_ex_28"/>
      <sheetName val="[1.xls][1.xls]______P_H_S_ex_35"/>
      <sheetName val="[1.xls][1.XLS]______P_H_S_ex_34"/>
      <sheetName val="[1.xls][1.xls]______P_H_S_ex_33"/>
      <sheetName val="[1.xls][1.xls]______P_H_S_ex_32"/>
      <sheetName val="[1.xls][1.xls]______P_H_S_ex_30"/>
      <sheetName val="[1.xls][1.xls]______P_H_S_ex_29"/>
      <sheetName val="[1.xls][1.xls]______P_H_S_ex_31"/>
      <sheetName val="[1.xls][1.xls]______P_H_S_ex_36"/>
      <sheetName val="[1.xls][1.xls]______P_H_S_ex_70"/>
      <sheetName val="[1.xls][1.xls]______P_H_S_ex_71"/>
      <sheetName val="배수내역"/>
      <sheetName val="산출서"/>
      <sheetName val="총괄집계"/>
      <sheetName val="난간기초 (길이별)"/>
      <sheetName val="난간기초철근집계"/>
      <sheetName val="정자"/>
      <sheetName val="정자철근집계"/>
      <sheetName val="난간기초(개별)"/>
      <sheetName val="[1.xls][1.XLS]______P_H_S_ex_41"/>
      <sheetName val="[1.xls][1.XLS]______P_H_S_ex_39"/>
      <sheetName val="추가예산"/>
      <sheetName val="달력"/>
      <sheetName val="품셈"/>
      <sheetName val="월별"/>
      <sheetName val="[1.xls][1.xls]______P_H_S_ex_37"/>
      <sheetName val="[1.xls][1.XLS]______P_H_S_ex_38"/>
      <sheetName val="[1.xls][1.XLS]______P_H_S_ex_40"/>
      <sheetName val="[1.xls][1.xls]______P_H_S_ex_50"/>
      <sheetName val="[1.xls][1.XLS]______P_H_S_ex_48"/>
      <sheetName val="기준단가"/>
      <sheetName val="결과조달"/>
      <sheetName val="급쉸ᘡ"/>
      <sheetName val="[1.xls][1.xls]______P_H_S_ex_44"/>
      <sheetName val="[1.xls][1.XLS]______P_H_S_ex_43"/>
      <sheetName val="제-노임"/>
      <sheetName val="s"/>
      <sheetName val="토공계산"/>
      <sheetName val="주요자재집계표지"/>
      <sheetName val="주요자재집계표"/>
      <sheetName val="골재집계"/>
      <sheetName val="레미콘집계"/>
      <sheetName val="배수공집계"/>
      <sheetName val="폴리머 배수로"/>
      <sheetName val="폴리머 집수정"/>
      <sheetName val="포장집계"/>
      <sheetName val="우레탄포장"/>
      <sheetName val="경계석"/>
      <sheetName val="철거공"/>
      <sheetName val="철거공집계"/>
      <sheetName val="육상트랙"/>
      <sheetName val="배수로"/>
      <sheetName val="대로근거"/>
      <sheetName val="중로근거"/>
      <sheetName val="의무사항(1면)"/>
      <sheetName val="에너지성능지표검토서(건축)(2면)"/>
      <sheetName val="에너지성능지표검토서(기계, 전기, 신재생)(3~5면)"/>
      <sheetName val="건축2"/>
      <sheetName val="1-6(반품내역)"/>
      <sheetName val="기본일위"/>
      <sheetName val="위생설비"/>
      <sheetName val="부대"/>
      <sheetName val="[1.xls][1.xls]______P_H_S_ex_42"/>
      <sheetName val="[1.xls][1.xls]__박_석_P_H_S_exc_2"/>
      <sheetName val="[1.xls][1.XLS]__박___P_H_S_exc_2"/>
      <sheetName val="실행(표지,갑,을)"/>
      <sheetName val="사전공사"/>
      <sheetName val="[1.xls][1.xls]__박___P_H_S_exc_3"/>
      <sheetName val="[1.xls][1.XLS]__박_석_P_H_S_exc_3"/>
      <sheetName val="[1.xls][1.XLS]______P_H_S_ex_47"/>
      <sheetName val="[1.xls][1.xls]______P_H_S_ex_46"/>
      <sheetName val="[1.xls][1.XLS]______P_H_S_ex_45"/>
      <sheetName val="[1.xls][1.xls]______P_H_S_ex_49"/>
      <sheetName val="[1.xls][1.xls]______P_H_S_ex_51"/>
      <sheetName val="[1.xls][1.xls]______P_H_S_ex_53"/>
      <sheetName val="[1.xls][1.XLS]______P_H_S_ex_52"/>
      <sheetName val="[1.xls][1.xls]______P_H_S_ex_54"/>
      <sheetName val="[1.xls][1.xls]______P_H_S_ex_55"/>
      <sheetName val="[1.xls][1.xls]______P_H_S_ex_56"/>
      <sheetName val="[1.xls][1.xls]______P_H_S_ex_57"/>
      <sheetName val="[1.xls][1.xls]______P_H_S_ex_60"/>
      <sheetName val="[1.xls][1.XLS]______P_H_S_ex_58"/>
      <sheetName val="[1.xls][1.xls]______P_H_S_ex_61"/>
      <sheetName val="[1.xls][1.xls]______P_H_S_ex_59"/>
      <sheetName val="[1.xls][1.xls]______P_H_S_ex_66"/>
      <sheetName val="[1.xls][1.XLS]______P_H_S_ex_62"/>
      <sheetName val="[1.xls][1.xls]______P_H_S_ex_63"/>
      <sheetName val="[1.xls][1.xls]______P_H_S_ex_64"/>
      <sheetName val="[1.xls][1.xls]______P_H_S_ex_65"/>
      <sheetName val="[1.xls][1.xls]______P_H_S_ex_67"/>
      <sheetName val="[1.xls][1.xls]______P_H_S_ex_68"/>
      <sheetName val="[1.xls][1.xls]______P_H_S_ex_69"/>
      <sheetName val="[1.xls][1.xls]______P_H_S_ex_72"/>
      <sheetName val="[1.xls][1.xls]______P_H_S_e_116"/>
      <sheetName val="[1.xls][1.xls]______P_H_S_e_123"/>
      <sheetName val="[1.xls][1.xls]______P_H_S_ex_73"/>
      <sheetName val="[1.xls][1.xls]______P_H_S_ex_74"/>
      <sheetName val="[1.xls][1.xls]______P_H_S_e_107"/>
      <sheetName val="[1.xls][1.xls]______P_H_S_ex_96"/>
      <sheetName val="[1.xls][1.xls]______P_H_S_ex_95"/>
      <sheetName val="[1.xls][1.xls]______P_H_S_ex_75"/>
      <sheetName val="[1.xls][1.xls]______P_H_S_ex_76"/>
      <sheetName val="[1.xls][1.xls]______P_H_S_ex_82"/>
      <sheetName val="[1.xls][1.xls]______P_H_S_ex_83"/>
      <sheetName val="변압기 및 발전기 용량"/>
      <sheetName val="[1.xls][1.xls]______C______99_9"/>
      <sheetName val="[1.xls][1.xls]______C______9_10"/>
      <sheetName val="[1.xls][1.XLS]__박희석_P_H_S_exc_4"/>
      <sheetName val="[1.xls][1.xls]__박희석_P_H_S_exc_3"/>
      <sheetName val="[1.xls][1.XLS]__박희석_P_H_S_exc_2"/>
      <sheetName val="[1.xls][1.xls]______P_H_S_ex_79"/>
      <sheetName val="[1.xls][1.XLS]______P_H_S_ex_78"/>
      <sheetName val="근거(기밀댐퍼)"/>
      <sheetName val="[1.xls][1.xls]__박_석_P_H_S_exc_4"/>
      <sheetName val="[1.xls][1.xls]__박_석_P_H_S_exc_7"/>
      <sheetName val="[1.xls][1.xls]__박_석_P_H_S_exc_5"/>
      <sheetName val="[1.xls][1.xls]__박_석_P_H_S_exc_6"/>
      <sheetName val="영업소諠"/>
      <sheetName val="Bill1. Block 2 - KC mong"/>
      <sheetName val="제출계산서"/>
      <sheetName val="eq_data"/>
      <sheetName val="Elemental Breakdown+20%"/>
      <sheetName val="K2 (K2M) (K2A)"/>
      <sheetName val="Bill 01 - CTN"/>
      <sheetName val="Cash2"/>
      <sheetName val="Z"/>
      <sheetName val="전기일위대가"/>
      <sheetName val="차체부품 INS REPORT(갑)"/>
      <sheetName val="[1.xls][1.xls]__박___P_H_S_exc_4"/>
      <sheetName val="[1.xls][1.XLS]____석_P_H_S_exc_2"/>
      <sheetName val="해외(원화)"/>
      <sheetName val="중기가격"/>
      <sheetName val="실행대비"/>
      <sheetName val="[1.xls][1.XLS]______P_H_S_ex_77"/>
      <sheetName val="[1.xls][1.xls]______P_H_S_ex_80"/>
      <sheetName val="[1.xls][1.xls]______P_H_S_ex_81"/>
      <sheetName val="[1.xls][1.xls]______P_H_S_ex_86"/>
      <sheetName val="[1.xls][1.XLS]______P_H_S_ex_85"/>
      <sheetName val="[1.xls][1.XLS]______P_H_S_ex_84"/>
      <sheetName val="[1.xls][1.xls]______P_H_S_ex_87"/>
      <sheetName val="[1.xls][1.xls]______P_H_S_ex_88"/>
      <sheetName val="[1.xls][1.xls]______P_H_S_ex_89"/>
      <sheetName val="[1.xls][1.xls]______P_H_S_ex_94"/>
      <sheetName val="[1.xls][1.xls]______P_H_S_ex_90"/>
      <sheetName val="[1.xls][1.xls]______P_H_S_ex_91"/>
      <sheetName val="[1.xls][1.xls]______P_H_S_ex_92"/>
      <sheetName val="[1.xls][1.xls]______P_H_S_ex_93"/>
      <sheetName val="하도정산계약분"/>
      <sheetName val="계실5-1"/>
      <sheetName val="하수급견적대비"/>
      <sheetName val="투찰"/>
      <sheetName val="계수시트"/>
      <sheetName val="가설공사"/>
      <sheetName val="1,2공구원가계산서"/>
      <sheetName val="인발시험"/>
      <sheetName val="5지진시"/>
      <sheetName val="[1.xls][1.xls]______P_H_S_ex_98"/>
      <sheetName val="각입중량산출서"/>
      <sheetName val="[1.xls][1.xls]______P_H_S_ex_97"/>
      <sheetName val="[1.xls][1.xls]______P_H_S_e_104"/>
      <sheetName val="[1.xls][1.xls]______P_H_S_ex_99"/>
      <sheetName val="[1.xls][1.xls]______P_H_S_e_100"/>
      <sheetName val="[1.xls][1.xls]______P_H_S_e_101"/>
      <sheetName val="[1.xls][1.xls]______P_H_S_e_102"/>
      <sheetName val="[1.xls][1.xls]______P_H_S_e_103"/>
      <sheetName val="[1.xls][1.xls]______P_H_S_e_106"/>
      <sheetName val="[1.xls][1.xls]______P_H_S_e_105"/>
      <sheetName val="[1.xls][1.xls]______P_H_S_e_113"/>
      <sheetName val="[1.xls][1.xls]______P_H_S_e_114"/>
      <sheetName val="[1.xls][1.xls]______P_H_S_e_112"/>
      <sheetName val="[1.xls][1.xls]______P_H_S_e_109"/>
      <sheetName val="[1.xls][1.xls]______P_H_S_e_108"/>
      <sheetName val="[1.xls][1.xls]______P_H_S_e_110"/>
      <sheetName val="[1.xls][1.xls]______P_H_S_e_111"/>
      <sheetName val="[1.xls][1.xls]______P_H_S_e_115"/>
      <sheetName val="[1.xls][1.xls]______P_H_S_e_117"/>
      <sheetName val="[1.xls][1.xls]______P_H_S_e_118"/>
      <sheetName val="[1.xls][1.xls]______P_H_S_e_119"/>
      <sheetName val="[1.xls][1.xls]______P_H_S_e_120"/>
      <sheetName val="[1.xls][1.xls]______P_H_S_e_121"/>
      <sheetName val="[1.xls][1.xls]______P_H_S_e_122"/>
      <sheetName val="[1.xls][1.xls]______P_H_S_e_124"/>
      <sheetName val="[1.xls][1.xls]______P_H_S_e_125"/>
      <sheetName val="[1.xls][1.xls]______P_H_S_e_126"/>
      <sheetName val="[1.xls][1.xls]______P_H_S_e_131"/>
      <sheetName val="[1.xls][1.xls]______P_H_S_e_127"/>
      <sheetName val="[1.xls][1.xls]______P_H_S_e_129"/>
      <sheetName val="[1.xls][1.xls]______P_H_S_e_128"/>
      <sheetName val="[1.xls][1.xls]______P_H_S_e_130"/>
      <sheetName val="[1.xls][1.xls]______P_H_S_e_132"/>
      <sheetName val="[1.xls][1.xls]______P_H_S_e_134"/>
      <sheetName val="[1.xls][1.XLS]______P_H_S_e_133"/>
      <sheetName val="[1.xls][1.xls]______P_H_S_e_175"/>
      <sheetName val="[1.xls][1.XLS]______P_H_S_e_172"/>
      <sheetName val="[1.xls][1.XLS]______P_H_S_e_166"/>
      <sheetName val="[1.xls][1.xls]______P_H_S_e_160"/>
      <sheetName val="[1.xls][1.xls]______P_H_S_e_162"/>
      <sheetName val="[1.xls][1.XLS]______P_H_S_e_157"/>
      <sheetName val="[1.xls][1.xls]______P_H_S_e_156"/>
      <sheetName val="[1.xls][1.xls]______P_H_S_e_151"/>
      <sheetName val="[1.xls][1.xls]___희석_P_H_S_exc_3"/>
      <sheetName val="[1.xls][1.XLS]___희석_P_H_S_exc_2"/>
      <sheetName val="재집"/>
      <sheetName val="[1.xls][1.xls]______P_H_S_e_135"/>
      <sheetName val="[1.xls][1.xls]______P_H_S_e_138"/>
      <sheetName val="[1.xls][1.xls]______P_H_S_e_136"/>
      <sheetName val="[1.xls][1.xls]______P_H_S_e_137"/>
      <sheetName val="[1.xls][1.xls]______P_H_S_e_143"/>
      <sheetName val="[1.xls][1.xls]______P_H_S_e_146"/>
      <sheetName val="[1.xls][1.xls]______P_H_S_e_139"/>
      <sheetName val="[1.xls][1.xls]______P_H_S_e_140"/>
      <sheetName val="[1.xls][1.xls]______P_H_S_e_141"/>
      <sheetName val="[1.xls][1.xls]______P_H_S_e_142"/>
      <sheetName val="[1.xls][1.xls]______P_H_S_e_144"/>
      <sheetName val="[1.xls][1.xls]______P_H_S_e_145"/>
      <sheetName val="[1.xls][1.xls]______P_H_S_e_150"/>
      <sheetName val="[1.xls][1.xls]______P_H_S_e_147"/>
      <sheetName val="[1.xls][1.xls]______P_H_S_e_148"/>
      <sheetName val="[1.xls][1.xls]______P_H_S_e_149"/>
      <sheetName val="[1.xls][1.xls]______P_H_S_e_153"/>
      <sheetName val="[1.xls][1.xls]______P_H_S_e_152"/>
      <sheetName val="[1.xls][1.xls]______P_H_S_e_155"/>
      <sheetName val="[1.xls][1.xls]______P_H_S_e_154"/>
      <sheetName val="[1.xls][1.XLS]______P_H_S_e_159"/>
      <sheetName val="[1.xls][1.xls]______P_H_S_e_158"/>
      <sheetName val="제직재"/>
      <sheetName val="[1.xls][1.xls]______P_H_S_e_161"/>
      <sheetName val="[1.xls][1.xls]______P_H_S_e_164"/>
      <sheetName val="[1.xls][1.XLS]______P_H_S_e_163"/>
      <sheetName val="[1.xls][1.XLS]______P_H_S_e_165"/>
      <sheetName val="[1.xls][1.xls]______P_H_S_e_167"/>
      <sheetName val="[1.xls][1.xls]______P_H_S_e_171"/>
      <sheetName val="[1.xls][1.XLS]______P_H_S_e_168"/>
      <sheetName val="[1.xls][1.xls]______P_H_S_e_169"/>
      <sheetName val="[1.xls][1.xls]______P_H_S_e_170"/>
      <sheetName val="[1.xls][1.xls]______P_H_S_e_174"/>
      <sheetName val="[1.xls][1.xls]______P_H_S_e_173"/>
      <sheetName val="[1.xls][1.xls]______P_H_S_e_177"/>
      <sheetName val="[1.xls][1.xls]______P_H_S_e_176"/>
      <sheetName val="[1.xls][1.xls]______P_H_S_e_182"/>
      <sheetName val="[1.xls][1.XLS]______P_H_S_e_178"/>
      <sheetName val="[1.xls][1.xls]______P_H_S_e_188"/>
      <sheetName val="[1.xls][1.xls]______P_H_S_e_179"/>
      <sheetName val="[1.xls][1.xls]______P_H_S_e_180"/>
      <sheetName val="[1.xls][1.xls]______P_H_S_e_181"/>
      <sheetName val="[1.xls][1.xls]______P_H_S_e_186"/>
      <sheetName val="[1.xls][1.xls]______P_H_S_e_183"/>
      <sheetName val="[1.xls][1.xls]______P_H_S_e_184"/>
      <sheetName val="[1.xls][1.xls]______P_H_S_e_185"/>
      <sheetName val="[1.xls][1.xls]______P_H_S_e_187"/>
      <sheetName val="[1.xls][1.xls]______P_H_S_e_190"/>
      <sheetName val="[1.xls][1.xls]______P_H_S_e_189"/>
      <sheetName val="[1.xls][1.xls]______P_H_S_e_191"/>
      <sheetName val="[1.xls][1.XLS]__박희__P_H_S_exc_2"/>
      <sheetName val="[1.xls][1.xls]______P_H_S_e_228"/>
      <sheetName val="[1.xls][1.xls]______P_H_S_e_229"/>
      <sheetName val="b_balju"/>
      <sheetName val="B"/>
      <sheetName val="계산근거"/>
      <sheetName val="물량산출근거"/>
      <sheetName val="암거단위-1련"/>
      <sheetName val="1호맨홀토공"/>
      <sheetName val="신청서"/>
      <sheetName val="unitpric"/>
      <sheetName val="기계경비일람"/>
      <sheetName val="횡배수관설치현황"/>
      <sheetName val="5흙막이"/>
      <sheetName val="[1.xls][1.xls]______P_H_S_e_225"/>
      <sheetName val="[1.xls][1.xls]______P_H_S_e_221"/>
      <sheetName val="[1.xls][1.XLS]______P_H_S_e_219"/>
      <sheetName val="[1.xls][1.xls]______P_H_S_e_216"/>
      <sheetName val="[1.xls][1.xls]______P_H_S_e_215"/>
      <sheetName val="[1.xls][1.xls]______P_H_S_e_192"/>
      <sheetName val="[1.xls][1.xls]______P_H_S_e_193"/>
      <sheetName val="[1.xls][1.xls]______P_H_S_e_194"/>
      <sheetName val="[1.xls][1.XLS]______P_H_S_e_212"/>
      <sheetName val="[1.xls][1.xls]______P_H_S_e_210"/>
      <sheetName val="[1.xls][1.xls]______P_H_S_e_204"/>
      <sheetName val="[1.xls][1.xls]______P_H_S_e_205"/>
      <sheetName val="[1.xls][1.xls]______P_H_S_e_201"/>
      <sheetName val="[1.xls][1.xls]______P_H_S_e_198"/>
      <sheetName val="[1.xls][1.xls]______P_H_S_e_199"/>
      <sheetName val="[1.xls][1.xls]______P_H_S_e_197"/>
      <sheetName val="loading"/>
      <sheetName val="BOQ(전체)"/>
      <sheetName val="전기혼잡제경비(45)"/>
      <sheetName val="직재"/>
      <sheetName val="Direct_MP_Updated"/>
      <sheetName val="5월_평균일수"/>
      <sheetName val="에너지성능지표℀쀀︪⇈"/>
      <sheetName val="1_공통가설"/>
      <sheetName val="태화42_"/>
      <sheetName val="BCA_INDEX"/>
      <sheetName val="에너지성능지표Ⴛ뎔迲"/>
      <sheetName val="간접비 "/>
      <sheetName val="전기설계변경"/>
      <sheetName val="[1.xls][1.xls]___희__P_H_S_exc_4"/>
      <sheetName val="[1.xls][1.xls]___희__P_H_S_exc_3"/>
      <sheetName val="[1.xls][1.xls]___희__P_H_S_exc_2"/>
      <sheetName val="시계열"/>
      <sheetName val="일위대가표(유단가)"/>
      <sheetName val="[1.xls][1.xls]__박희__P_H_S_exc_4"/>
      <sheetName val="[1.xls][1.XLS]__박희__P_H_S_exc_3"/>
      <sheetName val="[1.xls][1.xls]__박희__P_H_S_exc_6"/>
      <sheetName val="[1.xls][1.XLS]__박희__P_H_S_exc_5"/>
      <sheetName val="SORCE1"/>
      <sheetName val="부하(성남)"/>
      <sheetName val="성곽내역서"/>
      <sheetName val="기초Ȓ_x0000_"/>
      <sheetName val="[1.xls][1.XLS]______P_H_S_e_195"/>
      <sheetName val="[1.xls][1.xls]______P_H_S_e_196"/>
      <sheetName val="[1.xls][1.xls]______P_H_S_e_202"/>
      <sheetName val="[1.xls][1.xls]______P_H_S_e_200"/>
      <sheetName val="[1.xls][1.xls]______P_H_S_e_203"/>
      <sheetName val="[1.xls][1.xls]______P_H_S_e_206"/>
      <sheetName val="[1.xls][1.xls]______P_H_S_e_209"/>
      <sheetName val="[1.xls][1.xls]______P_H_S_e_207"/>
      <sheetName val="[1.xls][1.xls]______P_H_S_e_208"/>
      <sheetName val="[1.xls][1.XLS]______P_H_S_e_211"/>
      <sheetName val="[1.xls][1.xls]______P_H_S_e_213"/>
      <sheetName val="[1.xls][1.xls]______P_H_S_e_214"/>
      <sheetName val="[1.xls][1.xls]______P_H_S_e_217"/>
      <sheetName val="[1.xls][1.xls]______P_H_S_e_218"/>
      <sheetName val="[1.xls][1.xls]______P_H_S_e_220"/>
      <sheetName val="[1.xls][1.xls]______P_H_S_e_222"/>
      <sheetName val="[1.xls][1.xls]______P_H_S_e_224"/>
      <sheetName val="[1.xls][1.xls]______P_H_S_e_223"/>
      <sheetName val="[1.xls][1.xls]______P_H_S_e_226"/>
      <sheetName val="[1.xls][1.xls]______P_H_S_e_227"/>
      <sheetName val="[1.xls][1.xls]______P_H_S_e_262"/>
      <sheetName val="[1.xls][1.xls]______P_H_S_e_263"/>
      <sheetName val="[1.xls][1.xls]______P_H_S_e_231"/>
      <sheetName val="[1.xls][1.xls]______P_H_S_e_230"/>
      <sheetName val="[1.xls][1.xls]______P_H_S_e_235"/>
      <sheetName val="[1.xls][1.xls]______P_H_S_e_232"/>
      <sheetName val="[1.xls][1.xls]______P_H_S_e_233"/>
      <sheetName val="[1.xls][1.xls]______P_H_S_e_234"/>
      <sheetName val="[1.xls][1.xls]______P_H_S_e_239"/>
      <sheetName val="[1.xls][1.xls]______P_H_S_e_236"/>
      <sheetName val="[1.xls][1.xls]______P_H_S_e_237"/>
      <sheetName val="[1.xls][1.xls]______P_H_S_e_238"/>
      <sheetName val="[1.xls][1.xls]______P_H_S_e_240"/>
      <sheetName val="[1.xls][1.xls]______P_H_S_e_243"/>
      <sheetName val="[1.xls][1.xls]______P_H_S_e_242"/>
      <sheetName val="[1.xls][1.xls]______P_H_S_e_241"/>
      <sheetName val="차트작업"/>
      <sheetName val="광주전남"/>
      <sheetName val="AHU硘Ï"/>
      <sheetName val="[1.xls][1.xls]______P_H_S_e_248"/>
      <sheetName val="[1.xls][1.xls]______P_H_S_e_249"/>
      <sheetName val="[1.xls][1.xls]______P_H_S_e_245"/>
      <sheetName val="[1.xls][1.xls]______P_H_S_e_244"/>
      <sheetName val="정릉_xdaf8_缡_x0000_"/>
      <sheetName val="[1.xls][1.xls]______P_H_S_e_247"/>
      <sheetName val="[1.xls][1.xls]______P_H_S_e_246"/>
      <sheetName val="[1.xls][1.xls]______P_H_S_e_250"/>
      <sheetName val="[1.xls][1.xls]______P_H_S_e_256"/>
      <sheetName val="[1.xls][1.xls]______P_H_S_e_258"/>
      <sheetName val="[1.xls][1.xls]______P_H_S_e_251"/>
      <sheetName val="[1.xls][1.xls]______P_H_S_e_252"/>
      <sheetName val="[1.xls][1.xls]______P_H_S_e_253"/>
      <sheetName val="[1.xls][1.xls]______P_H_S_e_254"/>
      <sheetName val="[1.xls][1.xls]______P_H_S_e_255"/>
      <sheetName val="[1.xls][1.xls]______P_H_S_e_257"/>
      <sheetName val="[1.xls][1.xls]______P_H_S_e_260"/>
      <sheetName val="[1.xls][1.xls]______P_H_S_e_259"/>
      <sheetName val="[1.xls][1.xls]______P_H_S_e_261"/>
      <sheetName val="[1.xls][1.xls]______P_H_S_e_340"/>
      <sheetName val="[1.xls][1.xls]______P_H_S_e_342"/>
      <sheetName val="[1.xls][1.xls]______P_H_S_e_265"/>
      <sheetName val="[1.xls][1.xls]______P_H_S_e_264"/>
      <sheetName val="산출근거"/>
      <sheetName val="[1.xls][1.xls]______P_H_S_e_266"/>
      <sheetName val="[1.xls][1.xls]______P_H_S_e_333"/>
      <sheetName val="[1.xls][1.xls]______P_H_S_e_330"/>
      <sheetName val="[1.xls][1.xls]______P_H_S_e_331"/>
      <sheetName val="단가표 (2)"/>
      <sheetName val="4.2유효폭의 계산"/>
      <sheetName val="일위대가목록"/>
      <sheetName val="일위대가_호표"/>
      <sheetName val="일위대가_산근"/>
      <sheetName val="중기사용료목록"/>
      <sheetName val="중기기초자료"/>
      <sheetName val="자재"/>
      <sheetName val="전역변수"/>
      <sheetName val="자재조서"/>
      <sheetName val="중기전역변수"/>
      <sheetName val="대가"/>
      <sheetName val="배수설비"/>
      <sheetName val="이토변실(A3-LINE)"/>
      <sheetName val="비계,CON'C"/>
      <sheetName val="[1.XLS][1.XLS]___________exc_23"/>
      <sheetName val="[1.XLS][1.XLS]\\박근환\광주공장\excel\"/>
      <sheetName val="[1.XLS][1.XLS]___________exce_3"/>
      <sheetName val="[1.XLS][1.XLS]___________exce_2"/>
      <sheetName val="[1.XLS][1.XLS]___________exce_6"/>
      <sheetName val="[1.XLS][1.XLS]___________exce_4"/>
      <sheetName val="[1.XLS][1.XLS]___________exce_5"/>
      <sheetName val="[1.XLS][1.XLS]___________exce_7"/>
      <sheetName val="[1.XLS][1.XLS]___________exce_9"/>
      <sheetName val="[1.XLS][1.XLS]___________exce_8"/>
      <sheetName val="[1.XLS][1.XLS]___________exc_10"/>
      <sheetName val="[1.XLS][1.XLS]___________exc_11"/>
      <sheetName val="[1.XLS][1.XLS]___________exc_15"/>
      <sheetName val="[1.XLS][1.XLS]___________exc_14"/>
      <sheetName val="[1.XLS][1.XLS]___________exc_13"/>
      <sheetName val="[1.XLS][1.XLS]___________exc_12"/>
      <sheetName val="[1.XLS][1.XLS]___________exc_17"/>
      <sheetName val="[1.XLS][1.XLS]___________exc_16"/>
      <sheetName val="[1.XLS][1.XLS]___________exc_21"/>
      <sheetName val="[1.XLS][1.XLS]___________exc_20"/>
      <sheetName val="[1.XLS][1.XLS]___________exc_19"/>
      <sheetName val="[1.XLS][1.XLS]___________exc_18"/>
      <sheetName val="[1.XLS][1.XLS]___________exc_22"/>
      <sheetName val="[1.XLS][1.XLS]___________exc_36"/>
      <sheetName val="[1.XLS][1.XLS]___________exc_35"/>
      <sheetName val="[1.XLS][1.XLS]___________exc_24"/>
      <sheetName val="[1.XLS][1.XLS]___________exc_26"/>
      <sheetName val="[1.XLS][1.XLS]___________exc_25"/>
      <sheetName val="[1.XLS][1.XLS]___________exc_28"/>
      <sheetName val="[1.XLS][1.XLS]___________exc_27"/>
      <sheetName val="[1.XLS][1.XLS]___________exc_29"/>
      <sheetName val="[1.XLS][1.XLS]___________exc_30"/>
      <sheetName val="[1.XLS][1.XLS]___________exc_32"/>
      <sheetName val="[1.XLS][1.XLS]___________exc_31"/>
      <sheetName val="[1.XLS][1.XLS]___________exc_34"/>
      <sheetName val="[1.XLS][1.XLS]___________exc_33"/>
      <sheetName val="[1.XLS][1.XLS]___________exc_37"/>
      <sheetName val="[1.xls][1.XLS]___________exc_38"/>
      <sheetName val="[1.xls][1.xls]______P_H_S_e_323"/>
      <sheetName val="[1.xls][1.xls]______P_H_S_e_267"/>
      <sheetName val="[1.xls][1.xls]______P_H_S_e_296"/>
      <sheetName val="[1.xls][1.xls]______P_H_S_e_268"/>
      <sheetName val="[1.xls][1.xls]______P_H_S_e_269"/>
      <sheetName val="[1.xls][1.xls]______P_H_S_e_274"/>
      <sheetName val="[1.xls][1.xls]______P_H_S_e_270"/>
      <sheetName val="[1.xls][1.xls]______P_H_S_e_275"/>
      <sheetName val="[1.xls][1.xls]______P_H_S_e_271"/>
      <sheetName val="[1.xls][1.xls]______P_H_S_e_272"/>
      <sheetName val="[1.xls][1.xls]______P_H_S_e_273"/>
      <sheetName val="[1.xls][1.xls]______P_H_S_e_276"/>
      <sheetName val="[1.xls][1.xls]______P_H_S_e_277"/>
      <sheetName val="[1.xls][1.xls]______P_H_S_e_279"/>
      <sheetName val="[1.xls][1.xls]______P_H_S_e_281"/>
      <sheetName val="[1.xls][1.xls]______P_H_S_e_278"/>
      <sheetName val="[1.xls][1.xls]______P_H_S_e_280"/>
      <sheetName val="[1.xls][1.xls]______P_H_S_e_282"/>
      <sheetName val="[1.xls][1.xls]______P_H_S_e_283"/>
      <sheetName val="[1.xls][1.xls]______P_H_S_e_284"/>
      <sheetName val="[1.xls][1.xls]______P_H_S_e_285"/>
      <sheetName val="[1.xls][1.xls]______P_H_S_e_289"/>
      <sheetName val="[1.xls][1.xls]______P_H_S_e_286"/>
      <sheetName val="[1.xls][1.xls]______P_H_S_e_288"/>
      <sheetName val="[1.xls][1.xls]______P_H_S_e_287"/>
      <sheetName val="[1.xls][1.xls]______P_H_S_e_290"/>
      <sheetName val="[1.xls][1.xls]______P_H_S_e_291"/>
      <sheetName val="[1.xls][1.xls]______P_H_S_e_292"/>
      <sheetName val="[1.xls][1.xls]______P_H_S_e_306"/>
      <sheetName val="[1.xls][1.xls]______P_H_S_e_293"/>
      <sheetName val="[1.xls][1.xls]______P_H_S_e_294"/>
      <sheetName val="[1.xls][1.xls]______P_H_S_e_295"/>
      <sheetName val="[1.xls][1.xls]______P_H_S_e_304"/>
      <sheetName val="[1.xls][1.xls]______P_H_S_e_298"/>
      <sheetName val="[1.xls][1.xls]______P_H_S_e_297"/>
      <sheetName val="[1.xls][1.xls]______P_H_S_e_299"/>
      <sheetName val="[1.xls][1.xls]______P_H_S_e_300"/>
      <sheetName val="[1.xls][1.xls]______P_H_S_e_302"/>
      <sheetName val="[1.xls][1.xls]______P_H_S_e_301"/>
      <sheetName val="[1.xls][1.xls]______P_H_S_e_303"/>
      <sheetName val="[1.xls][1.xls]______P_H_S_e_305"/>
      <sheetName val="[1.xls][1.xls]______P_H_S_e_316"/>
      <sheetName val="[1.xls][1.xls]______P_H_S_e_317"/>
      <sheetName val="[1.xls][1.xls]______P_H_S_e_307"/>
      <sheetName val="[1.xls][1.xls]______P_H_S_e_309"/>
      <sheetName val="[1.xls][1.xls]______P_H_S_e_308"/>
      <sheetName val="[1.xls][1.xls]______P_H_S_e_312"/>
      <sheetName val="[1.xls][1.xls]______P_H_S_e_313"/>
      <sheetName val="[1.xls][1.xls]______P_H_S_e_310"/>
      <sheetName val="[1.xls][1.xls]______P_H_S_e_311"/>
      <sheetName val="[1.xls][1.xls]______P_H_S_e_314"/>
      <sheetName val="[1.xls][1.xls]______P_H_S_e_315"/>
      <sheetName val="[1.xls][1.xls]______P_H_S_e_319"/>
      <sheetName val="[1.xls][1.xls]______P_H_S_e_318"/>
      <sheetName val="[1.xls][1.xls]______P_H_S_e_321"/>
      <sheetName val="[1.xls][1.xls]______P_H_S_e_320"/>
      <sheetName val="[1.xls][1.xls]______P_H_S_e_322"/>
      <sheetName val="[1.xls][1.xls]______P_H_S_e_324"/>
      <sheetName val="[1.xls][1.xls]______P_H_S_e_325"/>
      <sheetName val="[1.xls][1.xls]______P_H_S_e_328"/>
      <sheetName val="[1.xls][1.xls]______P_H_S_e_329"/>
      <sheetName val="[1.xls][1.xls]______P_H_S_e_326"/>
      <sheetName val="[1.xls][1.xls]______P_H_S_e_327"/>
      <sheetName val="[1.xls][1.xls]______P_H_S_e_334"/>
      <sheetName val="[1.xls][1.xls]______P_H_S_e_332"/>
      <sheetName val="[1.xls][1.xls]______P_H_S_e_335"/>
      <sheetName val="[1.xls][1.xls]______P_H_S_e_336"/>
      <sheetName val="[1.xls][1.xls]______P_H_S_e_337"/>
      <sheetName val="[1.xls][1.xls]______P_H_S_e_338"/>
      <sheetName val="[1.xls][1.xls]______P_H_S_e_339"/>
      <sheetName val="[1.xls][1.xls]______P_H_S_e_341"/>
      <sheetName val="[1.xls][1.xls]______P_H_S_e_343"/>
      <sheetName val="[1.xls][1.xls]______P_H_S_e_349"/>
      <sheetName val="[1.xls][1.xls]______P_H_S_e_350"/>
      <sheetName val="[1.xls][1.xls]______P_H_S_e_344"/>
      <sheetName val="[1.xls][1.xls]______P_H_S_e_345"/>
      <sheetName val="[1.xls][1.xls]______P_H_S_e_346"/>
      <sheetName val="[1.xls][1.xls]______P_H_S_e_347"/>
      <sheetName val="[1.xls][1.xls]______P_H_S_e_348"/>
      <sheetName val="[1.xls][1.xls]______P_H_S_e_353"/>
      <sheetName val="[1.xls][1.xls]______P_H_S_e_354"/>
      <sheetName val="[1.xls][1.xls]______P_H_S_e_351"/>
      <sheetName val="[1.xls][1.xls]______P_H_S_e_352"/>
      <sheetName val="[1.xls][1.xls]______P_H_S_e_355"/>
      <sheetName val="[1.xls][1.xls]______P_H_S_e_360"/>
      <sheetName val="[1.xls][1.XLS]______P_H_S_e_356"/>
      <sheetName val="[1.xls][1.xls]______P_H_S_e_358"/>
      <sheetName val="[1.xls][1.xls]______P_H_S_e_357"/>
      <sheetName val="[1.xls][1.xls]______P_H_S_e_359"/>
      <sheetName val="[1.xls][1.xls]______P_H_S_e_361"/>
      <sheetName val="[1.xls][1.xls]______P_H_S_e_362"/>
      <sheetName val="[1.xls][1.xls]______P_H_S_e_363"/>
      <sheetName val="[1.xls][1.xls]______P_H_S_e_364"/>
      <sheetName val="[1.xls][1.xls]______P_H_S_e_366"/>
      <sheetName val="[1.xls][1.xls]______P_H_S_e_365"/>
      <sheetName val="[1.xls][1.xls]______P_H_S_e_367"/>
      <sheetName val="[1.xls][1.xls]______P_H_S_e_368"/>
      <sheetName val="[1.xls][1.xls]______P_H_S_e_369"/>
      <sheetName val="[1.xls][1.xls]______P_H_S_e_370"/>
      <sheetName val="[1.xls][1.xls]______P_H_S_e_371"/>
      <sheetName val="[1.xls][1.xls]______P_H_S_e_376"/>
      <sheetName val="[1.xls][1.xls]______P_H_S_e_377"/>
      <sheetName val="[1.xls][1.xls]______P_H_S_e_372"/>
      <sheetName val="[1.xls][1.xls]______P_H_S_e_373"/>
      <sheetName val="[1.xls][1.xls]______P_H_S_e_375"/>
      <sheetName val="[1.xls][1.xls]______P_H_S_e_374"/>
      <sheetName val="[1.xls][1.xls]______P_H_S_e_414"/>
      <sheetName val="[1.xls][1.xls]______P_H_S_e_411"/>
      <sheetName val="[1.xls][1.XLS]______P_H_S_e_410"/>
      <sheetName val="[1.xls][1.xls]______P_H_S_e_408"/>
      <sheetName val="[1.xls][1.xls]______P_H_S_e_409"/>
      <sheetName val="[1.xls][1.xls]______P_H_S_e_379"/>
      <sheetName val="[1.xls][1.xls]______P_H_S_e_378"/>
      <sheetName val="[1.xls][1.xls]______P_H_S_e_380"/>
      <sheetName val="[1.xls][1.xls]______P_H_S_e_381"/>
      <sheetName val="[1.xls][1.xls]______P_H_S_e_382"/>
      <sheetName val="[1.xls][1.xls]______P_H_S_e_383"/>
      <sheetName val="[1.xls][1.xls]______P_H_S_e_385"/>
      <sheetName val="[1.xls][1.xls]______P_H_S_e_384"/>
      <sheetName val="[1.xls][1.xls]______P_H_S_e_386"/>
      <sheetName val="[1.xls][1.xls]______P_H_S_e_387"/>
      <sheetName val="[1.xls][1.xls]______P_H_S_e_390"/>
      <sheetName val="[1.xls][1.xls]______P_H_S_e_388"/>
      <sheetName val="[1.xls][1.xls]______P_H_S_e_389"/>
      <sheetName val="[1.xls][1.xls]______P_H_S_e_394"/>
      <sheetName val="[1.xls][1.xls]______P_H_S_e_395"/>
      <sheetName val="[1.xls][1.xls]______P_H_S_e_391"/>
      <sheetName val="[1.xls][1.xls]______P_H_S_e_392"/>
      <sheetName val="[1.xls][1.xls]______P_H_S_e_393"/>
      <sheetName val="[1.xls][1.xls]______P_H_S_e_403"/>
      <sheetName val="[1.xls][1.xls]______P_H_S_e_396"/>
      <sheetName val="[1.xls][1.xls]______P_H_S_e_397"/>
      <sheetName val="[1.xls][1.xls]______P_H_S_e_398"/>
      <sheetName val="[1.xls][1.xls]______P_H_S_e_402"/>
      <sheetName val="[1.xls][1.xls]______P_H_S_e_399"/>
      <sheetName val="[1.xls][1.xls]______P_H_S_e_400"/>
      <sheetName val="[1.xls][1.xls]______P_H_S_e_401"/>
      <sheetName val="중연"/>
      <sheetName val="손익총괄"/>
      <sheetName val="조정명세"/>
      <sheetName val="광주"/>
      <sheetName val="당해년도분석"/>
      <sheetName val="총매출액증감"/>
      <sheetName val="PU경상이익증감"/>
      <sheetName val="전략적목표REVIEW"/>
      <sheetName val="´ë±¸"/>
      <sheetName val="¾ð¾ç"/>
      <sheetName val="¿ë¿¬"/>
      <sheetName val="¿ï»ê"/>
      <sheetName val="Áß¿¬"/>
      <sheetName val="ÁøÃµ"/>
      <sheetName val="¼ÕÀÍÃÑ°ý"/>
      <sheetName val="Á¶Á¤¸í¼¼"/>
      <sheetName val="±¸¹Ì"/>
      <sheetName val="±¤ÁÖ"/>
      <sheetName val="Ç¥Áö"/>
      <sheetName val="´çÇØ³âµµºÐ¼®"/>
      <sheetName val="¼ÕÀÍºÐ¼®"/>
      <sheetName val="ÃÑ¸ÅÃâ¾×Áõ°¨"/>
      <sheetName val="PU°æ»óÀÌÀÍÁõ°¨"/>
      <sheetName val="Àü·«Àû¸ñÇ¥REVIEW"/>
      <sheetName val="¹°°¡ÀÚ·áºñ±³"/>
      <sheetName val="3»ç´Ü°¡ºñ±³"/>
      <sheetName val="´ëµ¿"/>
      <sheetName val="¼º¸²"/>
      <sheetName val="±Ý°­"/>
      <sheetName val="기초코드"/>
      <sheetName val="수로단위수량"/>
      <sheetName val="[1.xls][1.XLS]___희석_P_H_S_exc_4"/>
      <sheetName val="[1.xls][1.XLS]____석_P_H_S_exc_3"/>
      <sheetName val="12.재이용"/>
      <sheetName val="적산자료"/>
      <sheetName val="_x005f_x000f__x005f_x0000_"/>
      <sheetName val="구조물공총"/>
      <sheetName val="돌붙임계"/>
      <sheetName val="돌붙임단위"/>
      <sheetName val="옹벽조서"/>
      <sheetName val="반중력식옹벽수량"/>
      <sheetName val="신축이음"/>
      <sheetName val="18˗"/>
      <sheetName val=" 표준양식 - 파일산출서.xlsx"/>
      <sheetName val="A갑지"/>
      <sheetName val="자재_계약일(2013_09_16)"/>
      <sheetName val="공통_계약일(2013_09_16)"/>
      <sheetName val="에너지성능지표セ迢颚"/>
      <sheetName val="전통건설"/>
      <sheetName val="에너지성능지표က뎔迲_x0000_㸀蠿"/>
      <sheetName val="[1.xls][1.xls]__박_석_P_H_S_exc_8"/>
      <sheetName val="[1.xls][1.xls]__박_석_P_H_S_ex_10"/>
      <sheetName val="[1.xls][1.XLS]__박_석_P_H_S_exc_9"/>
      <sheetName val="[1.xls][1.xls]__박_석_P_H_S_ex_11"/>
      <sheetName val="[1.xls][1.xls]__박_석_P_H_S_ex_13"/>
      <sheetName val="[1.xls][1.XLS]__박_석_P_H_S_ex_12"/>
      <sheetName val="[1.xls][1.xls]__박_석_P_H_S_ex_14"/>
      <sheetName val="[1.xls][1.xls]__박_석_P_H_S_ex_15"/>
      <sheetName val="[1.xls][1.xls]__박_석_P_H_S_ex_17"/>
      <sheetName val="[1.xls][1.XLS]__박_석_P_H_S_ex_16"/>
      <sheetName val="마산월령동골조물량변경"/>
      <sheetName val="관급자재"/>
      <sheetName val="공주-교대(A1)"/>
      <sheetName val="국내조달(통합-1)"/>
      <sheetName val="업체코드"/>
      <sheetName val="각 파트합본(제외업체삭제)"/>
      <sheetName val="__MIGA_______TOWER_P_KBLEE____3"/>
      <sheetName val="단가조사표"/>
      <sheetName val="일위대가목록표"/>
      <sheetName val="예산내역서"/>
      <sheetName val="[1.xls][1.XLS]______P_H_S_e_404"/>
      <sheetName val="[1.xls][1.xls]______P_H_S_e_405"/>
      <sheetName val="[1.xls][1.xls]______P_H_S_e_406"/>
      <sheetName val="[1.xls][1.xls]______P_H_S_e_407"/>
      <sheetName val="[1.xls][1.xls]______P_H_S_e_412"/>
      <sheetName val="[1.xls][1.xls]______P_H_S_e_413"/>
      <sheetName val="[1.xls][1.xls]______P_H_S_e_415"/>
      <sheetName val="[1.xls][1.xls]______P_H_S_e_429"/>
      <sheetName val="[1.xls][1.xls]______P_H_S_e_416"/>
      <sheetName val="[1.xls][1.xls]______P_H_S_e_417"/>
      <sheetName val="[1.xls][1.xls]______P_H_S_e_418"/>
      <sheetName val="[1.xls][1.xls]______P_H_S_e_427"/>
      <sheetName val="[1.xls][1.xls]______P_H_S_e_426"/>
      <sheetName val="[1.xls][1.xls]______P_H_S_e_419"/>
      <sheetName val="[1.xls][1.xls]______P_H_S_e_420"/>
      <sheetName val="[1.xls][1.xls]______P_H_S_e_421"/>
      <sheetName val="[1.xls][1.xls]______P_H_S_e_422"/>
      <sheetName val="[1.xls][1.xls]______P_H_S_e_423"/>
      <sheetName val="[1.xls][1.xls]______P_H_S_e_424"/>
      <sheetName val="[1.xls][1.xls]______P_H_S_e_425"/>
      <sheetName val="[1.xls][1.xls]______P_H_S_e_428"/>
      <sheetName val="[1.xls][1.xls]______P_H_S_e_430"/>
      <sheetName val="[1.xls][1.xls]______P_H_S_e_431"/>
      <sheetName val="[1.xls][1.xls]______P_H_S_e_433"/>
      <sheetName val="[1.xls][1.XLS]______P_H_S_e_432"/>
      <sheetName val="[1.xls][1.xls]______P_H_S_e_541"/>
      <sheetName val="[1.xls][1.xls]______P_H_S_e_523"/>
      <sheetName val="[1.xls][1.XLS]______P_H_S_e_522"/>
      <sheetName val="96월별PL"/>
      <sheetName val="본부요청사항(개보수)"/>
      <sheetName val="2001년12월말"/>
      <sheetName val="수리결_x0000_"/>
      <sheetName val="[1.xls][1.xls]__박희석_P_H_S_exc_5"/>
      <sheetName val="[1.xls][1.xls]__박희석_P_H_S_exc_6"/>
      <sheetName val="[1.xls][1.xls]____석_P_H_S_exc_4"/>
      <sheetName val="Finansal tamamlanma Eğrisi"/>
      <sheetName val="FA_SUMMARY"/>
      <sheetName val="[1.xls][1.XLS]____석_P_H_S_exc_5"/>
      <sheetName val="P. control"/>
      <sheetName val="에너지성능지표瀀⾐捰"/>
      <sheetName val="[1.xls][1.xls]______P_H_S_e_463"/>
      <sheetName val="[1.xls][1.xls]______P_H_S_e_494"/>
      <sheetName val="단가산출서(기계)"/>
      <sheetName val="손익구조"/>
      <sheetName val="재무자료"/>
      <sheetName val="3_7교축하중"/>
      <sheetName val="[1_xls][1_xls]______C______99_4"/>
      <sheetName val="[1_xls][1_xls]______C______99_3"/>
      <sheetName val="[1_xls][1_xls]______C______99_2"/>
      <sheetName val="[1_xls][1_xls]______C______99_7"/>
      <sheetName val="[1_xls][1_xls]______C______99_6"/>
      <sheetName val="[1_xls][1_xls]______C______99_5"/>
      <sheetName val="2-1__경관조명_내역총괄표"/>
      <sheetName val="돌담교_상부수량"/>
      <sheetName val="_냉각수펌프"/>
      <sheetName val="MAIN_GATE_HOUSE"/>
      <sheetName val="CRUDE_RE-bar"/>
      <sheetName val="[1.xls][1.xls]__박희석_P_H_S_exc_7"/>
      <sheetName val="[1.xls][1.XLS]__박희석_P_H_S_exc_8"/>
      <sheetName val="[1.xls][1.XLS]__박희석_P_H_S_exc_9"/>
      <sheetName val="Finansal_tamamlanma_Eğrisi2"/>
      <sheetName val="Finansal_tamamlanma_Eğrisi"/>
      <sheetName val="Finansal_tamamlanma_Eğrisi1"/>
      <sheetName val="Finansal_tamamlanma_Eğrisi3"/>
      <sheetName val="15_문제점3"/>
      <sheetName val="Finansal_tamamlanma_Eğrisi4"/>
      <sheetName val="15_문제점4"/>
      <sheetName val="[1.xls][1.XLS]__박희__P_H_S_exc_7"/>
      <sheetName val="Quantity"/>
      <sheetName val="____"/>
      <sheetName val="소비자가"/>
      <sheetName val="평3"/>
      <sheetName val="E.S적용금액 - 9차"/>
      <sheetName val="찍기"/>
      <sheetName val="주식"/>
      <sheetName val="변경후"/>
      <sheetName val="DETAIL SHEET"/>
      <sheetName val="_REF"/>
      <sheetName val="협조전"/>
      <sheetName val="면적표"/>
      <sheetName val="[1.xls][1.xls]______P_H_S_e_434"/>
      <sheetName val="[1.xls][1.xls]______P_H_S_e_442"/>
      <sheetName val="[1.xls][1.xls]______P_H_S_e_443"/>
      <sheetName val="[1.xls][1.xls]______P_H_S_e_435"/>
      <sheetName val="[1.xls][1.xls]______P_H_S_e_436"/>
      <sheetName val="[1.xls][1.xls]______P_H_S_e_437"/>
      <sheetName val="[1.xls][1.xls]______P_H_S_e_438"/>
      <sheetName val="[1.xls][1.xls]______P_H_S_e_439"/>
      <sheetName val="[1.xls][1.xls]______P_H_S_e_440"/>
      <sheetName val="[1.xls][1.xls]______P_H_S_e_441"/>
      <sheetName val="[1.xls][1.xls]______P_H_S_e_444"/>
      <sheetName val="[1.xls][1.xls]______P_H_S_e_449"/>
      <sheetName val="[1.xls][1.xls]______P_H_S_e_453"/>
      <sheetName val="[1.xls][1.xls]______P_H_S_e_445"/>
      <sheetName val="[1.xls][1.xls]______P_H_S_e_446"/>
      <sheetName val="[1.xls][1.xls]______P_H_S_e_447"/>
      <sheetName val="[1.xls][1.xls]______P_H_S_e_448"/>
      <sheetName val="[1.xls][1.xls]______P_H_S_e_450"/>
      <sheetName val="[1.xls][1.xls]______P_H_S_e_457"/>
      <sheetName val="[1.xls][1.xls]______P_H_S_e_451"/>
      <sheetName val="[1.xls][1.xls]______P_H_S_e_452"/>
      <sheetName val="[1.xls][1.xls]______P_H_S_e_454"/>
      <sheetName val="[1.xls][1.xls]______P_H_S_e_455"/>
      <sheetName val="[1.xls][1.xls]______P_H_S_e_456"/>
      <sheetName val="[1.xls][1.xls]______P_H_S_e_459"/>
      <sheetName val="[1.xls][1.xls]______P_H_S_e_458"/>
      <sheetName val="[1.xls][1.xls]______P_H_S_e_460"/>
      <sheetName val="[1.xls][1.xls]______P_H_S_e_461"/>
      <sheetName val="[1.xls][1.xls]______P_H_S_e_462"/>
      <sheetName val="[1.xls][1.xls]______P_H_S_e_481"/>
      <sheetName val="[1.xls][1.xls]______P_H_S_e_482"/>
      <sheetName val="[1.xls][1.xls]______P_H_S_e_473"/>
      <sheetName val="[1.xls][1.xls]______P_H_S_e_474"/>
      <sheetName val="[1.xls][1.xls]______P_H_S_e_464"/>
      <sheetName val="[1.xls][1.xls]______P_H_S_e_465"/>
      <sheetName val="[1.xls][1.xls]______P_H_S_e_468"/>
      <sheetName val="[1.xls][1.xls]______P_H_S_e_470"/>
      <sheetName val="[1.xls][1.xls]______P_H_S_e_466"/>
      <sheetName val="[1.xls][1.xls]______P_H_S_e_467"/>
      <sheetName val="[1.xls][1.xls]______P_H_S_e_472"/>
      <sheetName val="[1.xls][1.xls]______P_H_S_e_469"/>
      <sheetName val="[1.xls][1.xls]______P_H_S_e_471"/>
      <sheetName val="[1.xls][1.xls]______P_H_S_e_476"/>
      <sheetName val="[1.xls][1.xls]______P_H_S_e_478"/>
      <sheetName val="[1.xls][1.xls]______P_H_S_e_475"/>
      <sheetName val="[1.xls][1.xls]______P_H_S_e_477"/>
      <sheetName val="[1.xls][1.xls]______P_H_S_e_479"/>
      <sheetName val="[1.xls][1.xls]______P_H_S_e_480"/>
      <sheetName val="[1.xls][1.xls]______P_H_S_e_486"/>
      <sheetName val="[1.xls][1.xls]______P_H_S_e_483"/>
      <sheetName val="[1.xls][1.xls]______P_H_S_e_487"/>
      <sheetName val="[1.xls][1.xls]______P_H_S_e_484"/>
      <sheetName val="[1.xls][1.xls]______P_H_S_e_485"/>
      <sheetName val="[1.xls][1.xls]______P_H_S_e_490"/>
      <sheetName val="[1.xls][1.xls]______P_H_S_e_488"/>
      <sheetName val="[1.xls][1.xls]______P_H_S_e_489"/>
      <sheetName val="[1.xls][1.xls]______P_H_S_e_495"/>
      <sheetName val="[1.xls][1.xls]______P_H_S_e_491"/>
      <sheetName val="[1.xls][1.xls]______P_H_S_e_492"/>
      <sheetName val="[1.xls][1.xls]______P_H_S_e_493"/>
      <sheetName val="[1.xls][1.xls]______P_H_S_e_505"/>
      <sheetName val="[1.xls][1.xls]______P_H_S_e_506"/>
      <sheetName val="[1.xls][1.xls]______P_H_S_e_504"/>
      <sheetName val="[1.xls][1.xls]______P_H_S_e_500"/>
      <sheetName val="[1.xls][1.xls]______P_H_S_e_501"/>
      <sheetName val="[1.xls][1.xls]______P_H_S_e_496"/>
      <sheetName val="[1.xls][1.xls]______P_H_S_e_497"/>
      <sheetName val="[1.xls][1.xls]______P_H_S_e_498"/>
      <sheetName val="[1.xls][1.xls]______P_H_S_e_499"/>
      <sheetName val="[1.xls][1.xls]______P_H_S_e_502"/>
      <sheetName val="[1.xls][1.xls]______P_H_S_e_503"/>
      <sheetName val="[1.xls][1.xls]______P_H_S_e_507"/>
      <sheetName val="[1.xls][1.xls]______P_H_S_e_508"/>
      <sheetName val="[1.xls][1.xls]______P_H_S_e_509"/>
      <sheetName val="[1.xls][1.xls]______P_H_S_e_510"/>
      <sheetName val="[1.xls][1.xls]______P_H_S_e_511"/>
      <sheetName val="[1.xls][1.xls]______P_H_S_e_518"/>
      <sheetName val="[1.xls][1.xls]______P_H_S_e_516"/>
      <sheetName val="[1.xls][1.xls]______P_H_S_e_512"/>
      <sheetName val="[1.xls][1.xls]______P_H_S_e_513"/>
      <sheetName val="[1.xls][1.xls]______P_H_S_e_514"/>
      <sheetName val="[1.xls][1.xls]______P_H_S_e_515"/>
      <sheetName val="[1.xls][1.xls]______P_H_S_e_519"/>
      <sheetName val="[1.xls][1.xls]______P_H_S_e_517"/>
      <sheetName val="[1.xls][1.xls]______P_H_S_e_521"/>
      <sheetName val="[1.xls][1.xls]______P_H_S_e_520"/>
      <sheetName val="[1.xls][1.xls]______P_H_S_e_530"/>
      <sheetName val="[1.xls][1.XLS]______P_H_S_e_528"/>
      <sheetName val="[1.xls][1.XLS]______P_H_S_e_527"/>
      <sheetName val="[1.xls][1.xls]______P_H_S_e_524"/>
      <sheetName val="[1.xls][1.xls]______P_H_S_e_525"/>
      <sheetName val="[1.xls][1.xls]______P_H_S_e_526"/>
      <sheetName val="[1.xls][1.xls]______P_H_S_e_529"/>
      <sheetName val="[1.xls][1.xls]______P_H_S_e_531"/>
      <sheetName val="[1.xls][1.xls]______P_H_S_e_532"/>
      <sheetName val="[1.xls][1.xls]______P_H_S_e_535"/>
      <sheetName val="[1.xls][1.xls]______P_H_S_e_536"/>
      <sheetName val="[1.xls][1.xls]______P_H_S_e_533"/>
      <sheetName val="[1.xls][1.xls]______P_H_S_e_534"/>
      <sheetName val="[1.xls][1.xls]______P_H_S_e_537"/>
      <sheetName val="[1.xls][1.xls]______P_H_S_e_538"/>
      <sheetName val="[1.xls][1.xls]______P_H_S_e_539"/>
      <sheetName val="[1.xls][1.xls]______P_H_S_e_540"/>
      <sheetName val="[1.xls][1.xls]______P_H_S_e_542"/>
      <sheetName val="[1.xls][1.xls]______P_H_S_e_546"/>
      <sheetName val="[1.xls][1.xls]______P_H_S_e_543"/>
      <sheetName val="[1.xls][1.xls]______P_H_S_e_544"/>
      <sheetName val="[1.xls][1.xls]______P_H_S_e_545"/>
      <sheetName val="[1.xls][1.xls]______P_H_S_e_547"/>
      <sheetName val="[1.xls][1.xls]______P_H_S_e_549"/>
      <sheetName val="[1.xls][1.xls]______P_H_S_e_548"/>
      <sheetName val="[1.xls][1.xls]______P_H_S_e_550"/>
      <sheetName val="[1.xls][1.xls]______P_H_S_e_551"/>
      <sheetName val="[1.xls][1.xls]______P_H_S_e_553"/>
      <sheetName val="[1.xls][1.xls]______P_H_S_e_552"/>
      <sheetName val="[1.xls][1.xls]______P_H_S_e_555"/>
      <sheetName val="[1.xls][1.XLS]______P_H_S_e_554"/>
      <sheetName val="[1.xls][1.xls]______P_H_S_e_557"/>
      <sheetName val="[1.xls][1.xls]______P_H_S_e_556"/>
      <sheetName val="[1.xls][1.xls]______P_H_S_e_558"/>
      <sheetName val="[1.xls][1.xls]______P_H_S_e_560"/>
      <sheetName val="[1.xls][1.xls]______P_H_S_e_561"/>
      <sheetName val="[1.xls][1.xls]______P_H_S_e_559"/>
      <sheetName val="[1.xls][1.xls]______P_H_S_e_562"/>
      <sheetName val="[1.xls][1.xls]______P_H_S_e_563"/>
      <sheetName val="[1.xls][1.xls]______P_H_S_e_564"/>
      <sheetName val="[1.xls][1.xls]______P_H_S_e_565"/>
      <sheetName val="[1.xls][1.xls]______P_H_S_e_566"/>
      <sheetName val="[1.xls][1.xls]______P_H_S_e_567"/>
      <sheetName val="[1.xls][1.xls]______P_H_S_e_571"/>
      <sheetName val="[1.xls][1.xls]______P_H_S_e_568"/>
      <sheetName val="[1.xls][1.xls]______P_H_S_e_569"/>
      <sheetName val="[1.xls][1.xls]______P_H_S_e_570"/>
      <sheetName val="[1.xls][1.xls]______P_H_S_e_575"/>
      <sheetName val="실행갑지"/>
      <sheetName val="3. KC - PODIUM"/>
      <sheetName val="1.개요입력"/>
      <sheetName val="[1.xls][1.xls]______P_H_S_e_572"/>
      <sheetName val="[1.xls][1.xls]______P_H_S_e_573"/>
      <sheetName val="[1.xls][1.xls]______P_H_S_e_574"/>
      <sheetName val="[1.xls][1.xls]______P_H_S_e_577"/>
      <sheetName val="[1.xls][1.xls]______P_H_S_e_576"/>
      <sheetName val="[1.xls][1.xls]______P_H_S_e_578"/>
      <sheetName val="[1.xls][1.xls]______P_H_S_e_593"/>
      <sheetName val="[1.xls][1.xls]______P_H_S_e_594"/>
      <sheetName val="[1.xls][1.xls]______P_H_S_e_579"/>
      <sheetName val="[1.xls][1.xls]______P_H_S_e_582"/>
      <sheetName val="[1.xls][1.xls]______P_H_S_e_580"/>
      <sheetName val="[1.xls][1.xls]______P_H_S_e_581"/>
      <sheetName val="[1.xls][1.xls]______P_H_S_e_584"/>
      <sheetName val="[1.xls][1.xls]______P_H_S_e_585"/>
      <sheetName val="[1.xls][1.xls]______P_H_S_e_583"/>
      <sheetName val="[1.xls][1.xls]______P_H_S_e_588"/>
      <sheetName val="[1.xls][1.xls]______P_H_S_e_586"/>
      <sheetName val="[1.xls][1.xls]______P_H_S_e_587"/>
      <sheetName val="[1.xls][1.xls]______P_H_S_e_589"/>
      <sheetName val="[1.xls][1.xls]______P_H_S_e_590"/>
      <sheetName val="단말장비내역"/>
      <sheetName val="(TCU)장비내역"/>
      <sheetName val="통신회선내역"/>
      <sheetName val="CJS4A7615D02002"/>
      <sheetName val="IPS4D2615D00301"/>
      <sheetName val="㰀_x0009_Ā _x0000__x0000__x0000__x0000__x0000__x0000__x0000__x0000_ĀĀ_x0000__x0000_"/>
      <sheetName val="대외공문"/>
      <sheetName val="㰀_x0009_Ā "/>
      <sheetName val="99수불"/>
      <sheetName val="so-021"/>
      <sheetName val="RD제품개발투자비(매가)"/>
      <sheetName val="검토2"/>
      <sheetName val="[1.xls][1.xls]______P_H_S_e_592"/>
      <sheetName val="[1.xls][1.xls]______P_H_S_e_591"/>
      <sheetName val="[1.xls][1.xls]______P_H_S_e_595"/>
      <sheetName val="[1.xls][1.xls]______P_H_S_e_597"/>
      <sheetName val="[1.xls][1.xls]______P_H_S_e_596"/>
      <sheetName val="[1.xls][1.xls]______P_H_S_e_599"/>
      <sheetName val="[1.xls][1.xls]______P_H_S_e_598"/>
      <sheetName val="[1.xls][1.xls]______P_H_S_e_600"/>
      <sheetName val="[1.xls][1.xls]______P_H_S_e_606"/>
      <sheetName val="[1.xls][1.xls]______P_H_S_e_607"/>
      <sheetName val="[1.xls][1.xls]______P_H_S_e_601"/>
      <sheetName val="[1.xls][1.xls]______P_H_S_e_602"/>
      <sheetName val="견적내역-2 (프로세스)"/>
      <sheetName val="견적내역-1 (유틸리티)"/>
      <sheetName val="[1.xls][1.XLS]__박희석_P_H_S_ex_10"/>
      <sheetName val="[1.xls][1.xls]__박희석_P_H_S_ex_11"/>
      <sheetName val="물가시세표"/>
      <sheetName val="절취및터파기"/>
      <sheetName val="[1.xls][1.XLS]___________exc_39"/>
      <sheetName val="[1.xls][1.XLS]___________exc_40"/>
      <sheetName val="공사비지불 (2)"/>
      <sheetName val="입찰보고"/>
      <sheetName val="공통가설(기준안)"/>
      <sheetName val="4-0.툫자_x005f_x0000__x005f_x0000_문)"/>
      <sheetName val="_x005f_x0000_"/>
      <sheetName val="_x005f_x0000__x005f_x0008__x005f_x0000_ꪀᗈ_x005f_x0000_"/>
      <sheetName val="구리토평_x005f_x0000__x005f_x0000_Ԁ"/>
      <sheetName val="________x005f_x0000__x005f_x0000___x005f_x0002__2"/>
      <sheetName val="급殘⿗_x005f_x0000_"/>
      <sheetName val="영업소_x005f_x0000_"/>
      <sheetName val="1.공통가설_x005f_x0000__x005f_x0000_"/>
      <sheetName val="간접비 _x005f_x0000__x005f_x0000__x005f_x0005_"/>
      <sheetName val="문학간접"/>
      <sheetName val="내장공사"/>
      <sheetName val="업무처리전"/>
      <sheetName val="PHU LUC 01"/>
      <sheetName val="Đầu vào"/>
      <sheetName val="주민복지관"/>
      <sheetName val="산출금액내역"/>
      <sheetName val="토공사및_흙막이공사9"/>
      <sheetName val="써100_(A4)9"/>
      <sheetName val="남양시작동자105노65기1_3화1_29"/>
      <sheetName val="97_사업추정(WEKI)9"/>
      <sheetName val="표지_(2)9"/>
      <sheetName val="unit_49"/>
      <sheetName val="F_C_U_ZONE집계9"/>
      <sheetName val="A_H_U_ZONE별집계9"/>
      <sheetName val="PAC_집계9"/>
      <sheetName val="1_가스소비량9"/>
      <sheetName val="1-3_가스관경계산-19"/>
      <sheetName val="1-4_가스관경계산-29"/>
      <sheetName val="1-5_가스관경계산-39"/>
      <sheetName val="1-6_가스관경계산-4_9"/>
      <sheetName val="1-7_가스관경계산-59"/>
      <sheetName val="1-7_가스차압산출9"/>
      <sheetName val="덕트_및_배기그릴선정9"/>
      <sheetName val="OCT_FDN9"/>
      <sheetName val="EXT_CHECK9"/>
      <sheetName val="P-127E1,E2_9"/>
      <sheetName val="P-123E1,E2_9"/>
      <sheetName val="P-128E_9"/>
      <sheetName val="1_견적서목록9"/>
      <sheetName val="부하계산서_(영문)9"/>
      <sheetName val="PEND-ITEM_(2)9"/>
      <sheetName val="견적표지_(횡)9"/>
      <sheetName val="부하집계표_(2안)9"/>
      <sheetName val="부하계산서_9"/>
      <sheetName val="UNIT_COOLER_선정표9"/>
      <sheetName val="ACCUMULALOR_(2안)9"/>
      <sheetName val="동력집계표_(2안)9"/>
      <sheetName val="cooling_tower_(2)9"/>
      <sheetName val="cooling_water_pump9"/>
      <sheetName val="DEFROEST_PUMP9"/>
      <sheetName val="기기선정표_(2안)9"/>
      <sheetName val="cooling_tower9"/>
      <sheetName val="부하집계표_(2)9"/>
      <sheetName val="토목내역서_(도급단가)9"/>
      <sheetName val="BEND_LOSS9"/>
      <sheetName val="（３）_9"/>
      <sheetName val="목차_(2)9"/>
      <sheetName val="1-1_손익(부문별)9"/>
      <sheetName val="1-2_손익(월별)9"/>
      <sheetName val="2-1_판관비(부문)9"/>
      <sheetName val="2-2_판관비(월별)9"/>
      <sheetName val="3-1_수익비용(부문별)9"/>
      <sheetName val="3-2_수익비용(월별)9"/>
      <sheetName val="4-1_투자(부문)9"/>
      <sheetName val="4-2_투자(월별)9"/>
      <sheetName val="5-1_인원(부문)9"/>
      <sheetName val="5-2_인원(월별)9"/>
      <sheetName val="6_산출근거9"/>
      <sheetName val="7_현금흐름9"/>
      <sheetName val="마케팅1_(2)9"/>
      <sheetName val="마케팅1_(3)9"/>
      <sheetName val="마케팅1_(4)9"/>
      <sheetName val="01_1담당매출계획27_8$9"/>
      <sheetName val="01매출계획_선용품9"/>
      <sheetName val="작업악성채권직원판매제외(거래선별)_9"/>
      <sheetName val="작업악성채권직원판매제외_(담당별종합)9"/>
      <sheetName val="작업악성채권직원판매제외_(담당별)9"/>
      <sheetName val="판촉비예산_9"/>
      <sheetName val="인테리어_시설9"/>
      <sheetName val="파_3층_특설_장치장식비9"/>
      <sheetName val="총괄_(03년11월)h&amp;s9"/>
      <sheetName val="총괄_(03년11월)여행9"/>
      <sheetName val="세부내용_(03년11월)여행9"/>
      <sheetName val="개인_세부내용_(03년11월)여행9"/>
      <sheetName val="동구일반상품_9"/>
      <sheetName val="TRE_TABLE9"/>
      <sheetName val="PE거푸집(1_2)9"/>
      <sheetName val="PUNCH_LIST9"/>
      <sheetName val="WELDING_JOINT_INSPECTION_STATU9"/>
      <sheetName val="WEIGHT_LIST9"/>
      <sheetName val="산#2-1_(2)9"/>
      <sheetName val="P_M_별9"/>
      <sheetName val="1차_내역서9"/>
      <sheetName val="3_건축(현장안)9"/>
      <sheetName val="A_LINE9"/>
      <sheetName val="2_2_10_샤시등9"/>
      <sheetName val="A3_공사비_검토9"/>
      <sheetName val="C3_토목_옹벽9"/>
      <sheetName val="A6_샤시등9"/>
      <sheetName val="7_수지9"/>
      <sheetName val="TOWER_12TON9"/>
      <sheetName val="JIB_CRANE,HOIST9"/>
      <sheetName val="TOWER_10TON9"/>
      <sheetName val="토공(우물통,기타)_9"/>
      <sheetName val="BSD__2_9"/>
      <sheetName val="내역서_(2)9"/>
      <sheetName val="배수입상_9"/>
      <sheetName val="1장_9"/>
      <sheetName val="1_개요_9"/>
      <sheetName val="2_조건_9"/>
      <sheetName val="3_공식붙임9"/>
      <sheetName val="4장_9"/>
      <sheetName val="1_AHU_9"/>
      <sheetName val="2_AHU-19"/>
      <sheetName val="2_FAN9"/>
      <sheetName val="1_급탕9"/>
      <sheetName val="6장_별첨9"/>
      <sheetName val="내역서_(3)9"/>
      <sheetName val="내역서_(4)9"/>
      <sheetName val="전선_및_전선관9"/>
      <sheetName val="추정공사비_산출결과9"/>
      <sheetName val="에너지성능지표검토서(기계,_전기,_신재생)9"/>
      <sheetName val="월별손익(용역)_9"/>
      <sheetName val="1-1_손익(온정각)9"/>
      <sheetName val="1-1_손익(관광식당)9"/>
      <sheetName val="1-1_손익(직원식당)9"/>
      <sheetName val="1-2_월별손익(온정각)9"/>
      <sheetName val="1-2_월별손익(관광식당)9"/>
      <sheetName val="1-2_월별손익(직원식당)9"/>
      <sheetName val="2-1_판관비(지원)9"/>
      <sheetName val="2-1_판관비(관광)9"/>
      <sheetName val="2-1_판관비(직원)_9"/>
      <sheetName val="2-1_판관비(온정각)9"/>
      <sheetName val="2000년_공정표8"/>
      <sheetName val="2-2_월별판관비(온정각)9"/>
      <sheetName val="구조______8"/>
      <sheetName val="IMP_(REACTOR)8"/>
      <sheetName val="아파트_9"/>
      <sheetName val="1_수인터널8"/>
      <sheetName val="갑지_(2)8"/>
      <sheetName val="비목별_투자_집계8"/>
      <sheetName val="자재비내역_8"/>
      <sheetName val="운반비_내역8"/>
      <sheetName val="사무_용품비8"/>
      <sheetName val="지대_및_집세8"/>
      <sheetName val="갑지_2_(2)8"/>
      <sheetName val="갑지_28"/>
      <sheetName val="2-2_월별판관비(지원)9"/>
      <sheetName val="2-2_월별판관비(직원)9"/>
      <sheetName val="2-2_월별판관비(휴게소)9"/>
      <sheetName val="2-2_월별판관비(스넥코너)9"/>
      <sheetName val="2-2_월별판관비(음료코너)9"/>
      <sheetName val="2-2_월별판관비(온천장)9"/>
      <sheetName val="5-1_인원(온정각)9"/>
      <sheetName val="99년누계_(월별)9"/>
      <sheetName val="플랜트_설치8"/>
      <sheetName val="콤보박스와_리스트박스의_연결8"/>
      <sheetName val="0_갑지8"/>
      <sheetName val="1_공통가설공사8"/>
      <sheetName val="2_토목공사8"/>
      <sheetName val="3_건축공사8"/>
      <sheetName val="4_설비공사8"/>
      <sheetName val="5_전기공사8"/>
      <sheetName val="7_안전관리비8"/>
      <sheetName val="8_현장관리비8"/>
      <sheetName val="인원투입_계획표8"/>
      <sheetName val="공사계약현황_(기계설비))8"/>
      <sheetName val="공사계약현황_(전기)8"/>
      <sheetName val="2000_058"/>
      <sheetName val="1_설계조건8"/>
      <sheetName val="공사예산하조서(O_K)8"/>
      <sheetName val="C_배수관공8"/>
      <sheetName val="수목데이타_8"/>
      <sheetName val="고효율_유도전동기_적용비율_계산서9"/>
      <sheetName val="정산서_8"/>
      <sheetName val="역T형옹벽(3_0)8"/>
      <sheetName val="1_설계기준8"/>
      <sheetName val="5_공종별예산내역서8"/>
      <sheetName val="건축실행__(5)8"/>
      <sheetName val="참고용_(2)8"/>
      <sheetName val="COMPARISON_TABLE8"/>
      <sheetName val="Eq__Mobilization8"/>
      <sheetName val="간접비_총괄표8"/>
      <sheetName val="1_CB8"/>
      <sheetName val="1_CB_(2)8"/>
      <sheetName val="1_CB_(3)8"/>
      <sheetName val="2_냉난방설비공사8"/>
      <sheetName val="7_자동제어공사8"/>
      <sheetName val="1_취수장8"/>
      <sheetName val="3_고급화검토8"/>
      <sheetName val="2_공사비_검토8"/>
      <sheetName val="6PILE__(돌출)8"/>
      <sheetName val="C급보_8"/>
      <sheetName val="wage_Cal8"/>
      <sheetName val="단가_3"/>
      <sheetName val="수량산출서_갑지3"/>
      <sheetName val="일단의_주택지3"/>
      <sheetName val="실행내역_3"/>
      <sheetName val="설_계3"/>
      <sheetName val="입출재고현황_(2)3"/>
      <sheetName val="4-3_보온_기본물량집계3"/>
      <sheetName val="하도내역_(철콘)3"/>
      <sheetName val="Mech_CIF8"/>
      <sheetName val="비교손익계산서_3"/>
      <sheetName val="2003_123"/>
      <sheetName val="2002_123"/>
      <sheetName val="영업_일13"/>
      <sheetName val="환경기계공정표_(3)3"/>
      <sheetName val="SEV_wiress4_Total3"/>
      <sheetName val="SEV_wireles_4__fire_fighting_3"/>
      <sheetName val="SEV_wireles_4__fire_Alarm3"/>
      <sheetName val="B_1-13"/>
      <sheetName val="B_1-23"/>
      <sheetName val="B_1-33"/>
      <sheetName val="B_1-43"/>
      <sheetName val="B_1-53"/>
      <sheetName val="B_1-63"/>
      <sheetName val="B_1-73"/>
      <sheetName val="B_23"/>
      <sheetName val="B_33"/>
      <sheetName val="B_43"/>
      <sheetName val="B_6-13"/>
      <sheetName val="B_6-23"/>
      <sheetName val="7_경제성결과3"/>
      <sheetName val="2_대외공문3"/>
      <sheetName val="Sheet1_(2)3"/>
      <sheetName val="인건비_3"/>
      <sheetName val="2__공원조도3"/>
      <sheetName val="4-0_툫자3"/>
      <sheetName val="단위세대_개요3"/>
      <sheetName val="1_집계표3"/>
      <sheetName val="2_공통가설공사3"/>
      <sheetName val="4_기계설비공사3"/>
      <sheetName val="7__안전관리비3"/>
      <sheetName val="식대_숙직비3"/>
      <sheetName val="DATA_입력란3"/>
      <sheetName val="1__설계조건_2_단면가정_3__하중계산3"/>
      <sheetName val="3련_BOX3"/>
      <sheetName val="1_설계조건_3"/>
      <sheetName val="설계기준설명_3"/>
      <sheetName val="2_단면가정_(BASE)3"/>
      <sheetName val="3_하중및토압_(고정)3"/>
      <sheetName val="4_작용하중(고정)3"/>
      <sheetName val="5_안정검토(고정)(풍화암)3"/>
      <sheetName val="6_벽체계산3"/>
      <sheetName val="7_흉벽계산(ASCON)3"/>
      <sheetName val="8_FOOTING3"/>
      <sheetName val="9_날개벽3"/>
      <sheetName val="10_교좌받침3"/>
      <sheetName val="11_접속슬라브(ASCON)3"/>
      <sheetName val="1_구리중_(제조사A)3"/>
      <sheetName val="1_구리중_(제조사B)3"/>
      <sheetName val="1_구리중_(제조사C)3"/>
      <sheetName val="2_토평초(제조사A)3"/>
      <sheetName val="2_토평초(제조사B)3"/>
      <sheetName val="2_토평초(제조사C)3"/>
      <sheetName val="3_평내초(제조사A)3"/>
      <sheetName val="3_평내초(제조사B)3"/>
      <sheetName val="3_평내초(제조사C)3"/>
      <sheetName val="실외기_배관트레이3"/>
      <sheetName val="중앙콘트롤러설치용전선_3"/>
      <sheetName val="토목내역_(2)3"/>
      <sheetName val="EQUIPMENT_-23"/>
      <sheetName val="할증_3"/>
      <sheetName val="승용C_S3"/>
      <sheetName val="상용C_S3"/>
      <sheetName val="BSD_(2)3"/>
      <sheetName val="프린트_(3)3"/>
      <sheetName val="간지-2_(2)3"/>
      <sheetName val="_1__개요3"/>
      <sheetName val="_2__난방설비3"/>
      <sheetName val="열관류율_계산서3"/>
      <sheetName val="2_3_세대별난방부하집계3"/>
      <sheetName val="GEN_3"/>
      <sheetName val="을_13"/>
      <sheetName val="을_23"/>
      <sheetName val="1_우편집중내역서3"/>
      <sheetName val="신단가_(내진설치비)3"/>
      <sheetName val="보일러_선정3"/>
      <sheetName val="84A_(2)3"/>
      <sheetName val="84B_(2)3"/>
      <sheetName val="84C_(2)3"/>
      <sheetName val="101A_(2)3"/>
      <sheetName val="101B_(2)3"/>
      <sheetName val="101C_(2)3"/>
      <sheetName val="난방부하집계_(2)3"/>
      <sheetName val="2_3_세대별난방부하집계_(2)3"/>
      <sheetName val="보일러_선정_(2)3"/>
      <sheetName val="4_급수설비3"/>
      <sheetName val="4_2_급수입상배관3"/>
      <sheetName val="4_3_급수횡주관3"/>
      <sheetName val="5_1_열교환기3"/>
      <sheetName val="9,10월신제품_(2)3"/>
      <sheetName val="건___축3"/>
      <sheetName val="crude_SLAB_RE-bar3"/>
      <sheetName val="자__재3"/>
      <sheetName val="12_173"/>
      <sheetName val="가스공사_3"/>
      <sheetName val="내역서1999_8최종3"/>
      <sheetName val="수배전반_을지3"/>
      <sheetName val="Bag_Filter_Sizing3"/>
      <sheetName val="BOX구조해석_설명서3"/>
      <sheetName val="철근량_검토3"/>
      <sheetName val="1_공사개요(입력)3"/>
      <sheetName val="LEGEND_i3"/>
      <sheetName val="4_3__급수펌프선정3"/>
      <sheetName val="4_3_2_급탕순환펌프3"/>
      <sheetName val="4_3_3__배수펌프3"/>
      <sheetName val="4_4__전기온수기3"/>
      <sheetName val="4_5__보일러3"/>
      <sheetName val="4_4__급탕탱크3"/>
      <sheetName val="4_6__급탕탱크3"/>
      <sheetName val="준검_내역서3"/>
      <sheetName val="1_내역(청_하역장전등)3"/>
      <sheetName val="G_R300경비3"/>
      <sheetName val="3BL공동구_수량3"/>
      <sheetName val="집_계_표3"/>
      <sheetName val="전화_인터넷(현장)3"/>
      <sheetName val="3_0냉난방열원집계3"/>
      <sheetName val="4_1AHU3"/>
      <sheetName val="4_3_공기압축기3"/>
      <sheetName val="4_7_전기라디에타_3"/>
      <sheetName val="4_9_AC_3"/>
      <sheetName val="4_11_FAN3"/>
      <sheetName val="4_12_TANK_4_13_탈취기3"/>
      <sheetName val="4_14_PUMP3"/>
      <sheetName val="5_위생설비3"/>
      <sheetName val="8_PILE__(돌출)3"/>
      <sheetName val="Sheet2_(2)3"/>
      <sheetName val="6__안전관리비3"/>
      <sheetName val="5__현장관리비(new)_3"/>
      <sheetName val="평형별_세대수3"/>
      <sheetName val="정계약_현황3"/>
      <sheetName val="1_기계_납품_진행__현황3"/>
      <sheetName val="2_협력업체_담당자_및_연락처3"/>
      <sheetName val="파주_운정지구_A8블럭3"/>
      <sheetName val="_총괄표3"/>
      <sheetName val="블럭_손익3"/>
      <sheetName val="총_원가계산3"/>
      <sheetName val="5_세운W-A3"/>
      <sheetName val="IMPEADENCE_MAP_취수장"/>
      <sheetName val="현장관리비_산출내역"/>
      <sheetName val="Internal_Floor"/>
      <sheetName val="MEEDCO_Vehicle_List"/>
      <sheetName val="단가_및_재료비"/>
      <sheetName val="내역서_"/>
      <sheetName val="Check_List"/>
      <sheetName val="사원증_제작"/>
      <sheetName val="메일,_웹하드"/>
      <sheetName val="협업,_협회"/>
      <sheetName val="Sheet3_(2)"/>
      <sheetName val="일위대가_집계표"/>
      <sheetName val="4-2_실행분석표(실적)"/>
      <sheetName val="간접비_"/>
      <sheetName val="급수_(LPM)"/>
      <sheetName val="3-3_빙축열시스템부하"/>
      <sheetName val="[1_xls][1_xls]______C______99_8"/>
      <sheetName val="[1_xls][1_xls]______P_H_S_ex_17"/>
      <sheetName val="[1_xls][1_XLS]______P_H_S_ex_14"/>
      <sheetName val="[1_XLS][1_XLS]______P_H_S_exc_4"/>
      <sheetName val="[1_XLS][1_XLS]______P_H_S_exc_2"/>
      <sheetName val="[1_XLS][1_XLS]______P_H_S_exc_3"/>
      <sheetName val="[1_XLS][1_XLS]______P_H_S_exc_5"/>
      <sheetName val="[1_XLS][1_XLS]______P_H_S_exc_8"/>
      <sheetName val="[1_XLS][1_XLS]______P_H_S_exc_7"/>
      <sheetName val="[1_XLS][1_XLS]______P_H_S_exc_6"/>
      <sheetName val="[1_XLS][1_XLS]______P_H_S_exc_9"/>
      <sheetName val="[1_XLS][1_XLS]______P_H_S_ex_11"/>
      <sheetName val="[1_XLS][1_XLS]______P_H_S_ex_10"/>
      <sheetName val="[1_XLS][1_XLS]______P_H_S_ex_13"/>
      <sheetName val="[1_XLS][1_XLS]______P_H_S_ex_12"/>
      <sheetName val="견적_(2)"/>
      <sheetName val="[1_xls][1_xls]______P_H_S_ex_15"/>
      <sheetName val="[1_xls][1_xls]______P_H_S_ex_16"/>
      <sheetName val="[1_xls][1_xls]______P_H_S_ex_50"/>
      <sheetName val="[1_xls][1_xls]______P_H_S_ex_18"/>
      <sheetName val="Q(&amp;F)蓑ĀNateOn_정보(&amp;V)"/>
      <sheetName val="?"/>
      <sheetName val="[1_xls][1_xls]______P_H_S_ex_19"/>
      <sheetName val="[1_xls][1_xls]______P_H_S_ex_20"/>
      <sheetName val="[1_xls][1_xls]______P_H_S_ex_21"/>
      <sheetName val="[1_xls][1_xls]______P_H_S_ex_22"/>
      <sheetName val="[1_xls][1_xls]______P_H_S_ex_23"/>
      <sheetName val="[1_xls][1_xls]______P_H_S_ex_24"/>
      <sheetName val="[1_xls][1_xls]______P_H_S_ex_25"/>
      <sheetName val="[1_xls][1_xls]______P_H_S_ex_26"/>
      <sheetName val="[1_xls][1_xls]______P_H_S_ex_27"/>
      <sheetName val="[1_xls][1_xls]______P_H_S_ex_28"/>
      <sheetName val="[1_xls][1_xls]______P_H_S_ex_30"/>
      <sheetName val="[1_xls][1_xls]______P_H_S_ex_29"/>
      <sheetName val="[1_xls][1_xls]______P_H_S_ex_31"/>
      <sheetName val="[1_xls][1_xls]______P_H_S_ex_32"/>
      <sheetName val="[1_xls][1_xls]______P_H_S_ex_33"/>
      <sheetName val="[1_xls][1_xls]______P_H_S_ex_34"/>
      <sheetName val="[1_xls][1_xls]______P_H_S_ex_35"/>
      <sheetName val="[1_xls][1_xls]______P_H_S_ex_36"/>
      <sheetName val="[1_xls][1_xls]______P_H_S_ex_37"/>
      <sheetName val="[1_xls][1_xls]______P_H_S_ex_38"/>
      <sheetName val="[1_xls][1_xls]______P_H_S_ex_39"/>
      <sheetName val="[1_xls][1_xls]______P_H_S_ex_40"/>
      <sheetName val="[1_xls][1_xls]______P_H_S_ex_41"/>
      <sheetName val="[1_xls][1_xls]______P_H_S_ex_42"/>
      <sheetName val="[1_xls][1_xls]______P_H_S_ex_43"/>
      <sheetName val="[1_xls][1_xls]______P_H_S_ex_44"/>
      <sheetName val="[1_xls][1_xls]______P_H_S_ex_45"/>
      <sheetName val="[1_xls][1_xls]______P_H_S_ex_46"/>
      <sheetName val="[1_xls][1_xls]______P_H_S_ex_47"/>
      <sheetName val="[1_xls][1_xls]______P_H_S_ex_48"/>
      <sheetName val="[1_xls][1_xls]______P_H_S_ex_49"/>
      <sheetName val="[1_xls][1_xls]______P_H_S_ex_71"/>
      <sheetName val="[1_xls][1_xls]______P_H_S_ex_51"/>
      <sheetName val="중기조종사_단위단가"/>
      <sheetName val="[1_xls][1_xls]______P_H_S_ex_52"/>
      <sheetName val="[1_xls][1_xls]______P_H_S_ex_54"/>
      <sheetName val="[1_xls][1_xls]______P_H_S_ex_55"/>
      <sheetName val="난간기초_(길이별)"/>
      <sheetName val="[1_xls][1_xls]______P_H_S_ex_53"/>
      <sheetName val="[1_xls][1_xls]______P_H_S_ex_56"/>
      <sheetName val="[1_xls][1_xls]______P_H_S_ex_57"/>
      <sheetName val="[1_xls][1_xls]______P_H_S_ex_58"/>
      <sheetName val="[1_xls][1_xls]______P_H_S_ex_60"/>
      <sheetName val="[1_xls][1_xls]______P_H_S_ex_59"/>
      <sheetName val="[1_xls][1_xls]______P_H_S_ex_61"/>
      <sheetName val="[1_xls][1_xls]______P_H_S_ex_62"/>
      <sheetName val="[1_xls][1_xls]______P_H_S_ex_63"/>
      <sheetName val="[1_xls][1_xls]______P_H_S_ex_64"/>
      <sheetName val="[1_xls][1_xls]______P_H_S_ex_65"/>
      <sheetName val="[1_xls][1_xls]______P_H_S_ex_66"/>
      <sheetName val="[1_xls][1_xls]______P_H_S_ex_67"/>
      <sheetName val="[1_xls][1_xls]______P_H_S_ex_68"/>
      <sheetName val="99생산계획_(1,300)"/>
      <sheetName val="[1_xls][1_xls]______P_H_S_ex_69"/>
      <sheetName val="[1_xls][1_xls]______P_H_S_ex_70"/>
      <sheetName val="[1_xls][1_xls]______P_H_S_ex_72"/>
      <sheetName val="[1_xls][1_xls]______P_H_S_ex_74"/>
      <sheetName val="[1_xls][1_XLS]______P_H_S_ex_73"/>
      <sheetName val="[1_xls][1_xls]______P_H_S_ex_75"/>
      <sheetName val="[1_xls][1_xls]______P_H_S_ex_77"/>
      <sheetName val="[1_xls][1_XLS]______P_H_S_ex_76"/>
      <sheetName val="[1_xls][1_xls]______P_H_S_ex_78"/>
      <sheetName val="[1_xls][1_xls]______P_H_S_ex_80"/>
      <sheetName val="[1_xls][1_XLS]______P_H_S_ex_79"/>
      <sheetName val="[1_xls][1_xls]______P_H_S_ex_90"/>
      <sheetName val="[1_xls][1_xls]______P_H_S_ex_81"/>
      <sheetName val="[1_xls][1_xls]______P_H_S_ex_82"/>
      <sheetName val="[1_xls][1_xls]______P_H_S_ex_83"/>
      <sheetName val="[1_xls][1_xls]______P_H_S_ex_84"/>
      <sheetName val="[1_xls][1_xls]______P_H_S_ex_85"/>
      <sheetName val="[1_xls][1_xls]______P_H_S_ex_86"/>
      <sheetName val="[1_xls][1_xls]______P_H_S_ex_87"/>
      <sheetName val="[1_xls][1_xls]______P_H_S_ex_88"/>
      <sheetName val="[1_xls][1_xls]______P_H_S_ex_89"/>
      <sheetName val="[1_xls][1_xls]______P_H_S_ex_91"/>
      <sheetName val="수주추정"/>
      <sheetName val="자재집계 &amp; 총괄표"/>
      <sheetName val="정산서  (2)"/>
      <sheetName val="40총괄"/>
      <sheetName val="40집계"/>
      <sheetName val="[1.xls][1.xls]______P_H_S_e_603"/>
      <sheetName val="[1.xls][1.xls]______P_H_S_e_605"/>
      <sheetName val="[1.xls][1.xls]______P_H_S_e_604"/>
      <sheetName val="[1.xls][1.xls]______P_H_S_e_610"/>
      <sheetName val="[1.xls][1.xls]______P_H_S_e_608"/>
      <sheetName val="[1.xls][1.xls]______P_H_S_e_609"/>
      <sheetName val="[1.xls][1.xls]______P_H_S_e_611"/>
      <sheetName val="[1.xls][1.xls]______P_H_S_e_617"/>
      <sheetName val="[1.xls][1.xls]______P_H_S_e_618"/>
      <sheetName val="[1.xls][1.xls]______P_H_S_e_612"/>
      <sheetName val="[1.xls][1.xls]______P_H_S_e_613"/>
      <sheetName val="[1.xls][1.xls]______P_H_S_e_616"/>
      <sheetName val="[1.xls][1.xls]______P_H_S_e_614"/>
      <sheetName val="[1.xls][1.xls]______P_H_S_e_615"/>
      <sheetName val="[1.xls][1.xls]______P_H_S_e_620"/>
      <sheetName val="[1.xls][1.xls]______P_H_S_e_619"/>
      <sheetName val="[1.xls][1.xls]______P_H_S_e_622"/>
      <sheetName val="[1.xls][1.xls]______P_H_S_e_621"/>
      <sheetName val="[1.xls][1.xls]______P_H_S_e_625"/>
      <sheetName val="[1.xls][1.xls]______P_H_S_e_623"/>
      <sheetName val="[1.xls][1.xls]______P_H_S_e_624"/>
      <sheetName val="[1.xls][1.xls]______P_H_S_e_626"/>
      <sheetName val="[1.xls][1.xls]______P_H_S_e_627"/>
      <sheetName val="[1.xls][1.xls]______P_H_S_e_628"/>
      <sheetName val="[1.xls][1.xls]______P_H_S_e_635"/>
      <sheetName val="[1.xls][1.XLS]______P_H_S_e_634"/>
      <sheetName val="C1.공사개요"/>
      <sheetName val="Currency"/>
      <sheetName val="Non-Statistical Sampling"/>
      <sheetName val="AR Drop Downs"/>
      <sheetName val="DropDown"/>
      <sheetName val="[1.xls][1.xls]______P_H_S_e_629"/>
      <sheetName val="[1.xls][1.xls]______P_H_S_e_630"/>
      <sheetName val="[1.xls][1.xls]______P_H_S_e_631"/>
      <sheetName val="[1.xls][1.xls]______P_H_S_e_633"/>
      <sheetName val="[1.xls][1.XLS]______P_H_S_e_632"/>
      <sheetName val="열린교실"/>
      <sheetName val="관경"/>
      <sheetName val="1.건물개요"/>
      <sheetName val="2.설계조건"/>
      <sheetName val="4. 열원설비"/>
      <sheetName val="5.환기설비"/>
      <sheetName val="5.3환기팬선정"/>
      <sheetName val="6-1급수"/>
      <sheetName val="6-2급탕"/>
      <sheetName val="6-3 배수"/>
      <sheetName val="6-4 위생용 펌프선정"/>
      <sheetName val="위생기구"/>
      <sheetName val="전기실 풍량"/>
      <sheetName val="증기열원의집계"/>
      <sheetName val="보일러의선정"/>
      <sheetName val="8-3 환기유니트"/>
      <sheetName val="[1.xls][1.XLS]___________exc_41"/>
      <sheetName val="[1.xls][1.XLS]___________exc_42"/>
      <sheetName val="[1.xls][1.XLS]___________exc_43"/>
      <sheetName val="에너지성능지표က뎔迲"/>
      <sheetName val="업협"/>
      <sheetName val="[1.xls][1.xls]___희석_P_H_S_exc_6"/>
      <sheetName val="[1.xls][1.XLS]___희석_P_H_S_exc_5"/>
      <sheetName val="[1.xls][1.xls]___희석_P_H_S_exc_8"/>
      <sheetName val="[1.xls][1.XLS]___희석_P_H_S_exc_7"/>
      <sheetName val="[1.xls][1.xls]______P_H_S_e_662"/>
      <sheetName val="[1.xls][1.XLS]______P_H_S_e_661"/>
      <sheetName val="전년,계획,실적(작업)"/>
      <sheetName val="토공집계표"/>
      <sheetName val="File_관급"/>
      <sheetName val="공정집계"/>
      <sheetName val="Cover Sht"/>
      <sheetName val="중기일위대가"/>
      <sheetName val="WING3"/>
      <sheetName val="시멘트"/>
      <sheetName val="[1.xls][1.XLS]__박희석_P_H_S_ex_12"/>
      <sheetName val="[1.xls][1.xls]__박희석_P_H_S_ex_13"/>
      <sheetName val="건축(내역)"/>
      <sheetName val="수불부"/>
      <sheetName val="구미2월"/>
      <sheetName val="안양2월"/>
      <sheetName val="참고"/>
      <sheetName val="경영비율 "/>
      <sheetName val="04고객별 담당자"/>
      <sheetName val="제조원가명세서"/>
      <sheetName val="정율표"/>
      <sheetName val="판가"/>
      <sheetName val="JUYO"/>
      <sheetName val="CHAB"/>
      <sheetName val="대여금현황sample"/>
      <sheetName val="6.CF"/>
      <sheetName val="풍량"/>
      <sheetName val="TNC(1안)"/>
      <sheetName val="청도 년도별 손익 (RMB)"/>
      <sheetName val="1-12월"/>
      <sheetName val="샘플_생관"/>
      <sheetName val="controll"/>
      <sheetName val="07제품별수익성"/>
      <sheetName val="월급제인원실적"/>
      <sheetName val="일급제인원실적"/>
      <sheetName val="산자강선PU(배부후)"/>
      <sheetName val="인상안"/>
      <sheetName val="1급갑"/>
      <sheetName val="버튼"/>
      <sheetName val="첨부.지수현황상세"/>
      <sheetName val="생산량"/>
      <sheetName val="2_2_2.ROIC월별"/>
      <sheetName val="07DATA"/>
      <sheetName val="CNG버스국내시장"/>
      <sheetName val="PRICAT99"/>
      <sheetName val="직급실적"/>
      <sheetName val="적용환율"/>
      <sheetName val="시산표"/>
      <sheetName val="KPI (QA) 2012"/>
      <sheetName val="01_12月_Lot별_판매실적.xls"/>
      <sheetName val="T&amp;C"/>
      <sheetName val="10고객별 담당자"/>
      <sheetName val="Quality-3"/>
      <sheetName val="3-2. Claim and Complaint"/>
      <sheetName val="산자사 운전용품"/>
      <sheetName val="그룹"/>
      <sheetName val="분석"/>
      <sheetName val="▶판매량Trend(수정안)"/>
      <sheetName val="▶판가Trend(수정안)"/>
      <sheetName val="3931A（600A）#6"/>
      <sheetName val="총무"/>
      <sheetName val="Sheet3 (3)"/>
      <sheetName val="인상효1"/>
      <sheetName val="2-2.매출분석"/>
      <sheetName val="비용"/>
      <sheetName val="DSN Spec."/>
      <sheetName val="RT Spec."/>
      <sheetName val="고합"/>
      <sheetName val="대여금집계표"/>
      <sheetName val="여신판매액"/>
      <sheetName val="본사인상전"/>
      <sheetName val="연령현황"/>
      <sheetName val="DTY"/>
      <sheetName val="POY"/>
      <sheetName val="SDY"/>
      <sheetName val="WD"/>
      <sheetName val="_x0000__x000e__x0000__x000f_ _x0007__x0000_"/>
      <sheetName val="화학PG계"/>
      <sheetName val="Resource단가"/>
      <sheetName val="_x0000__x000e__x0000__x000f__x0009__x0007__x0000_"/>
      <sheetName val="조정방법"/>
      <sheetName val="경영비율_1"/>
      <sheetName val="04고객별_담당자1"/>
      <sheetName val="6_CF1"/>
      <sheetName val="청도_년도별_손익_(RMB)1"/>
      <sheetName val="첨부_지수현황상세1"/>
      <sheetName val="2_2_2_ROIC월별1"/>
      <sheetName val="KPI_(QA)_20121"/>
      <sheetName val="01_12月_Lot별_판매실적_xls1"/>
      <sheetName val="10고객별_담당자1"/>
      <sheetName val="3-2__Claim_and_Complaint1"/>
      <sheetName val="산자사_운전용품1"/>
      <sheetName val="Sheet3_(3)1"/>
      <sheetName val="2-2_매출분석1"/>
      <sheetName val="DSN_Spec_1"/>
      <sheetName val="RT_Spec_1"/>
      <sheetName val="경영비율_"/>
      <sheetName val="04고객별_담당자"/>
      <sheetName val="6_CF"/>
      <sheetName val="청도_년도별_손익_(RMB)"/>
      <sheetName val="첨부_지수현황상세"/>
      <sheetName val="2_2_2_ROIC월별"/>
      <sheetName val="KPI_(QA)_2012"/>
      <sheetName val="01_12月_Lot별_판매실적_xls"/>
      <sheetName val="10고객별_담당자"/>
      <sheetName val="3-2__Claim_and_Complaint"/>
      <sheetName val="산자사_운전용품"/>
      <sheetName val="Sheet3_(3)"/>
      <sheetName val="2-2_매출분석"/>
      <sheetName val="DSN_Spec_"/>
      <sheetName val="RT_Spec_"/>
      <sheetName val="1.xls"/>
      <sheetName val="이론&amp;가동"/>
      <sheetName val="220 (2)"/>
      <sheetName val="▶제조"/>
      <sheetName val="_x000d__x0000__x000a_Ơ믣"/>
      <sheetName val="_x000a__x0000__x000a_Ơ믣"/>
      <sheetName val="_x000d_"/>
      <sheetName val="_x000a_"/>
      <sheetName val="중국수출 (업체별_국가별)"/>
      <sheetName val="별제권_정리담보권"/>
      <sheetName val="3_1_1.제조비용년간"/>
      <sheetName val="원가내역"/>
      <sheetName val="납기코드"/>
      <sheetName val="요인분석"/>
      <sheetName val="_x005f_x0000__x005f_x000e__x005f_x0000__x005f_x000f_ _x"/>
      <sheetName val="_x005f_x0000__x005f_x000e__x005f_x0000__x005f_x000f__x0"/>
      <sheetName val="Q7-8"/>
      <sheetName val="월급제부서원가별"/>
      <sheetName val="일급제부서원가별"/>
      <sheetName val="매출이익-계획vnd"/>
      <sheetName val="_x005f_x0000__x005f_x000e__x005f_x0000__x005f_x000f__x0009__x"/>
      <sheetName val="항목등록"/>
      <sheetName val="--"/>
      <sheetName val="GR1"/>
      <sheetName val="_"/>
      <sheetName val="첨부2"/>
      <sheetName val="경영비율_2"/>
      <sheetName val="04고객별_담당자2"/>
      <sheetName val="6_CF2"/>
      <sheetName val="청도_년도별_손익_(RMB)2"/>
      <sheetName val="첨부_지수현황상세2"/>
      <sheetName val="2_2_2_ROIC월별2"/>
      <sheetName val="산자사_운전용품2"/>
      <sheetName val="KPI_(QA)_20122"/>
      <sheetName val="10고객별_담당자2"/>
      <sheetName val="3-2__Claim_and_Complaint2"/>
      <sheetName val="01_12月_Lot별_판매실적_xls2"/>
      <sheetName val="Sheet3_(3)2"/>
      <sheetName val=" "/>
      <sheetName val="2-2_매출분석2"/>
      <sheetName val="DSN_Spec_2"/>
      <sheetName val="RT_Spec_2"/>
      <sheetName val="11고객별_담당자"/>
      <sheetName val="1_xls"/>
      <sheetName val="220_(2)"/>
      <sheetName val="중국수출_(업체별_국가별)"/>
      <sheetName val="3_1_1_제조비용년간"/>
      <sheetName val="원료구매"/>
      <sheetName val="2계열 H350"/>
      <sheetName val="2계열 H350 KPTG #14 15Y"/>
      <sheetName val="_1"/>
      <sheetName val="경영비율_3"/>
      <sheetName val="04고객별_담당자3"/>
      <sheetName val="6_CF3"/>
      <sheetName val="청도_년도별_손익_(RMB)3"/>
      <sheetName val="첨부_지수현황상세3"/>
      <sheetName val="2_2_2_ROIC월별3"/>
      <sheetName val="KPI_(QA)_20123"/>
      <sheetName val="10고객별_담당자3"/>
      <sheetName val="3-2__Claim_and_Complaint3"/>
      <sheetName val="01_12月_Lot별_판매실적_xls3"/>
      <sheetName val="산자사_운전용품3"/>
      <sheetName val="Sheet3_(3)3"/>
      <sheetName val="2-2_매출분석3"/>
      <sheetName val="DSN_Spec_3"/>
      <sheetName val="RT_Spec_3"/>
      <sheetName val="11고객별_담당자1"/>
      <sheetName val="1_xls1"/>
      <sheetName val="원97"/>
      <sheetName val="￠1.45-1124"/>
      <sheetName val="Ölçüleri"/>
      <sheetName val="1_03수익성대비표"/>
      <sheetName val="견적집계표"/>
      <sheetName val="대차"/>
      <sheetName val="경영비율_4"/>
      <sheetName val="04고객별_담당자4"/>
      <sheetName val="6_CF4"/>
      <sheetName val="청도_년도별_손익_(RMB)4"/>
      <sheetName val="첨부_지수현황상세4"/>
      <sheetName val="2_2_2_ROIC월별4"/>
      <sheetName val="KPI_(QA)_20124"/>
      <sheetName val="10고객별_담당자4"/>
      <sheetName val="집계"/>
      <sheetName val="[1.xls][1.xls]______P_H_S_e_652"/>
      <sheetName val="[1.xls][1.XLS]______P_H_S_e_650"/>
      <sheetName val="㰀 Ā ĀĀ"/>
      <sheetName val="㰀 Ā "/>
      <sheetName val="[1.xls][1.xls]______P_H_S_e_649"/>
      <sheetName val="[1.xls][1.xls]______P_H_S_e_642"/>
      <sheetName val="[1.xls][1.xls]______P_H_S_e_644"/>
      <sheetName val="단가대비표 (3)"/>
      <sheetName val="신심사"/>
      <sheetName val="건축개요"/>
      <sheetName val="10월판관"/>
      <sheetName val="합손"/>
      <sheetName val="sw1"/>
      <sheetName val="[1.xls][1.XLS]____석_P_H_S_exc_6"/>
      <sheetName val="A"/>
      <sheetName val="[1_xls][1_xls]__박_석_P_H_S_exc_2"/>
      <sheetName val="[1_xls][1_XLS]____석_P_H_S_exc_2"/>
      <sheetName val="[1_xls][1_xls]__박___P_H_S_exc_2"/>
      <sheetName val="[1_xls][1_XLS]__박_석_P_H_S_exc_3"/>
      <sheetName val="별표1"/>
      <sheetName val="노원열병합  건축공사기성내역서"/>
      <sheetName val="EQUIP LIST"/>
      <sheetName val="연돌일위집계"/>
      <sheetName val="[1.xls][1.xls]______P_H_S_e_638"/>
      <sheetName val="[1.xls][1.xls]______P_H_S_e_639"/>
      <sheetName val="[1.xls][1.xls]______P_H_S_e_636"/>
      <sheetName val="[1.xls][1.xls]______P_H_S_e_637"/>
      <sheetName val="[1.xls][1.xls]______P_H_S_e_641"/>
      <sheetName val="[1.xls][1.xls]______P_H_S_e_640"/>
      <sheetName val="[1.xls][1.xls]______P_H_S_e_643"/>
      <sheetName val="[1.xls][1.xls]______P_H_S_e_645"/>
      <sheetName val="[1.xls][1.xls]______P_H_S_e_646"/>
      <sheetName val="[1.xls][1.xls]______P_H_S_e_648"/>
      <sheetName val="[1.xls][1.xls]______P_H_S_e_647"/>
      <sheetName val="[1.xls][1.xls]______P_H_S_e_651"/>
      <sheetName val="[1.xls][1.xls]______P_H_S_e_655"/>
      <sheetName val="[1.xls][1.XLS]______P_H_S_e_653"/>
      <sheetName val="[1.xls][1.xls]______P_H_S_e_654"/>
      <sheetName val="[1.xls][1.xls]______P_H_S_e_657"/>
      <sheetName val="[1.xls][1.xls]______P_H_S_e_658"/>
      <sheetName val="[1.xls][1.xls]______P_H_S_e_656"/>
      <sheetName val="[1.xls][1.xls]______P_H_S_e_659"/>
      <sheetName val="[1.xls][1.XLS]______P_H_S_e_660"/>
      <sheetName val="[1.xls][1.xls]______P_H_S_e_666"/>
      <sheetName val="[1.xls][1.xls]______P_H_S_e_667"/>
      <sheetName val="[1.xls][1.xls]______P_H_S_e_663"/>
      <sheetName val="[1.xls][1.xls]______P_H_S_e_664"/>
      <sheetName val="[1.xls][1.xls]______P_H_S_e_665"/>
      <sheetName val="[1.xls][1.xls]______P_H_S_e_672"/>
      <sheetName val="[1.xls][1.xls]______P_H_S_e_668"/>
      <sheetName val="[1.xls][1.xls]______P_H_S_e_669"/>
      <sheetName val="[1.xls][1.xls]______P_H_S_e_670"/>
      <sheetName val="[1.xls][1.xls]______P_H_S_e_671"/>
      <sheetName val="[1.xls][1.xls]______P_H_S_e_673"/>
      <sheetName val="[1.xls][1.xls]______P_H_S_e_674"/>
      <sheetName val="[1.xls][1.xls]______P_H_S_e_675"/>
      <sheetName val="[1.xls][1.xls]______P_H_S_e_676"/>
      <sheetName val="[1.xls][1.xls]______P_H_S_e_678"/>
      <sheetName val="[1.xls][1.xls]______P_H_S_e_677"/>
      <sheetName val="[1.xls][1.xls]______P_H_S_e_699"/>
      <sheetName val="건물Main"/>
      <sheetName val="97년 SEACO예산"/>
      <sheetName val="96.12"/>
      <sheetName val="가로등내"/>
      <sheetName val="건축공사비내역서-아파트"/>
      <sheetName val="건축공사비내역서-기타시설"/>
      <sheetName val="매크로 보안수준 설명"/>
      <sheetName val="사용방법"/>
      <sheetName val="공급자정보"/>
      <sheetName val="AS접수관리"/>
      <sheetName val="AS접수카드"/>
      <sheetName val="도장비"/>
      <sheetName val="잡철물"/>
      <sheetName val="변경내역"/>
      <sheetName val="수량조서"/>
      <sheetName val="#1"/>
      <sheetName val="단가집"/>
      <sheetName val="㼕ༀ㔀"/>
      <sheetName val="총괄내역서"/>
      <sheetName val="nys"/>
      <sheetName val="실행표"/>
      <sheetName val="계림8구역내역서"/>
      <sheetName val="계림8구역-산출"/>
      <sheetName val="내역서(남악오룡1차)_자동제어"/>
      <sheetName val="내역서(남악오룡1차)-산출"/>
      <sheetName val="내역서(남악오룡2차)_자동제어"/>
      <sheetName val="내역서(남악오룡2차)_산출"/>
      <sheetName val="내역서_남악오룡3차"/>
      <sheetName val="내역서_남악오룡3차-산출"/>
      <sheetName val="계림8구역-산출 (2)"/>
      <sheetName val="내역을"/>
      <sheetName val="배수공 시멘트 및 골재량 산출"/>
      <sheetName val="[1.xls][1.xls]___희석_P_H_S_ex_11"/>
      <sheetName val="[1.xls][1.XLS]___희석_P_H_S_ex_10"/>
      <sheetName val="[1.xls][1.XLS]___희석_P_H_S_exc_9"/>
      <sheetName val="F요청서"/>
      <sheetName val="F변경사유"/>
      <sheetName val="원가계산서(공)"/>
      <sheetName val="F물량산출"/>
      <sheetName val="공사비증감비교표"/>
      <sheetName val="공사비 연습"/>
      <sheetName val="건축샘플"/>
      <sheetName val="물량증감표1"/>
      <sheetName val="공사비증감대비"/>
      <sheetName val="물가조사"/>
      <sheetName val="분배표"/>
      <sheetName val="토적표@"/>
      <sheetName val="운반집계표@"/>
      <sheetName val="이월수량@"/>
      <sheetName val="표토제거"/>
      <sheetName val="총흙깍기"/>
      <sheetName val="총흙쌓기"/>
      <sheetName val="산출내역 (1)"/>
      <sheetName val="과천MAIN"/>
      <sheetName val="[1.xls][1.xls]______P_H_S_e_680"/>
      <sheetName val="[1.xls][1.xls]______P_H_S_e_679"/>
      <sheetName val="[1.xls][1.xls]______P_H_S_e_681"/>
      <sheetName val="STAND20"/>
      <sheetName val="당진1,2호기전선관설치및접지4차공사내역서-을지"/>
      <sheetName val="시중노임(공사)"/>
      <sheetName val="[1.xls][1.xls]__박희__P_H_S_exc_9"/>
      <sheetName val="[1.xls][1.XLS]__박희__P_H_S_exc_8"/>
      <sheetName val="[1.xls][1.xls]______P_H_S_e_682"/>
      <sheetName val="[1.xls][1.xls]______P_H_S_e_683"/>
      <sheetName val="inter"/>
      <sheetName val="FACTOR"/>
      <sheetName val="3084"/>
      <sheetName val="[1.xls][1.xls]___희__P_H_S_ex_10"/>
      <sheetName val="[1.xls][1.xls]___희__P_H_S_exc_6"/>
      <sheetName val="[1.xls][1.xls]___희__P_H_S_exc_5"/>
      <sheetName val="[1.xls][1.xls]___희__P_H_S_exc_8"/>
      <sheetName val="[1.xls][1.xls]___희__P_H_S_exc_7"/>
      <sheetName val="[1.xls][1.xls]___희__P_H_S_exc_9"/>
      <sheetName val="[1.xls][1.xls]___희__P_H_S_ex_12"/>
      <sheetName val="[1.xls][1.xls]___희__P_H_S_ex_11"/>
      <sheetName val="[1.xls][1.xls]___희__P_H_S_ex_13"/>
      <sheetName val="[1.xls][1.xls]___희__P_H_S_ex_14"/>
      <sheetName val="[1.xls][1.xls]______P_H_S_e_693"/>
      <sheetName val="[1.xls][1.xls]______P_H_S_e_691"/>
      <sheetName val="[1.xls][1.xls]______P_H_S_e_684"/>
      <sheetName val="[1.xls][1.xls]______P_H_S_e_685"/>
      <sheetName val="[1.xls][1.xls]______P_H_S_e_687"/>
      <sheetName val="[1.xls][1.XLS]______P_H_S_e_686"/>
      <sheetName val="[1.xls][1.xls]______P_H_S_e_689"/>
      <sheetName val="[1.xls][1.xls]______P_H_S_e_690"/>
      <sheetName val="[1.xls][1.XLS]____석_P_H_S_ex_13"/>
      <sheetName val="[1.xls][1.XLS]____석_P_H_S_exc_7"/>
      <sheetName val="[1.xls][1.XLS]____석_P_H_S_exc_8"/>
      <sheetName val="[1.xls][1.XLS]____석_P_H_S_exc_9"/>
      <sheetName val="[1.xls][1.XLS]____석_P_H_S_ex_10"/>
      <sheetName val="[1.xls][1.xls]____석_P_H_S_ex_11"/>
      <sheetName val="[1.xls][1.xls]____석_P_H_S_ex_12"/>
      <sheetName val="[1.xls][1.xls]____석_P_H_S_ex_14"/>
      <sheetName val="[1.xls][1.xls]____석_P_H_S_ex_15"/>
      <sheetName val="[1.xls][1.xls]______P_H_S_e_688"/>
      <sheetName val="[1.xls][1.xls]______P_H_S_e_692"/>
      <sheetName val="[1.xls][1.xls]______P_H_S_e_694"/>
      <sheetName val="[1.xls][1.xls]______P_H_S_e_695"/>
      <sheetName val="[1.xls][1.xls]______P_H_S_e_696"/>
      <sheetName val="[1.xls][1.xls]______P_H_S_e_697"/>
      <sheetName val="재료집계"/>
      <sheetName val="[1.xls][1.xls]______P_H_S_e_698"/>
      <sheetName val="[1.xls][1.xls]______P_H_S_e_700"/>
      <sheetName val="[1.xls][1.xls]______P_H_S_e_701"/>
      <sheetName val="[1.xls][1.xls]______P_H_S_e_703"/>
      <sheetName val="[1.xls][1.xls]______P_H_S_e_702"/>
      <sheetName val="[1.xls][1.xls]______P_H_S_e_704"/>
      <sheetName val="[1.xls][1.xls]______P_H_S_e_705"/>
      <sheetName val="[1.xls][1.xls]______P_H_S_e_716"/>
      <sheetName val="[1.xls][1.xls]______P_H_S_e_717"/>
      <sheetName val="[1.xls][1.xls]______P_H_S_e_709"/>
      <sheetName val="[1.xls][1.xls]______P_H_S_e_707"/>
      <sheetName val="[1.xls][1.xls]______P_H_S_e_706"/>
      <sheetName val="[1.xls][1.xls]______P_H_S_e_708"/>
      <sheetName val="[1.xls][1.xls]______P_H_S_e_714"/>
      <sheetName val="[1.xls][1.xls]______P_H_S_e_715"/>
      <sheetName val="[1.xls][1.xls]______P_H_S_e_710"/>
      <sheetName val="[1.xls][1.xls]______P_H_S_e_711"/>
      <sheetName val="[1.xls][1.xls]______P_H_S_e_713"/>
      <sheetName val="[1.xls][1.xls]______P_H_S_e_712"/>
      <sheetName val="[1.xls][1.xls]______P_H_S_e_718"/>
      <sheetName val="[1.xls][1.xls]______P_H_S_e_731"/>
      <sheetName val="[1.xls][1.xls]______P_H_S_e_755"/>
      <sheetName val="[1.xls][1.xls]______P_H_S_e_719"/>
      <sheetName val="[1.xls][1.xls]______P_H_S_e_720"/>
      <sheetName val="[1.xls][1.xls]______P_H_S_e_721"/>
      <sheetName val="[1.xls][1.xls]______P_H_S_e_724"/>
      <sheetName val="[1.xls][1.xls]______P_H_S_e_722"/>
      <sheetName val="[1.xls][1.xls]______P_H_S_e_723"/>
      <sheetName val="[1.xls][1.xls]______P_H_S_e_726"/>
      <sheetName val="[1.xls][1.xls]______P_H_S_e_725"/>
      <sheetName val="[1.xls][1.xls]______P_H_S_e_727"/>
      <sheetName val="[1.xls][1.xls]______P_H_S_e_729"/>
      <sheetName val="[1.xls][1.xls]______P_H_S_e_728"/>
      <sheetName val="[1.xls][1.xls]______P_H_S_e_730"/>
      <sheetName val="[1.xls][1.xls]______P_H_S_e_777"/>
      <sheetName val="[1.xls][1.xls]______P_H_S_e_747"/>
      <sheetName val="[1.xls][1.xls]______P_H_S_e_733"/>
      <sheetName val="[1.xls][1.xls]______P_H_S_e_736"/>
      <sheetName val="[1.xls][1.xls]______P_H_S_e_732"/>
      <sheetName val="[1.xls][1.xls]______P_H_S_e_734"/>
      <sheetName val="[1.xls][1.xls]______P_H_S_e_735"/>
      <sheetName val="[1.xls][1.xls]______P_H_S_e_743"/>
      <sheetName val="[1.xls][1.xls]______P_H_S_e_742"/>
      <sheetName val="[1.xls][1.xls]______P_H_S_e_739"/>
      <sheetName val="[1.xls][1.xls]______P_H_S_e_737"/>
      <sheetName val="[1.xls][1.xls]______P_H_S_e_738"/>
      <sheetName val="[1.xls][1.xls]______P_H_S_e_740"/>
      <sheetName val="[1.xls][1.xls]______P_H_S_e_741"/>
      <sheetName val="[1.xls][1.xls]______P_H_S_e_748"/>
      <sheetName val="[1.xls][1.xls]______P_H_S_e_744"/>
      <sheetName val="[1.xls][1.xls]______P_H_S_e_745"/>
      <sheetName val="[1.xls][1.xls]______P_H_S_e_746"/>
      <sheetName val="[1.xls][1.xls]______P_H_S_e_749"/>
      <sheetName val="[1.xls][1.xls]______P_H_S_e_750"/>
      <sheetName val="[1.xls][1.xls]______P_H_S_e_751"/>
      <sheetName val="[1.xls][1.xls]______P_H_S_e_752"/>
      <sheetName val="전 기"/>
      <sheetName val="[1.xls][1.xls]______P_H_S_e_753"/>
      <sheetName val="[1.xls][1.xls]______P_H_S_e_754"/>
      <sheetName val="[1.xls][1.xls]______P_H_S_e_756"/>
      <sheetName val="[1.xls][1.xls]______P_H_S_e_774"/>
      <sheetName val="[1.xls][1.xls]______P_H_S_e_757"/>
      <sheetName val="[1.xls][1.xls]______P_H_S_e_758"/>
      <sheetName val="[1.xls][1.xls]______P_H_S_e_760"/>
      <sheetName val="[1.xls][1.xls]______P_H_S_e_768"/>
      <sheetName val="[1.xls][1.xls]______P_H_S_e_759"/>
      <sheetName val="[1.xls][1.xls]______P_H_S_e_765"/>
      <sheetName val="[1.xls][1.XLS]______P_H_S_e_762"/>
      <sheetName val="[1.xls][1.XLS]______P_H_S_e_761"/>
      <sheetName val="[1.xls][1.xls]______P_H_S_e_763"/>
      <sheetName val="[1.xls][1.xls]______P_H_S_e_764"/>
      <sheetName val="[1.xls][1.xls]______P_H_S_e_766"/>
      <sheetName val="[1.xls][1.xls]______P_H_S_e_771"/>
      <sheetName val="[1.xls][1.xls]______P_H_S_e_767"/>
      <sheetName val="[1.xls][1.xls]______P_H_S_e_770"/>
      <sheetName val="[1.xls][1.xls]______P_H_S_e_769"/>
      <sheetName val="[1.xls][1.xls]______P_H_S_e_772"/>
      <sheetName val="[1.xls][1.xls]______P_H_S_e_773"/>
      <sheetName val="[1.xls][1.xls]______P_H_S_e_775"/>
      <sheetName val="[1.xls][1.xls]______P_H_S_e_776"/>
      <sheetName val="노무비o_x0000_Ԁ"/>
      <sheetName val="[1.xls][1.xls]______P_H_S_e_779"/>
      <sheetName val="1.개デ࿤"/>
      <sheetName val="VXXXXXXXXXXXXXX"/>
      <sheetName val="지역열원조건"/>
      <sheetName val="부하계산"/>
      <sheetName val="EHP"/>
      <sheetName val="EHP장비"/>
      <sheetName val="난방부하"/>
      <sheetName val="냉방용량집계"/>
      <sheetName val="난방용량집계"/>
      <sheetName val="흡수식냉동기"/>
      <sheetName val="냉각탑"/>
      <sheetName val="열교환기선정"/>
      <sheetName val="연결열부하"/>
      <sheetName val="팬코일사양"/>
      <sheetName val="순환펌프선정"/>
      <sheetName val="냉수유량"/>
      <sheetName val="온수유량"/>
      <sheetName val="탱크"/>
      <sheetName val="부스타펌프"/>
      <sheetName val="기숙사부스타펌프"/>
      <sheetName val="팽창탱크"/>
      <sheetName val="급탕순환펌프"/>
      <sheetName val="Ⅴ.환기설비."/>
      <sheetName val="풍량집계표"/>
      <sheetName val="환기용송풍기"/>
      <sheetName val="팬선정"/>
      <sheetName val="정압"/>
      <sheetName val="주차장환기"/>
      <sheetName val="FU"/>
      <sheetName val="팬코일용량"/>
      <sheetName val="배수 (2)"/>
      <sheetName val="은대내역서"/>
      <sheetName val="[1.xls][1.xls]__박희석_P_H_S_ex_21"/>
      <sheetName val="[1.xls][1.xls]__박희석_P_H_S_ex_14"/>
      <sheetName val="[1.xls][1.xls]__박희석_P_H_S_ex_15"/>
      <sheetName val="[1.xls][1.xls]__박희석_P_H_S_ex_16"/>
      <sheetName val="[1.xls][1.xls]__박희석_P_H_S_ex_17"/>
      <sheetName val="[1.xls][1.xls]__박희석_P_H_S_ex_18"/>
      <sheetName val="[1.xls][1.xls]__박희석_P_H_S_ex_19"/>
      <sheetName val="[1.xls][1.xls]__박희석_P_H_S_ex_20"/>
      <sheetName val="0000000"/>
      <sheetName val="산출"/>
      <sheetName val="[1.xls][1.xls]______P_H_S_e_780"/>
      <sheetName val="[1.xls][1.xls]______P_H_S_e_778"/>
      <sheetName val="[1.xls][1.xls]______P_H_S_e_781"/>
      <sheetName val="[1.xls][1.xls]______P_H_S_e_782"/>
      <sheetName val="[1.xls][1.xls]______P_H_S_e_784"/>
      <sheetName val="[1.xls][1.xls]______P_H_S_e_783"/>
      <sheetName val="[1.xls][1.xls]______P_H_S_e_795"/>
      <sheetName val="[1.xls][1.xls]______P_H_S_e_793"/>
      <sheetName val="[1.xls][1.XLS]______P_H_S_e_792"/>
      <sheetName val="[1.xls][1.xls]______P_H_S_e_785"/>
      <sheetName val="[1.xls][1.xls]______P_H_S_e_786"/>
      <sheetName val="[1.xls][1.xls]______P_H_S_e_791"/>
      <sheetName val="[1.xls][1.xls]______P_H_S_e_787"/>
      <sheetName val="[1.xls][1.xls]______P_H_S_e_788"/>
      <sheetName val="[1.xls][1.xls]______P_H_S_e_789"/>
      <sheetName val="[1.xls][1.xls]______P_H_S_e_790"/>
      <sheetName val="[1.xls][1.xls]______P_H_S_e_794"/>
      <sheetName val="[1.xls][1.xls]______P_H_S_e_816"/>
      <sheetName val="[1.xls][1.xls]______P_H_S_e_813"/>
      <sheetName val="[1.xls][1.xls]______P_H_S_e_798"/>
      <sheetName val="[1.xls][1.xls]______P_H_S_e_799"/>
      <sheetName val="[1.xls][1.xls]______P_H_S_e_796"/>
      <sheetName val="[1.xls][1.xls]______P_H_S_e_797"/>
      <sheetName val="[1.xls][1.xls]______P_H_S_e_800"/>
      <sheetName val="[1.xls][1.xls]______P_H_S_e_801"/>
      <sheetName val="[1.xls][1.xls]______P_H_S_e_805"/>
      <sheetName val="[1.xls][1.xls]______P_H_S_e_803"/>
      <sheetName val="[1.xls][1.xls]______P_H_S_e_804"/>
      <sheetName val="[1.xls][1.xls]______P_H_S_e_802"/>
      <sheetName val="[1.xls][1.xls]______P_H_S_e_806"/>
      <sheetName val="[1.xls][1.xls]______P_H_S_e_807"/>
      <sheetName val="[1.xls][1.xls]______P_H_S_e_808"/>
      <sheetName val="[1.xls][1.xls]______P_H_S_e_809"/>
      <sheetName val="[1.xls][1.xls]______P_H_S_e_812"/>
      <sheetName val="[1.xls][1.xls]______P_H_S_e_811"/>
      <sheetName val="[1.xls][1.xls]______P_H_S_e_810"/>
      <sheetName val="[1.xls][1.xls]______P_H_S_e_822"/>
      <sheetName val="[1.xls][1.xls]______P_H_S_e_814"/>
      <sheetName val="[1.xls][1.xls]______P_H_S_e_815"/>
      <sheetName val="[1.xls][1.xls]______P_H_S_e_823"/>
      <sheetName val="[1.xls][1.xls]______P_H_S_e_819"/>
      <sheetName val="[1.xls][1.xls]______P_H_S_e_818"/>
      <sheetName val="[1.xls][1.xls]______P_H_S_e_817"/>
      <sheetName val="[1.xls][1.xls]______P_H_S_e_820"/>
      <sheetName val="[1.xls][1.xls]______P_H_S_e_821"/>
      <sheetName val="[1.xls][1.xls]______P_H_S_e_834"/>
      <sheetName val="[1.xls][1.xls]______P_H_S_e_844"/>
      <sheetName val="[1.xls][1.xls]______P_H_S_e_824"/>
      <sheetName val="[1.xls][1.xls]______P_H_S_e_825"/>
      <sheetName val="[1.xls][1.xls]______P_H_S_e_826"/>
      <sheetName val="[1.xls][1.xls]______P_H_S_e_827"/>
      <sheetName val="[1.xls][1.xls]______P_H_S_e_830"/>
      <sheetName val="[1.xls][1.xls]______P_H_S_e_828"/>
      <sheetName val="[1.xls][1.xls]______P_H_S_e_829"/>
      <sheetName val="[1.xls][1.xls]______P_H_S_e_831"/>
      <sheetName val="[1.xls][1.xls]______P_H_S_e_832"/>
      <sheetName val="[1.xls][1.xls]______P_H_S_e_833"/>
      <sheetName val="[1.xls][1.xls]______P_H_S_e_835"/>
      <sheetName val="[1.xls][1.xls]______P_H_S_e_836"/>
      <sheetName val="[1.xls][1.xls]______P_H_S_e_847"/>
      <sheetName val="인부노임"/>
      <sheetName val="2.재료비"/>
      <sheetName val="[1.xls][1.xls]______P_H_S_e_837"/>
      <sheetName val="[1.xls][1.xls]______P_H_S_e_838"/>
      <sheetName val="[1.xls][1.xls]______P_H_S_e_840"/>
      <sheetName val="[1.xls][1.xls]______P_H_S_e_839"/>
      <sheetName val="[1.xls][1.xls]______P_H_S_e_841"/>
      <sheetName val="[1.xls][1.xls]______P_H_S_e_842"/>
      <sheetName val="[1.xls][1.xls]______P_H_S_e_843"/>
      <sheetName val="[1.xls][1.xls]______P_H_S_e_846"/>
      <sheetName val="[1.xls][1.xls]______P_H_S_e_845"/>
      <sheetName val="[1.xls][1.xls]______P_H_S_e_848"/>
      <sheetName val="[1.xls][1.xls]______P_H_S_e_850"/>
      <sheetName val="[1.xls][1.xls]______P_H_S_e_849"/>
      <sheetName val="[1.xls][1.xls]______P_H_S_e_854"/>
      <sheetName val="[1.xls][1.XLS]______P_H_S_e_851"/>
      <sheetName val="[1.xls][1.xls]______P_H_S_e_852"/>
      <sheetName val="[1.xls][1.xls]______P_H_S_e_853"/>
      <sheetName val="[1.xls][1.xls]______P_H_S_e_855"/>
      <sheetName val="WELDING POINT 단가"/>
      <sheetName val="판넬"/>
      <sheetName val="마감산출"/>
      <sheetName val="철골"/>
      <sheetName val="[1.xls][1.xls]______P_H_S_e_869"/>
      <sheetName val="[1.xls][1.XLS]______P_H_S_e_868"/>
      <sheetName val="7.PILE  (돌출)"/>
      <sheetName val="BHANDUP"/>
      <sheetName val="[1.xls][1.xls]___희석_P_H_S_ex_12"/>
      <sheetName val="[1.xls][1.XLS]___________exc_44"/>
      <sheetName val="[1.xls][1.XLS]___________exc_45"/>
      <sheetName val="[1.xls][1.XLS]___________exc_47"/>
      <sheetName val="[1.xls][1.XLS]___________exc_46"/>
      <sheetName val="[1.xls][1.XLS]___________exc_54"/>
      <sheetName val="[1.xls][1.XLS]___________exc_48"/>
      <sheetName val="[1.xls][1.XLS]___________exc_49"/>
      <sheetName val="[1.xls][1.XLS]___________exc_50"/>
      <sheetName val="[1.xls][1.XLS]___________exc_51"/>
      <sheetName val="[1.xls][1.XLS]___________exc_52"/>
      <sheetName val="[1.xls][1.XLS]___________exc_53"/>
      <sheetName val="[1.xls][1.XLS]___________exc_55"/>
      <sheetName val="급ꟲﰰ"/>
      <sheetName val="[1.xls][1.xls]______P_H_S_e_862"/>
      <sheetName val="[1.xls][1.xls]______P_H_S_e_856"/>
      <sheetName val="[1.xls][1.xls]______P_H_S_e_859"/>
      <sheetName val="[1.xls][1.xls]______P_H_S_e_857"/>
      <sheetName val="[1.xls][1.xls]______P_H_S_e_858"/>
      <sheetName val="[1.xls][1.xls]______P_H_S_e_860"/>
      <sheetName val="[1.xls][1.xls]______P_H_S_e_866"/>
      <sheetName val="[1.xls][1.xls]______P_H_S_e_861"/>
      <sheetName val="[1.xls][1.xls]______P_H_S_e_863"/>
      <sheetName val="[1.xls][1.xls]______P_H_S_e_864"/>
      <sheetName val="[1.xls][1.xls]______P_H_S_e_865"/>
      <sheetName val="[1.xls][1.XLS]______P_H_S_e_867"/>
      <sheetName val="[1.xls][1.xls]______P_H_S_e_870"/>
      <sheetName val="[1.xls][1.xls]______P_H_S_e_871"/>
      <sheetName val="[1.xls][1.xls]______P_H_S_e_932"/>
      <sheetName val="[1.xls][1.XLS]______P_H_S_e_931"/>
      <sheetName val="[1.xls][1.xls]______P_H_S_e_930"/>
      <sheetName val="[1.xls][1.xls]______P_H_S_e_872"/>
      <sheetName val="[1.xls][1.xls]______P_H_S_e_876"/>
      <sheetName val="[1.xls][1.xls]______P_H_S_e_873"/>
      <sheetName val="[1.xls][1.xls]______P_H_S_e_874"/>
      <sheetName val="[1.xls][1.xls]______P_H_S_e_875"/>
      <sheetName val="[1.xls][1.xls]______P_H_S_e_879"/>
      <sheetName val="[1.xls][1.xls]______P_H_S_e_877"/>
      <sheetName val="[1.xls][1.xls]______P_H_S_e_880"/>
      <sheetName val="[1.xls][1.xls]______P_H_S_e_878"/>
      <sheetName val="[1.xls][1.xls]______P_H_S_e_882"/>
      <sheetName val="[1.xls][1.xls]______P_H_S_e_881"/>
      <sheetName val="[1.xls][1.xls]______P_H_S_e_883"/>
      <sheetName val="[1.xls][1.xls]______P_H_S_e_884"/>
      <sheetName val="[1.xls][1.xls]______P_H_S_e_885"/>
      <sheetName val="[1.xls][1.xls]______P_H_S_e_886"/>
      <sheetName val="[1.xls][1.xls]______P_H_S_e_888"/>
      <sheetName val="[1.xls][1.xls]______P_H_S_e_889"/>
      <sheetName val="[1.xls][1.xls]______P_H_S_e_887"/>
      <sheetName val="[1.xls][1.xls]______P_H_S_e_890"/>
      <sheetName val="[1.xls][1.xls]______P_H_S_e_891"/>
      <sheetName val="[1.xls][1.xls]______P_H_S_e_927"/>
      <sheetName val="[1.xls][1.xls]______P_H_S_e_925"/>
      <sheetName val="[1.xls][1.xls]______P_H_S_e_894"/>
      <sheetName val="[1.xls][1.xls]______P_H_S_e_895"/>
      <sheetName val="[1.xls][1.xls]______P_H_S_e_893"/>
      <sheetName val="[1.xls][1.xls]______P_H_S_e_892"/>
      <sheetName val="[1.xls][1.xls]______P_H_S_e_899"/>
      <sheetName val="[1.xls][1.xls]______P_H_S_e_901"/>
      <sheetName val="[1.xls][1.xls]______P_H_S_e_898"/>
      <sheetName val="[1.xls][1.xls]______P_H_S_e_896"/>
      <sheetName val="[1.xls][1.xls]______P_H_S_e_897"/>
      <sheetName val="[1.xls][1.xls]______P_H_S_e_904"/>
      <sheetName val="[1.xls][1.xls]______P_H_S_e_900"/>
      <sheetName val="[1.xls][1.xls]______P_H_S_e_905"/>
      <sheetName val="[1.xls][1.xls]______P_H_S_e_902"/>
      <sheetName val="[1.xls][1.xls]______P_H_S_e_903"/>
      <sheetName val="[1.xls][1.xls]______P_H_S_e_909"/>
      <sheetName val="[1.xls][1.xls]______P_H_S_e_910"/>
      <sheetName val="[1.xls][1.xls]______P_H_S_e_907"/>
      <sheetName val="[1.xls][1.xls]______P_H_S_e_906"/>
      <sheetName val="[1.xls][1.xls]______P_H_S_e_908"/>
      <sheetName val="[1.xls][1.xls]______P_H_S_e_911"/>
      <sheetName val="[1.xls][1.xls]______P_H_S_e_922"/>
      <sheetName val="[1.xls][1.xls]______P_H_S_e_923"/>
      <sheetName val="[1.xls][1.xls]______P_H_S_e_912"/>
      <sheetName val="[1.xls][1.xls]______P_H_S_e_915"/>
      <sheetName val="[1.xls][1.xls]______P_H_S_e_913"/>
      <sheetName val="[1.xls][1.xls]______P_H_S_e_914"/>
      <sheetName val="[1.xls][1.xls]______P_H_S_e_916"/>
      <sheetName val="[1.xls][1.xls]______P_H_S_e_918"/>
      <sheetName val="[1.xls][1.xls]______P_H_S_e_917"/>
      <sheetName val="[1.xls][1.xls]______P_H_S_e_919"/>
      <sheetName val="[1.xls][1.xls]______P_H_S_e_921"/>
      <sheetName val="[1.xls][1.xls]______P_H_S_e_920"/>
      <sheetName val="[1.xls][1.xls]______P_H_S_e_924"/>
      <sheetName val="[1.xls][1.XLS]______P_H_S_e_926"/>
      <sheetName val="[1.xls][1.xls]______P_H_S_e_928"/>
      <sheetName val="[1.xls][1.xls]______P_H_S_e_929"/>
      <sheetName val="[1.xls][1.xls]______P_H_S_e_933"/>
      <sheetName val="[1.xls][1.xls]______P_H_S_e_935"/>
      <sheetName val="[1.xls][1.xls]______P_H_S_e_934"/>
      <sheetName val="[1.xls][1.xls]______P_H_S_e_936"/>
      <sheetName val="[1.xls][1.xls]______P_H_S_e_940"/>
      <sheetName val="[1.xls][1.xls]______P_H_S_e_937"/>
      <sheetName val="[1.xls][1.xls]______P_H_S_e_938"/>
      <sheetName val="[1.xls][1.xls]______P_H_S_e_939"/>
      <sheetName val="[1.xls][1.xls]______P_H_S_e_942"/>
      <sheetName val="[1.xls][1.xls]______P_H_S_e_943"/>
      <sheetName val="[1.xls][1.xls]______P_H_S_e_941"/>
      <sheetName val="[1.xls][1.xls]______P_H_S_e_945"/>
      <sheetName val="[1.xls][1.xls]______P_H_S_e_944"/>
      <sheetName val="[1.xls][1.xls]______P_H_S_e_947"/>
      <sheetName val="[1.xls][1.xls]______P_H_S_e_948"/>
      <sheetName val="[1.xls][1.xls]______P_H_S_e_946"/>
      <sheetName val="[1.xls][1.xls]______P_H_S_e_961"/>
      <sheetName val="[1.xls][1.XLS]______P_H_S_e_960"/>
      <sheetName val="[1.xls][1.xls]______P_H_S_e_957"/>
      <sheetName val="목표세부명세"/>
      <sheetName val="[1.xls][1.xls]______P_H_S_e_952"/>
      <sheetName val="[1.xls][1.xls]______P_H_S_e_950"/>
      <sheetName val="[1.xls][1.xls]______P_H_S_e_949"/>
      <sheetName val="[1.xls][1.xls]______P_H_S_e_951"/>
      <sheetName val="[1.xls][1.xls]______P_H_S_e_956"/>
      <sheetName val="[1.xls][1.xls]______P_H_S_e_955"/>
      <sheetName val="[1.xls][1.xls]______P_H_S_e_954"/>
      <sheetName val="[1.xls][1.xls]______P_H_S_e_953"/>
      <sheetName val="[1.xls][1.xls]______P_H_S_e_958"/>
      <sheetName val="[1.xls][1.xls]______P_H_S_e_959"/>
      <sheetName val="[1.xls][1.xls]______P_H_S_e_962"/>
      <sheetName val="[1.xls][1.xls]______P_H_S_e_994"/>
      <sheetName val="[1.xls][1.xls]______P_H_S_e_995"/>
      <sheetName val="[1.xls][1.xls]______P_H_S_e_981"/>
      <sheetName val="부표"/>
      <sheetName val="장비종합부표"/>
      <sheetName val="건축기성"/>
      <sheetName val="[1.xls][1.xls]______P_H_S_e_963"/>
      <sheetName val="[1.xls][1.xls]______P_H_S_e_964"/>
      <sheetName val="[1.xls][1.xls]______P_H_S_e_967"/>
      <sheetName val="[1.xls][1.xls]______P_H_S_e_966"/>
      <sheetName val="[1.xls][1.xls]______P_H_S_e_965"/>
      <sheetName val="[1.xls][1.xls]______P_H_S_e_968"/>
      <sheetName val="[1.xls][1.xls]______P_H_S_e_969"/>
      <sheetName val="[1.xls][1.xls]______P_H_S_e_971"/>
      <sheetName val="[1.xls][1.xls]______P_H_S_e_970"/>
      <sheetName val="[1.xls][1.xls]______P_H_S_e_977"/>
      <sheetName val="[1.xls][1.xls]______P_H_S_e_978"/>
      <sheetName val="[1.xls][1.xls]______P_H_S_e_972"/>
      <sheetName val="[1.xls][1.xls]______P_H_S_e_973"/>
      <sheetName val="[1.xls][1.xls]______P_H_S_e_974"/>
      <sheetName val="[1.xls][1.xls]______P_H_S_e_975"/>
      <sheetName val="[1.xls][1.xls]______P_H_S_e_976"/>
      <sheetName val="[1.xls][1.xls]______P_H_S_e_979"/>
      <sheetName val="[1.xls][1.xls]______P_H_S_e_980"/>
      <sheetName val="[1.xls][1.xls]______P_H_S_e_982"/>
      <sheetName val="[1.xls][1.xls]______P_H_S_e_983"/>
      <sheetName val="[1.xls][1.xls]______P_H_S_e_985"/>
      <sheetName val="[1.xls][1.xls]______P_H_S_e_984"/>
      <sheetName val="[1.xls][1.xls]______P_H_S_e_986"/>
      <sheetName val="00건설추정대차대조표"/>
      <sheetName val="날개벽"/>
      <sheetName val="6동"/>
      <sheetName val="주방"/>
      <sheetName val="수량BOQ"/>
      <sheetName val="지장물C"/>
      <sheetName val="(4-2)열관류값-2"/>
      <sheetName val="표지(기계)"/>
      <sheetName val="공사설정"/>
      <sheetName val="토공사"/>
      <sheetName val="직종표"/>
      <sheetName val="낙찰표"/>
      <sheetName val="G2설비도급"/>
      <sheetName val="I一般比"/>
      <sheetName val="앨범표지"/>
      <sheetName val="2동전기"/>
      <sheetName val="견적"/>
      <sheetName val="[1.xls][1.xls]______P_H_S_e_987"/>
      <sheetName val="[1.xls][1.xls]______P_H_S_e_988"/>
      <sheetName val="4-3 (2)"/>
      <sheetName val="에너지동"/>
      <sheetName val="O-단가조사서"/>
      <sheetName val="경상비"/>
      <sheetName val="직원근무현황"/>
      <sheetName val="DATA입력"/>
      <sheetName val="급여TABLE"/>
      <sheetName val="집기손료"/>
      <sheetName val="집기류"/>
      <sheetName val="보할 "/>
      <sheetName val="현장조직표 "/>
      <sheetName val="Eastimate"/>
      <sheetName val="내역률노무비"/>
      <sheetName val="정릉견_x0000__x0000_"/>
      <sheetName val="내역서 (_x0000__x0000_"/>
      <sheetName val="표"/>
      <sheetName val="견적의뢰"/>
      <sheetName val="2-3.V.D일위"/>
      <sheetName val="[1.xls][1.xls]______P_H_S_e_993"/>
      <sheetName val="[1.xls][1.xls]______P_H_S_e_989"/>
      <sheetName val="[1.xls][1.xls]______P_H_S_e_990"/>
      <sheetName val="[1.xls][1.xls]______P_H_S_e_991"/>
      <sheetName val="[1.xls][1.xls]______P_H_S_e_992"/>
      <sheetName val="[1.xls][1.xls]______P_H_S_e_996"/>
      <sheetName val="[1.xls][1.xls]______P_H_S_e_997"/>
      <sheetName val="[1.xls][1.xls]______P_H_S_e_998"/>
      <sheetName val="[1.xls][1.xls]______P_H_S_e_999"/>
      <sheetName val="[1.xls][1.xls]______P_H_S__1013"/>
      <sheetName val="[1.xls][1.xls]______P_H_S__1014"/>
      <sheetName val="[1.xls][1.xls]______P_H_S__1002"/>
      <sheetName val="[1.xls][1.xls]______P_H_S__1000"/>
      <sheetName val="[1.xls][1.xls]______P_H_S__1001"/>
      <sheetName val="[1.xls][1.xls]______P_H_S__1003"/>
      <sheetName val="[1.xls][1.xls]______P_H_S__1005"/>
      <sheetName val="[1.xls][1.xls]______P_H_S__1004"/>
      <sheetName val="[1.xls][1.xls]______P_H_S__1007"/>
      <sheetName val="[1.xls][1.xls]______P_H_S__1008"/>
      <sheetName val="[1.xls][1.xls]______P_H_S__1006"/>
      <sheetName val="[1.xls][1.xls]______P_H_S__1010"/>
      <sheetName val="[1.xls][1.xls]______P_H_S__1009"/>
      <sheetName val="[1.xls][1.xls]______P_H_S__1011"/>
      <sheetName val="[1.xls][1.xls]______P_H_S__1012"/>
      <sheetName val="일위대가내역"/>
      <sheetName val="[1.xls][1.xls]__박희석_P_H_S_ex_22"/>
      <sheetName val="[1.xls][1.xls]______P_H_S__1016"/>
      <sheetName val="[1.xls][1.xls]______P_H_S__1015"/>
      <sheetName val="[1.xls][1.xls]______P_H_S__1018"/>
      <sheetName val="[1.xls][1.XLS]______P_H_S__1017"/>
      <sheetName val="[1.xls][1.xls]______P_H_S__1019"/>
      <sheetName val="[1.xls][1.xls]______P_H_S__1020"/>
      <sheetName val="[1.xls][1.xls]______P_H_S__1022"/>
      <sheetName val="[1.xls][1.xls]______P_H_S__1023"/>
      <sheetName val="[1.xls][1.xls]______P_H_S__1021"/>
      <sheetName val="[1.xls][1.xls]______P_H_S__1024"/>
      <sheetName val="[1.xls][1.xls]______P_H_S__1026"/>
      <sheetName val="[1.xls][1.xls]______P_H_S__1027"/>
      <sheetName val="[1.xls][1.xls]______P_H_S__1025"/>
      <sheetName val="소일위대가코드표"/>
      <sheetName val="경상직원"/>
      <sheetName val="투입(관수_건축)"/>
      <sheetName val="투입(APT500)"/>
      <sheetName val="투입(분당)"/>
      <sheetName val="작성지침서2)"/>
      <sheetName val="투입스케쥴양식"/>
      <sheetName val="투입(APT1200)"/>
      <sheetName val="투입(평촌)"/>
      <sheetName val="투입(APT1000)"/>
      <sheetName val="현금및현금등가물"/>
      <sheetName val="F4-F7"/>
      <sheetName val="수정시산표"/>
      <sheetName val="마사"/>
      <sheetName val="토목(대안)"/>
      <sheetName val="2000.11월설계내역"/>
      <sheetName val="[1.xls][1.xls]___희석_P_H_S_ex_14"/>
      <sheetName val="[1.xls][1.xls]___희석_P_H_S_ex_13"/>
      <sheetName val="[1.xls][1.XLS]___희__P_H_S_ex_17"/>
      <sheetName val="[1.xls][1.xls]___희__P_H_S_ex_15"/>
      <sheetName val="[1.xls][1.xls]___희__P_H_S_ex_16"/>
      <sheetName val="[1.xls][1.xls]___희__P_H_S_ex_18"/>
      <sheetName val="[1.xls][1.xls]___희__P_H_S_ex_20"/>
      <sheetName val="[1.xls][1.XLS]___희__P_H_S_ex_19"/>
      <sheetName val="[1.xls][1.xls]___희__P_H_S_ex_21"/>
      <sheetName val="Direct_MP_Updated1"/>
      <sheetName val="5월_평균일수1"/>
      <sheetName val="태화42_1"/>
      <sheetName val="BCA_INDEX1"/>
      <sheetName val="5_단면검토"/>
      <sheetName val="[1_xls][1_xls]__박_석_P_H_S_exc_4"/>
      <sheetName val="[1_xls][1_xls]__박_석_P_H_S_exc_7"/>
      <sheetName val="[1_xls][1_xls]__박_석_P_H_S_exc_5"/>
      <sheetName val="[1_xls][1_xls]__박_석_P_H_S_exc_6"/>
      <sheetName val="폴리머_배수로"/>
      <sheetName val="폴리머_집수정"/>
      <sheetName val="에너지성능지표검토서(기계,_전기,_신재생)(3~5면)"/>
      <sheetName val="[1_xls]\\박희석\P_H_S\excel\1_XLS"/>
      <sheetName val="[1_xls][1_xls]______C______99_9"/>
      <sheetName val="[1_xls][1_xls]______C______9_10"/>
      <sheetName val="[1_xls][1_xls]___희석_P_H_S_exc_3"/>
      <sheetName val="[1_xls][1_XLS]___희석_P_H_S_exc_2"/>
      <sheetName val="[1_xls][1_xls]______P_H_S_ex_93"/>
      <sheetName val="[1_xls][1_xls]______P_H_S_ex_92"/>
      <sheetName val="[1_xls][1_xls]______P_H_S_ex_95"/>
      <sheetName val="[1_xls][1_xls]______P_H_S_ex_94"/>
      <sheetName val="[1_xls][1_xls]______P_H_S_ex_99"/>
      <sheetName val="[1_xls][1_xls]______P_H_S_ex_96"/>
      <sheetName val="[1_xls][1_xls]______P_H_S_ex_97"/>
      <sheetName val="[1_xls][1_xls]______P_H_S_ex_98"/>
      <sheetName val="[1_xls][1_xls]______P_H_S_e_107"/>
      <sheetName val="[1_xls][1_XLS]______P_H_S_e_100"/>
      <sheetName val="[1_xls][1_xls]______P_H_S_e_101"/>
      <sheetName val="[1_xls][1_xls]______P_H_S_e_102"/>
      <sheetName val="[1_xls][1_xls]______P_H_S_e_103"/>
      <sheetName val="[1_xls][1_xls]______P_H_S_e_104"/>
      <sheetName val="[1_xls][1_xls]______P_H_S_e_105"/>
      <sheetName val="[1_xls][1_xls]______P_H_S_e_106"/>
      <sheetName val="[1_xls][1_xls]______P_H_S_e_108"/>
      <sheetName val="[1_xls][1_xls]______P_H_S_e_109"/>
      <sheetName val="[1_xls][1_xls]______P_H_S_e_110"/>
      <sheetName val="[1_xls][1_xls]______P_H_S_e_112"/>
      <sheetName val="[1_xls][1_XLS]______P_H_S_e_111"/>
      <sheetName val="[1_xls][1_xls]______P_H_S_e_113"/>
      <sheetName val="[1_xls][1_xls]______P_H_S_e_114"/>
      <sheetName val="[1_xls][1_XLS]______P_H_S_e_119"/>
      <sheetName val="[1_xls][1_xls]______P_H_S_e_116"/>
      <sheetName val="[1_xls][1_xls]______P_H_S_e_117"/>
      <sheetName val="[1_xls][1_xls]______P_H_S_e_115"/>
      <sheetName val="[1_xls][1_xls]______P_H_S_e_118"/>
      <sheetName val="[1_xls][1_xls]______P_H_S_e_140"/>
      <sheetName val="[1_xls][1_xls]______P_H_S_e_134"/>
      <sheetName val="[1_xls][1_xls]______P_H_S_e_133"/>
      <sheetName val="[1_xls][1_xls]______P_H_S_e_121"/>
      <sheetName val="[1_xls][1_xls]______P_H_S_e_120"/>
      <sheetName val="[1_xls][1_xls]______P_H_S_e_123"/>
      <sheetName val="[1_xls][1_XLS]______P_H_S_e_122"/>
      <sheetName val="[1_xls][1_xls]______P_H_S_e_128"/>
      <sheetName val="[1_xls][1_XLS]______P_H_S_e_125"/>
      <sheetName val="[1_xls][1_xls]______P_H_S_e_124"/>
      <sheetName val="[1_xls][1_xls]______P_H_S_e_127"/>
      <sheetName val="[1_xls][1_xls]______P_H_S_e_126"/>
      <sheetName val="[1_xls][1_xls]______P_H_S_e_129"/>
      <sheetName val="[1_xls][1_xls]______P_H_S_e_131"/>
      <sheetName val="[1_xls][1_xls]______P_H_S_e_130"/>
      <sheetName val="[1_xls][1_xls]______P_H_S_e_132"/>
      <sheetName val="[1_xls][1_xls]______P_H_S_e_135"/>
      <sheetName val="[1_xls][1_xls]______P_H_S_e_136"/>
      <sheetName val="[1_xls][1_xls]______P_H_S_e_137"/>
      <sheetName val="[1_xls][1_xls]______P_H_S_e_138"/>
      <sheetName val="[1_xls][1_xls]______P_H_S_e_139"/>
      <sheetName val="[1_xls][1_xls]______P_H_S_e_150"/>
      <sheetName val="[1_xls][1_XLS]______P_H_S_e_149"/>
      <sheetName val="[1_xls][1_XLS]______P_H_S_e_141"/>
      <sheetName val="[1_xls][1_XLS]______P_H_S_e_142"/>
      <sheetName val="[1_xls][1_XLS]______P_H_S_e_143"/>
      <sheetName val="[1_xls][1_xls]______P_H_S_e_146"/>
      <sheetName val="[1_xls][1_xls]______P_H_S_e_144"/>
      <sheetName val="[1_xls][1_xls]______P_H_S_e_145"/>
      <sheetName val="[1_xls][1_XLS]______P_H_S_e_147"/>
      <sheetName val="[1_xls][1_XLS]______P_H_S_e_148"/>
      <sheetName val="[1_xls][1_xls]______P_H_S_e_154"/>
      <sheetName val="[1_xls][1_xls]______P_H_S_e_151"/>
      <sheetName val="[1_xls][1_xls]______P_H_S_e_159"/>
      <sheetName val="[1_xls][1_xls]______P_H_S_e_152"/>
      <sheetName val="[1_xls][1_xls]______P_H_S_e_153"/>
      <sheetName val="[1_xls][1_xls]______P_H_S_e_160"/>
      <sheetName val="[1_xls][1_xls]______P_H_S_e_155"/>
      <sheetName val="[1_xls][1_xls]______P_H_S_e_157"/>
      <sheetName val="[1_xls][1_xls]______P_H_S_e_156"/>
      <sheetName val="[1_xls][1_xls]______P_H_S_e_158"/>
      <sheetName val="[1_xls][1_xls]______P_H_S_e_161"/>
      <sheetName val="[1_xls][1_xls]______P_H_S_e_165"/>
      <sheetName val="[1_xls][1_XLS]______P_H_S_e_164"/>
      <sheetName val="[1_xls][1_xls]______P_H_S_e_162"/>
      <sheetName val="[1_xls][1_XLS]______P_H_S_e_163"/>
      <sheetName val="[1_xls][1_xls]___희__P_H_S_exc_4"/>
      <sheetName val="[1_xls][1_xls]___희__P_H_S_exc_3"/>
      <sheetName val="[1_xls][1_xls]___희__P_H_S_exc_2"/>
      <sheetName val="\\박희석\P_H_S\excel\1_XLS"/>
      <sheetName val="[1_xls][1_xls]__박_석_P_H_S_exc_8"/>
      <sheetName val="[1_xls][1_xls]__박_석_P_H_S_ex_10"/>
      <sheetName val="[1_xls][1_XLS]__박_석_P_H_S_exc_9"/>
      <sheetName val="[1_xls][1_xls]__박_석_P_H_S_ex_11"/>
      <sheetName val="[1_xls][1_xls]__박_석_P_H_S_ex_13"/>
      <sheetName val="[1_xls][1_XLS]__박_석_P_H_S_ex_12"/>
      <sheetName val="[1_xls][1_xls]__박_석_P_H_S_ex_14"/>
      <sheetName val="[1_xls][1_xls]__박_석_P_H_S_ex_15"/>
      <sheetName val="[1_xls][1_xls]__박_석_P_H_S_ex_17"/>
      <sheetName val="[1_xls][1_XLS]__박_석_P_H_S_ex_16"/>
      <sheetName val="[1_xls][1_xls]__박희__P_H_S_exc_2"/>
      <sheetName val="4_2유효폭의_계산"/>
      <sheetName val="[1_xls][1_xls]______P_H_S_e_166"/>
      <sheetName val="[1_xls][1_xls]______P_H_S_e_167"/>
      <sheetName val="_표준양식_-_파일산출서_xlsx"/>
      <sheetName val="[1.xls][1.xls]__박_석_P_H_S_ex_18"/>
      <sheetName val="[1.xls][1.xls]__박_석_P_H_S_ex_19"/>
      <sheetName val="[1.xls][1.xls]______P_H_S__1028"/>
      <sheetName val="[1.xls][1.xls]______P_H_S__1030"/>
      <sheetName val="[1.xls][1.xls]______P_H_S__1031"/>
      <sheetName val="[1.xls][1.xls]______P_H_S__1029"/>
      <sheetName val="[1.xls][1.xls]______P_H_S__1032"/>
      <sheetName val="[1.xls][1.xls]______P_H_S__1033"/>
      <sheetName val="[1.xls][1.xls]______P_H_S__1034"/>
      <sheetName val="[1.xls][1.xls]______P_H_S__1039"/>
      <sheetName val="[1.xls][1.xls]______P_H_S__1035"/>
      <sheetName val="[1.xls][1.xls]______P_H_S__1036"/>
      <sheetName val="[1.xls][1.xls]______P_H_S__1037"/>
      <sheetName val="[1.xls][1.xls]______P_H_S__1038"/>
      <sheetName val="[1.xls][1.xls]______P_H_S__1040"/>
      <sheetName val="[1.xls][1.xls]______P_H_S__1041"/>
      <sheetName val="[1.xls][1.xls]______P_H_S__1042"/>
      <sheetName val="[1.xls][1.xls]______P_H_S__1057"/>
      <sheetName val="TEL"/>
      <sheetName val="영동(D)"/>
      <sheetName val="경율산정.XLS"/>
      <sheetName val="Raw Data"/>
      <sheetName val="장기미처리(센터)"/>
      <sheetName val="장기미처리(업체)"/>
      <sheetName val="세동별비상"/>
      <sheetName val="TV"/>
      <sheetName val="단면 (2)"/>
      <sheetName val="아°_x0000__x0000_"/>
      <sheetName val="[1.xls][1.xls]______P_H_S__1054"/>
      <sheetName val="[1.xls][1.xls]______P_H_S__1043"/>
      <sheetName val="Bill1__Block_2_-_KC_mong"/>
      <sheetName val="Elemental_Breakdown+20%"/>
      <sheetName val="K2_(K2M)_(K2A)"/>
      <sheetName val="Bill_01_-_CTN"/>
      <sheetName val="노원열병합__건축공사기성내역서"/>
      <sheetName val="6MONTHS"/>
      <sheetName val="[1.xls][1.xls]______P_H_S__1044"/>
      <sheetName val="[1.xls][1.xls]______P_H_S__1046"/>
      <sheetName val="[1.xls][1.xls]______P_H_S__1047"/>
      <sheetName val="[1.xls][1.xls]______P_H_S__1045"/>
      <sheetName val="[1.xls][1.xls]______P_H_S__1048"/>
      <sheetName val="[1.xls][1.xls]______P_H_S__1049"/>
      <sheetName val="[1.xls][1.xls]______P_H_S__1050"/>
      <sheetName val="[1.xls][1.xls]______P_H_S__1051"/>
      <sheetName val="4.포장집계"/>
      <sheetName val="예상공사비 (2)"/>
      <sheetName val="공사비 내역 (가)"/>
      <sheetName val="SILICATE"/>
      <sheetName val="建筑定额 (2002)"/>
      <sheetName val="전기 BM_revA('090624).xls"/>
      <sheetName val="조경공사 (2)"/>
      <sheetName val="조경공사"/>
      <sheetName val="식재부대공사"/>
      <sheetName val="유지관리공사"/>
      <sheetName val="견적을지"/>
      <sheetName val="targetdcf"/>
      <sheetName val="하대지실"/>
      <sheetName val="17.공량(CCTV설비공사)"/>
      <sheetName val="내역서01"/>
      <sheetName val="매입세율"/>
      <sheetName val="(입력)기본정보"/>
      <sheetName val="(자동)재무계획_산출"/>
      <sheetName val="[1.xls][1.xls]______P_H_S__1052"/>
      <sheetName val="[1.xls][1.xls]______P_H_S__1053"/>
      <sheetName val="[1.xls][1.xls]______P_H_S__1055"/>
      <sheetName val="[1.xls][1.xls]______P_H_S__1056"/>
      <sheetName val="[1.xls][1.xls]______P_H_S__1058"/>
      <sheetName val="[1.xls][1.xls]______P_H_S__1062"/>
      <sheetName val="[1.xls][1.xls]______P_H_S__1063"/>
      <sheetName val="[1.xls][1.xls]______P_H_S__1059"/>
      <sheetName val="[1.xls][1.xls]______P_H_S__1060"/>
      <sheetName val="[1.xls][1.xls]______P_H_S__1061"/>
      <sheetName val="[1.xls][1.xls]______P_H_S__1065"/>
      <sheetName val="[1.xls][1.xls]______P_H_S__1064"/>
      <sheetName val="[1.xls][1.xls]______P_H_S__1066"/>
      <sheetName val="[1.xls][1.xls]______P_H_S__1071"/>
      <sheetName val="[1.xls][1.xls]______P_H_S__1068"/>
      <sheetName val="[1.xls][1.xls]______P_H_S__1070"/>
      <sheetName val="[1.xls][1.xls]______P_H_S__1067"/>
      <sheetName val="[1.xls][1.xls]______P_H_S__1069"/>
      <sheetName val="[1.xls][1.xls]______P_H_S__1072"/>
      <sheetName val="[1.xls][1.xls]______P_H_S__1074"/>
      <sheetName val="[1.xls][1.xls]______P_H_S__1078"/>
      <sheetName val="[1.xls][1.xls]______P_H_S__1073"/>
      <sheetName val="물가연동제"/>
      <sheetName val="[1.xls][1.xls]______P_H_S__1076"/>
      <sheetName val="[1.xls][1.xls]______P_H_S__1075"/>
      <sheetName val="[1.xls][1.xls]______P_H_S__1077"/>
      <sheetName val="[1.xls][1.xls]______P_H_S__1080"/>
      <sheetName val="[1.xls][1.xls]______P_H_S__1079"/>
      <sheetName val="[1.xls][1.xls]______P_H_S__1081"/>
      <sheetName val="[1.xls][1.xls]______P_H_S__1090"/>
      <sheetName val="[1.xls][1.xls]______P_H_S__1091"/>
      <sheetName val="[1.xls][1.xls]______P_H_S__1084"/>
      <sheetName val="[1.xls][1.xls]______P_H_S__1083"/>
      <sheetName val="[1.xls][1.xls]______P_H_S__1082"/>
      <sheetName val="[1.xls][1.xls]______P_H_S__1085"/>
      <sheetName val="[1.xls][1.xls]______P_H_S__1086"/>
      <sheetName val="[1.xls][1.xls]______P_H_S__1087"/>
      <sheetName val="[1.xls][1.xls]______P_H_S__1088"/>
      <sheetName val="[1.xls][1.xls]______P_H_S__1089"/>
      <sheetName val="[1.xls][1.xls]______P_H_S__1092"/>
      <sheetName val="[1.xls][1.xls]______P_H_S__1096"/>
      <sheetName val="[1.xls][1.xls]______P_H_S__1094"/>
      <sheetName val="[1.xls][1.xls]______P_H_S__1093"/>
      <sheetName val="[1.xls][1.xls]______P_H_S__1097"/>
      <sheetName val="[1.xls][1.xls]______P_H_S__1095"/>
      <sheetName val="[1.xls][1.xls]______P_H_S__1098"/>
      <sheetName val="[1.xls][1.xls]______P_H_S__1100"/>
      <sheetName val="[1.xls][1.xls]______P_H_S__1099"/>
      <sheetName val="[1.xls][1.xls]______P_H_S__1104"/>
      <sheetName val="[1.xls][1.xls]______P_H_S__1101"/>
      <sheetName val="[1.xls][1.xls]______P_H_S__1102"/>
      <sheetName val="[1.xls][1.xls]______P_H_S__1103"/>
      <sheetName val="[1.xls][1.xls]______P_H_S__1118"/>
      <sheetName val="[1.xls][1.XLS]______P_H_S__1117"/>
      <sheetName val="[1.xls][1.xls]______P_H_S__1112"/>
      <sheetName val="[1.xls][1.XLS]______P_H_S__1105"/>
      <sheetName val="[1.xls][1.xls]______P_H_S__1113"/>
      <sheetName val="[1.xls][1.xls]______P_H_S__1106"/>
      <sheetName val="RESOURCE"/>
      <sheetName val="저수조"/>
      <sheetName val="내역(중앙)"/>
      <sheetName val="내역(창신)"/>
      <sheetName val="건축-물가변동"/>
      <sheetName val="현장관리비세부내역 "/>
      <sheetName val="BQ"/>
      <sheetName val="CABdata"/>
      <sheetName val="[1.xls][1.XLS]______P_H_S__1107"/>
      <sheetName val="[1.xls][1.xls]______P_H_S__1108"/>
      <sheetName val="[1.xls][1.xls]______P_H_S__1109"/>
      <sheetName val="[1.xls][1.XLS]______P_H_S__1111"/>
      <sheetName val="[1.xls][1.XLS]______P_H_S__1110"/>
      <sheetName val="[1.xls][1.xls]______P_H_S__1116"/>
      <sheetName val="[1.xls][1.xls]______P_H_S__1115"/>
      <sheetName val="[1.xls][1.xls]______P_H_S__1114"/>
      <sheetName val="T형( 파일기초) 공현1교"/>
      <sheetName val="TOT"/>
      <sheetName val="[1.xls][1.xls]______P_H_S__1120"/>
      <sheetName val="[1.xls][1.XLS]______P_H_S__1119"/>
      <sheetName val="[1.xls][1.xls]______P_H_S__1121"/>
      <sheetName val="[1.xls][1.xls]______P_H_S__1122"/>
      <sheetName val="[1.xls][1.xls]______P_H_S__1126"/>
      <sheetName val="[1.xls][1.xls]______P_H_S__1124"/>
      <sheetName val="[1.xls][1.xls]______P_H_S__1123"/>
      <sheetName val="[1.xls][1.xls]______P_H_S__1125"/>
      <sheetName val="[1.xls][1.xls]______P_H_S__1127"/>
      <sheetName val="[1.xls][1.XLS]___________exc_56"/>
      <sheetName val="[1.xls][1.xls]______P_H_S__1130"/>
      <sheetName val="[1.xls][1.xls]______P_H_S__1129"/>
      <sheetName val="[1.xls][1.xls]______P_H_S__1128"/>
      <sheetName val="[1.xls][1.xls]______P_H_S__1131"/>
      <sheetName val="[1.xls][1.xls]______P_H_S__1132"/>
      <sheetName val="[1.xls][1.xls]______P_H_S__1138"/>
      <sheetName val="[1.xls][1.XLS]______P_H_S__1137"/>
      <sheetName val="[1.xls][1.xls]______P_H_S__1136"/>
      <sheetName val="[1.xls][1.xls]______P_H_S__1134"/>
      <sheetName val="[1.xls][1.xls]______P_H_S__1133"/>
      <sheetName val="[1.xls][1.xls]______P_H_S__1135"/>
      <sheetName val="23.하중"/>
      <sheetName val="4.조합"/>
      <sheetName val="5.COPING(하중산정)"/>
      <sheetName val="A-일반휨검토"/>
      <sheetName val="A-코벨검토)"/>
      <sheetName val="B-코벨검토)"/>
      <sheetName val="C-코벨검토)"/>
      <sheetName val="5.COPING(균열)"/>
      <sheetName val="5.COPING(수평력검토)"/>
      <sheetName val="6.안정(1)"/>
      <sheetName val="6.안정(2)"/>
      <sheetName val="7.기둥(1)"/>
      <sheetName val="7.기둥(2)"/>
      <sheetName val="7.기둥(3)"/>
      <sheetName val="7.기둥(6)"/>
      <sheetName val="7.기둥횡방향구속철근"/>
      <sheetName val="7.기둥(5)-이번계산에서는 제외함"/>
      <sheetName val="8.기초(1)"/>
      <sheetName val="8.기초(2)"/>
      <sheetName val="8.기초(3)"/>
      <sheetName val="9.강체"/>
      <sheetName val="설계조건및안정검토"/>
      <sheetName val="철근량"/>
      <sheetName val="BOX"/>
      <sheetName val="안정계산"/>
      <sheetName val="날개벽(TYPE1)"/>
      <sheetName val="[1.xls][1.xls]______P_H_S__1140"/>
      <sheetName val="[1.xls][1.xls]______P_H_S__1139"/>
      <sheetName val="[1.xls][1.xls]______P_H_S__1142"/>
      <sheetName val="[1.xls][1.xls]______P_H_S__1141"/>
      <sheetName val="[1.xls][1.xls]______P_H_S__1145"/>
      <sheetName val="[1.xls][1.xls]______P_H_S__1143"/>
      <sheetName val="[1.xls][1.XLS]______P_H_S__1144"/>
      <sheetName val="[1.xls][1.xls]______P_H_S__1147"/>
      <sheetName val="[1.xls][1.xls]______P_H_S__1146"/>
      <sheetName val="[1.xls][1.xls]______P_H_S__1148"/>
      <sheetName val="[1.xls][1.xls]______P_H_S__1150"/>
      <sheetName val="[1.xls][1.xls]______P_H_S__1149"/>
      <sheetName val="[1.xls][1.xls]______P_H_S__1155"/>
      <sheetName val="중동공구"/>
      <sheetName val="[1.xls][1.xls]______P_H_S__1156"/>
      <sheetName val="[1.xls][1.xls]______P_H_S__1151"/>
      <sheetName val="[1.xls][1.XLS]______P_H_S__1152"/>
      <sheetName val="[1.xls][1.xls]______P_H_S__1153"/>
      <sheetName val="[1.xls][1.xls]______P_H_S__1154"/>
      <sheetName val="[1.xls][1.xls]______P_H_S__1157"/>
      <sheetName val="[1.xls][1.xls]______P_H_S__1158"/>
      <sheetName val="[1.xls][1.xls]______P_H_S__1159"/>
      <sheetName val="[1.xls][1.xls]______P_H_S__1160"/>
      <sheetName val="7단가"/>
      <sheetName val="총수량집계표"/>
      <sheetName val="잔수량(작성)"/>
      <sheetName val="[1.xls][1.xls]______P_H_S__1162"/>
      <sheetName val="[1.xls][1.xls]______P_H_S__1161"/>
      <sheetName val="결재갑지"/>
      <sheetName val="[1.xls][1.xls]______P_H_S__1163"/>
      <sheetName val="[1.xls][1.xls]______P_H_S__1164"/>
      <sheetName val="[1.xls][1.xls]______P_H_S__1169"/>
      <sheetName val="[1.xls][1.XLS]______P_H_S__1168"/>
      <sheetName val="[1.xls][1.xls]______P_H_S__1166"/>
      <sheetName val="[1.xls][1.xls]______P_H_S__1165"/>
      <sheetName val="[1.xls][1.XLS]______P_H_S__1167"/>
      <sheetName val="[1.xls][1.xls]______P_H_S__1171"/>
      <sheetName val="[1.xls][1.xls]______P_H_S__1170"/>
      <sheetName val="[1.xls][1.xls]______P_H_S__1172"/>
      <sheetName val="1_공통가설1"/>
      <sheetName val="[1_xls][1_xls]______P_H_S_e_169"/>
      <sheetName val="[1_xls][1_XLS]______P_H_S_e_168"/>
      <sheetName val="[1_xls][1_xls]______P_H_S_e_170"/>
      <sheetName val="[1_xls][1_xls]______P_H_S_e_171"/>
      <sheetName val="[1_xls][1_XLS]______P_H_S_e_172"/>
      <sheetName val="[1_xls][1_xls]__박희__P_H_S_exc_4"/>
      <sheetName val="[1_xls][1_XLS]__박희__P_H_S_exc_3"/>
      <sheetName val="[1_xls][1_xls]__박희__P_H_S_exc_6"/>
      <sheetName val="[1_xls][1_XLS]__박희__P_H_S_exc_5"/>
      <sheetName val="[1_xls][1_xls]______P_H_S_e_179"/>
      <sheetName val="[1_xls][1_XLS]______P_H_S_e_177"/>
      <sheetName val="[1_xls][1_xls]______P_H_S_e_174"/>
      <sheetName val="[1_xls][1_XLS]______P_H_S_e_173"/>
      <sheetName val="[1_xls][1_xls]______P_H_S_e_176"/>
      <sheetName val="[1_xls][1_XLS]______P_H_S_e_175"/>
      <sheetName val="[1_xls][1_xls]______P_H_S_e_178"/>
      <sheetName val="[1_xls][1_xls]______P_H_S_e_187"/>
      <sheetName val="[1_xls][1_xls]______P_H_S_e_184"/>
      <sheetName val="[1_xls][1_xls]______P_H_S_e_181"/>
      <sheetName val="[1_xls][1_xls]______P_H_S_e_180"/>
      <sheetName val="[1_xls][1_xls]______P_H_S_e_182"/>
      <sheetName val="[1_xls][1_xls]______P_H_S_e_183"/>
      <sheetName val="[1_xls][1_xls]______P_H_S_e_185"/>
      <sheetName val="[1_xls][1_xls]______P_H_S_e_186"/>
      <sheetName val="D8_underpass_WP-D592"/>
      <sheetName val="D10_"/>
      <sheetName val="WP-SN01-01_&amp;_02"/>
      <sheetName val="[1_xls][1_XLS]______P_H_S_e_188"/>
      <sheetName val="[1_xls][1_xls]______P_H_S_e_189"/>
      <sheetName val="[1_xls][1_xls]______P_H_S_e_190"/>
      <sheetName val="[1_xls][1_XLS]__박희석_P_H_S_exc_4"/>
      <sheetName val="[1_xls][1_xls]__박희석_P_H_S_exc_3"/>
      <sheetName val="[1_xls][1_XLS]__박희석_P_H_S_exc_2"/>
      <sheetName val="피보험자명세(럭키확정분)"/>
      <sheetName val="전신전화가입권"/>
      <sheetName val="외상매출금현황-수정분 A2"/>
      <sheetName val="[1.xls][1.xls]______P_H_S__1174"/>
      <sheetName val="[1.xls][1.xls]______P_H_S__1173"/>
      <sheetName val="[1.xls][1.xls]______P_H_S__1175"/>
      <sheetName val="[1.xls][1.xls]______P_H_S__1176"/>
      <sheetName val="[1.xls][1.xls]______P_H_S__1179"/>
      <sheetName val="[1.xls][1.xls]______P_H_S__1180"/>
      <sheetName val="[1.xls][1.xls]______P_H_S__1177"/>
      <sheetName val="[1.xls][1.xls]______P_H_S__1178"/>
      <sheetName val="[1.xls][1.xls]______P_H_S__1181"/>
      <sheetName val="[1.xls][1.xls]______P_H_S__1184"/>
      <sheetName val="[1.xls][1.xls]______P_H_S__1185"/>
      <sheetName val="[1.xls][1.xls]______P_H_S__1182"/>
      <sheetName val="[1.xls][1.xls]______P_H_S__1183"/>
      <sheetName val="노무비o"/>
      <sheetName val="[1.xls][1.xls]______P_H_S__1197"/>
      <sheetName val="[1.xls][1.xls]______P_H_S__1186"/>
      <sheetName val="[1.xls][1.xls]______P_H_S__1187"/>
      <sheetName val="[1.xls][1.xls]______P_H_S__1193"/>
      <sheetName val="[1.xls][1.xls]______P_H_S__1194"/>
      <sheetName val="[1.xls][1.XLS]______P_H_S__1191"/>
      <sheetName val="[1.xls][1.xls]______P_H_S__1190"/>
      <sheetName val="[1.xls][1.XLS]______P_H_S__1188"/>
      <sheetName val="[1.xls][1.xls]______P_H_S__1189"/>
      <sheetName val="[1.xls][1.xls]______P_H_S__1192"/>
      <sheetName val="[1.xls][1.xls]______P_H_S__1195"/>
      <sheetName val="[1.xls][1.xls]______P_H_S__1196"/>
      <sheetName val="[1.xls][1.xls]______P_H_S__1198"/>
      <sheetName val="[1.xls][1.xls]______P_H_S__1199"/>
      <sheetName val="[1.xls][1.xls]______P_H_S__1200"/>
      <sheetName val="[1.xls][1.xls]______P_H_S__1202"/>
      <sheetName val="[1.xls][1.XLS]______P_H_S__1201"/>
      <sheetName val="[1.xls][1.xls]______P_H_S__1204"/>
      <sheetName val="[1.xls][1.XLS]______P_H_S__1203"/>
      <sheetName val="_x0000__x0000__x0000__x0010__x0000__x0000__x0000_ㅀ"/>
      <sheetName val="[1.xls][1.xls]______P_H_S__1205"/>
      <sheetName val="[1.xls][1.XLS]__박___P_H_S_exc_5"/>
      <sheetName val="구조물철거타공정이월"/>
      <sheetName val="당초내역서"/>
      <sheetName val="안정검토"/>
      <sheetName val="단면설계"/>
      <sheetName val="안정검토(온1)"/>
      <sheetName val="철근단면적"/>
      <sheetName val="옹벽"/>
      <sheetName val="반중력식옹벽"/>
      <sheetName val="INPUTDATA"/>
      <sheetName val="H-pile(298x299)"/>
      <sheetName val="H-pile(250x250)"/>
      <sheetName val="종단계산"/>
      <sheetName val="상 부"/>
      <sheetName val="교대시점"/>
      <sheetName val="화해(장성)"/>
      <sheetName val="화해(함평)"/>
      <sheetName val="대창(장성)"/>
      <sheetName val="주현(영광)"/>
      <sheetName val="주현(해보)"/>
      <sheetName val="용산3(영광)"/>
      <sheetName val="suk(mac)"/>
      <sheetName val="슬래브(유곡)"/>
      <sheetName val="슬래브"/>
      <sheetName val="골재산출"/>
      <sheetName val="장비집계"/>
      <sheetName val="3.바닥판설계"/>
      <sheetName val="주형"/>
      <sheetName val="I.설계조건"/>
      <sheetName val="교대(A1-A2)"/>
      <sheetName val="COPING"/>
      <sheetName val="주차구획선수량"/>
      <sheetName val="기둥"/>
      <sheetName val="저판(버림100)"/>
      <sheetName val="공량산출서"/>
      <sheetName val="배수공 내역서 적용수량"/>
      <sheetName val="좌측"/>
      <sheetName val="입력란"/>
      <sheetName val="97노임단가"/>
      <sheetName val="S.중기사용료"/>
      <sheetName val="성토도수로현황(횡배수관)"/>
      <sheetName val="진주방향"/>
      <sheetName val="도장"/>
      <sheetName val="우수"/>
      <sheetName val="빗물받이(910-510-410)"/>
      <sheetName val="집수정(600-700)"/>
      <sheetName val="우수공"/>
      <sheetName val="[1.xls][1.xls]______P_H_S__1209"/>
      <sheetName val="[1.xls][1.xls]______P_H_S__1206"/>
      <sheetName val="[1.xls][1.xls]______P_H_S__1207"/>
      <sheetName val="[1.xls][1.xls]______P_H_S__1208"/>
      <sheetName val="[1.xls][1.xls]______P_H_S__1211"/>
      <sheetName val="[1.xls][1.xls]______P_H_S__1210"/>
      <sheetName val="[1.xls][1.xls]______P_H_S__1212"/>
      <sheetName val="[1.xls][1.xls]______P_H_S__1213"/>
      <sheetName val="[1.xls][1.xls]______P_H_S__1214"/>
      <sheetName val="[1.xls][1.xls]______P_H_S__1215"/>
      <sheetName val="[1.xls][1.xls]______P_H_S__1217"/>
      <sheetName val="[1.xls][1.xls]______P_H_S__1216"/>
      <sheetName val="[1.xls][1.xls]______P_H_S__1219"/>
      <sheetName val="[1.xls][1.xls]______P_H_S__1218"/>
      <sheetName val="[1.xls][1.xls]______P_H_S__1222"/>
      <sheetName val="[1.xls][1.xls]______P_H_S__1223"/>
      <sheetName val="[1.xls][1.xls]______P_H_S__1220"/>
      <sheetName val="[1.xls][1.xls]______P_H_S__1221"/>
      <sheetName val="[1.xls][1.xls]______P_H_S__1224"/>
      <sheetName val="[1.xls][1.xls]______P_H_S__1232"/>
      <sheetName val="[1.xls][1.xls]______P_H_S__1226"/>
      <sheetName val="[1.xls][1.xls]______P_H_S__1225"/>
      <sheetName val="[1.xls][1.xls]______P_H_S__1233"/>
      <sheetName val="[1.xls][1.xls]______P_H_S__1227"/>
      <sheetName val="[1.xls][1.xls]______P_H_S__1228"/>
      <sheetName val="[1.xls][1.xls]______P_H_S__1229"/>
      <sheetName val="[1.xls][1.xls]______P_H_S__1231"/>
      <sheetName val="[1.xls][1.xls]______P_H_S__1230"/>
      <sheetName val="[1.xls][1.xls]______P_H_S__1234"/>
      <sheetName val="[1.xls][1.xls]______P_H_S__1237"/>
      <sheetName val="[1.xls][1.xls]______P_H_S__1235"/>
      <sheetName val="[1.xls][1.xls]______P_H_S__1236"/>
      <sheetName val="[1.xls][1.xls]______P_H_S__1279"/>
      <sheetName val="[1.xls][1.xls]______P_H_S__1280"/>
      <sheetName val="[1.xls][1.xls]______P_H_S__1276"/>
      <sheetName val="[1.xls][1.xls]______P_H_S__1252"/>
      <sheetName val="[1.xls][1.xls]______P_H_S__1254"/>
      <sheetName val="_x0000__x0000__x0000__x0010__x0000__x0000__x0000_㓠"/>
      <sheetName val="입찰내역"/>
      <sheetName val="[1.xls][1.xls]______P_H_S__1239"/>
      <sheetName val="[1.xls][1.xls]______P_H_S__1238"/>
      <sheetName val="[1.xls][1.xls]______P_H_S__1240"/>
      <sheetName val="[1.xls][1.xls]______P_H_S__1241"/>
      <sheetName val="[1.xls][1.xls]______P_H_S__1242"/>
      <sheetName val="[1.xls][1.xls]______P_H_S__1243"/>
      <sheetName val="[1.xls][1.xls]______P_H_S__1245"/>
      <sheetName val="[1.xls][1.xls]______P_H_S__1244"/>
      <sheetName val="[1.xls][1.xls]______P_H_S__1248"/>
      <sheetName val="[1.xls][1.xls]______P_H_S__1246"/>
      <sheetName val="[1.xls][1.xls]______P_H_S__1247"/>
      <sheetName val="[1.xls][1.xls]______P_H_S__1251"/>
      <sheetName val="[1.xls][1.xls]______P_H_S__1249"/>
      <sheetName val="[1.xls][1.xls]______P_H_S__1250"/>
      <sheetName val="[1.xls][1.xls]______P_H_S__1253"/>
      <sheetName val="[1.xls][1.xls]______P_H_S__1255"/>
      <sheetName val="[1.xls][1.xls]______P_H_S__1256"/>
      <sheetName val="[1.xls][1.xls]______P_H_S__1258"/>
      <sheetName val="[1.xls][1.xls]______P_H_S__1257"/>
      <sheetName val="[1.xls][1.xls]______P_H_S__1261"/>
      <sheetName val="[1.xls][1.XLS]______P_H_S__1260"/>
      <sheetName val="냉온열원집계"/>
      <sheetName val="토공(완충)"/>
      <sheetName val="01. 종합예정공정표"/>
      <sheetName val="36.미지급법인세"/>
      <sheetName val="단지배치도"/>
      <sheetName val="CAT_5"/>
      <sheetName val="아Õ_x0000_Ԁ"/>
      <sheetName val="[1.xls][1.xls]___희석_P_H_S_ex_15"/>
      <sheetName val="내역서(총괄)"/>
      <sheetName val="[1.xls][1.XLS]______P_H_S__1259"/>
      <sheetName val="[1.xls][1.xls]______P_H_S__1266"/>
      <sheetName val="[1.xls][1.xls]______P_H_S__1262"/>
      <sheetName val="[1.xls][1.xls]______P_H_S__1263"/>
      <sheetName val="[1.xls][1.xls]______P_H_S__1264"/>
      <sheetName val="[1.xls][1.xls]______P_H_S__1265"/>
      <sheetName val="[1.xls][1.xls]______P_H_S__1267"/>
      <sheetName val="[1.xls][1.xls]______P_H_S__1268"/>
      <sheetName val="[1.xls][1.xls]______P_H_S__1269"/>
      <sheetName val="[1.xls][1.xls]______P_H_S__1270"/>
      <sheetName val="[1.xls][1.xls]______P_H_S__1271"/>
      <sheetName val="[1.xls][1.xls]______P_H_S__1272"/>
      <sheetName val="[1.xls][1.xls]______P_H_S__1273"/>
      <sheetName val="[1.xls][1.xls]______P_H_S__1275"/>
      <sheetName val="[1.xls][1.XLS]______P_H_S__1274"/>
      <sheetName val="[1.xls][1.xls]______P_H_S__1278"/>
      <sheetName val="[1.xls][1.xls]______P_H_S__1277"/>
      <sheetName val="[1.xls][1.xls]______P_H_S__1281"/>
      <sheetName val="기계내역"/>
      <sheetName val="THKLCAC MAU"/>
      <sheetName val="Section"/>
      <sheetName val="[1.xls][1.xls]______P_H_S__1285"/>
      <sheetName val="[1.xls][1.xls]______P_H_S__1283"/>
      <sheetName val="[1.xls][1.xls]______P_H_S__1284"/>
      <sheetName val="[1.xls][1.xls]______P_H_S__1282"/>
      <sheetName val="[1.xls][1.xls]______P_H_S__1286"/>
      <sheetName val="[1.xls][1.xls]______P_H_S__1287"/>
      <sheetName val="[1.xls][1.xls]______P_H_S__1300"/>
      <sheetName val="일위대가(목록)"/>
      <sheetName val="내역서변경성원"/>
      <sheetName val="양수장내역"/>
      <sheetName val="직공비"/>
      <sheetName val="순공사비"/>
      <sheetName val="산출내역서집계표"/>
      <sheetName val="연동내역"/>
      <sheetName val="단가입탂"/>
      <sheetName val="건축집계"/>
      <sheetName val="Source"/>
      <sheetName val="Preface"/>
      <sheetName val="[1.xls][1.xls]______P_H_S__1288"/>
      <sheetName val="[1.xls][1.xls]______P_H_S__1289"/>
      <sheetName val="[1.xls][1.xls]______P_H_S__1291"/>
      <sheetName val="[1.xls][1.xls]______P_H_S__1290"/>
      <sheetName val="[1.xls][1.xls]______P_H_S__1293"/>
      <sheetName val="[1.xls][1.xls]______P_H_S__1292"/>
      <sheetName val="[1.xls][1.xls]______P_H_S__1294"/>
      <sheetName val="[1.xls][1.xls]______P_H_S__1295"/>
      <sheetName val="[1.xls][1.xls]______P_H_S__1296"/>
      <sheetName val="[1.xls][1.xls]______P_H_S__1297"/>
      <sheetName val="[1.xls][1.xls]______P_H_S__1298"/>
      <sheetName val="[1.xls][1.xls]______P_H_S__1299"/>
      <sheetName val="IMP(MAIN"/>
      <sheetName val="[1.xls][1.xls]______P_H_S__1304"/>
      <sheetName val="[1.xls][1.xls]______P_H_S__1306"/>
      <sheetName val="[1.xls][1.xls]______P_H_S__1303"/>
      <sheetName val="[1.xls][1.xls]______P_H_S__1301"/>
      <sheetName val="[1.xls][1.xls]______P_H_S__1302"/>
      <sheetName val="[1.xls][1.xls]______P_H_S__1307"/>
      <sheetName val="[1.xls][1.xls]______P_H_S__1305"/>
      <sheetName val="[1.xls][1.xls]______P_H_S__1308"/>
      <sheetName val="[1.xls][1.xls]______P_H_S__1309"/>
      <sheetName val="[1.xls][1.xls]______P_H_S__1311"/>
      <sheetName val="[1.xls][1.xls]______P_H_S__1310"/>
      <sheetName val="[1.xls][1.xls]______P_H_S__1314"/>
      <sheetName val="[1.xls][1.xls]______P_H_S__1312"/>
      <sheetName val="[1.xls][1.xls]______P_H_S__1313"/>
      <sheetName val="[1.xls][1.xls]______P_H_S__1315"/>
      <sheetName val="[1.xls][1.xls]______P_H_S__1316"/>
      <sheetName val="__MIGA_______TOWER_P_KBLEE____4"/>
      <sheetName val="명1"/>
      <sheetName val="명1 (2)"/>
      <sheetName val="MACRO(MCC)"/>
      <sheetName val="총괄갑 "/>
      <sheetName val="[1.xls][1.xls]______P_H_S__1317"/>
      <sheetName val="[1.xls][1.xls]______P_H_S__1318"/>
      <sheetName val="[1.xls][1.xls]______P_H_S__1321"/>
      <sheetName val="[1.xls][1.xls]______P_H_S__1319"/>
      <sheetName val="[1.xls][1.xls]______P_H_S__1320"/>
      <sheetName val="[1.xls][1.xls]______P_H_S__1322"/>
      <sheetName val="[1.xls][1.xls]______P_H_S__1323"/>
      <sheetName val="[1.xls][1.xls]______P_H_S__1325"/>
      <sheetName val="[1.xls][1.xls]______P_H_S__1326"/>
      <sheetName val="[1.xls][1.xls]______P_H_S__1324"/>
      <sheetName val="[1.xls][1.xls]______P_H_S__1329"/>
      <sheetName val="[1.xls][1.XLS]______P_H_S__1327"/>
      <sheetName val="[1.xls][1.xls]______P_H_S__1328"/>
      <sheetName val="[1.xls][1.xls]______P_H_S__1332"/>
      <sheetName val="[1.xls][1.XLS]______P_H_S__1331"/>
      <sheetName val="[1.xls][1.XLS]______P_H_S__1330"/>
      <sheetName val="내역서(도급)"/>
      <sheetName val="[1.xls][1.xls]______P_H_S__1335"/>
      <sheetName val="[1.xls][1.xls]______P_H_S__1333"/>
      <sheetName val="[1.xls][1.xls]______P_H_S__1334"/>
      <sheetName val="[1.xls][1.xls]______P_H_S__1338"/>
      <sheetName val="[1.xls][1.xls]______P_H_S__1336"/>
      <sheetName val="[1.xls][1.xls]______P_H_S__1337"/>
      <sheetName val="[1.xls][1.xls]______P_H_S__1340"/>
      <sheetName val="[1.xls][1.xls]______P_H_S__1339"/>
      <sheetName val=" _x000a_Ơ믣"/>
      <sheetName val="[1.xls][1.xls]______P_H_S__1343"/>
      <sheetName val="[1.xls][1.xls]______P_H_S__1346"/>
      <sheetName val="[1.xls][1.xls]______P_H_S__1342"/>
      <sheetName val="[1.xls][1.xls]______P_H_S__1341"/>
      <sheetName val="[1.xls][1.xls]______P_H_S__1347"/>
      <sheetName val="[1.xls][1.xls]______P_H_S__1344"/>
      <sheetName val="[1.xls][1.xls]______P_H_S__1345"/>
      <sheetName val="[1.xls][1.xls]______P_H_S__1348"/>
      <sheetName val="[1.xls][1.xls]______P_H_S__1349"/>
      <sheetName val="[1.xls][1.xls]______P_H_S__1350"/>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ow r="2">
          <cell r="A2" t="str">
            <v>실     명</v>
          </cell>
        </row>
      </sheetData>
      <sheetData sheetId="88">
        <row r="2">
          <cell r="A2" t="str">
            <v>실     명</v>
          </cell>
        </row>
      </sheetData>
      <sheetData sheetId="89">
        <row r="2">
          <cell r="A2" t="str">
            <v>실     명</v>
          </cell>
        </row>
      </sheetData>
      <sheetData sheetId="90">
        <row r="2">
          <cell r="A2" t="str">
            <v>실     명</v>
          </cell>
        </row>
      </sheetData>
      <sheetData sheetId="91">
        <row r="2">
          <cell r="A2" t="str">
            <v>실     명</v>
          </cell>
        </row>
      </sheetData>
      <sheetData sheetId="92">
        <row r="2">
          <cell r="A2" t="str">
            <v>실     명</v>
          </cell>
        </row>
      </sheetData>
      <sheetData sheetId="93">
        <row r="2">
          <cell r="A2" t="str">
            <v>실     명</v>
          </cell>
        </row>
      </sheetData>
      <sheetData sheetId="94">
        <row r="2">
          <cell r="A2" t="str">
            <v>실     명</v>
          </cell>
        </row>
      </sheetData>
      <sheetData sheetId="95">
        <row r="2">
          <cell r="A2" t="str">
            <v>실     명</v>
          </cell>
        </row>
      </sheetData>
      <sheetData sheetId="96">
        <row r="2">
          <cell r="A2" t="str">
            <v>실     명</v>
          </cell>
        </row>
      </sheetData>
      <sheetData sheetId="97">
        <row r="2">
          <cell r="A2" t="str">
            <v>실     명</v>
          </cell>
        </row>
      </sheetData>
      <sheetData sheetId="98">
        <row r="2">
          <cell r="A2" t="str">
            <v>실     명</v>
          </cell>
        </row>
      </sheetData>
      <sheetData sheetId="99">
        <row r="2">
          <cell r="A2" t="str">
            <v>실     명</v>
          </cell>
        </row>
      </sheetData>
      <sheetData sheetId="100">
        <row r="2">
          <cell r="A2" t="str">
            <v>실     명</v>
          </cell>
        </row>
      </sheetData>
      <sheetData sheetId="101">
        <row r="2">
          <cell r="A2" t="str">
            <v>실     명</v>
          </cell>
        </row>
      </sheetData>
      <sheetData sheetId="102">
        <row r="2">
          <cell r="A2" t="str">
            <v>실     명</v>
          </cell>
        </row>
      </sheetData>
      <sheetData sheetId="103">
        <row r="2">
          <cell r="A2" t="str">
            <v>실     명</v>
          </cell>
        </row>
      </sheetData>
      <sheetData sheetId="104" refreshError="1"/>
      <sheetData sheetId="105" refreshError="1"/>
      <sheetData sheetId="106" refreshError="1"/>
      <sheetData sheetId="107" refreshError="1"/>
      <sheetData sheetId="108" refreshError="1"/>
      <sheetData sheetId="109" refreshError="1"/>
      <sheetData sheetId="110" refreshError="1"/>
      <sheetData sheetId="111">
        <row r="2">
          <cell r="A2" t="str">
            <v>실     명</v>
          </cell>
        </row>
      </sheetData>
      <sheetData sheetId="112">
        <row r="2">
          <cell r="A2" t="str">
            <v>실     명</v>
          </cell>
        </row>
      </sheetData>
      <sheetData sheetId="113">
        <row r="2">
          <cell r="A2" t="str">
            <v>실     명</v>
          </cell>
        </row>
      </sheetData>
      <sheetData sheetId="114">
        <row r="2">
          <cell r="A2" t="str">
            <v>실     명</v>
          </cell>
        </row>
      </sheetData>
      <sheetData sheetId="115">
        <row r="2">
          <cell r="A2" t="str">
            <v>실     명</v>
          </cell>
        </row>
      </sheetData>
      <sheetData sheetId="116">
        <row r="2">
          <cell r="A2" t="str">
            <v>실     명</v>
          </cell>
        </row>
      </sheetData>
      <sheetData sheetId="117">
        <row r="2">
          <cell r="A2" t="str">
            <v>실     명</v>
          </cell>
        </row>
      </sheetData>
      <sheetData sheetId="118">
        <row r="2">
          <cell r="A2" t="str">
            <v>실     명</v>
          </cell>
        </row>
      </sheetData>
      <sheetData sheetId="119">
        <row r="2">
          <cell r="A2" t="str">
            <v>실     명</v>
          </cell>
        </row>
      </sheetData>
      <sheetData sheetId="120">
        <row r="2">
          <cell r="A2" t="str">
            <v>실     명</v>
          </cell>
        </row>
      </sheetData>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ow r="2">
          <cell r="A2" t="str">
            <v>실     명</v>
          </cell>
        </row>
      </sheetData>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ow r="2">
          <cell r="A2" t="str">
            <v>실     명</v>
          </cell>
        </row>
      </sheetData>
      <sheetData sheetId="240">
        <row r="2">
          <cell r="A2" t="str">
            <v>실     명</v>
          </cell>
        </row>
      </sheetData>
      <sheetData sheetId="241">
        <row r="2">
          <cell r="A2" t="str">
            <v>실     명</v>
          </cell>
        </row>
      </sheetData>
      <sheetData sheetId="242">
        <row r="2">
          <cell r="A2" t="str">
            <v>실     명</v>
          </cell>
        </row>
      </sheetData>
      <sheetData sheetId="243">
        <row r="2">
          <cell r="A2" t="str">
            <v>실     명</v>
          </cell>
        </row>
      </sheetData>
      <sheetData sheetId="244">
        <row r="2">
          <cell r="A2" t="str">
            <v>실     명</v>
          </cell>
        </row>
      </sheetData>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ow r="2">
          <cell r="A2" t="str">
            <v>실     명</v>
          </cell>
        </row>
      </sheetData>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ow r="2">
          <cell r="A2" t="str">
            <v>실     명</v>
          </cell>
        </row>
      </sheetData>
      <sheetData sheetId="279">
        <row r="2">
          <cell r="A2" t="str">
            <v>실     명</v>
          </cell>
        </row>
      </sheetData>
      <sheetData sheetId="280">
        <row r="2">
          <cell r="A2" t="str">
            <v>실     명</v>
          </cell>
        </row>
      </sheetData>
      <sheetData sheetId="281">
        <row r="2">
          <cell r="A2" t="str">
            <v>실     명</v>
          </cell>
        </row>
      </sheetData>
      <sheetData sheetId="282">
        <row r="2">
          <cell r="A2" t="str">
            <v>실     명</v>
          </cell>
        </row>
      </sheetData>
      <sheetData sheetId="283">
        <row r="2">
          <cell r="A2" t="str">
            <v>실     명</v>
          </cell>
        </row>
      </sheetData>
      <sheetData sheetId="284">
        <row r="2">
          <cell r="A2" t="str">
            <v>실     명</v>
          </cell>
        </row>
      </sheetData>
      <sheetData sheetId="285">
        <row r="2">
          <cell r="A2" t="str">
            <v>실     명</v>
          </cell>
        </row>
      </sheetData>
      <sheetData sheetId="286">
        <row r="2">
          <cell r="A2" t="str">
            <v>실     명</v>
          </cell>
        </row>
      </sheetData>
      <sheetData sheetId="287">
        <row r="2">
          <cell r="A2" t="str">
            <v>실     명</v>
          </cell>
        </row>
      </sheetData>
      <sheetData sheetId="288">
        <row r="2">
          <cell r="A2" t="str">
            <v>실     명</v>
          </cell>
        </row>
      </sheetData>
      <sheetData sheetId="289">
        <row r="2">
          <cell r="A2" t="str">
            <v>실     명</v>
          </cell>
        </row>
      </sheetData>
      <sheetData sheetId="290">
        <row r="2">
          <cell r="A2" t="str">
            <v>실     명</v>
          </cell>
        </row>
      </sheetData>
      <sheetData sheetId="291">
        <row r="2">
          <cell r="A2" t="str">
            <v>실     명</v>
          </cell>
        </row>
      </sheetData>
      <sheetData sheetId="292">
        <row r="2">
          <cell r="A2" t="str">
            <v>실     명</v>
          </cell>
        </row>
      </sheetData>
      <sheetData sheetId="293">
        <row r="2">
          <cell r="A2" t="str">
            <v>실     명</v>
          </cell>
        </row>
      </sheetData>
      <sheetData sheetId="294">
        <row r="2">
          <cell r="A2" t="str">
            <v>실     명</v>
          </cell>
        </row>
      </sheetData>
      <sheetData sheetId="295">
        <row r="2">
          <cell r="A2" t="str">
            <v>실     명</v>
          </cell>
        </row>
      </sheetData>
      <sheetData sheetId="296">
        <row r="2">
          <cell r="A2" t="str">
            <v>실     명</v>
          </cell>
        </row>
      </sheetData>
      <sheetData sheetId="297">
        <row r="2">
          <cell r="A2" t="str">
            <v>실     명</v>
          </cell>
        </row>
      </sheetData>
      <sheetData sheetId="298">
        <row r="2">
          <cell r="A2" t="str">
            <v>실     명</v>
          </cell>
        </row>
      </sheetData>
      <sheetData sheetId="299">
        <row r="2">
          <cell r="A2" t="str">
            <v>실     명</v>
          </cell>
        </row>
      </sheetData>
      <sheetData sheetId="300">
        <row r="2">
          <cell r="A2" t="str">
            <v>실     명</v>
          </cell>
        </row>
      </sheetData>
      <sheetData sheetId="301">
        <row r="2">
          <cell r="A2" t="str">
            <v>실     명</v>
          </cell>
        </row>
      </sheetData>
      <sheetData sheetId="302">
        <row r="2">
          <cell r="A2" t="str">
            <v>실     명</v>
          </cell>
        </row>
      </sheetData>
      <sheetData sheetId="303">
        <row r="2">
          <cell r="A2" t="str">
            <v>실     명</v>
          </cell>
        </row>
      </sheetData>
      <sheetData sheetId="304">
        <row r="2">
          <cell r="A2" t="str">
            <v>실     명</v>
          </cell>
        </row>
      </sheetData>
      <sheetData sheetId="305">
        <row r="2">
          <cell r="A2" t="str">
            <v>실     명</v>
          </cell>
        </row>
      </sheetData>
      <sheetData sheetId="306">
        <row r="2">
          <cell r="A2" t="str">
            <v>실     명</v>
          </cell>
        </row>
      </sheetData>
      <sheetData sheetId="307">
        <row r="2">
          <cell r="A2" t="str">
            <v>실     명</v>
          </cell>
        </row>
      </sheetData>
      <sheetData sheetId="308">
        <row r="2">
          <cell r="A2" t="str">
            <v>실     명</v>
          </cell>
        </row>
      </sheetData>
      <sheetData sheetId="309">
        <row r="2">
          <cell r="A2" t="str">
            <v>실     명</v>
          </cell>
        </row>
      </sheetData>
      <sheetData sheetId="310">
        <row r="2">
          <cell r="A2" t="str">
            <v>실     명</v>
          </cell>
        </row>
      </sheetData>
      <sheetData sheetId="311">
        <row r="2">
          <cell r="A2" t="str">
            <v>실     명</v>
          </cell>
        </row>
      </sheetData>
      <sheetData sheetId="312">
        <row r="2">
          <cell r="A2" t="str">
            <v>실     명</v>
          </cell>
        </row>
      </sheetData>
      <sheetData sheetId="313">
        <row r="2">
          <cell r="A2" t="str">
            <v>실     명</v>
          </cell>
        </row>
      </sheetData>
      <sheetData sheetId="314">
        <row r="2">
          <cell r="A2" t="str">
            <v>실     명</v>
          </cell>
        </row>
      </sheetData>
      <sheetData sheetId="315">
        <row r="2">
          <cell r="A2" t="str">
            <v>실     명</v>
          </cell>
        </row>
      </sheetData>
      <sheetData sheetId="316">
        <row r="2">
          <cell r="A2" t="str">
            <v>실     명</v>
          </cell>
        </row>
      </sheetData>
      <sheetData sheetId="317">
        <row r="2">
          <cell r="A2" t="str">
            <v>실     명</v>
          </cell>
        </row>
      </sheetData>
      <sheetData sheetId="318">
        <row r="2">
          <cell r="A2" t="str">
            <v>실     명</v>
          </cell>
        </row>
      </sheetData>
      <sheetData sheetId="319">
        <row r="2">
          <cell r="A2" t="str">
            <v>실     명</v>
          </cell>
        </row>
      </sheetData>
      <sheetData sheetId="320">
        <row r="2">
          <cell r="A2" t="str">
            <v>실     명</v>
          </cell>
        </row>
      </sheetData>
      <sheetData sheetId="321">
        <row r="2">
          <cell r="A2" t="str">
            <v>실     명</v>
          </cell>
        </row>
      </sheetData>
      <sheetData sheetId="322">
        <row r="2">
          <cell r="A2" t="str">
            <v>실     명</v>
          </cell>
        </row>
      </sheetData>
      <sheetData sheetId="323">
        <row r="2">
          <cell r="A2" t="str">
            <v>실     명</v>
          </cell>
        </row>
      </sheetData>
      <sheetData sheetId="324">
        <row r="2">
          <cell r="A2" t="str">
            <v>실     명</v>
          </cell>
        </row>
      </sheetData>
      <sheetData sheetId="325">
        <row r="2">
          <cell r="A2" t="str">
            <v>실     명</v>
          </cell>
        </row>
      </sheetData>
      <sheetData sheetId="326">
        <row r="2">
          <cell r="A2" t="str">
            <v>실     명</v>
          </cell>
        </row>
      </sheetData>
      <sheetData sheetId="327">
        <row r="2">
          <cell r="A2" t="str">
            <v>실     명</v>
          </cell>
        </row>
      </sheetData>
      <sheetData sheetId="328">
        <row r="2">
          <cell r="A2" t="str">
            <v>실     명</v>
          </cell>
        </row>
      </sheetData>
      <sheetData sheetId="329">
        <row r="2">
          <cell r="A2" t="str">
            <v>실     명</v>
          </cell>
        </row>
      </sheetData>
      <sheetData sheetId="330">
        <row r="2">
          <cell r="A2" t="str">
            <v>실     명</v>
          </cell>
        </row>
      </sheetData>
      <sheetData sheetId="331">
        <row r="2">
          <cell r="A2" t="str">
            <v>실     명</v>
          </cell>
        </row>
      </sheetData>
      <sheetData sheetId="332">
        <row r="2">
          <cell r="A2" t="str">
            <v>실     명</v>
          </cell>
        </row>
      </sheetData>
      <sheetData sheetId="333">
        <row r="2">
          <cell r="A2" t="str">
            <v>실     명</v>
          </cell>
        </row>
      </sheetData>
      <sheetData sheetId="334">
        <row r="2">
          <cell r="A2" t="str">
            <v>실     명</v>
          </cell>
        </row>
      </sheetData>
      <sheetData sheetId="335">
        <row r="2">
          <cell r="A2" t="str">
            <v>실     명</v>
          </cell>
        </row>
      </sheetData>
      <sheetData sheetId="336">
        <row r="2">
          <cell r="A2" t="str">
            <v>실     명</v>
          </cell>
        </row>
      </sheetData>
      <sheetData sheetId="337">
        <row r="2">
          <cell r="A2" t="str">
            <v>실     명</v>
          </cell>
        </row>
      </sheetData>
      <sheetData sheetId="338">
        <row r="2">
          <cell r="A2" t="str">
            <v>실     명</v>
          </cell>
        </row>
      </sheetData>
      <sheetData sheetId="339">
        <row r="2">
          <cell r="A2" t="str">
            <v>실     명</v>
          </cell>
        </row>
      </sheetData>
      <sheetData sheetId="340">
        <row r="2">
          <cell r="A2" t="str">
            <v>실     명</v>
          </cell>
        </row>
      </sheetData>
      <sheetData sheetId="341">
        <row r="2">
          <cell r="A2" t="str">
            <v>실     명</v>
          </cell>
        </row>
      </sheetData>
      <sheetData sheetId="342">
        <row r="2">
          <cell r="A2" t="str">
            <v>실     명</v>
          </cell>
        </row>
      </sheetData>
      <sheetData sheetId="343">
        <row r="2">
          <cell r="A2" t="str">
            <v>실     명</v>
          </cell>
        </row>
      </sheetData>
      <sheetData sheetId="344">
        <row r="2">
          <cell r="A2" t="str">
            <v>실     명</v>
          </cell>
        </row>
      </sheetData>
      <sheetData sheetId="345">
        <row r="2">
          <cell r="A2" t="str">
            <v>실     명</v>
          </cell>
        </row>
      </sheetData>
      <sheetData sheetId="346">
        <row r="2">
          <cell r="A2" t="str">
            <v>실     명</v>
          </cell>
        </row>
      </sheetData>
      <sheetData sheetId="347">
        <row r="2">
          <cell r="A2" t="str">
            <v>실     명</v>
          </cell>
        </row>
      </sheetData>
      <sheetData sheetId="348">
        <row r="2">
          <cell r="A2" t="str">
            <v>실     명</v>
          </cell>
        </row>
      </sheetData>
      <sheetData sheetId="349">
        <row r="2">
          <cell r="A2" t="str">
            <v>실     명</v>
          </cell>
        </row>
      </sheetData>
      <sheetData sheetId="350">
        <row r="2">
          <cell r="A2" t="str">
            <v>실     명</v>
          </cell>
        </row>
      </sheetData>
      <sheetData sheetId="351">
        <row r="2">
          <cell r="A2" t="str">
            <v>실     명</v>
          </cell>
        </row>
      </sheetData>
      <sheetData sheetId="352">
        <row r="2">
          <cell r="A2" t="str">
            <v>실     명</v>
          </cell>
        </row>
      </sheetData>
      <sheetData sheetId="353">
        <row r="2">
          <cell r="A2" t="str">
            <v>실     명</v>
          </cell>
        </row>
      </sheetData>
      <sheetData sheetId="354">
        <row r="2">
          <cell r="A2" t="str">
            <v>실     명</v>
          </cell>
        </row>
      </sheetData>
      <sheetData sheetId="355">
        <row r="2">
          <cell r="A2" t="str">
            <v>실     명</v>
          </cell>
        </row>
      </sheetData>
      <sheetData sheetId="356">
        <row r="2">
          <cell r="A2" t="str">
            <v>실     명</v>
          </cell>
        </row>
      </sheetData>
      <sheetData sheetId="357">
        <row r="2">
          <cell r="A2" t="str">
            <v>실     명</v>
          </cell>
        </row>
      </sheetData>
      <sheetData sheetId="358">
        <row r="2">
          <cell r="A2" t="str">
            <v>실     명</v>
          </cell>
        </row>
      </sheetData>
      <sheetData sheetId="359">
        <row r="2">
          <cell r="A2" t="str">
            <v>실     명</v>
          </cell>
        </row>
      </sheetData>
      <sheetData sheetId="360">
        <row r="2">
          <cell r="A2" t="str">
            <v>실     명</v>
          </cell>
        </row>
      </sheetData>
      <sheetData sheetId="361">
        <row r="2">
          <cell r="A2" t="str">
            <v>실     명</v>
          </cell>
        </row>
      </sheetData>
      <sheetData sheetId="362">
        <row r="2">
          <cell r="A2" t="str">
            <v>실     명</v>
          </cell>
        </row>
      </sheetData>
      <sheetData sheetId="363">
        <row r="2">
          <cell r="A2" t="str">
            <v>실     명</v>
          </cell>
        </row>
      </sheetData>
      <sheetData sheetId="364">
        <row r="2">
          <cell r="A2" t="str">
            <v>실     명</v>
          </cell>
        </row>
      </sheetData>
      <sheetData sheetId="365">
        <row r="2">
          <cell r="A2" t="str">
            <v>실     명</v>
          </cell>
        </row>
      </sheetData>
      <sheetData sheetId="366">
        <row r="2">
          <cell r="A2" t="str">
            <v>실     명</v>
          </cell>
        </row>
      </sheetData>
      <sheetData sheetId="367">
        <row r="2">
          <cell r="A2" t="str">
            <v>실     명</v>
          </cell>
        </row>
      </sheetData>
      <sheetData sheetId="368">
        <row r="2">
          <cell r="A2" t="str">
            <v>실     명</v>
          </cell>
        </row>
      </sheetData>
      <sheetData sheetId="369">
        <row r="2">
          <cell r="A2" t="str">
            <v>실     명</v>
          </cell>
        </row>
      </sheetData>
      <sheetData sheetId="370">
        <row r="2">
          <cell r="A2" t="str">
            <v>실     명</v>
          </cell>
        </row>
      </sheetData>
      <sheetData sheetId="371">
        <row r="2">
          <cell r="A2" t="str">
            <v>실     명</v>
          </cell>
        </row>
      </sheetData>
      <sheetData sheetId="372">
        <row r="2">
          <cell r="A2" t="str">
            <v>실     명</v>
          </cell>
        </row>
      </sheetData>
      <sheetData sheetId="373">
        <row r="2">
          <cell r="A2" t="str">
            <v>실     명</v>
          </cell>
        </row>
      </sheetData>
      <sheetData sheetId="374">
        <row r="2">
          <cell r="A2" t="str">
            <v>실     명</v>
          </cell>
        </row>
      </sheetData>
      <sheetData sheetId="375">
        <row r="2">
          <cell r="A2" t="str">
            <v>실     명</v>
          </cell>
        </row>
      </sheetData>
      <sheetData sheetId="376">
        <row r="2">
          <cell r="A2" t="str">
            <v>실     명</v>
          </cell>
        </row>
      </sheetData>
      <sheetData sheetId="377">
        <row r="2">
          <cell r="A2" t="str">
            <v>실     명</v>
          </cell>
        </row>
      </sheetData>
      <sheetData sheetId="378">
        <row r="2">
          <cell r="A2" t="str">
            <v>실     명</v>
          </cell>
        </row>
      </sheetData>
      <sheetData sheetId="379">
        <row r="2">
          <cell r="A2" t="str">
            <v>실     명</v>
          </cell>
        </row>
      </sheetData>
      <sheetData sheetId="380">
        <row r="2">
          <cell r="A2" t="str">
            <v>실     명</v>
          </cell>
        </row>
      </sheetData>
      <sheetData sheetId="381">
        <row r="2">
          <cell r="A2" t="str">
            <v>실     명</v>
          </cell>
        </row>
      </sheetData>
      <sheetData sheetId="382">
        <row r="2">
          <cell r="A2" t="str">
            <v>실     명</v>
          </cell>
        </row>
      </sheetData>
      <sheetData sheetId="383" refreshError="1"/>
      <sheetData sheetId="384">
        <row r="2">
          <cell r="A2" t="str">
            <v>실     명</v>
          </cell>
        </row>
      </sheetData>
      <sheetData sheetId="385">
        <row r="2">
          <cell r="A2" t="str">
            <v>실     명</v>
          </cell>
        </row>
      </sheetData>
      <sheetData sheetId="386">
        <row r="2">
          <cell r="A2" t="str">
            <v>실     명</v>
          </cell>
        </row>
      </sheetData>
      <sheetData sheetId="387">
        <row r="2">
          <cell r="A2" t="str">
            <v>실     명</v>
          </cell>
        </row>
      </sheetData>
      <sheetData sheetId="388">
        <row r="2">
          <cell r="A2" t="str">
            <v>실     명</v>
          </cell>
        </row>
      </sheetData>
      <sheetData sheetId="389">
        <row r="2">
          <cell r="A2" t="str">
            <v>실     명</v>
          </cell>
        </row>
      </sheetData>
      <sheetData sheetId="390">
        <row r="2">
          <cell r="A2" t="str">
            <v>실     명</v>
          </cell>
        </row>
      </sheetData>
      <sheetData sheetId="391">
        <row r="2">
          <cell r="A2" t="str">
            <v>실     명</v>
          </cell>
        </row>
      </sheetData>
      <sheetData sheetId="392">
        <row r="2">
          <cell r="A2" t="str">
            <v>실     명</v>
          </cell>
        </row>
      </sheetData>
      <sheetData sheetId="393">
        <row r="2">
          <cell r="A2" t="str">
            <v>실     명</v>
          </cell>
        </row>
      </sheetData>
      <sheetData sheetId="394">
        <row r="2">
          <cell r="A2" t="str">
            <v>실     명</v>
          </cell>
        </row>
      </sheetData>
      <sheetData sheetId="395">
        <row r="2">
          <cell r="A2" t="str">
            <v>실     명</v>
          </cell>
        </row>
      </sheetData>
      <sheetData sheetId="396">
        <row r="2">
          <cell r="A2" t="str">
            <v>실     명</v>
          </cell>
        </row>
      </sheetData>
      <sheetData sheetId="397">
        <row r="2">
          <cell r="A2" t="str">
            <v>실     명</v>
          </cell>
        </row>
      </sheetData>
      <sheetData sheetId="398">
        <row r="2">
          <cell r="A2" t="str">
            <v>실     명</v>
          </cell>
        </row>
      </sheetData>
      <sheetData sheetId="399">
        <row r="2">
          <cell r="A2" t="str">
            <v>실     명</v>
          </cell>
        </row>
      </sheetData>
      <sheetData sheetId="400">
        <row r="2">
          <cell r="A2" t="str">
            <v>실     명</v>
          </cell>
        </row>
      </sheetData>
      <sheetData sheetId="401">
        <row r="2">
          <cell r="A2" t="str">
            <v>실     명</v>
          </cell>
        </row>
      </sheetData>
      <sheetData sheetId="402" refreshError="1"/>
      <sheetData sheetId="403">
        <row r="2">
          <cell r="A2" t="str">
            <v>실     명</v>
          </cell>
        </row>
      </sheetData>
      <sheetData sheetId="404">
        <row r="2">
          <cell r="A2" t="str">
            <v>실     명</v>
          </cell>
        </row>
      </sheetData>
      <sheetData sheetId="405">
        <row r="2">
          <cell r="A2" t="str">
            <v>실     명</v>
          </cell>
        </row>
      </sheetData>
      <sheetData sheetId="406">
        <row r="2">
          <cell r="A2" t="str">
            <v>실     명</v>
          </cell>
        </row>
      </sheetData>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sheetData sheetId="439"/>
      <sheetData sheetId="440" refreshError="1"/>
      <sheetData sheetId="441" refreshError="1"/>
      <sheetData sheetId="442" refreshError="1"/>
      <sheetData sheetId="443" refreshError="1"/>
      <sheetData sheetId="444"/>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ow r="2">
          <cell r="A2" t="str">
            <v>실     명</v>
          </cell>
        </row>
      </sheetData>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ow r="2">
          <cell r="A2" t="str">
            <v>실     명</v>
          </cell>
        </row>
      </sheetData>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ow r="2">
          <cell r="A2" t="str">
            <v>실     명</v>
          </cell>
        </row>
      </sheetData>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ow r="2">
          <cell r="A2" t="str">
            <v>실     명</v>
          </cell>
        </row>
      </sheetData>
      <sheetData sheetId="666">
        <row r="2">
          <cell r="A2" t="str">
            <v>실     명</v>
          </cell>
        </row>
      </sheetData>
      <sheetData sheetId="667">
        <row r="2">
          <cell r="A2" t="str">
            <v>실     명</v>
          </cell>
        </row>
      </sheetData>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ow r="2">
          <cell r="A2" t="str">
            <v>실     명</v>
          </cell>
        </row>
      </sheetData>
      <sheetData sheetId="719" refreshError="1"/>
      <sheetData sheetId="720" refreshError="1"/>
      <sheetData sheetId="721" refreshError="1"/>
      <sheetData sheetId="722">
        <row r="2">
          <cell r="A2" t="str">
            <v>실     명</v>
          </cell>
        </row>
      </sheetData>
      <sheetData sheetId="723">
        <row r="2">
          <cell r="A2" t="str">
            <v>실     명</v>
          </cell>
        </row>
      </sheetData>
      <sheetData sheetId="724">
        <row r="2">
          <cell r="A2" t="str">
            <v>실     명</v>
          </cell>
        </row>
      </sheetData>
      <sheetData sheetId="725">
        <row r="2">
          <cell r="A2" t="str">
            <v>실     명</v>
          </cell>
        </row>
      </sheetData>
      <sheetData sheetId="726">
        <row r="2">
          <cell r="A2" t="str">
            <v>실     명</v>
          </cell>
        </row>
      </sheetData>
      <sheetData sheetId="727">
        <row r="2">
          <cell r="A2" t="str">
            <v>실     명</v>
          </cell>
        </row>
      </sheetData>
      <sheetData sheetId="728">
        <row r="2">
          <cell r="A2" t="str">
            <v>실     명</v>
          </cell>
        </row>
      </sheetData>
      <sheetData sheetId="729">
        <row r="2">
          <cell r="A2" t="str">
            <v>실     명</v>
          </cell>
        </row>
      </sheetData>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ow r="2">
          <cell r="A2" t="str">
            <v>실     명</v>
          </cell>
        </row>
      </sheetData>
      <sheetData sheetId="747" refreshError="1"/>
      <sheetData sheetId="748" refreshError="1"/>
      <sheetData sheetId="749" refreshError="1"/>
      <sheetData sheetId="750" refreshError="1"/>
      <sheetData sheetId="751" refreshError="1"/>
      <sheetData sheetId="752" refreshError="1"/>
      <sheetData sheetId="753" refreshError="1"/>
      <sheetData sheetId="754">
        <row r="2">
          <cell r="A2" t="str">
            <v>실     명</v>
          </cell>
        </row>
      </sheetData>
      <sheetData sheetId="755">
        <row r="2">
          <cell r="A2" t="str">
            <v>실     명</v>
          </cell>
        </row>
      </sheetData>
      <sheetData sheetId="756" refreshError="1"/>
      <sheetData sheetId="757">
        <row r="2">
          <cell r="A2" t="str">
            <v>실     명</v>
          </cell>
        </row>
      </sheetData>
      <sheetData sheetId="758">
        <row r="2">
          <cell r="A2" t="str">
            <v>실     명</v>
          </cell>
        </row>
      </sheetData>
      <sheetData sheetId="759">
        <row r="2">
          <cell r="A2" t="str">
            <v>실     명</v>
          </cell>
        </row>
      </sheetData>
      <sheetData sheetId="760">
        <row r="2">
          <cell r="A2" t="str">
            <v>실     명</v>
          </cell>
        </row>
      </sheetData>
      <sheetData sheetId="761">
        <row r="2">
          <cell r="A2" t="str">
            <v>실     명</v>
          </cell>
        </row>
      </sheetData>
      <sheetData sheetId="762">
        <row r="2">
          <cell r="A2" t="str">
            <v>실     명</v>
          </cell>
        </row>
      </sheetData>
      <sheetData sheetId="763">
        <row r="2">
          <cell r="A2" t="str">
            <v>실     명</v>
          </cell>
        </row>
      </sheetData>
      <sheetData sheetId="764">
        <row r="2">
          <cell r="A2" t="str">
            <v>실     명</v>
          </cell>
        </row>
      </sheetData>
      <sheetData sheetId="765">
        <row r="2">
          <cell r="A2" t="str">
            <v>실     명</v>
          </cell>
        </row>
      </sheetData>
      <sheetData sheetId="766">
        <row r="2">
          <cell r="A2" t="str">
            <v>실     명</v>
          </cell>
        </row>
      </sheetData>
      <sheetData sheetId="767">
        <row r="2">
          <cell r="A2" t="str">
            <v>실     명</v>
          </cell>
        </row>
      </sheetData>
      <sheetData sheetId="768">
        <row r="2">
          <cell r="A2" t="str">
            <v>실     명</v>
          </cell>
        </row>
      </sheetData>
      <sheetData sheetId="769">
        <row r="2">
          <cell r="A2" t="str">
            <v>실     명</v>
          </cell>
        </row>
      </sheetData>
      <sheetData sheetId="770">
        <row r="2">
          <cell r="A2" t="str">
            <v>실     명</v>
          </cell>
        </row>
      </sheetData>
      <sheetData sheetId="771">
        <row r="2">
          <cell r="A2" t="str">
            <v>실     명</v>
          </cell>
        </row>
      </sheetData>
      <sheetData sheetId="772">
        <row r="2">
          <cell r="A2" t="str">
            <v>실     명</v>
          </cell>
        </row>
      </sheetData>
      <sheetData sheetId="773">
        <row r="2">
          <cell r="A2" t="str">
            <v>실     명</v>
          </cell>
        </row>
      </sheetData>
      <sheetData sheetId="774">
        <row r="2">
          <cell r="A2" t="str">
            <v>실     명</v>
          </cell>
        </row>
      </sheetData>
      <sheetData sheetId="775">
        <row r="2">
          <cell r="A2" t="str">
            <v>실     명</v>
          </cell>
        </row>
      </sheetData>
      <sheetData sheetId="776">
        <row r="2">
          <cell r="A2" t="str">
            <v>실     명</v>
          </cell>
        </row>
      </sheetData>
      <sheetData sheetId="777">
        <row r="2">
          <cell r="A2" t="str">
            <v>실     명</v>
          </cell>
        </row>
      </sheetData>
      <sheetData sheetId="778">
        <row r="2">
          <cell r="A2" t="str">
            <v>실     명</v>
          </cell>
        </row>
      </sheetData>
      <sheetData sheetId="779">
        <row r="2">
          <cell r="A2" t="str">
            <v>실     명</v>
          </cell>
        </row>
      </sheetData>
      <sheetData sheetId="780">
        <row r="2">
          <cell r="A2" t="str">
            <v>실     명</v>
          </cell>
        </row>
      </sheetData>
      <sheetData sheetId="781">
        <row r="2">
          <cell r="A2" t="str">
            <v>실     명</v>
          </cell>
        </row>
      </sheetData>
      <sheetData sheetId="782">
        <row r="2">
          <cell r="A2" t="str">
            <v>실     명</v>
          </cell>
        </row>
      </sheetData>
      <sheetData sheetId="783">
        <row r="2">
          <cell r="A2" t="str">
            <v>실     명</v>
          </cell>
        </row>
      </sheetData>
      <sheetData sheetId="784">
        <row r="2">
          <cell r="A2" t="str">
            <v>실     명</v>
          </cell>
        </row>
      </sheetData>
      <sheetData sheetId="785">
        <row r="2">
          <cell r="A2" t="str">
            <v>실     명</v>
          </cell>
        </row>
      </sheetData>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ow r="2">
          <cell r="A2" t="str">
            <v>실     명</v>
          </cell>
        </row>
      </sheetData>
      <sheetData sheetId="839">
        <row r="2">
          <cell r="A2" t="str">
            <v>실     명</v>
          </cell>
        </row>
      </sheetData>
      <sheetData sheetId="840">
        <row r="2">
          <cell r="A2" t="str">
            <v>실     명</v>
          </cell>
        </row>
      </sheetData>
      <sheetData sheetId="841">
        <row r="2">
          <cell r="A2" t="str">
            <v>실     명</v>
          </cell>
        </row>
      </sheetData>
      <sheetData sheetId="842">
        <row r="2">
          <cell r="A2" t="str">
            <v>실     명</v>
          </cell>
        </row>
      </sheetData>
      <sheetData sheetId="843">
        <row r="2">
          <cell r="A2" t="str">
            <v>실     명</v>
          </cell>
        </row>
      </sheetData>
      <sheetData sheetId="844">
        <row r="2">
          <cell r="A2" t="str">
            <v>실     명</v>
          </cell>
        </row>
      </sheetData>
      <sheetData sheetId="845">
        <row r="2">
          <cell r="A2" t="str">
            <v>실     명</v>
          </cell>
        </row>
      </sheetData>
      <sheetData sheetId="846">
        <row r="2">
          <cell r="A2" t="str">
            <v>실     명</v>
          </cell>
        </row>
      </sheetData>
      <sheetData sheetId="847">
        <row r="2">
          <cell r="A2" t="str">
            <v>실     명</v>
          </cell>
        </row>
      </sheetData>
      <sheetData sheetId="848">
        <row r="2">
          <cell r="A2" t="str">
            <v>실     명</v>
          </cell>
        </row>
      </sheetData>
      <sheetData sheetId="849">
        <row r="2">
          <cell r="A2" t="str">
            <v>실     명</v>
          </cell>
        </row>
      </sheetData>
      <sheetData sheetId="850">
        <row r="2">
          <cell r="A2" t="str">
            <v>실     명</v>
          </cell>
        </row>
      </sheetData>
      <sheetData sheetId="851">
        <row r="2">
          <cell r="A2" t="str">
            <v>실     명</v>
          </cell>
        </row>
      </sheetData>
      <sheetData sheetId="852">
        <row r="2">
          <cell r="A2" t="str">
            <v>실     명</v>
          </cell>
        </row>
      </sheetData>
      <sheetData sheetId="853">
        <row r="2">
          <cell r="A2" t="str">
            <v>실     명</v>
          </cell>
        </row>
      </sheetData>
      <sheetData sheetId="854">
        <row r="2">
          <cell r="A2" t="str">
            <v>실     명</v>
          </cell>
        </row>
      </sheetData>
      <sheetData sheetId="855">
        <row r="2">
          <cell r="A2" t="str">
            <v>실     명</v>
          </cell>
        </row>
      </sheetData>
      <sheetData sheetId="856">
        <row r="2">
          <cell r="A2" t="str">
            <v>실     명</v>
          </cell>
        </row>
      </sheetData>
      <sheetData sheetId="857">
        <row r="2">
          <cell r="A2" t="str">
            <v>실     명</v>
          </cell>
        </row>
      </sheetData>
      <sheetData sheetId="858">
        <row r="2">
          <cell r="A2" t="str">
            <v>실     명</v>
          </cell>
        </row>
      </sheetData>
      <sheetData sheetId="859">
        <row r="2">
          <cell r="A2" t="str">
            <v>실     명</v>
          </cell>
        </row>
      </sheetData>
      <sheetData sheetId="860">
        <row r="2">
          <cell r="A2" t="str">
            <v>실     명</v>
          </cell>
        </row>
      </sheetData>
      <sheetData sheetId="861">
        <row r="2">
          <cell r="A2" t="str">
            <v>실     명</v>
          </cell>
        </row>
      </sheetData>
      <sheetData sheetId="862">
        <row r="2">
          <cell r="A2" t="str">
            <v>실     명</v>
          </cell>
        </row>
      </sheetData>
      <sheetData sheetId="863">
        <row r="2">
          <cell r="A2" t="str">
            <v>실     명</v>
          </cell>
        </row>
      </sheetData>
      <sheetData sheetId="864">
        <row r="2">
          <cell r="A2" t="str">
            <v>실     명</v>
          </cell>
        </row>
      </sheetData>
      <sheetData sheetId="865">
        <row r="2">
          <cell r="A2" t="str">
            <v>실     명</v>
          </cell>
        </row>
      </sheetData>
      <sheetData sheetId="866">
        <row r="2">
          <cell r="A2" t="str">
            <v>실     명</v>
          </cell>
        </row>
      </sheetData>
      <sheetData sheetId="867">
        <row r="2">
          <cell r="A2" t="str">
            <v>실     명</v>
          </cell>
        </row>
      </sheetData>
      <sheetData sheetId="868">
        <row r="2">
          <cell r="A2" t="str">
            <v>실     명</v>
          </cell>
        </row>
      </sheetData>
      <sheetData sheetId="869">
        <row r="2">
          <cell r="A2" t="str">
            <v>실     명</v>
          </cell>
        </row>
      </sheetData>
      <sheetData sheetId="870">
        <row r="2">
          <cell r="A2" t="str">
            <v>실     명</v>
          </cell>
        </row>
      </sheetData>
      <sheetData sheetId="871">
        <row r="2">
          <cell r="A2" t="str">
            <v>실     명</v>
          </cell>
        </row>
      </sheetData>
      <sheetData sheetId="872">
        <row r="2">
          <cell r="A2" t="str">
            <v>실     명</v>
          </cell>
        </row>
      </sheetData>
      <sheetData sheetId="873">
        <row r="2">
          <cell r="A2" t="str">
            <v>실     명</v>
          </cell>
        </row>
      </sheetData>
      <sheetData sheetId="874">
        <row r="2">
          <cell r="A2" t="str">
            <v>실     명</v>
          </cell>
        </row>
      </sheetData>
      <sheetData sheetId="875">
        <row r="2">
          <cell r="A2" t="str">
            <v>실     명</v>
          </cell>
        </row>
      </sheetData>
      <sheetData sheetId="876">
        <row r="2">
          <cell r="A2" t="str">
            <v>실     명</v>
          </cell>
        </row>
      </sheetData>
      <sheetData sheetId="877">
        <row r="2">
          <cell r="A2" t="str">
            <v>실     명</v>
          </cell>
        </row>
      </sheetData>
      <sheetData sheetId="878">
        <row r="2">
          <cell r="A2" t="str">
            <v>실     명</v>
          </cell>
        </row>
      </sheetData>
      <sheetData sheetId="879">
        <row r="2">
          <cell r="A2" t="str">
            <v>실     명</v>
          </cell>
        </row>
      </sheetData>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ow r="2">
          <cell r="A2" t="str">
            <v>실     명</v>
          </cell>
        </row>
      </sheetData>
      <sheetData sheetId="899">
        <row r="2">
          <cell r="A2" t="str">
            <v>실     명</v>
          </cell>
        </row>
      </sheetData>
      <sheetData sheetId="900">
        <row r="2">
          <cell r="A2" t="str">
            <v>실     명</v>
          </cell>
        </row>
      </sheetData>
      <sheetData sheetId="901">
        <row r="2">
          <cell r="A2" t="str">
            <v>실     명</v>
          </cell>
        </row>
      </sheetData>
      <sheetData sheetId="902">
        <row r="2">
          <cell r="A2" t="str">
            <v>실     명</v>
          </cell>
        </row>
      </sheetData>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ow r="2">
          <cell r="A2" t="str">
            <v>실     명</v>
          </cell>
        </row>
      </sheetData>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ow r="2">
          <cell r="A2" t="str">
            <v>실     명</v>
          </cell>
        </row>
      </sheetData>
      <sheetData sheetId="981" refreshError="1"/>
      <sheetData sheetId="982" refreshError="1"/>
      <sheetData sheetId="983" refreshError="1"/>
      <sheetData sheetId="984">
        <row r="2">
          <cell r="A2" t="str">
            <v>실     명</v>
          </cell>
        </row>
      </sheetData>
      <sheetData sheetId="985">
        <row r="2">
          <cell r="A2" t="str">
            <v>실     명</v>
          </cell>
        </row>
      </sheetData>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ow r="2">
          <cell r="A2" t="str">
            <v>실     명</v>
          </cell>
        </row>
      </sheetData>
      <sheetData sheetId="1036">
        <row r="2">
          <cell r="A2" t="str">
            <v>실     명</v>
          </cell>
        </row>
      </sheetData>
      <sheetData sheetId="1037">
        <row r="2">
          <cell r="A2" t="str">
            <v>실     명</v>
          </cell>
        </row>
      </sheetData>
      <sheetData sheetId="1038">
        <row r="2">
          <cell r="A2" t="str">
            <v>실     명</v>
          </cell>
        </row>
      </sheetData>
      <sheetData sheetId="1039">
        <row r="2">
          <cell r="A2" t="str">
            <v>실     명</v>
          </cell>
        </row>
      </sheetData>
      <sheetData sheetId="1040">
        <row r="2">
          <cell r="A2" t="str">
            <v>실     명</v>
          </cell>
        </row>
      </sheetData>
      <sheetData sheetId="1041">
        <row r="2">
          <cell r="A2" t="str">
            <v>실     명</v>
          </cell>
        </row>
      </sheetData>
      <sheetData sheetId="1042">
        <row r="2">
          <cell r="A2" t="str">
            <v>실     명</v>
          </cell>
        </row>
      </sheetData>
      <sheetData sheetId="1043">
        <row r="2">
          <cell r="A2" t="str">
            <v>실     명</v>
          </cell>
        </row>
      </sheetData>
      <sheetData sheetId="1044">
        <row r="2">
          <cell r="A2" t="str">
            <v>실     명</v>
          </cell>
        </row>
      </sheetData>
      <sheetData sheetId="1045">
        <row r="2">
          <cell r="A2" t="str">
            <v>실     명</v>
          </cell>
        </row>
      </sheetData>
      <sheetData sheetId="1046">
        <row r="2">
          <cell r="A2" t="str">
            <v>실     명</v>
          </cell>
        </row>
      </sheetData>
      <sheetData sheetId="1047">
        <row r="2">
          <cell r="A2" t="str">
            <v>실     명</v>
          </cell>
        </row>
      </sheetData>
      <sheetData sheetId="1048">
        <row r="2">
          <cell r="A2" t="str">
            <v>실     명</v>
          </cell>
        </row>
      </sheetData>
      <sheetData sheetId="1049">
        <row r="2">
          <cell r="A2" t="str">
            <v>실     명</v>
          </cell>
        </row>
      </sheetData>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ow r="2">
          <cell r="A2" t="str">
            <v>실     명</v>
          </cell>
        </row>
      </sheetData>
      <sheetData sheetId="1133">
        <row r="2">
          <cell r="A2" t="str">
            <v>실     명</v>
          </cell>
        </row>
      </sheetData>
      <sheetData sheetId="1134" refreshError="1"/>
      <sheetData sheetId="1135" refreshError="1"/>
      <sheetData sheetId="1136" refreshError="1"/>
      <sheetData sheetId="1137">
        <row r="2">
          <cell r="A2" t="str">
            <v>실     명</v>
          </cell>
        </row>
      </sheetData>
      <sheetData sheetId="1138" refreshError="1"/>
      <sheetData sheetId="1139" refreshError="1"/>
      <sheetData sheetId="1140">
        <row r="2">
          <cell r="A2" t="str">
            <v>실     명</v>
          </cell>
        </row>
      </sheetData>
      <sheetData sheetId="1141" refreshError="1"/>
      <sheetData sheetId="1142" refreshError="1"/>
      <sheetData sheetId="1143" refreshError="1"/>
      <sheetData sheetId="1144" refreshError="1"/>
      <sheetData sheetId="1145" refreshError="1"/>
      <sheetData sheetId="1146" refreshError="1"/>
      <sheetData sheetId="1147" refreshError="1"/>
      <sheetData sheetId="1148">
        <row r="2">
          <cell r="A2" t="str">
            <v>실     명</v>
          </cell>
        </row>
      </sheetData>
      <sheetData sheetId="1149">
        <row r="2">
          <cell r="A2" t="str">
            <v>실     명</v>
          </cell>
        </row>
      </sheetData>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ow r="2">
          <cell r="A2" t="str">
            <v>실     명</v>
          </cell>
        </row>
      </sheetData>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ow r="2">
          <cell r="A2" t="str">
            <v>실     명</v>
          </cell>
        </row>
      </sheetData>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ow r="2">
          <cell r="A2" t="str">
            <v>실     명</v>
          </cell>
        </row>
      </sheetData>
      <sheetData sheetId="1387">
        <row r="2">
          <cell r="A2" t="str">
            <v>실     명</v>
          </cell>
        </row>
      </sheetData>
      <sheetData sheetId="1388">
        <row r="2">
          <cell r="A2" t="str">
            <v>실     명</v>
          </cell>
        </row>
      </sheetData>
      <sheetData sheetId="1389">
        <row r="2">
          <cell r="A2" t="str">
            <v>실     명</v>
          </cell>
        </row>
      </sheetData>
      <sheetData sheetId="1390">
        <row r="2">
          <cell r="A2" t="str">
            <v>실     명</v>
          </cell>
        </row>
      </sheetData>
      <sheetData sheetId="1391">
        <row r="2">
          <cell r="A2" t="str">
            <v>실     명</v>
          </cell>
        </row>
      </sheetData>
      <sheetData sheetId="1392">
        <row r="2">
          <cell r="A2" t="str">
            <v>실     명</v>
          </cell>
        </row>
      </sheetData>
      <sheetData sheetId="1393">
        <row r="2">
          <cell r="A2" t="str">
            <v>실     명</v>
          </cell>
        </row>
      </sheetData>
      <sheetData sheetId="1394">
        <row r="2">
          <cell r="A2" t="str">
            <v>실     명</v>
          </cell>
        </row>
      </sheetData>
      <sheetData sheetId="1395">
        <row r="2">
          <cell r="A2" t="str">
            <v>실     명</v>
          </cell>
        </row>
      </sheetData>
      <sheetData sheetId="1396">
        <row r="2">
          <cell r="A2" t="str">
            <v>실     명</v>
          </cell>
        </row>
      </sheetData>
      <sheetData sheetId="1397">
        <row r="2">
          <cell r="A2" t="str">
            <v>실     명</v>
          </cell>
        </row>
      </sheetData>
      <sheetData sheetId="1398">
        <row r="2">
          <cell r="A2" t="str">
            <v>실     명</v>
          </cell>
        </row>
      </sheetData>
      <sheetData sheetId="1399">
        <row r="2">
          <cell r="A2" t="str">
            <v>실     명</v>
          </cell>
        </row>
      </sheetData>
      <sheetData sheetId="1400">
        <row r="2">
          <cell r="A2" t="str">
            <v>실     명</v>
          </cell>
        </row>
      </sheetData>
      <sheetData sheetId="1401">
        <row r="2">
          <cell r="A2" t="str">
            <v>실     명</v>
          </cell>
        </row>
      </sheetData>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ow r="2">
          <cell r="A2" t="str">
            <v>실     명</v>
          </cell>
        </row>
      </sheetData>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ow r="2">
          <cell r="A2" t="str">
            <v>실     명</v>
          </cell>
        </row>
      </sheetData>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 sheetId="1490" refreshError="1"/>
      <sheetData sheetId="1491">
        <row r="2">
          <cell r="A2" t="str">
            <v>실     명</v>
          </cell>
        </row>
      </sheetData>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refreshError="1"/>
      <sheetData sheetId="1520" refreshError="1"/>
      <sheetData sheetId="1521" refreshError="1"/>
      <sheetData sheetId="1522" refreshError="1"/>
      <sheetData sheetId="1523" refreshError="1"/>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refreshError="1"/>
      <sheetData sheetId="1562" refreshError="1"/>
      <sheetData sheetId="1563">
        <row r="2">
          <cell r="A2" t="str">
            <v>실     명</v>
          </cell>
        </row>
      </sheetData>
      <sheetData sheetId="1564">
        <row r="2">
          <cell r="A2" t="str">
            <v>실     명</v>
          </cell>
        </row>
      </sheetData>
      <sheetData sheetId="1565">
        <row r="2">
          <cell r="A2" t="str">
            <v>실     명</v>
          </cell>
        </row>
      </sheetData>
      <sheetData sheetId="1566">
        <row r="2">
          <cell r="A2" t="str">
            <v>실     명</v>
          </cell>
        </row>
      </sheetData>
      <sheetData sheetId="1567" refreshError="1"/>
      <sheetData sheetId="1568" refreshError="1"/>
      <sheetData sheetId="1569">
        <row r="2">
          <cell r="A2" t="str">
            <v>실     명</v>
          </cell>
        </row>
      </sheetData>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ow r="2">
          <cell r="A2" t="str">
            <v>B¹</v>
          </cell>
        </row>
      </sheetData>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ow r="2">
          <cell r="A2" t="str">
            <v>실     명</v>
          </cell>
        </row>
      </sheetData>
      <sheetData sheetId="1614">
        <row r="2">
          <cell r="A2" t="str">
            <v>실     명</v>
          </cell>
        </row>
      </sheetData>
      <sheetData sheetId="1615">
        <row r="2">
          <cell r="A2" t="str">
            <v>B¹</v>
          </cell>
        </row>
      </sheetData>
      <sheetData sheetId="1616">
        <row r="2">
          <cell r="A2" t="str">
            <v>B¹</v>
          </cell>
        </row>
      </sheetData>
      <sheetData sheetId="1617">
        <row r="2">
          <cell r="A2" t="str">
            <v>$</v>
          </cell>
        </row>
      </sheetData>
      <sheetData sheetId="1618">
        <row r="2">
          <cell r="A2" t="str">
            <v>실     명</v>
          </cell>
        </row>
      </sheetData>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efreshError="1"/>
      <sheetData sheetId="1634">
        <row r="2">
          <cell r="A2" t="str">
            <v>실     명</v>
          </cell>
        </row>
      </sheetData>
      <sheetData sheetId="1635">
        <row r="2">
          <cell r="A2" t="str">
            <v>실     명</v>
          </cell>
        </row>
      </sheetData>
      <sheetData sheetId="1636">
        <row r="2">
          <cell r="A2" t="str">
            <v>실     명</v>
          </cell>
        </row>
      </sheetData>
      <sheetData sheetId="1637">
        <row r="2">
          <cell r="A2" t="str">
            <v>실     명</v>
          </cell>
        </row>
      </sheetData>
      <sheetData sheetId="1638">
        <row r="2">
          <cell r="A2" t="str">
            <v>실     명</v>
          </cell>
        </row>
      </sheetData>
      <sheetData sheetId="1639">
        <row r="2">
          <cell r="A2" t="str">
            <v>실     명</v>
          </cell>
        </row>
      </sheetData>
      <sheetData sheetId="1640">
        <row r="2">
          <cell r="A2" t="str">
            <v>실     명</v>
          </cell>
        </row>
      </sheetData>
      <sheetData sheetId="1641">
        <row r="2">
          <cell r="A2" t="str">
            <v>실     명</v>
          </cell>
        </row>
      </sheetData>
      <sheetData sheetId="1642">
        <row r="2">
          <cell r="A2" t="str">
            <v>Y</v>
          </cell>
        </row>
      </sheetData>
      <sheetData sheetId="1643">
        <row r="2">
          <cell r="A2" t="str">
            <v>실     명</v>
          </cell>
        </row>
      </sheetData>
      <sheetData sheetId="1644">
        <row r="2">
          <cell r="A2" t="str">
            <v>실     명</v>
          </cell>
        </row>
      </sheetData>
      <sheetData sheetId="1645">
        <row r="2">
          <cell r="A2" t="str">
            <v>실     명</v>
          </cell>
        </row>
      </sheetData>
      <sheetData sheetId="1646">
        <row r="2">
          <cell r="A2" t="str">
            <v>실     명</v>
          </cell>
        </row>
      </sheetData>
      <sheetData sheetId="1647">
        <row r="2">
          <cell r="A2" t="str">
            <v>실     명</v>
          </cell>
        </row>
      </sheetData>
      <sheetData sheetId="1648">
        <row r="2">
          <cell r="A2" t="str">
            <v>실     명</v>
          </cell>
        </row>
      </sheetData>
      <sheetData sheetId="1649">
        <row r="2">
          <cell r="A2" t="str">
            <v>실     명</v>
          </cell>
        </row>
      </sheetData>
      <sheetData sheetId="1650">
        <row r="2">
          <cell r="A2" t="str">
            <v>실     명</v>
          </cell>
        </row>
      </sheetData>
      <sheetData sheetId="1651">
        <row r="2">
          <cell r="A2" t="str">
            <v>실     명</v>
          </cell>
        </row>
      </sheetData>
      <sheetData sheetId="1652">
        <row r="2">
          <cell r="A2" t="str">
            <v>실     명</v>
          </cell>
        </row>
      </sheetData>
      <sheetData sheetId="1653">
        <row r="2">
          <cell r="A2" t="str">
            <v>실     명</v>
          </cell>
        </row>
      </sheetData>
      <sheetData sheetId="1654">
        <row r="2">
          <cell r="A2" t="str">
            <v>실     명</v>
          </cell>
        </row>
      </sheetData>
      <sheetData sheetId="1655">
        <row r="2">
          <cell r="A2" t="str">
            <v>실     명</v>
          </cell>
        </row>
      </sheetData>
      <sheetData sheetId="1656">
        <row r="2">
          <cell r="A2" t="str">
            <v>실     명</v>
          </cell>
        </row>
      </sheetData>
      <sheetData sheetId="1657">
        <row r="2">
          <cell r="A2" t="str">
            <v>실     명</v>
          </cell>
        </row>
      </sheetData>
      <sheetData sheetId="1658">
        <row r="2">
          <cell r="A2" t="str">
            <v>실     명</v>
          </cell>
        </row>
      </sheetData>
      <sheetData sheetId="1659">
        <row r="2">
          <cell r="A2" t="str">
            <v>실     명</v>
          </cell>
        </row>
      </sheetData>
      <sheetData sheetId="1660">
        <row r="2">
          <cell r="A2" t="str">
            <v>실     명</v>
          </cell>
        </row>
      </sheetData>
      <sheetData sheetId="1661">
        <row r="2">
          <cell r="A2" t="str">
            <v>실     명</v>
          </cell>
        </row>
      </sheetData>
      <sheetData sheetId="1662">
        <row r="2">
          <cell r="A2" t="str">
            <v>실     명</v>
          </cell>
        </row>
      </sheetData>
      <sheetData sheetId="1663">
        <row r="2">
          <cell r="A2" t="str">
            <v>실     명</v>
          </cell>
        </row>
      </sheetData>
      <sheetData sheetId="1664">
        <row r="2">
          <cell r="A2" t="str">
            <v>실     명</v>
          </cell>
        </row>
      </sheetData>
      <sheetData sheetId="1665">
        <row r="2">
          <cell r="A2" t="str">
            <v>실     명</v>
          </cell>
        </row>
      </sheetData>
      <sheetData sheetId="1666">
        <row r="2">
          <cell r="A2" t="str">
            <v>실     명</v>
          </cell>
        </row>
      </sheetData>
      <sheetData sheetId="1667">
        <row r="2">
          <cell r="A2" t="str">
            <v>실     명</v>
          </cell>
        </row>
      </sheetData>
      <sheetData sheetId="1668">
        <row r="2">
          <cell r="A2" t="str">
            <v>실     명</v>
          </cell>
        </row>
      </sheetData>
      <sheetData sheetId="1669">
        <row r="2">
          <cell r="A2" t="str">
            <v>실     명</v>
          </cell>
        </row>
      </sheetData>
      <sheetData sheetId="1670">
        <row r="2">
          <cell r="A2" t="str">
            <v>실     명</v>
          </cell>
        </row>
      </sheetData>
      <sheetData sheetId="1671">
        <row r="2">
          <cell r="A2" t="str">
            <v>실     명</v>
          </cell>
        </row>
      </sheetData>
      <sheetData sheetId="1672">
        <row r="2">
          <cell r="A2" t="str">
            <v>실     명</v>
          </cell>
        </row>
      </sheetData>
      <sheetData sheetId="1673">
        <row r="2">
          <cell r="A2" t="str">
            <v>실     명</v>
          </cell>
        </row>
      </sheetData>
      <sheetData sheetId="1674">
        <row r="2">
          <cell r="A2" t="str">
            <v>실     명</v>
          </cell>
        </row>
      </sheetData>
      <sheetData sheetId="1675">
        <row r="2">
          <cell r="A2" t="str">
            <v>실     명</v>
          </cell>
        </row>
      </sheetData>
      <sheetData sheetId="1676">
        <row r="2">
          <cell r="A2" t="str">
            <v>실     명</v>
          </cell>
        </row>
      </sheetData>
      <sheetData sheetId="1677">
        <row r="2">
          <cell r="A2" t="str">
            <v>실     명</v>
          </cell>
        </row>
      </sheetData>
      <sheetData sheetId="1678">
        <row r="2">
          <cell r="A2" t="str">
            <v>실     명</v>
          </cell>
        </row>
      </sheetData>
      <sheetData sheetId="1679">
        <row r="2">
          <cell r="A2" t="str">
            <v>실     명</v>
          </cell>
        </row>
      </sheetData>
      <sheetData sheetId="1680">
        <row r="2">
          <cell r="A2" t="str">
            <v>실     명</v>
          </cell>
        </row>
      </sheetData>
      <sheetData sheetId="1681">
        <row r="2">
          <cell r="A2" t="str">
            <v>실     명</v>
          </cell>
        </row>
      </sheetData>
      <sheetData sheetId="1682">
        <row r="2">
          <cell r="A2" t="str">
            <v>실     명</v>
          </cell>
        </row>
      </sheetData>
      <sheetData sheetId="1683">
        <row r="2">
          <cell r="A2" t="str">
            <v>실     명</v>
          </cell>
        </row>
      </sheetData>
      <sheetData sheetId="1684">
        <row r="2">
          <cell r="A2" t="str">
            <v>실     명</v>
          </cell>
        </row>
      </sheetData>
      <sheetData sheetId="1685">
        <row r="2">
          <cell r="A2" t="str">
            <v>실     명</v>
          </cell>
        </row>
      </sheetData>
      <sheetData sheetId="1686">
        <row r="2">
          <cell r="A2" t="str">
            <v>실     명</v>
          </cell>
        </row>
      </sheetData>
      <sheetData sheetId="1687">
        <row r="2">
          <cell r="A2" t="str">
            <v>실     명</v>
          </cell>
        </row>
      </sheetData>
      <sheetData sheetId="1688">
        <row r="2">
          <cell r="A2" t="str">
            <v>실     명</v>
          </cell>
        </row>
      </sheetData>
      <sheetData sheetId="1689">
        <row r="2">
          <cell r="A2" t="str">
            <v>실     명</v>
          </cell>
        </row>
      </sheetData>
      <sheetData sheetId="1690">
        <row r="2">
          <cell r="A2" t="str">
            <v>실     명</v>
          </cell>
        </row>
      </sheetData>
      <sheetData sheetId="1691">
        <row r="2">
          <cell r="A2" t="str">
            <v>실     명</v>
          </cell>
        </row>
      </sheetData>
      <sheetData sheetId="1692">
        <row r="2">
          <cell r="A2" t="str">
            <v>실     명</v>
          </cell>
        </row>
      </sheetData>
      <sheetData sheetId="1693">
        <row r="2">
          <cell r="A2" t="str">
            <v>실     명</v>
          </cell>
        </row>
      </sheetData>
      <sheetData sheetId="1694">
        <row r="2">
          <cell r="A2" t="str">
            <v>실     명</v>
          </cell>
        </row>
      </sheetData>
      <sheetData sheetId="1695">
        <row r="2">
          <cell r="A2" t="str">
            <v>실     명</v>
          </cell>
        </row>
      </sheetData>
      <sheetData sheetId="1696">
        <row r="2">
          <cell r="A2" t="str">
            <v>실     명</v>
          </cell>
        </row>
      </sheetData>
      <sheetData sheetId="1697">
        <row r="2">
          <cell r="A2" t="str">
            <v>실     명</v>
          </cell>
        </row>
      </sheetData>
      <sheetData sheetId="1698">
        <row r="2">
          <cell r="A2" t="str">
            <v>실     명</v>
          </cell>
        </row>
      </sheetData>
      <sheetData sheetId="1699">
        <row r="2">
          <cell r="A2" t="str">
            <v>실     명</v>
          </cell>
        </row>
      </sheetData>
      <sheetData sheetId="1700">
        <row r="2">
          <cell r="A2" t="str">
            <v>실     명</v>
          </cell>
        </row>
      </sheetData>
      <sheetData sheetId="1701">
        <row r="2">
          <cell r="A2" t="str">
            <v>실     명</v>
          </cell>
        </row>
      </sheetData>
      <sheetData sheetId="1702">
        <row r="2">
          <cell r="A2" t="str">
            <v>실     명</v>
          </cell>
        </row>
      </sheetData>
      <sheetData sheetId="1703">
        <row r="2">
          <cell r="A2" t="str">
            <v>실     명</v>
          </cell>
        </row>
      </sheetData>
      <sheetData sheetId="1704">
        <row r="2">
          <cell r="A2" t="str">
            <v>실     명</v>
          </cell>
        </row>
      </sheetData>
      <sheetData sheetId="1705">
        <row r="2">
          <cell r="A2" t="str">
            <v>실     명</v>
          </cell>
        </row>
      </sheetData>
      <sheetData sheetId="1706">
        <row r="2">
          <cell r="A2" t="str">
            <v>실     명</v>
          </cell>
        </row>
      </sheetData>
      <sheetData sheetId="1707">
        <row r="2">
          <cell r="A2" t="str">
            <v>실     명</v>
          </cell>
        </row>
      </sheetData>
      <sheetData sheetId="1708">
        <row r="2">
          <cell r="A2" t="str">
            <v>실     명</v>
          </cell>
        </row>
      </sheetData>
      <sheetData sheetId="1709">
        <row r="2">
          <cell r="A2" t="str">
            <v>실     명</v>
          </cell>
        </row>
      </sheetData>
      <sheetData sheetId="1710">
        <row r="2">
          <cell r="A2" t="str">
            <v>실     명</v>
          </cell>
        </row>
      </sheetData>
      <sheetData sheetId="1711">
        <row r="2">
          <cell r="A2" t="str">
            <v>실     명</v>
          </cell>
        </row>
      </sheetData>
      <sheetData sheetId="1712">
        <row r="2">
          <cell r="A2" t="str">
            <v>실     명</v>
          </cell>
        </row>
      </sheetData>
      <sheetData sheetId="1713">
        <row r="2">
          <cell r="A2" t="str">
            <v>실     명</v>
          </cell>
        </row>
      </sheetData>
      <sheetData sheetId="1714">
        <row r="2">
          <cell r="A2" t="str">
            <v>실     명</v>
          </cell>
        </row>
      </sheetData>
      <sheetData sheetId="1715">
        <row r="2">
          <cell r="A2" t="str">
            <v>실     명</v>
          </cell>
        </row>
      </sheetData>
      <sheetData sheetId="1716">
        <row r="2">
          <cell r="A2" t="str">
            <v>실     명</v>
          </cell>
        </row>
      </sheetData>
      <sheetData sheetId="1717">
        <row r="2">
          <cell r="A2" t="str">
            <v>실     명</v>
          </cell>
        </row>
      </sheetData>
      <sheetData sheetId="1718">
        <row r="2">
          <cell r="A2" t="str">
            <v>실     명</v>
          </cell>
        </row>
      </sheetData>
      <sheetData sheetId="1719">
        <row r="2">
          <cell r="A2" t="str">
            <v>실     명</v>
          </cell>
        </row>
      </sheetData>
      <sheetData sheetId="1720">
        <row r="2">
          <cell r="A2" t="str">
            <v>실     명</v>
          </cell>
        </row>
      </sheetData>
      <sheetData sheetId="1721">
        <row r="2">
          <cell r="A2" t="str">
            <v>실     명</v>
          </cell>
        </row>
      </sheetData>
      <sheetData sheetId="1722">
        <row r="2">
          <cell r="A2" t="str">
            <v>실     명</v>
          </cell>
        </row>
      </sheetData>
      <sheetData sheetId="1723">
        <row r="2">
          <cell r="A2" t="str">
            <v>실     명</v>
          </cell>
        </row>
      </sheetData>
      <sheetData sheetId="1724">
        <row r="2">
          <cell r="A2" t="str">
            <v>실     명</v>
          </cell>
        </row>
      </sheetData>
      <sheetData sheetId="1725">
        <row r="2">
          <cell r="A2" t="str">
            <v>실     명</v>
          </cell>
        </row>
      </sheetData>
      <sheetData sheetId="1726">
        <row r="2">
          <cell r="A2" t="str">
            <v>실     명</v>
          </cell>
        </row>
      </sheetData>
      <sheetData sheetId="1727">
        <row r="2">
          <cell r="A2" t="str">
            <v>실     명</v>
          </cell>
        </row>
      </sheetData>
      <sheetData sheetId="1728">
        <row r="2">
          <cell r="A2" t="str">
            <v>실     명</v>
          </cell>
        </row>
      </sheetData>
      <sheetData sheetId="1729">
        <row r="2">
          <cell r="A2" t="str">
            <v>실     명</v>
          </cell>
        </row>
      </sheetData>
      <sheetData sheetId="1730">
        <row r="2">
          <cell r="A2" t="str">
            <v>실     명</v>
          </cell>
        </row>
      </sheetData>
      <sheetData sheetId="1731">
        <row r="2">
          <cell r="A2" t="str">
            <v>실     명</v>
          </cell>
        </row>
      </sheetData>
      <sheetData sheetId="1732">
        <row r="2">
          <cell r="A2" t="str">
            <v>실     명</v>
          </cell>
        </row>
      </sheetData>
      <sheetData sheetId="1733">
        <row r="2">
          <cell r="A2" t="str">
            <v>실     명</v>
          </cell>
        </row>
      </sheetData>
      <sheetData sheetId="1734">
        <row r="2">
          <cell r="A2" t="str">
            <v>실     명</v>
          </cell>
        </row>
      </sheetData>
      <sheetData sheetId="1735">
        <row r="2">
          <cell r="A2" t="str">
            <v>실     명</v>
          </cell>
        </row>
      </sheetData>
      <sheetData sheetId="1736">
        <row r="2">
          <cell r="A2" t="str">
            <v>실     명</v>
          </cell>
        </row>
      </sheetData>
      <sheetData sheetId="1737">
        <row r="2">
          <cell r="A2" t="str">
            <v>실     명</v>
          </cell>
        </row>
      </sheetData>
      <sheetData sheetId="1738">
        <row r="2">
          <cell r="A2" t="str">
            <v>실     명</v>
          </cell>
        </row>
      </sheetData>
      <sheetData sheetId="1739">
        <row r="2">
          <cell r="A2" t="str">
            <v>실     명</v>
          </cell>
        </row>
      </sheetData>
      <sheetData sheetId="1740">
        <row r="2">
          <cell r="A2" t="str">
            <v>실     명</v>
          </cell>
        </row>
      </sheetData>
      <sheetData sheetId="1741">
        <row r="2">
          <cell r="A2" t="str">
            <v>실     명</v>
          </cell>
        </row>
      </sheetData>
      <sheetData sheetId="1742">
        <row r="2">
          <cell r="A2" t="str">
            <v>실     명</v>
          </cell>
        </row>
      </sheetData>
      <sheetData sheetId="1743">
        <row r="2">
          <cell r="A2" t="str">
            <v>실     명</v>
          </cell>
        </row>
      </sheetData>
      <sheetData sheetId="1744">
        <row r="2">
          <cell r="A2" t="str">
            <v>실     명</v>
          </cell>
        </row>
      </sheetData>
      <sheetData sheetId="1745">
        <row r="2">
          <cell r="A2" t="str">
            <v>실     명</v>
          </cell>
        </row>
      </sheetData>
      <sheetData sheetId="1746">
        <row r="2">
          <cell r="A2" t="str">
            <v>실     명</v>
          </cell>
        </row>
      </sheetData>
      <sheetData sheetId="1747">
        <row r="2">
          <cell r="A2" t="str">
            <v>실     명</v>
          </cell>
        </row>
      </sheetData>
      <sheetData sheetId="1748">
        <row r="2">
          <cell r="A2" t="str">
            <v>실     명</v>
          </cell>
        </row>
      </sheetData>
      <sheetData sheetId="1749">
        <row r="2">
          <cell r="A2" t="str">
            <v>실     명</v>
          </cell>
        </row>
      </sheetData>
      <sheetData sheetId="1750">
        <row r="2">
          <cell r="A2" t="str">
            <v>실     명</v>
          </cell>
        </row>
      </sheetData>
      <sheetData sheetId="1751">
        <row r="2">
          <cell r="A2" t="str">
            <v>실     명</v>
          </cell>
        </row>
      </sheetData>
      <sheetData sheetId="1752">
        <row r="2">
          <cell r="A2" t="str">
            <v>실     명</v>
          </cell>
        </row>
      </sheetData>
      <sheetData sheetId="1753">
        <row r="2">
          <cell r="A2" t="str">
            <v>실     명</v>
          </cell>
        </row>
      </sheetData>
      <sheetData sheetId="1754">
        <row r="2">
          <cell r="A2" t="str">
            <v>실     명</v>
          </cell>
        </row>
      </sheetData>
      <sheetData sheetId="1755">
        <row r="2">
          <cell r="A2" t="str">
            <v>실     명</v>
          </cell>
        </row>
      </sheetData>
      <sheetData sheetId="1756">
        <row r="2">
          <cell r="A2" t="str">
            <v>실     명</v>
          </cell>
        </row>
      </sheetData>
      <sheetData sheetId="1757">
        <row r="2">
          <cell r="A2" t="str">
            <v>실     명</v>
          </cell>
        </row>
      </sheetData>
      <sheetData sheetId="1758">
        <row r="2">
          <cell r="A2" t="str">
            <v>실     명</v>
          </cell>
        </row>
      </sheetData>
      <sheetData sheetId="1759">
        <row r="2">
          <cell r="A2" t="str">
            <v>실     명</v>
          </cell>
        </row>
      </sheetData>
      <sheetData sheetId="1760">
        <row r="2">
          <cell r="A2" t="str">
            <v>실     명</v>
          </cell>
        </row>
      </sheetData>
      <sheetData sheetId="1761">
        <row r="2">
          <cell r="A2" t="str">
            <v>실     명</v>
          </cell>
        </row>
      </sheetData>
      <sheetData sheetId="1762">
        <row r="2">
          <cell r="A2" t="str">
            <v>실     명</v>
          </cell>
        </row>
      </sheetData>
      <sheetData sheetId="1763">
        <row r="2">
          <cell r="A2" t="str">
            <v>실     명</v>
          </cell>
        </row>
      </sheetData>
      <sheetData sheetId="1764">
        <row r="2">
          <cell r="A2" t="str">
            <v>실     명</v>
          </cell>
        </row>
      </sheetData>
      <sheetData sheetId="1765">
        <row r="2">
          <cell r="A2" t="str">
            <v>실     명</v>
          </cell>
        </row>
      </sheetData>
      <sheetData sheetId="1766">
        <row r="2">
          <cell r="A2" t="str">
            <v>실     명</v>
          </cell>
        </row>
      </sheetData>
      <sheetData sheetId="1767">
        <row r="2">
          <cell r="A2" t="str">
            <v>실     명</v>
          </cell>
        </row>
      </sheetData>
      <sheetData sheetId="1768">
        <row r="2">
          <cell r="A2" t="str">
            <v>실     명</v>
          </cell>
        </row>
      </sheetData>
      <sheetData sheetId="1769">
        <row r="2">
          <cell r="A2" t="str">
            <v>실     명</v>
          </cell>
        </row>
      </sheetData>
      <sheetData sheetId="1770">
        <row r="2">
          <cell r="A2" t="str">
            <v>실     명</v>
          </cell>
        </row>
      </sheetData>
      <sheetData sheetId="1771">
        <row r="2">
          <cell r="A2" t="str">
            <v>실     명</v>
          </cell>
        </row>
      </sheetData>
      <sheetData sheetId="1772">
        <row r="2">
          <cell r="A2" t="str">
            <v>실     명</v>
          </cell>
        </row>
      </sheetData>
      <sheetData sheetId="1773">
        <row r="2">
          <cell r="A2" t="str">
            <v>실     명</v>
          </cell>
        </row>
      </sheetData>
      <sheetData sheetId="1774">
        <row r="2">
          <cell r="A2" t="str">
            <v>실     명</v>
          </cell>
        </row>
      </sheetData>
      <sheetData sheetId="1775">
        <row r="2">
          <cell r="A2" t="str">
            <v>실     명</v>
          </cell>
        </row>
      </sheetData>
      <sheetData sheetId="1776">
        <row r="2">
          <cell r="A2" t="str">
            <v>실     명</v>
          </cell>
        </row>
      </sheetData>
      <sheetData sheetId="1777">
        <row r="2">
          <cell r="A2" t="str">
            <v>실     명</v>
          </cell>
        </row>
      </sheetData>
      <sheetData sheetId="1778">
        <row r="2">
          <cell r="A2" t="str">
            <v>실     명</v>
          </cell>
        </row>
      </sheetData>
      <sheetData sheetId="1779">
        <row r="2">
          <cell r="A2" t="str">
            <v>실     명</v>
          </cell>
        </row>
      </sheetData>
      <sheetData sheetId="1780">
        <row r="2">
          <cell r="A2" t="str">
            <v>실     명</v>
          </cell>
        </row>
      </sheetData>
      <sheetData sheetId="1781">
        <row r="2">
          <cell r="A2" t="str">
            <v>실     명</v>
          </cell>
        </row>
      </sheetData>
      <sheetData sheetId="1782">
        <row r="2">
          <cell r="A2" t="str">
            <v>실     명</v>
          </cell>
        </row>
      </sheetData>
      <sheetData sheetId="1783">
        <row r="2">
          <cell r="A2" t="str">
            <v>실     명</v>
          </cell>
        </row>
      </sheetData>
      <sheetData sheetId="1784">
        <row r="2">
          <cell r="A2" t="str">
            <v>실     명</v>
          </cell>
        </row>
      </sheetData>
      <sheetData sheetId="1785">
        <row r="2">
          <cell r="A2" t="str">
            <v>실     명</v>
          </cell>
        </row>
      </sheetData>
      <sheetData sheetId="1786">
        <row r="2">
          <cell r="A2" t="str">
            <v>실     명</v>
          </cell>
        </row>
      </sheetData>
      <sheetData sheetId="1787">
        <row r="2">
          <cell r="A2" t="str">
            <v>실     명</v>
          </cell>
        </row>
      </sheetData>
      <sheetData sheetId="1788">
        <row r="2">
          <cell r="A2" t="str">
            <v>실     명</v>
          </cell>
        </row>
      </sheetData>
      <sheetData sheetId="1789">
        <row r="2">
          <cell r="A2" t="str">
            <v>실     명</v>
          </cell>
        </row>
      </sheetData>
      <sheetData sheetId="1790">
        <row r="2">
          <cell r="A2" t="str">
            <v>실     명</v>
          </cell>
        </row>
      </sheetData>
      <sheetData sheetId="1791">
        <row r="2">
          <cell r="A2" t="str">
            <v>실     명</v>
          </cell>
        </row>
      </sheetData>
      <sheetData sheetId="1792">
        <row r="2">
          <cell r="A2" t="str">
            <v>실     명</v>
          </cell>
        </row>
      </sheetData>
      <sheetData sheetId="1793">
        <row r="2">
          <cell r="A2" t="str">
            <v>실     명</v>
          </cell>
        </row>
      </sheetData>
      <sheetData sheetId="1794">
        <row r="2">
          <cell r="A2" t="str">
            <v>실     명</v>
          </cell>
        </row>
      </sheetData>
      <sheetData sheetId="1795">
        <row r="2">
          <cell r="A2" t="str">
            <v>실     명</v>
          </cell>
        </row>
      </sheetData>
      <sheetData sheetId="1796">
        <row r="2">
          <cell r="A2" t="str">
            <v>실     명</v>
          </cell>
        </row>
      </sheetData>
      <sheetData sheetId="1797">
        <row r="2">
          <cell r="A2" t="str">
            <v>실     명</v>
          </cell>
        </row>
      </sheetData>
      <sheetData sheetId="1798">
        <row r="2">
          <cell r="A2" t="str">
            <v>실     명</v>
          </cell>
        </row>
      </sheetData>
      <sheetData sheetId="1799">
        <row r="2">
          <cell r="A2" t="str">
            <v>실     명</v>
          </cell>
        </row>
      </sheetData>
      <sheetData sheetId="1800">
        <row r="2">
          <cell r="A2" t="str">
            <v>실     명</v>
          </cell>
        </row>
      </sheetData>
      <sheetData sheetId="1801">
        <row r="2">
          <cell r="A2" t="str">
            <v>실     명</v>
          </cell>
        </row>
      </sheetData>
      <sheetData sheetId="1802">
        <row r="2">
          <cell r="A2" t="str">
            <v>실     명</v>
          </cell>
        </row>
      </sheetData>
      <sheetData sheetId="1803">
        <row r="2">
          <cell r="A2" t="str">
            <v>실     명</v>
          </cell>
        </row>
      </sheetData>
      <sheetData sheetId="1804">
        <row r="2">
          <cell r="A2" t="str">
            <v>실     명</v>
          </cell>
        </row>
      </sheetData>
      <sheetData sheetId="1805">
        <row r="2">
          <cell r="A2" t="str">
            <v>실     명</v>
          </cell>
        </row>
      </sheetData>
      <sheetData sheetId="1806">
        <row r="2">
          <cell r="A2" t="str">
            <v>실     명</v>
          </cell>
        </row>
      </sheetData>
      <sheetData sheetId="1807">
        <row r="2">
          <cell r="A2" t="str">
            <v>실     명</v>
          </cell>
        </row>
      </sheetData>
      <sheetData sheetId="1808">
        <row r="2">
          <cell r="A2" t="str">
            <v>실     명</v>
          </cell>
        </row>
      </sheetData>
      <sheetData sheetId="1809">
        <row r="2">
          <cell r="A2" t="str">
            <v>실     명</v>
          </cell>
        </row>
      </sheetData>
      <sheetData sheetId="1810">
        <row r="2">
          <cell r="A2" t="str">
            <v>실     명</v>
          </cell>
        </row>
      </sheetData>
      <sheetData sheetId="1811">
        <row r="2">
          <cell r="A2" t="str">
            <v>실     명</v>
          </cell>
        </row>
      </sheetData>
      <sheetData sheetId="1812">
        <row r="2">
          <cell r="A2" t="str">
            <v>실     명</v>
          </cell>
        </row>
      </sheetData>
      <sheetData sheetId="1813">
        <row r="2">
          <cell r="A2" t="str">
            <v>실     명</v>
          </cell>
        </row>
      </sheetData>
      <sheetData sheetId="1814">
        <row r="2">
          <cell r="A2" t="str">
            <v>실     명</v>
          </cell>
        </row>
      </sheetData>
      <sheetData sheetId="1815">
        <row r="2">
          <cell r="A2" t="str">
            <v>실     명</v>
          </cell>
        </row>
      </sheetData>
      <sheetData sheetId="1816">
        <row r="2">
          <cell r="A2" t="str">
            <v>실     명</v>
          </cell>
        </row>
      </sheetData>
      <sheetData sheetId="1817">
        <row r="2">
          <cell r="A2" t="str">
            <v>실     명</v>
          </cell>
        </row>
      </sheetData>
      <sheetData sheetId="1818">
        <row r="2">
          <cell r="A2" t="str">
            <v>실     명</v>
          </cell>
        </row>
      </sheetData>
      <sheetData sheetId="1819">
        <row r="2">
          <cell r="A2" t="str">
            <v>실     명</v>
          </cell>
        </row>
      </sheetData>
      <sheetData sheetId="1820">
        <row r="2">
          <cell r="A2" t="str">
            <v>실     명</v>
          </cell>
        </row>
      </sheetData>
      <sheetData sheetId="1821">
        <row r="2">
          <cell r="A2" t="str">
            <v>실     명</v>
          </cell>
        </row>
      </sheetData>
      <sheetData sheetId="1822">
        <row r="2">
          <cell r="A2" t="str">
            <v>실     명</v>
          </cell>
        </row>
      </sheetData>
      <sheetData sheetId="1823">
        <row r="2">
          <cell r="A2" t="str">
            <v>실     명</v>
          </cell>
        </row>
      </sheetData>
      <sheetData sheetId="1824">
        <row r="2">
          <cell r="A2" t="str">
            <v>실     명</v>
          </cell>
        </row>
      </sheetData>
      <sheetData sheetId="1825">
        <row r="2">
          <cell r="A2" t="str">
            <v>실     명</v>
          </cell>
        </row>
      </sheetData>
      <sheetData sheetId="1826">
        <row r="2">
          <cell r="A2" t="str">
            <v>실     명</v>
          </cell>
        </row>
      </sheetData>
      <sheetData sheetId="1827">
        <row r="2">
          <cell r="A2" t="str">
            <v>실     명</v>
          </cell>
        </row>
      </sheetData>
      <sheetData sheetId="1828">
        <row r="2">
          <cell r="A2" t="str">
            <v>실     명</v>
          </cell>
        </row>
      </sheetData>
      <sheetData sheetId="1829">
        <row r="2">
          <cell r="A2" t="str">
            <v>실     명</v>
          </cell>
        </row>
      </sheetData>
      <sheetData sheetId="1830">
        <row r="2">
          <cell r="A2" t="str">
            <v>실     명</v>
          </cell>
        </row>
      </sheetData>
      <sheetData sheetId="1831">
        <row r="2">
          <cell r="A2" t="str">
            <v>실     명</v>
          </cell>
        </row>
      </sheetData>
      <sheetData sheetId="1832">
        <row r="2">
          <cell r="A2" t="str">
            <v>실     명</v>
          </cell>
        </row>
      </sheetData>
      <sheetData sheetId="1833">
        <row r="2">
          <cell r="A2" t="str">
            <v>실     명</v>
          </cell>
        </row>
      </sheetData>
      <sheetData sheetId="1834">
        <row r="2">
          <cell r="A2" t="str">
            <v>실     명</v>
          </cell>
        </row>
      </sheetData>
      <sheetData sheetId="1835">
        <row r="2">
          <cell r="A2" t="str">
            <v>실     명</v>
          </cell>
        </row>
      </sheetData>
      <sheetData sheetId="1836">
        <row r="2">
          <cell r="A2" t="str">
            <v>실     명</v>
          </cell>
        </row>
      </sheetData>
      <sheetData sheetId="1837">
        <row r="2">
          <cell r="A2" t="str">
            <v>실     명</v>
          </cell>
        </row>
      </sheetData>
      <sheetData sheetId="1838">
        <row r="2">
          <cell r="A2" t="str">
            <v>실     명</v>
          </cell>
        </row>
      </sheetData>
      <sheetData sheetId="1839">
        <row r="2">
          <cell r="A2" t="str">
            <v>실     명</v>
          </cell>
        </row>
      </sheetData>
      <sheetData sheetId="1840">
        <row r="2">
          <cell r="A2" t="str">
            <v>실     명</v>
          </cell>
        </row>
      </sheetData>
      <sheetData sheetId="1841">
        <row r="2">
          <cell r="A2" t="str">
            <v>실     명</v>
          </cell>
        </row>
      </sheetData>
      <sheetData sheetId="1842">
        <row r="2">
          <cell r="A2" t="str">
            <v>실     명</v>
          </cell>
        </row>
      </sheetData>
      <sheetData sheetId="1843">
        <row r="2">
          <cell r="A2" t="str">
            <v>실     명</v>
          </cell>
        </row>
      </sheetData>
      <sheetData sheetId="1844">
        <row r="2">
          <cell r="A2" t="str">
            <v>실     명</v>
          </cell>
        </row>
      </sheetData>
      <sheetData sheetId="1845">
        <row r="2">
          <cell r="A2" t="str">
            <v>실     명</v>
          </cell>
        </row>
      </sheetData>
      <sheetData sheetId="1846">
        <row r="2">
          <cell r="A2" t="str">
            <v>실     명</v>
          </cell>
        </row>
      </sheetData>
      <sheetData sheetId="1847">
        <row r="2">
          <cell r="A2" t="str">
            <v>실     명</v>
          </cell>
        </row>
      </sheetData>
      <sheetData sheetId="1848">
        <row r="2">
          <cell r="A2" t="str">
            <v>실     명</v>
          </cell>
        </row>
      </sheetData>
      <sheetData sheetId="1849">
        <row r="2">
          <cell r="A2" t="str">
            <v>실     명</v>
          </cell>
        </row>
      </sheetData>
      <sheetData sheetId="1850">
        <row r="2">
          <cell r="A2" t="str">
            <v>실     명</v>
          </cell>
        </row>
      </sheetData>
      <sheetData sheetId="1851">
        <row r="2">
          <cell r="A2" t="str">
            <v>실     명</v>
          </cell>
        </row>
      </sheetData>
      <sheetData sheetId="1852">
        <row r="2">
          <cell r="A2" t="str">
            <v>실     명</v>
          </cell>
        </row>
      </sheetData>
      <sheetData sheetId="1853">
        <row r="2">
          <cell r="A2" t="str">
            <v>실     명</v>
          </cell>
        </row>
      </sheetData>
      <sheetData sheetId="1854">
        <row r="2">
          <cell r="A2" t="str">
            <v>실     명</v>
          </cell>
        </row>
      </sheetData>
      <sheetData sheetId="1855">
        <row r="2">
          <cell r="A2" t="str">
            <v>레미콘</v>
          </cell>
        </row>
      </sheetData>
      <sheetData sheetId="1856">
        <row r="2">
          <cell r="A2" t="str">
            <v>실     명</v>
          </cell>
        </row>
      </sheetData>
      <sheetData sheetId="1857">
        <row r="2">
          <cell r="A2" t="str">
            <v>실     명</v>
          </cell>
        </row>
      </sheetData>
      <sheetData sheetId="1858">
        <row r="2">
          <cell r="A2" t="str">
            <v>실     명</v>
          </cell>
        </row>
      </sheetData>
      <sheetData sheetId="1859">
        <row r="2">
          <cell r="A2" t="str">
            <v>실     명</v>
          </cell>
        </row>
      </sheetData>
      <sheetData sheetId="1860">
        <row r="2">
          <cell r="A2" t="str">
            <v>실     명</v>
          </cell>
        </row>
      </sheetData>
      <sheetData sheetId="1861">
        <row r="2">
          <cell r="A2" t="str">
            <v>실     명</v>
          </cell>
        </row>
      </sheetData>
      <sheetData sheetId="1862">
        <row r="2">
          <cell r="A2" t="str">
            <v>실     명</v>
          </cell>
        </row>
      </sheetData>
      <sheetData sheetId="1863">
        <row r="2">
          <cell r="A2" t="str">
            <v>실     명</v>
          </cell>
        </row>
      </sheetData>
      <sheetData sheetId="1864">
        <row r="2">
          <cell r="A2" t="str">
            <v>실     명</v>
          </cell>
        </row>
      </sheetData>
      <sheetData sheetId="1865">
        <row r="2">
          <cell r="A2" t="str">
            <v>실     명</v>
          </cell>
        </row>
      </sheetData>
      <sheetData sheetId="1866">
        <row r="2">
          <cell r="A2" t="str">
            <v>실     명</v>
          </cell>
        </row>
      </sheetData>
      <sheetData sheetId="1867">
        <row r="2">
          <cell r="A2" t="str">
            <v>실     명</v>
          </cell>
        </row>
      </sheetData>
      <sheetData sheetId="1868">
        <row r="2">
          <cell r="A2" t="str">
            <v>실     명</v>
          </cell>
        </row>
      </sheetData>
      <sheetData sheetId="1869">
        <row r="2">
          <cell r="A2" t="str">
            <v>실     명</v>
          </cell>
        </row>
      </sheetData>
      <sheetData sheetId="1870">
        <row r="2">
          <cell r="A2" t="str">
            <v>실     명</v>
          </cell>
        </row>
      </sheetData>
      <sheetData sheetId="1871">
        <row r="2">
          <cell r="A2" t="str">
            <v>실     명</v>
          </cell>
        </row>
      </sheetData>
      <sheetData sheetId="1872">
        <row r="2">
          <cell r="A2" t="str">
            <v>실     명</v>
          </cell>
        </row>
      </sheetData>
      <sheetData sheetId="1873">
        <row r="2">
          <cell r="A2" t="str">
            <v>실     명</v>
          </cell>
        </row>
      </sheetData>
      <sheetData sheetId="1874">
        <row r="2">
          <cell r="A2" t="str">
            <v>실     명</v>
          </cell>
        </row>
      </sheetData>
      <sheetData sheetId="1875">
        <row r="2">
          <cell r="A2" t="str">
            <v>실     명</v>
          </cell>
        </row>
      </sheetData>
      <sheetData sheetId="1876">
        <row r="2">
          <cell r="A2" t="str">
            <v>실     명</v>
          </cell>
        </row>
      </sheetData>
      <sheetData sheetId="1877">
        <row r="2">
          <cell r="A2" t="str">
            <v>실     명</v>
          </cell>
        </row>
      </sheetData>
      <sheetData sheetId="1878">
        <row r="2">
          <cell r="A2" t="str">
            <v>실     명</v>
          </cell>
        </row>
      </sheetData>
      <sheetData sheetId="1879">
        <row r="2">
          <cell r="A2" t="str">
            <v>실     명</v>
          </cell>
        </row>
      </sheetData>
      <sheetData sheetId="1880">
        <row r="2">
          <cell r="A2" t="str">
            <v>실     명</v>
          </cell>
        </row>
      </sheetData>
      <sheetData sheetId="1881">
        <row r="2">
          <cell r="A2" t="str">
            <v>실     명</v>
          </cell>
        </row>
      </sheetData>
      <sheetData sheetId="1882">
        <row r="2">
          <cell r="A2" t="str">
            <v>실     명</v>
          </cell>
        </row>
      </sheetData>
      <sheetData sheetId="1883">
        <row r="2">
          <cell r="A2" t="str">
            <v>실     명</v>
          </cell>
        </row>
      </sheetData>
      <sheetData sheetId="1884">
        <row r="2">
          <cell r="A2" t="str">
            <v>실     명</v>
          </cell>
        </row>
      </sheetData>
      <sheetData sheetId="1885">
        <row r="2">
          <cell r="A2" t="str">
            <v>실     명</v>
          </cell>
        </row>
      </sheetData>
      <sheetData sheetId="1886">
        <row r="2">
          <cell r="A2" t="str">
            <v>실     명</v>
          </cell>
        </row>
      </sheetData>
      <sheetData sheetId="1887">
        <row r="2">
          <cell r="A2" t="str">
            <v>실     명</v>
          </cell>
        </row>
      </sheetData>
      <sheetData sheetId="1888">
        <row r="2">
          <cell r="A2" t="str">
            <v>실     명</v>
          </cell>
        </row>
      </sheetData>
      <sheetData sheetId="1889">
        <row r="2">
          <cell r="A2" t="str">
            <v>실     명</v>
          </cell>
        </row>
      </sheetData>
      <sheetData sheetId="1890">
        <row r="2">
          <cell r="A2" t="str">
            <v>실     명</v>
          </cell>
        </row>
      </sheetData>
      <sheetData sheetId="1891">
        <row r="2">
          <cell r="A2" t="str">
            <v>실     명</v>
          </cell>
        </row>
      </sheetData>
      <sheetData sheetId="1892">
        <row r="2">
          <cell r="A2" t="str">
            <v>실     명</v>
          </cell>
        </row>
      </sheetData>
      <sheetData sheetId="1893">
        <row r="2">
          <cell r="A2" t="str">
            <v>실     명</v>
          </cell>
        </row>
      </sheetData>
      <sheetData sheetId="1894">
        <row r="2">
          <cell r="A2" t="str">
            <v>실     명</v>
          </cell>
        </row>
      </sheetData>
      <sheetData sheetId="1895">
        <row r="2">
          <cell r="A2" t="str">
            <v>실     명</v>
          </cell>
        </row>
      </sheetData>
      <sheetData sheetId="1896">
        <row r="2">
          <cell r="A2" t="str">
            <v>실     명</v>
          </cell>
        </row>
      </sheetData>
      <sheetData sheetId="1897">
        <row r="2">
          <cell r="A2" t="str">
            <v>실     명</v>
          </cell>
        </row>
      </sheetData>
      <sheetData sheetId="1898">
        <row r="2">
          <cell r="A2" t="str">
            <v>실     명</v>
          </cell>
        </row>
      </sheetData>
      <sheetData sheetId="1899">
        <row r="2">
          <cell r="A2" t="str">
            <v>실     명</v>
          </cell>
        </row>
      </sheetData>
      <sheetData sheetId="1900">
        <row r="2">
          <cell r="A2" t="str">
            <v>실     명</v>
          </cell>
        </row>
      </sheetData>
      <sheetData sheetId="1901">
        <row r="2">
          <cell r="A2" t="str">
            <v>실     명</v>
          </cell>
        </row>
      </sheetData>
      <sheetData sheetId="1902">
        <row r="2">
          <cell r="A2" t="str">
            <v>실     명</v>
          </cell>
        </row>
      </sheetData>
      <sheetData sheetId="1903">
        <row r="2">
          <cell r="A2" t="str">
            <v>실     명</v>
          </cell>
        </row>
      </sheetData>
      <sheetData sheetId="1904">
        <row r="2">
          <cell r="A2" t="str">
            <v>실     명</v>
          </cell>
        </row>
      </sheetData>
      <sheetData sheetId="1905">
        <row r="2">
          <cell r="A2" t="str">
            <v>실     명</v>
          </cell>
        </row>
      </sheetData>
      <sheetData sheetId="1906">
        <row r="2">
          <cell r="A2" t="str">
            <v>실     명</v>
          </cell>
        </row>
      </sheetData>
      <sheetData sheetId="1907">
        <row r="2">
          <cell r="A2" t="str">
            <v>실     명</v>
          </cell>
        </row>
      </sheetData>
      <sheetData sheetId="1908">
        <row r="2">
          <cell r="A2" t="str">
            <v>실     명</v>
          </cell>
        </row>
      </sheetData>
      <sheetData sheetId="1909">
        <row r="2">
          <cell r="A2" t="str">
            <v>실     명</v>
          </cell>
        </row>
      </sheetData>
      <sheetData sheetId="1910">
        <row r="2">
          <cell r="A2" t="str">
            <v>실     명</v>
          </cell>
        </row>
      </sheetData>
      <sheetData sheetId="1911">
        <row r="2">
          <cell r="A2" t="str">
            <v>실     명</v>
          </cell>
        </row>
      </sheetData>
      <sheetData sheetId="1912">
        <row r="2">
          <cell r="A2" t="str">
            <v>실     명</v>
          </cell>
        </row>
      </sheetData>
      <sheetData sheetId="1913">
        <row r="2">
          <cell r="A2" t="str">
            <v>실     명</v>
          </cell>
        </row>
      </sheetData>
      <sheetData sheetId="1914">
        <row r="2">
          <cell r="A2" t="str">
            <v>실     명</v>
          </cell>
        </row>
      </sheetData>
      <sheetData sheetId="1915">
        <row r="2">
          <cell r="A2" t="str">
            <v>실     명</v>
          </cell>
        </row>
      </sheetData>
      <sheetData sheetId="1916">
        <row r="2">
          <cell r="A2" t="str">
            <v>실     명</v>
          </cell>
        </row>
      </sheetData>
      <sheetData sheetId="1917">
        <row r="2">
          <cell r="A2" t="str">
            <v>실     명</v>
          </cell>
        </row>
      </sheetData>
      <sheetData sheetId="1918">
        <row r="2">
          <cell r="A2" t="str">
            <v>실     명</v>
          </cell>
        </row>
      </sheetData>
      <sheetData sheetId="1919">
        <row r="2">
          <cell r="A2" t="str">
            <v>실     명</v>
          </cell>
        </row>
      </sheetData>
      <sheetData sheetId="1920">
        <row r="2">
          <cell r="A2" t="str">
            <v>실     명</v>
          </cell>
        </row>
      </sheetData>
      <sheetData sheetId="1921">
        <row r="2">
          <cell r="A2" t="str">
            <v>실     명</v>
          </cell>
        </row>
      </sheetData>
      <sheetData sheetId="1922">
        <row r="2">
          <cell r="A2" t="str">
            <v>실     명</v>
          </cell>
        </row>
      </sheetData>
      <sheetData sheetId="1923">
        <row r="2">
          <cell r="A2" t="str">
            <v>실     명</v>
          </cell>
        </row>
      </sheetData>
      <sheetData sheetId="1924">
        <row r="2">
          <cell r="A2" t="str">
            <v>실     명</v>
          </cell>
        </row>
      </sheetData>
      <sheetData sheetId="1925">
        <row r="2">
          <cell r="A2" t="str">
            <v>실     명</v>
          </cell>
        </row>
      </sheetData>
      <sheetData sheetId="1926">
        <row r="2">
          <cell r="A2" t="str">
            <v>실     명</v>
          </cell>
        </row>
      </sheetData>
      <sheetData sheetId="1927">
        <row r="2">
          <cell r="A2" t="str">
            <v>실     명</v>
          </cell>
        </row>
      </sheetData>
      <sheetData sheetId="1928">
        <row r="2">
          <cell r="A2" t="str">
            <v>실     명</v>
          </cell>
        </row>
      </sheetData>
      <sheetData sheetId="1929">
        <row r="2">
          <cell r="A2" t="str">
            <v>실     명</v>
          </cell>
        </row>
      </sheetData>
      <sheetData sheetId="1930">
        <row r="2">
          <cell r="A2" t="str">
            <v>실     명</v>
          </cell>
        </row>
      </sheetData>
      <sheetData sheetId="1931">
        <row r="2">
          <cell r="A2" t="str">
            <v>실     명</v>
          </cell>
        </row>
      </sheetData>
      <sheetData sheetId="1932">
        <row r="2">
          <cell r="A2" t="str">
            <v>실     명</v>
          </cell>
        </row>
      </sheetData>
      <sheetData sheetId="1933">
        <row r="2">
          <cell r="A2" t="str">
            <v>실     명</v>
          </cell>
        </row>
      </sheetData>
      <sheetData sheetId="1934">
        <row r="2">
          <cell r="A2" t="str">
            <v>실     명</v>
          </cell>
        </row>
      </sheetData>
      <sheetData sheetId="1935">
        <row r="2">
          <cell r="A2" t="str">
            <v>실     명</v>
          </cell>
        </row>
      </sheetData>
      <sheetData sheetId="1936">
        <row r="2">
          <cell r="A2" t="str">
            <v>실     명</v>
          </cell>
        </row>
      </sheetData>
      <sheetData sheetId="1937">
        <row r="2">
          <cell r="A2" t="str">
            <v>실     명</v>
          </cell>
        </row>
      </sheetData>
      <sheetData sheetId="1938">
        <row r="2">
          <cell r="A2" t="str">
            <v>실     명</v>
          </cell>
        </row>
      </sheetData>
      <sheetData sheetId="1939">
        <row r="2">
          <cell r="A2" t="str">
            <v>실     명</v>
          </cell>
        </row>
      </sheetData>
      <sheetData sheetId="1940">
        <row r="2">
          <cell r="A2" t="str">
            <v>실     명</v>
          </cell>
        </row>
      </sheetData>
      <sheetData sheetId="1941">
        <row r="2">
          <cell r="A2" t="str">
            <v>실     명</v>
          </cell>
        </row>
      </sheetData>
      <sheetData sheetId="1942">
        <row r="2">
          <cell r="A2" t="str">
            <v>실     명</v>
          </cell>
        </row>
      </sheetData>
      <sheetData sheetId="1943">
        <row r="2">
          <cell r="A2" t="str">
            <v>실     명</v>
          </cell>
        </row>
      </sheetData>
      <sheetData sheetId="1944">
        <row r="2">
          <cell r="A2" t="str">
            <v>실     명</v>
          </cell>
        </row>
      </sheetData>
      <sheetData sheetId="1945">
        <row r="2">
          <cell r="A2" t="str">
            <v>실     명</v>
          </cell>
        </row>
      </sheetData>
      <sheetData sheetId="1946">
        <row r="2">
          <cell r="A2" t="str">
            <v>실     명</v>
          </cell>
        </row>
      </sheetData>
      <sheetData sheetId="1947">
        <row r="2">
          <cell r="A2" t="str">
            <v>실     명</v>
          </cell>
        </row>
      </sheetData>
      <sheetData sheetId="1948">
        <row r="2">
          <cell r="A2" t="str">
            <v>실     명</v>
          </cell>
        </row>
      </sheetData>
      <sheetData sheetId="1949">
        <row r="2">
          <cell r="A2" t="str">
            <v>실     명</v>
          </cell>
        </row>
      </sheetData>
      <sheetData sheetId="1950">
        <row r="2">
          <cell r="A2" t="str">
            <v>실     명</v>
          </cell>
        </row>
      </sheetData>
      <sheetData sheetId="1951">
        <row r="2">
          <cell r="A2" t="str">
            <v>실     명</v>
          </cell>
        </row>
      </sheetData>
      <sheetData sheetId="1952">
        <row r="2">
          <cell r="A2" t="str">
            <v>실     명</v>
          </cell>
        </row>
      </sheetData>
      <sheetData sheetId="1953">
        <row r="2">
          <cell r="A2" t="str">
            <v>실     명</v>
          </cell>
        </row>
      </sheetData>
      <sheetData sheetId="1954">
        <row r="2">
          <cell r="A2" t="str">
            <v>실     명</v>
          </cell>
        </row>
      </sheetData>
      <sheetData sheetId="1955">
        <row r="2">
          <cell r="A2" t="str">
            <v>실     명</v>
          </cell>
        </row>
      </sheetData>
      <sheetData sheetId="1956">
        <row r="2">
          <cell r="A2" t="str">
            <v>실     명</v>
          </cell>
        </row>
      </sheetData>
      <sheetData sheetId="1957">
        <row r="2">
          <cell r="A2" t="str">
            <v>실     명</v>
          </cell>
        </row>
      </sheetData>
      <sheetData sheetId="1958">
        <row r="2">
          <cell r="A2" t="str">
            <v>실     명</v>
          </cell>
        </row>
      </sheetData>
      <sheetData sheetId="1959">
        <row r="2">
          <cell r="A2" t="str">
            <v>실     명</v>
          </cell>
        </row>
      </sheetData>
      <sheetData sheetId="1960">
        <row r="2">
          <cell r="A2" t="str">
            <v>실     명</v>
          </cell>
        </row>
      </sheetData>
      <sheetData sheetId="1961">
        <row r="2">
          <cell r="A2" t="str">
            <v>실     명</v>
          </cell>
        </row>
      </sheetData>
      <sheetData sheetId="1962">
        <row r="2">
          <cell r="A2" t="str">
            <v>실     명</v>
          </cell>
        </row>
      </sheetData>
      <sheetData sheetId="1963">
        <row r="2">
          <cell r="A2" t="str">
            <v>실     명</v>
          </cell>
        </row>
      </sheetData>
      <sheetData sheetId="1964">
        <row r="2">
          <cell r="A2" t="str">
            <v>실     명</v>
          </cell>
        </row>
      </sheetData>
      <sheetData sheetId="1965">
        <row r="2">
          <cell r="A2" t="str">
            <v>실     명</v>
          </cell>
        </row>
      </sheetData>
      <sheetData sheetId="1966">
        <row r="2">
          <cell r="A2" t="str">
            <v>실     명</v>
          </cell>
        </row>
      </sheetData>
      <sheetData sheetId="1967">
        <row r="2">
          <cell r="A2" t="str">
            <v>실     명</v>
          </cell>
        </row>
      </sheetData>
      <sheetData sheetId="1968">
        <row r="2">
          <cell r="A2" t="str">
            <v>실     명</v>
          </cell>
        </row>
      </sheetData>
      <sheetData sheetId="1969">
        <row r="2">
          <cell r="A2" t="str">
            <v>실     명</v>
          </cell>
        </row>
      </sheetData>
      <sheetData sheetId="1970">
        <row r="2">
          <cell r="A2" t="str">
            <v>실     명</v>
          </cell>
        </row>
      </sheetData>
      <sheetData sheetId="1971">
        <row r="2">
          <cell r="A2" t="str">
            <v>실     명</v>
          </cell>
        </row>
      </sheetData>
      <sheetData sheetId="1972">
        <row r="2">
          <cell r="A2" t="str">
            <v>실     명</v>
          </cell>
        </row>
      </sheetData>
      <sheetData sheetId="1973">
        <row r="2">
          <cell r="A2" t="str">
            <v>실     명</v>
          </cell>
        </row>
      </sheetData>
      <sheetData sheetId="1974">
        <row r="2">
          <cell r="A2" t="str">
            <v>실     명</v>
          </cell>
        </row>
      </sheetData>
      <sheetData sheetId="1975">
        <row r="2">
          <cell r="A2" t="str">
            <v>실     명</v>
          </cell>
        </row>
      </sheetData>
      <sheetData sheetId="1976">
        <row r="2">
          <cell r="A2" t="str">
            <v>실     명</v>
          </cell>
        </row>
      </sheetData>
      <sheetData sheetId="1977">
        <row r="2">
          <cell r="A2" t="str">
            <v>실     명</v>
          </cell>
        </row>
      </sheetData>
      <sheetData sheetId="1978">
        <row r="2">
          <cell r="A2" t="str">
            <v>실     명</v>
          </cell>
        </row>
      </sheetData>
      <sheetData sheetId="1979">
        <row r="2">
          <cell r="A2" t="str">
            <v>실     명</v>
          </cell>
        </row>
      </sheetData>
      <sheetData sheetId="1980">
        <row r="2">
          <cell r="A2" t="str">
            <v>실     명</v>
          </cell>
        </row>
      </sheetData>
      <sheetData sheetId="1981">
        <row r="2">
          <cell r="A2" t="str">
            <v>실     명</v>
          </cell>
        </row>
      </sheetData>
      <sheetData sheetId="1982">
        <row r="2">
          <cell r="A2" t="str">
            <v>실     명</v>
          </cell>
        </row>
      </sheetData>
      <sheetData sheetId="1983">
        <row r="2">
          <cell r="A2" t="str">
            <v>실     명</v>
          </cell>
        </row>
      </sheetData>
      <sheetData sheetId="1984">
        <row r="2">
          <cell r="A2" t="str">
            <v>실     명</v>
          </cell>
        </row>
      </sheetData>
      <sheetData sheetId="1985">
        <row r="2">
          <cell r="A2" t="str">
            <v>실     명</v>
          </cell>
        </row>
      </sheetData>
      <sheetData sheetId="1986">
        <row r="2">
          <cell r="A2" t="str">
            <v>실     명</v>
          </cell>
        </row>
      </sheetData>
      <sheetData sheetId="1987">
        <row r="2">
          <cell r="A2" t="str">
            <v>실     명</v>
          </cell>
        </row>
      </sheetData>
      <sheetData sheetId="1988">
        <row r="2">
          <cell r="A2" t="str">
            <v>실     명</v>
          </cell>
        </row>
      </sheetData>
      <sheetData sheetId="1989">
        <row r="2">
          <cell r="A2" t="str">
            <v>실     명</v>
          </cell>
        </row>
      </sheetData>
      <sheetData sheetId="1990">
        <row r="2">
          <cell r="A2" t="str">
            <v>실     명</v>
          </cell>
        </row>
      </sheetData>
      <sheetData sheetId="1991">
        <row r="2">
          <cell r="A2" t="str">
            <v>실     명</v>
          </cell>
        </row>
      </sheetData>
      <sheetData sheetId="1992">
        <row r="2">
          <cell r="A2" t="str">
            <v>실     명</v>
          </cell>
        </row>
      </sheetData>
      <sheetData sheetId="1993">
        <row r="2">
          <cell r="A2" t="str">
            <v>실     명</v>
          </cell>
        </row>
      </sheetData>
      <sheetData sheetId="1994">
        <row r="2">
          <cell r="A2" t="str">
            <v>실     명</v>
          </cell>
        </row>
      </sheetData>
      <sheetData sheetId="1995">
        <row r="2">
          <cell r="A2" t="str">
            <v>실     명</v>
          </cell>
        </row>
      </sheetData>
      <sheetData sheetId="1996">
        <row r="2">
          <cell r="A2" t="str">
            <v>실     명</v>
          </cell>
        </row>
      </sheetData>
      <sheetData sheetId="1997">
        <row r="2">
          <cell r="A2" t="str">
            <v>실     명</v>
          </cell>
        </row>
      </sheetData>
      <sheetData sheetId="1998">
        <row r="2">
          <cell r="A2" t="str">
            <v>실     명</v>
          </cell>
        </row>
      </sheetData>
      <sheetData sheetId="1999">
        <row r="2">
          <cell r="A2" t="str">
            <v>실     명</v>
          </cell>
        </row>
      </sheetData>
      <sheetData sheetId="2000">
        <row r="2">
          <cell r="A2" t="str">
            <v>실     명</v>
          </cell>
        </row>
      </sheetData>
      <sheetData sheetId="2001">
        <row r="2">
          <cell r="A2" t="str">
            <v>실     명</v>
          </cell>
        </row>
      </sheetData>
      <sheetData sheetId="2002">
        <row r="2">
          <cell r="A2" t="str">
            <v>실     명</v>
          </cell>
        </row>
      </sheetData>
      <sheetData sheetId="2003">
        <row r="2">
          <cell r="A2" t="str">
            <v>실     명</v>
          </cell>
        </row>
      </sheetData>
      <sheetData sheetId="2004">
        <row r="2">
          <cell r="A2" t="str">
            <v>실     명</v>
          </cell>
        </row>
      </sheetData>
      <sheetData sheetId="2005">
        <row r="2">
          <cell r="A2" t="str">
            <v>실     명</v>
          </cell>
        </row>
      </sheetData>
      <sheetData sheetId="2006">
        <row r="2">
          <cell r="A2" t="str">
            <v>실     명</v>
          </cell>
        </row>
      </sheetData>
      <sheetData sheetId="2007">
        <row r="2">
          <cell r="A2" t="str">
            <v>실     명</v>
          </cell>
        </row>
      </sheetData>
      <sheetData sheetId="2008">
        <row r="2">
          <cell r="A2" t="str">
            <v>실     명</v>
          </cell>
        </row>
      </sheetData>
      <sheetData sheetId="2009">
        <row r="2">
          <cell r="A2" t="str">
            <v>실     명</v>
          </cell>
        </row>
      </sheetData>
      <sheetData sheetId="2010">
        <row r="2">
          <cell r="A2" t="str">
            <v>실     명</v>
          </cell>
        </row>
      </sheetData>
      <sheetData sheetId="2011">
        <row r="2">
          <cell r="A2" t="str">
            <v>실     명</v>
          </cell>
        </row>
      </sheetData>
      <sheetData sheetId="2012">
        <row r="2">
          <cell r="A2" t="str">
            <v>실     명</v>
          </cell>
        </row>
      </sheetData>
      <sheetData sheetId="2013">
        <row r="2">
          <cell r="A2" t="str">
            <v>실     명</v>
          </cell>
        </row>
      </sheetData>
      <sheetData sheetId="2014">
        <row r="2">
          <cell r="A2" t="str">
            <v>실     명</v>
          </cell>
        </row>
      </sheetData>
      <sheetData sheetId="2015">
        <row r="2">
          <cell r="A2" t="str">
            <v>실     명</v>
          </cell>
        </row>
      </sheetData>
      <sheetData sheetId="2016">
        <row r="2">
          <cell r="A2" t="str">
            <v>실     명</v>
          </cell>
        </row>
      </sheetData>
      <sheetData sheetId="2017">
        <row r="2">
          <cell r="A2" t="str">
            <v>실     명</v>
          </cell>
        </row>
      </sheetData>
      <sheetData sheetId="2018">
        <row r="2">
          <cell r="A2" t="str">
            <v>실     명</v>
          </cell>
        </row>
      </sheetData>
      <sheetData sheetId="2019">
        <row r="2">
          <cell r="A2" t="str">
            <v>실     명</v>
          </cell>
        </row>
      </sheetData>
      <sheetData sheetId="2020">
        <row r="2">
          <cell r="A2" t="str">
            <v>실     명</v>
          </cell>
        </row>
      </sheetData>
      <sheetData sheetId="2021">
        <row r="2">
          <cell r="A2" t="str">
            <v>실     명</v>
          </cell>
        </row>
      </sheetData>
      <sheetData sheetId="2022">
        <row r="2">
          <cell r="A2" t="str">
            <v>실     명</v>
          </cell>
        </row>
      </sheetData>
      <sheetData sheetId="2023">
        <row r="2">
          <cell r="A2" t="str">
            <v>실     명</v>
          </cell>
        </row>
      </sheetData>
      <sheetData sheetId="2024">
        <row r="2">
          <cell r="A2" t="str">
            <v>실     명</v>
          </cell>
        </row>
      </sheetData>
      <sheetData sheetId="2025">
        <row r="2">
          <cell r="A2" t="str">
            <v>실     명</v>
          </cell>
        </row>
      </sheetData>
      <sheetData sheetId="2026">
        <row r="2">
          <cell r="A2" t="str">
            <v>실     명</v>
          </cell>
        </row>
      </sheetData>
      <sheetData sheetId="2027">
        <row r="2">
          <cell r="A2" t="str">
            <v>실     명</v>
          </cell>
        </row>
      </sheetData>
      <sheetData sheetId="2028">
        <row r="2">
          <cell r="A2" t="str">
            <v>실     명</v>
          </cell>
        </row>
      </sheetData>
      <sheetData sheetId="2029">
        <row r="2">
          <cell r="A2" t="str">
            <v>실     명</v>
          </cell>
        </row>
      </sheetData>
      <sheetData sheetId="2030">
        <row r="2">
          <cell r="A2" t="str">
            <v>실     명</v>
          </cell>
        </row>
      </sheetData>
      <sheetData sheetId="2031">
        <row r="2">
          <cell r="A2" t="str">
            <v>실     명</v>
          </cell>
        </row>
      </sheetData>
      <sheetData sheetId="2032">
        <row r="2">
          <cell r="A2" t="str">
            <v>실     명</v>
          </cell>
        </row>
      </sheetData>
      <sheetData sheetId="2033">
        <row r="2">
          <cell r="A2" t="str">
            <v>실     명</v>
          </cell>
        </row>
      </sheetData>
      <sheetData sheetId="2034">
        <row r="2">
          <cell r="A2" t="str">
            <v>실     명</v>
          </cell>
        </row>
      </sheetData>
      <sheetData sheetId="2035">
        <row r="2">
          <cell r="A2" t="str">
            <v>실     명</v>
          </cell>
        </row>
      </sheetData>
      <sheetData sheetId="2036">
        <row r="2">
          <cell r="A2" t="str">
            <v>실     명</v>
          </cell>
        </row>
      </sheetData>
      <sheetData sheetId="2037">
        <row r="2">
          <cell r="A2" t="str">
            <v>실     명</v>
          </cell>
        </row>
      </sheetData>
      <sheetData sheetId="2038">
        <row r="2">
          <cell r="A2" t="str">
            <v>실     명</v>
          </cell>
        </row>
      </sheetData>
      <sheetData sheetId="2039">
        <row r="2">
          <cell r="A2" t="str">
            <v>실     명</v>
          </cell>
        </row>
      </sheetData>
      <sheetData sheetId="2040">
        <row r="2">
          <cell r="A2" t="str">
            <v>실     명</v>
          </cell>
        </row>
      </sheetData>
      <sheetData sheetId="2041">
        <row r="2">
          <cell r="A2" t="str">
            <v>실     명</v>
          </cell>
        </row>
      </sheetData>
      <sheetData sheetId="2042">
        <row r="2">
          <cell r="A2" t="str">
            <v>실     명</v>
          </cell>
        </row>
      </sheetData>
      <sheetData sheetId="2043">
        <row r="2">
          <cell r="A2" t="str">
            <v>실     명</v>
          </cell>
        </row>
      </sheetData>
      <sheetData sheetId="2044">
        <row r="2">
          <cell r="A2" t="str">
            <v>실     명</v>
          </cell>
        </row>
      </sheetData>
      <sheetData sheetId="2045">
        <row r="2">
          <cell r="A2" t="str">
            <v>실     명</v>
          </cell>
        </row>
      </sheetData>
      <sheetData sheetId="2046">
        <row r="2">
          <cell r="A2" t="str">
            <v>실     명</v>
          </cell>
        </row>
      </sheetData>
      <sheetData sheetId="2047">
        <row r="2">
          <cell r="A2" t="str">
            <v>실     명</v>
          </cell>
        </row>
      </sheetData>
      <sheetData sheetId="2048">
        <row r="2">
          <cell r="A2" t="str">
            <v>실     명</v>
          </cell>
        </row>
      </sheetData>
      <sheetData sheetId="2049">
        <row r="2">
          <cell r="A2" t="str">
            <v>실     명</v>
          </cell>
        </row>
      </sheetData>
      <sheetData sheetId="2050">
        <row r="2">
          <cell r="A2" t="str">
            <v>실     명</v>
          </cell>
        </row>
      </sheetData>
      <sheetData sheetId="2051">
        <row r="2">
          <cell r="A2" t="str">
            <v>실     명</v>
          </cell>
        </row>
      </sheetData>
      <sheetData sheetId="2052">
        <row r="2">
          <cell r="A2" t="str">
            <v>실     명</v>
          </cell>
        </row>
      </sheetData>
      <sheetData sheetId="2053">
        <row r="2">
          <cell r="A2" t="str">
            <v>실     명</v>
          </cell>
        </row>
      </sheetData>
      <sheetData sheetId="2054">
        <row r="2">
          <cell r="A2" t="str">
            <v>실     명</v>
          </cell>
        </row>
      </sheetData>
      <sheetData sheetId="2055">
        <row r="2">
          <cell r="A2" t="str">
            <v>실     명</v>
          </cell>
        </row>
      </sheetData>
      <sheetData sheetId="2056">
        <row r="2">
          <cell r="A2" t="str">
            <v>실     명</v>
          </cell>
        </row>
      </sheetData>
      <sheetData sheetId="2057">
        <row r="2">
          <cell r="A2" t="str">
            <v>실     명</v>
          </cell>
        </row>
      </sheetData>
      <sheetData sheetId="2058">
        <row r="2">
          <cell r="A2" t="str">
            <v>실     명</v>
          </cell>
        </row>
      </sheetData>
      <sheetData sheetId="2059">
        <row r="2">
          <cell r="A2" t="str">
            <v>실     명</v>
          </cell>
        </row>
      </sheetData>
      <sheetData sheetId="2060">
        <row r="2">
          <cell r="A2" t="str">
            <v>실     명</v>
          </cell>
        </row>
      </sheetData>
      <sheetData sheetId="2061">
        <row r="2">
          <cell r="A2" t="str">
            <v>실     명</v>
          </cell>
        </row>
      </sheetData>
      <sheetData sheetId="2062">
        <row r="2">
          <cell r="A2" t="str">
            <v>실     명</v>
          </cell>
        </row>
      </sheetData>
      <sheetData sheetId="2063">
        <row r="2">
          <cell r="A2" t="str">
            <v>실     명</v>
          </cell>
        </row>
      </sheetData>
      <sheetData sheetId="2064">
        <row r="2">
          <cell r="A2" t="str">
            <v>실     명</v>
          </cell>
        </row>
      </sheetData>
      <sheetData sheetId="2065">
        <row r="2">
          <cell r="A2" t="str">
            <v>실     명</v>
          </cell>
        </row>
      </sheetData>
      <sheetData sheetId="2066">
        <row r="2">
          <cell r="A2" t="str">
            <v>실     명</v>
          </cell>
        </row>
      </sheetData>
      <sheetData sheetId="2067">
        <row r="2">
          <cell r="A2" t="str">
            <v>실     명</v>
          </cell>
        </row>
      </sheetData>
      <sheetData sheetId="2068">
        <row r="2">
          <cell r="A2" t="str">
            <v>실     명</v>
          </cell>
        </row>
      </sheetData>
      <sheetData sheetId="2069">
        <row r="2">
          <cell r="A2" t="str">
            <v>실     명</v>
          </cell>
        </row>
      </sheetData>
      <sheetData sheetId="2070">
        <row r="2">
          <cell r="A2" t="str">
            <v>실     명</v>
          </cell>
        </row>
      </sheetData>
      <sheetData sheetId="2071">
        <row r="2">
          <cell r="A2" t="str">
            <v>실     명</v>
          </cell>
        </row>
      </sheetData>
      <sheetData sheetId="2072">
        <row r="2">
          <cell r="A2" t="str">
            <v>실     명</v>
          </cell>
        </row>
      </sheetData>
      <sheetData sheetId="2073">
        <row r="2">
          <cell r="A2" t="str">
            <v>실     명</v>
          </cell>
        </row>
      </sheetData>
      <sheetData sheetId="2074">
        <row r="2">
          <cell r="A2" t="str">
            <v>실     명</v>
          </cell>
        </row>
      </sheetData>
      <sheetData sheetId="2075">
        <row r="2">
          <cell r="A2" t="str">
            <v>실     명</v>
          </cell>
        </row>
      </sheetData>
      <sheetData sheetId="2076">
        <row r="2">
          <cell r="A2" t="str">
            <v>실     명</v>
          </cell>
        </row>
      </sheetData>
      <sheetData sheetId="2077">
        <row r="2">
          <cell r="A2" t="str">
            <v>실     명</v>
          </cell>
        </row>
      </sheetData>
      <sheetData sheetId="2078">
        <row r="2">
          <cell r="A2" t="str">
            <v>실     명</v>
          </cell>
        </row>
      </sheetData>
      <sheetData sheetId="2079">
        <row r="2">
          <cell r="A2" t="str">
            <v>실     명</v>
          </cell>
        </row>
      </sheetData>
      <sheetData sheetId="2080">
        <row r="2">
          <cell r="A2" t="str">
            <v>실     명</v>
          </cell>
        </row>
      </sheetData>
      <sheetData sheetId="2081">
        <row r="2">
          <cell r="A2" t="str">
            <v>실     명</v>
          </cell>
        </row>
      </sheetData>
      <sheetData sheetId="2082">
        <row r="2">
          <cell r="A2" t="str">
            <v>실     명</v>
          </cell>
        </row>
      </sheetData>
      <sheetData sheetId="2083">
        <row r="2">
          <cell r="A2" t="str">
            <v>실     명</v>
          </cell>
        </row>
      </sheetData>
      <sheetData sheetId="2084">
        <row r="2">
          <cell r="A2" t="str">
            <v>실     명</v>
          </cell>
        </row>
      </sheetData>
      <sheetData sheetId="2085">
        <row r="2">
          <cell r="A2" t="str">
            <v>실     명</v>
          </cell>
        </row>
      </sheetData>
      <sheetData sheetId="2086">
        <row r="2">
          <cell r="A2" t="str">
            <v>실     명</v>
          </cell>
        </row>
      </sheetData>
      <sheetData sheetId="2087">
        <row r="2">
          <cell r="A2" t="str">
            <v>실     명</v>
          </cell>
        </row>
      </sheetData>
      <sheetData sheetId="2088">
        <row r="2">
          <cell r="A2" t="str">
            <v>실     명</v>
          </cell>
        </row>
      </sheetData>
      <sheetData sheetId="2089">
        <row r="2">
          <cell r="A2" t="str">
            <v>실     명</v>
          </cell>
        </row>
      </sheetData>
      <sheetData sheetId="2090">
        <row r="2">
          <cell r="A2" t="str">
            <v>실     명</v>
          </cell>
        </row>
      </sheetData>
      <sheetData sheetId="2091">
        <row r="2">
          <cell r="A2" t="str">
            <v>실     명</v>
          </cell>
        </row>
      </sheetData>
      <sheetData sheetId="2092">
        <row r="2">
          <cell r="A2" t="str">
            <v>실     명</v>
          </cell>
        </row>
      </sheetData>
      <sheetData sheetId="2093">
        <row r="2">
          <cell r="A2" t="str">
            <v>실     명</v>
          </cell>
        </row>
      </sheetData>
      <sheetData sheetId="2094">
        <row r="2">
          <cell r="A2" t="str">
            <v>실     명</v>
          </cell>
        </row>
      </sheetData>
      <sheetData sheetId="2095">
        <row r="2">
          <cell r="A2" t="str">
            <v>실     명</v>
          </cell>
        </row>
      </sheetData>
      <sheetData sheetId="2096">
        <row r="2">
          <cell r="A2" t="str">
            <v>실     명</v>
          </cell>
        </row>
      </sheetData>
      <sheetData sheetId="2097">
        <row r="2">
          <cell r="A2" t="str">
            <v>실     명</v>
          </cell>
        </row>
      </sheetData>
      <sheetData sheetId="2098">
        <row r="2">
          <cell r="A2" t="str">
            <v>실     명</v>
          </cell>
        </row>
      </sheetData>
      <sheetData sheetId="2099">
        <row r="2">
          <cell r="A2" t="str">
            <v>실     명</v>
          </cell>
        </row>
      </sheetData>
      <sheetData sheetId="2100">
        <row r="2">
          <cell r="A2" t="str">
            <v>실     명</v>
          </cell>
        </row>
      </sheetData>
      <sheetData sheetId="2101">
        <row r="2">
          <cell r="A2" t="str">
            <v>실     명</v>
          </cell>
        </row>
      </sheetData>
      <sheetData sheetId="2102">
        <row r="2">
          <cell r="A2" t="str">
            <v>실     명</v>
          </cell>
        </row>
      </sheetData>
      <sheetData sheetId="2103">
        <row r="2">
          <cell r="A2" t="str">
            <v>실     명</v>
          </cell>
        </row>
      </sheetData>
      <sheetData sheetId="2104">
        <row r="2">
          <cell r="A2" t="str">
            <v>실     명</v>
          </cell>
        </row>
      </sheetData>
      <sheetData sheetId="2105">
        <row r="2">
          <cell r="A2" t="str">
            <v>실     명</v>
          </cell>
        </row>
      </sheetData>
      <sheetData sheetId="2106">
        <row r="2">
          <cell r="A2" t="str">
            <v>실     명</v>
          </cell>
        </row>
      </sheetData>
      <sheetData sheetId="2107">
        <row r="2">
          <cell r="A2" t="str">
            <v>실     명</v>
          </cell>
        </row>
      </sheetData>
      <sheetData sheetId="2108">
        <row r="2">
          <cell r="A2" t="str">
            <v>실     명</v>
          </cell>
        </row>
      </sheetData>
      <sheetData sheetId="2109">
        <row r="2">
          <cell r="A2" t="str">
            <v>실     명</v>
          </cell>
        </row>
      </sheetData>
      <sheetData sheetId="2110">
        <row r="2">
          <cell r="A2" t="str">
            <v>실     명</v>
          </cell>
        </row>
      </sheetData>
      <sheetData sheetId="2111">
        <row r="2">
          <cell r="A2" t="str">
            <v>실     명</v>
          </cell>
        </row>
      </sheetData>
      <sheetData sheetId="2112">
        <row r="2">
          <cell r="A2" t="str">
            <v>실     명</v>
          </cell>
        </row>
      </sheetData>
      <sheetData sheetId="2113">
        <row r="2">
          <cell r="A2" t="str">
            <v>실     명</v>
          </cell>
        </row>
      </sheetData>
      <sheetData sheetId="2114">
        <row r="2">
          <cell r="A2" t="str">
            <v>실     명</v>
          </cell>
        </row>
      </sheetData>
      <sheetData sheetId="2115">
        <row r="2">
          <cell r="A2" t="str">
            <v>실     명</v>
          </cell>
        </row>
      </sheetData>
      <sheetData sheetId="2116">
        <row r="2">
          <cell r="A2" t="str">
            <v>실     명</v>
          </cell>
        </row>
      </sheetData>
      <sheetData sheetId="2117">
        <row r="2">
          <cell r="A2" t="str">
            <v>실     명</v>
          </cell>
        </row>
      </sheetData>
      <sheetData sheetId="2118">
        <row r="2">
          <cell r="A2" t="str">
            <v>실     명</v>
          </cell>
        </row>
      </sheetData>
      <sheetData sheetId="2119">
        <row r="2">
          <cell r="A2" t="str">
            <v>실     명</v>
          </cell>
        </row>
      </sheetData>
      <sheetData sheetId="2120">
        <row r="2">
          <cell r="A2" t="str">
            <v>실     명</v>
          </cell>
        </row>
      </sheetData>
      <sheetData sheetId="2121">
        <row r="2">
          <cell r="A2" t="str">
            <v>실     명</v>
          </cell>
        </row>
      </sheetData>
      <sheetData sheetId="2122">
        <row r="2">
          <cell r="A2" t="str">
            <v>실     명</v>
          </cell>
        </row>
      </sheetData>
      <sheetData sheetId="2123">
        <row r="2">
          <cell r="A2" t="str">
            <v>실     명</v>
          </cell>
        </row>
      </sheetData>
      <sheetData sheetId="2124">
        <row r="2">
          <cell r="A2" t="str">
            <v>실     명</v>
          </cell>
        </row>
      </sheetData>
      <sheetData sheetId="2125">
        <row r="2">
          <cell r="A2" t="str">
            <v>실     명</v>
          </cell>
        </row>
      </sheetData>
      <sheetData sheetId="2126">
        <row r="2">
          <cell r="A2" t="str">
            <v>실     명</v>
          </cell>
        </row>
      </sheetData>
      <sheetData sheetId="2127">
        <row r="2">
          <cell r="A2" t="str">
            <v>실     명</v>
          </cell>
        </row>
      </sheetData>
      <sheetData sheetId="2128">
        <row r="2">
          <cell r="A2" t="str">
            <v>실     명</v>
          </cell>
        </row>
      </sheetData>
      <sheetData sheetId="2129">
        <row r="2">
          <cell r="A2" t="str">
            <v>실     명</v>
          </cell>
        </row>
      </sheetData>
      <sheetData sheetId="2130">
        <row r="2">
          <cell r="A2" t="str">
            <v>실     명</v>
          </cell>
        </row>
      </sheetData>
      <sheetData sheetId="2131">
        <row r="2">
          <cell r="A2" t="str">
            <v>실     명</v>
          </cell>
        </row>
      </sheetData>
      <sheetData sheetId="2132">
        <row r="2">
          <cell r="A2" t="str">
            <v>실     명</v>
          </cell>
        </row>
      </sheetData>
      <sheetData sheetId="2133">
        <row r="2">
          <cell r="A2" t="str">
            <v>실     명</v>
          </cell>
        </row>
      </sheetData>
      <sheetData sheetId="2134">
        <row r="2">
          <cell r="A2" t="str">
            <v>실     명</v>
          </cell>
        </row>
      </sheetData>
      <sheetData sheetId="2135">
        <row r="2">
          <cell r="A2" t="str">
            <v>실     명</v>
          </cell>
        </row>
      </sheetData>
      <sheetData sheetId="2136">
        <row r="2">
          <cell r="A2" t="str">
            <v>실     명</v>
          </cell>
        </row>
      </sheetData>
      <sheetData sheetId="2137">
        <row r="2">
          <cell r="A2" t="str">
            <v>실     명</v>
          </cell>
        </row>
      </sheetData>
      <sheetData sheetId="2138">
        <row r="2">
          <cell r="A2" t="str">
            <v>실     명</v>
          </cell>
        </row>
      </sheetData>
      <sheetData sheetId="2139">
        <row r="2">
          <cell r="A2" t="str">
            <v>실     명</v>
          </cell>
        </row>
      </sheetData>
      <sheetData sheetId="2140">
        <row r="2">
          <cell r="A2" t="str">
            <v>실     명</v>
          </cell>
        </row>
      </sheetData>
      <sheetData sheetId="2141">
        <row r="2">
          <cell r="A2" t="str">
            <v>실     명</v>
          </cell>
        </row>
      </sheetData>
      <sheetData sheetId="2142">
        <row r="2">
          <cell r="A2" t="str">
            <v>실     명</v>
          </cell>
        </row>
      </sheetData>
      <sheetData sheetId="2143">
        <row r="2">
          <cell r="A2" t="str">
            <v>실     명</v>
          </cell>
        </row>
      </sheetData>
      <sheetData sheetId="2144">
        <row r="2">
          <cell r="A2" t="str">
            <v>실     명</v>
          </cell>
        </row>
      </sheetData>
      <sheetData sheetId="2145">
        <row r="2">
          <cell r="A2" t="str">
            <v>실     명</v>
          </cell>
        </row>
      </sheetData>
      <sheetData sheetId="2146">
        <row r="2">
          <cell r="A2" t="str">
            <v>실     명</v>
          </cell>
        </row>
      </sheetData>
      <sheetData sheetId="2147">
        <row r="2">
          <cell r="A2" t="str">
            <v>실     명</v>
          </cell>
        </row>
      </sheetData>
      <sheetData sheetId="2148">
        <row r="2">
          <cell r="A2" t="str">
            <v>실     명</v>
          </cell>
        </row>
      </sheetData>
      <sheetData sheetId="2149">
        <row r="2">
          <cell r="A2" t="str">
            <v>실     명</v>
          </cell>
        </row>
      </sheetData>
      <sheetData sheetId="2150">
        <row r="2">
          <cell r="A2" t="str">
            <v>실     명</v>
          </cell>
        </row>
      </sheetData>
      <sheetData sheetId="2151">
        <row r="2">
          <cell r="A2" t="str">
            <v>실     명</v>
          </cell>
        </row>
      </sheetData>
      <sheetData sheetId="2152">
        <row r="2">
          <cell r="A2" t="str">
            <v>실     명</v>
          </cell>
        </row>
      </sheetData>
      <sheetData sheetId="2153">
        <row r="2">
          <cell r="A2" t="str">
            <v>실     명</v>
          </cell>
        </row>
      </sheetData>
      <sheetData sheetId="2154">
        <row r="2">
          <cell r="A2" t="str">
            <v>실     명</v>
          </cell>
        </row>
      </sheetData>
      <sheetData sheetId="2155">
        <row r="2">
          <cell r="A2" t="str">
            <v>실     명</v>
          </cell>
        </row>
      </sheetData>
      <sheetData sheetId="2156">
        <row r="2">
          <cell r="A2" t="str">
            <v>실     명</v>
          </cell>
        </row>
      </sheetData>
      <sheetData sheetId="2157">
        <row r="2">
          <cell r="A2" t="str">
            <v>실     명</v>
          </cell>
        </row>
      </sheetData>
      <sheetData sheetId="2158">
        <row r="2">
          <cell r="A2" t="str">
            <v>실     명</v>
          </cell>
        </row>
      </sheetData>
      <sheetData sheetId="2159">
        <row r="2">
          <cell r="A2" t="str">
            <v>실     명</v>
          </cell>
        </row>
      </sheetData>
      <sheetData sheetId="2160">
        <row r="2">
          <cell r="A2" t="str">
            <v>실     명</v>
          </cell>
        </row>
      </sheetData>
      <sheetData sheetId="2161">
        <row r="2">
          <cell r="A2" t="str">
            <v>실     명</v>
          </cell>
        </row>
      </sheetData>
      <sheetData sheetId="2162">
        <row r="2">
          <cell r="A2" t="str">
            <v>실     명</v>
          </cell>
        </row>
      </sheetData>
      <sheetData sheetId="2163">
        <row r="2">
          <cell r="A2" t="str">
            <v>실     명</v>
          </cell>
        </row>
      </sheetData>
      <sheetData sheetId="2164">
        <row r="2">
          <cell r="A2" t="str">
            <v>실     명</v>
          </cell>
        </row>
      </sheetData>
      <sheetData sheetId="2165">
        <row r="2">
          <cell r="A2" t="str">
            <v>실     명</v>
          </cell>
        </row>
      </sheetData>
      <sheetData sheetId="2166">
        <row r="2">
          <cell r="A2" t="str">
            <v>실     명</v>
          </cell>
        </row>
      </sheetData>
      <sheetData sheetId="2167">
        <row r="2">
          <cell r="A2" t="str">
            <v>실     명</v>
          </cell>
        </row>
      </sheetData>
      <sheetData sheetId="2168">
        <row r="2">
          <cell r="A2" t="str">
            <v>실     명</v>
          </cell>
        </row>
      </sheetData>
      <sheetData sheetId="2169">
        <row r="2">
          <cell r="A2" t="str">
            <v>실     명</v>
          </cell>
        </row>
      </sheetData>
      <sheetData sheetId="2170">
        <row r="2">
          <cell r="A2" t="str">
            <v>실     명</v>
          </cell>
        </row>
      </sheetData>
      <sheetData sheetId="2171">
        <row r="2">
          <cell r="A2" t="str">
            <v>실     명</v>
          </cell>
        </row>
      </sheetData>
      <sheetData sheetId="2172">
        <row r="2">
          <cell r="A2" t="str">
            <v>실     명</v>
          </cell>
        </row>
      </sheetData>
      <sheetData sheetId="2173">
        <row r="2">
          <cell r="A2" t="str">
            <v>실     명</v>
          </cell>
        </row>
      </sheetData>
      <sheetData sheetId="2174">
        <row r="2">
          <cell r="A2" t="str">
            <v>실     명</v>
          </cell>
        </row>
      </sheetData>
      <sheetData sheetId="2175">
        <row r="2">
          <cell r="A2" t="str">
            <v>실     명</v>
          </cell>
        </row>
      </sheetData>
      <sheetData sheetId="2176">
        <row r="2">
          <cell r="A2" t="str">
            <v>실     명</v>
          </cell>
        </row>
      </sheetData>
      <sheetData sheetId="2177">
        <row r="2">
          <cell r="A2" t="str">
            <v>실     명</v>
          </cell>
        </row>
      </sheetData>
      <sheetData sheetId="2178">
        <row r="2">
          <cell r="A2" t="str">
            <v>실     명</v>
          </cell>
        </row>
      </sheetData>
      <sheetData sheetId="2179">
        <row r="2">
          <cell r="A2" t="str">
            <v>실     명</v>
          </cell>
        </row>
      </sheetData>
      <sheetData sheetId="2180">
        <row r="2">
          <cell r="A2" t="str">
            <v>실     명</v>
          </cell>
        </row>
      </sheetData>
      <sheetData sheetId="2181">
        <row r="2">
          <cell r="A2" t="str">
            <v>실     명</v>
          </cell>
        </row>
      </sheetData>
      <sheetData sheetId="2182">
        <row r="2">
          <cell r="A2" t="str">
            <v>실     명</v>
          </cell>
        </row>
      </sheetData>
      <sheetData sheetId="2183">
        <row r="2">
          <cell r="A2" t="str">
            <v>실     명</v>
          </cell>
        </row>
      </sheetData>
      <sheetData sheetId="2184">
        <row r="2">
          <cell r="A2" t="str">
            <v>실     명</v>
          </cell>
        </row>
      </sheetData>
      <sheetData sheetId="2185">
        <row r="2">
          <cell r="A2" t="str">
            <v>실     명</v>
          </cell>
        </row>
      </sheetData>
      <sheetData sheetId="2186">
        <row r="2">
          <cell r="A2" t="str">
            <v>실     명</v>
          </cell>
        </row>
      </sheetData>
      <sheetData sheetId="2187">
        <row r="2">
          <cell r="A2" t="str">
            <v>실     명</v>
          </cell>
        </row>
      </sheetData>
      <sheetData sheetId="2188">
        <row r="2">
          <cell r="A2" t="str">
            <v>실     명</v>
          </cell>
        </row>
      </sheetData>
      <sheetData sheetId="2189">
        <row r="2">
          <cell r="A2" t="str">
            <v>실     명</v>
          </cell>
        </row>
      </sheetData>
      <sheetData sheetId="2190">
        <row r="2">
          <cell r="A2" t="str">
            <v>실     명</v>
          </cell>
        </row>
      </sheetData>
      <sheetData sheetId="2191">
        <row r="2">
          <cell r="A2" t="str">
            <v>실     명</v>
          </cell>
        </row>
      </sheetData>
      <sheetData sheetId="2192">
        <row r="2">
          <cell r="A2" t="str">
            <v>실     명</v>
          </cell>
        </row>
      </sheetData>
      <sheetData sheetId="2193">
        <row r="2">
          <cell r="A2" t="str">
            <v>실     명</v>
          </cell>
        </row>
      </sheetData>
      <sheetData sheetId="2194">
        <row r="2">
          <cell r="A2" t="str">
            <v>실     명</v>
          </cell>
        </row>
      </sheetData>
      <sheetData sheetId="2195">
        <row r="2">
          <cell r="A2" t="str">
            <v>실     명</v>
          </cell>
        </row>
      </sheetData>
      <sheetData sheetId="2196">
        <row r="2">
          <cell r="A2" t="str">
            <v>실     명</v>
          </cell>
        </row>
      </sheetData>
      <sheetData sheetId="2197">
        <row r="2">
          <cell r="A2" t="str">
            <v>실     명</v>
          </cell>
        </row>
      </sheetData>
      <sheetData sheetId="2198">
        <row r="2">
          <cell r="A2" t="str">
            <v>실     명</v>
          </cell>
        </row>
      </sheetData>
      <sheetData sheetId="2199">
        <row r="2">
          <cell r="A2" t="str">
            <v>실     명</v>
          </cell>
        </row>
      </sheetData>
      <sheetData sheetId="2200">
        <row r="2">
          <cell r="A2" t="str">
            <v>실     명</v>
          </cell>
        </row>
      </sheetData>
      <sheetData sheetId="2201">
        <row r="2">
          <cell r="A2" t="str">
            <v>실     명</v>
          </cell>
        </row>
      </sheetData>
      <sheetData sheetId="2202">
        <row r="2">
          <cell r="A2" t="str">
            <v>실     명</v>
          </cell>
        </row>
      </sheetData>
      <sheetData sheetId="2203">
        <row r="2">
          <cell r="A2" t="str">
            <v>실     명</v>
          </cell>
        </row>
      </sheetData>
      <sheetData sheetId="2204">
        <row r="2">
          <cell r="A2" t="str">
            <v>실     명</v>
          </cell>
        </row>
      </sheetData>
      <sheetData sheetId="2205">
        <row r="2">
          <cell r="A2" t="str">
            <v>실     명</v>
          </cell>
        </row>
      </sheetData>
      <sheetData sheetId="2206">
        <row r="2">
          <cell r="A2" t="str">
            <v>실     명</v>
          </cell>
        </row>
      </sheetData>
      <sheetData sheetId="2207">
        <row r="2">
          <cell r="A2" t="str">
            <v>실     명</v>
          </cell>
        </row>
      </sheetData>
      <sheetData sheetId="2208">
        <row r="2">
          <cell r="A2" t="str">
            <v>실     명</v>
          </cell>
        </row>
      </sheetData>
      <sheetData sheetId="2209">
        <row r="2">
          <cell r="A2" t="str">
            <v>실     명</v>
          </cell>
        </row>
      </sheetData>
      <sheetData sheetId="2210">
        <row r="2">
          <cell r="A2" t="str">
            <v>실     명</v>
          </cell>
        </row>
      </sheetData>
      <sheetData sheetId="2211">
        <row r="2">
          <cell r="A2" t="str">
            <v>실     명</v>
          </cell>
        </row>
      </sheetData>
      <sheetData sheetId="2212">
        <row r="2">
          <cell r="A2" t="str">
            <v>실     명</v>
          </cell>
        </row>
      </sheetData>
      <sheetData sheetId="2213">
        <row r="2">
          <cell r="A2" t="str">
            <v>실     명</v>
          </cell>
        </row>
      </sheetData>
      <sheetData sheetId="2214">
        <row r="2">
          <cell r="A2" t="str">
            <v>실     명</v>
          </cell>
        </row>
      </sheetData>
      <sheetData sheetId="2215">
        <row r="2">
          <cell r="A2" t="str">
            <v>실     명</v>
          </cell>
        </row>
      </sheetData>
      <sheetData sheetId="2216">
        <row r="2">
          <cell r="A2" t="str">
            <v>실     명</v>
          </cell>
        </row>
      </sheetData>
      <sheetData sheetId="2217">
        <row r="2">
          <cell r="A2" t="str">
            <v>실     명</v>
          </cell>
        </row>
      </sheetData>
      <sheetData sheetId="2218">
        <row r="2">
          <cell r="A2" t="str">
            <v>실     명</v>
          </cell>
        </row>
      </sheetData>
      <sheetData sheetId="2219">
        <row r="2">
          <cell r="A2" t="str">
            <v>실     명</v>
          </cell>
        </row>
      </sheetData>
      <sheetData sheetId="2220">
        <row r="2">
          <cell r="A2" t="str">
            <v>실     명</v>
          </cell>
        </row>
      </sheetData>
      <sheetData sheetId="2221">
        <row r="2">
          <cell r="A2" t="str">
            <v>실     명</v>
          </cell>
        </row>
      </sheetData>
      <sheetData sheetId="2222">
        <row r="2">
          <cell r="A2" t="str">
            <v>실     명</v>
          </cell>
        </row>
      </sheetData>
      <sheetData sheetId="2223">
        <row r="2">
          <cell r="A2" t="str">
            <v>실     명</v>
          </cell>
        </row>
      </sheetData>
      <sheetData sheetId="2224">
        <row r="2">
          <cell r="A2" t="str">
            <v>실     명</v>
          </cell>
        </row>
      </sheetData>
      <sheetData sheetId="2225">
        <row r="2">
          <cell r="A2" t="str">
            <v>실     명</v>
          </cell>
        </row>
      </sheetData>
      <sheetData sheetId="2226">
        <row r="2">
          <cell r="A2" t="str">
            <v>실     명</v>
          </cell>
        </row>
      </sheetData>
      <sheetData sheetId="2227">
        <row r="2">
          <cell r="A2" t="str">
            <v>실     명</v>
          </cell>
        </row>
      </sheetData>
      <sheetData sheetId="2228">
        <row r="2">
          <cell r="A2" t="str">
            <v>실     명</v>
          </cell>
        </row>
      </sheetData>
      <sheetData sheetId="2229">
        <row r="2">
          <cell r="A2" t="str">
            <v>실     명</v>
          </cell>
        </row>
      </sheetData>
      <sheetData sheetId="2230">
        <row r="2">
          <cell r="A2" t="str">
            <v>실     명</v>
          </cell>
        </row>
      </sheetData>
      <sheetData sheetId="2231">
        <row r="2">
          <cell r="A2" t="str">
            <v>실     명</v>
          </cell>
        </row>
      </sheetData>
      <sheetData sheetId="2232">
        <row r="2">
          <cell r="A2" t="str">
            <v>실     명</v>
          </cell>
        </row>
      </sheetData>
      <sheetData sheetId="2233">
        <row r="2">
          <cell r="A2" t="str">
            <v>실     명</v>
          </cell>
        </row>
      </sheetData>
      <sheetData sheetId="2234">
        <row r="2">
          <cell r="A2" t="str">
            <v>실     명</v>
          </cell>
        </row>
      </sheetData>
      <sheetData sheetId="2235">
        <row r="2">
          <cell r="A2" t="str">
            <v>실     명</v>
          </cell>
        </row>
      </sheetData>
      <sheetData sheetId="2236">
        <row r="2">
          <cell r="A2" t="str">
            <v>실     명</v>
          </cell>
        </row>
      </sheetData>
      <sheetData sheetId="2237">
        <row r="2">
          <cell r="A2" t="str">
            <v>실     명</v>
          </cell>
        </row>
      </sheetData>
      <sheetData sheetId="2238">
        <row r="2">
          <cell r="A2" t="str">
            <v>실     명</v>
          </cell>
        </row>
      </sheetData>
      <sheetData sheetId="2239">
        <row r="2">
          <cell r="A2" t="str">
            <v>실     명</v>
          </cell>
        </row>
      </sheetData>
      <sheetData sheetId="2240">
        <row r="2">
          <cell r="A2" t="str">
            <v>실     명</v>
          </cell>
        </row>
      </sheetData>
      <sheetData sheetId="2241">
        <row r="2">
          <cell r="A2" t="str">
            <v>실     명</v>
          </cell>
        </row>
      </sheetData>
      <sheetData sheetId="2242">
        <row r="2">
          <cell r="A2" t="str">
            <v>실     명</v>
          </cell>
        </row>
      </sheetData>
      <sheetData sheetId="2243">
        <row r="2">
          <cell r="A2" t="str">
            <v>실     명</v>
          </cell>
        </row>
      </sheetData>
      <sheetData sheetId="2244">
        <row r="2">
          <cell r="A2" t="str">
            <v>실     명</v>
          </cell>
        </row>
      </sheetData>
      <sheetData sheetId="2245">
        <row r="2">
          <cell r="A2" t="str">
            <v>실     명</v>
          </cell>
        </row>
      </sheetData>
      <sheetData sheetId="2246">
        <row r="2">
          <cell r="A2" t="str">
            <v>실     명</v>
          </cell>
        </row>
      </sheetData>
      <sheetData sheetId="2247">
        <row r="2">
          <cell r="A2" t="str">
            <v>실     명</v>
          </cell>
        </row>
      </sheetData>
      <sheetData sheetId="2248">
        <row r="2">
          <cell r="A2" t="str">
            <v>실     명</v>
          </cell>
        </row>
      </sheetData>
      <sheetData sheetId="2249">
        <row r="2">
          <cell r="A2" t="str">
            <v>실     명</v>
          </cell>
        </row>
      </sheetData>
      <sheetData sheetId="2250">
        <row r="2">
          <cell r="A2" t="str">
            <v>실     명</v>
          </cell>
        </row>
      </sheetData>
      <sheetData sheetId="2251">
        <row r="2">
          <cell r="A2" t="str">
            <v>실     명</v>
          </cell>
        </row>
      </sheetData>
      <sheetData sheetId="2252">
        <row r="2">
          <cell r="A2" t="str">
            <v>실     명</v>
          </cell>
        </row>
      </sheetData>
      <sheetData sheetId="2253">
        <row r="2">
          <cell r="A2" t="str">
            <v>실     명</v>
          </cell>
        </row>
      </sheetData>
      <sheetData sheetId="2254">
        <row r="2">
          <cell r="A2" t="str">
            <v>실     명</v>
          </cell>
        </row>
      </sheetData>
      <sheetData sheetId="2255">
        <row r="2">
          <cell r="A2" t="str">
            <v>실     명</v>
          </cell>
        </row>
      </sheetData>
      <sheetData sheetId="2256">
        <row r="2">
          <cell r="A2" t="str">
            <v>실     명</v>
          </cell>
        </row>
      </sheetData>
      <sheetData sheetId="2257">
        <row r="2">
          <cell r="A2" t="str">
            <v>실     명</v>
          </cell>
        </row>
      </sheetData>
      <sheetData sheetId="2258">
        <row r="2">
          <cell r="A2" t="str">
            <v>실     명</v>
          </cell>
        </row>
      </sheetData>
      <sheetData sheetId="2259">
        <row r="2">
          <cell r="A2" t="str">
            <v>실     명</v>
          </cell>
        </row>
      </sheetData>
      <sheetData sheetId="2260">
        <row r="2">
          <cell r="A2" t="str">
            <v>실     명</v>
          </cell>
        </row>
      </sheetData>
      <sheetData sheetId="2261">
        <row r="2">
          <cell r="A2" t="str">
            <v>실     명</v>
          </cell>
        </row>
      </sheetData>
      <sheetData sheetId="2262">
        <row r="2">
          <cell r="A2" t="str">
            <v>실     명</v>
          </cell>
        </row>
      </sheetData>
      <sheetData sheetId="2263">
        <row r="2">
          <cell r="A2" t="str">
            <v>실     명</v>
          </cell>
        </row>
      </sheetData>
      <sheetData sheetId="2264">
        <row r="2">
          <cell r="A2" t="str">
            <v>실     명</v>
          </cell>
        </row>
      </sheetData>
      <sheetData sheetId="2265">
        <row r="2">
          <cell r="A2" t="str">
            <v>실     명</v>
          </cell>
        </row>
      </sheetData>
      <sheetData sheetId="2266">
        <row r="2">
          <cell r="A2" t="str">
            <v>실     명</v>
          </cell>
        </row>
      </sheetData>
      <sheetData sheetId="2267">
        <row r="2">
          <cell r="A2" t="str">
            <v>실     명</v>
          </cell>
        </row>
      </sheetData>
      <sheetData sheetId="2268">
        <row r="2">
          <cell r="A2" t="str">
            <v>실     명</v>
          </cell>
        </row>
      </sheetData>
      <sheetData sheetId="2269">
        <row r="2">
          <cell r="A2" t="str">
            <v>실     명</v>
          </cell>
        </row>
      </sheetData>
      <sheetData sheetId="2270">
        <row r="2">
          <cell r="A2" t="str">
            <v>실     명</v>
          </cell>
        </row>
      </sheetData>
      <sheetData sheetId="2271">
        <row r="2">
          <cell r="A2" t="str">
            <v>실     명</v>
          </cell>
        </row>
      </sheetData>
      <sheetData sheetId="2272">
        <row r="2">
          <cell r="A2" t="str">
            <v>실     명</v>
          </cell>
        </row>
      </sheetData>
      <sheetData sheetId="2273">
        <row r="2">
          <cell r="A2" t="str">
            <v>실     명</v>
          </cell>
        </row>
      </sheetData>
      <sheetData sheetId="2274">
        <row r="2">
          <cell r="A2" t="str">
            <v>실     명</v>
          </cell>
        </row>
      </sheetData>
      <sheetData sheetId="2275">
        <row r="2">
          <cell r="A2" t="str">
            <v>실     명</v>
          </cell>
        </row>
      </sheetData>
      <sheetData sheetId="2276">
        <row r="2">
          <cell r="A2" t="str">
            <v>실     명</v>
          </cell>
        </row>
      </sheetData>
      <sheetData sheetId="2277">
        <row r="2">
          <cell r="A2" t="str">
            <v>실     명</v>
          </cell>
        </row>
      </sheetData>
      <sheetData sheetId="2278">
        <row r="2">
          <cell r="A2" t="str">
            <v>실     명</v>
          </cell>
        </row>
      </sheetData>
      <sheetData sheetId="2279">
        <row r="2">
          <cell r="A2" t="str">
            <v>실     명</v>
          </cell>
        </row>
      </sheetData>
      <sheetData sheetId="2280">
        <row r="2">
          <cell r="A2" t="str">
            <v>실     명</v>
          </cell>
        </row>
      </sheetData>
      <sheetData sheetId="2281">
        <row r="2">
          <cell r="A2" t="str">
            <v>실     명</v>
          </cell>
        </row>
      </sheetData>
      <sheetData sheetId="2282">
        <row r="2">
          <cell r="A2" t="str">
            <v>실     명</v>
          </cell>
        </row>
      </sheetData>
      <sheetData sheetId="2283">
        <row r="2">
          <cell r="A2" t="str">
            <v>실     명</v>
          </cell>
        </row>
      </sheetData>
      <sheetData sheetId="2284">
        <row r="2">
          <cell r="A2" t="str">
            <v>실     명</v>
          </cell>
        </row>
      </sheetData>
      <sheetData sheetId="2285">
        <row r="2">
          <cell r="A2" t="str">
            <v>실     명</v>
          </cell>
        </row>
      </sheetData>
      <sheetData sheetId="2286">
        <row r="2">
          <cell r="A2" t="str">
            <v>실     명</v>
          </cell>
        </row>
      </sheetData>
      <sheetData sheetId="2287">
        <row r="2">
          <cell r="A2" t="str">
            <v>실     명</v>
          </cell>
        </row>
      </sheetData>
      <sheetData sheetId="2288">
        <row r="2">
          <cell r="A2" t="str">
            <v>실     명</v>
          </cell>
        </row>
      </sheetData>
      <sheetData sheetId="2289">
        <row r="2">
          <cell r="A2" t="str">
            <v>실     명</v>
          </cell>
        </row>
      </sheetData>
      <sheetData sheetId="2290">
        <row r="2">
          <cell r="A2" t="str">
            <v>실     명</v>
          </cell>
        </row>
      </sheetData>
      <sheetData sheetId="2291">
        <row r="2">
          <cell r="A2" t="str">
            <v>실     명</v>
          </cell>
        </row>
      </sheetData>
      <sheetData sheetId="2292">
        <row r="2">
          <cell r="A2" t="str">
            <v>실     명</v>
          </cell>
        </row>
      </sheetData>
      <sheetData sheetId="2293">
        <row r="2">
          <cell r="A2" t="str">
            <v>실     명</v>
          </cell>
        </row>
      </sheetData>
      <sheetData sheetId="2294">
        <row r="2">
          <cell r="A2" t="str">
            <v>실     명</v>
          </cell>
        </row>
      </sheetData>
      <sheetData sheetId="2295">
        <row r="2">
          <cell r="A2" t="str">
            <v>실     명</v>
          </cell>
        </row>
      </sheetData>
      <sheetData sheetId="2296">
        <row r="2">
          <cell r="A2" t="str">
            <v>실     명</v>
          </cell>
        </row>
      </sheetData>
      <sheetData sheetId="2297">
        <row r="2">
          <cell r="A2" t="str">
            <v>실     명</v>
          </cell>
        </row>
      </sheetData>
      <sheetData sheetId="2298">
        <row r="2">
          <cell r="A2" t="str">
            <v>실     명</v>
          </cell>
        </row>
      </sheetData>
      <sheetData sheetId="2299">
        <row r="2">
          <cell r="A2" t="str">
            <v>실     명</v>
          </cell>
        </row>
      </sheetData>
      <sheetData sheetId="2300">
        <row r="2">
          <cell r="A2" t="str">
            <v>실     명</v>
          </cell>
        </row>
      </sheetData>
      <sheetData sheetId="2301">
        <row r="2">
          <cell r="A2" t="str">
            <v>실     명</v>
          </cell>
        </row>
      </sheetData>
      <sheetData sheetId="2302">
        <row r="2">
          <cell r="A2" t="str">
            <v>실     명</v>
          </cell>
        </row>
      </sheetData>
      <sheetData sheetId="2303">
        <row r="2">
          <cell r="A2" t="str">
            <v>실     명</v>
          </cell>
        </row>
      </sheetData>
      <sheetData sheetId="2304">
        <row r="2">
          <cell r="A2" t="str">
            <v>실     명</v>
          </cell>
        </row>
      </sheetData>
      <sheetData sheetId="2305">
        <row r="2">
          <cell r="A2" t="str">
            <v>실     명</v>
          </cell>
        </row>
      </sheetData>
      <sheetData sheetId="2306">
        <row r="2">
          <cell r="A2" t="str">
            <v>실     명</v>
          </cell>
        </row>
      </sheetData>
      <sheetData sheetId="2307">
        <row r="2">
          <cell r="A2" t="str">
            <v>실     명</v>
          </cell>
        </row>
      </sheetData>
      <sheetData sheetId="2308">
        <row r="2">
          <cell r="A2" t="str">
            <v>실     명</v>
          </cell>
        </row>
      </sheetData>
      <sheetData sheetId="2309">
        <row r="2">
          <cell r="A2" t="str">
            <v>실     명</v>
          </cell>
        </row>
      </sheetData>
      <sheetData sheetId="2310">
        <row r="2">
          <cell r="A2" t="str">
            <v>실     명</v>
          </cell>
        </row>
      </sheetData>
      <sheetData sheetId="2311">
        <row r="2">
          <cell r="A2" t="str">
            <v>실     명</v>
          </cell>
        </row>
      </sheetData>
      <sheetData sheetId="2312">
        <row r="2">
          <cell r="A2" t="str">
            <v>실     명</v>
          </cell>
        </row>
      </sheetData>
      <sheetData sheetId="2313">
        <row r="2">
          <cell r="A2" t="str">
            <v>실     명</v>
          </cell>
        </row>
      </sheetData>
      <sheetData sheetId="2314">
        <row r="2">
          <cell r="A2" t="str">
            <v>실     명</v>
          </cell>
        </row>
      </sheetData>
      <sheetData sheetId="2315">
        <row r="2">
          <cell r="A2" t="str">
            <v>실     명</v>
          </cell>
        </row>
      </sheetData>
      <sheetData sheetId="2316">
        <row r="2">
          <cell r="A2" t="str">
            <v>실     명</v>
          </cell>
        </row>
      </sheetData>
      <sheetData sheetId="2317">
        <row r="2">
          <cell r="A2" t="str">
            <v>실     명</v>
          </cell>
        </row>
      </sheetData>
      <sheetData sheetId="2318">
        <row r="2">
          <cell r="A2" t="str">
            <v>실     명</v>
          </cell>
        </row>
      </sheetData>
      <sheetData sheetId="2319">
        <row r="2">
          <cell r="A2" t="str">
            <v>실     명</v>
          </cell>
        </row>
      </sheetData>
      <sheetData sheetId="2320">
        <row r="2">
          <cell r="A2" t="str">
            <v>실     명</v>
          </cell>
        </row>
      </sheetData>
      <sheetData sheetId="2321">
        <row r="2">
          <cell r="A2" t="str">
            <v>실     명</v>
          </cell>
        </row>
      </sheetData>
      <sheetData sheetId="2322">
        <row r="2">
          <cell r="A2" t="str">
            <v>실     명</v>
          </cell>
        </row>
      </sheetData>
      <sheetData sheetId="2323">
        <row r="2">
          <cell r="A2" t="str">
            <v>실     명</v>
          </cell>
        </row>
      </sheetData>
      <sheetData sheetId="2324">
        <row r="2">
          <cell r="A2" t="str">
            <v>실     명</v>
          </cell>
        </row>
      </sheetData>
      <sheetData sheetId="2325">
        <row r="2">
          <cell r="A2" t="str">
            <v>실     명</v>
          </cell>
        </row>
      </sheetData>
      <sheetData sheetId="2326">
        <row r="2">
          <cell r="A2" t="str">
            <v>실     명</v>
          </cell>
        </row>
      </sheetData>
      <sheetData sheetId="2327">
        <row r="2">
          <cell r="A2" t="str">
            <v>실     명</v>
          </cell>
        </row>
      </sheetData>
      <sheetData sheetId="2328">
        <row r="2">
          <cell r="A2" t="str">
            <v>실     명</v>
          </cell>
        </row>
      </sheetData>
      <sheetData sheetId="2329">
        <row r="2">
          <cell r="A2" t="str">
            <v>실     명</v>
          </cell>
        </row>
      </sheetData>
      <sheetData sheetId="2330">
        <row r="2">
          <cell r="A2" t="str">
            <v>실     명</v>
          </cell>
        </row>
      </sheetData>
      <sheetData sheetId="2331">
        <row r="2">
          <cell r="A2" t="str">
            <v>실     명</v>
          </cell>
        </row>
      </sheetData>
      <sheetData sheetId="2332">
        <row r="2">
          <cell r="A2" t="str">
            <v>실     명</v>
          </cell>
        </row>
      </sheetData>
      <sheetData sheetId="2333">
        <row r="2">
          <cell r="A2" t="str">
            <v>실     명</v>
          </cell>
        </row>
      </sheetData>
      <sheetData sheetId="2334">
        <row r="2">
          <cell r="A2" t="str">
            <v>실     명</v>
          </cell>
        </row>
      </sheetData>
      <sheetData sheetId="2335">
        <row r="2">
          <cell r="A2" t="str">
            <v>실     명</v>
          </cell>
        </row>
      </sheetData>
      <sheetData sheetId="2336">
        <row r="2">
          <cell r="A2" t="str">
            <v>실     명</v>
          </cell>
        </row>
      </sheetData>
      <sheetData sheetId="2337">
        <row r="2">
          <cell r="A2" t="str">
            <v>실     명</v>
          </cell>
        </row>
      </sheetData>
      <sheetData sheetId="2338">
        <row r="2">
          <cell r="A2" t="str">
            <v>실     명</v>
          </cell>
        </row>
      </sheetData>
      <sheetData sheetId="2339">
        <row r="2">
          <cell r="A2" t="str">
            <v>실     명</v>
          </cell>
        </row>
      </sheetData>
      <sheetData sheetId="2340">
        <row r="2">
          <cell r="A2" t="str">
            <v>실     명</v>
          </cell>
        </row>
      </sheetData>
      <sheetData sheetId="2341">
        <row r="2">
          <cell r="A2" t="str">
            <v>실     명</v>
          </cell>
        </row>
      </sheetData>
      <sheetData sheetId="2342">
        <row r="2">
          <cell r="A2" t="str">
            <v>실     명</v>
          </cell>
        </row>
      </sheetData>
      <sheetData sheetId="2343">
        <row r="2">
          <cell r="A2" t="str">
            <v>실     명</v>
          </cell>
        </row>
      </sheetData>
      <sheetData sheetId="2344">
        <row r="2">
          <cell r="A2" t="str">
            <v>실     명</v>
          </cell>
        </row>
      </sheetData>
      <sheetData sheetId="2345">
        <row r="2">
          <cell r="A2" t="str">
            <v>실     명</v>
          </cell>
        </row>
      </sheetData>
      <sheetData sheetId="2346">
        <row r="2">
          <cell r="A2" t="str">
            <v>실     명</v>
          </cell>
        </row>
      </sheetData>
      <sheetData sheetId="2347">
        <row r="2">
          <cell r="A2" t="str">
            <v>실     명</v>
          </cell>
        </row>
      </sheetData>
      <sheetData sheetId="2348">
        <row r="2">
          <cell r="A2" t="str">
            <v>실     명</v>
          </cell>
        </row>
      </sheetData>
      <sheetData sheetId="2349">
        <row r="2">
          <cell r="A2" t="str">
            <v>실     명</v>
          </cell>
        </row>
      </sheetData>
      <sheetData sheetId="2350">
        <row r="2">
          <cell r="A2" t="str">
            <v>실     명</v>
          </cell>
        </row>
      </sheetData>
      <sheetData sheetId="2351">
        <row r="2">
          <cell r="A2" t="str">
            <v>실     명</v>
          </cell>
        </row>
      </sheetData>
      <sheetData sheetId="2352">
        <row r="2">
          <cell r="A2" t="str">
            <v>실     명</v>
          </cell>
        </row>
      </sheetData>
      <sheetData sheetId="2353">
        <row r="2">
          <cell r="A2" t="str">
            <v>실     명</v>
          </cell>
        </row>
      </sheetData>
      <sheetData sheetId="2354">
        <row r="2">
          <cell r="A2" t="str">
            <v>실     명</v>
          </cell>
        </row>
      </sheetData>
      <sheetData sheetId="2355">
        <row r="2">
          <cell r="A2" t="str">
            <v>실     명</v>
          </cell>
        </row>
      </sheetData>
      <sheetData sheetId="2356">
        <row r="2">
          <cell r="A2" t="str">
            <v>실     명</v>
          </cell>
        </row>
      </sheetData>
      <sheetData sheetId="2357">
        <row r="2">
          <cell r="A2" t="str">
            <v>실     명</v>
          </cell>
        </row>
      </sheetData>
      <sheetData sheetId="2358">
        <row r="2">
          <cell r="A2" t="str">
            <v>실     명</v>
          </cell>
        </row>
      </sheetData>
      <sheetData sheetId="2359">
        <row r="2">
          <cell r="A2" t="str">
            <v>실     명</v>
          </cell>
        </row>
      </sheetData>
      <sheetData sheetId="2360">
        <row r="2">
          <cell r="A2" t="str">
            <v>실     명</v>
          </cell>
        </row>
      </sheetData>
      <sheetData sheetId="2361">
        <row r="2">
          <cell r="A2" t="str">
            <v>실     명</v>
          </cell>
        </row>
      </sheetData>
      <sheetData sheetId="2362">
        <row r="2">
          <cell r="A2" t="str">
            <v>실     명</v>
          </cell>
        </row>
      </sheetData>
      <sheetData sheetId="2363">
        <row r="2">
          <cell r="A2" t="str">
            <v>실     명</v>
          </cell>
        </row>
      </sheetData>
      <sheetData sheetId="2364">
        <row r="2">
          <cell r="A2" t="str">
            <v>실     명</v>
          </cell>
        </row>
      </sheetData>
      <sheetData sheetId="2365">
        <row r="2">
          <cell r="A2" t="str">
            <v>실     명</v>
          </cell>
        </row>
      </sheetData>
      <sheetData sheetId="2366">
        <row r="2">
          <cell r="A2" t="str">
            <v>실     명</v>
          </cell>
        </row>
      </sheetData>
      <sheetData sheetId="2367">
        <row r="2">
          <cell r="A2" t="str">
            <v>실     명</v>
          </cell>
        </row>
      </sheetData>
      <sheetData sheetId="2368">
        <row r="2">
          <cell r="A2" t="str">
            <v>실     명</v>
          </cell>
        </row>
      </sheetData>
      <sheetData sheetId="2369">
        <row r="2">
          <cell r="A2" t="str">
            <v>실     명</v>
          </cell>
        </row>
      </sheetData>
      <sheetData sheetId="2370">
        <row r="2">
          <cell r="A2" t="str">
            <v>실     명</v>
          </cell>
        </row>
      </sheetData>
      <sheetData sheetId="2371">
        <row r="2">
          <cell r="A2" t="str">
            <v>실     명</v>
          </cell>
        </row>
      </sheetData>
      <sheetData sheetId="2372">
        <row r="2">
          <cell r="A2" t="str">
            <v>실     명</v>
          </cell>
        </row>
      </sheetData>
      <sheetData sheetId="2373">
        <row r="2">
          <cell r="A2" t="str">
            <v>실     명</v>
          </cell>
        </row>
      </sheetData>
      <sheetData sheetId="2374">
        <row r="2">
          <cell r="A2" t="str">
            <v>실     명</v>
          </cell>
        </row>
      </sheetData>
      <sheetData sheetId="2375">
        <row r="2">
          <cell r="A2" t="str">
            <v>실     명</v>
          </cell>
        </row>
      </sheetData>
      <sheetData sheetId="2376">
        <row r="2">
          <cell r="A2" t="str">
            <v>실     명</v>
          </cell>
        </row>
      </sheetData>
      <sheetData sheetId="2377">
        <row r="2">
          <cell r="A2" t="str">
            <v>실     명</v>
          </cell>
        </row>
      </sheetData>
      <sheetData sheetId="2378">
        <row r="2">
          <cell r="A2" t="str">
            <v>실     명</v>
          </cell>
        </row>
      </sheetData>
      <sheetData sheetId="2379">
        <row r="2">
          <cell r="A2" t="str">
            <v>실     명</v>
          </cell>
        </row>
      </sheetData>
      <sheetData sheetId="2380">
        <row r="2">
          <cell r="A2" t="str">
            <v>실     명</v>
          </cell>
        </row>
      </sheetData>
      <sheetData sheetId="2381">
        <row r="2">
          <cell r="A2" t="str">
            <v>실     명</v>
          </cell>
        </row>
      </sheetData>
      <sheetData sheetId="2382">
        <row r="2">
          <cell r="A2" t="str">
            <v>실     명</v>
          </cell>
        </row>
      </sheetData>
      <sheetData sheetId="2383">
        <row r="2">
          <cell r="A2" t="str">
            <v>실     명</v>
          </cell>
        </row>
      </sheetData>
      <sheetData sheetId="2384">
        <row r="2">
          <cell r="A2" t="str">
            <v>실     명</v>
          </cell>
        </row>
      </sheetData>
      <sheetData sheetId="2385">
        <row r="2">
          <cell r="A2" t="str">
            <v>실     명</v>
          </cell>
        </row>
      </sheetData>
      <sheetData sheetId="2386">
        <row r="2">
          <cell r="A2" t="str">
            <v>실     명</v>
          </cell>
        </row>
      </sheetData>
      <sheetData sheetId="2387">
        <row r="2">
          <cell r="A2" t="str">
            <v>실     명</v>
          </cell>
        </row>
      </sheetData>
      <sheetData sheetId="2388">
        <row r="2">
          <cell r="A2" t="str">
            <v>실     명</v>
          </cell>
        </row>
      </sheetData>
      <sheetData sheetId="2389">
        <row r="2">
          <cell r="A2" t="str">
            <v>실     명</v>
          </cell>
        </row>
      </sheetData>
      <sheetData sheetId="2390">
        <row r="2">
          <cell r="A2" t="str">
            <v>실     명</v>
          </cell>
        </row>
      </sheetData>
      <sheetData sheetId="2391">
        <row r="2">
          <cell r="A2" t="str">
            <v>실     명</v>
          </cell>
        </row>
      </sheetData>
      <sheetData sheetId="2392">
        <row r="2">
          <cell r="A2" t="str">
            <v>실     명</v>
          </cell>
        </row>
      </sheetData>
      <sheetData sheetId="2393">
        <row r="2">
          <cell r="A2" t="str">
            <v>실     명</v>
          </cell>
        </row>
      </sheetData>
      <sheetData sheetId="2394">
        <row r="2">
          <cell r="A2" t="str">
            <v>실     명</v>
          </cell>
        </row>
      </sheetData>
      <sheetData sheetId="2395">
        <row r="2">
          <cell r="A2" t="str">
            <v>실     명</v>
          </cell>
        </row>
      </sheetData>
      <sheetData sheetId="2396">
        <row r="2">
          <cell r="A2" t="str">
            <v>실     명</v>
          </cell>
        </row>
      </sheetData>
      <sheetData sheetId="2397">
        <row r="2">
          <cell r="A2" t="str">
            <v>실     명</v>
          </cell>
        </row>
      </sheetData>
      <sheetData sheetId="2398">
        <row r="2">
          <cell r="A2" t="str">
            <v>실     명</v>
          </cell>
        </row>
      </sheetData>
      <sheetData sheetId="2399">
        <row r="2">
          <cell r="A2" t="str">
            <v>실     명</v>
          </cell>
        </row>
      </sheetData>
      <sheetData sheetId="2400">
        <row r="2">
          <cell r="A2" t="str">
            <v>실     명</v>
          </cell>
        </row>
      </sheetData>
      <sheetData sheetId="2401">
        <row r="2">
          <cell r="A2" t="str">
            <v>실     명</v>
          </cell>
        </row>
      </sheetData>
      <sheetData sheetId="2402">
        <row r="2">
          <cell r="A2" t="str">
            <v>실     명</v>
          </cell>
        </row>
      </sheetData>
      <sheetData sheetId="2403">
        <row r="2">
          <cell r="A2" t="str">
            <v>실     명</v>
          </cell>
        </row>
      </sheetData>
      <sheetData sheetId="2404">
        <row r="2">
          <cell r="A2" t="str">
            <v>실     명</v>
          </cell>
        </row>
      </sheetData>
      <sheetData sheetId="2405">
        <row r="2">
          <cell r="A2" t="str">
            <v>실     명</v>
          </cell>
        </row>
      </sheetData>
      <sheetData sheetId="2406">
        <row r="2">
          <cell r="A2" t="str">
            <v>실     명</v>
          </cell>
        </row>
      </sheetData>
      <sheetData sheetId="2407">
        <row r="2">
          <cell r="A2" t="str">
            <v>실     명</v>
          </cell>
        </row>
      </sheetData>
      <sheetData sheetId="2408">
        <row r="2">
          <cell r="A2" t="str">
            <v>실     명</v>
          </cell>
        </row>
      </sheetData>
      <sheetData sheetId="2409">
        <row r="2">
          <cell r="A2" t="str">
            <v>실     명</v>
          </cell>
        </row>
      </sheetData>
      <sheetData sheetId="2410">
        <row r="2">
          <cell r="A2" t="str">
            <v>실     명</v>
          </cell>
        </row>
      </sheetData>
      <sheetData sheetId="2411">
        <row r="2">
          <cell r="A2" t="str">
            <v>실     명</v>
          </cell>
        </row>
      </sheetData>
      <sheetData sheetId="2412">
        <row r="2">
          <cell r="A2" t="str">
            <v>실     명</v>
          </cell>
        </row>
      </sheetData>
      <sheetData sheetId="2413">
        <row r="2">
          <cell r="A2" t="str">
            <v>실     명</v>
          </cell>
        </row>
      </sheetData>
      <sheetData sheetId="2414">
        <row r="2">
          <cell r="A2" t="str">
            <v>실     명</v>
          </cell>
        </row>
      </sheetData>
      <sheetData sheetId="2415">
        <row r="2">
          <cell r="A2" t="str">
            <v>실     명</v>
          </cell>
        </row>
      </sheetData>
      <sheetData sheetId="2416">
        <row r="2">
          <cell r="A2" t="str">
            <v>실     명</v>
          </cell>
        </row>
      </sheetData>
      <sheetData sheetId="2417">
        <row r="2">
          <cell r="A2" t="str">
            <v>실     명</v>
          </cell>
        </row>
      </sheetData>
      <sheetData sheetId="2418">
        <row r="2">
          <cell r="A2" t="str">
            <v>실     명</v>
          </cell>
        </row>
      </sheetData>
      <sheetData sheetId="2419">
        <row r="2">
          <cell r="A2" t="str">
            <v>실     명</v>
          </cell>
        </row>
      </sheetData>
      <sheetData sheetId="2420">
        <row r="2">
          <cell r="A2" t="str">
            <v>실     명</v>
          </cell>
        </row>
      </sheetData>
      <sheetData sheetId="2421">
        <row r="2">
          <cell r="A2" t="str">
            <v>실     명</v>
          </cell>
        </row>
      </sheetData>
      <sheetData sheetId="2422">
        <row r="2">
          <cell r="A2" t="str">
            <v>실     명</v>
          </cell>
        </row>
      </sheetData>
      <sheetData sheetId="2423">
        <row r="2">
          <cell r="A2" t="str">
            <v>실     명</v>
          </cell>
        </row>
      </sheetData>
      <sheetData sheetId="2424">
        <row r="2">
          <cell r="A2" t="str">
            <v>실     명</v>
          </cell>
        </row>
      </sheetData>
      <sheetData sheetId="2425">
        <row r="2">
          <cell r="A2" t="str">
            <v>실     명</v>
          </cell>
        </row>
      </sheetData>
      <sheetData sheetId="2426">
        <row r="2">
          <cell r="A2" t="str">
            <v>실     명</v>
          </cell>
        </row>
      </sheetData>
      <sheetData sheetId="2427">
        <row r="2">
          <cell r="A2" t="str">
            <v>실     명</v>
          </cell>
        </row>
      </sheetData>
      <sheetData sheetId="2428">
        <row r="2">
          <cell r="A2" t="str">
            <v>실     명</v>
          </cell>
        </row>
      </sheetData>
      <sheetData sheetId="2429">
        <row r="2">
          <cell r="A2" t="str">
            <v>실     명</v>
          </cell>
        </row>
      </sheetData>
      <sheetData sheetId="2430">
        <row r="2">
          <cell r="A2" t="str">
            <v>실     명</v>
          </cell>
        </row>
      </sheetData>
      <sheetData sheetId="2431">
        <row r="2">
          <cell r="A2" t="str">
            <v>실     명</v>
          </cell>
        </row>
      </sheetData>
      <sheetData sheetId="2432">
        <row r="2">
          <cell r="A2" t="str">
            <v>실     명</v>
          </cell>
        </row>
      </sheetData>
      <sheetData sheetId="2433">
        <row r="2">
          <cell r="A2" t="str">
            <v>실     명</v>
          </cell>
        </row>
      </sheetData>
      <sheetData sheetId="2434">
        <row r="2">
          <cell r="A2" t="str">
            <v>실     명</v>
          </cell>
        </row>
      </sheetData>
      <sheetData sheetId="2435">
        <row r="2">
          <cell r="A2" t="str">
            <v>실     명</v>
          </cell>
        </row>
      </sheetData>
      <sheetData sheetId="2436">
        <row r="2">
          <cell r="A2" t="str">
            <v>실     명</v>
          </cell>
        </row>
      </sheetData>
      <sheetData sheetId="2437">
        <row r="2">
          <cell r="A2" t="str">
            <v>실     명</v>
          </cell>
        </row>
      </sheetData>
      <sheetData sheetId="2438">
        <row r="2">
          <cell r="A2" t="str">
            <v>실     명</v>
          </cell>
        </row>
      </sheetData>
      <sheetData sheetId="2439">
        <row r="2">
          <cell r="A2" t="str">
            <v>실     명</v>
          </cell>
        </row>
      </sheetData>
      <sheetData sheetId="2440">
        <row r="2">
          <cell r="A2" t="str">
            <v>실     명</v>
          </cell>
        </row>
      </sheetData>
      <sheetData sheetId="2441">
        <row r="2">
          <cell r="A2" t="str">
            <v>실     명</v>
          </cell>
        </row>
      </sheetData>
      <sheetData sheetId="2442">
        <row r="2">
          <cell r="A2" t="str">
            <v>실     명</v>
          </cell>
        </row>
      </sheetData>
      <sheetData sheetId="2443">
        <row r="2">
          <cell r="A2" t="str">
            <v>실     명</v>
          </cell>
        </row>
      </sheetData>
      <sheetData sheetId="2444">
        <row r="2">
          <cell r="A2" t="str">
            <v>실     명</v>
          </cell>
        </row>
      </sheetData>
      <sheetData sheetId="2445">
        <row r="2">
          <cell r="A2" t="str">
            <v>실     명</v>
          </cell>
        </row>
      </sheetData>
      <sheetData sheetId="2446">
        <row r="2">
          <cell r="A2" t="str">
            <v>실     명</v>
          </cell>
        </row>
      </sheetData>
      <sheetData sheetId="2447">
        <row r="2">
          <cell r="A2" t="str">
            <v>실     명</v>
          </cell>
        </row>
      </sheetData>
      <sheetData sheetId="2448">
        <row r="2">
          <cell r="A2" t="str">
            <v>실     명</v>
          </cell>
        </row>
      </sheetData>
      <sheetData sheetId="2449">
        <row r="2">
          <cell r="A2" t="str">
            <v>실     명</v>
          </cell>
        </row>
      </sheetData>
      <sheetData sheetId="2450">
        <row r="2">
          <cell r="A2" t="str">
            <v>실     명</v>
          </cell>
        </row>
      </sheetData>
      <sheetData sheetId="2451">
        <row r="2">
          <cell r="A2" t="str">
            <v>실     명</v>
          </cell>
        </row>
      </sheetData>
      <sheetData sheetId="2452">
        <row r="2">
          <cell r="A2" t="str">
            <v>실     명</v>
          </cell>
        </row>
      </sheetData>
      <sheetData sheetId="2453">
        <row r="2">
          <cell r="A2" t="str">
            <v>실     명</v>
          </cell>
        </row>
      </sheetData>
      <sheetData sheetId="2454">
        <row r="2">
          <cell r="A2" t="str">
            <v>실     명</v>
          </cell>
        </row>
      </sheetData>
      <sheetData sheetId="2455">
        <row r="2">
          <cell r="A2" t="str">
            <v>실     명</v>
          </cell>
        </row>
      </sheetData>
      <sheetData sheetId="2456">
        <row r="2">
          <cell r="A2" t="str">
            <v>실     명</v>
          </cell>
        </row>
      </sheetData>
      <sheetData sheetId="2457">
        <row r="2">
          <cell r="A2" t="str">
            <v>실     명</v>
          </cell>
        </row>
      </sheetData>
      <sheetData sheetId="2458">
        <row r="2">
          <cell r="A2" t="str">
            <v>실     명</v>
          </cell>
        </row>
      </sheetData>
      <sheetData sheetId="2459">
        <row r="2">
          <cell r="A2" t="str">
            <v>실     명</v>
          </cell>
        </row>
      </sheetData>
      <sheetData sheetId="2460">
        <row r="2">
          <cell r="A2" t="str">
            <v>실     명</v>
          </cell>
        </row>
      </sheetData>
      <sheetData sheetId="2461">
        <row r="2">
          <cell r="A2" t="str">
            <v>실     명</v>
          </cell>
        </row>
      </sheetData>
      <sheetData sheetId="2462">
        <row r="2">
          <cell r="A2" t="str">
            <v>실     명</v>
          </cell>
        </row>
      </sheetData>
      <sheetData sheetId="2463">
        <row r="2">
          <cell r="A2" t="str">
            <v>실     명</v>
          </cell>
        </row>
      </sheetData>
      <sheetData sheetId="2464">
        <row r="2">
          <cell r="A2" t="str">
            <v>실     명</v>
          </cell>
        </row>
      </sheetData>
      <sheetData sheetId="2465">
        <row r="2">
          <cell r="A2" t="str">
            <v>실     명</v>
          </cell>
        </row>
      </sheetData>
      <sheetData sheetId="2466">
        <row r="2">
          <cell r="A2" t="str">
            <v>실     명</v>
          </cell>
        </row>
      </sheetData>
      <sheetData sheetId="2467">
        <row r="2">
          <cell r="A2" t="str">
            <v>실     명</v>
          </cell>
        </row>
      </sheetData>
      <sheetData sheetId="2468">
        <row r="2">
          <cell r="A2" t="str">
            <v>실     명</v>
          </cell>
        </row>
      </sheetData>
      <sheetData sheetId="2469">
        <row r="2">
          <cell r="A2" t="str">
            <v>실     명</v>
          </cell>
        </row>
      </sheetData>
      <sheetData sheetId="2470">
        <row r="2">
          <cell r="A2" t="str">
            <v>실     명</v>
          </cell>
        </row>
      </sheetData>
      <sheetData sheetId="2471">
        <row r="2">
          <cell r="A2" t="str">
            <v>실     명</v>
          </cell>
        </row>
      </sheetData>
      <sheetData sheetId="2472">
        <row r="2">
          <cell r="A2" t="str">
            <v>실     명</v>
          </cell>
        </row>
      </sheetData>
      <sheetData sheetId="2473">
        <row r="2">
          <cell r="A2" t="str">
            <v>실     명</v>
          </cell>
        </row>
      </sheetData>
      <sheetData sheetId="2474">
        <row r="2">
          <cell r="A2" t="str">
            <v>실     명</v>
          </cell>
        </row>
      </sheetData>
      <sheetData sheetId="2475">
        <row r="2">
          <cell r="A2" t="str">
            <v>실     명</v>
          </cell>
        </row>
      </sheetData>
      <sheetData sheetId="2476">
        <row r="2">
          <cell r="A2" t="str">
            <v>실     명</v>
          </cell>
        </row>
      </sheetData>
      <sheetData sheetId="2477">
        <row r="2">
          <cell r="A2" t="str">
            <v>실     명</v>
          </cell>
        </row>
      </sheetData>
      <sheetData sheetId="2478">
        <row r="2">
          <cell r="A2" t="str">
            <v>실     명</v>
          </cell>
        </row>
      </sheetData>
      <sheetData sheetId="2479">
        <row r="2">
          <cell r="A2" t="str">
            <v>실     명</v>
          </cell>
        </row>
      </sheetData>
      <sheetData sheetId="2480">
        <row r="2">
          <cell r="A2" t="str">
            <v>실     명</v>
          </cell>
        </row>
      </sheetData>
      <sheetData sheetId="2481">
        <row r="2">
          <cell r="A2" t="str">
            <v>실     명</v>
          </cell>
        </row>
      </sheetData>
      <sheetData sheetId="2482">
        <row r="2">
          <cell r="A2" t="str">
            <v>실     명</v>
          </cell>
        </row>
      </sheetData>
      <sheetData sheetId="2483">
        <row r="2">
          <cell r="A2" t="str">
            <v>실     명</v>
          </cell>
        </row>
      </sheetData>
      <sheetData sheetId="2484">
        <row r="2">
          <cell r="A2" t="str">
            <v>실     명</v>
          </cell>
        </row>
      </sheetData>
      <sheetData sheetId="2485">
        <row r="2">
          <cell r="A2" t="str">
            <v>실     명</v>
          </cell>
        </row>
      </sheetData>
      <sheetData sheetId="2486">
        <row r="2">
          <cell r="A2" t="str">
            <v>실     명</v>
          </cell>
        </row>
      </sheetData>
      <sheetData sheetId="2487">
        <row r="2">
          <cell r="A2" t="str">
            <v>실     명</v>
          </cell>
        </row>
      </sheetData>
      <sheetData sheetId="2488">
        <row r="2">
          <cell r="A2" t="str">
            <v>실     명</v>
          </cell>
        </row>
      </sheetData>
      <sheetData sheetId="2489">
        <row r="2">
          <cell r="A2" t="str">
            <v>실     명</v>
          </cell>
        </row>
      </sheetData>
      <sheetData sheetId="2490">
        <row r="2">
          <cell r="A2" t="str">
            <v>실     명</v>
          </cell>
        </row>
      </sheetData>
      <sheetData sheetId="2491">
        <row r="2">
          <cell r="A2" t="str">
            <v>실     명</v>
          </cell>
        </row>
      </sheetData>
      <sheetData sheetId="2492">
        <row r="2">
          <cell r="A2" t="str">
            <v>실     명</v>
          </cell>
        </row>
      </sheetData>
      <sheetData sheetId="2493">
        <row r="2">
          <cell r="A2" t="str">
            <v>실     명</v>
          </cell>
        </row>
      </sheetData>
      <sheetData sheetId="2494">
        <row r="2">
          <cell r="A2" t="str">
            <v>실     명</v>
          </cell>
        </row>
      </sheetData>
      <sheetData sheetId="2495">
        <row r="2">
          <cell r="A2" t="str">
            <v>실     명</v>
          </cell>
        </row>
      </sheetData>
      <sheetData sheetId="2496">
        <row r="2">
          <cell r="A2" t="str">
            <v>실     명</v>
          </cell>
        </row>
      </sheetData>
      <sheetData sheetId="2497">
        <row r="2">
          <cell r="A2" t="str">
            <v>실     명</v>
          </cell>
        </row>
      </sheetData>
      <sheetData sheetId="2498">
        <row r="2">
          <cell r="A2" t="str">
            <v>실     명</v>
          </cell>
        </row>
      </sheetData>
      <sheetData sheetId="2499">
        <row r="2">
          <cell r="A2" t="str">
            <v>실     명</v>
          </cell>
        </row>
      </sheetData>
      <sheetData sheetId="2500">
        <row r="2">
          <cell r="A2" t="str">
            <v>실     명</v>
          </cell>
        </row>
      </sheetData>
      <sheetData sheetId="2501">
        <row r="2">
          <cell r="A2" t="str">
            <v>실     명</v>
          </cell>
        </row>
      </sheetData>
      <sheetData sheetId="2502">
        <row r="2">
          <cell r="A2" t="str">
            <v>실     명</v>
          </cell>
        </row>
      </sheetData>
      <sheetData sheetId="2503">
        <row r="2">
          <cell r="A2" t="str">
            <v>실     명</v>
          </cell>
        </row>
      </sheetData>
      <sheetData sheetId="2504">
        <row r="2">
          <cell r="A2" t="str">
            <v>실     명</v>
          </cell>
        </row>
      </sheetData>
      <sheetData sheetId="2505">
        <row r="2">
          <cell r="A2" t="str">
            <v>실     명</v>
          </cell>
        </row>
      </sheetData>
      <sheetData sheetId="2506">
        <row r="2">
          <cell r="A2" t="str">
            <v>실     명</v>
          </cell>
        </row>
      </sheetData>
      <sheetData sheetId="2507">
        <row r="2">
          <cell r="A2" t="str">
            <v>실     명</v>
          </cell>
        </row>
      </sheetData>
      <sheetData sheetId="2508">
        <row r="2">
          <cell r="A2" t="str">
            <v>실     명</v>
          </cell>
        </row>
      </sheetData>
      <sheetData sheetId="2509">
        <row r="2">
          <cell r="A2" t="str">
            <v>실     명</v>
          </cell>
        </row>
      </sheetData>
      <sheetData sheetId="2510">
        <row r="2">
          <cell r="A2" t="str">
            <v>실     명</v>
          </cell>
        </row>
      </sheetData>
      <sheetData sheetId="2511">
        <row r="2">
          <cell r="A2" t="str">
            <v>실     명</v>
          </cell>
        </row>
      </sheetData>
      <sheetData sheetId="2512">
        <row r="2">
          <cell r="A2" t="str">
            <v>실     명</v>
          </cell>
        </row>
      </sheetData>
      <sheetData sheetId="2513">
        <row r="2">
          <cell r="A2" t="str">
            <v>실     명</v>
          </cell>
        </row>
      </sheetData>
      <sheetData sheetId="2514">
        <row r="2">
          <cell r="A2" t="str">
            <v>실     명</v>
          </cell>
        </row>
      </sheetData>
      <sheetData sheetId="2515">
        <row r="2">
          <cell r="A2" t="str">
            <v>실     명</v>
          </cell>
        </row>
      </sheetData>
      <sheetData sheetId="2516">
        <row r="2">
          <cell r="A2" t="str">
            <v>실     명</v>
          </cell>
        </row>
      </sheetData>
      <sheetData sheetId="2517">
        <row r="2">
          <cell r="A2" t="str">
            <v>실     명</v>
          </cell>
        </row>
      </sheetData>
      <sheetData sheetId="2518">
        <row r="2">
          <cell r="A2" t="str">
            <v>실     명</v>
          </cell>
        </row>
      </sheetData>
      <sheetData sheetId="2519">
        <row r="2">
          <cell r="A2" t="str">
            <v>실     명</v>
          </cell>
        </row>
      </sheetData>
      <sheetData sheetId="2520">
        <row r="2">
          <cell r="A2" t="str">
            <v>실     명</v>
          </cell>
        </row>
      </sheetData>
      <sheetData sheetId="2521">
        <row r="2">
          <cell r="A2" t="str">
            <v>실     명</v>
          </cell>
        </row>
      </sheetData>
      <sheetData sheetId="2522">
        <row r="2">
          <cell r="A2" t="str">
            <v>실     명</v>
          </cell>
        </row>
      </sheetData>
      <sheetData sheetId="2523">
        <row r="2">
          <cell r="A2" t="str">
            <v>실     명</v>
          </cell>
        </row>
      </sheetData>
      <sheetData sheetId="2524">
        <row r="2">
          <cell r="A2" t="str">
            <v>실     명</v>
          </cell>
        </row>
      </sheetData>
      <sheetData sheetId="2525">
        <row r="2">
          <cell r="A2" t="str">
            <v>실     명</v>
          </cell>
        </row>
      </sheetData>
      <sheetData sheetId="2526">
        <row r="2">
          <cell r="A2" t="str">
            <v>실     명</v>
          </cell>
        </row>
      </sheetData>
      <sheetData sheetId="2527">
        <row r="2">
          <cell r="A2" t="str">
            <v>실     명</v>
          </cell>
        </row>
      </sheetData>
      <sheetData sheetId="2528">
        <row r="2">
          <cell r="A2" t="str">
            <v>실     명</v>
          </cell>
        </row>
      </sheetData>
      <sheetData sheetId="2529">
        <row r="2">
          <cell r="A2" t="str">
            <v>실     명</v>
          </cell>
        </row>
      </sheetData>
      <sheetData sheetId="2530" refreshError="1"/>
      <sheetData sheetId="2531" refreshError="1"/>
      <sheetData sheetId="2532" refreshError="1"/>
      <sheetData sheetId="2533" refreshError="1"/>
      <sheetData sheetId="2534" refreshError="1"/>
      <sheetData sheetId="2535" refreshError="1"/>
      <sheetData sheetId="2536" refreshError="1"/>
      <sheetData sheetId="2537" refreshError="1"/>
      <sheetData sheetId="2538" refreshError="1"/>
      <sheetData sheetId="2539" refreshError="1"/>
      <sheetData sheetId="2540" refreshError="1"/>
      <sheetData sheetId="2541" refreshError="1"/>
      <sheetData sheetId="2542" refreshError="1"/>
      <sheetData sheetId="2543" refreshError="1"/>
      <sheetData sheetId="2544" refreshError="1"/>
      <sheetData sheetId="2545" refreshError="1"/>
      <sheetData sheetId="2546" refreshError="1"/>
      <sheetData sheetId="2547" refreshError="1"/>
      <sheetData sheetId="2548" refreshError="1"/>
      <sheetData sheetId="2549" refreshError="1"/>
      <sheetData sheetId="2550" refreshError="1"/>
      <sheetData sheetId="2551" refreshError="1"/>
      <sheetData sheetId="2552" refreshError="1"/>
      <sheetData sheetId="2553" refreshError="1"/>
      <sheetData sheetId="2554" refreshError="1"/>
      <sheetData sheetId="2555" refreshError="1"/>
      <sheetData sheetId="2556" refreshError="1"/>
      <sheetData sheetId="2557" refreshError="1"/>
      <sheetData sheetId="2558" refreshError="1"/>
      <sheetData sheetId="2559" refreshError="1"/>
      <sheetData sheetId="2560" refreshError="1"/>
      <sheetData sheetId="2561" refreshError="1"/>
      <sheetData sheetId="2562">
        <row r="2">
          <cell r="A2" t="str">
            <v>실     명</v>
          </cell>
        </row>
      </sheetData>
      <sheetData sheetId="2563" refreshError="1"/>
      <sheetData sheetId="2564" refreshError="1"/>
      <sheetData sheetId="2565" refreshError="1"/>
      <sheetData sheetId="2566" refreshError="1"/>
      <sheetData sheetId="2567">
        <row r="2">
          <cell r="A2" t="str">
            <v>실     명</v>
          </cell>
        </row>
      </sheetData>
      <sheetData sheetId="2568">
        <row r="2">
          <cell r="A2" t="str">
            <v>실     명</v>
          </cell>
        </row>
      </sheetData>
      <sheetData sheetId="2569">
        <row r="2">
          <cell r="A2" t="str">
            <v>실     명</v>
          </cell>
        </row>
      </sheetData>
      <sheetData sheetId="2570">
        <row r="2">
          <cell r="A2" t="str">
            <v>실     명</v>
          </cell>
        </row>
      </sheetData>
      <sheetData sheetId="2571">
        <row r="2">
          <cell r="A2" t="str">
            <v>실     명</v>
          </cell>
        </row>
      </sheetData>
      <sheetData sheetId="2572">
        <row r="2">
          <cell r="A2" t="str">
            <v>실     명</v>
          </cell>
        </row>
      </sheetData>
      <sheetData sheetId="2573">
        <row r="2">
          <cell r="A2" t="str">
            <v>실     명</v>
          </cell>
        </row>
      </sheetData>
      <sheetData sheetId="2574">
        <row r="2">
          <cell r="A2" t="str">
            <v>실     명</v>
          </cell>
        </row>
      </sheetData>
      <sheetData sheetId="2575">
        <row r="2">
          <cell r="A2" t="str">
            <v>실     명</v>
          </cell>
        </row>
      </sheetData>
      <sheetData sheetId="2576">
        <row r="2">
          <cell r="A2" t="str">
            <v>실     명</v>
          </cell>
        </row>
      </sheetData>
      <sheetData sheetId="2577">
        <row r="2">
          <cell r="A2" t="str">
            <v>실     명</v>
          </cell>
        </row>
      </sheetData>
      <sheetData sheetId="2578">
        <row r="2">
          <cell r="A2" t="str">
            <v>실     명</v>
          </cell>
        </row>
      </sheetData>
      <sheetData sheetId="2579">
        <row r="2">
          <cell r="A2" t="str">
            <v>실     명</v>
          </cell>
        </row>
      </sheetData>
      <sheetData sheetId="2580">
        <row r="2">
          <cell r="A2" t="str">
            <v>실     명</v>
          </cell>
        </row>
      </sheetData>
      <sheetData sheetId="2581">
        <row r="2">
          <cell r="A2" t="str">
            <v>실     명</v>
          </cell>
        </row>
      </sheetData>
      <sheetData sheetId="2582">
        <row r="2">
          <cell r="A2" t="str">
            <v>실     명</v>
          </cell>
        </row>
      </sheetData>
      <sheetData sheetId="2583">
        <row r="2">
          <cell r="A2" t="str">
            <v>실     명</v>
          </cell>
        </row>
      </sheetData>
      <sheetData sheetId="2584">
        <row r="2">
          <cell r="A2" t="str">
            <v>실     명</v>
          </cell>
        </row>
      </sheetData>
      <sheetData sheetId="2585">
        <row r="2">
          <cell r="A2" t="str">
            <v>실     명</v>
          </cell>
        </row>
      </sheetData>
      <sheetData sheetId="2586">
        <row r="2">
          <cell r="A2" t="str">
            <v>실     명</v>
          </cell>
        </row>
      </sheetData>
      <sheetData sheetId="2587">
        <row r="2">
          <cell r="A2" t="str">
            <v>실     명</v>
          </cell>
        </row>
      </sheetData>
      <sheetData sheetId="2588">
        <row r="2">
          <cell r="A2" t="str">
            <v>실     명</v>
          </cell>
        </row>
      </sheetData>
      <sheetData sheetId="2589">
        <row r="2">
          <cell r="A2" t="str">
            <v>실     명</v>
          </cell>
        </row>
      </sheetData>
      <sheetData sheetId="2590">
        <row r="2">
          <cell r="A2" t="str">
            <v>실     명</v>
          </cell>
        </row>
      </sheetData>
      <sheetData sheetId="2591">
        <row r="2">
          <cell r="A2" t="str">
            <v>실     명</v>
          </cell>
        </row>
      </sheetData>
      <sheetData sheetId="2592">
        <row r="2">
          <cell r="A2" t="str">
            <v>실     명</v>
          </cell>
        </row>
      </sheetData>
      <sheetData sheetId="2593">
        <row r="2">
          <cell r="A2" t="str">
            <v>실     명</v>
          </cell>
        </row>
      </sheetData>
      <sheetData sheetId="2594">
        <row r="2">
          <cell r="A2" t="str">
            <v>실     명</v>
          </cell>
        </row>
      </sheetData>
      <sheetData sheetId="2595">
        <row r="2">
          <cell r="A2" t="str">
            <v>실     명</v>
          </cell>
        </row>
      </sheetData>
      <sheetData sheetId="2596">
        <row r="2">
          <cell r="A2" t="str">
            <v>실     명</v>
          </cell>
        </row>
      </sheetData>
      <sheetData sheetId="2597">
        <row r="2">
          <cell r="A2" t="str">
            <v>실     명</v>
          </cell>
        </row>
      </sheetData>
      <sheetData sheetId="2598">
        <row r="2">
          <cell r="A2" t="str">
            <v>실     명</v>
          </cell>
        </row>
      </sheetData>
      <sheetData sheetId="2599">
        <row r="2">
          <cell r="A2" t="str">
            <v>실     명</v>
          </cell>
        </row>
      </sheetData>
      <sheetData sheetId="2600">
        <row r="2">
          <cell r="A2" t="str">
            <v>실     명</v>
          </cell>
        </row>
      </sheetData>
      <sheetData sheetId="2601">
        <row r="2">
          <cell r="A2" t="str">
            <v>실     명</v>
          </cell>
        </row>
      </sheetData>
      <sheetData sheetId="2602">
        <row r="2">
          <cell r="A2" t="str">
            <v>실     명</v>
          </cell>
        </row>
      </sheetData>
      <sheetData sheetId="2603">
        <row r="2">
          <cell r="A2" t="str">
            <v>실     명</v>
          </cell>
        </row>
      </sheetData>
      <sheetData sheetId="2604">
        <row r="2">
          <cell r="A2" t="str">
            <v>실     명</v>
          </cell>
        </row>
      </sheetData>
      <sheetData sheetId="2605">
        <row r="2">
          <cell r="A2" t="str">
            <v>실     명</v>
          </cell>
        </row>
      </sheetData>
      <sheetData sheetId="2606">
        <row r="2">
          <cell r="A2" t="str">
            <v>실     명</v>
          </cell>
        </row>
      </sheetData>
      <sheetData sheetId="2607">
        <row r="2">
          <cell r="A2" t="str">
            <v>실     명</v>
          </cell>
        </row>
      </sheetData>
      <sheetData sheetId="2608">
        <row r="2">
          <cell r="A2" t="str">
            <v>실     명</v>
          </cell>
        </row>
      </sheetData>
      <sheetData sheetId="2609">
        <row r="2">
          <cell r="A2" t="str">
            <v>실     명</v>
          </cell>
        </row>
      </sheetData>
      <sheetData sheetId="2610">
        <row r="2">
          <cell r="A2" t="str">
            <v>실     명</v>
          </cell>
        </row>
      </sheetData>
      <sheetData sheetId="2611">
        <row r="2">
          <cell r="A2" t="str">
            <v>실     명</v>
          </cell>
        </row>
      </sheetData>
      <sheetData sheetId="2612">
        <row r="2">
          <cell r="A2" t="str">
            <v>실     명</v>
          </cell>
        </row>
      </sheetData>
      <sheetData sheetId="2613">
        <row r="2">
          <cell r="A2" t="str">
            <v>실     명</v>
          </cell>
        </row>
      </sheetData>
      <sheetData sheetId="2614">
        <row r="2">
          <cell r="A2" t="str">
            <v>실     명</v>
          </cell>
        </row>
      </sheetData>
      <sheetData sheetId="2615">
        <row r="2">
          <cell r="A2" t="str">
            <v>실     명</v>
          </cell>
        </row>
      </sheetData>
      <sheetData sheetId="2616">
        <row r="2">
          <cell r="A2" t="str">
            <v>실     명</v>
          </cell>
        </row>
      </sheetData>
      <sheetData sheetId="2617">
        <row r="2">
          <cell r="A2" t="str">
            <v>실     명</v>
          </cell>
        </row>
      </sheetData>
      <sheetData sheetId="2618">
        <row r="2">
          <cell r="A2" t="str">
            <v>실     명</v>
          </cell>
        </row>
      </sheetData>
      <sheetData sheetId="2619">
        <row r="2">
          <cell r="A2" t="str">
            <v>실     명</v>
          </cell>
        </row>
      </sheetData>
      <sheetData sheetId="2620">
        <row r="2">
          <cell r="A2" t="str">
            <v>실     명</v>
          </cell>
        </row>
      </sheetData>
      <sheetData sheetId="2621">
        <row r="2">
          <cell r="A2" t="str">
            <v>실     명</v>
          </cell>
        </row>
      </sheetData>
      <sheetData sheetId="2622" refreshError="1"/>
      <sheetData sheetId="2623" refreshError="1"/>
      <sheetData sheetId="2624" refreshError="1"/>
      <sheetData sheetId="2625" refreshError="1"/>
      <sheetData sheetId="2626" refreshError="1"/>
      <sheetData sheetId="2627">
        <row r="2">
          <cell r="A2" t="str">
            <v>실     명</v>
          </cell>
        </row>
      </sheetData>
      <sheetData sheetId="2628">
        <row r="2">
          <cell r="A2" t="str">
            <v>실     명</v>
          </cell>
        </row>
      </sheetData>
      <sheetData sheetId="2629">
        <row r="2">
          <cell r="A2" t="str">
            <v>실     명</v>
          </cell>
        </row>
      </sheetData>
      <sheetData sheetId="2630">
        <row r="2">
          <cell r="A2" t="str">
            <v>실     명</v>
          </cell>
        </row>
      </sheetData>
      <sheetData sheetId="2631">
        <row r="2">
          <cell r="A2" t="str">
            <v>실     명</v>
          </cell>
        </row>
      </sheetData>
      <sheetData sheetId="2632">
        <row r="2">
          <cell r="A2" t="str">
            <v>실     명</v>
          </cell>
        </row>
      </sheetData>
      <sheetData sheetId="2633">
        <row r="2">
          <cell r="A2" t="str">
            <v>실     명</v>
          </cell>
        </row>
      </sheetData>
      <sheetData sheetId="2634">
        <row r="2">
          <cell r="A2" t="str">
            <v>실     명</v>
          </cell>
        </row>
      </sheetData>
      <sheetData sheetId="2635">
        <row r="2">
          <cell r="A2" t="str">
            <v>실     명</v>
          </cell>
        </row>
      </sheetData>
      <sheetData sheetId="2636">
        <row r="2">
          <cell r="A2" t="str">
            <v>실     명</v>
          </cell>
        </row>
      </sheetData>
      <sheetData sheetId="2637">
        <row r="2">
          <cell r="A2" t="str">
            <v>실     명</v>
          </cell>
        </row>
      </sheetData>
      <sheetData sheetId="2638">
        <row r="2">
          <cell r="A2" t="str">
            <v>실     명</v>
          </cell>
        </row>
      </sheetData>
      <sheetData sheetId="2639">
        <row r="2">
          <cell r="A2" t="str">
            <v>실     명</v>
          </cell>
        </row>
      </sheetData>
      <sheetData sheetId="2640">
        <row r="2">
          <cell r="A2" t="str">
            <v>실     명</v>
          </cell>
        </row>
      </sheetData>
      <sheetData sheetId="2641">
        <row r="2">
          <cell r="A2" t="str">
            <v>실     명</v>
          </cell>
        </row>
      </sheetData>
      <sheetData sheetId="2642">
        <row r="2">
          <cell r="A2" t="str">
            <v>실     명</v>
          </cell>
        </row>
      </sheetData>
      <sheetData sheetId="2643">
        <row r="2">
          <cell r="A2" t="str">
            <v>실     명</v>
          </cell>
        </row>
      </sheetData>
      <sheetData sheetId="2644">
        <row r="2">
          <cell r="A2" t="str">
            <v>실     명</v>
          </cell>
        </row>
      </sheetData>
      <sheetData sheetId="2645">
        <row r="2">
          <cell r="A2" t="str">
            <v>실     명</v>
          </cell>
        </row>
      </sheetData>
      <sheetData sheetId="2646">
        <row r="2">
          <cell r="A2" t="str">
            <v>실     명</v>
          </cell>
        </row>
      </sheetData>
      <sheetData sheetId="2647">
        <row r="2">
          <cell r="A2" t="str">
            <v>실     명</v>
          </cell>
        </row>
      </sheetData>
      <sheetData sheetId="2648">
        <row r="2">
          <cell r="A2" t="str">
            <v>실     명</v>
          </cell>
        </row>
      </sheetData>
      <sheetData sheetId="2649">
        <row r="2">
          <cell r="A2" t="str">
            <v>실     명</v>
          </cell>
        </row>
      </sheetData>
      <sheetData sheetId="2650">
        <row r="2">
          <cell r="A2" t="str">
            <v>실     명</v>
          </cell>
        </row>
      </sheetData>
      <sheetData sheetId="2651">
        <row r="2">
          <cell r="A2" t="str">
            <v>실     명</v>
          </cell>
        </row>
      </sheetData>
      <sheetData sheetId="2652">
        <row r="2">
          <cell r="A2" t="str">
            <v>실     명</v>
          </cell>
        </row>
      </sheetData>
      <sheetData sheetId="2653">
        <row r="2">
          <cell r="A2" t="str">
            <v>실     명</v>
          </cell>
        </row>
      </sheetData>
      <sheetData sheetId="2654">
        <row r="2">
          <cell r="A2" t="str">
            <v>실     명</v>
          </cell>
        </row>
      </sheetData>
      <sheetData sheetId="2655">
        <row r="2">
          <cell r="A2" t="str">
            <v>실     명</v>
          </cell>
        </row>
      </sheetData>
      <sheetData sheetId="2656" refreshError="1"/>
      <sheetData sheetId="2657" refreshError="1"/>
      <sheetData sheetId="2658" refreshError="1"/>
      <sheetData sheetId="2659" refreshError="1"/>
      <sheetData sheetId="2660" refreshError="1"/>
      <sheetData sheetId="2661" refreshError="1"/>
      <sheetData sheetId="2662" refreshError="1"/>
      <sheetData sheetId="2663" refreshError="1"/>
      <sheetData sheetId="2664" refreshError="1"/>
      <sheetData sheetId="2665" refreshError="1"/>
      <sheetData sheetId="2666" refreshError="1"/>
      <sheetData sheetId="2667" refreshError="1"/>
      <sheetData sheetId="2668" refreshError="1"/>
      <sheetData sheetId="2669" refreshError="1"/>
      <sheetData sheetId="2670" refreshError="1"/>
      <sheetData sheetId="2671" refreshError="1"/>
      <sheetData sheetId="2672" refreshError="1"/>
      <sheetData sheetId="2673" refreshError="1"/>
      <sheetData sheetId="2674" refreshError="1"/>
      <sheetData sheetId="2675" refreshError="1"/>
      <sheetData sheetId="2676" refreshError="1"/>
      <sheetData sheetId="2677" refreshError="1"/>
      <sheetData sheetId="2678" refreshError="1"/>
      <sheetData sheetId="2679" refreshError="1"/>
      <sheetData sheetId="2680" refreshError="1"/>
      <sheetData sheetId="2681" refreshError="1"/>
      <sheetData sheetId="2682" refreshError="1"/>
      <sheetData sheetId="2683">
        <row r="2">
          <cell r="A2" t="str">
            <v>실     명</v>
          </cell>
        </row>
      </sheetData>
      <sheetData sheetId="2684" refreshError="1"/>
      <sheetData sheetId="2685" refreshError="1"/>
      <sheetData sheetId="2686" refreshError="1"/>
      <sheetData sheetId="2687" refreshError="1"/>
      <sheetData sheetId="2688" refreshError="1"/>
      <sheetData sheetId="2689" refreshError="1"/>
      <sheetData sheetId="2690" refreshError="1"/>
      <sheetData sheetId="2691" refreshError="1"/>
      <sheetData sheetId="2692" refreshError="1"/>
      <sheetData sheetId="2693" refreshError="1"/>
      <sheetData sheetId="2694" refreshError="1"/>
      <sheetData sheetId="2695" refreshError="1"/>
      <sheetData sheetId="2696" refreshError="1"/>
      <sheetData sheetId="2697" refreshError="1"/>
      <sheetData sheetId="2698" refreshError="1"/>
      <sheetData sheetId="2699" refreshError="1"/>
      <sheetData sheetId="2700" refreshError="1"/>
      <sheetData sheetId="2701" refreshError="1"/>
      <sheetData sheetId="2702" refreshError="1"/>
      <sheetData sheetId="2703" refreshError="1"/>
      <sheetData sheetId="2704" refreshError="1"/>
      <sheetData sheetId="2705" refreshError="1"/>
      <sheetData sheetId="2706" refreshError="1"/>
      <sheetData sheetId="2707" refreshError="1"/>
      <sheetData sheetId="2708" refreshError="1"/>
      <sheetData sheetId="2709" refreshError="1"/>
      <sheetData sheetId="2710" refreshError="1"/>
      <sheetData sheetId="2711" refreshError="1"/>
      <sheetData sheetId="2712" refreshError="1"/>
      <sheetData sheetId="2713" refreshError="1"/>
      <sheetData sheetId="2714" refreshError="1"/>
      <sheetData sheetId="2715" refreshError="1"/>
      <sheetData sheetId="2716" refreshError="1"/>
      <sheetData sheetId="2717" refreshError="1"/>
      <sheetData sheetId="2718" refreshError="1"/>
      <sheetData sheetId="2719" refreshError="1"/>
      <sheetData sheetId="2720" refreshError="1"/>
      <sheetData sheetId="2721" refreshError="1"/>
      <sheetData sheetId="2722" refreshError="1"/>
      <sheetData sheetId="2723" refreshError="1"/>
      <sheetData sheetId="2724" refreshError="1"/>
      <sheetData sheetId="2725" refreshError="1"/>
      <sheetData sheetId="2726" refreshError="1"/>
      <sheetData sheetId="2727" refreshError="1"/>
      <sheetData sheetId="2728" refreshError="1"/>
      <sheetData sheetId="2729" refreshError="1"/>
      <sheetData sheetId="2730" refreshError="1"/>
      <sheetData sheetId="2731" refreshError="1"/>
      <sheetData sheetId="2732" refreshError="1"/>
      <sheetData sheetId="2733">
        <row r="2">
          <cell r="A2" t="str">
            <v>실     명</v>
          </cell>
        </row>
      </sheetData>
      <sheetData sheetId="2734">
        <row r="2">
          <cell r="A2" t="str">
            <v>실     명</v>
          </cell>
        </row>
      </sheetData>
      <sheetData sheetId="2735">
        <row r="2">
          <cell r="A2" t="str">
            <v>실     명</v>
          </cell>
        </row>
      </sheetData>
      <sheetData sheetId="2736">
        <row r="2">
          <cell r="A2" t="str">
            <v>실     명</v>
          </cell>
        </row>
      </sheetData>
      <sheetData sheetId="2737">
        <row r="2">
          <cell r="A2" t="str">
            <v>실     명</v>
          </cell>
        </row>
      </sheetData>
      <sheetData sheetId="2738">
        <row r="2">
          <cell r="A2" t="str">
            <v>실     명</v>
          </cell>
        </row>
      </sheetData>
      <sheetData sheetId="2739" refreshError="1"/>
      <sheetData sheetId="2740" refreshError="1"/>
      <sheetData sheetId="2741" refreshError="1"/>
      <sheetData sheetId="2742" refreshError="1"/>
      <sheetData sheetId="2743" refreshError="1"/>
      <sheetData sheetId="2744" refreshError="1"/>
      <sheetData sheetId="2745" refreshError="1"/>
      <sheetData sheetId="2746" refreshError="1"/>
      <sheetData sheetId="2747" refreshError="1"/>
      <sheetData sheetId="2748" refreshError="1"/>
      <sheetData sheetId="2749">
        <row r="2">
          <cell r="A2" t="str">
            <v>실     명</v>
          </cell>
        </row>
      </sheetData>
      <sheetData sheetId="2750">
        <row r="2">
          <cell r="A2" t="str">
            <v>실     명</v>
          </cell>
        </row>
      </sheetData>
      <sheetData sheetId="2751">
        <row r="2">
          <cell r="A2" t="str">
            <v>실     명</v>
          </cell>
        </row>
      </sheetData>
      <sheetData sheetId="2752">
        <row r="2">
          <cell r="A2" t="str">
            <v>실     명</v>
          </cell>
        </row>
      </sheetData>
      <sheetData sheetId="2753">
        <row r="2">
          <cell r="A2" t="str">
            <v>실     명</v>
          </cell>
        </row>
      </sheetData>
      <sheetData sheetId="2754">
        <row r="2">
          <cell r="A2" t="str">
            <v>실     명</v>
          </cell>
        </row>
      </sheetData>
      <sheetData sheetId="2755">
        <row r="2">
          <cell r="A2" t="str">
            <v>실     명</v>
          </cell>
        </row>
      </sheetData>
      <sheetData sheetId="2756">
        <row r="2">
          <cell r="A2" t="str">
            <v>실     명</v>
          </cell>
        </row>
      </sheetData>
      <sheetData sheetId="2757">
        <row r="2">
          <cell r="A2" t="str">
            <v>실     명</v>
          </cell>
        </row>
      </sheetData>
      <sheetData sheetId="2758">
        <row r="2">
          <cell r="A2" t="str">
            <v>실     명</v>
          </cell>
        </row>
      </sheetData>
      <sheetData sheetId="2759">
        <row r="2">
          <cell r="A2" t="str">
            <v>실     명</v>
          </cell>
        </row>
      </sheetData>
      <sheetData sheetId="2760">
        <row r="2">
          <cell r="A2" t="str">
            <v>실     명</v>
          </cell>
        </row>
      </sheetData>
      <sheetData sheetId="2761">
        <row r="2">
          <cell r="A2" t="str">
            <v>실     명</v>
          </cell>
        </row>
      </sheetData>
      <sheetData sheetId="2762">
        <row r="2">
          <cell r="A2" t="str">
            <v>실     명</v>
          </cell>
        </row>
      </sheetData>
      <sheetData sheetId="2763">
        <row r="2">
          <cell r="A2" t="str">
            <v>실     명</v>
          </cell>
        </row>
      </sheetData>
      <sheetData sheetId="2764">
        <row r="2">
          <cell r="A2" t="str">
            <v>실     명</v>
          </cell>
        </row>
      </sheetData>
      <sheetData sheetId="2765">
        <row r="2">
          <cell r="A2" t="str">
            <v>실     명</v>
          </cell>
        </row>
      </sheetData>
      <sheetData sheetId="2766">
        <row r="2">
          <cell r="A2" t="str">
            <v>실     명</v>
          </cell>
        </row>
      </sheetData>
      <sheetData sheetId="2767">
        <row r="2">
          <cell r="A2" t="str">
            <v>실     명</v>
          </cell>
        </row>
      </sheetData>
      <sheetData sheetId="2768">
        <row r="2">
          <cell r="A2" t="str">
            <v>실     명</v>
          </cell>
        </row>
      </sheetData>
      <sheetData sheetId="2769">
        <row r="2">
          <cell r="A2" t="str">
            <v>실     명</v>
          </cell>
        </row>
      </sheetData>
      <sheetData sheetId="2770">
        <row r="2">
          <cell r="A2" t="str">
            <v>실     명</v>
          </cell>
        </row>
      </sheetData>
      <sheetData sheetId="2771">
        <row r="2">
          <cell r="A2" t="str">
            <v>실     명</v>
          </cell>
        </row>
      </sheetData>
      <sheetData sheetId="2772">
        <row r="2">
          <cell r="A2" t="str">
            <v>실     명</v>
          </cell>
        </row>
      </sheetData>
      <sheetData sheetId="2773">
        <row r="2">
          <cell r="A2" t="str">
            <v>실     명</v>
          </cell>
        </row>
      </sheetData>
      <sheetData sheetId="2774">
        <row r="2">
          <cell r="A2" t="str">
            <v>실     명</v>
          </cell>
        </row>
      </sheetData>
      <sheetData sheetId="2775">
        <row r="2">
          <cell r="A2" t="str">
            <v>실     명</v>
          </cell>
        </row>
      </sheetData>
      <sheetData sheetId="2776">
        <row r="2">
          <cell r="A2" t="str">
            <v>실     명</v>
          </cell>
        </row>
      </sheetData>
      <sheetData sheetId="2777">
        <row r="2">
          <cell r="A2" t="str">
            <v>실     명</v>
          </cell>
        </row>
      </sheetData>
      <sheetData sheetId="2778">
        <row r="2">
          <cell r="A2" t="str">
            <v>실     명</v>
          </cell>
        </row>
      </sheetData>
      <sheetData sheetId="2779">
        <row r="2">
          <cell r="A2" t="str">
            <v>실     명</v>
          </cell>
        </row>
      </sheetData>
      <sheetData sheetId="2780">
        <row r="2">
          <cell r="A2" t="str">
            <v>실     명</v>
          </cell>
        </row>
      </sheetData>
      <sheetData sheetId="2781">
        <row r="2">
          <cell r="A2" t="str">
            <v>실     명</v>
          </cell>
        </row>
      </sheetData>
      <sheetData sheetId="2782">
        <row r="2">
          <cell r="A2" t="str">
            <v>실     명</v>
          </cell>
        </row>
      </sheetData>
      <sheetData sheetId="2783">
        <row r="2">
          <cell r="A2" t="str">
            <v>실     명</v>
          </cell>
        </row>
      </sheetData>
      <sheetData sheetId="2784">
        <row r="2">
          <cell r="A2" t="str">
            <v>실     명</v>
          </cell>
        </row>
      </sheetData>
      <sheetData sheetId="2785">
        <row r="2">
          <cell r="A2" t="str">
            <v>실     명</v>
          </cell>
        </row>
      </sheetData>
      <sheetData sheetId="2786">
        <row r="2">
          <cell r="A2" t="str">
            <v>실     명</v>
          </cell>
        </row>
      </sheetData>
      <sheetData sheetId="2787">
        <row r="2">
          <cell r="A2" t="str">
            <v>실     명</v>
          </cell>
        </row>
      </sheetData>
      <sheetData sheetId="2788">
        <row r="2">
          <cell r="A2" t="str">
            <v>실     명</v>
          </cell>
        </row>
      </sheetData>
      <sheetData sheetId="2789">
        <row r="2">
          <cell r="A2" t="str">
            <v>실     명</v>
          </cell>
        </row>
      </sheetData>
      <sheetData sheetId="2790">
        <row r="2">
          <cell r="A2" t="str">
            <v>실     명</v>
          </cell>
        </row>
      </sheetData>
      <sheetData sheetId="2791">
        <row r="2">
          <cell r="A2" t="str">
            <v>실     명</v>
          </cell>
        </row>
      </sheetData>
      <sheetData sheetId="2792">
        <row r="2">
          <cell r="A2" t="str">
            <v>실     명</v>
          </cell>
        </row>
      </sheetData>
      <sheetData sheetId="2793">
        <row r="2">
          <cell r="A2" t="str">
            <v>실     명</v>
          </cell>
        </row>
      </sheetData>
      <sheetData sheetId="2794">
        <row r="2">
          <cell r="A2" t="str">
            <v>실     명</v>
          </cell>
        </row>
      </sheetData>
      <sheetData sheetId="2795">
        <row r="2">
          <cell r="A2" t="str">
            <v>실     명</v>
          </cell>
        </row>
      </sheetData>
      <sheetData sheetId="2796">
        <row r="2">
          <cell r="A2" t="str">
            <v>실     명</v>
          </cell>
        </row>
      </sheetData>
      <sheetData sheetId="2797">
        <row r="2">
          <cell r="A2" t="str">
            <v>실     명</v>
          </cell>
        </row>
      </sheetData>
      <sheetData sheetId="2798">
        <row r="2">
          <cell r="A2" t="str">
            <v>실     명</v>
          </cell>
        </row>
      </sheetData>
      <sheetData sheetId="2799">
        <row r="2">
          <cell r="A2" t="str">
            <v>실     명</v>
          </cell>
        </row>
      </sheetData>
      <sheetData sheetId="2800">
        <row r="2">
          <cell r="A2" t="str">
            <v>실     명</v>
          </cell>
        </row>
      </sheetData>
      <sheetData sheetId="2801">
        <row r="2">
          <cell r="A2" t="str">
            <v>실     명</v>
          </cell>
        </row>
      </sheetData>
      <sheetData sheetId="2802">
        <row r="2">
          <cell r="A2" t="str">
            <v>실     명</v>
          </cell>
        </row>
      </sheetData>
      <sheetData sheetId="2803">
        <row r="2">
          <cell r="A2" t="str">
            <v>실     명</v>
          </cell>
        </row>
      </sheetData>
      <sheetData sheetId="2804">
        <row r="2">
          <cell r="A2" t="str">
            <v>실     명</v>
          </cell>
        </row>
      </sheetData>
      <sheetData sheetId="2805">
        <row r="2">
          <cell r="A2" t="str">
            <v>실     명</v>
          </cell>
        </row>
      </sheetData>
      <sheetData sheetId="2806">
        <row r="2">
          <cell r="A2" t="str">
            <v>실     명</v>
          </cell>
        </row>
      </sheetData>
      <sheetData sheetId="2807">
        <row r="2">
          <cell r="A2" t="str">
            <v>실     명</v>
          </cell>
        </row>
      </sheetData>
      <sheetData sheetId="2808">
        <row r="2">
          <cell r="A2" t="str">
            <v>실     명</v>
          </cell>
        </row>
      </sheetData>
      <sheetData sheetId="2809">
        <row r="2">
          <cell r="A2" t="str">
            <v>실     명</v>
          </cell>
        </row>
      </sheetData>
      <sheetData sheetId="2810">
        <row r="2">
          <cell r="A2" t="str">
            <v>실     명</v>
          </cell>
        </row>
      </sheetData>
      <sheetData sheetId="2811">
        <row r="2">
          <cell r="A2" t="str">
            <v>실     명</v>
          </cell>
        </row>
      </sheetData>
      <sheetData sheetId="2812">
        <row r="2">
          <cell r="A2" t="str">
            <v>실     명</v>
          </cell>
        </row>
      </sheetData>
      <sheetData sheetId="2813">
        <row r="2">
          <cell r="A2" t="str">
            <v>실     명</v>
          </cell>
        </row>
      </sheetData>
      <sheetData sheetId="2814">
        <row r="2">
          <cell r="A2" t="str">
            <v>실     명</v>
          </cell>
        </row>
      </sheetData>
      <sheetData sheetId="2815">
        <row r="2">
          <cell r="A2" t="str">
            <v>실     명</v>
          </cell>
        </row>
      </sheetData>
      <sheetData sheetId="2816">
        <row r="2">
          <cell r="A2" t="str">
            <v>실     명</v>
          </cell>
        </row>
      </sheetData>
      <sheetData sheetId="2817">
        <row r="2">
          <cell r="A2" t="str">
            <v>실     명</v>
          </cell>
        </row>
      </sheetData>
      <sheetData sheetId="2818">
        <row r="2">
          <cell r="A2" t="str">
            <v>실     명</v>
          </cell>
        </row>
      </sheetData>
      <sheetData sheetId="2819">
        <row r="2">
          <cell r="A2" t="str">
            <v>실     명</v>
          </cell>
        </row>
      </sheetData>
      <sheetData sheetId="2820">
        <row r="2">
          <cell r="A2" t="str">
            <v>실     명</v>
          </cell>
        </row>
      </sheetData>
      <sheetData sheetId="2821">
        <row r="2">
          <cell r="A2" t="str">
            <v>실     명</v>
          </cell>
        </row>
      </sheetData>
      <sheetData sheetId="2822">
        <row r="2">
          <cell r="A2" t="str">
            <v>실     명</v>
          </cell>
        </row>
      </sheetData>
      <sheetData sheetId="2823">
        <row r="2">
          <cell r="A2" t="str">
            <v>실     명</v>
          </cell>
        </row>
      </sheetData>
      <sheetData sheetId="2824">
        <row r="2">
          <cell r="A2" t="str">
            <v>실     명</v>
          </cell>
        </row>
      </sheetData>
      <sheetData sheetId="2825">
        <row r="2">
          <cell r="A2" t="str">
            <v>실     명</v>
          </cell>
        </row>
      </sheetData>
      <sheetData sheetId="2826">
        <row r="2">
          <cell r="A2" t="str">
            <v>실     명</v>
          </cell>
        </row>
      </sheetData>
      <sheetData sheetId="2827">
        <row r="2">
          <cell r="A2" t="str">
            <v>실     명</v>
          </cell>
        </row>
      </sheetData>
      <sheetData sheetId="2828">
        <row r="2">
          <cell r="A2" t="str">
            <v>실     명</v>
          </cell>
        </row>
      </sheetData>
      <sheetData sheetId="2829">
        <row r="2">
          <cell r="A2" t="str">
            <v>실     명</v>
          </cell>
        </row>
      </sheetData>
      <sheetData sheetId="2830">
        <row r="2">
          <cell r="A2" t="str">
            <v>실     명</v>
          </cell>
        </row>
      </sheetData>
      <sheetData sheetId="2831">
        <row r="2">
          <cell r="A2" t="str">
            <v>실     명</v>
          </cell>
        </row>
      </sheetData>
      <sheetData sheetId="2832">
        <row r="2">
          <cell r="A2" t="str">
            <v>실     명</v>
          </cell>
        </row>
      </sheetData>
      <sheetData sheetId="2833">
        <row r="2">
          <cell r="A2" t="str">
            <v>실     명</v>
          </cell>
        </row>
      </sheetData>
      <sheetData sheetId="2834">
        <row r="2">
          <cell r="A2" t="str">
            <v>실     명</v>
          </cell>
        </row>
      </sheetData>
      <sheetData sheetId="2835">
        <row r="2">
          <cell r="A2" t="str">
            <v>실     명</v>
          </cell>
        </row>
      </sheetData>
      <sheetData sheetId="2836">
        <row r="2">
          <cell r="A2" t="str">
            <v>실     명</v>
          </cell>
        </row>
      </sheetData>
      <sheetData sheetId="2837">
        <row r="2">
          <cell r="A2" t="str">
            <v>실     명</v>
          </cell>
        </row>
      </sheetData>
      <sheetData sheetId="2838">
        <row r="2">
          <cell r="A2" t="str">
            <v>실     명</v>
          </cell>
        </row>
      </sheetData>
      <sheetData sheetId="2839">
        <row r="2">
          <cell r="A2" t="str">
            <v>실     명</v>
          </cell>
        </row>
      </sheetData>
      <sheetData sheetId="2840">
        <row r="2">
          <cell r="A2" t="str">
            <v>실     명</v>
          </cell>
        </row>
      </sheetData>
      <sheetData sheetId="2841">
        <row r="2">
          <cell r="A2" t="str">
            <v>실     명</v>
          </cell>
        </row>
      </sheetData>
      <sheetData sheetId="2842">
        <row r="2">
          <cell r="A2" t="str">
            <v>실     명</v>
          </cell>
        </row>
      </sheetData>
      <sheetData sheetId="2843">
        <row r="2">
          <cell r="A2" t="str">
            <v>실     명</v>
          </cell>
        </row>
      </sheetData>
      <sheetData sheetId="2844">
        <row r="2">
          <cell r="A2" t="str">
            <v>실     명</v>
          </cell>
        </row>
      </sheetData>
      <sheetData sheetId="2845">
        <row r="2">
          <cell r="A2" t="str">
            <v>실     명</v>
          </cell>
        </row>
      </sheetData>
      <sheetData sheetId="2846">
        <row r="2">
          <cell r="A2" t="str">
            <v>실     명</v>
          </cell>
        </row>
      </sheetData>
      <sheetData sheetId="2847">
        <row r="2">
          <cell r="A2" t="str">
            <v>실     명</v>
          </cell>
        </row>
      </sheetData>
      <sheetData sheetId="2848">
        <row r="2">
          <cell r="A2" t="str">
            <v>실     명</v>
          </cell>
        </row>
      </sheetData>
      <sheetData sheetId="2849">
        <row r="2">
          <cell r="A2" t="str">
            <v>실     명</v>
          </cell>
        </row>
      </sheetData>
      <sheetData sheetId="2850">
        <row r="2">
          <cell r="A2" t="str">
            <v>실     명</v>
          </cell>
        </row>
      </sheetData>
      <sheetData sheetId="2851">
        <row r="2">
          <cell r="A2" t="str">
            <v>실     명</v>
          </cell>
        </row>
      </sheetData>
      <sheetData sheetId="2852">
        <row r="2">
          <cell r="A2" t="str">
            <v>실     명</v>
          </cell>
        </row>
      </sheetData>
      <sheetData sheetId="2853">
        <row r="2">
          <cell r="A2" t="str">
            <v>실     명</v>
          </cell>
        </row>
      </sheetData>
      <sheetData sheetId="2854">
        <row r="2">
          <cell r="A2" t="str">
            <v>실     명</v>
          </cell>
        </row>
      </sheetData>
      <sheetData sheetId="2855">
        <row r="2">
          <cell r="A2" t="str">
            <v>실     명</v>
          </cell>
        </row>
      </sheetData>
      <sheetData sheetId="2856">
        <row r="2">
          <cell r="A2" t="str">
            <v>실     명</v>
          </cell>
        </row>
      </sheetData>
      <sheetData sheetId="2857">
        <row r="2">
          <cell r="A2" t="str">
            <v>실     명</v>
          </cell>
        </row>
      </sheetData>
      <sheetData sheetId="2858">
        <row r="2">
          <cell r="A2" t="str">
            <v>실     명</v>
          </cell>
        </row>
      </sheetData>
      <sheetData sheetId="2859">
        <row r="2">
          <cell r="A2" t="str">
            <v>실     명</v>
          </cell>
        </row>
      </sheetData>
      <sheetData sheetId="2860">
        <row r="2">
          <cell r="A2" t="str">
            <v>실     명</v>
          </cell>
        </row>
      </sheetData>
      <sheetData sheetId="2861">
        <row r="2">
          <cell r="A2" t="str">
            <v>실     명</v>
          </cell>
        </row>
      </sheetData>
      <sheetData sheetId="2862">
        <row r="2">
          <cell r="A2" t="str">
            <v>실     명</v>
          </cell>
        </row>
      </sheetData>
      <sheetData sheetId="2863">
        <row r="2">
          <cell r="A2" t="str">
            <v>실     명</v>
          </cell>
        </row>
      </sheetData>
      <sheetData sheetId="2864">
        <row r="2">
          <cell r="A2" t="str">
            <v>실     명</v>
          </cell>
        </row>
      </sheetData>
      <sheetData sheetId="2865">
        <row r="2">
          <cell r="A2" t="str">
            <v>실     명</v>
          </cell>
        </row>
      </sheetData>
      <sheetData sheetId="2866">
        <row r="2">
          <cell r="A2" t="str">
            <v>실     명</v>
          </cell>
        </row>
      </sheetData>
      <sheetData sheetId="2867">
        <row r="2">
          <cell r="A2" t="str">
            <v>실     명</v>
          </cell>
        </row>
      </sheetData>
      <sheetData sheetId="2868">
        <row r="2">
          <cell r="A2" t="str">
            <v>실     명</v>
          </cell>
        </row>
      </sheetData>
      <sheetData sheetId="2869">
        <row r="2">
          <cell r="A2" t="str">
            <v>실     명</v>
          </cell>
        </row>
      </sheetData>
      <sheetData sheetId="2870">
        <row r="2">
          <cell r="A2" t="str">
            <v>실     명</v>
          </cell>
        </row>
      </sheetData>
      <sheetData sheetId="2871">
        <row r="2">
          <cell r="A2" t="str">
            <v>실     명</v>
          </cell>
        </row>
      </sheetData>
      <sheetData sheetId="2872">
        <row r="2">
          <cell r="A2" t="str">
            <v>실     명</v>
          </cell>
        </row>
      </sheetData>
      <sheetData sheetId="2873">
        <row r="2">
          <cell r="A2" t="str">
            <v>실     명</v>
          </cell>
        </row>
      </sheetData>
      <sheetData sheetId="2874">
        <row r="2">
          <cell r="A2" t="str">
            <v>실     명</v>
          </cell>
        </row>
      </sheetData>
      <sheetData sheetId="2875">
        <row r="2">
          <cell r="A2" t="str">
            <v>실     명</v>
          </cell>
        </row>
      </sheetData>
      <sheetData sheetId="2876">
        <row r="2">
          <cell r="A2" t="str">
            <v>실     명</v>
          </cell>
        </row>
      </sheetData>
      <sheetData sheetId="2877">
        <row r="2">
          <cell r="A2" t="str">
            <v>실     명</v>
          </cell>
        </row>
      </sheetData>
      <sheetData sheetId="2878">
        <row r="2">
          <cell r="A2" t="str">
            <v>실     명</v>
          </cell>
        </row>
      </sheetData>
      <sheetData sheetId="2879">
        <row r="2">
          <cell r="A2" t="str">
            <v>실     명</v>
          </cell>
        </row>
      </sheetData>
      <sheetData sheetId="2880">
        <row r="2">
          <cell r="A2" t="str">
            <v>실     명</v>
          </cell>
        </row>
      </sheetData>
      <sheetData sheetId="2881">
        <row r="2">
          <cell r="A2" t="str">
            <v>실     명</v>
          </cell>
        </row>
      </sheetData>
      <sheetData sheetId="2882">
        <row r="2">
          <cell r="A2" t="str">
            <v>실     명</v>
          </cell>
        </row>
      </sheetData>
      <sheetData sheetId="2883">
        <row r="2">
          <cell r="A2" t="str">
            <v>실     명</v>
          </cell>
        </row>
      </sheetData>
      <sheetData sheetId="2884">
        <row r="2">
          <cell r="A2" t="str">
            <v>실     명</v>
          </cell>
        </row>
      </sheetData>
      <sheetData sheetId="2885">
        <row r="2">
          <cell r="A2" t="str">
            <v>실     명</v>
          </cell>
        </row>
      </sheetData>
      <sheetData sheetId="2886">
        <row r="2">
          <cell r="A2" t="str">
            <v>실     명</v>
          </cell>
        </row>
      </sheetData>
      <sheetData sheetId="2887">
        <row r="2">
          <cell r="A2" t="str">
            <v>실     명</v>
          </cell>
        </row>
      </sheetData>
      <sheetData sheetId="2888">
        <row r="2">
          <cell r="A2" t="str">
            <v>실     명</v>
          </cell>
        </row>
      </sheetData>
      <sheetData sheetId="2889">
        <row r="2">
          <cell r="A2" t="str">
            <v>실     명</v>
          </cell>
        </row>
      </sheetData>
      <sheetData sheetId="2890">
        <row r="2">
          <cell r="A2" t="str">
            <v>실     명</v>
          </cell>
        </row>
      </sheetData>
      <sheetData sheetId="2891">
        <row r="2">
          <cell r="A2" t="str">
            <v>실     명</v>
          </cell>
        </row>
      </sheetData>
      <sheetData sheetId="2892">
        <row r="2">
          <cell r="A2" t="str">
            <v>실     명</v>
          </cell>
        </row>
      </sheetData>
      <sheetData sheetId="2893">
        <row r="2">
          <cell r="A2" t="str">
            <v>실     명</v>
          </cell>
        </row>
      </sheetData>
      <sheetData sheetId="2894">
        <row r="2">
          <cell r="A2" t="str">
            <v>실     명</v>
          </cell>
        </row>
      </sheetData>
      <sheetData sheetId="2895">
        <row r="2">
          <cell r="A2" t="str">
            <v>실     명</v>
          </cell>
        </row>
      </sheetData>
      <sheetData sheetId="2896">
        <row r="2">
          <cell r="A2" t="str">
            <v>실     명</v>
          </cell>
        </row>
      </sheetData>
      <sheetData sheetId="2897">
        <row r="2">
          <cell r="A2" t="str">
            <v>실     명</v>
          </cell>
        </row>
      </sheetData>
      <sheetData sheetId="2898">
        <row r="2">
          <cell r="A2" t="str">
            <v>실     명</v>
          </cell>
        </row>
      </sheetData>
      <sheetData sheetId="2899">
        <row r="2">
          <cell r="A2" t="str">
            <v>실     명</v>
          </cell>
        </row>
      </sheetData>
      <sheetData sheetId="2900">
        <row r="2">
          <cell r="A2" t="str">
            <v>실     명</v>
          </cell>
        </row>
      </sheetData>
      <sheetData sheetId="2901">
        <row r="2">
          <cell r="A2" t="str">
            <v>실     명</v>
          </cell>
        </row>
      </sheetData>
      <sheetData sheetId="2902">
        <row r="2">
          <cell r="A2" t="str">
            <v>실     명</v>
          </cell>
        </row>
      </sheetData>
      <sheetData sheetId="2903">
        <row r="2">
          <cell r="A2" t="str">
            <v>실     명</v>
          </cell>
        </row>
      </sheetData>
      <sheetData sheetId="2904">
        <row r="2">
          <cell r="A2" t="str">
            <v>실     명</v>
          </cell>
        </row>
      </sheetData>
      <sheetData sheetId="2905">
        <row r="2">
          <cell r="A2" t="str">
            <v>실     명</v>
          </cell>
        </row>
      </sheetData>
      <sheetData sheetId="2906">
        <row r="2">
          <cell r="A2" t="str">
            <v>실     명</v>
          </cell>
        </row>
      </sheetData>
      <sheetData sheetId="2907">
        <row r="2">
          <cell r="A2" t="str">
            <v>실     명</v>
          </cell>
        </row>
      </sheetData>
      <sheetData sheetId="2908">
        <row r="2">
          <cell r="A2" t="str">
            <v>실     명</v>
          </cell>
        </row>
      </sheetData>
      <sheetData sheetId="2909">
        <row r="2">
          <cell r="A2" t="str">
            <v>실     명</v>
          </cell>
        </row>
      </sheetData>
      <sheetData sheetId="2910">
        <row r="2">
          <cell r="A2" t="str">
            <v>실     명</v>
          </cell>
        </row>
      </sheetData>
      <sheetData sheetId="2911">
        <row r="2">
          <cell r="A2" t="str">
            <v>실     명</v>
          </cell>
        </row>
      </sheetData>
      <sheetData sheetId="2912">
        <row r="2">
          <cell r="A2" t="str">
            <v>실     명</v>
          </cell>
        </row>
      </sheetData>
      <sheetData sheetId="2913">
        <row r="2">
          <cell r="A2" t="str">
            <v>실     명</v>
          </cell>
        </row>
      </sheetData>
      <sheetData sheetId="2914">
        <row r="2">
          <cell r="A2" t="str">
            <v>실     명</v>
          </cell>
        </row>
      </sheetData>
      <sheetData sheetId="2915">
        <row r="2">
          <cell r="A2" t="str">
            <v>실     명</v>
          </cell>
        </row>
      </sheetData>
      <sheetData sheetId="2916">
        <row r="2">
          <cell r="A2" t="str">
            <v>실     명</v>
          </cell>
        </row>
      </sheetData>
      <sheetData sheetId="2917">
        <row r="2">
          <cell r="A2" t="str">
            <v>실     명</v>
          </cell>
        </row>
      </sheetData>
      <sheetData sheetId="2918">
        <row r="2">
          <cell r="A2" t="str">
            <v>실     명</v>
          </cell>
        </row>
      </sheetData>
      <sheetData sheetId="2919">
        <row r="2">
          <cell r="A2" t="str">
            <v>실     명</v>
          </cell>
        </row>
      </sheetData>
      <sheetData sheetId="2920">
        <row r="2">
          <cell r="A2" t="str">
            <v>실     명</v>
          </cell>
        </row>
      </sheetData>
      <sheetData sheetId="2921">
        <row r="2">
          <cell r="A2" t="str">
            <v>실     명</v>
          </cell>
        </row>
      </sheetData>
      <sheetData sheetId="2922">
        <row r="2">
          <cell r="A2" t="str">
            <v>실     명</v>
          </cell>
        </row>
      </sheetData>
      <sheetData sheetId="2923">
        <row r="2">
          <cell r="A2" t="str">
            <v>실     명</v>
          </cell>
        </row>
      </sheetData>
      <sheetData sheetId="2924">
        <row r="2">
          <cell r="A2" t="str">
            <v>실     명</v>
          </cell>
        </row>
      </sheetData>
      <sheetData sheetId="2925">
        <row r="2">
          <cell r="A2" t="str">
            <v>실     명</v>
          </cell>
        </row>
      </sheetData>
      <sheetData sheetId="2926">
        <row r="2">
          <cell r="A2" t="str">
            <v>실     명</v>
          </cell>
        </row>
      </sheetData>
      <sheetData sheetId="2927">
        <row r="2">
          <cell r="A2" t="str">
            <v>실     명</v>
          </cell>
        </row>
      </sheetData>
      <sheetData sheetId="2928">
        <row r="2">
          <cell r="A2" t="str">
            <v>실     명</v>
          </cell>
        </row>
      </sheetData>
      <sheetData sheetId="2929">
        <row r="2">
          <cell r="A2" t="str">
            <v>실     명</v>
          </cell>
        </row>
      </sheetData>
      <sheetData sheetId="2930">
        <row r="2">
          <cell r="A2" t="str">
            <v>실     명</v>
          </cell>
        </row>
      </sheetData>
      <sheetData sheetId="2931">
        <row r="2">
          <cell r="A2" t="str">
            <v>실     명</v>
          </cell>
        </row>
      </sheetData>
      <sheetData sheetId="2932">
        <row r="2">
          <cell r="A2" t="str">
            <v>실     명</v>
          </cell>
        </row>
      </sheetData>
      <sheetData sheetId="2933">
        <row r="2">
          <cell r="A2" t="str">
            <v>실     명</v>
          </cell>
        </row>
      </sheetData>
      <sheetData sheetId="2934">
        <row r="2">
          <cell r="A2" t="str">
            <v>실     명</v>
          </cell>
        </row>
      </sheetData>
      <sheetData sheetId="2935">
        <row r="2">
          <cell r="A2" t="str">
            <v>실     명</v>
          </cell>
        </row>
      </sheetData>
      <sheetData sheetId="2936">
        <row r="2">
          <cell r="A2" t="str">
            <v>실     명</v>
          </cell>
        </row>
      </sheetData>
      <sheetData sheetId="2937">
        <row r="2">
          <cell r="A2" t="str">
            <v>실     명</v>
          </cell>
        </row>
      </sheetData>
      <sheetData sheetId="2938">
        <row r="2">
          <cell r="A2" t="str">
            <v>실     명</v>
          </cell>
        </row>
      </sheetData>
      <sheetData sheetId="2939">
        <row r="2">
          <cell r="A2" t="str">
            <v>실     명</v>
          </cell>
        </row>
      </sheetData>
      <sheetData sheetId="2940">
        <row r="2">
          <cell r="A2" t="str">
            <v>실     명</v>
          </cell>
        </row>
      </sheetData>
      <sheetData sheetId="2941">
        <row r="2">
          <cell r="A2" t="str">
            <v>실     명</v>
          </cell>
        </row>
      </sheetData>
      <sheetData sheetId="2942">
        <row r="2">
          <cell r="A2" t="str">
            <v>실     명</v>
          </cell>
        </row>
      </sheetData>
      <sheetData sheetId="2943">
        <row r="2">
          <cell r="A2" t="str">
            <v>실     명</v>
          </cell>
        </row>
      </sheetData>
      <sheetData sheetId="2944">
        <row r="2">
          <cell r="A2" t="str">
            <v>실     명</v>
          </cell>
        </row>
      </sheetData>
      <sheetData sheetId="2945">
        <row r="2">
          <cell r="A2" t="str">
            <v>실     명</v>
          </cell>
        </row>
      </sheetData>
      <sheetData sheetId="2946">
        <row r="2">
          <cell r="A2" t="str">
            <v>실     명</v>
          </cell>
        </row>
      </sheetData>
      <sheetData sheetId="2947">
        <row r="2">
          <cell r="A2" t="str">
            <v>실     명</v>
          </cell>
        </row>
      </sheetData>
      <sheetData sheetId="2948">
        <row r="2">
          <cell r="A2" t="str">
            <v>실     명</v>
          </cell>
        </row>
      </sheetData>
      <sheetData sheetId="2949">
        <row r="2">
          <cell r="A2" t="str">
            <v>실     명</v>
          </cell>
        </row>
      </sheetData>
      <sheetData sheetId="2950">
        <row r="2">
          <cell r="A2" t="str">
            <v>실     명</v>
          </cell>
        </row>
      </sheetData>
      <sheetData sheetId="2951">
        <row r="2">
          <cell r="A2" t="str">
            <v>실     명</v>
          </cell>
        </row>
      </sheetData>
      <sheetData sheetId="2952">
        <row r="2">
          <cell r="A2" t="str">
            <v>실     명</v>
          </cell>
        </row>
      </sheetData>
      <sheetData sheetId="2953">
        <row r="2">
          <cell r="A2" t="str">
            <v>실     명</v>
          </cell>
        </row>
      </sheetData>
      <sheetData sheetId="2954">
        <row r="2">
          <cell r="A2" t="str">
            <v>실     명</v>
          </cell>
        </row>
      </sheetData>
      <sheetData sheetId="2955">
        <row r="2">
          <cell r="A2" t="str">
            <v>실     명</v>
          </cell>
        </row>
      </sheetData>
      <sheetData sheetId="2956">
        <row r="2">
          <cell r="A2" t="str">
            <v>실     명</v>
          </cell>
        </row>
      </sheetData>
      <sheetData sheetId="2957">
        <row r="2">
          <cell r="A2" t="str">
            <v>실     명</v>
          </cell>
        </row>
      </sheetData>
      <sheetData sheetId="2958">
        <row r="2">
          <cell r="A2" t="str">
            <v>실     명</v>
          </cell>
        </row>
      </sheetData>
      <sheetData sheetId="2959">
        <row r="2">
          <cell r="A2" t="str">
            <v>실     명</v>
          </cell>
        </row>
      </sheetData>
      <sheetData sheetId="2960">
        <row r="2">
          <cell r="A2" t="str">
            <v>실     명</v>
          </cell>
        </row>
      </sheetData>
      <sheetData sheetId="2961">
        <row r="2">
          <cell r="A2" t="str">
            <v>실     명</v>
          </cell>
        </row>
      </sheetData>
      <sheetData sheetId="2962">
        <row r="2">
          <cell r="A2" t="str">
            <v>실     명</v>
          </cell>
        </row>
      </sheetData>
      <sheetData sheetId="2963">
        <row r="2">
          <cell r="A2" t="str">
            <v>실     명</v>
          </cell>
        </row>
      </sheetData>
      <sheetData sheetId="2964">
        <row r="2">
          <cell r="A2" t="str">
            <v>실     명</v>
          </cell>
        </row>
      </sheetData>
      <sheetData sheetId="2965">
        <row r="2">
          <cell r="A2" t="str">
            <v>실     명</v>
          </cell>
        </row>
      </sheetData>
      <sheetData sheetId="2966">
        <row r="2">
          <cell r="A2" t="str">
            <v>실     명</v>
          </cell>
        </row>
      </sheetData>
      <sheetData sheetId="2967">
        <row r="2">
          <cell r="A2" t="str">
            <v>실     명</v>
          </cell>
        </row>
      </sheetData>
      <sheetData sheetId="2968">
        <row r="2">
          <cell r="A2" t="str">
            <v>실     명</v>
          </cell>
        </row>
      </sheetData>
      <sheetData sheetId="2969">
        <row r="2">
          <cell r="A2" t="str">
            <v>실     명</v>
          </cell>
        </row>
      </sheetData>
      <sheetData sheetId="2970">
        <row r="2">
          <cell r="A2" t="str">
            <v>실     명</v>
          </cell>
        </row>
      </sheetData>
      <sheetData sheetId="2971">
        <row r="2">
          <cell r="A2" t="str">
            <v>실     명</v>
          </cell>
        </row>
      </sheetData>
      <sheetData sheetId="2972">
        <row r="2">
          <cell r="A2" t="str">
            <v>실     명</v>
          </cell>
        </row>
      </sheetData>
      <sheetData sheetId="2973">
        <row r="2">
          <cell r="A2" t="str">
            <v>실     명</v>
          </cell>
        </row>
      </sheetData>
      <sheetData sheetId="2974">
        <row r="2">
          <cell r="A2" t="str">
            <v>실     명</v>
          </cell>
        </row>
      </sheetData>
      <sheetData sheetId="2975">
        <row r="2">
          <cell r="A2" t="str">
            <v>실     명</v>
          </cell>
        </row>
      </sheetData>
      <sheetData sheetId="2976">
        <row r="2">
          <cell r="A2" t="str">
            <v>실     명</v>
          </cell>
        </row>
      </sheetData>
      <sheetData sheetId="2977">
        <row r="2">
          <cell r="A2" t="str">
            <v>실     명</v>
          </cell>
        </row>
      </sheetData>
      <sheetData sheetId="2978">
        <row r="2">
          <cell r="A2" t="str">
            <v>실     명</v>
          </cell>
        </row>
      </sheetData>
      <sheetData sheetId="2979">
        <row r="2">
          <cell r="A2" t="str">
            <v>실     명</v>
          </cell>
        </row>
      </sheetData>
      <sheetData sheetId="2980">
        <row r="2">
          <cell r="A2" t="str">
            <v>실     명</v>
          </cell>
        </row>
      </sheetData>
      <sheetData sheetId="2981">
        <row r="2">
          <cell r="A2" t="str">
            <v>실     명</v>
          </cell>
        </row>
      </sheetData>
      <sheetData sheetId="2982">
        <row r="2">
          <cell r="A2" t="str">
            <v>실     명</v>
          </cell>
        </row>
      </sheetData>
      <sheetData sheetId="2983">
        <row r="2">
          <cell r="A2" t="str">
            <v>실     명</v>
          </cell>
        </row>
      </sheetData>
      <sheetData sheetId="2984">
        <row r="2">
          <cell r="A2" t="str">
            <v>실     명</v>
          </cell>
        </row>
      </sheetData>
      <sheetData sheetId="2985">
        <row r="2">
          <cell r="A2" t="str">
            <v>실     명</v>
          </cell>
        </row>
      </sheetData>
      <sheetData sheetId="2986">
        <row r="2">
          <cell r="A2" t="str">
            <v>실     명</v>
          </cell>
        </row>
      </sheetData>
      <sheetData sheetId="2987">
        <row r="2">
          <cell r="A2" t="str">
            <v>실     명</v>
          </cell>
        </row>
      </sheetData>
      <sheetData sheetId="2988">
        <row r="2">
          <cell r="A2" t="str">
            <v>실     명</v>
          </cell>
        </row>
      </sheetData>
      <sheetData sheetId="2989">
        <row r="2">
          <cell r="A2" t="str">
            <v>실     명</v>
          </cell>
        </row>
      </sheetData>
      <sheetData sheetId="2990">
        <row r="2">
          <cell r="A2" t="str">
            <v>실     명</v>
          </cell>
        </row>
      </sheetData>
      <sheetData sheetId="2991">
        <row r="2">
          <cell r="A2" t="str">
            <v>실     명</v>
          </cell>
        </row>
      </sheetData>
      <sheetData sheetId="2992">
        <row r="2">
          <cell r="A2" t="str">
            <v>실     명</v>
          </cell>
        </row>
      </sheetData>
      <sheetData sheetId="2993">
        <row r="2">
          <cell r="A2" t="str">
            <v>실     명</v>
          </cell>
        </row>
      </sheetData>
      <sheetData sheetId="2994">
        <row r="2">
          <cell r="A2" t="str">
            <v>실     명</v>
          </cell>
        </row>
      </sheetData>
      <sheetData sheetId="2995">
        <row r="2">
          <cell r="A2" t="str">
            <v>실     명</v>
          </cell>
        </row>
      </sheetData>
      <sheetData sheetId="2996">
        <row r="2">
          <cell r="A2" t="str">
            <v>실     명</v>
          </cell>
        </row>
      </sheetData>
      <sheetData sheetId="2997">
        <row r="2">
          <cell r="A2" t="str">
            <v>실     명</v>
          </cell>
        </row>
      </sheetData>
      <sheetData sheetId="2998">
        <row r="2">
          <cell r="A2" t="str">
            <v>실     명</v>
          </cell>
        </row>
      </sheetData>
      <sheetData sheetId="2999">
        <row r="2">
          <cell r="A2" t="str">
            <v>실     명</v>
          </cell>
        </row>
      </sheetData>
      <sheetData sheetId="3000">
        <row r="2">
          <cell r="A2" t="str">
            <v>실     명</v>
          </cell>
        </row>
      </sheetData>
      <sheetData sheetId="3001">
        <row r="2">
          <cell r="A2" t="str">
            <v>실     명</v>
          </cell>
        </row>
      </sheetData>
      <sheetData sheetId="3002">
        <row r="2">
          <cell r="A2" t="str">
            <v>실     명</v>
          </cell>
        </row>
      </sheetData>
      <sheetData sheetId="3003">
        <row r="2">
          <cell r="A2" t="str">
            <v>실     명</v>
          </cell>
        </row>
      </sheetData>
      <sheetData sheetId="3004">
        <row r="2">
          <cell r="A2" t="str">
            <v>실     명</v>
          </cell>
        </row>
      </sheetData>
      <sheetData sheetId="3005">
        <row r="2">
          <cell r="A2" t="str">
            <v>실     명</v>
          </cell>
        </row>
      </sheetData>
      <sheetData sheetId="3006">
        <row r="2">
          <cell r="A2" t="str">
            <v>실     명</v>
          </cell>
        </row>
      </sheetData>
      <sheetData sheetId="3007">
        <row r="2">
          <cell r="A2" t="str">
            <v>실     명</v>
          </cell>
        </row>
      </sheetData>
      <sheetData sheetId="3008">
        <row r="2">
          <cell r="A2" t="str">
            <v>실     명</v>
          </cell>
        </row>
      </sheetData>
      <sheetData sheetId="3009">
        <row r="2">
          <cell r="A2" t="str">
            <v>실     명</v>
          </cell>
        </row>
      </sheetData>
      <sheetData sheetId="3010">
        <row r="2">
          <cell r="A2" t="str">
            <v>실     명</v>
          </cell>
        </row>
      </sheetData>
      <sheetData sheetId="3011">
        <row r="2">
          <cell r="A2" t="str">
            <v>실     명</v>
          </cell>
        </row>
      </sheetData>
      <sheetData sheetId="3012">
        <row r="2">
          <cell r="A2" t="str">
            <v>실     명</v>
          </cell>
        </row>
      </sheetData>
      <sheetData sheetId="3013">
        <row r="2">
          <cell r="A2" t="str">
            <v>실     명</v>
          </cell>
        </row>
      </sheetData>
      <sheetData sheetId="3014">
        <row r="2">
          <cell r="A2" t="str">
            <v>실     명</v>
          </cell>
        </row>
      </sheetData>
      <sheetData sheetId="3015">
        <row r="2">
          <cell r="A2" t="str">
            <v>실     명</v>
          </cell>
        </row>
      </sheetData>
      <sheetData sheetId="3016">
        <row r="2">
          <cell r="A2" t="str">
            <v>실     명</v>
          </cell>
        </row>
      </sheetData>
      <sheetData sheetId="3017">
        <row r="2">
          <cell r="A2" t="str">
            <v>실     명</v>
          </cell>
        </row>
      </sheetData>
      <sheetData sheetId="3018">
        <row r="2">
          <cell r="A2" t="str">
            <v>실     명</v>
          </cell>
        </row>
      </sheetData>
      <sheetData sheetId="3019">
        <row r="2">
          <cell r="A2" t="str">
            <v>실     명</v>
          </cell>
        </row>
      </sheetData>
      <sheetData sheetId="3020">
        <row r="2">
          <cell r="A2" t="str">
            <v>실     명</v>
          </cell>
        </row>
      </sheetData>
      <sheetData sheetId="3021">
        <row r="2">
          <cell r="A2" t="str">
            <v>실     명</v>
          </cell>
        </row>
      </sheetData>
      <sheetData sheetId="3022">
        <row r="2">
          <cell r="A2" t="str">
            <v>실     명</v>
          </cell>
        </row>
      </sheetData>
      <sheetData sheetId="3023">
        <row r="2">
          <cell r="A2" t="str">
            <v>실     명</v>
          </cell>
        </row>
      </sheetData>
      <sheetData sheetId="3024">
        <row r="2">
          <cell r="A2" t="str">
            <v>실     명</v>
          </cell>
        </row>
      </sheetData>
      <sheetData sheetId="3025">
        <row r="2">
          <cell r="A2" t="str">
            <v>실     명</v>
          </cell>
        </row>
      </sheetData>
      <sheetData sheetId="3026">
        <row r="2">
          <cell r="A2" t="str">
            <v>실     명</v>
          </cell>
        </row>
      </sheetData>
      <sheetData sheetId="3027">
        <row r="2">
          <cell r="A2" t="str">
            <v>실     명</v>
          </cell>
        </row>
      </sheetData>
      <sheetData sheetId="3028">
        <row r="2">
          <cell r="A2" t="str">
            <v>실     명</v>
          </cell>
        </row>
      </sheetData>
      <sheetData sheetId="3029">
        <row r="2">
          <cell r="A2" t="str">
            <v>실     명</v>
          </cell>
        </row>
      </sheetData>
      <sheetData sheetId="3030">
        <row r="2">
          <cell r="A2" t="str">
            <v>실     명</v>
          </cell>
        </row>
      </sheetData>
      <sheetData sheetId="3031">
        <row r="2">
          <cell r="A2" t="str">
            <v>실     명</v>
          </cell>
        </row>
      </sheetData>
      <sheetData sheetId="3032">
        <row r="2">
          <cell r="A2" t="str">
            <v>실     명</v>
          </cell>
        </row>
      </sheetData>
      <sheetData sheetId="3033">
        <row r="2">
          <cell r="A2" t="str">
            <v>실     명</v>
          </cell>
        </row>
      </sheetData>
      <sheetData sheetId="3034">
        <row r="2">
          <cell r="A2" t="str">
            <v>실     명</v>
          </cell>
        </row>
      </sheetData>
      <sheetData sheetId="3035">
        <row r="2">
          <cell r="A2" t="str">
            <v>실     명</v>
          </cell>
        </row>
      </sheetData>
      <sheetData sheetId="3036">
        <row r="2">
          <cell r="A2" t="str">
            <v>실     명</v>
          </cell>
        </row>
      </sheetData>
      <sheetData sheetId="3037">
        <row r="2">
          <cell r="A2" t="str">
            <v>실     명</v>
          </cell>
        </row>
      </sheetData>
      <sheetData sheetId="3038">
        <row r="2">
          <cell r="A2" t="str">
            <v>실     명</v>
          </cell>
        </row>
      </sheetData>
      <sheetData sheetId="3039">
        <row r="2">
          <cell r="A2" t="str">
            <v>실     명</v>
          </cell>
        </row>
      </sheetData>
      <sheetData sheetId="3040">
        <row r="2">
          <cell r="A2" t="str">
            <v>실     명</v>
          </cell>
        </row>
      </sheetData>
      <sheetData sheetId="3041">
        <row r="2">
          <cell r="A2" t="str">
            <v>실     명</v>
          </cell>
        </row>
      </sheetData>
      <sheetData sheetId="3042">
        <row r="2">
          <cell r="A2" t="str">
            <v>실     명</v>
          </cell>
        </row>
      </sheetData>
      <sheetData sheetId="3043">
        <row r="2">
          <cell r="A2" t="str">
            <v>실     명</v>
          </cell>
        </row>
      </sheetData>
      <sheetData sheetId="3044">
        <row r="2">
          <cell r="A2" t="str">
            <v>실     명</v>
          </cell>
        </row>
      </sheetData>
      <sheetData sheetId="3045">
        <row r="2">
          <cell r="A2" t="str">
            <v>실     명</v>
          </cell>
        </row>
      </sheetData>
      <sheetData sheetId="3046">
        <row r="2">
          <cell r="A2" t="str">
            <v>실     명</v>
          </cell>
        </row>
      </sheetData>
      <sheetData sheetId="3047">
        <row r="2">
          <cell r="A2" t="str">
            <v>실     명</v>
          </cell>
        </row>
      </sheetData>
      <sheetData sheetId="3048">
        <row r="2">
          <cell r="A2" t="str">
            <v>실     명</v>
          </cell>
        </row>
      </sheetData>
      <sheetData sheetId="3049">
        <row r="2">
          <cell r="A2" t="str">
            <v>실     명</v>
          </cell>
        </row>
      </sheetData>
      <sheetData sheetId="3050">
        <row r="2">
          <cell r="A2" t="str">
            <v>실     명</v>
          </cell>
        </row>
      </sheetData>
      <sheetData sheetId="3051">
        <row r="2">
          <cell r="A2" t="str">
            <v>실     명</v>
          </cell>
        </row>
      </sheetData>
      <sheetData sheetId="3052">
        <row r="2">
          <cell r="A2" t="str">
            <v>실     명</v>
          </cell>
        </row>
      </sheetData>
      <sheetData sheetId="3053">
        <row r="2">
          <cell r="A2" t="str">
            <v>실     명</v>
          </cell>
        </row>
      </sheetData>
      <sheetData sheetId="3054">
        <row r="2">
          <cell r="A2" t="str">
            <v>실     명</v>
          </cell>
        </row>
      </sheetData>
      <sheetData sheetId="3055">
        <row r="2">
          <cell r="A2" t="str">
            <v>실     명</v>
          </cell>
        </row>
      </sheetData>
      <sheetData sheetId="3056">
        <row r="2">
          <cell r="A2" t="str">
            <v>실     명</v>
          </cell>
        </row>
      </sheetData>
      <sheetData sheetId="3057">
        <row r="2">
          <cell r="A2" t="str">
            <v>실     명</v>
          </cell>
        </row>
      </sheetData>
      <sheetData sheetId="3058">
        <row r="2">
          <cell r="A2" t="str">
            <v>실     명</v>
          </cell>
        </row>
      </sheetData>
      <sheetData sheetId="3059">
        <row r="2">
          <cell r="A2" t="str">
            <v>실     명</v>
          </cell>
        </row>
      </sheetData>
      <sheetData sheetId="3060">
        <row r="2">
          <cell r="A2" t="str">
            <v>실     명</v>
          </cell>
        </row>
      </sheetData>
      <sheetData sheetId="3061">
        <row r="2">
          <cell r="A2" t="str">
            <v>실     명</v>
          </cell>
        </row>
      </sheetData>
      <sheetData sheetId="3062">
        <row r="2">
          <cell r="A2" t="str">
            <v>실     명</v>
          </cell>
        </row>
      </sheetData>
      <sheetData sheetId="3063">
        <row r="2">
          <cell r="A2" t="str">
            <v>실     명</v>
          </cell>
        </row>
      </sheetData>
      <sheetData sheetId="3064">
        <row r="2">
          <cell r="A2" t="str">
            <v>실     명</v>
          </cell>
        </row>
      </sheetData>
      <sheetData sheetId="3065">
        <row r="2">
          <cell r="A2" t="str">
            <v>실     명</v>
          </cell>
        </row>
      </sheetData>
      <sheetData sheetId="3066">
        <row r="2">
          <cell r="A2" t="str">
            <v>실     명</v>
          </cell>
        </row>
      </sheetData>
      <sheetData sheetId="3067">
        <row r="2">
          <cell r="A2" t="str">
            <v>실     명</v>
          </cell>
        </row>
      </sheetData>
      <sheetData sheetId="3068">
        <row r="2">
          <cell r="A2" t="str">
            <v>실     명</v>
          </cell>
        </row>
      </sheetData>
      <sheetData sheetId="3069">
        <row r="2">
          <cell r="A2" t="str">
            <v>실     명</v>
          </cell>
        </row>
      </sheetData>
      <sheetData sheetId="3070">
        <row r="2">
          <cell r="A2" t="str">
            <v>실     명</v>
          </cell>
        </row>
      </sheetData>
      <sheetData sheetId="3071">
        <row r="2">
          <cell r="A2" t="str">
            <v>실     명</v>
          </cell>
        </row>
      </sheetData>
      <sheetData sheetId="3072">
        <row r="2">
          <cell r="A2" t="str">
            <v>실     명</v>
          </cell>
        </row>
      </sheetData>
      <sheetData sheetId="3073">
        <row r="2">
          <cell r="A2" t="str">
            <v>실     명</v>
          </cell>
        </row>
      </sheetData>
      <sheetData sheetId="3074">
        <row r="2">
          <cell r="A2" t="str">
            <v>실     명</v>
          </cell>
        </row>
      </sheetData>
      <sheetData sheetId="3075">
        <row r="2">
          <cell r="A2" t="str">
            <v>실     명</v>
          </cell>
        </row>
      </sheetData>
      <sheetData sheetId="3076">
        <row r="2">
          <cell r="A2" t="str">
            <v>실     명</v>
          </cell>
        </row>
      </sheetData>
      <sheetData sheetId="3077">
        <row r="2">
          <cell r="A2" t="str">
            <v>실     명</v>
          </cell>
        </row>
      </sheetData>
      <sheetData sheetId="3078">
        <row r="2">
          <cell r="A2" t="str">
            <v>실     명</v>
          </cell>
        </row>
      </sheetData>
      <sheetData sheetId="3079">
        <row r="2">
          <cell r="A2" t="str">
            <v>실     명</v>
          </cell>
        </row>
      </sheetData>
      <sheetData sheetId="3080">
        <row r="2">
          <cell r="A2" t="str">
            <v>실     명</v>
          </cell>
        </row>
      </sheetData>
      <sheetData sheetId="3081">
        <row r="2">
          <cell r="A2" t="str">
            <v>실     명</v>
          </cell>
        </row>
      </sheetData>
      <sheetData sheetId="3082">
        <row r="2">
          <cell r="A2" t="str">
            <v>실     명</v>
          </cell>
        </row>
      </sheetData>
      <sheetData sheetId="3083">
        <row r="2">
          <cell r="A2" t="str">
            <v>실     명</v>
          </cell>
        </row>
      </sheetData>
      <sheetData sheetId="3084">
        <row r="2">
          <cell r="A2" t="str">
            <v>실     명</v>
          </cell>
        </row>
      </sheetData>
      <sheetData sheetId="3085">
        <row r="2">
          <cell r="A2" t="str">
            <v>실     명</v>
          </cell>
        </row>
      </sheetData>
      <sheetData sheetId="3086">
        <row r="2">
          <cell r="A2" t="str">
            <v>실     명</v>
          </cell>
        </row>
      </sheetData>
      <sheetData sheetId="3087">
        <row r="2">
          <cell r="A2" t="str">
            <v>실     명</v>
          </cell>
        </row>
      </sheetData>
      <sheetData sheetId="3088">
        <row r="2">
          <cell r="A2" t="str">
            <v>실     명</v>
          </cell>
        </row>
      </sheetData>
      <sheetData sheetId="3089">
        <row r="2">
          <cell r="A2" t="str">
            <v>실     명</v>
          </cell>
        </row>
      </sheetData>
      <sheetData sheetId="3090">
        <row r="2">
          <cell r="A2" t="str">
            <v>실     명</v>
          </cell>
        </row>
      </sheetData>
      <sheetData sheetId="3091">
        <row r="2">
          <cell r="A2" t="str">
            <v>실     명</v>
          </cell>
        </row>
      </sheetData>
      <sheetData sheetId="3092">
        <row r="2">
          <cell r="A2" t="str">
            <v>실     명</v>
          </cell>
        </row>
      </sheetData>
      <sheetData sheetId="3093">
        <row r="2">
          <cell r="A2" t="str">
            <v>실     명</v>
          </cell>
        </row>
      </sheetData>
      <sheetData sheetId="3094">
        <row r="2">
          <cell r="A2" t="str">
            <v>실     명</v>
          </cell>
        </row>
      </sheetData>
      <sheetData sheetId="3095">
        <row r="2">
          <cell r="A2" t="str">
            <v>실     명</v>
          </cell>
        </row>
      </sheetData>
      <sheetData sheetId="3096">
        <row r="2">
          <cell r="A2" t="str">
            <v>실     명</v>
          </cell>
        </row>
      </sheetData>
      <sheetData sheetId="3097">
        <row r="2">
          <cell r="A2" t="str">
            <v>실     명</v>
          </cell>
        </row>
      </sheetData>
      <sheetData sheetId="3098">
        <row r="2">
          <cell r="A2" t="str">
            <v>실     명</v>
          </cell>
        </row>
      </sheetData>
      <sheetData sheetId="3099">
        <row r="2">
          <cell r="A2" t="str">
            <v>실     명</v>
          </cell>
        </row>
      </sheetData>
      <sheetData sheetId="3100">
        <row r="2">
          <cell r="A2" t="str">
            <v>실     명</v>
          </cell>
        </row>
      </sheetData>
      <sheetData sheetId="3101">
        <row r="2">
          <cell r="A2" t="str">
            <v>실     명</v>
          </cell>
        </row>
      </sheetData>
      <sheetData sheetId="3102">
        <row r="2">
          <cell r="A2" t="str">
            <v>실     명</v>
          </cell>
        </row>
      </sheetData>
      <sheetData sheetId="3103">
        <row r="2">
          <cell r="A2" t="str">
            <v>실     명</v>
          </cell>
        </row>
      </sheetData>
      <sheetData sheetId="3104">
        <row r="2">
          <cell r="A2" t="str">
            <v>실     명</v>
          </cell>
        </row>
      </sheetData>
      <sheetData sheetId="3105">
        <row r="2">
          <cell r="A2" t="str">
            <v>실     명</v>
          </cell>
        </row>
      </sheetData>
      <sheetData sheetId="3106">
        <row r="2">
          <cell r="A2" t="str">
            <v>실     명</v>
          </cell>
        </row>
      </sheetData>
      <sheetData sheetId="3107">
        <row r="2">
          <cell r="A2" t="str">
            <v>실     명</v>
          </cell>
        </row>
      </sheetData>
      <sheetData sheetId="3108">
        <row r="2">
          <cell r="A2" t="str">
            <v>실     명</v>
          </cell>
        </row>
      </sheetData>
      <sheetData sheetId="3109">
        <row r="2">
          <cell r="A2" t="str">
            <v>실     명</v>
          </cell>
        </row>
      </sheetData>
      <sheetData sheetId="3110">
        <row r="2">
          <cell r="A2" t="str">
            <v>실     명</v>
          </cell>
        </row>
      </sheetData>
      <sheetData sheetId="3111">
        <row r="2">
          <cell r="A2" t="str">
            <v>실     명</v>
          </cell>
        </row>
      </sheetData>
      <sheetData sheetId="3112">
        <row r="2">
          <cell r="A2" t="str">
            <v>실     명</v>
          </cell>
        </row>
      </sheetData>
      <sheetData sheetId="3113">
        <row r="2">
          <cell r="A2" t="str">
            <v>실     명</v>
          </cell>
        </row>
      </sheetData>
      <sheetData sheetId="3114">
        <row r="2">
          <cell r="A2" t="str">
            <v>실     명</v>
          </cell>
        </row>
      </sheetData>
      <sheetData sheetId="3115">
        <row r="2">
          <cell r="A2" t="str">
            <v>실     명</v>
          </cell>
        </row>
      </sheetData>
      <sheetData sheetId="3116">
        <row r="2">
          <cell r="A2" t="str">
            <v>실     명</v>
          </cell>
        </row>
      </sheetData>
      <sheetData sheetId="3117">
        <row r="2">
          <cell r="A2" t="str">
            <v>실     명</v>
          </cell>
        </row>
      </sheetData>
      <sheetData sheetId="3118">
        <row r="2">
          <cell r="A2" t="str">
            <v>실     명</v>
          </cell>
        </row>
      </sheetData>
      <sheetData sheetId="3119">
        <row r="2">
          <cell r="A2" t="str">
            <v>실     명</v>
          </cell>
        </row>
      </sheetData>
      <sheetData sheetId="3120">
        <row r="2">
          <cell r="A2" t="str">
            <v>실     명</v>
          </cell>
        </row>
      </sheetData>
      <sheetData sheetId="3121">
        <row r="2">
          <cell r="A2" t="str">
            <v>실     명</v>
          </cell>
        </row>
      </sheetData>
      <sheetData sheetId="3122">
        <row r="2">
          <cell r="A2" t="str">
            <v>실     명</v>
          </cell>
        </row>
      </sheetData>
      <sheetData sheetId="3123">
        <row r="2">
          <cell r="A2" t="str">
            <v>실     명</v>
          </cell>
        </row>
      </sheetData>
      <sheetData sheetId="3124">
        <row r="2">
          <cell r="A2" t="str">
            <v>실     명</v>
          </cell>
        </row>
      </sheetData>
      <sheetData sheetId="3125">
        <row r="2">
          <cell r="A2" t="str">
            <v>실     명</v>
          </cell>
        </row>
      </sheetData>
      <sheetData sheetId="3126">
        <row r="2">
          <cell r="A2" t="str">
            <v>실     명</v>
          </cell>
        </row>
      </sheetData>
      <sheetData sheetId="3127">
        <row r="2">
          <cell r="A2" t="str">
            <v>실     명</v>
          </cell>
        </row>
      </sheetData>
      <sheetData sheetId="3128">
        <row r="2">
          <cell r="A2" t="str">
            <v>실     명</v>
          </cell>
        </row>
      </sheetData>
      <sheetData sheetId="3129">
        <row r="2">
          <cell r="A2" t="str">
            <v>실     명</v>
          </cell>
        </row>
      </sheetData>
      <sheetData sheetId="3130">
        <row r="2">
          <cell r="A2" t="str">
            <v>실     명</v>
          </cell>
        </row>
      </sheetData>
      <sheetData sheetId="3131">
        <row r="2">
          <cell r="A2" t="str">
            <v>실     명</v>
          </cell>
        </row>
      </sheetData>
      <sheetData sheetId="3132">
        <row r="2">
          <cell r="A2" t="str">
            <v>실     명</v>
          </cell>
        </row>
      </sheetData>
      <sheetData sheetId="3133">
        <row r="2">
          <cell r="A2" t="str">
            <v>실     명</v>
          </cell>
        </row>
      </sheetData>
      <sheetData sheetId="3134">
        <row r="2">
          <cell r="A2" t="str">
            <v>실     명</v>
          </cell>
        </row>
      </sheetData>
      <sheetData sheetId="3135">
        <row r="2">
          <cell r="A2" t="str">
            <v>실     명</v>
          </cell>
        </row>
      </sheetData>
      <sheetData sheetId="3136">
        <row r="2">
          <cell r="A2" t="str">
            <v>실     명</v>
          </cell>
        </row>
      </sheetData>
      <sheetData sheetId="3137">
        <row r="2">
          <cell r="A2" t="str">
            <v>실     명</v>
          </cell>
        </row>
      </sheetData>
      <sheetData sheetId="3138">
        <row r="2">
          <cell r="A2" t="str">
            <v>실     명</v>
          </cell>
        </row>
      </sheetData>
      <sheetData sheetId="3139">
        <row r="2">
          <cell r="A2" t="str">
            <v>실     명</v>
          </cell>
        </row>
      </sheetData>
      <sheetData sheetId="3140">
        <row r="2">
          <cell r="A2" t="str">
            <v>실     명</v>
          </cell>
        </row>
      </sheetData>
      <sheetData sheetId="3141">
        <row r="2">
          <cell r="A2" t="str">
            <v>실     명</v>
          </cell>
        </row>
      </sheetData>
      <sheetData sheetId="3142">
        <row r="2">
          <cell r="A2" t="str">
            <v>실     명</v>
          </cell>
        </row>
      </sheetData>
      <sheetData sheetId="3143">
        <row r="2">
          <cell r="A2" t="str">
            <v>실     명</v>
          </cell>
        </row>
      </sheetData>
      <sheetData sheetId="3144">
        <row r="2">
          <cell r="A2" t="str">
            <v>실     명</v>
          </cell>
        </row>
      </sheetData>
      <sheetData sheetId="3145">
        <row r="2">
          <cell r="A2" t="str">
            <v>실     명</v>
          </cell>
        </row>
      </sheetData>
      <sheetData sheetId="3146">
        <row r="2">
          <cell r="A2" t="str">
            <v>실     명</v>
          </cell>
        </row>
      </sheetData>
      <sheetData sheetId="3147">
        <row r="2">
          <cell r="A2" t="str">
            <v>실     명</v>
          </cell>
        </row>
      </sheetData>
      <sheetData sheetId="3148">
        <row r="2">
          <cell r="A2" t="str">
            <v>실     명</v>
          </cell>
        </row>
      </sheetData>
      <sheetData sheetId="3149">
        <row r="2">
          <cell r="A2" t="str">
            <v>실     명</v>
          </cell>
        </row>
      </sheetData>
      <sheetData sheetId="3150">
        <row r="2">
          <cell r="A2" t="str">
            <v>실     명</v>
          </cell>
        </row>
      </sheetData>
      <sheetData sheetId="3151">
        <row r="2">
          <cell r="A2" t="str">
            <v>실     명</v>
          </cell>
        </row>
      </sheetData>
      <sheetData sheetId="3152">
        <row r="2">
          <cell r="A2" t="str">
            <v>실     명</v>
          </cell>
        </row>
      </sheetData>
      <sheetData sheetId="3153">
        <row r="2">
          <cell r="A2" t="str">
            <v>실     명</v>
          </cell>
        </row>
      </sheetData>
      <sheetData sheetId="3154">
        <row r="2">
          <cell r="A2" t="str">
            <v>실     명</v>
          </cell>
        </row>
      </sheetData>
      <sheetData sheetId="3155">
        <row r="2">
          <cell r="A2" t="str">
            <v>실     명</v>
          </cell>
        </row>
      </sheetData>
      <sheetData sheetId="3156">
        <row r="2">
          <cell r="A2" t="str">
            <v>실     명</v>
          </cell>
        </row>
      </sheetData>
      <sheetData sheetId="3157">
        <row r="2">
          <cell r="A2" t="str">
            <v>실     명</v>
          </cell>
        </row>
      </sheetData>
      <sheetData sheetId="3158">
        <row r="2">
          <cell r="A2" t="str">
            <v>실     명</v>
          </cell>
        </row>
      </sheetData>
      <sheetData sheetId="3159">
        <row r="2">
          <cell r="A2" t="str">
            <v>실     명</v>
          </cell>
        </row>
      </sheetData>
      <sheetData sheetId="3160">
        <row r="2">
          <cell r="A2" t="str">
            <v>실     명</v>
          </cell>
        </row>
      </sheetData>
      <sheetData sheetId="3161">
        <row r="2">
          <cell r="A2" t="str">
            <v>실     명</v>
          </cell>
        </row>
      </sheetData>
      <sheetData sheetId="3162">
        <row r="2">
          <cell r="A2" t="str">
            <v>실     명</v>
          </cell>
        </row>
      </sheetData>
      <sheetData sheetId="3163">
        <row r="2">
          <cell r="A2" t="str">
            <v>실     명</v>
          </cell>
        </row>
      </sheetData>
      <sheetData sheetId="3164">
        <row r="2">
          <cell r="A2" t="str">
            <v>실     명</v>
          </cell>
        </row>
      </sheetData>
      <sheetData sheetId="3165">
        <row r="2">
          <cell r="A2" t="str">
            <v>실     명</v>
          </cell>
        </row>
      </sheetData>
      <sheetData sheetId="3166">
        <row r="2">
          <cell r="A2" t="str">
            <v>실     명</v>
          </cell>
        </row>
      </sheetData>
      <sheetData sheetId="3167">
        <row r="2">
          <cell r="A2" t="str">
            <v>실     명</v>
          </cell>
        </row>
      </sheetData>
      <sheetData sheetId="3168">
        <row r="2">
          <cell r="A2" t="str">
            <v>실     명</v>
          </cell>
        </row>
      </sheetData>
      <sheetData sheetId="3169">
        <row r="2">
          <cell r="A2" t="str">
            <v>실     명</v>
          </cell>
        </row>
      </sheetData>
      <sheetData sheetId="3170">
        <row r="2">
          <cell r="A2" t="str">
            <v>실     명</v>
          </cell>
        </row>
      </sheetData>
      <sheetData sheetId="3171">
        <row r="2">
          <cell r="A2" t="str">
            <v>실     명</v>
          </cell>
        </row>
      </sheetData>
      <sheetData sheetId="3172">
        <row r="2">
          <cell r="A2" t="str">
            <v>실     명</v>
          </cell>
        </row>
      </sheetData>
      <sheetData sheetId="3173">
        <row r="2">
          <cell r="A2" t="str">
            <v>실     명</v>
          </cell>
        </row>
      </sheetData>
      <sheetData sheetId="3174">
        <row r="2">
          <cell r="A2" t="str">
            <v>실     명</v>
          </cell>
        </row>
      </sheetData>
      <sheetData sheetId="3175">
        <row r="2">
          <cell r="A2" t="str">
            <v>실     명</v>
          </cell>
        </row>
      </sheetData>
      <sheetData sheetId="3176">
        <row r="2">
          <cell r="A2" t="str">
            <v>실     명</v>
          </cell>
        </row>
      </sheetData>
      <sheetData sheetId="3177">
        <row r="2">
          <cell r="A2" t="str">
            <v>실     명</v>
          </cell>
        </row>
      </sheetData>
      <sheetData sheetId="3178">
        <row r="2">
          <cell r="A2" t="str">
            <v>실     명</v>
          </cell>
        </row>
      </sheetData>
      <sheetData sheetId="3179">
        <row r="2">
          <cell r="A2" t="str">
            <v>실     명</v>
          </cell>
        </row>
      </sheetData>
      <sheetData sheetId="3180">
        <row r="2">
          <cell r="A2" t="str">
            <v>실     명</v>
          </cell>
        </row>
      </sheetData>
      <sheetData sheetId="3181">
        <row r="2">
          <cell r="A2" t="str">
            <v>실     명</v>
          </cell>
        </row>
      </sheetData>
      <sheetData sheetId="3182">
        <row r="2">
          <cell r="A2" t="str">
            <v>실     명</v>
          </cell>
        </row>
      </sheetData>
      <sheetData sheetId="3183">
        <row r="2">
          <cell r="A2" t="str">
            <v>실     명</v>
          </cell>
        </row>
      </sheetData>
      <sheetData sheetId="3184">
        <row r="2">
          <cell r="A2" t="str">
            <v>실     명</v>
          </cell>
        </row>
      </sheetData>
      <sheetData sheetId="3185">
        <row r="2">
          <cell r="A2" t="str">
            <v>실     명</v>
          </cell>
        </row>
      </sheetData>
      <sheetData sheetId="3186">
        <row r="2">
          <cell r="A2" t="str">
            <v>실     명</v>
          </cell>
        </row>
      </sheetData>
      <sheetData sheetId="3187">
        <row r="2">
          <cell r="A2" t="str">
            <v>실     명</v>
          </cell>
        </row>
      </sheetData>
      <sheetData sheetId="3188">
        <row r="2">
          <cell r="A2" t="str">
            <v>실     명</v>
          </cell>
        </row>
      </sheetData>
      <sheetData sheetId="3189">
        <row r="2">
          <cell r="A2" t="str">
            <v>실     명</v>
          </cell>
        </row>
      </sheetData>
      <sheetData sheetId="3190">
        <row r="2">
          <cell r="A2" t="str">
            <v>실     명</v>
          </cell>
        </row>
      </sheetData>
      <sheetData sheetId="3191">
        <row r="2">
          <cell r="A2" t="str">
            <v>실     명</v>
          </cell>
        </row>
      </sheetData>
      <sheetData sheetId="3192">
        <row r="2">
          <cell r="A2" t="str">
            <v>실     명</v>
          </cell>
        </row>
      </sheetData>
      <sheetData sheetId="3193">
        <row r="2">
          <cell r="A2" t="str">
            <v>실     명</v>
          </cell>
        </row>
      </sheetData>
      <sheetData sheetId="3194">
        <row r="2">
          <cell r="A2" t="str">
            <v>실     명</v>
          </cell>
        </row>
      </sheetData>
      <sheetData sheetId="3195">
        <row r="2">
          <cell r="A2" t="str">
            <v>실     명</v>
          </cell>
        </row>
      </sheetData>
      <sheetData sheetId="3196">
        <row r="2">
          <cell r="A2" t="str">
            <v>실     명</v>
          </cell>
        </row>
      </sheetData>
      <sheetData sheetId="3197">
        <row r="2">
          <cell r="A2" t="str">
            <v>실     명</v>
          </cell>
        </row>
      </sheetData>
      <sheetData sheetId="3198">
        <row r="2">
          <cell r="A2" t="str">
            <v>실     명</v>
          </cell>
        </row>
      </sheetData>
      <sheetData sheetId="3199">
        <row r="2">
          <cell r="A2" t="str">
            <v>실     명</v>
          </cell>
        </row>
      </sheetData>
      <sheetData sheetId="3200">
        <row r="2">
          <cell r="A2" t="str">
            <v>실     명</v>
          </cell>
        </row>
      </sheetData>
      <sheetData sheetId="3201">
        <row r="2">
          <cell r="A2" t="str">
            <v>실     명</v>
          </cell>
        </row>
      </sheetData>
      <sheetData sheetId="3202">
        <row r="2">
          <cell r="A2" t="str">
            <v>실     명</v>
          </cell>
        </row>
      </sheetData>
      <sheetData sheetId="3203">
        <row r="2">
          <cell r="A2" t="str">
            <v>실     명</v>
          </cell>
        </row>
      </sheetData>
      <sheetData sheetId="3204">
        <row r="2">
          <cell r="A2" t="str">
            <v>실     명</v>
          </cell>
        </row>
      </sheetData>
      <sheetData sheetId="3205">
        <row r="2">
          <cell r="A2" t="str">
            <v>실     명</v>
          </cell>
        </row>
      </sheetData>
      <sheetData sheetId="3206">
        <row r="2">
          <cell r="A2" t="str">
            <v>실     명</v>
          </cell>
        </row>
      </sheetData>
      <sheetData sheetId="3207">
        <row r="2">
          <cell r="A2" t="str">
            <v>실     명</v>
          </cell>
        </row>
      </sheetData>
      <sheetData sheetId="3208">
        <row r="2">
          <cell r="A2" t="str">
            <v>실     명</v>
          </cell>
        </row>
      </sheetData>
      <sheetData sheetId="3209">
        <row r="2">
          <cell r="A2" t="str">
            <v>실     명</v>
          </cell>
        </row>
      </sheetData>
      <sheetData sheetId="3210">
        <row r="2">
          <cell r="A2" t="str">
            <v>실     명</v>
          </cell>
        </row>
      </sheetData>
      <sheetData sheetId="3211">
        <row r="2">
          <cell r="A2" t="str">
            <v>실     명</v>
          </cell>
        </row>
      </sheetData>
      <sheetData sheetId="3212">
        <row r="2">
          <cell r="A2" t="str">
            <v>실     명</v>
          </cell>
        </row>
      </sheetData>
      <sheetData sheetId="3213">
        <row r="2">
          <cell r="A2" t="str">
            <v>실     명</v>
          </cell>
        </row>
      </sheetData>
      <sheetData sheetId="3214">
        <row r="2">
          <cell r="A2" t="str">
            <v>실     명</v>
          </cell>
        </row>
      </sheetData>
      <sheetData sheetId="3215">
        <row r="2">
          <cell r="A2" t="str">
            <v>실     명</v>
          </cell>
        </row>
      </sheetData>
      <sheetData sheetId="3216">
        <row r="2">
          <cell r="A2" t="str">
            <v>실     명</v>
          </cell>
        </row>
      </sheetData>
      <sheetData sheetId="3217">
        <row r="2">
          <cell r="A2" t="str">
            <v>실     명</v>
          </cell>
        </row>
      </sheetData>
      <sheetData sheetId="3218">
        <row r="2">
          <cell r="A2" t="str">
            <v>실     명</v>
          </cell>
        </row>
      </sheetData>
      <sheetData sheetId="3219">
        <row r="2">
          <cell r="A2" t="str">
            <v>실     명</v>
          </cell>
        </row>
      </sheetData>
      <sheetData sheetId="3220">
        <row r="2">
          <cell r="A2" t="str">
            <v>실     명</v>
          </cell>
        </row>
      </sheetData>
      <sheetData sheetId="3221">
        <row r="2">
          <cell r="A2" t="str">
            <v>실     명</v>
          </cell>
        </row>
      </sheetData>
      <sheetData sheetId="3222">
        <row r="2">
          <cell r="A2" t="str">
            <v>실     명</v>
          </cell>
        </row>
      </sheetData>
      <sheetData sheetId="3223">
        <row r="2">
          <cell r="A2" t="str">
            <v>실     명</v>
          </cell>
        </row>
      </sheetData>
      <sheetData sheetId="3224">
        <row r="2">
          <cell r="A2" t="str">
            <v>실     명</v>
          </cell>
        </row>
      </sheetData>
      <sheetData sheetId="3225">
        <row r="2">
          <cell r="A2" t="str">
            <v>실     명</v>
          </cell>
        </row>
      </sheetData>
      <sheetData sheetId="3226">
        <row r="2">
          <cell r="A2" t="str">
            <v>실     명</v>
          </cell>
        </row>
      </sheetData>
      <sheetData sheetId="3227">
        <row r="2">
          <cell r="A2" t="str">
            <v>실     명</v>
          </cell>
        </row>
      </sheetData>
      <sheetData sheetId="3228">
        <row r="2">
          <cell r="A2" t="str">
            <v>실     명</v>
          </cell>
        </row>
      </sheetData>
      <sheetData sheetId="3229">
        <row r="2">
          <cell r="A2" t="str">
            <v>실     명</v>
          </cell>
        </row>
      </sheetData>
      <sheetData sheetId="3230">
        <row r="2">
          <cell r="A2" t="str">
            <v>실     명</v>
          </cell>
        </row>
      </sheetData>
      <sheetData sheetId="3231">
        <row r="2">
          <cell r="A2" t="str">
            <v>실     명</v>
          </cell>
        </row>
      </sheetData>
      <sheetData sheetId="3232">
        <row r="2">
          <cell r="A2" t="str">
            <v>실     명</v>
          </cell>
        </row>
      </sheetData>
      <sheetData sheetId="3233">
        <row r="2">
          <cell r="A2" t="str">
            <v>실     명</v>
          </cell>
        </row>
      </sheetData>
      <sheetData sheetId="3234">
        <row r="2">
          <cell r="A2" t="str">
            <v>실     명</v>
          </cell>
        </row>
      </sheetData>
      <sheetData sheetId="3235">
        <row r="2">
          <cell r="A2" t="str">
            <v>실     명</v>
          </cell>
        </row>
      </sheetData>
      <sheetData sheetId="3236">
        <row r="2">
          <cell r="A2" t="str">
            <v>실     명</v>
          </cell>
        </row>
      </sheetData>
      <sheetData sheetId="3237">
        <row r="2">
          <cell r="A2" t="str">
            <v>실     명</v>
          </cell>
        </row>
      </sheetData>
      <sheetData sheetId="3238">
        <row r="2">
          <cell r="A2" t="str">
            <v>실     명</v>
          </cell>
        </row>
      </sheetData>
      <sheetData sheetId="3239">
        <row r="2">
          <cell r="A2" t="str">
            <v>실     명</v>
          </cell>
        </row>
      </sheetData>
      <sheetData sheetId="3240">
        <row r="2">
          <cell r="A2" t="str">
            <v>실     명</v>
          </cell>
        </row>
      </sheetData>
      <sheetData sheetId="3241">
        <row r="2">
          <cell r="A2" t="str">
            <v>실     명</v>
          </cell>
        </row>
      </sheetData>
      <sheetData sheetId="3242">
        <row r="2">
          <cell r="A2" t="str">
            <v>실     명</v>
          </cell>
        </row>
      </sheetData>
      <sheetData sheetId="3243">
        <row r="2">
          <cell r="A2" t="str">
            <v>실     명</v>
          </cell>
        </row>
      </sheetData>
      <sheetData sheetId="3244">
        <row r="2">
          <cell r="A2" t="str">
            <v>실     명</v>
          </cell>
        </row>
      </sheetData>
      <sheetData sheetId="3245">
        <row r="2">
          <cell r="A2" t="str">
            <v>실     명</v>
          </cell>
        </row>
      </sheetData>
      <sheetData sheetId="3246">
        <row r="2">
          <cell r="A2" t="str">
            <v>실     명</v>
          </cell>
        </row>
      </sheetData>
      <sheetData sheetId="3247">
        <row r="2">
          <cell r="A2" t="str">
            <v>실     명</v>
          </cell>
        </row>
      </sheetData>
      <sheetData sheetId="3248">
        <row r="2">
          <cell r="A2" t="str">
            <v>실     명</v>
          </cell>
        </row>
      </sheetData>
      <sheetData sheetId="3249">
        <row r="2">
          <cell r="A2" t="str">
            <v>실     명</v>
          </cell>
        </row>
      </sheetData>
      <sheetData sheetId="3250">
        <row r="2">
          <cell r="A2" t="str">
            <v>실     명</v>
          </cell>
        </row>
      </sheetData>
      <sheetData sheetId="3251">
        <row r="2">
          <cell r="A2" t="str">
            <v>실     명</v>
          </cell>
        </row>
      </sheetData>
      <sheetData sheetId="3252">
        <row r="2">
          <cell r="A2" t="str">
            <v>실     명</v>
          </cell>
        </row>
      </sheetData>
      <sheetData sheetId="3253">
        <row r="2">
          <cell r="A2" t="str">
            <v>실     명</v>
          </cell>
        </row>
      </sheetData>
      <sheetData sheetId="3254">
        <row r="2">
          <cell r="A2" t="str">
            <v>실     명</v>
          </cell>
        </row>
      </sheetData>
      <sheetData sheetId="3255">
        <row r="2">
          <cell r="A2" t="str">
            <v>실     명</v>
          </cell>
        </row>
      </sheetData>
      <sheetData sheetId="3256">
        <row r="2">
          <cell r="A2" t="str">
            <v>실     명</v>
          </cell>
        </row>
      </sheetData>
      <sheetData sheetId="3257">
        <row r="2">
          <cell r="A2" t="str">
            <v>실     명</v>
          </cell>
        </row>
      </sheetData>
      <sheetData sheetId="3258">
        <row r="2">
          <cell r="A2" t="str">
            <v>실     명</v>
          </cell>
        </row>
      </sheetData>
      <sheetData sheetId="3259">
        <row r="2">
          <cell r="A2" t="str">
            <v>실     명</v>
          </cell>
        </row>
      </sheetData>
      <sheetData sheetId="3260">
        <row r="2">
          <cell r="A2" t="str">
            <v>실     명</v>
          </cell>
        </row>
      </sheetData>
      <sheetData sheetId="3261">
        <row r="2">
          <cell r="A2" t="str">
            <v>실     명</v>
          </cell>
        </row>
      </sheetData>
      <sheetData sheetId="3262">
        <row r="2">
          <cell r="A2" t="str">
            <v>실     명</v>
          </cell>
        </row>
      </sheetData>
      <sheetData sheetId="3263">
        <row r="2">
          <cell r="A2" t="str">
            <v>실     명</v>
          </cell>
        </row>
      </sheetData>
      <sheetData sheetId="3264">
        <row r="2">
          <cell r="A2" t="str">
            <v>실     명</v>
          </cell>
        </row>
      </sheetData>
      <sheetData sheetId="3265">
        <row r="2">
          <cell r="A2" t="str">
            <v>실     명</v>
          </cell>
        </row>
      </sheetData>
      <sheetData sheetId="3266">
        <row r="2">
          <cell r="A2" t="str">
            <v>실     명</v>
          </cell>
        </row>
      </sheetData>
      <sheetData sheetId="3267">
        <row r="2">
          <cell r="A2" t="str">
            <v>실     명</v>
          </cell>
        </row>
      </sheetData>
      <sheetData sheetId="3268">
        <row r="2">
          <cell r="A2" t="str">
            <v>실     명</v>
          </cell>
        </row>
      </sheetData>
      <sheetData sheetId="3269">
        <row r="2">
          <cell r="A2" t="str">
            <v>실     명</v>
          </cell>
        </row>
      </sheetData>
      <sheetData sheetId="3270">
        <row r="2">
          <cell r="A2" t="str">
            <v>실     명</v>
          </cell>
        </row>
      </sheetData>
      <sheetData sheetId="3271">
        <row r="2">
          <cell r="A2" t="str">
            <v>실     명</v>
          </cell>
        </row>
      </sheetData>
      <sheetData sheetId="3272">
        <row r="2">
          <cell r="A2" t="str">
            <v>실     명</v>
          </cell>
        </row>
      </sheetData>
      <sheetData sheetId="3273">
        <row r="2">
          <cell r="A2" t="str">
            <v>실     명</v>
          </cell>
        </row>
      </sheetData>
      <sheetData sheetId="3274">
        <row r="2">
          <cell r="A2" t="str">
            <v>실     명</v>
          </cell>
        </row>
      </sheetData>
      <sheetData sheetId="3275">
        <row r="2">
          <cell r="A2" t="str">
            <v>실     명</v>
          </cell>
        </row>
      </sheetData>
      <sheetData sheetId="3276">
        <row r="2">
          <cell r="A2" t="str">
            <v>실     명</v>
          </cell>
        </row>
      </sheetData>
      <sheetData sheetId="3277">
        <row r="2">
          <cell r="A2" t="str">
            <v>실     명</v>
          </cell>
        </row>
      </sheetData>
      <sheetData sheetId="3278">
        <row r="2">
          <cell r="A2" t="str">
            <v>실     명</v>
          </cell>
        </row>
      </sheetData>
      <sheetData sheetId="3279">
        <row r="2">
          <cell r="A2" t="str">
            <v>실     명</v>
          </cell>
        </row>
      </sheetData>
      <sheetData sheetId="3280">
        <row r="2">
          <cell r="A2" t="str">
            <v>실     명</v>
          </cell>
        </row>
      </sheetData>
      <sheetData sheetId="3281">
        <row r="2">
          <cell r="A2" t="str">
            <v>실     명</v>
          </cell>
        </row>
      </sheetData>
      <sheetData sheetId="3282">
        <row r="2">
          <cell r="A2" t="str">
            <v>실     명</v>
          </cell>
        </row>
      </sheetData>
      <sheetData sheetId="3283">
        <row r="2">
          <cell r="A2" t="str">
            <v>실     명</v>
          </cell>
        </row>
      </sheetData>
      <sheetData sheetId="3284">
        <row r="2">
          <cell r="A2" t="str">
            <v>실     명</v>
          </cell>
        </row>
      </sheetData>
      <sheetData sheetId="3285">
        <row r="2">
          <cell r="A2" t="str">
            <v>실     명</v>
          </cell>
        </row>
      </sheetData>
      <sheetData sheetId="3286">
        <row r="2">
          <cell r="A2" t="str">
            <v>실     명</v>
          </cell>
        </row>
      </sheetData>
      <sheetData sheetId="3287">
        <row r="2">
          <cell r="A2" t="str">
            <v>실     명</v>
          </cell>
        </row>
      </sheetData>
      <sheetData sheetId="3288">
        <row r="2">
          <cell r="A2" t="str">
            <v>실     명</v>
          </cell>
        </row>
      </sheetData>
      <sheetData sheetId="3289">
        <row r="2">
          <cell r="A2" t="str">
            <v>실     명</v>
          </cell>
        </row>
      </sheetData>
      <sheetData sheetId="3290">
        <row r="2">
          <cell r="A2" t="str">
            <v>실     명</v>
          </cell>
        </row>
      </sheetData>
      <sheetData sheetId="3291">
        <row r="2">
          <cell r="A2" t="str">
            <v>실     명</v>
          </cell>
        </row>
      </sheetData>
      <sheetData sheetId="3292">
        <row r="2">
          <cell r="A2" t="str">
            <v>실     명</v>
          </cell>
        </row>
      </sheetData>
      <sheetData sheetId="3293">
        <row r="2">
          <cell r="A2" t="str">
            <v>실     명</v>
          </cell>
        </row>
      </sheetData>
      <sheetData sheetId="3294">
        <row r="2">
          <cell r="A2" t="str">
            <v>실     명</v>
          </cell>
        </row>
      </sheetData>
      <sheetData sheetId="3295">
        <row r="2">
          <cell r="A2" t="str">
            <v>실     명</v>
          </cell>
        </row>
      </sheetData>
      <sheetData sheetId="3296">
        <row r="2">
          <cell r="A2" t="str">
            <v>실     명</v>
          </cell>
        </row>
      </sheetData>
      <sheetData sheetId="3297">
        <row r="2">
          <cell r="A2" t="str">
            <v>실     명</v>
          </cell>
        </row>
      </sheetData>
      <sheetData sheetId="3298">
        <row r="2">
          <cell r="A2" t="str">
            <v>실     명</v>
          </cell>
        </row>
      </sheetData>
      <sheetData sheetId="3299">
        <row r="2">
          <cell r="A2" t="str">
            <v>실     명</v>
          </cell>
        </row>
      </sheetData>
      <sheetData sheetId="3300">
        <row r="2">
          <cell r="A2" t="str">
            <v>실     명</v>
          </cell>
        </row>
      </sheetData>
      <sheetData sheetId="3301">
        <row r="2">
          <cell r="A2" t="str">
            <v>실     명</v>
          </cell>
        </row>
      </sheetData>
      <sheetData sheetId="3302">
        <row r="2">
          <cell r="A2" t="str">
            <v>실     명</v>
          </cell>
        </row>
      </sheetData>
      <sheetData sheetId="3303">
        <row r="2">
          <cell r="A2" t="str">
            <v>실     명</v>
          </cell>
        </row>
      </sheetData>
      <sheetData sheetId="3304">
        <row r="2">
          <cell r="A2" t="str">
            <v>실     명</v>
          </cell>
        </row>
      </sheetData>
      <sheetData sheetId="3305">
        <row r="2">
          <cell r="A2" t="str">
            <v>실     명</v>
          </cell>
        </row>
      </sheetData>
      <sheetData sheetId="3306">
        <row r="2">
          <cell r="A2" t="str">
            <v>실     명</v>
          </cell>
        </row>
      </sheetData>
      <sheetData sheetId="3307">
        <row r="2">
          <cell r="A2" t="str">
            <v>실     명</v>
          </cell>
        </row>
      </sheetData>
      <sheetData sheetId="3308">
        <row r="2">
          <cell r="A2" t="str">
            <v>실     명</v>
          </cell>
        </row>
      </sheetData>
      <sheetData sheetId="3309">
        <row r="2">
          <cell r="A2" t="str">
            <v>실     명</v>
          </cell>
        </row>
      </sheetData>
      <sheetData sheetId="3310">
        <row r="2">
          <cell r="A2" t="str">
            <v>실     명</v>
          </cell>
        </row>
      </sheetData>
      <sheetData sheetId="3311">
        <row r="2">
          <cell r="A2" t="str">
            <v>실     명</v>
          </cell>
        </row>
      </sheetData>
      <sheetData sheetId="3312">
        <row r="2">
          <cell r="A2" t="str">
            <v>실     명</v>
          </cell>
        </row>
      </sheetData>
      <sheetData sheetId="3313">
        <row r="2">
          <cell r="A2" t="str">
            <v>실     명</v>
          </cell>
        </row>
      </sheetData>
      <sheetData sheetId="3314">
        <row r="2">
          <cell r="A2" t="str">
            <v>실     명</v>
          </cell>
        </row>
      </sheetData>
      <sheetData sheetId="3315">
        <row r="2">
          <cell r="A2" t="str">
            <v>실     명</v>
          </cell>
        </row>
      </sheetData>
      <sheetData sheetId="3316">
        <row r="2">
          <cell r="A2" t="str">
            <v>실     명</v>
          </cell>
        </row>
      </sheetData>
      <sheetData sheetId="3317">
        <row r="2">
          <cell r="A2" t="str">
            <v>실     명</v>
          </cell>
        </row>
      </sheetData>
      <sheetData sheetId="3318">
        <row r="2">
          <cell r="A2" t="str">
            <v>실     명</v>
          </cell>
        </row>
      </sheetData>
      <sheetData sheetId="3319">
        <row r="2">
          <cell r="A2" t="str">
            <v>실     명</v>
          </cell>
        </row>
      </sheetData>
      <sheetData sheetId="3320">
        <row r="2">
          <cell r="A2" t="str">
            <v>실     명</v>
          </cell>
        </row>
      </sheetData>
      <sheetData sheetId="3321">
        <row r="2">
          <cell r="A2" t="str">
            <v>실     명</v>
          </cell>
        </row>
      </sheetData>
      <sheetData sheetId="3322">
        <row r="2">
          <cell r="A2" t="str">
            <v>실     명</v>
          </cell>
        </row>
      </sheetData>
      <sheetData sheetId="3323">
        <row r="2">
          <cell r="A2" t="str">
            <v>실     명</v>
          </cell>
        </row>
      </sheetData>
      <sheetData sheetId="3324">
        <row r="2">
          <cell r="A2" t="str">
            <v>실     명</v>
          </cell>
        </row>
      </sheetData>
      <sheetData sheetId="3325">
        <row r="2">
          <cell r="A2" t="str">
            <v>실     명</v>
          </cell>
        </row>
      </sheetData>
      <sheetData sheetId="3326">
        <row r="2">
          <cell r="A2" t="str">
            <v>실     명</v>
          </cell>
        </row>
      </sheetData>
      <sheetData sheetId="3327">
        <row r="2">
          <cell r="A2" t="str">
            <v>실     명</v>
          </cell>
        </row>
      </sheetData>
      <sheetData sheetId="3328">
        <row r="2">
          <cell r="A2" t="str">
            <v>실     명</v>
          </cell>
        </row>
      </sheetData>
      <sheetData sheetId="3329">
        <row r="2">
          <cell r="A2" t="str">
            <v>실     명</v>
          </cell>
        </row>
      </sheetData>
      <sheetData sheetId="3330">
        <row r="2">
          <cell r="A2" t="str">
            <v>실     명</v>
          </cell>
        </row>
      </sheetData>
      <sheetData sheetId="3331">
        <row r="2">
          <cell r="A2" t="str">
            <v>실     명</v>
          </cell>
        </row>
      </sheetData>
      <sheetData sheetId="3332">
        <row r="2">
          <cell r="A2" t="str">
            <v>실     명</v>
          </cell>
        </row>
      </sheetData>
      <sheetData sheetId="3333">
        <row r="2">
          <cell r="A2" t="str">
            <v>실     명</v>
          </cell>
        </row>
      </sheetData>
      <sheetData sheetId="3334">
        <row r="2">
          <cell r="A2" t="str">
            <v>실     명</v>
          </cell>
        </row>
      </sheetData>
      <sheetData sheetId="3335">
        <row r="2">
          <cell r="A2" t="str">
            <v>실     명</v>
          </cell>
        </row>
      </sheetData>
      <sheetData sheetId="3336">
        <row r="2">
          <cell r="A2" t="str">
            <v>실     명</v>
          </cell>
        </row>
      </sheetData>
      <sheetData sheetId="3337">
        <row r="2">
          <cell r="A2" t="str">
            <v>실     명</v>
          </cell>
        </row>
      </sheetData>
      <sheetData sheetId="3338">
        <row r="2">
          <cell r="A2" t="str">
            <v>실     명</v>
          </cell>
        </row>
      </sheetData>
      <sheetData sheetId="3339">
        <row r="2">
          <cell r="A2" t="str">
            <v>실     명</v>
          </cell>
        </row>
      </sheetData>
      <sheetData sheetId="3340">
        <row r="2">
          <cell r="A2" t="str">
            <v>실     명</v>
          </cell>
        </row>
      </sheetData>
      <sheetData sheetId="3341">
        <row r="2">
          <cell r="A2" t="str">
            <v>실     명</v>
          </cell>
        </row>
      </sheetData>
      <sheetData sheetId="3342">
        <row r="2">
          <cell r="A2" t="str">
            <v>실     명</v>
          </cell>
        </row>
      </sheetData>
      <sheetData sheetId="3343">
        <row r="2">
          <cell r="A2" t="str">
            <v>실     명</v>
          </cell>
        </row>
      </sheetData>
      <sheetData sheetId="3344">
        <row r="2">
          <cell r="A2" t="str">
            <v>실     명</v>
          </cell>
        </row>
      </sheetData>
      <sheetData sheetId="3345">
        <row r="2">
          <cell r="A2" t="str">
            <v>실     명</v>
          </cell>
        </row>
      </sheetData>
      <sheetData sheetId="3346">
        <row r="2">
          <cell r="A2" t="str">
            <v>실     명</v>
          </cell>
        </row>
      </sheetData>
      <sheetData sheetId="3347">
        <row r="2">
          <cell r="A2" t="str">
            <v>실     명</v>
          </cell>
        </row>
      </sheetData>
      <sheetData sheetId="3348">
        <row r="2">
          <cell r="A2" t="str">
            <v>실     명</v>
          </cell>
        </row>
      </sheetData>
      <sheetData sheetId="3349">
        <row r="2">
          <cell r="A2" t="str">
            <v>실     명</v>
          </cell>
        </row>
      </sheetData>
      <sheetData sheetId="3350">
        <row r="2">
          <cell r="A2" t="str">
            <v>실     명</v>
          </cell>
        </row>
      </sheetData>
      <sheetData sheetId="3351">
        <row r="2">
          <cell r="A2" t="str">
            <v>실     명</v>
          </cell>
        </row>
      </sheetData>
      <sheetData sheetId="3352">
        <row r="2">
          <cell r="A2" t="str">
            <v>실     명</v>
          </cell>
        </row>
      </sheetData>
      <sheetData sheetId="3353">
        <row r="2">
          <cell r="A2" t="str">
            <v>실     명</v>
          </cell>
        </row>
      </sheetData>
      <sheetData sheetId="3354">
        <row r="2">
          <cell r="A2" t="str">
            <v>실     명</v>
          </cell>
        </row>
      </sheetData>
      <sheetData sheetId="3355">
        <row r="2">
          <cell r="A2" t="str">
            <v>실     명</v>
          </cell>
        </row>
      </sheetData>
      <sheetData sheetId="3356">
        <row r="2">
          <cell r="A2" t="str">
            <v>실     명</v>
          </cell>
        </row>
      </sheetData>
      <sheetData sheetId="3357">
        <row r="2">
          <cell r="A2" t="str">
            <v>실     명</v>
          </cell>
        </row>
      </sheetData>
      <sheetData sheetId="3358">
        <row r="2">
          <cell r="A2" t="str">
            <v>실     명</v>
          </cell>
        </row>
      </sheetData>
      <sheetData sheetId="3359">
        <row r="2">
          <cell r="A2" t="str">
            <v>실     명</v>
          </cell>
        </row>
      </sheetData>
      <sheetData sheetId="3360">
        <row r="2">
          <cell r="A2" t="str">
            <v>실     명</v>
          </cell>
        </row>
      </sheetData>
      <sheetData sheetId="3361">
        <row r="2">
          <cell r="A2" t="str">
            <v>실     명</v>
          </cell>
        </row>
      </sheetData>
      <sheetData sheetId="3362">
        <row r="2">
          <cell r="A2" t="str">
            <v>실     명</v>
          </cell>
        </row>
      </sheetData>
      <sheetData sheetId="3363">
        <row r="2">
          <cell r="A2" t="str">
            <v>실     명</v>
          </cell>
        </row>
      </sheetData>
      <sheetData sheetId="3364">
        <row r="2">
          <cell r="A2" t="str">
            <v>실     명</v>
          </cell>
        </row>
      </sheetData>
      <sheetData sheetId="3365">
        <row r="2">
          <cell r="A2" t="str">
            <v>실     명</v>
          </cell>
        </row>
      </sheetData>
      <sheetData sheetId="3366">
        <row r="2">
          <cell r="A2" t="str">
            <v>실     명</v>
          </cell>
        </row>
      </sheetData>
      <sheetData sheetId="3367">
        <row r="2">
          <cell r="A2" t="str">
            <v>실     명</v>
          </cell>
        </row>
      </sheetData>
      <sheetData sheetId="3368">
        <row r="2">
          <cell r="A2" t="str">
            <v>실     명</v>
          </cell>
        </row>
      </sheetData>
      <sheetData sheetId="3369">
        <row r="2">
          <cell r="A2" t="str">
            <v>실     명</v>
          </cell>
        </row>
      </sheetData>
      <sheetData sheetId="3370">
        <row r="2">
          <cell r="A2" t="str">
            <v>실     명</v>
          </cell>
        </row>
      </sheetData>
      <sheetData sheetId="3371">
        <row r="2">
          <cell r="A2" t="str">
            <v>실     명</v>
          </cell>
        </row>
      </sheetData>
      <sheetData sheetId="3372">
        <row r="2">
          <cell r="A2" t="str">
            <v>실     명</v>
          </cell>
        </row>
      </sheetData>
      <sheetData sheetId="3373">
        <row r="2">
          <cell r="A2" t="str">
            <v>실     명</v>
          </cell>
        </row>
      </sheetData>
      <sheetData sheetId="3374">
        <row r="2">
          <cell r="A2" t="str">
            <v>실     명</v>
          </cell>
        </row>
      </sheetData>
      <sheetData sheetId="3375">
        <row r="2">
          <cell r="A2" t="str">
            <v>실     명</v>
          </cell>
        </row>
      </sheetData>
      <sheetData sheetId="3376">
        <row r="2">
          <cell r="A2" t="str">
            <v>실     명</v>
          </cell>
        </row>
      </sheetData>
      <sheetData sheetId="3377">
        <row r="2">
          <cell r="A2" t="str">
            <v>실     명</v>
          </cell>
        </row>
      </sheetData>
      <sheetData sheetId="3378">
        <row r="2">
          <cell r="A2" t="str">
            <v>실     명</v>
          </cell>
        </row>
      </sheetData>
      <sheetData sheetId="3379">
        <row r="2">
          <cell r="A2" t="str">
            <v>실     명</v>
          </cell>
        </row>
      </sheetData>
      <sheetData sheetId="3380">
        <row r="2">
          <cell r="A2" t="str">
            <v>실     명</v>
          </cell>
        </row>
      </sheetData>
      <sheetData sheetId="3381">
        <row r="2">
          <cell r="A2" t="str">
            <v>실     명</v>
          </cell>
        </row>
      </sheetData>
      <sheetData sheetId="3382">
        <row r="2">
          <cell r="A2" t="str">
            <v>실     명</v>
          </cell>
        </row>
      </sheetData>
      <sheetData sheetId="3383">
        <row r="2">
          <cell r="A2" t="str">
            <v>실     명</v>
          </cell>
        </row>
      </sheetData>
      <sheetData sheetId="3384">
        <row r="2">
          <cell r="A2" t="str">
            <v>실     명</v>
          </cell>
        </row>
      </sheetData>
      <sheetData sheetId="3385">
        <row r="2">
          <cell r="A2" t="str">
            <v>실     명</v>
          </cell>
        </row>
      </sheetData>
      <sheetData sheetId="3386">
        <row r="2">
          <cell r="A2" t="str">
            <v>실     명</v>
          </cell>
        </row>
      </sheetData>
      <sheetData sheetId="3387">
        <row r="2">
          <cell r="A2" t="str">
            <v>실     명</v>
          </cell>
        </row>
      </sheetData>
      <sheetData sheetId="3388">
        <row r="2">
          <cell r="A2" t="str">
            <v>실     명</v>
          </cell>
        </row>
      </sheetData>
      <sheetData sheetId="3389">
        <row r="2">
          <cell r="A2" t="str">
            <v>실     명</v>
          </cell>
        </row>
      </sheetData>
      <sheetData sheetId="3390">
        <row r="2">
          <cell r="A2" t="str">
            <v>실     명</v>
          </cell>
        </row>
      </sheetData>
      <sheetData sheetId="3391">
        <row r="2">
          <cell r="A2" t="str">
            <v>실     명</v>
          </cell>
        </row>
      </sheetData>
      <sheetData sheetId="3392">
        <row r="2">
          <cell r="A2" t="str">
            <v>실     명</v>
          </cell>
        </row>
      </sheetData>
      <sheetData sheetId="3393">
        <row r="2">
          <cell r="A2" t="str">
            <v>실     명</v>
          </cell>
        </row>
      </sheetData>
      <sheetData sheetId="3394">
        <row r="2">
          <cell r="A2" t="str">
            <v>실     명</v>
          </cell>
        </row>
      </sheetData>
      <sheetData sheetId="3395">
        <row r="2">
          <cell r="A2" t="str">
            <v>실     명</v>
          </cell>
        </row>
      </sheetData>
      <sheetData sheetId="3396">
        <row r="2">
          <cell r="A2" t="str">
            <v>실     명</v>
          </cell>
        </row>
      </sheetData>
      <sheetData sheetId="3397">
        <row r="2">
          <cell r="A2" t="str">
            <v>실     명</v>
          </cell>
        </row>
      </sheetData>
      <sheetData sheetId="3398">
        <row r="2">
          <cell r="A2" t="str">
            <v>실     명</v>
          </cell>
        </row>
      </sheetData>
      <sheetData sheetId="3399">
        <row r="2">
          <cell r="A2" t="str">
            <v>실     명</v>
          </cell>
        </row>
      </sheetData>
      <sheetData sheetId="3400">
        <row r="2">
          <cell r="A2" t="str">
            <v>실     명</v>
          </cell>
        </row>
      </sheetData>
      <sheetData sheetId="3401">
        <row r="2">
          <cell r="A2" t="str">
            <v>실     명</v>
          </cell>
        </row>
      </sheetData>
      <sheetData sheetId="3402">
        <row r="2">
          <cell r="A2" t="str">
            <v>실     명</v>
          </cell>
        </row>
      </sheetData>
      <sheetData sheetId="3403">
        <row r="2">
          <cell r="A2" t="str">
            <v>실     명</v>
          </cell>
        </row>
      </sheetData>
      <sheetData sheetId="3404">
        <row r="2">
          <cell r="A2" t="str">
            <v>실     명</v>
          </cell>
        </row>
      </sheetData>
      <sheetData sheetId="3405">
        <row r="2">
          <cell r="A2" t="str">
            <v>실     명</v>
          </cell>
        </row>
      </sheetData>
      <sheetData sheetId="3406">
        <row r="2">
          <cell r="A2" t="str">
            <v>실     명</v>
          </cell>
        </row>
      </sheetData>
      <sheetData sheetId="3407">
        <row r="2">
          <cell r="A2" t="str">
            <v>실     명</v>
          </cell>
        </row>
      </sheetData>
      <sheetData sheetId="3408">
        <row r="2">
          <cell r="A2" t="str">
            <v>실     명</v>
          </cell>
        </row>
      </sheetData>
      <sheetData sheetId="3409">
        <row r="2">
          <cell r="A2" t="str">
            <v>실     명</v>
          </cell>
        </row>
      </sheetData>
      <sheetData sheetId="3410">
        <row r="2">
          <cell r="A2" t="str">
            <v>실     명</v>
          </cell>
        </row>
      </sheetData>
      <sheetData sheetId="3411">
        <row r="2">
          <cell r="A2" t="str">
            <v>실     명</v>
          </cell>
        </row>
      </sheetData>
      <sheetData sheetId="3412">
        <row r="2">
          <cell r="A2" t="str">
            <v>실     명</v>
          </cell>
        </row>
      </sheetData>
      <sheetData sheetId="3413">
        <row r="2">
          <cell r="A2" t="str">
            <v>실     명</v>
          </cell>
        </row>
      </sheetData>
      <sheetData sheetId="3414">
        <row r="2">
          <cell r="A2" t="str">
            <v>실     명</v>
          </cell>
        </row>
      </sheetData>
      <sheetData sheetId="3415">
        <row r="2">
          <cell r="A2" t="str">
            <v>실     명</v>
          </cell>
        </row>
      </sheetData>
      <sheetData sheetId="3416">
        <row r="2">
          <cell r="A2" t="str">
            <v>실     명</v>
          </cell>
        </row>
      </sheetData>
      <sheetData sheetId="3417">
        <row r="2">
          <cell r="A2" t="str">
            <v>실     명</v>
          </cell>
        </row>
      </sheetData>
      <sheetData sheetId="3418">
        <row r="2">
          <cell r="A2" t="str">
            <v>실     명</v>
          </cell>
        </row>
      </sheetData>
      <sheetData sheetId="3419">
        <row r="2">
          <cell r="A2" t="str">
            <v>실     명</v>
          </cell>
        </row>
      </sheetData>
      <sheetData sheetId="3420">
        <row r="2">
          <cell r="A2" t="str">
            <v>실     명</v>
          </cell>
        </row>
      </sheetData>
      <sheetData sheetId="3421">
        <row r="2">
          <cell r="A2" t="str">
            <v>실     명</v>
          </cell>
        </row>
      </sheetData>
      <sheetData sheetId="3422">
        <row r="2">
          <cell r="A2" t="str">
            <v>실     명</v>
          </cell>
        </row>
      </sheetData>
      <sheetData sheetId="3423">
        <row r="2">
          <cell r="A2" t="str">
            <v>실     명</v>
          </cell>
        </row>
      </sheetData>
      <sheetData sheetId="3424">
        <row r="2">
          <cell r="A2" t="str">
            <v>실     명</v>
          </cell>
        </row>
      </sheetData>
      <sheetData sheetId="3425">
        <row r="2">
          <cell r="A2" t="str">
            <v>실     명</v>
          </cell>
        </row>
      </sheetData>
      <sheetData sheetId="3426">
        <row r="2">
          <cell r="A2" t="str">
            <v>실     명</v>
          </cell>
        </row>
      </sheetData>
      <sheetData sheetId="3427">
        <row r="2">
          <cell r="A2" t="str">
            <v>실     명</v>
          </cell>
        </row>
      </sheetData>
      <sheetData sheetId="3428">
        <row r="2">
          <cell r="A2" t="str">
            <v>실     명</v>
          </cell>
        </row>
      </sheetData>
      <sheetData sheetId="3429">
        <row r="2">
          <cell r="A2" t="str">
            <v>실     명</v>
          </cell>
        </row>
      </sheetData>
      <sheetData sheetId="3430">
        <row r="2">
          <cell r="A2" t="str">
            <v>실     명</v>
          </cell>
        </row>
      </sheetData>
      <sheetData sheetId="3431">
        <row r="2">
          <cell r="A2" t="str">
            <v>실     명</v>
          </cell>
        </row>
      </sheetData>
      <sheetData sheetId="3432">
        <row r="2">
          <cell r="A2" t="str">
            <v>실     명</v>
          </cell>
        </row>
      </sheetData>
      <sheetData sheetId="3433">
        <row r="2">
          <cell r="A2" t="str">
            <v>실     명</v>
          </cell>
        </row>
      </sheetData>
      <sheetData sheetId="3434">
        <row r="2">
          <cell r="A2" t="str">
            <v>실     명</v>
          </cell>
        </row>
      </sheetData>
      <sheetData sheetId="3435">
        <row r="2">
          <cell r="A2" t="str">
            <v>실     명</v>
          </cell>
        </row>
      </sheetData>
      <sheetData sheetId="3436">
        <row r="2">
          <cell r="A2" t="str">
            <v>실     명</v>
          </cell>
        </row>
      </sheetData>
      <sheetData sheetId="3437">
        <row r="2">
          <cell r="A2" t="str">
            <v>실     명</v>
          </cell>
        </row>
      </sheetData>
      <sheetData sheetId="3438">
        <row r="2">
          <cell r="A2" t="str">
            <v>실     명</v>
          </cell>
        </row>
      </sheetData>
      <sheetData sheetId="3439">
        <row r="2">
          <cell r="A2" t="str">
            <v>실     명</v>
          </cell>
        </row>
      </sheetData>
      <sheetData sheetId="3440">
        <row r="2">
          <cell r="A2" t="str">
            <v>실     명</v>
          </cell>
        </row>
      </sheetData>
      <sheetData sheetId="3441">
        <row r="2">
          <cell r="A2" t="str">
            <v>실     명</v>
          </cell>
        </row>
      </sheetData>
      <sheetData sheetId="3442">
        <row r="2">
          <cell r="A2" t="str">
            <v>실     명</v>
          </cell>
        </row>
      </sheetData>
      <sheetData sheetId="3443">
        <row r="2">
          <cell r="A2" t="str">
            <v>실     명</v>
          </cell>
        </row>
      </sheetData>
      <sheetData sheetId="3444">
        <row r="2">
          <cell r="A2" t="str">
            <v>실     명</v>
          </cell>
        </row>
      </sheetData>
      <sheetData sheetId="3445">
        <row r="2">
          <cell r="A2" t="str">
            <v>실     명</v>
          </cell>
        </row>
      </sheetData>
      <sheetData sheetId="3446">
        <row r="2">
          <cell r="A2" t="str">
            <v>실     명</v>
          </cell>
        </row>
      </sheetData>
      <sheetData sheetId="3447">
        <row r="2">
          <cell r="A2" t="str">
            <v>실     명</v>
          </cell>
        </row>
      </sheetData>
      <sheetData sheetId="3448">
        <row r="2">
          <cell r="A2" t="str">
            <v>실     명</v>
          </cell>
        </row>
      </sheetData>
      <sheetData sheetId="3449">
        <row r="2">
          <cell r="A2" t="str">
            <v>실     명</v>
          </cell>
        </row>
      </sheetData>
      <sheetData sheetId="3450">
        <row r="2">
          <cell r="A2" t="str">
            <v>실     명</v>
          </cell>
        </row>
      </sheetData>
      <sheetData sheetId="3451">
        <row r="2">
          <cell r="A2" t="str">
            <v>실     명</v>
          </cell>
        </row>
      </sheetData>
      <sheetData sheetId="3452">
        <row r="2">
          <cell r="A2" t="str">
            <v>실     명</v>
          </cell>
        </row>
      </sheetData>
      <sheetData sheetId="3453">
        <row r="2">
          <cell r="A2" t="str">
            <v>실     명</v>
          </cell>
        </row>
      </sheetData>
      <sheetData sheetId="3454">
        <row r="2">
          <cell r="A2" t="str">
            <v>실     명</v>
          </cell>
        </row>
      </sheetData>
      <sheetData sheetId="3455">
        <row r="2">
          <cell r="A2" t="str">
            <v>실     명</v>
          </cell>
        </row>
      </sheetData>
      <sheetData sheetId="3456">
        <row r="2">
          <cell r="A2" t="str">
            <v>실     명</v>
          </cell>
        </row>
      </sheetData>
      <sheetData sheetId="3457">
        <row r="2">
          <cell r="A2" t="str">
            <v>실     명</v>
          </cell>
        </row>
      </sheetData>
      <sheetData sheetId="3458">
        <row r="2">
          <cell r="A2" t="str">
            <v>실     명</v>
          </cell>
        </row>
      </sheetData>
      <sheetData sheetId="3459">
        <row r="2">
          <cell r="A2" t="str">
            <v>실     명</v>
          </cell>
        </row>
      </sheetData>
      <sheetData sheetId="3460">
        <row r="2">
          <cell r="A2" t="str">
            <v>실     명</v>
          </cell>
        </row>
      </sheetData>
      <sheetData sheetId="3461">
        <row r="2">
          <cell r="A2" t="str">
            <v>실     명</v>
          </cell>
        </row>
      </sheetData>
      <sheetData sheetId="3462">
        <row r="2">
          <cell r="A2" t="str">
            <v>실     명</v>
          </cell>
        </row>
      </sheetData>
      <sheetData sheetId="3463">
        <row r="2">
          <cell r="A2" t="str">
            <v>실     명</v>
          </cell>
        </row>
      </sheetData>
      <sheetData sheetId="3464">
        <row r="2">
          <cell r="A2" t="str">
            <v>실     명</v>
          </cell>
        </row>
      </sheetData>
      <sheetData sheetId="3465">
        <row r="2">
          <cell r="A2" t="str">
            <v>실     명</v>
          </cell>
        </row>
      </sheetData>
      <sheetData sheetId="3466">
        <row r="2">
          <cell r="A2" t="str">
            <v>실     명</v>
          </cell>
        </row>
      </sheetData>
      <sheetData sheetId="3467">
        <row r="2">
          <cell r="A2" t="str">
            <v>실     명</v>
          </cell>
        </row>
      </sheetData>
      <sheetData sheetId="3468">
        <row r="2">
          <cell r="A2" t="str">
            <v>실     명</v>
          </cell>
        </row>
      </sheetData>
      <sheetData sheetId="3469">
        <row r="2">
          <cell r="A2" t="str">
            <v>실     명</v>
          </cell>
        </row>
      </sheetData>
      <sheetData sheetId="3470">
        <row r="2">
          <cell r="A2" t="str">
            <v>실     명</v>
          </cell>
        </row>
      </sheetData>
      <sheetData sheetId="3471">
        <row r="2">
          <cell r="A2" t="str">
            <v>실     명</v>
          </cell>
        </row>
      </sheetData>
      <sheetData sheetId="3472">
        <row r="2">
          <cell r="A2" t="str">
            <v>실     명</v>
          </cell>
        </row>
      </sheetData>
      <sheetData sheetId="3473">
        <row r="2">
          <cell r="A2" t="str">
            <v>실     명</v>
          </cell>
        </row>
      </sheetData>
      <sheetData sheetId="3474">
        <row r="2">
          <cell r="A2" t="str">
            <v>실     명</v>
          </cell>
        </row>
      </sheetData>
      <sheetData sheetId="3475">
        <row r="2">
          <cell r="A2" t="str">
            <v>실     명</v>
          </cell>
        </row>
      </sheetData>
      <sheetData sheetId="3476">
        <row r="2">
          <cell r="A2" t="str">
            <v>실     명</v>
          </cell>
        </row>
      </sheetData>
      <sheetData sheetId="3477">
        <row r="2">
          <cell r="A2" t="str">
            <v>실     명</v>
          </cell>
        </row>
      </sheetData>
      <sheetData sheetId="3478">
        <row r="2">
          <cell r="A2" t="str">
            <v>실     명</v>
          </cell>
        </row>
      </sheetData>
      <sheetData sheetId="3479">
        <row r="2">
          <cell r="A2" t="str">
            <v>실     명</v>
          </cell>
        </row>
      </sheetData>
      <sheetData sheetId="3480">
        <row r="2">
          <cell r="A2" t="str">
            <v>실     명</v>
          </cell>
        </row>
      </sheetData>
      <sheetData sheetId="3481">
        <row r="2">
          <cell r="A2" t="str">
            <v>실     명</v>
          </cell>
        </row>
      </sheetData>
      <sheetData sheetId="3482">
        <row r="2">
          <cell r="A2" t="str">
            <v>실     명</v>
          </cell>
        </row>
      </sheetData>
      <sheetData sheetId="3483">
        <row r="2">
          <cell r="A2" t="str">
            <v>실     명</v>
          </cell>
        </row>
      </sheetData>
      <sheetData sheetId="3484">
        <row r="2">
          <cell r="A2" t="str">
            <v>실     명</v>
          </cell>
        </row>
      </sheetData>
      <sheetData sheetId="3485">
        <row r="2">
          <cell r="A2" t="str">
            <v>실     명</v>
          </cell>
        </row>
      </sheetData>
      <sheetData sheetId="3486">
        <row r="2">
          <cell r="A2" t="str">
            <v>실     명</v>
          </cell>
        </row>
      </sheetData>
      <sheetData sheetId="3487">
        <row r="2">
          <cell r="A2" t="str">
            <v>실     명</v>
          </cell>
        </row>
      </sheetData>
      <sheetData sheetId="3488">
        <row r="2">
          <cell r="A2" t="str">
            <v>실     명</v>
          </cell>
        </row>
      </sheetData>
      <sheetData sheetId="3489">
        <row r="2">
          <cell r="A2" t="str">
            <v>실     명</v>
          </cell>
        </row>
      </sheetData>
      <sheetData sheetId="3490">
        <row r="2">
          <cell r="A2" t="str">
            <v>실     명</v>
          </cell>
        </row>
      </sheetData>
      <sheetData sheetId="3491">
        <row r="2">
          <cell r="A2" t="str">
            <v>실     명</v>
          </cell>
        </row>
      </sheetData>
      <sheetData sheetId="3492">
        <row r="2">
          <cell r="A2" t="str">
            <v>실     명</v>
          </cell>
        </row>
      </sheetData>
      <sheetData sheetId="3493">
        <row r="2">
          <cell r="A2" t="str">
            <v>실     명</v>
          </cell>
        </row>
      </sheetData>
      <sheetData sheetId="3494">
        <row r="2">
          <cell r="A2" t="str">
            <v>실     명</v>
          </cell>
        </row>
      </sheetData>
      <sheetData sheetId="3495">
        <row r="2">
          <cell r="A2" t="str">
            <v>실     명</v>
          </cell>
        </row>
      </sheetData>
      <sheetData sheetId="3496">
        <row r="2">
          <cell r="A2" t="str">
            <v>실     명</v>
          </cell>
        </row>
      </sheetData>
      <sheetData sheetId="3497">
        <row r="2">
          <cell r="A2" t="str">
            <v>실     명</v>
          </cell>
        </row>
      </sheetData>
      <sheetData sheetId="3498">
        <row r="2">
          <cell r="A2" t="str">
            <v>실     명</v>
          </cell>
        </row>
      </sheetData>
      <sheetData sheetId="3499">
        <row r="2">
          <cell r="A2" t="str">
            <v>실     명</v>
          </cell>
        </row>
      </sheetData>
      <sheetData sheetId="3500">
        <row r="2">
          <cell r="A2" t="str">
            <v>실     명</v>
          </cell>
        </row>
      </sheetData>
      <sheetData sheetId="3501">
        <row r="2">
          <cell r="A2" t="str">
            <v>실     명</v>
          </cell>
        </row>
      </sheetData>
      <sheetData sheetId="3502">
        <row r="2">
          <cell r="A2" t="str">
            <v>실     명</v>
          </cell>
        </row>
      </sheetData>
      <sheetData sheetId="3503">
        <row r="2">
          <cell r="A2" t="str">
            <v>실     명</v>
          </cell>
        </row>
      </sheetData>
      <sheetData sheetId="3504">
        <row r="2">
          <cell r="A2" t="str">
            <v>실     명</v>
          </cell>
        </row>
      </sheetData>
      <sheetData sheetId="3505">
        <row r="2">
          <cell r="A2" t="str">
            <v>실     명</v>
          </cell>
        </row>
      </sheetData>
      <sheetData sheetId="3506">
        <row r="2">
          <cell r="A2" t="str">
            <v>실     명</v>
          </cell>
        </row>
      </sheetData>
      <sheetData sheetId="3507">
        <row r="2">
          <cell r="A2" t="str">
            <v>실     명</v>
          </cell>
        </row>
      </sheetData>
      <sheetData sheetId="3508">
        <row r="2">
          <cell r="A2" t="str">
            <v>실     명</v>
          </cell>
        </row>
      </sheetData>
      <sheetData sheetId="3509">
        <row r="2">
          <cell r="A2" t="str">
            <v>실     명</v>
          </cell>
        </row>
      </sheetData>
      <sheetData sheetId="3510">
        <row r="2">
          <cell r="A2" t="str">
            <v>실     명</v>
          </cell>
        </row>
      </sheetData>
      <sheetData sheetId="3511">
        <row r="2">
          <cell r="A2" t="str">
            <v>실     명</v>
          </cell>
        </row>
      </sheetData>
      <sheetData sheetId="3512">
        <row r="2">
          <cell r="A2" t="str">
            <v>실     명</v>
          </cell>
        </row>
      </sheetData>
      <sheetData sheetId="3513">
        <row r="2">
          <cell r="A2" t="str">
            <v>실     명</v>
          </cell>
        </row>
      </sheetData>
      <sheetData sheetId="3514">
        <row r="2">
          <cell r="A2" t="str">
            <v>실     명</v>
          </cell>
        </row>
      </sheetData>
      <sheetData sheetId="3515">
        <row r="2">
          <cell r="A2" t="str">
            <v>실     명</v>
          </cell>
        </row>
      </sheetData>
      <sheetData sheetId="3516">
        <row r="2">
          <cell r="A2" t="str">
            <v>실     명</v>
          </cell>
        </row>
      </sheetData>
      <sheetData sheetId="3517">
        <row r="2">
          <cell r="A2" t="str">
            <v>실     명</v>
          </cell>
        </row>
      </sheetData>
      <sheetData sheetId="3518">
        <row r="2">
          <cell r="A2" t="str">
            <v>실     명</v>
          </cell>
        </row>
      </sheetData>
      <sheetData sheetId="3519">
        <row r="2">
          <cell r="A2" t="str">
            <v>실     명</v>
          </cell>
        </row>
      </sheetData>
      <sheetData sheetId="3520">
        <row r="2">
          <cell r="A2" t="str">
            <v>실     명</v>
          </cell>
        </row>
      </sheetData>
      <sheetData sheetId="3521">
        <row r="2">
          <cell r="A2" t="str">
            <v>실     명</v>
          </cell>
        </row>
      </sheetData>
      <sheetData sheetId="3522">
        <row r="2">
          <cell r="A2" t="str">
            <v>실     명</v>
          </cell>
        </row>
      </sheetData>
      <sheetData sheetId="3523">
        <row r="2">
          <cell r="A2" t="str">
            <v>실     명</v>
          </cell>
        </row>
      </sheetData>
      <sheetData sheetId="3524">
        <row r="2">
          <cell r="A2" t="str">
            <v>실     명</v>
          </cell>
        </row>
      </sheetData>
      <sheetData sheetId="3525">
        <row r="2">
          <cell r="A2" t="str">
            <v>실     명</v>
          </cell>
        </row>
      </sheetData>
      <sheetData sheetId="3526">
        <row r="2">
          <cell r="A2" t="str">
            <v>실     명</v>
          </cell>
        </row>
      </sheetData>
      <sheetData sheetId="3527">
        <row r="2">
          <cell r="A2" t="str">
            <v>실     명</v>
          </cell>
        </row>
      </sheetData>
      <sheetData sheetId="3528">
        <row r="2">
          <cell r="A2" t="str">
            <v>실     명</v>
          </cell>
        </row>
      </sheetData>
      <sheetData sheetId="3529">
        <row r="2">
          <cell r="A2" t="str">
            <v>실     명</v>
          </cell>
        </row>
      </sheetData>
      <sheetData sheetId="3530">
        <row r="2">
          <cell r="A2" t="str">
            <v>실     명</v>
          </cell>
        </row>
      </sheetData>
      <sheetData sheetId="3531">
        <row r="2">
          <cell r="A2" t="str">
            <v>실     명</v>
          </cell>
        </row>
      </sheetData>
      <sheetData sheetId="3532">
        <row r="2">
          <cell r="A2" t="str">
            <v>실     명</v>
          </cell>
        </row>
      </sheetData>
      <sheetData sheetId="3533">
        <row r="2">
          <cell r="A2" t="str">
            <v>실     명</v>
          </cell>
        </row>
      </sheetData>
      <sheetData sheetId="3534">
        <row r="2">
          <cell r="A2" t="str">
            <v>실     명</v>
          </cell>
        </row>
      </sheetData>
      <sheetData sheetId="3535">
        <row r="2">
          <cell r="A2" t="str">
            <v>실     명</v>
          </cell>
        </row>
      </sheetData>
      <sheetData sheetId="3536">
        <row r="2">
          <cell r="A2" t="str">
            <v>실     명</v>
          </cell>
        </row>
      </sheetData>
      <sheetData sheetId="3537">
        <row r="2">
          <cell r="A2" t="str">
            <v>실     명</v>
          </cell>
        </row>
      </sheetData>
      <sheetData sheetId="3538">
        <row r="2">
          <cell r="A2" t="str">
            <v>실     명</v>
          </cell>
        </row>
      </sheetData>
      <sheetData sheetId="3539">
        <row r="2">
          <cell r="A2" t="str">
            <v>실     명</v>
          </cell>
        </row>
      </sheetData>
      <sheetData sheetId="3540">
        <row r="2">
          <cell r="A2" t="str">
            <v>실     명</v>
          </cell>
        </row>
      </sheetData>
      <sheetData sheetId="3541">
        <row r="2">
          <cell r="A2" t="str">
            <v>실     명</v>
          </cell>
        </row>
      </sheetData>
      <sheetData sheetId="3542">
        <row r="2">
          <cell r="A2" t="str">
            <v>실     명</v>
          </cell>
        </row>
      </sheetData>
      <sheetData sheetId="3543">
        <row r="2">
          <cell r="A2" t="str">
            <v>실     명</v>
          </cell>
        </row>
      </sheetData>
      <sheetData sheetId="3544">
        <row r="2">
          <cell r="A2" t="str">
            <v>실     명</v>
          </cell>
        </row>
      </sheetData>
      <sheetData sheetId="3545">
        <row r="2">
          <cell r="A2" t="str">
            <v>실     명</v>
          </cell>
        </row>
      </sheetData>
      <sheetData sheetId="3546">
        <row r="2">
          <cell r="A2" t="str">
            <v>실     명</v>
          </cell>
        </row>
      </sheetData>
      <sheetData sheetId="3547">
        <row r="2">
          <cell r="A2" t="str">
            <v>실     명</v>
          </cell>
        </row>
      </sheetData>
      <sheetData sheetId="3548">
        <row r="2">
          <cell r="A2" t="str">
            <v>실     명</v>
          </cell>
        </row>
      </sheetData>
      <sheetData sheetId="3549">
        <row r="2">
          <cell r="A2" t="str">
            <v>실     명</v>
          </cell>
        </row>
      </sheetData>
      <sheetData sheetId="3550">
        <row r="2">
          <cell r="A2" t="str">
            <v>실     명</v>
          </cell>
        </row>
      </sheetData>
      <sheetData sheetId="3551">
        <row r="2">
          <cell r="A2" t="str">
            <v>실     명</v>
          </cell>
        </row>
      </sheetData>
      <sheetData sheetId="3552">
        <row r="2">
          <cell r="A2" t="str">
            <v>실     명</v>
          </cell>
        </row>
      </sheetData>
      <sheetData sheetId="3553">
        <row r="2">
          <cell r="A2" t="str">
            <v>실     명</v>
          </cell>
        </row>
      </sheetData>
      <sheetData sheetId="3554">
        <row r="2">
          <cell r="A2" t="str">
            <v>실     명</v>
          </cell>
        </row>
      </sheetData>
      <sheetData sheetId="3555">
        <row r="2">
          <cell r="A2" t="str">
            <v>실     명</v>
          </cell>
        </row>
      </sheetData>
      <sheetData sheetId="3556">
        <row r="2">
          <cell r="A2" t="str">
            <v>실     명</v>
          </cell>
        </row>
      </sheetData>
      <sheetData sheetId="3557">
        <row r="2">
          <cell r="A2" t="str">
            <v>실     명</v>
          </cell>
        </row>
      </sheetData>
      <sheetData sheetId="3558">
        <row r="2">
          <cell r="A2" t="str">
            <v>실     명</v>
          </cell>
        </row>
      </sheetData>
      <sheetData sheetId="3559">
        <row r="2">
          <cell r="A2" t="str">
            <v>실     명</v>
          </cell>
        </row>
      </sheetData>
      <sheetData sheetId="3560">
        <row r="2">
          <cell r="A2" t="str">
            <v>실     명</v>
          </cell>
        </row>
      </sheetData>
      <sheetData sheetId="3561">
        <row r="2">
          <cell r="A2" t="str">
            <v>실     명</v>
          </cell>
        </row>
      </sheetData>
      <sheetData sheetId="3562">
        <row r="2">
          <cell r="A2" t="str">
            <v>실     명</v>
          </cell>
        </row>
      </sheetData>
      <sheetData sheetId="3563">
        <row r="2">
          <cell r="A2" t="str">
            <v>실     명</v>
          </cell>
        </row>
      </sheetData>
      <sheetData sheetId="3564">
        <row r="2">
          <cell r="A2" t="str">
            <v>실     명</v>
          </cell>
        </row>
      </sheetData>
      <sheetData sheetId="3565">
        <row r="2">
          <cell r="A2" t="str">
            <v>실     명</v>
          </cell>
        </row>
      </sheetData>
      <sheetData sheetId="3566">
        <row r="2">
          <cell r="A2" t="str">
            <v>실     명</v>
          </cell>
        </row>
      </sheetData>
      <sheetData sheetId="3567">
        <row r="2">
          <cell r="A2" t="str">
            <v>실     명</v>
          </cell>
        </row>
      </sheetData>
      <sheetData sheetId="3568">
        <row r="2">
          <cell r="A2" t="str">
            <v>실     명</v>
          </cell>
        </row>
      </sheetData>
      <sheetData sheetId="3569">
        <row r="2">
          <cell r="A2" t="str">
            <v>실     명</v>
          </cell>
        </row>
      </sheetData>
      <sheetData sheetId="3570">
        <row r="2">
          <cell r="A2" t="str">
            <v>실     명</v>
          </cell>
        </row>
      </sheetData>
      <sheetData sheetId="3571">
        <row r="2">
          <cell r="A2" t="str">
            <v>실     명</v>
          </cell>
        </row>
      </sheetData>
      <sheetData sheetId="3572">
        <row r="2">
          <cell r="A2" t="str">
            <v>실     명</v>
          </cell>
        </row>
      </sheetData>
      <sheetData sheetId="3573">
        <row r="2">
          <cell r="A2" t="str">
            <v>실     명</v>
          </cell>
        </row>
      </sheetData>
      <sheetData sheetId="3574">
        <row r="2">
          <cell r="A2" t="str">
            <v>실     명</v>
          </cell>
        </row>
      </sheetData>
      <sheetData sheetId="3575">
        <row r="2">
          <cell r="A2" t="str">
            <v>실     명</v>
          </cell>
        </row>
      </sheetData>
      <sheetData sheetId="3576">
        <row r="2">
          <cell r="A2" t="str">
            <v>실     명</v>
          </cell>
        </row>
      </sheetData>
      <sheetData sheetId="3577">
        <row r="2">
          <cell r="A2" t="str">
            <v>실     명</v>
          </cell>
        </row>
      </sheetData>
      <sheetData sheetId="3578">
        <row r="2">
          <cell r="A2" t="str">
            <v>실     명</v>
          </cell>
        </row>
      </sheetData>
      <sheetData sheetId="3579">
        <row r="2">
          <cell r="A2" t="str">
            <v>실     명</v>
          </cell>
        </row>
      </sheetData>
      <sheetData sheetId="3580">
        <row r="2">
          <cell r="A2" t="str">
            <v>실     명</v>
          </cell>
        </row>
      </sheetData>
      <sheetData sheetId="3581">
        <row r="2">
          <cell r="A2" t="str">
            <v>실     명</v>
          </cell>
        </row>
      </sheetData>
      <sheetData sheetId="3582">
        <row r="2">
          <cell r="A2" t="str">
            <v>실     명</v>
          </cell>
        </row>
      </sheetData>
      <sheetData sheetId="3583">
        <row r="2">
          <cell r="A2" t="str">
            <v>실     명</v>
          </cell>
        </row>
      </sheetData>
      <sheetData sheetId="3584">
        <row r="2">
          <cell r="A2" t="str">
            <v>실     명</v>
          </cell>
        </row>
      </sheetData>
      <sheetData sheetId="3585">
        <row r="2">
          <cell r="A2" t="str">
            <v>실     명</v>
          </cell>
        </row>
      </sheetData>
      <sheetData sheetId="3586">
        <row r="2">
          <cell r="A2" t="str">
            <v>실     명</v>
          </cell>
        </row>
      </sheetData>
      <sheetData sheetId="3587">
        <row r="2">
          <cell r="A2" t="str">
            <v>실     명</v>
          </cell>
        </row>
      </sheetData>
      <sheetData sheetId="3588">
        <row r="2">
          <cell r="A2" t="str">
            <v>실     명</v>
          </cell>
        </row>
      </sheetData>
      <sheetData sheetId="3589">
        <row r="2">
          <cell r="A2" t="str">
            <v>실     명</v>
          </cell>
        </row>
      </sheetData>
      <sheetData sheetId="3590">
        <row r="2">
          <cell r="A2" t="str">
            <v>실     명</v>
          </cell>
        </row>
      </sheetData>
      <sheetData sheetId="3591">
        <row r="2">
          <cell r="A2" t="str">
            <v>실     명</v>
          </cell>
        </row>
      </sheetData>
      <sheetData sheetId="3592">
        <row r="2">
          <cell r="A2" t="str">
            <v>실     명</v>
          </cell>
        </row>
      </sheetData>
      <sheetData sheetId="3593">
        <row r="2">
          <cell r="A2" t="str">
            <v>실     명</v>
          </cell>
        </row>
      </sheetData>
      <sheetData sheetId="3594">
        <row r="2">
          <cell r="A2" t="str">
            <v>실     명</v>
          </cell>
        </row>
      </sheetData>
      <sheetData sheetId="3595">
        <row r="2">
          <cell r="A2" t="str">
            <v>실     명</v>
          </cell>
        </row>
      </sheetData>
      <sheetData sheetId="3596">
        <row r="2">
          <cell r="A2" t="str">
            <v>실     명</v>
          </cell>
        </row>
      </sheetData>
      <sheetData sheetId="3597">
        <row r="2">
          <cell r="A2" t="str">
            <v>실     명</v>
          </cell>
        </row>
      </sheetData>
      <sheetData sheetId="3598">
        <row r="2">
          <cell r="A2" t="str">
            <v>실     명</v>
          </cell>
        </row>
      </sheetData>
      <sheetData sheetId="3599">
        <row r="2">
          <cell r="A2" t="str">
            <v>실     명</v>
          </cell>
        </row>
      </sheetData>
      <sheetData sheetId="3600">
        <row r="2">
          <cell r="A2" t="str">
            <v>실     명</v>
          </cell>
        </row>
      </sheetData>
      <sheetData sheetId="3601">
        <row r="2">
          <cell r="A2" t="str">
            <v>실     명</v>
          </cell>
        </row>
      </sheetData>
      <sheetData sheetId="3602">
        <row r="2">
          <cell r="A2" t="str">
            <v>실     명</v>
          </cell>
        </row>
      </sheetData>
      <sheetData sheetId="3603">
        <row r="2">
          <cell r="A2" t="str">
            <v>실     명</v>
          </cell>
        </row>
      </sheetData>
      <sheetData sheetId="3604">
        <row r="2">
          <cell r="A2" t="str">
            <v>실     명</v>
          </cell>
        </row>
      </sheetData>
      <sheetData sheetId="3605">
        <row r="2">
          <cell r="A2" t="str">
            <v>실     명</v>
          </cell>
        </row>
      </sheetData>
      <sheetData sheetId="3606">
        <row r="2">
          <cell r="A2" t="str">
            <v>실     명</v>
          </cell>
        </row>
      </sheetData>
      <sheetData sheetId="3607">
        <row r="2">
          <cell r="A2" t="str">
            <v>실     명</v>
          </cell>
        </row>
      </sheetData>
      <sheetData sheetId="3608">
        <row r="2">
          <cell r="A2" t="str">
            <v>실     명</v>
          </cell>
        </row>
      </sheetData>
      <sheetData sheetId="3609">
        <row r="2">
          <cell r="A2" t="str">
            <v>실     명</v>
          </cell>
        </row>
      </sheetData>
      <sheetData sheetId="3610">
        <row r="2">
          <cell r="A2" t="str">
            <v>실     명</v>
          </cell>
        </row>
      </sheetData>
      <sheetData sheetId="3611">
        <row r="2">
          <cell r="A2" t="str">
            <v>실     명</v>
          </cell>
        </row>
      </sheetData>
      <sheetData sheetId="3612">
        <row r="2">
          <cell r="A2" t="str">
            <v>실     명</v>
          </cell>
        </row>
      </sheetData>
      <sheetData sheetId="3613">
        <row r="2">
          <cell r="A2" t="str">
            <v>실     명</v>
          </cell>
        </row>
      </sheetData>
      <sheetData sheetId="3614">
        <row r="2">
          <cell r="A2" t="str">
            <v>실     명</v>
          </cell>
        </row>
      </sheetData>
      <sheetData sheetId="3615">
        <row r="2">
          <cell r="A2" t="str">
            <v>실     명</v>
          </cell>
        </row>
      </sheetData>
      <sheetData sheetId="3616">
        <row r="2">
          <cell r="A2" t="str">
            <v>실     명</v>
          </cell>
        </row>
      </sheetData>
      <sheetData sheetId="3617">
        <row r="2">
          <cell r="A2" t="str">
            <v>실     명</v>
          </cell>
        </row>
      </sheetData>
      <sheetData sheetId="3618">
        <row r="2">
          <cell r="A2" t="str">
            <v>실     명</v>
          </cell>
        </row>
      </sheetData>
      <sheetData sheetId="3619">
        <row r="2">
          <cell r="A2" t="str">
            <v>실     명</v>
          </cell>
        </row>
      </sheetData>
      <sheetData sheetId="3620">
        <row r="2">
          <cell r="A2" t="str">
            <v>실     명</v>
          </cell>
        </row>
      </sheetData>
      <sheetData sheetId="3621">
        <row r="2">
          <cell r="A2" t="str">
            <v>실     명</v>
          </cell>
        </row>
      </sheetData>
      <sheetData sheetId="3622">
        <row r="2">
          <cell r="A2" t="str">
            <v>실     명</v>
          </cell>
        </row>
      </sheetData>
      <sheetData sheetId="3623">
        <row r="2">
          <cell r="A2" t="str">
            <v>실     명</v>
          </cell>
        </row>
      </sheetData>
      <sheetData sheetId="3624">
        <row r="2">
          <cell r="A2" t="str">
            <v>실     명</v>
          </cell>
        </row>
      </sheetData>
      <sheetData sheetId="3625">
        <row r="2">
          <cell r="A2" t="str">
            <v>실     명</v>
          </cell>
        </row>
      </sheetData>
      <sheetData sheetId="3626">
        <row r="2">
          <cell r="A2" t="str">
            <v>실     명</v>
          </cell>
        </row>
      </sheetData>
      <sheetData sheetId="3627">
        <row r="2">
          <cell r="A2" t="str">
            <v>실     명</v>
          </cell>
        </row>
      </sheetData>
      <sheetData sheetId="3628">
        <row r="2">
          <cell r="A2" t="str">
            <v>실     명</v>
          </cell>
        </row>
      </sheetData>
      <sheetData sheetId="3629">
        <row r="2">
          <cell r="A2" t="str">
            <v>실     명</v>
          </cell>
        </row>
      </sheetData>
      <sheetData sheetId="3630">
        <row r="2">
          <cell r="A2" t="str">
            <v>실     명</v>
          </cell>
        </row>
      </sheetData>
      <sheetData sheetId="3631">
        <row r="2">
          <cell r="A2" t="str">
            <v>실     명</v>
          </cell>
        </row>
      </sheetData>
      <sheetData sheetId="3632">
        <row r="2">
          <cell r="A2" t="str">
            <v>실     명</v>
          </cell>
        </row>
      </sheetData>
      <sheetData sheetId="3633">
        <row r="2">
          <cell r="A2" t="str">
            <v>실     명</v>
          </cell>
        </row>
      </sheetData>
      <sheetData sheetId="3634">
        <row r="2">
          <cell r="A2" t="str">
            <v>실     명</v>
          </cell>
        </row>
      </sheetData>
      <sheetData sheetId="3635">
        <row r="2">
          <cell r="A2" t="str">
            <v>실     명</v>
          </cell>
        </row>
      </sheetData>
      <sheetData sheetId="3636">
        <row r="2">
          <cell r="A2" t="str">
            <v>실     명</v>
          </cell>
        </row>
      </sheetData>
      <sheetData sheetId="3637">
        <row r="2">
          <cell r="A2" t="str">
            <v>실     명</v>
          </cell>
        </row>
      </sheetData>
      <sheetData sheetId="3638">
        <row r="2">
          <cell r="A2" t="str">
            <v>실     명</v>
          </cell>
        </row>
      </sheetData>
      <sheetData sheetId="3639">
        <row r="2">
          <cell r="A2" t="str">
            <v>실     명</v>
          </cell>
        </row>
      </sheetData>
      <sheetData sheetId="3640">
        <row r="2">
          <cell r="A2" t="str">
            <v>실     명</v>
          </cell>
        </row>
      </sheetData>
      <sheetData sheetId="3641">
        <row r="2">
          <cell r="A2" t="str">
            <v>실     명</v>
          </cell>
        </row>
      </sheetData>
      <sheetData sheetId="3642" refreshError="1"/>
      <sheetData sheetId="3643" refreshError="1"/>
      <sheetData sheetId="3644" refreshError="1"/>
      <sheetData sheetId="3645" refreshError="1"/>
      <sheetData sheetId="3646" refreshError="1"/>
      <sheetData sheetId="3647" refreshError="1"/>
      <sheetData sheetId="3648" refreshError="1"/>
      <sheetData sheetId="3649" refreshError="1"/>
      <sheetData sheetId="3650" refreshError="1"/>
      <sheetData sheetId="3651" refreshError="1"/>
      <sheetData sheetId="3652" refreshError="1"/>
      <sheetData sheetId="3653" refreshError="1"/>
      <sheetData sheetId="3654" refreshError="1"/>
      <sheetData sheetId="3655" refreshError="1"/>
      <sheetData sheetId="3656" refreshError="1"/>
      <sheetData sheetId="3657" refreshError="1"/>
      <sheetData sheetId="3658" refreshError="1"/>
      <sheetData sheetId="3659" refreshError="1"/>
      <sheetData sheetId="3660" refreshError="1"/>
      <sheetData sheetId="3661" refreshError="1"/>
      <sheetData sheetId="3662" refreshError="1"/>
      <sheetData sheetId="3663" refreshError="1"/>
      <sheetData sheetId="3664" refreshError="1"/>
      <sheetData sheetId="3665" refreshError="1"/>
      <sheetData sheetId="3666" refreshError="1"/>
      <sheetData sheetId="3667" refreshError="1"/>
      <sheetData sheetId="3668">
        <row r="2">
          <cell r="A2" t="str">
            <v>실     명</v>
          </cell>
        </row>
      </sheetData>
      <sheetData sheetId="3669" refreshError="1"/>
      <sheetData sheetId="3670" refreshError="1"/>
      <sheetData sheetId="3671" refreshError="1"/>
      <sheetData sheetId="3672" refreshError="1"/>
      <sheetData sheetId="3673" refreshError="1"/>
      <sheetData sheetId="3674" refreshError="1"/>
      <sheetData sheetId="3675">
        <row r="2">
          <cell r="A2" t="str">
            <v>실     명</v>
          </cell>
        </row>
      </sheetData>
      <sheetData sheetId="3676" refreshError="1"/>
      <sheetData sheetId="3677" refreshError="1"/>
      <sheetData sheetId="3678" refreshError="1"/>
      <sheetData sheetId="3679" refreshError="1"/>
      <sheetData sheetId="3680" refreshError="1"/>
      <sheetData sheetId="3681" refreshError="1"/>
      <sheetData sheetId="3682" refreshError="1"/>
      <sheetData sheetId="3683" refreshError="1"/>
      <sheetData sheetId="3684" refreshError="1"/>
      <sheetData sheetId="3685" refreshError="1"/>
      <sheetData sheetId="3686" refreshError="1"/>
      <sheetData sheetId="3687" refreshError="1"/>
      <sheetData sheetId="3688" refreshError="1"/>
      <sheetData sheetId="3689" refreshError="1"/>
      <sheetData sheetId="3690" refreshError="1"/>
      <sheetData sheetId="3691" refreshError="1"/>
      <sheetData sheetId="3692" refreshError="1"/>
      <sheetData sheetId="3693" refreshError="1"/>
      <sheetData sheetId="3694" refreshError="1"/>
      <sheetData sheetId="3695" refreshError="1"/>
      <sheetData sheetId="3696" refreshError="1"/>
      <sheetData sheetId="3697" refreshError="1"/>
      <sheetData sheetId="3698" refreshError="1"/>
      <sheetData sheetId="3699" refreshError="1"/>
      <sheetData sheetId="3700" refreshError="1"/>
      <sheetData sheetId="3701" refreshError="1"/>
      <sheetData sheetId="3702" refreshError="1"/>
      <sheetData sheetId="3703" refreshError="1"/>
      <sheetData sheetId="3704" refreshError="1"/>
      <sheetData sheetId="3705" refreshError="1"/>
      <sheetData sheetId="3706" refreshError="1"/>
      <sheetData sheetId="3707" refreshError="1"/>
      <sheetData sheetId="3708" refreshError="1"/>
      <sheetData sheetId="3709" refreshError="1"/>
      <sheetData sheetId="3710" refreshError="1"/>
      <sheetData sheetId="3711" refreshError="1"/>
      <sheetData sheetId="3712" refreshError="1"/>
      <sheetData sheetId="3713" refreshError="1"/>
      <sheetData sheetId="3714" refreshError="1"/>
      <sheetData sheetId="3715" refreshError="1"/>
      <sheetData sheetId="3716" refreshError="1"/>
      <sheetData sheetId="3717" refreshError="1"/>
      <sheetData sheetId="3718" refreshError="1"/>
      <sheetData sheetId="3719" refreshError="1"/>
      <sheetData sheetId="3720" refreshError="1"/>
      <sheetData sheetId="3721" refreshError="1"/>
      <sheetData sheetId="3722" refreshError="1"/>
      <sheetData sheetId="3723" refreshError="1"/>
      <sheetData sheetId="3724" refreshError="1"/>
      <sheetData sheetId="3725" refreshError="1"/>
      <sheetData sheetId="3726" refreshError="1"/>
      <sheetData sheetId="3727" refreshError="1"/>
      <sheetData sheetId="3728" refreshError="1"/>
      <sheetData sheetId="3729" refreshError="1"/>
      <sheetData sheetId="3730" refreshError="1"/>
      <sheetData sheetId="3731">
        <row r="2">
          <cell r="A2" t="str">
            <v>실     명</v>
          </cell>
        </row>
      </sheetData>
      <sheetData sheetId="3732" refreshError="1"/>
      <sheetData sheetId="3733" refreshError="1"/>
      <sheetData sheetId="3734" refreshError="1"/>
      <sheetData sheetId="3735" refreshError="1"/>
      <sheetData sheetId="3736" refreshError="1"/>
      <sheetData sheetId="3737" refreshError="1"/>
      <sheetData sheetId="3738" refreshError="1"/>
      <sheetData sheetId="3739" refreshError="1"/>
      <sheetData sheetId="3740" refreshError="1"/>
      <sheetData sheetId="3741" refreshError="1"/>
      <sheetData sheetId="3742" refreshError="1"/>
      <sheetData sheetId="3743" refreshError="1"/>
      <sheetData sheetId="3744" refreshError="1"/>
      <sheetData sheetId="3745" refreshError="1"/>
      <sheetData sheetId="3746" refreshError="1"/>
      <sheetData sheetId="3747" refreshError="1"/>
      <sheetData sheetId="3748" refreshError="1"/>
      <sheetData sheetId="3749" refreshError="1"/>
      <sheetData sheetId="3750">
        <row r="2">
          <cell r="A2" t="str">
            <v>실     명</v>
          </cell>
        </row>
      </sheetData>
      <sheetData sheetId="3751">
        <row r="2">
          <cell r="A2" t="str">
            <v>실     명</v>
          </cell>
        </row>
      </sheetData>
      <sheetData sheetId="3752" refreshError="1"/>
      <sheetData sheetId="3753" refreshError="1"/>
      <sheetData sheetId="3754" refreshError="1"/>
      <sheetData sheetId="3755" refreshError="1"/>
      <sheetData sheetId="3756" refreshError="1"/>
      <sheetData sheetId="3757" refreshError="1"/>
      <sheetData sheetId="3758" refreshError="1"/>
      <sheetData sheetId="3759" refreshError="1"/>
      <sheetData sheetId="3760" refreshError="1"/>
      <sheetData sheetId="3761" refreshError="1"/>
      <sheetData sheetId="3762" refreshError="1"/>
      <sheetData sheetId="3763" refreshError="1"/>
      <sheetData sheetId="3764" refreshError="1"/>
      <sheetData sheetId="3765" refreshError="1"/>
      <sheetData sheetId="3766" refreshError="1"/>
      <sheetData sheetId="3767" refreshError="1"/>
      <sheetData sheetId="3768" refreshError="1"/>
      <sheetData sheetId="3769" refreshError="1"/>
      <sheetData sheetId="3770" refreshError="1"/>
      <sheetData sheetId="3771" refreshError="1"/>
      <sheetData sheetId="3772" refreshError="1"/>
      <sheetData sheetId="3773" refreshError="1"/>
      <sheetData sheetId="3774" refreshError="1"/>
      <sheetData sheetId="3775" refreshError="1"/>
      <sheetData sheetId="3776" refreshError="1"/>
      <sheetData sheetId="3777" refreshError="1"/>
      <sheetData sheetId="3778" refreshError="1"/>
      <sheetData sheetId="3779" refreshError="1"/>
      <sheetData sheetId="3780" refreshError="1"/>
      <sheetData sheetId="3781">
        <row r="2">
          <cell r="A2" t="str">
            <v>실     명</v>
          </cell>
        </row>
      </sheetData>
      <sheetData sheetId="3782" refreshError="1"/>
      <sheetData sheetId="3783" refreshError="1"/>
      <sheetData sheetId="3784" refreshError="1"/>
      <sheetData sheetId="3785" refreshError="1"/>
      <sheetData sheetId="3786" refreshError="1"/>
      <sheetData sheetId="3787" refreshError="1"/>
      <sheetData sheetId="3788" refreshError="1"/>
      <sheetData sheetId="3789" refreshError="1"/>
      <sheetData sheetId="3790" refreshError="1"/>
      <sheetData sheetId="3791" refreshError="1"/>
      <sheetData sheetId="3792" refreshError="1"/>
      <sheetData sheetId="3793" refreshError="1"/>
      <sheetData sheetId="3794">
        <row r="2">
          <cell r="A2" t="str">
            <v>실     명</v>
          </cell>
        </row>
      </sheetData>
      <sheetData sheetId="3795">
        <row r="2">
          <cell r="A2" t="str">
            <v>실     명</v>
          </cell>
        </row>
      </sheetData>
      <sheetData sheetId="3796">
        <row r="2">
          <cell r="A2" t="str">
            <v>실     명</v>
          </cell>
        </row>
      </sheetData>
      <sheetData sheetId="3797">
        <row r="2">
          <cell r="A2" t="str">
            <v>실     명</v>
          </cell>
        </row>
      </sheetData>
      <sheetData sheetId="3798">
        <row r="2">
          <cell r="A2" t="str">
            <v>실     명</v>
          </cell>
        </row>
      </sheetData>
      <sheetData sheetId="3799" refreshError="1"/>
      <sheetData sheetId="3800">
        <row r="2">
          <cell r="A2" t="str">
            <v>실     명</v>
          </cell>
        </row>
      </sheetData>
      <sheetData sheetId="3801">
        <row r="2">
          <cell r="A2" t="str">
            <v>실     명</v>
          </cell>
        </row>
      </sheetData>
      <sheetData sheetId="3802">
        <row r="2">
          <cell r="A2" t="str">
            <v>실     명</v>
          </cell>
        </row>
      </sheetData>
      <sheetData sheetId="3803">
        <row r="2">
          <cell r="A2" t="str">
            <v>실     명</v>
          </cell>
        </row>
      </sheetData>
      <sheetData sheetId="3804" refreshError="1"/>
      <sheetData sheetId="3805" refreshError="1"/>
      <sheetData sheetId="3806" refreshError="1"/>
      <sheetData sheetId="3807" refreshError="1"/>
      <sheetData sheetId="3808" refreshError="1"/>
      <sheetData sheetId="3809" refreshError="1"/>
      <sheetData sheetId="3810" refreshError="1"/>
      <sheetData sheetId="3811" refreshError="1"/>
      <sheetData sheetId="3812" refreshError="1"/>
      <sheetData sheetId="3813" refreshError="1"/>
      <sheetData sheetId="3814" refreshError="1"/>
      <sheetData sheetId="3815">
        <row r="2">
          <cell r="A2" t="str">
            <v>실     명</v>
          </cell>
        </row>
      </sheetData>
      <sheetData sheetId="3816" refreshError="1"/>
      <sheetData sheetId="3817" refreshError="1"/>
      <sheetData sheetId="3818" refreshError="1"/>
      <sheetData sheetId="3819" refreshError="1"/>
      <sheetData sheetId="3820" refreshError="1"/>
      <sheetData sheetId="3821" refreshError="1"/>
      <sheetData sheetId="3822" refreshError="1"/>
      <sheetData sheetId="3823" refreshError="1"/>
      <sheetData sheetId="3824" refreshError="1"/>
      <sheetData sheetId="3825" refreshError="1"/>
      <sheetData sheetId="3826" refreshError="1"/>
      <sheetData sheetId="3827" refreshError="1"/>
      <sheetData sheetId="3828" refreshError="1"/>
      <sheetData sheetId="3829" refreshError="1"/>
      <sheetData sheetId="3830" refreshError="1"/>
      <sheetData sheetId="3831" refreshError="1"/>
      <sheetData sheetId="3832" refreshError="1"/>
      <sheetData sheetId="3833" refreshError="1"/>
      <sheetData sheetId="3834" refreshError="1"/>
      <sheetData sheetId="3835" refreshError="1"/>
      <sheetData sheetId="3836" refreshError="1"/>
      <sheetData sheetId="3837" refreshError="1"/>
      <sheetData sheetId="3838" refreshError="1"/>
      <sheetData sheetId="3839" refreshError="1"/>
      <sheetData sheetId="3840" refreshError="1"/>
      <sheetData sheetId="3841" refreshError="1"/>
      <sheetData sheetId="3842" refreshError="1"/>
      <sheetData sheetId="3843" refreshError="1"/>
      <sheetData sheetId="3844" refreshError="1"/>
      <sheetData sheetId="3845" refreshError="1"/>
      <sheetData sheetId="3846" refreshError="1"/>
      <sheetData sheetId="3847" refreshError="1"/>
      <sheetData sheetId="3848" refreshError="1"/>
      <sheetData sheetId="3849" refreshError="1"/>
      <sheetData sheetId="3850" refreshError="1"/>
      <sheetData sheetId="3851" refreshError="1"/>
      <sheetData sheetId="3852" refreshError="1"/>
      <sheetData sheetId="3853" refreshError="1"/>
      <sheetData sheetId="3854" refreshError="1"/>
      <sheetData sheetId="3855" refreshError="1"/>
      <sheetData sheetId="3856" refreshError="1"/>
      <sheetData sheetId="3857" refreshError="1"/>
      <sheetData sheetId="3858" refreshError="1"/>
      <sheetData sheetId="3859" refreshError="1"/>
      <sheetData sheetId="3860" refreshError="1"/>
      <sheetData sheetId="3861" refreshError="1"/>
      <sheetData sheetId="3862" refreshError="1"/>
      <sheetData sheetId="3863" refreshError="1"/>
      <sheetData sheetId="3864" refreshError="1"/>
      <sheetData sheetId="3865" refreshError="1"/>
      <sheetData sheetId="3866">
        <row r="2">
          <cell r="A2" t="str">
            <v>실     명</v>
          </cell>
        </row>
      </sheetData>
      <sheetData sheetId="3867">
        <row r="2">
          <cell r="A2" t="str">
            <v>실     명</v>
          </cell>
        </row>
      </sheetData>
      <sheetData sheetId="3868">
        <row r="2">
          <cell r="A2" t="str">
            <v>실     명</v>
          </cell>
        </row>
      </sheetData>
      <sheetData sheetId="3869">
        <row r="2">
          <cell r="A2" t="str">
            <v>실     명</v>
          </cell>
        </row>
      </sheetData>
      <sheetData sheetId="3870">
        <row r="2">
          <cell r="A2" t="str">
            <v>실     명</v>
          </cell>
        </row>
      </sheetData>
      <sheetData sheetId="3871">
        <row r="2">
          <cell r="A2" t="str">
            <v>실     명</v>
          </cell>
        </row>
      </sheetData>
      <sheetData sheetId="3872" refreshError="1"/>
      <sheetData sheetId="3873" refreshError="1"/>
      <sheetData sheetId="3874" refreshError="1"/>
      <sheetData sheetId="3875" refreshError="1"/>
      <sheetData sheetId="3876" refreshError="1"/>
      <sheetData sheetId="3877" refreshError="1"/>
      <sheetData sheetId="3878" refreshError="1"/>
      <sheetData sheetId="3879" refreshError="1"/>
      <sheetData sheetId="3880" refreshError="1"/>
      <sheetData sheetId="3881" refreshError="1"/>
      <sheetData sheetId="3882" refreshError="1"/>
      <sheetData sheetId="3883" refreshError="1"/>
      <sheetData sheetId="3884" refreshError="1"/>
      <sheetData sheetId="3885" refreshError="1"/>
      <sheetData sheetId="3886" refreshError="1"/>
      <sheetData sheetId="3887" refreshError="1"/>
      <sheetData sheetId="3888" refreshError="1"/>
      <sheetData sheetId="3889" refreshError="1"/>
      <sheetData sheetId="3890">
        <row r="2">
          <cell r="A2" t="str">
            <v>실     명</v>
          </cell>
        </row>
      </sheetData>
      <sheetData sheetId="3891">
        <row r="2">
          <cell r="A2" t="str">
            <v>실     명</v>
          </cell>
        </row>
      </sheetData>
      <sheetData sheetId="3892">
        <row r="2">
          <cell r="A2" t="str">
            <v>실     명</v>
          </cell>
        </row>
      </sheetData>
      <sheetData sheetId="3893">
        <row r="2">
          <cell r="A2" t="str">
            <v>실     명</v>
          </cell>
        </row>
      </sheetData>
      <sheetData sheetId="3894">
        <row r="2">
          <cell r="A2" t="str">
            <v>실     명</v>
          </cell>
        </row>
      </sheetData>
      <sheetData sheetId="3895">
        <row r="2">
          <cell r="A2" t="str">
            <v>실     명</v>
          </cell>
        </row>
      </sheetData>
      <sheetData sheetId="3896">
        <row r="2">
          <cell r="A2" t="str">
            <v>실     명</v>
          </cell>
        </row>
      </sheetData>
      <sheetData sheetId="3897">
        <row r="2">
          <cell r="A2" t="str">
            <v>실     명</v>
          </cell>
        </row>
      </sheetData>
      <sheetData sheetId="3898">
        <row r="2">
          <cell r="A2" t="str">
            <v>실     명</v>
          </cell>
        </row>
      </sheetData>
      <sheetData sheetId="3899">
        <row r="2">
          <cell r="A2" t="str">
            <v>실     명</v>
          </cell>
        </row>
      </sheetData>
      <sheetData sheetId="3900">
        <row r="2">
          <cell r="A2" t="str">
            <v>실     명</v>
          </cell>
        </row>
      </sheetData>
      <sheetData sheetId="3901">
        <row r="2">
          <cell r="A2" t="str">
            <v>실     명</v>
          </cell>
        </row>
      </sheetData>
      <sheetData sheetId="3902">
        <row r="2">
          <cell r="A2" t="str">
            <v>실     명</v>
          </cell>
        </row>
      </sheetData>
      <sheetData sheetId="3903">
        <row r="2">
          <cell r="A2" t="str">
            <v>실     명</v>
          </cell>
        </row>
      </sheetData>
      <sheetData sheetId="3904" refreshError="1"/>
      <sheetData sheetId="3905" refreshError="1"/>
      <sheetData sheetId="3906" refreshError="1"/>
      <sheetData sheetId="3907" refreshError="1"/>
      <sheetData sheetId="3908" refreshError="1"/>
      <sheetData sheetId="3909" refreshError="1"/>
      <sheetData sheetId="3910" refreshError="1"/>
      <sheetData sheetId="3911" refreshError="1"/>
      <sheetData sheetId="3912" refreshError="1"/>
      <sheetData sheetId="3913" refreshError="1"/>
      <sheetData sheetId="3914" refreshError="1"/>
      <sheetData sheetId="3915" refreshError="1"/>
      <sheetData sheetId="3916" refreshError="1"/>
      <sheetData sheetId="3917" refreshError="1"/>
      <sheetData sheetId="3918" refreshError="1"/>
      <sheetData sheetId="3919" refreshError="1"/>
      <sheetData sheetId="3920" refreshError="1"/>
      <sheetData sheetId="3921" refreshError="1"/>
      <sheetData sheetId="3922" refreshError="1"/>
      <sheetData sheetId="3923" refreshError="1"/>
      <sheetData sheetId="3924" refreshError="1"/>
      <sheetData sheetId="3925" refreshError="1"/>
      <sheetData sheetId="3926" refreshError="1"/>
      <sheetData sheetId="3927" refreshError="1"/>
      <sheetData sheetId="3928" refreshError="1"/>
      <sheetData sheetId="3929" refreshError="1"/>
      <sheetData sheetId="3930" refreshError="1"/>
      <sheetData sheetId="3931" refreshError="1"/>
      <sheetData sheetId="3932" refreshError="1"/>
      <sheetData sheetId="3933" refreshError="1"/>
      <sheetData sheetId="3934" refreshError="1"/>
      <sheetData sheetId="3935" refreshError="1"/>
      <sheetData sheetId="3936" refreshError="1"/>
      <sheetData sheetId="3937" refreshError="1"/>
      <sheetData sheetId="3938" refreshError="1"/>
      <sheetData sheetId="3939" refreshError="1"/>
      <sheetData sheetId="3940" refreshError="1"/>
      <sheetData sheetId="3941" refreshError="1"/>
      <sheetData sheetId="3942" refreshError="1"/>
      <sheetData sheetId="3943" refreshError="1"/>
      <sheetData sheetId="3944" refreshError="1"/>
      <sheetData sheetId="3945" refreshError="1"/>
      <sheetData sheetId="3946" refreshError="1"/>
      <sheetData sheetId="3947" refreshError="1"/>
      <sheetData sheetId="3948" refreshError="1"/>
      <sheetData sheetId="3949" refreshError="1"/>
      <sheetData sheetId="3950" refreshError="1"/>
      <sheetData sheetId="3951" refreshError="1"/>
      <sheetData sheetId="3952" refreshError="1"/>
      <sheetData sheetId="3953" refreshError="1"/>
      <sheetData sheetId="3954" refreshError="1"/>
      <sheetData sheetId="3955" refreshError="1"/>
      <sheetData sheetId="3956" refreshError="1"/>
      <sheetData sheetId="3957" refreshError="1"/>
      <sheetData sheetId="3958">
        <row r="2">
          <cell r="A2" t="str">
            <v>실     명</v>
          </cell>
        </row>
      </sheetData>
      <sheetData sheetId="3959">
        <row r="2">
          <cell r="A2" t="str">
            <v>실     명</v>
          </cell>
        </row>
      </sheetData>
      <sheetData sheetId="3960" refreshError="1"/>
      <sheetData sheetId="3961" refreshError="1"/>
      <sheetData sheetId="3962" refreshError="1"/>
      <sheetData sheetId="3963" refreshError="1"/>
      <sheetData sheetId="3964" refreshError="1"/>
      <sheetData sheetId="3965" refreshError="1"/>
      <sheetData sheetId="3966" refreshError="1"/>
      <sheetData sheetId="3967" refreshError="1"/>
      <sheetData sheetId="3968" refreshError="1"/>
      <sheetData sheetId="3969" refreshError="1"/>
      <sheetData sheetId="3970" refreshError="1"/>
      <sheetData sheetId="3971" refreshError="1"/>
      <sheetData sheetId="3972" refreshError="1"/>
      <sheetData sheetId="3973" refreshError="1"/>
      <sheetData sheetId="3974" refreshError="1"/>
      <sheetData sheetId="3975" refreshError="1"/>
      <sheetData sheetId="3976" refreshError="1"/>
      <sheetData sheetId="3977" refreshError="1"/>
      <sheetData sheetId="3978" refreshError="1"/>
      <sheetData sheetId="3979" refreshError="1"/>
      <sheetData sheetId="3980" refreshError="1"/>
      <sheetData sheetId="3981" refreshError="1"/>
      <sheetData sheetId="3982" refreshError="1"/>
      <sheetData sheetId="3983" refreshError="1"/>
      <sheetData sheetId="3984" refreshError="1"/>
      <sheetData sheetId="3985" refreshError="1"/>
      <sheetData sheetId="3986" refreshError="1"/>
      <sheetData sheetId="3987" refreshError="1"/>
      <sheetData sheetId="3988" refreshError="1"/>
      <sheetData sheetId="3989" refreshError="1"/>
      <sheetData sheetId="3990" refreshError="1"/>
      <sheetData sheetId="3991" refreshError="1"/>
      <sheetData sheetId="3992" refreshError="1"/>
      <sheetData sheetId="3993" refreshError="1"/>
      <sheetData sheetId="3994" refreshError="1"/>
      <sheetData sheetId="3995" refreshError="1"/>
      <sheetData sheetId="3996" refreshError="1"/>
      <sheetData sheetId="3997" refreshError="1"/>
      <sheetData sheetId="3998" refreshError="1"/>
      <sheetData sheetId="3999" refreshError="1"/>
      <sheetData sheetId="4000" refreshError="1"/>
      <sheetData sheetId="4001" refreshError="1"/>
      <sheetData sheetId="4002" refreshError="1"/>
      <sheetData sheetId="4003" refreshError="1"/>
      <sheetData sheetId="4004" refreshError="1"/>
      <sheetData sheetId="4005" refreshError="1"/>
      <sheetData sheetId="4006" refreshError="1"/>
      <sheetData sheetId="4007" refreshError="1"/>
      <sheetData sheetId="4008" refreshError="1"/>
      <sheetData sheetId="4009" refreshError="1"/>
      <sheetData sheetId="4010" refreshError="1"/>
      <sheetData sheetId="4011" refreshError="1"/>
      <sheetData sheetId="4012" refreshError="1"/>
      <sheetData sheetId="4013" refreshError="1"/>
      <sheetData sheetId="4014" refreshError="1"/>
      <sheetData sheetId="4015" refreshError="1"/>
      <sheetData sheetId="4016" refreshError="1"/>
      <sheetData sheetId="4017" refreshError="1"/>
      <sheetData sheetId="4018" refreshError="1"/>
      <sheetData sheetId="4019" refreshError="1"/>
      <sheetData sheetId="4020" refreshError="1"/>
      <sheetData sheetId="4021" refreshError="1"/>
      <sheetData sheetId="4022" refreshError="1"/>
      <sheetData sheetId="4023" refreshError="1"/>
      <sheetData sheetId="4024" refreshError="1"/>
      <sheetData sheetId="4025" refreshError="1"/>
      <sheetData sheetId="4026" refreshError="1"/>
      <sheetData sheetId="4027" refreshError="1"/>
      <sheetData sheetId="4028" refreshError="1"/>
      <sheetData sheetId="4029" refreshError="1"/>
      <sheetData sheetId="4030" refreshError="1"/>
      <sheetData sheetId="4031" refreshError="1"/>
      <sheetData sheetId="4032" refreshError="1"/>
      <sheetData sheetId="4033" refreshError="1"/>
      <sheetData sheetId="4034" refreshError="1"/>
      <sheetData sheetId="4035" refreshError="1"/>
      <sheetData sheetId="4036" refreshError="1"/>
      <sheetData sheetId="4037" refreshError="1"/>
      <sheetData sheetId="4038" refreshError="1"/>
      <sheetData sheetId="4039" refreshError="1"/>
      <sheetData sheetId="4040" refreshError="1"/>
      <sheetData sheetId="4041" refreshError="1"/>
      <sheetData sheetId="4042" refreshError="1"/>
      <sheetData sheetId="4043" refreshError="1"/>
      <sheetData sheetId="4044" refreshError="1"/>
      <sheetData sheetId="4045" refreshError="1"/>
      <sheetData sheetId="4046" refreshError="1"/>
      <sheetData sheetId="4047" refreshError="1"/>
      <sheetData sheetId="4048" refreshError="1"/>
      <sheetData sheetId="4049" refreshError="1"/>
      <sheetData sheetId="4050" refreshError="1"/>
      <sheetData sheetId="4051" refreshError="1"/>
      <sheetData sheetId="4052" refreshError="1"/>
      <sheetData sheetId="4053" refreshError="1"/>
      <sheetData sheetId="4054" refreshError="1"/>
      <sheetData sheetId="4055" refreshError="1"/>
      <sheetData sheetId="4056" refreshError="1"/>
      <sheetData sheetId="4057" refreshError="1"/>
      <sheetData sheetId="4058" refreshError="1"/>
      <sheetData sheetId="4059" refreshError="1"/>
      <sheetData sheetId="4060" refreshError="1"/>
      <sheetData sheetId="4061" refreshError="1"/>
      <sheetData sheetId="4062" refreshError="1"/>
      <sheetData sheetId="4063" refreshError="1"/>
      <sheetData sheetId="4064" refreshError="1"/>
      <sheetData sheetId="4065" refreshError="1"/>
      <sheetData sheetId="4066" refreshError="1"/>
      <sheetData sheetId="4067" refreshError="1"/>
      <sheetData sheetId="4068" refreshError="1"/>
      <sheetData sheetId="4069" refreshError="1"/>
      <sheetData sheetId="4070" refreshError="1"/>
      <sheetData sheetId="4071" refreshError="1"/>
      <sheetData sheetId="4072" refreshError="1"/>
      <sheetData sheetId="4073" refreshError="1"/>
      <sheetData sheetId="4074" refreshError="1"/>
      <sheetData sheetId="4075" refreshError="1"/>
      <sheetData sheetId="4076" refreshError="1"/>
      <sheetData sheetId="4077" refreshError="1"/>
      <sheetData sheetId="4078" refreshError="1"/>
      <sheetData sheetId="4079" refreshError="1"/>
      <sheetData sheetId="4080" refreshError="1"/>
      <sheetData sheetId="4081" refreshError="1"/>
      <sheetData sheetId="4082" refreshError="1"/>
      <sheetData sheetId="4083" refreshError="1"/>
      <sheetData sheetId="4084" refreshError="1"/>
      <sheetData sheetId="4085" refreshError="1"/>
      <sheetData sheetId="4086" refreshError="1"/>
      <sheetData sheetId="4087" refreshError="1"/>
      <sheetData sheetId="4088" refreshError="1"/>
      <sheetData sheetId="4089" refreshError="1"/>
      <sheetData sheetId="4090" refreshError="1"/>
      <sheetData sheetId="4091" refreshError="1"/>
      <sheetData sheetId="4092" refreshError="1"/>
      <sheetData sheetId="4093" refreshError="1"/>
      <sheetData sheetId="4094" refreshError="1"/>
      <sheetData sheetId="4095" refreshError="1"/>
      <sheetData sheetId="4096" refreshError="1"/>
      <sheetData sheetId="4097" refreshError="1"/>
      <sheetData sheetId="4098" refreshError="1"/>
      <sheetData sheetId="4099" refreshError="1"/>
      <sheetData sheetId="4100" refreshError="1"/>
      <sheetData sheetId="4101" refreshError="1"/>
      <sheetData sheetId="4102" refreshError="1"/>
      <sheetData sheetId="4103" refreshError="1"/>
      <sheetData sheetId="4104" refreshError="1"/>
      <sheetData sheetId="4105" refreshError="1"/>
      <sheetData sheetId="4106" refreshError="1"/>
      <sheetData sheetId="4107" refreshError="1"/>
      <sheetData sheetId="4108" refreshError="1"/>
      <sheetData sheetId="4109" refreshError="1"/>
      <sheetData sheetId="4110" refreshError="1"/>
      <sheetData sheetId="4111" refreshError="1"/>
      <sheetData sheetId="4112" refreshError="1"/>
      <sheetData sheetId="4113" refreshError="1"/>
      <sheetData sheetId="4114" refreshError="1"/>
      <sheetData sheetId="4115" refreshError="1"/>
      <sheetData sheetId="4116" refreshError="1"/>
      <sheetData sheetId="4117" refreshError="1"/>
      <sheetData sheetId="4118" refreshError="1"/>
      <sheetData sheetId="4119" refreshError="1"/>
      <sheetData sheetId="4120" refreshError="1"/>
      <sheetData sheetId="4121" refreshError="1"/>
      <sheetData sheetId="4122" refreshError="1"/>
      <sheetData sheetId="4123" refreshError="1"/>
      <sheetData sheetId="4124" refreshError="1"/>
      <sheetData sheetId="4125" refreshError="1"/>
      <sheetData sheetId="4126" refreshError="1"/>
      <sheetData sheetId="4127" refreshError="1"/>
      <sheetData sheetId="4128" refreshError="1"/>
      <sheetData sheetId="4129" refreshError="1"/>
      <sheetData sheetId="4130" refreshError="1"/>
      <sheetData sheetId="4131" refreshError="1"/>
      <sheetData sheetId="4132" refreshError="1"/>
      <sheetData sheetId="4133" refreshError="1"/>
      <sheetData sheetId="4134" refreshError="1"/>
      <sheetData sheetId="4135" refreshError="1"/>
      <sheetData sheetId="4136" refreshError="1"/>
      <sheetData sheetId="4137" refreshError="1"/>
      <sheetData sheetId="4138" refreshError="1"/>
      <sheetData sheetId="4139" refreshError="1"/>
      <sheetData sheetId="4140">
        <row r="2">
          <cell r="A2" t="str">
            <v>실     명</v>
          </cell>
        </row>
      </sheetData>
      <sheetData sheetId="4141">
        <row r="2">
          <cell r="A2" t="str">
            <v>실     명</v>
          </cell>
        </row>
      </sheetData>
      <sheetData sheetId="4142">
        <row r="2">
          <cell r="A2" t="str">
            <v>실     명</v>
          </cell>
        </row>
      </sheetData>
      <sheetData sheetId="4143">
        <row r="2">
          <cell r="A2" t="str">
            <v>실     명</v>
          </cell>
        </row>
      </sheetData>
      <sheetData sheetId="4144">
        <row r="2">
          <cell r="A2" t="str">
            <v>실     명</v>
          </cell>
        </row>
      </sheetData>
      <sheetData sheetId="4145">
        <row r="2">
          <cell r="A2" t="str">
            <v>실     명</v>
          </cell>
        </row>
      </sheetData>
      <sheetData sheetId="4146" refreshError="1"/>
      <sheetData sheetId="4147" refreshError="1"/>
      <sheetData sheetId="4148" refreshError="1"/>
      <sheetData sheetId="4149" refreshError="1"/>
      <sheetData sheetId="4150" refreshError="1"/>
      <sheetData sheetId="4151" refreshError="1"/>
      <sheetData sheetId="4152" refreshError="1"/>
      <sheetData sheetId="4153" refreshError="1"/>
      <sheetData sheetId="4154" refreshError="1"/>
      <sheetData sheetId="4155" refreshError="1"/>
      <sheetData sheetId="4156" refreshError="1"/>
      <sheetData sheetId="4157" refreshError="1"/>
      <sheetData sheetId="4158" refreshError="1"/>
      <sheetData sheetId="4159" refreshError="1"/>
      <sheetData sheetId="4160" refreshError="1"/>
      <sheetData sheetId="4161" refreshError="1"/>
      <sheetData sheetId="4162" refreshError="1"/>
      <sheetData sheetId="4163" refreshError="1"/>
      <sheetData sheetId="4164" refreshError="1"/>
      <sheetData sheetId="4165" refreshError="1"/>
      <sheetData sheetId="4166" refreshError="1"/>
      <sheetData sheetId="4167" refreshError="1"/>
      <sheetData sheetId="4168" refreshError="1"/>
      <sheetData sheetId="4169" refreshError="1"/>
      <sheetData sheetId="4170" refreshError="1"/>
      <sheetData sheetId="4171" refreshError="1"/>
      <sheetData sheetId="4172" refreshError="1"/>
      <sheetData sheetId="4173" refreshError="1"/>
      <sheetData sheetId="4174" refreshError="1"/>
      <sheetData sheetId="4175" refreshError="1"/>
      <sheetData sheetId="4176" refreshError="1"/>
      <sheetData sheetId="4177" refreshError="1"/>
      <sheetData sheetId="4178" refreshError="1"/>
      <sheetData sheetId="4179" refreshError="1"/>
      <sheetData sheetId="4180" refreshError="1"/>
      <sheetData sheetId="4181" refreshError="1"/>
      <sheetData sheetId="4182" refreshError="1"/>
      <sheetData sheetId="4183" refreshError="1"/>
      <sheetData sheetId="4184" refreshError="1"/>
      <sheetData sheetId="4185" refreshError="1"/>
      <sheetData sheetId="4186" refreshError="1"/>
      <sheetData sheetId="4187" refreshError="1"/>
      <sheetData sheetId="4188" refreshError="1"/>
      <sheetData sheetId="4189" refreshError="1"/>
      <sheetData sheetId="4190" refreshError="1"/>
      <sheetData sheetId="4191" refreshError="1"/>
      <sheetData sheetId="4192" refreshError="1"/>
      <sheetData sheetId="4193" refreshError="1"/>
      <sheetData sheetId="4194" refreshError="1"/>
      <sheetData sheetId="4195" refreshError="1"/>
      <sheetData sheetId="4196" refreshError="1"/>
      <sheetData sheetId="4197" refreshError="1"/>
      <sheetData sheetId="4198" refreshError="1"/>
      <sheetData sheetId="4199" refreshError="1"/>
      <sheetData sheetId="4200" refreshError="1"/>
      <sheetData sheetId="4201" refreshError="1"/>
      <sheetData sheetId="4202" refreshError="1"/>
      <sheetData sheetId="4203" refreshError="1"/>
      <sheetData sheetId="4204" refreshError="1"/>
      <sheetData sheetId="4205" refreshError="1"/>
      <sheetData sheetId="4206" refreshError="1"/>
      <sheetData sheetId="4207" refreshError="1"/>
      <sheetData sheetId="4208" refreshError="1"/>
      <sheetData sheetId="4209" refreshError="1"/>
      <sheetData sheetId="4210" refreshError="1"/>
      <sheetData sheetId="4211" refreshError="1"/>
      <sheetData sheetId="4212" refreshError="1"/>
      <sheetData sheetId="4213" refreshError="1"/>
      <sheetData sheetId="4214" refreshError="1"/>
      <sheetData sheetId="4215" refreshError="1"/>
      <sheetData sheetId="4216" refreshError="1"/>
      <sheetData sheetId="4217" refreshError="1"/>
      <sheetData sheetId="4218" refreshError="1"/>
      <sheetData sheetId="4219" refreshError="1"/>
      <sheetData sheetId="4220" refreshError="1"/>
      <sheetData sheetId="4221" refreshError="1"/>
      <sheetData sheetId="4222" refreshError="1"/>
      <sheetData sheetId="4223" refreshError="1"/>
      <sheetData sheetId="4224" refreshError="1"/>
      <sheetData sheetId="4225" refreshError="1"/>
      <sheetData sheetId="4226" refreshError="1"/>
      <sheetData sheetId="4227" refreshError="1"/>
      <sheetData sheetId="4228" refreshError="1"/>
      <sheetData sheetId="4229" refreshError="1"/>
      <sheetData sheetId="4230" refreshError="1"/>
      <sheetData sheetId="4231">
        <row r="2">
          <cell r="A2" t="str">
            <v>실     명</v>
          </cell>
        </row>
      </sheetData>
      <sheetData sheetId="4232">
        <row r="2">
          <cell r="A2" t="str">
            <v>실     명</v>
          </cell>
        </row>
      </sheetData>
      <sheetData sheetId="4233">
        <row r="2">
          <cell r="A2" t="str">
            <v>실     명</v>
          </cell>
        </row>
      </sheetData>
      <sheetData sheetId="4234">
        <row r="2">
          <cell r="A2" t="str">
            <v>실     명</v>
          </cell>
        </row>
      </sheetData>
      <sheetData sheetId="4235"/>
      <sheetData sheetId="4236"/>
      <sheetData sheetId="4237"/>
      <sheetData sheetId="4238"/>
      <sheetData sheetId="4239"/>
      <sheetData sheetId="4240" refreshError="1"/>
      <sheetData sheetId="4241" refreshError="1"/>
      <sheetData sheetId="4242" refreshError="1"/>
      <sheetData sheetId="4243" refreshError="1"/>
      <sheetData sheetId="4244">
        <row r="2">
          <cell r="A2" t="str">
            <v>실     명</v>
          </cell>
        </row>
      </sheetData>
      <sheetData sheetId="4245">
        <row r="2">
          <cell r="A2" t="str">
            <v>실     명</v>
          </cell>
        </row>
      </sheetData>
      <sheetData sheetId="4246">
        <row r="2">
          <cell r="A2" t="str">
            <v>실     명</v>
          </cell>
        </row>
      </sheetData>
      <sheetData sheetId="4247" refreshError="1"/>
      <sheetData sheetId="4248" refreshError="1"/>
      <sheetData sheetId="4249" refreshError="1"/>
      <sheetData sheetId="4250">
        <row r="2">
          <cell r="A2" t="str">
            <v>실     명</v>
          </cell>
        </row>
      </sheetData>
      <sheetData sheetId="4251"/>
      <sheetData sheetId="4252" refreshError="1"/>
      <sheetData sheetId="4253" refreshError="1"/>
      <sheetData sheetId="4254" refreshError="1"/>
      <sheetData sheetId="4255" refreshError="1"/>
      <sheetData sheetId="4256" refreshError="1"/>
      <sheetData sheetId="4257" refreshError="1"/>
      <sheetData sheetId="4258" refreshError="1"/>
      <sheetData sheetId="4259" refreshError="1"/>
      <sheetData sheetId="4260" refreshError="1"/>
      <sheetData sheetId="4261" refreshError="1"/>
      <sheetData sheetId="4262"/>
      <sheetData sheetId="4263" refreshError="1"/>
      <sheetData sheetId="4264" refreshError="1"/>
      <sheetData sheetId="4265" refreshError="1"/>
      <sheetData sheetId="4266">
        <row r="2">
          <cell r="A2" t="str">
            <v>실     명</v>
          </cell>
        </row>
      </sheetData>
      <sheetData sheetId="4267">
        <row r="2">
          <cell r="A2" t="str">
            <v>실     명</v>
          </cell>
        </row>
      </sheetData>
      <sheetData sheetId="4268" refreshError="1"/>
      <sheetData sheetId="4269" refreshError="1"/>
      <sheetData sheetId="4270"/>
      <sheetData sheetId="4271">
        <row r="2">
          <cell r="A2" t="str">
            <v>실     명</v>
          </cell>
        </row>
      </sheetData>
      <sheetData sheetId="4272" refreshError="1"/>
      <sheetData sheetId="4273" refreshError="1"/>
      <sheetData sheetId="4274">
        <row r="2">
          <cell r="A2" t="str">
            <v>실     명</v>
          </cell>
        </row>
      </sheetData>
      <sheetData sheetId="4275" refreshError="1"/>
      <sheetData sheetId="4276" refreshError="1"/>
      <sheetData sheetId="4277" refreshError="1"/>
      <sheetData sheetId="4278">
        <row r="2">
          <cell r="A2" t="str">
            <v>실     명</v>
          </cell>
        </row>
      </sheetData>
      <sheetData sheetId="4279" refreshError="1"/>
      <sheetData sheetId="4280">
        <row r="2">
          <cell r="A2" t="str">
            <v>실     명</v>
          </cell>
        </row>
      </sheetData>
      <sheetData sheetId="4281">
        <row r="2">
          <cell r="A2" t="str">
            <v>실     명</v>
          </cell>
        </row>
      </sheetData>
      <sheetData sheetId="4282" refreshError="1"/>
      <sheetData sheetId="4283" refreshError="1"/>
      <sheetData sheetId="4284" refreshError="1"/>
      <sheetData sheetId="4285" refreshError="1"/>
      <sheetData sheetId="4286" refreshError="1"/>
      <sheetData sheetId="4287" refreshError="1"/>
      <sheetData sheetId="4288" refreshError="1"/>
      <sheetData sheetId="4289" refreshError="1"/>
      <sheetData sheetId="4290" refreshError="1"/>
      <sheetData sheetId="4291" refreshError="1"/>
      <sheetData sheetId="4292" refreshError="1"/>
      <sheetData sheetId="4293" refreshError="1"/>
      <sheetData sheetId="4294" refreshError="1"/>
      <sheetData sheetId="4295" refreshError="1"/>
      <sheetData sheetId="4296" refreshError="1"/>
      <sheetData sheetId="4297" refreshError="1"/>
      <sheetData sheetId="4298" refreshError="1"/>
      <sheetData sheetId="4299" refreshError="1"/>
      <sheetData sheetId="4300" refreshError="1"/>
      <sheetData sheetId="4301" refreshError="1"/>
      <sheetData sheetId="4302" refreshError="1"/>
      <sheetData sheetId="4303" refreshError="1"/>
      <sheetData sheetId="4304" refreshError="1"/>
      <sheetData sheetId="4305" refreshError="1"/>
      <sheetData sheetId="4306" refreshError="1"/>
      <sheetData sheetId="4307" refreshError="1"/>
      <sheetData sheetId="4308" refreshError="1"/>
      <sheetData sheetId="4309" refreshError="1"/>
      <sheetData sheetId="4310" refreshError="1"/>
      <sheetData sheetId="4311" refreshError="1"/>
      <sheetData sheetId="4312" refreshError="1"/>
      <sheetData sheetId="4313" refreshError="1"/>
      <sheetData sheetId="4314" refreshError="1"/>
      <sheetData sheetId="4315" refreshError="1"/>
      <sheetData sheetId="4316" refreshError="1"/>
      <sheetData sheetId="4317" refreshError="1"/>
      <sheetData sheetId="4318" refreshError="1"/>
      <sheetData sheetId="4319" refreshError="1"/>
      <sheetData sheetId="4320" refreshError="1"/>
      <sheetData sheetId="4321" refreshError="1"/>
      <sheetData sheetId="4322" refreshError="1"/>
      <sheetData sheetId="4323" refreshError="1"/>
      <sheetData sheetId="4324" refreshError="1"/>
      <sheetData sheetId="4325" refreshError="1"/>
      <sheetData sheetId="4326" refreshError="1"/>
      <sheetData sheetId="4327" refreshError="1"/>
      <sheetData sheetId="4328" refreshError="1"/>
      <sheetData sheetId="4329" refreshError="1"/>
      <sheetData sheetId="4330" refreshError="1"/>
      <sheetData sheetId="4331" refreshError="1"/>
      <sheetData sheetId="4332" refreshError="1"/>
      <sheetData sheetId="4333" refreshError="1"/>
      <sheetData sheetId="4334" refreshError="1"/>
      <sheetData sheetId="4335" refreshError="1"/>
      <sheetData sheetId="4336" refreshError="1"/>
      <sheetData sheetId="4337" refreshError="1"/>
      <sheetData sheetId="4338" refreshError="1"/>
      <sheetData sheetId="4339" refreshError="1"/>
      <sheetData sheetId="4340" refreshError="1"/>
      <sheetData sheetId="4341" refreshError="1"/>
      <sheetData sheetId="4342" refreshError="1"/>
      <sheetData sheetId="4343" refreshError="1"/>
      <sheetData sheetId="4344" refreshError="1"/>
      <sheetData sheetId="4345" refreshError="1"/>
      <sheetData sheetId="4346" refreshError="1"/>
      <sheetData sheetId="4347" refreshError="1"/>
      <sheetData sheetId="4348" refreshError="1"/>
      <sheetData sheetId="4349" refreshError="1"/>
      <sheetData sheetId="4350" refreshError="1"/>
      <sheetData sheetId="4351" refreshError="1"/>
      <sheetData sheetId="4352" refreshError="1"/>
      <sheetData sheetId="4353" refreshError="1"/>
      <sheetData sheetId="4354" refreshError="1"/>
      <sheetData sheetId="4355" refreshError="1"/>
      <sheetData sheetId="4356" refreshError="1"/>
      <sheetData sheetId="4357" refreshError="1"/>
      <sheetData sheetId="4358" refreshError="1"/>
      <sheetData sheetId="4359" refreshError="1"/>
      <sheetData sheetId="4360" refreshError="1"/>
      <sheetData sheetId="4361" refreshError="1"/>
      <sheetData sheetId="4362" refreshError="1"/>
      <sheetData sheetId="4363" refreshError="1"/>
      <sheetData sheetId="4364" refreshError="1"/>
      <sheetData sheetId="4365" refreshError="1"/>
      <sheetData sheetId="4366" refreshError="1"/>
      <sheetData sheetId="4367" refreshError="1"/>
      <sheetData sheetId="4368" refreshError="1"/>
      <sheetData sheetId="4369" refreshError="1"/>
      <sheetData sheetId="4370" refreshError="1"/>
      <sheetData sheetId="4371" refreshError="1"/>
      <sheetData sheetId="4372" refreshError="1"/>
      <sheetData sheetId="4373" refreshError="1"/>
      <sheetData sheetId="4374" refreshError="1"/>
      <sheetData sheetId="4375" refreshError="1"/>
      <sheetData sheetId="4376" refreshError="1"/>
      <sheetData sheetId="4377" refreshError="1"/>
      <sheetData sheetId="4378" refreshError="1"/>
      <sheetData sheetId="4379" refreshError="1"/>
      <sheetData sheetId="4380" refreshError="1"/>
      <sheetData sheetId="4381" refreshError="1"/>
      <sheetData sheetId="4382" refreshError="1"/>
      <sheetData sheetId="4383" refreshError="1"/>
      <sheetData sheetId="4384" refreshError="1"/>
      <sheetData sheetId="4385" refreshError="1"/>
      <sheetData sheetId="4386" refreshError="1"/>
      <sheetData sheetId="4387" refreshError="1"/>
      <sheetData sheetId="4388" refreshError="1"/>
      <sheetData sheetId="4389" refreshError="1"/>
      <sheetData sheetId="4390" refreshError="1"/>
      <sheetData sheetId="4391" refreshError="1"/>
      <sheetData sheetId="4392" refreshError="1"/>
      <sheetData sheetId="4393" refreshError="1"/>
      <sheetData sheetId="4394" refreshError="1"/>
      <sheetData sheetId="4395" refreshError="1"/>
      <sheetData sheetId="4396" refreshError="1"/>
      <sheetData sheetId="4397" refreshError="1"/>
      <sheetData sheetId="4398" refreshError="1"/>
      <sheetData sheetId="4399" refreshError="1"/>
      <sheetData sheetId="4400" refreshError="1"/>
      <sheetData sheetId="4401" refreshError="1"/>
      <sheetData sheetId="4402" refreshError="1"/>
      <sheetData sheetId="4403" refreshError="1"/>
      <sheetData sheetId="4404" refreshError="1"/>
      <sheetData sheetId="4405" refreshError="1"/>
      <sheetData sheetId="4406" refreshError="1"/>
      <sheetData sheetId="4407" refreshError="1"/>
      <sheetData sheetId="4408" refreshError="1"/>
      <sheetData sheetId="4409" refreshError="1"/>
      <sheetData sheetId="4410" refreshError="1"/>
      <sheetData sheetId="4411" refreshError="1"/>
      <sheetData sheetId="4412" refreshError="1"/>
      <sheetData sheetId="4413" refreshError="1"/>
      <sheetData sheetId="4414" refreshError="1"/>
      <sheetData sheetId="4415" refreshError="1"/>
      <sheetData sheetId="4416" refreshError="1"/>
      <sheetData sheetId="4417" refreshError="1"/>
      <sheetData sheetId="4418" refreshError="1"/>
      <sheetData sheetId="4419" refreshError="1"/>
      <sheetData sheetId="4420" refreshError="1"/>
      <sheetData sheetId="4421" refreshError="1"/>
      <sheetData sheetId="4422" refreshError="1"/>
      <sheetData sheetId="4423">
        <row r="2">
          <cell r="A2" t="str">
            <v>실     명</v>
          </cell>
        </row>
      </sheetData>
      <sheetData sheetId="4424">
        <row r="2">
          <cell r="A2" t="str">
            <v>실     명</v>
          </cell>
        </row>
      </sheetData>
      <sheetData sheetId="4425">
        <row r="2">
          <cell r="A2" t="str">
            <v>실     명</v>
          </cell>
        </row>
      </sheetData>
      <sheetData sheetId="4426">
        <row r="2">
          <cell r="A2" t="str">
            <v>실     명</v>
          </cell>
        </row>
      </sheetData>
      <sheetData sheetId="4427" refreshError="1"/>
      <sheetData sheetId="4428" refreshError="1"/>
      <sheetData sheetId="4429" refreshError="1"/>
      <sheetData sheetId="4430" refreshError="1"/>
      <sheetData sheetId="4431" refreshError="1"/>
      <sheetData sheetId="4432" refreshError="1"/>
      <sheetData sheetId="4433" refreshError="1"/>
      <sheetData sheetId="4434" refreshError="1"/>
      <sheetData sheetId="4435" refreshError="1"/>
      <sheetData sheetId="4436" refreshError="1"/>
      <sheetData sheetId="4437" refreshError="1"/>
      <sheetData sheetId="4438" refreshError="1"/>
      <sheetData sheetId="4439" refreshError="1"/>
      <sheetData sheetId="4440" refreshError="1"/>
      <sheetData sheetId="4441" refreshError="1"/>
      <sheetData sheetId="4442" refreshError="1"/>
      <sheetData sheetId="4443" refreshError="1"/>
      <sheetData sheetId="4444" refreshError="1"/>
      <sheetData sheetId="4445" refreshError="1"/>
      <sheetData sheetId="4446" refreshError="1"/>
      <sheetData sheetId="4447" refreshError="1"/>
      <sheetData sheetId="4448" refreshError="1"/>
      <sheetData sheetId="4449" refreshError="1"/>
      <sheetData sheetId="4450" refreshError="1"/>
      <sheetData sheetId="4451" refreshError="1"/>
      <sheetData sheetId="4452" refreshError="1"/>
      <sheetData sheetId="4453" refreshError="1"/>
      <sheetData sheetId="4454" refreshError="1"/>
      <sheetData sheetId="4455" refreshError="1"/>
      <sheetData sheetId="4456" refreshError="1"/>
      <sheetData sheetId="4457" refreshError="1"/>
      <sheetData sheetId="4458" refreshError="1"/>
      <sheetData sheetId="4459" refreshError="1"/>
      <sheetData sheetId="4460" refreshError="1"/>
      <sheetData sheetId="4461" refreshError="1"/>
      <sheetData sheetId="4462" refreshError="1"/>
      <sheetData sheetId="4463" refreshError="1"/>
      <sheetData sheetId="4464" refreshError="1"/>
      <sheetData sheetId="4465" refreshError="1"/>
      <sheetData sheetId="4466" refreshError="1"/>
      <sheetData sheetId="4467" refreshError="1"/>
      <sheetData sheetId="4468" refreshError="1"/>
      <sheetData sheetId="4469" refreshError="1"/>
      <sheetData sheetId="4470" refreshError="1"/>
      <sheetData sheetId="4471" refreshError="1"/>
      <sheetData sheetId="4472" refreshError="1"/>
      <sheetData sheetId="4473" refreshError="1"/>
      <sheetData sheetId="4474" refreshError="1"/>
      <sheetData sheetId="4475" refreshError="1"/>
      <sheetData sheetId="4476" refreshError="1"/>
      <sheetData sheetId="4477" refreshError="1"/>
      <sheetData sheetId="4478" refreshError="1"/>
      <sheetData sheetId="4479" refreshError="1"/>
      <sheetData sheetId="4480" refreshError="1"/>
      <sheetData sheetId="4481" refreshError="1"/>
      <sheetData sheetId="4482" refreshError="1"/>
      <sheetData sheetId="4483" refreshError="1"/>
      <sheetData sheetId="4484" refreshError="1"/>
      <sheetData sheetId="4485"/>
      <sheetData sheetId="4486" refreshError="1"/>
      <sheetData sheetId="4487" refreshError="1"/>
      <sheetData sheetId="4488" refreshError="1"/>
      <sheetData sheetId="4489" refreshError="1"/>
      <sheetData sheetId="4490" refreshError="1"/>
      <sheetData sheetId="4491" refreshError="1"/>
      <sheetData sheetId="4492" refreshError="1"/>
      <sheetData sheetId="4493" refreshError="1"/>
      <sheetData sheetId="4494" refreshError="1"/>
      <sheetData sheetId="4495" refreshError="1"/>
      <sheetData sheetId="4496" refreshError="1"/>
      <sheetData sheetId="4497" refreshError="1"/>
      <sheetData sheetId="4498" refreshError="1"/>
      <sheetData sheetId="4499" refreshError="1"/>
      <sheetData sheetId="4500" refreshError="1"/>
      <sheetData sheetId="4501" refreshError="1"/>
      <sheetData sheetId="4502" refreshError="1"/>
      <sheetData sheetId="4503" refreshError="1"/>
      <sheetData sheetId="4504" refreshError="1"/>
      <sheetData sheetId="4505" refreshError="1"/>
      <sheetData sheetId="4506" refreshError="1"/>
      <sheetData sheetId="4507" refreshError="1"/>
      <sheetData sheetId="4508" refreshError="1"/>
      <sheetData sheetId="4509" refreshError="1"/>
      <sheetData sheetId="4510" refreshError="1"/>
      <sheetData sheetId="4511" refreshError="1"/>
      <sheetData sheetId="4512" refreshError="1"/>
      <sheetData sheetId="4513" refreshError="1"/>
      <sheetData sheetId="4514" refreshError="1"/>
      <sheetData sheetId="4515" refreshError="1"/>
      <sheetData sheetId="4516" refreshError="1"/>
      <sheetData sheetId="4517" refreshError="1"/>
      <sheetData sheetId="4518" refreshError="1"/>
      <sheetData sheetId="4519" refreshError="1"/>
      <sheetData sheetId="4520" refreshError="1"/>
      <sheetData sheetId="4521" refreshError="1"/>
      <sheetData sheetId="4522" refreshError="1"/>
      <sheetData sheetId="4523" refreshError="1"/>
      <sheetData sheetId="4524" refreshError="1"/>
      <sheetData sheetId="4525" refreshError="1"/>
      <sheetData sheetId="4526" refreshError="1"/>
      <sheetData sheetId="4527" refreshError="1"/>
      <sheetData sheetId="4528" refreshError="1"/>
      <sheetData sheetId="4529" refreshError="1"/>
      <sheetData sheetId="4530" refreshError="1"/>
      <sheetData sheetId="4531" refreshError="1"/>
      <sheetData sheetId="4532" refreshError="1"/>
      <sheetData sheetId="4533" refreshError="1"/>
      <sheetData sheetId="4534">
        <row r="2">
          <cell r="A2" t="str">
            <v>실     명</v>
          </cell>
        </row>
      </sheetData>
      <sheetData sheetId="4535">
        <row r="2">
          <cell r="A2" t="str">
            <v>실     명</v>
          </cell>
        </row>
      </sheetData>
      <sheetData sheetId="4536">
        <row r="2">
          <cell r="A2" t="str">
            <v>실     명</v>
          </cell>
        </row>
      </sheetData>
      <sheetData sheetId="4537">
        <row r="2">
          <cell r="A2" t="str">
            <v>실     명</v>
          </cell>
        </row>
      </sheetData>
      <sheetData sheetId="4538">
        <row r="2">
          <cell r="A2" t="str">
            <v>실     명</v>
          </cell>
        </row>
      </sheetData>
      <sheetData sheetId="4539">
        <row r="2">
          <cell r="A2" t="str">
            <v>실     명</v>
          </cell>
        </row>
      </sheetData>
      <sheetData sheetId="4540">
        <row r="2">
          <cell r="A2" t="str">
            <v>실     명</v>
          </cell>
        </row>
      </sheetData>
      <sheetData sheetId="4541">
        <row r="2">
          <cell r="A2" t="str">
            <v>실     명</v>
          </cell>
        </row>
      </sheetData>
      <sheetData sheetId="4542">
        <row r="2">
          <cell r="A2" t="str">
            <v>실     명</v>
          </cell>
        </row>
      </sheetData>
      <sheetData sheetId="4543">
        <row r="2">
          <cell r="A2" t="str">
            <v>실     명</v>
          </cell>
        </row>
      </sheetData>
      <sheetData sheetId="4544">
        <row r="2">
          <cell r="A2" t="str">
            <v>실     명</v>
          </cell>
        </row>
      </sheetData>
      <sheetData sheetId="4545">
        <row r="2">
          <cell r="A2" t="str">
            <v>실     명</v>
          </cell>
        </row>
      </sheetData>
      <sheetData sheetId="4546" refreshError="1"/>
      <sheetData sheetId="4547" refreshError="1"/>
      <sheetData sheetId="4548" refreshError="1"/>
      <sheetData sheetId="4549">
        <row r="2">
          <cell r="A2" t="str">
            <v>실     명</v>
          </cell>
        </row>
      </sheetData>
      <sheetData sheetId="4550">
        <row r="2">
          <cell r="A2" t="str">
            <v>실     명</v>
          </cell>
        </row>
      </sheetData>
      <sheetData sheetId="4551">
        <row r="2">
          <cell r="A2" t="str">
            <v>실     명</v>
          </cell>
        </row>
      </sheetData>
      <sheetData sheetId="4552">
        <row r="2">
          <cell r="A2" t="str">
            <v>실     명</v>
          </cell>
        </row>
      </sheetData>
      <sheetData sheetId="4553">
        <row r="2">
          <cell r="A2" t="str">
            <v>실     명</v>
          </cell>
        </row>
      </sheetData>
      <sheetData sheetId="4554">
        <row r="2">
          <cell r="A2" t="str">
            <v>실     명</v>
          </cell>
        </row>
      </sheetData>
      <sheetData sheetId="4555">
        <row r="2">
          <cell r="A2" t="str">
            <v>실     명</v>
          </cell>
        </row>
      </sheetData>
      <sheetData sheetId="4556" refreshError="1"/>
      <sheetData sheetId="4557" refreshError="1"/>
      <sheetData sheetId="4558" refreshError="1"/>
      <sheetData sheetId="4559" refreshError="1"/>
      <sheetData sheetId="4560" refreshError="1"/>
      <sheetData sheetId="4561" refreshError="1"/>
      <sheetData sheetId="4562" refreshError="1"/>
      <sheetData sheetId="4563" refreshError="1"/>
      <sheetData sheetId="4564" refreshError="1"/>
      <sheetData sheetId="4565" refreshError="1"/>
      <sheetData sheetId="4566">
        <row r="2">
          <cell r="A2" t="str">
            <v>실     명</v>
          </cell>
        </row>
      </sheetData>
      <sheetData sheetId="4567" refreshError="1"/>
      <sheetData sheetId="4568" refreshError="1"/>
      <sheetData sheetId="4569" refreshError="1"/>
      <sheetData sheetId="4570" refreshError="1"/>
      <sheetData sheetId="4571" refreshError="1"/>
      <sheetData sheetId="4572" refreshError="1"/>
      <sheetData sheetId="4573" refreshError="1"/>
      <sheetData sheetId="4574" refreshError="1"/>
      <sheetData sheetId="4575" refreshError="1"/>
      <sheetData sheetId="4576" refreshError="1"/>
      <sheetData sheetId="4577" refreshError="1"/>
      <sheetData sheetId="4578" refreshError="1"/>
      <sheetData sheetId="4579" refreshError="1"/>
      <sheetData sheetId="4580" refreshError="1"/>
      <sheetData sheetId="4581" refreshError="1"/>
      <sheetData sheetId="4582" refreshError="1"/>
      <sheetData sheetId="4583" refreshError="1"/>
      <sheetData sheetId="4584" refreshError="1"/>
      <sheetData sheetId="4585" refreshError="1"/>
      <sheetData sheetId="4586" refreshError="1"/>
      <sheetData sheetId="4587" refreshError="1"/>
      <sheetData sheetId="4588" refreshError="1"/>
      <sheetData sheetId="4589" refreshError="1"/>
      <sheetData sheetId="4590" refreshError="1"/>
      <sheetData sheetId="4591" refreshError="1"/>
      <sheetData sheetId="4592" refreshError="1"/>
      <sheetData sheetId="4593" refreshError="1"/>
      <sheetData sheetId="4594" refreshError="1"/>
      <sheetData sheetId="4595" refreshError="1"/>
      <sheetData sheetId="4596" refreshError="1"/>
      <sheetData sheetId="4597" refreshError="1"/>
      <sheetData sheetId="4598" refreshError="1"/>
      <sheetData sheetId="4599" refreshError="1"/>
      <sheetData sheetId="4600" refreshError="1"/>
      <sheetData sheetId="4601" refreshError="1"/>
      <sheetData sheetId="4602" refreshError="1"/>
      <sheetData sheetId="4603" refreshError="1"/>
      <sheetData sheetId="4604" refreshError="1"/>
      <sheetData sheetId="4605" refreshError="1"/>
      <sheetData sheetId="4606" refreshError="1"/>
      <sheetData sheetId="4607" refreshError="1"/>
      <sheetData sheetId="4608" refreshError="1"/>
      <sheetData sheetId="4609" refreshError="1"/>
      <sheetData sheetId="4610" refreshError="1"/>
      <sheetData sheetId="4611" refreshError="1"/>
      <sheetData sheetId="4612" refreshError="1"/>
      <sheetData sheetId="4613" refreshError="1"/>
      <sheetData sheetId="4614" refreshError="1"/>
      <sheetData sheetId="4615" refreshError="1"/>
      <sheetData sheetId="4616" refreshError="1"/>
      <sheetData sheetId="4617" refreshError="1"/>
      <sheetData sheetId="4618" refreshError="1"/>
      <sheetData sheetId="4619" refreshError="1"/>
      <sheetData sheetId="4620" refreshError="1"/>
      <sheetData sheetId="4621" refreshError="1"/>
      <sheetData sheetId="4622" refreshError="1"/>
      <sheetData sheetId="4623" refreshError="1"/>
      <sheetData sheetId="4624" refreshError="1"/>
      <sheetData sheetId="4625" refreshError="1"/>
      <sheetData sheetId="4626" refreshError="1"/>
      <sheetData sheetId="4627" refreshError="1"/>
      <sheetData sheetId="4628" refreshError="1"/>
      <sheetData sheetId="4629" refreshError="1"/>
      <sheetData sheetId="4630" refreshError="1"/>
      <sheetData sheetId="4631" refreshError="1"/>
      <sheetData sheetId="4632" refreshError="1"/>
      <sheetData sheetId="4633" refreshError="1"/>
      <sheetData sheetId="4634" refreshError="1"/>
      <sheetData sheetId="4635" refreshError="1"/>
      <sheetData sheetId="4636" refreshError="1"/>
      <sheetData sheetId="4637" refreshError="1"/>
      <sheetData sheetId="4638" refreshError="1"/>
      <sheetData sheetId="4639" refreshError="1"/>
      <sheetData sheetId="4640" refreshError="1"/>
      <sheetData sheetId="4641" refreshError="1"/>
      <sheetData sheetId="4642" refreshError="1"/>
      <sheetData sheetId="4643" refreshError="1"/>
      <sheetData sheetId="4644" refreshError="1"/>
      <sheetData sheetId="4645" refreshError="1"/>
      <sheetData sheetId="4646" refreshError="1"/>
      <sheetData sheetId="4647" refreshError="1"/>
      <sheetData sheetId="4648" refreshError="1"/>
      <sheetData sheetId="4649" refreshError="1"/>
      <sheetData sheetId="4650" refreshError="1"/>
      <sheetData sheetId="4651" refreshError="1"/>
      <sheetData sheetId="4652" refreshError="1"/>
      <sheetData sheetId="4653" refreshError="1"/>
      <sheetData sheetId="4654" refreshError="1"/>
      <sheetData sheetId="4655" refreshError="1"/>
      <sheetData sheetId="4656" refreshError="1"/>
      <sheetData sheetId="4657" refreshError="1"/>
      <sheetData sheetId="4658" refreshError="1"/>
      <sheetData sheetId="4659" refreshError="1"/>
      <sheetData sheetId="4660" refreshError="1"/>
      <sheetData sheetId="4661" refreshError="1"/>
      <sheetData sheetId="4662" refreshError="1"/>
      <sheetData sheetId="4663" refreshError="1"/>
      <sheetData sheetId="4664" refreshError="1"/>
      <sheetData sheetId="4665" refreshError="1"/>
      <sheetData sheetId="4666" refreshError="1"/>
      <sheetData sheetId="4667" refreshError="1"/>
      <sheetData sheetId="4668" refreshError="1"/>
      <sheetData sheetId="4669" refreshError="1"/>
      <sheetData sheetId="4670" refreshError="1"/>
      <sheetData sheetId="4671" refreshError="1"/>
      <sheetData sheetId="4672" refreshError="1"/>
      <sheetData sheetId="4673" refreshError="1"/>
      <sheetData sheetId="4674" refreshError="1"/>
      <sheetData sheetId="4675" refreshError="1"/>
      <sheetData sheetId="4676" refreshError="1"/>
      <sheetData sheetId="4677" refreshError="1"/>
      <sheetData sheetId="4678" refreshError="1"/>
      <sheetData sheetId="4679" refreshError="1"/>
      <sheetData sheetId="4680" refreshError="1"/>
      <sheetData sheetId="4681" refreshError="1"/>
      <sheetData sheetId="4682" refreshError="1"/>
      <sheetData sheetId="4683" refreshError="1"/>
      <sheetData sheetId="4684" refreshError="1"/>
      <sheetData sheetId="4685" refreshError="1"/>
      <sheetData sheetId="4686" refreshError="1"/>
      <sheetData sheetId="4687" refreshError="1"/>
      <sheetData sheetId="4688" refreshError="1"/>
      <sheetData sheetId="4689" refreshError="1"/>
      <sheetData sheetId="4690" refreshError="1"/>
      <sheetData sheetId="4691" refreshError="1"/>
      <sheetData sheetId="4692" refreshError="1"/>
      <sheetData sheetId="4693" refreshError="1"/>
      <sheetData sheetId="4694" refreshError="1"/>
      <sheetData sheetId="4695" refreshError="1"/>
      <sheetData sheetId="4696" refreshError="1"/>
      <sheetData sheetId="4697" refreshError="1"/>
      <sheetData sheetId="4698" refreshError="1"/>
      <sheetData sheetId="4699" refreshError="1"/>
      <sheetData sheetId="4700" refreshError="1"/>
      <sheetData sheetId="4701" refreshError="1"/>
      <sheetData sheetId="4702" refreshError="1"/>
      <sheetData sheetId="4703" refreshError="1"/>
      <sheetData sheetId="4704" refreshError="1"/>
      <sheetData sheetId="4705" refreshError="1"/>
      <sheetData sheetId="4706" refreshError="1"/>
      <sheetData sheetId="4707" refreshError="1"/>
      <sheetData sheetId="4708" refreshError="1"/>
      <sheetData sheetId="4709" refreshError="1"/>
      <sheetData sheetId="4710" refreshError="1"/>
      <sheetData sheetId="4711" refreshError="1"/>
      <sheetData sheetId="4712" refreshError="1"/>
      <sheetData sheetId="4713" refreshError="1"/>
      <sheetData sheetId="4714" refreshError="1"/>
      <sheetData sheetId="4715" refreshError="1"/>
      <sheetData sheetId="4716" refreshError="1"/>
      <sheetData sheetId="4717" refreshError="1"/>
      <sheetData sheetId="4718" refreshError="1"/>
      <sheetData sheetId="4719" refreshError="1"/>
      <sheetData sheetId="4720" refreshError="1"/>
      <sheetData sheetId="4721" refreshError="1"/>
      <sheetData sheetId="4722" refreshError="1"/>
      <sheetData sheetId="4723" refreshError="1"/>
      <sheetData sheetId="4724" refreshError="1"/>
      <sheetData sheetId="4725" refreshError="1"/>
      <sheetData sheetId="4726" refreshError="1"/>
      <sheetData sheetId="4727" refreshError="1"/>
      <sheetData sheetId="4728" refreshError="1"/>
      <sheetData sheetId="4729" refreshError="1"/>
      <sheetData sheetId="4730" refreshError="1"/>
      <sheetData sheetId="4731" refreshError="1"/>
      <sheetData sheetId="4732" refreshError="1"/>
      <sheetData sheetId="4733" refreshError="1"/>
      <sheetData sheetId="4734" refreshError="1"/>
      <sheetData sheetId="4735" refreshError="1"/>
      <sheetData sheetId="4736" refreshError="1"/>
      <sheetData sheetId="4737" refreshError="1"/>
      <sheetData sheetId="4738" refreshError="1"/>
      <sheetData sheetId="4739" refreshError="1"/>
      <sheetData sheetId="4740" refreshError="1"/>
      <sheetData sheetId="4741" refreshError="1"/>
      <sheetData sheetId="4742" refreshError="1"/>
      <sheetData sheetId="4743" refreshError="1"/>
      <sheetData sheetId="4744" refreshError="1"/>
      <sheetData sheetId="4745" refreshError="1"/>
      <sheetData sheetId="4746" refreshError="1"/>
      <sheetData sheetId="4747" refreshError="1"/>
      <sheetData sheetId="4748" refreshError="1"/>
      <sheetData sheetId="4749" refreshError="1"/>
      <sheetData sheetId="4750" refreshError="1"/>
      <sheetData sheetId="4751" refreshError="1"/>
      <sheetData sheetId="4752" refreshError="1"/>
      <sheetData sheetId="4753" refreshError="1"/>
      <sheetData sheetId="4754" refreshError="1"/>
      <sheetData sheetId="4755" refreshError="1"/>
      <sheetData sheetId="4756">
        <row r="2">
          <cell r="A2" t="str">
            <v>실     명</v>
          </cell>
        </row>
      </sheetData>
      <sheetData sheetId="4757">
        <row r="2">
          <cell r="A2" t="str">
            <v>실     명</v>
          </cell>
        </row>
      </sheetData>
      <sheetData sheetId="4758" refreshError="1"/>
      <sheetData sheetId="4759" refreshError="1"/>
      <sheetData sheetId="4760" refreshError="1"/>
      <sheetData sheetId="4761" refreshError="1"/>
      <sheetData sheetId="4762" refreshError="1"/>
      <sheetData sheetId="4763" refreshError="1"/>
      <sheetData sheetId="4764" refreshError="1"/>
      <sheetData sheetId="4765" refreshError="1"/>
      <sheetData sheetId="4766" refreshError="1"/>
      <sheetData sheetId="4767" refreshError="1"/>
      <sheetData sheetId="4768" refreshError="1"/>
      <sheetData sheetId="4769" refreshError="1"/>
      <sheetData sheetId="4770" refreshError="1"/>
      <sheetData sheetId="4771" refreshError="1"/>
      <sheetData sheetId="4772" refreshError="1"/>
      <sheetData sheetId="4773" refreshError="1"/>
      <sheetData sheetId="4774" refreshError="1"/>
      <sheetData sheetId="4775" refreshError="1"/>
      <sheetData sheetId="4776" refreshError="1"/>
      <sheetData sheetId="4777">
        <row r="2">
          <cell r="A2" t="str">
            <v>실     명</v>
          </cell>
        </row>
      </sheetData>
      <sheetData sheetId="4778">
        <row r="2">
          <cell r="A2" t="str">
            <v>실     명</v>
          </cell>
        </row>
      </sheetData>
      <sheetData sheetId="4779">
        <row r="2">
          <cell r="A2" t="str">
            <v>실     명</v>
          </cell>
        </row>
      </sheetData>
      <sheetData sheetId="4780">
        <row r="2">
          <cell r="A2" t="str">
            <v>실     명</v>
          </cell>
        </row>
      </sheetData>
      <sheetData sheetId="4781">
        <row r="2">
          <cell r="A2" t="str">
            <v>실     명</v>
          </cell>
        </row>
      </sheetData>
      <sheetData sheetId="4782">
        <row r="2">
          <cell r="A2" t="str">
            <v>실     명</v>
          </cell>
        </row>
      </sheetData>
      <sheetData sheetId="4783">
        <row r="2">
          <cell r="A2" t="str">
            <v>실     명</v>
          </cell>
        </row>
      </sheetData>
      <sheetData sheetId="4784">
        <row r="2">
          <cell r="A2" t="str">
            <v>실     명</v>
          </cell>
        </row>
      </sheetData>
      <sheetData sheetId="4785">
        <row r="2">
          <cell r="A2" t="str">
            <v>실     명</v>
          </cell>
        </row>
      </sheetData>
      <sheetData sheetId="4786">
        <row r="2">
          <cell r="A2" t="str">
            <v>실     명</v>
          </cell>
        </row>
      </sheetData>
      <sheetData sheetId="4787">
        <row r="2">
          <cell r="A2" t="str">
            <v>실     명</v>
          </cell>
        </row>
      </sheetData>
      <sheetData sheetId="4788">
        <row r="2">
          <cell r="A2" t="str">
            <v>실     명</v>
          </cell>
        </row>
      </sheetData>
      <sheetData sheetId="4789">
        <row r="2">
          <cell r="A2" t="str">
            <v>실     명</v>
          </cell>
        </row>
      </sheetData>
      <sheetData sheetId="4790">
        <row r="2">
          <cell r="A2" t="str">
            <v>실     명</v>
          </cell>
        </row>
      </sheetData>
      <sheetData sheetId="4791">
        <row r="2">
          <cell r="A2" t="str">
            <v>실     명</v>
          </cell>
        </row>
      </sheetData>
      <sheetData sheetId="4792">
        <row r="2">
          <cell r="A2" t="str">
            <v>실     명</v>
          </cell>
        </row>
      </sheetData>
      <sheetData sheetId="4793">
        <row r="2">
          <cell r="A2" t="str">
            <v>실     명</v>
          </cell>
        </row>
      </sheetData>
      <sheetData sheetId="4794">
        <row r="2">
          <cell r="A2" t="str">
            <v>실     명</v>
          </cell>
        </row>
      </sheetData>
      <sheetData sheetId="4795">
        <row r="2">
          <cell r="A2" t="str">
            <v>실     명</v>
          </cell>
        </row>
      </sheetData>
      <sheetData sheetId="4796">
        <row r="2">
          <cell r="A2" t="str">
            <v>실     명</v>
          </cell>
        </row>
      </sheetData>
      <sheetData sheetId="4797">
        <row r="2">
          <cell r="A2" t="str">
            <v>실     명</v>
          </cell>
        </row>
      </sheetData>
      <sheetData sheetId="4798">
        <row r="2">
          <cell r="A2" t="str">
            <v>실     명</v>
          </cell>
        </row>
      </sheetData>
      <sheetData sheetId="4799">
        <row r="2">
          <cell r="A2" t="str">
            <v>실     명</v>
          </cell>
        </row>
      </sheetData>
      <sheetData sheetId="4800">
        <row r="2">
          <cell r="A2" t="str">
            <v>실     명</v>
          </cell>
        </row>
      </sheetData>
      <sheetData sheetId="4801">
        <row r="2">
          <cell r="A2" t="str">
            <v>실     명</v>
          </cell>
        </row>
      </sheetData>
      <sheetData sheetId="4802">
        <row r="2">
          <cell r="A2" t="str">
            <v>실     명</v>
          </cell>
        </row>
      </sheetData>
      <sheetData sheetId="4803">
        <row r="2">
          <cell r="A2" t="str">
            <v>실     명</v>
          </cell>
        </row>
      </sheetData>
      <sheetData sheetId="4804">
        <row r="2">
          <cell r="A2" t="str">
            <v>실     명</v>
          </cell>
        </row>
      </sheetData>
      <sheetData sheetId="4805">
        <row r="2">
          <cell r="A2" t="str">
            <v>실     명</v>
          </cell>
        </row>
      </sheetData>
      <sheetData sheetId="4806">
        <row r="2">
          <cell r="A2" t="str">
            <v>실     명</v>
          </cell>
        </row>
      </sheetData>
      <sheetData sheetId="4807">
        <row r="2">
          <cell r="A2" t="str">
            <v>실     명</v>
          </cell>
        </row>
      </sheetData>
      <sheetData sheetId="4808">
        <row r="2">
          <cell r="A2" t="str">
            <v>실     명</v>
          </cell>
        </row>
      </sheetData>
      <sheetData sheetId="4809">
        <row r="2">
          <cell r="A2" t="str">
            <v>실     명</v>
          </cell>
        </row>
      </sheetData>
      <sheetData sheetId="4810">
        <row r="2">
          <cell r="A2" t="str">
            <v>실     명</v>
          </cell>
        </row>
      </sheetData>
      <sheetData sheetId="4811">
        <row r="2">
          <cell r="A2" t="str">
            <v>실     명</v>
          </cell>
        </row>
      </sheetData>
      <sheetData sheetId="4812">
        <row r="2">
          <cell r="A2" t="str">
            <v>실     명</v>
          </cell>
        </row>
      </sheetData>
      <sheetData sheetId="4813">
        <row r="2">
          <cell r="A2" t="str">
            <v>실     명</v>
          </cell>
        </row>
      </sheetData>
      <sheetData sheetId="4814">
        <row r="2">
          <cell r="A2" t="str">
            <v>실     명</v>
          </cell>
        </row>
      </sheetData>
      <sheetData sheetId="4815">
        <row r="2">
          <cell r="A2" t="str">
            <v>실     명</v>
          </cell>
        </row>
      </sheetData>
      <sheetData sheetId="4816">
        <row r="2">
          <cell r="A2" t="str">
            <v>실     명</v>
          </cell>
        </row>
      </sheetData>
      <sheetData sheetId="4817">
        <row r="2">
          <cell r="A2" t="str">
            <v>실     명</v>
          </cell>
        </row>
      </sheetData>
      <sheetData sheetId="4818">
        <row r="2">
          <cell r="A2" t="str">
            <v>실     명</v>
          </cell>
        </row>
      </sheetData>
      <sheetData sheetId="4819">
        <row r="2">
          <cell r="A2" t="str">
            <v>실     명</v>
          </cell>
        </row>
      </sheetData>
      <sheetData sheetId="4820">
        <row r="2">
          <cell r="A2" t="str">
            <v>실     명</v>
          </cell>
        </row>
      </sheetData>
      <sheetData sheetId="4821">
        <row r="2">
          <cell r="A2" t="str">
            <v>실     명</v>
          </cell>
        </row>
      </sheetData>
      <sheetData sheetId="4822">
        <row r="2">
          <cell r="A2" t="str">
            <v>실     명</v>
          </cell>
        </row>
      </sheetData>
      <sheetData sheetId="4823">
        <row r="2">
          <cell r="A2" t="str">
            <v>실     명</v>
          </cell>
        </row>
      </sheetData>
      <sheetData sheetId="4824">
        <row r="2">
          <cell r="A2" t="str">
            <v>실     명</v>
          </cell>
        </row>
      </sheetData>
      <sheetData sheetId="4825">
        <row r="2">
          <cell r="A2" t="str">
            <v>실     명</v>
          </cell>
        </row>
      </sheetData>
      <sheetData sheetId="4826">
        <row r="2">
          <cell r="A2" t="str">
            <v>실     명</v>
          </cell>
        </row>
      </sheetData>
      <sheetData sheetId="4827">
        <row r="2">
          <cell r="A2" t="str">
            <v>실     명</v>
          </cell>
        </row>
      </sheetData>
      <sheetData sheetId="4828">
        <row r="2">
          <cell r="A2" t="str">
            <v>실     명</v>
          </cell>
        </row>
      </sheetData>
      <sheetData sheetId="4829">
        <row r="2">
          <cell r="A2" t="str">
            <v>실     명</v>
          </cell>
        </row>
      </sheetData>
      <sheetData sheetId="4830">
        <row r="2">
          <cell r="A2" t="str">
            <v>실     명</v>
          </cell>
        </row>
      </sheetData>
      <sheetData sheetId="4831">
        <row r="2">
          <cell r="A2" t="str">
            <v>실     명</v>
          </cell>
        </row>
      </sheetData>
      <sheetData sheetId="4832">
        <row r="2">
          <cell r="A2" t="str">
            <v>실     명</v>
          </cell>
        </row>
      </sheetData>
      <sheetData sheetId="4833">
        <row r="2">
          <cell r="A2" t="str">
            <v>실     명</v>
          </cell>
        </row>
      </sheetData>
      <sheetData sheetId="4834">
        <row r="2">
          <cell r="A2" t="str">
            <v>실     명</v>
          </cell>
        </row>
      </sheetData>
      <sheetData sheetId="4835">
        <row r="2">
          <cell r="A2" t="str">
            <v>실     명</v>
          </cell>
        </row>
      </sheetData>
      <sheetData sheetId="4836">
        <row r="2">
          <cell r="A2" t="str">
            <v>실     명</v>
          </cell>
        </row>
      </sheetData>
      <sheetData sheetId="4837">
        <row r="2">
          <cell r="A2" t="str">
            <v>실     명</v>
          </cell>
        </row>
      </sheetData>
      <sheetData sheetId="4838">
        <row r="2">
          <cell r="A2" t="str">
            <v>실     명</v>
          </cell>
        </row>
      </sheetData>
      <sheetData sheetId="4839">
        <row r="2">
          <cell r="A2" t="str">
            <v>실     명</v>
          </cell>
        </row>
      </sheetData>
      <sheetData sheetId="4840">
        <row r="2">
          <cell r="A2" t="str">
            <v>실     명</v>
          </cell>
        </row>
      </sheetData>
      <sheetData sheetId="4841">
        <row r="2">
          <cell r="A2" t="str">
            <v>실     명</v>
          </cell>
        </row>
      </sheetData>
      <sheetData sheetId="4842">
        <row r="2">
          <cell r="A2" t="str">
            <v>실     명</v>
          </cell>
        </row>
      </sheetData>
      <sheetData sheetId="4843">
        <row r="2">
          <cell r="A2" t="str">
            <v>실     명</v>
          </cell>
        </row>
      </sheetData>
      <sheetData sheetId="4844">
        <row r="2">
          <cell r="A2" t="str">
            <v>실     명</v>
          </cell>
        </row>
      </sheetData>
      <sheetData sheetId="4845">
        <row r="2">
          <cell r="A2" t="str">
            <v>실     명</v>
          </cell>
        </row>
      </sheetData>
      <sheetData sheetId="4846">
        <row r="2">
          <cell r="A2" t="str">
            <v>실     명</v>
          </cell>
        </row>
      </sheetData>
      <sheetData sheetId="4847">
        <row r="2">
          <cell r="A2" t="str">
            <v>실     명</v>
          </cell>
        </row>
      </sheetData>
      <sheetData sheetId="4848">
        <row r="2">
          <cell r="A2" t="str">
            <v>실     명</v>
          </cell>
        </row>
      </sheetData>
      <sheetData sheetId="4849">
        <row r="2">
          <cell r="A2" t="str">
            <v>실     명</v>
          </cell>
        </row>
      </sheetData>
      <sheetData sheetId="4850">
        <row r="2">
          <cell r="A2" t="str">
            <v>실     명</v>
          </cell>
        </row>
      </sheetData>
      <sheetData sheetId="4851">
        <row r="2">
          <cell r="A2" t="str">
            <v>실     명</v>
          </cell>
        </row>
      </sheetData>
      <sheetData sheetId="4852">
        <row r="2">
          <cell r="A2" t="str">
            <v>실     명</v>
          </cell>
        </row>
      </sheetData>
      <sheetData sheetId="4853">
        <row r="2">
          <cell r="A2" t="str">
            <v>실     명</v>
          </cell>
        </row>
      </sheetData>
      <sheetData sheetId="4854">
        <row r="2">
          <cell r="A2" t="str">
            <v>실     명</v>
          </cell>
        </row>
      </sheetData>
      <sheetData sheetId="4855">
        <row r="2">
          <cell r="A2" t="str">
            <v>실     명</v>
          </cell>
        </row>
      </sheetData>
      <sheetData sheetId="4856">
        <row r="2">
          <cell r="A2" t="str">
            <v>실     명</v>
          </cell>
        </row>
      </sheetData>
      <sheetData sheetId="4857">
        <row r="2">
          <cell r="A2" t="str">
            <v>실     명</v>
          </cell>
        </row>
      </sheetData>
      <sheetData sheetId="4858">
        <row r="2">
          <cell r="A2" t="str">
            <v>실     명</v>
          </cell>
        </row>
      </sheetData>
      <sheetData sheetId="4859">
        <row r="2">
          <cell r="A2" t="str">
            <v>실     명</v>
          </cell>
        </row>
      </sheetData>
      <sheetData sheetId="4860">
        <row r="2">
          <cell r="A2" t="str">
            <v>실     명</v>
          </cell>
        </row>
      </sheetData>
      <sheetData sheetId="4861">
        <row r="2">
          <cell r="A2" t="str">
            <v>실     명</v>
          </cell>
        </row>
      </sheetData>
      <sheetData sheetId="4862">
        <row r="2">
          <cell r="A2" t="str">
            <v>실     명</v>
          </cell>
        </row>
      </sheetData>
      <sheetData sheetId="4863">
        <row r="2">
          <cell r="A2" t="str">
            <v>실     명</v>
          </cell>
        </row>
      </sheetData>
      <sheetData sheetId="4864">
        <row r="2">
          <cell r="A2" t="str">
            <v>실     명</v>
          </cell>
        </row>
      </sheetData>
      <sheetData sheetId="4865">
        <row r="2">
          <cell r="A2" t="str">
            <v>실     명</v>
          </cell>
        </row>
      </sheetData>
      <sheetData sheetId="4866">
        <row r="2">
          <cell r="A2" t="str">
            <v>실     명</v>
          </cell>
        </row>
      </sheetData>
      <sheetData sheetId="4867">
        <row r="2">
          <cell r="A2" t="str">
            <v>실     명</v>
          </cell>
        </row>
      </sheetData>
      <sheetData sheetId="4868">
        <row r="2">
          <cell r="A2" t="str">
            <v>실     명</v>
          </cell>
        </row>
      </sheetData>
      <sheetData sheetId="4869">
        <row r="2">
          <cell r="A2" t="str">
            <v>실     명</v>
          </cell>
        </row>
      </sheetData>
      <sheetData sheetId="4870">
        <row r="2">
          <cell r="A2" t="str">
            <v>실     명</v>
          </cell>
        </row>
      </sheetData>
      <sheetData sheetId="4871">
        <row r="2">
          <cell r="A2" t="str">
            <v>실     명</v>
          </cell>
        </row>
      </sheetData>
      <sheetData sheetId="4872">
        <row r="2">
          <cell r="A2" t="str">
            <v>실     명</v>
          </cell>
        </row>
      </sheetData>
      <sheetData sheetId="4873">
        <row r="2">
          <cell r="A2" t="str">
            <v>실     명</v>
          </cell>
        </row>
      </sheetData>
      <sheetData sheetId="4874">
        <row r="2">
          <cell r="A2" t="str">
            <v>실     명</v>
          </cell>
        </row>
      </sheetData>
      <sheetData sheetId="4875">
        <row r="2">
          <cell r="A2" t="str">
            <v>실     명</v>
          </cell>
        </row>
      </sheetData>
      <sheetData sheetId="4876">
        <row r="2">
          <cell r="A2" t="str">
            <v>실     명</v>
          </cell>
        </row>
      </sheetData>
      <sheetData sheetId="4877">
        <row r="2">
          <cell r="A2" t="str">
            <v>실     명</v>
          </cell>
        </row>
      </sheetData>
      <sheetData sheetId="4878">
        <row r="2">
          <cell r="A2" t="str">
            <v>실     명</v>
          </cell>
        </row>
      </sheetData>
      <sheetData sheetId="4879">
        <row r="2">
          <cell r="A2" t="str">
            <v>실     명</v>
          </cell>
        </row>
      </sheetData>
      <sheetData sheetId="4880">
        <row r="2">
          <cell r="A2" t="str">
            <v>실     명</v>
          </cell>
        </row>
      </sheetData>
      <sheetData sheetId="4881">
        <row r="2">
          <cell r="A2" t="str">
            <v>실     명</v>
          </cell>
        </row>
      </sheetData>
      <sheetData sheetId="4882">
        <row r="2">
          <cell r="A2" t="str">
            <v>실     명</v>
          </cell>
        </row>
      </sheetData>
      <sheetData sheetId="4883">
        <row r="2">
          <cell r="A2" t="str">
            <v>실     명</v>
          </cell>
        </row>
      </sheetData>
      <sheetData sheetId="4884">
        <row r="2">
          <cell r="A2" t="str">
            <v>실     명</v>
          </cell>
        </row>
      </sheetData>
      <sheetData sheetId="4885">
        <row r="2">
          <cell r="A2" t="str">
            <v>실     명</v>
          </cell>
        </row>
      </sheetData>
      <sheetData sheetId="4886">
        <row r="2">
          <cell r="A2" t="str">
            <v>실     명</v>
          </cell>
        </row>
      </sheetData>
      <sheetData sheetId="4887">
        <row r="2">
          <cell r="A2" t="str">
            <v>실     명</v>
          </cell>
        </row>
      </sheetData>
      <sheetData sheetId="4888">
        <row r="2">
          <cell r="A2" t="str">
            <v>실     명</v>
          </cell>
        </row>
      </sheetData>
      <sheetData sheetId="4889">
        <row r="2">
          <cell r="A2" t="str">
            <v>실     명</v>
          </cell>
        </row>
      </sheetData>
      <sheetData sheetId="4890">
        <row r="2">
          <cell r="A2" t="str">
            <v>실     명</v>
          </cell>
        </row>
      </sheetData>
      <sheetData sheetId="4891">
        <row r="2">
          <cell r="A2" t="str">
            <v>실     명</v>
          </cell>
        </row>
      </sheetData>
      <sheetData sheetId="4892">
        <row r="2">
          <cell r="A2" t="str">
            <v>실     명</v>
          </cell>
        </row>
      </sheetData>
      <sheetData sheetId="4893">
        <row r="2">
          <cell r="A2" t="str">
            <v>실     명</v>
          </cell>
        </row>
      </sheetData>
      <sheetData sheetId="4894">
        <row r="2">
          <cell r="A2" t="str">
            <v>실     명</v>
          </cell>
        </row>
      </sheetData>
      <sheetData sheetId="4895">
        <row r="2">
          <cell r="A2" t="str">
            <v>실     명</v>
          </cell>
        </row>
      </sheetData>
      <sheetData sheetId="4896">
        <row r="2">
          <cell r="A2" t="str">
            <v>실     명</v>
          </cell>
        </row>
      </sheetData>
      <sheetData sheetId="4897">
        <row r="2">
          <cell r="A2" t="str">
            <v>실     명</v>
          </cell>
        </row>
      </sheetData>
      <sheetData sheetId="4898">
        <row r="2">
          <cell r="A2" t="str">
            <v>실     명</v>
          </cell>
        </row>
      </sheetData>
      <sheetData sheetId="4899">
        <row r="2">
          <cell r="A2" t="str">
            <v>실     명</v>
          </cell>
        </row>
      </sheetData>
      <sheetData sheetId="4900">
        <row r="2">
          <cell r="A2" t="str">
            <v>실     명</v>
          </cell>
        </row>
      </sheetData>
      <sheetData sheetId="4901">
        <row r="2">
          <cell r="A2" t="str">
            <v>실     명</v>
          </cell>
        </row>
      </sheetData>
      <sheetData sheetId="4902">
        <row r="2">
          <cell r="A2" t="str">
            <v>실     명</v>
          </cell>
        </row>
      </sheetData>
      <sheetData sheetId="4903">
        <row r="2">
          <cell r="A2" t="str">
            <v>실     명</v>
          </cell>
        </row>
      </sheetData>
      <sheetData sheetId="4904">
        <row r="2">
          <cell r="A2" t="str">
            <v>실     명</v>
          </cell>
        </row>
      </sheetData>
      <sheetData sheetId="4905">
        <row r="2">
          <cell r="A2" t="str">
            <v>실     명</v>
          </cell>
        </row>
      </sheetData>
      <sheetData sheetId="4906">
        <row r="2">
          <cell r="A2" t="str">
            <v>실     명</v>
          </cell>
        </row>
      </sheetData>
      <sheetData sheetId="4907">
        <row r="2">
          <cell r="A2" t="str">
            <v>실     명</v>
          </cell>
        </row>
      </sheetData>
      <sheetData sheetId="4908">
        <row r="2">
          <cell r="A2" t="str">
            <v>실     명</v>
          </cell>
        </row>
      </sheetData>
      <sheetData sheetId="4909">
        <row r="2">
          <cell r="A2" t="str">
            <v>실     명</v>
          </cell>
        </row>
      </sheetData>
      <sheetData sheetId="4910">
        <row r="2">
          <cell r="A2" t="str">
            <v>실     명</v>
          </cell>
        </row>
      </sheetData>
      <sheetData sheetId="4911">
        <row r="2">
          <cell r="A2" t="str">
            <v>실     명</v>
          </cell>
        </row>
      </sheetData>
      <sheetData sheetId="4912">
        <row r="2">
          <cell r="A2" t="str">
            <v>실     명</v>
          </cell>
        </row>
      </sheetData>
      <sheetData sheetId="4913">
        <row r="2">
          <cell r="A2" t="str">
            <v>실     명</v>
          </cell>
        </row>
      </sheetData>
      <sheetData sheetId="4914">
        <row r="2">
          <cell r="A2" t="str">
            <v>실     명</v>
          </cell>
        </row>
      </sheetData>
      <sheetData sheetId="4915">
        <row r="2">
          <cell r="A2" t="str">
            <v>실     명</v>
          </cell>
        </row>
      </sheetData>
      <sheetData sheetId="4916">
        <row r="2">
          <cell r="A2" t="str">
            <v>실     명</v>
          </cell>
        </row>
      </sheetData>
      <sheetData sheetId="4917">
        <row r="2">
          <cell r="A2" t="str">
            <v>실     명</v>
          </cell>
        </row>
      </sheetData>
      <sheetData sheetId="4918">
        <row r="2">
          <cell r="A2" t="str">
            <v>실     명</v>
          </cell>
        </row>
      </sheetData>
      <sheetData sheetId="4919">
        <row r="2">
          <cell r="A2" t="str">
            <v>실     명</v>
          </cell>
        </row>
      </sheetData>
      <sheetData sheetId="4920">
        <row r="2">
          <cell r="A2" t="str">
            <v>실     명</v>
          </cell>
        </row>
      </sheetData>
      <sheetData sheetId="4921">
        <row r="2">
          <cell r="A2" t="str">
            <v>실     명</v>
          </cell>
        </row>
      </sheetData>
      <sheetData sheetId="4922">
        <row r="2">
          <cell r="A2" t="str">
            <v>실     명</v>
          </cell>
        </row>
      </sheetData>
      <sheetData sheetId="4923">
        <row r="2">
          <cell r="A2" t="str">
            <v>실     명</v>
          </cell>
        </row>
      </sheetData>
      <sheetData sheetId="4924">
        <row r="2">
          <cell r="A2" t="str">
            <v>실     명</v>
          </cell>
        </row>
      </sheetData>
      <sheetData sheetId="4925">
        <row r="2">
          <cell r="A2" t="str">
            <v>실     명</v>
          </cell>
        </row>
      </sheetData>
      <sheetData sheetId="4926">
        <row r="2">
          <cell r="A2" t="str">
            <v>실     명</v>
          </cell>
        </row>
      </sheetData>
      <sheetData sheetId="4927">
        <row r="2">
          <cell r="A2" t="str">
            <v>실     명</v>
          </cell>
        </row>
      </sheetData>
      <sheetData sheetId="4928">
        <row r="2">
          <cell r="A2" t="str">
            <v>실     명</v>
          </cell>
        </row>
      </sheetData>
      <sheetData sheetId="4929">
        <row r="2">
          <cell r="A2" t="str">
            <v>실     명</v>
          </cell>
        </row>
      </sheetData>
      <sheetData sheetId="4930">
        <row r="2">
          <cell r="A2" t="str">
            <v>실     명</v>
          </cell>
        </row>
      </sheetData>
      <sheetData sheetId="4931">
        <row r="2">
          <cell r="A2" t="str">
            <v>실     명</v>
          </cell>
        </row>
      </sheetData>
      <sheetData sheetId="4932">
        <row r="2">
          <cell r="A2" t="str">
            <v>실     명</v>
          </cell>
        </row>
      </sheetData>
      <sheetData sheetId="4933">
        <row r="2">
          <cell r="A2" t="str">
            <v>실     명</v>
          </cell>
        </row>
      </sheetData>
      <sheetData sheetId="4934">
        <row r="2">
          <cell r="A2" t="str">
            <v>실     명</v>
          </cell>
        </row>
      </sheetData>
      <sheetData sheetId="4935">
        <row r="2">
          <cell r="A2" t="str">
            <v>실     명</v>
          </cell>
        </row>
      </sheetData>
      <sheetData sheetId="4936">
        <row r="2">
          <cell r="A2" t="str">
            <v>실     명</v>
          </cell>
        </row>
      </sheetData>
      <sheetData sheetId="4937">
        <row r="2">
          <cell r="A2" t="str">
            <v>실     명</v>
          </cell>
        </row>
      </sheetData>
      <sheetData sheetId="4938">
        <row r="2">
          <cell r="A2" t="str">
            <v>실     명</v>
          </cell>
        </row>
      </sheetData>
      <sheetData sheetId="4939">
        <row r="2">
          <cell r="A2" t="str">
            <v>실     명</v>
          </cell>
        </row>
      </sheetData>
      <sheetData sheetId="4940">
        <row r="2">
          <cell r="A2" t="str">
            <v>실     명</v>
          </cell>
        </row>
      </sheetData>
      <sheetData sheetId="4941">
        <row r="2">
          <cell r="A2" t="str">
            <v>실     명</v>
          </cell>
        </row>
      </sheetData>
      <sheetData sheetId="4942">
        <row r="2">
          <cell r="A2" t="str">
            <v>실     명</v>
          </cell>
        </row>
      </sheetData>
      <sheetData sheetId="4943">
        <row r="2">
          <cell r="A2" t="str">
            <v>실     명</v>
          </cell>
        </row>
      </sheetData>
      <sheetData sheetId="4944">
        <row r="2">
          <cell r="A2" t="str">
            <v>실     명</v>
          </cell>
        </row>
      </sheetData>
      <sheetData sheetId="4945">
        <row r="2">
          <cell r="A2" t="str">
            <v>실     명</v>
          </cell>
        </row>
      </sheetData>
      <sheetData sheetId="4946">
        <row r="2">
          <cell r="A2" t="str">
            <v>실     명</v>
          </cell>
        </row>
      </sheetData>
      <sheetData sheetId="4947">
        <row r="2">
          <cell r="A2" t="str">
            <v>실     명</v>
          </cell>
        </row>
      </sheetData>
      <sheetData sheetId="4948">
        <row r="2">
          <cell r="A2" t="str">
            <v>실     명</v>
          </cell>
        </row>
      </sheetData>
      <sheetData sheetId="4949">
        <row r="2">
          <cell r="A2" t="str">
            <v>실     명</v>
          </cell>
        </row>
      </sheetData>
      <sheetData sheetId="4950">
        <row r="2">
          <cell r="A2" t="str">
            <v>실     명</v>
          </cell>
        </row>
      </sheetData>
      <sheetData sheetId="4951">
        <row r="2">
          <cell r="A2" t="str">
            <v>실     명</v>
          </cell>
        </row>
      </sheetData>
      <sheetData sheetId="4952">
        <row r="2">
          <cell r="A2" t="str">
            <v>실     명</v>
          </cell>
        </row>
      </sheetData>
      <sheetData sheetId="4953">
        <row r="2">
          <cell r="A2" t="str">
            <v>실     명</v>
          </cell>
        </row>
      </sheetData>
      <sheetData sheetId="4954">
        <row r="2">
          <cell r="A2" t="str">
            <v>실     명</v>
          </cell>
        </row>
      </sheetData>
      <sheetData sheetId="4955">
        <row r="2">
          <cell r="A2" t="str">
            <v>실     명</v>
          </cell>
        </row>
      </sheetData>
      <sheetData sheetId="4956">
        <row r="2">
          <cell r="A2" t="str">
            <v>실     명</v>
          </cell>
        </row>
      </sheetData>
      <sheetData sheetId="4957">
        <row r="2">
          <cell r="A2" t="str">
            <v>실     명</v>
          </cell>
        </row>
      </sheetData>
      <sheetData sheetId="4958">
        <row r="2">
          <cell r="A2" t="str">
            <v>실     명</v>
          </cell>
        </row>
      </sheetData>
      <sheetData sheetId="4959">
        <row r="2">
          <cell r="A2" t="str">
            <v>실     명</v>
          </cell>
        </row>
      </sheetData>
      <sheetData sheetId="4960">
        <row r="2">
          <cell r="A2" t="str">
            <v>실     명</v>
          </cell>
        </row>
      </sheetData>
      <sheetData sheetId="4961">
        <row r="2">
          <cell r="A2" t="str">
            <v>실     명</v>
          </cell>
        </row>
      </sheetData>
      <sheetData sheetId="4962">
        <row r="2">
          <cell r="A2" t="str">
            <v>실     명</v>
          </cell>
        </row>
      </sheetData>
      <sheetData sheetId="4963">
        <row r="2">
          <cell r="A2" t="str">
            <v>실     명</v>
          </cell>
        </row>
      </sheetData>
      <sheetData sheetId="4964">
        <row r="2">
          <cell r="A2" t="str">
            <v>실     명</v>
          </cell>
        </row>
      </sheetData>
      <sheetData sheetId="4965">
        <row r="2">
          <cell r="A2" t="str">
            <v>실     명</v>
          </cell>
        </row>
      </sheetData>
      <sheetData sheetId="4966">
        <row r="2">
          <cell r="A2" t="str">
            <v>실     명</v>
          </cell>
        </row>
      </sheetData>
      <sheetData sheetId="4967">
        <row r="2">
          <cell r="A2" t="str">
            <v>실     명</v>
          </cell>
        </row>
      </sheetData>
      <sheetData sheetId="4968">
        <row r="2">
          <cell r="A2" t="str">
            <v>실     명</v>
          </cell>
        </row>
      </sheetData>
      <sheetData sheetId="4969">
        <row r="2">
          <cell r="A2" t="str">
            <v>실     명</v>
          </cell>
        </row>
      </sheetData>
      <sheetData sheetId="4970">
        <row r="2">
          <cell r="A2" t="str">
            <v>실     명</v>
          </cell>
        </row>
      </sheetData>
      <sheetData sheetId="4971">
        <row r="2">
          <cell r="A2" t="str">
            <v>실     명</v>
          </cell>
        </row>
      </sheetData>
      <sheetData sheetId="4972">
        <row r="2">
          <cell r="A2" t="str">
            <v>실     명</v>
          </cell>
        </row>
      </sheetData>
      <sheetData sheetId="4973">
        <row r="2">
          <cell r="A2" t="str">
            <v>실     명</v>
          </cell>
        </row>
      </sheetData>
      <sheetData sheetId="4974">
        <row r="2">
          <cell r="A2" t="str">
            <v>실     명</v>
          </cell>
        </row>
      </sheetData>
      <sheetData sheetId="4975">
        <row r="2">
          <cell r="A2" t="str">
            <v>실     명</v>
          </cell>
        </row>
      </sheetData>
      <sheetData sheetId="4976">
        <row r="2">
          <cell r="A2" t="str">
            <v>실     명</v>
          </cell>
        </row>
      </sheetData>
      <sheetData sheetId="4977">
        <row r="2">
          <cell r="A2" t="str">
            <v>실     명</v>
          </cell>
        </row>
      </sheetData>
      <sheetData sheetId="4978">
        <row r="2">
          <cell r="A2" t="str">
            <v>실     명</v>
          </cell>
        </row>
      </sheetData>
      <sheetData sheetId="4979">
        <row r="2">
          <cell r="A2" t="str">
            <v>실     명</v>
          </cell>
        </row>
      </sheetData>
      <sheetData sheetId="4980">
        <row r="2">
          <cell r="A2" t="str">
            <v>실     명</v>
          </cell>
        </row>
      </sheetData>
      <sheetData sheetId="4981">
        <row r="2">
          <cell r="A2" t="str">
            <v>실     명</v>
          </cell>
        </row>
      </sheetData>
      <sheetData sheetId="4982">
        <row r="2">
          <cell r="A2" t="str">
            <v>실     명</v>
          </cell>
        </row>
      </sheetData>
      <sheetData sheetId="4983">
        <row r="2">
          <cell r="A2" t="str">
            <v>실     명</v>
          </cell>
        </row>
      </sheetData>
      <sheetData sheetId="4984">
        <row r="2">
          <cell r="A2" t="str">
            <v>실     명</v>
          </cell>
        </row>
      </sheetData>
      <sheetData sheetId="4985">
        <row r="2">
          <cell r="A2" t="str">
            <v>실     명</v>
          </cell>
        </row>
      </sheetData>
      <sheetData sheetId="4986">
        <row r="2">
          <cell r="A2" t="str">
            <v>실     명</v>
          </cell>
        </row>
      </sheetData>
      <sheetData sheetId="4987">
        <row r="2">
          <cell r="A2" t="str">
            <v>실     명</v>
          </cell>
        </row>
      </sheetData>
      <sheetData sheetId="4988">
        <row r="2">
          <cell r="A2" t="str">
            <v>실     명</v>
          </cell>
        </row>
      </sheetData>
      <sheetData sheetId="4989">
        <row r="2">
          <cell r="A2" t="str">
            <v>실     명</v>
          </cell>
        </row>
      </sheetData>
      <sheetData sheetId="4990">
        <row r="2">
          <cell r="A2" t="str">
            <v>실     명</v>
          </cell>
        </row>
      </sheetData>
      <sheetData sheetId="4991">
        <row r="2">
          <cell r="A2" t="str">
            <v>실     명</v>
          </cell>
        </row>
      </sheetData>
      <sheetData sheetId="4992">
        <row r="2">
          <cell r="A2" t="str">
            <v>실     명</v>
          </cell>
        </row>
      </sheetData>
      <sheetData sheetId="4993">
        <row r="2">
          <cell r="A2" t="str">
            <v>실     명</v>
          </cell>
        </row>
      </sheetData>
      <sheetData sheetId="4994">
        <row r="2">
          <cell r="A2" t="str">
            <v>실     명</v>
          </cell>
        </row>
      </sheetData>
      <sheetData sheetId="4995">
        <row r="2">
          <cell r="A2" t="str">
            <v>실     명</v>
          </cell>
        </row>
      </sheetData>
      <sheetData sheetId="4996">
        <row r="2">
          <cell r="A2" t="str">
            <v>실     명</v>
          </cell>
        </row>
      </sheetData>
      <sheetData sheetId="4997">
        <row r="2">
          <cell r="A2" t="str">
            <v>실     명</v>
          </cell>
        </row>
      </sheetData>
      <sheetData sheetId="4998">
        <row r="2">
          <cell r="A2" t="str">
            <v>실     명</v>
          </cell>
        </row>
      </sheetData>
      <sheetData sheetId="4999">
        <row r="2">
          <cell r="A2" t="str">
            <v>실     명</v>
          </cell>
        </row>
      </sheetData>
      <sheetData sheetId="5000">
        <row r="2">
          <cell r="A2" t="str">
            <v>실     명</v>
          </cell>
        </row>
      </sheetData>
      <sheetData sheetId="5001">
        <row r="2">
          <cell r="A2" t="str">
            <v>실     명</v>
          </cell>
        </row>
      </sheetData>
      <sheetData sheetId="5002">
        <row r="2">
          <cell r="A2" t="str">
            <v>실     명</v>
          </cell>
        </row>
      </sheetData>
      <sheetData sheetId="5003">
        <row r="2">
          <cell r="A2" t="str">
            <v>실     명</v>
          </cell>
        </row>
      </sheetData>
      <sheetData sheetId="5004">
        <row r="2">
          <cell r="A2" t="str">
            <v>실     명</v>
          </cell>
        </row>
      </sheetData>
      <sheetData sheetId="5005">
        <row r="2">
          <cell r="A2" t="str">
            <v>실     명</v>
          </cell>
        </row>
      </sheetData>
      <sheetData sheetId="5006">
        <row r="2">
          <cell r="A2" t="str">
            <v>실     명</v>
          </cell>
        </row>
      </sheetData>
      <sheetData sheetId="5007">
        <row r="2">
          <cell r="A2" t="str">
            <v>실     명</v>
          </cell>
        </row>
      </sheetData>
      <sheetData sheetId="5008">
        <row r="2">
          <cell r="A2" t="str">
            <v>실     명</v>
          </cell>
        </row>
      </sheetData>
      <sheetData sheetId="5009">
        <row r="2">
          <cell r="A2" t="str">
            <v>실     명</v>
          </cell>
        </row>
      </sheetData>
      <sheetData sheetId="5010">
        <row r="2">
          <cell r="A2" t="str">
            <v>실     명</v>
          </cell>
        </row>
      </sheetData>
      <sheetData sheetId="5011">
        <row r="2">
          <cell r="A2" t="str">
            <v>실     명</v>
          </cell>
        </row>
      </sheetData>
      <sheetData sheetId="5012">
        <row r="2">
          <cell r="A2" t="str">
            <v>실     명</v>
          </cell>
        </row>
      </sheetData>
      <sheetData sheetId="5013">
        <row r="2">
          <cell r="A2" t="str">
            <v>실     명</v>
          </cell>
        </row>
      </sheetData>
      <sheetData sheetId="5014">
        <row r="2">
          <cell r="A2" t="str">
            <v>실     명</v>
          </cell>
        </row>
      </sheetData>
      <sheetData sheetId="5015">
        <row r="2">
          <cell r="A2" t="str">
            <v>실     명</v>
          </cell>
        </row>
      </sheetData>
      <sheetData sheetId="5016">
        <row r="2">
          <cell r="A2" t="str">
            <v>실     명</v>
          </cell>
        </row>
      </sheetData>
      <sheetData sheetId="5017">
        <row r="2">
          <cell r="A2" t="str">
            <v>실     명</v>
          </cell>
        </row>
      </sheetData>
      <sheetData sheetId="5018">
        <row r="2">
          <cell r="A2" t="str">
            <v>실     명</v>
          </cell>
        </row>
      </sheetData>
      <sheetData sheetId="5019">
        <row r="2">
          <cell r="A2" t="str">
            <v>실     명</v>
          </cell>
        </row>
      </sheetData>
      <sheetData sheetId="5020">
        <row r="2">
          <cell r="A2" t="str">
            <v>실     명</v>
          </cell>
        </row>
      </sheetData>
      <sheetData sheetId="5021">
        <row r="2">
          <cell r="A2" t="str">
            <v>실     명</v>
          </cell>
        </row>
      </sheetData>
      <sheetData sheetId="5022">
        <row r="2">
          <cell r="A2" t="str">
            <v>실     명</v>
          </cell>
        </row>
      </sheetData>
      <sheetData sheetId="5023">
        <row r="2">
          <cell r="A2" t="str">
            <v>실     명</v>
          </cell>
        </row>
      </sheetData>
      <sheetData sheetId="5024">
        <row r="2">
          <cell r="A2" t="str">
            <v>실     명</v>
          </cell>
        </row>
      </sheetData>
      <sheetData sheetId="5025">
        <row r="2">
          <cell r="A2" t="str">
            <v>실     명</v>
          </cell>
        </row>
      </sheetData>
      <sheetData sheetId="5026">
        <row r="2">
          <cell r="A2" t="str">
            <v>실     명</v>
          </cell>
        </row>
      </sheetData>
      <sheetData sheetId="5027">
        <row r="2">
          <cell r="A2" t="str">
            <v>실     명</v>
          </cell>
        </row>
      </sheetData>
      <sheetData sheetId="5028">
        <row r="2">
          <cell r="A2" t="str">
            <v>실     명</v>
          </cell>
        </row>
      </sheetData>
      <sheetData sheetId="5029">
        <row r="2">
          <cell r="A2" t="str">
            <v>실     명</v>
          </cell>
        </row>
      </sheetData>
      <sheetData sheetId="5030">
        <row r="2">
          <cell r="A2" t="str">
            <v>실     명</v>
          </cell>
        </row>
      </sheetData>
      <sheetData sheetId="5031">
        <row r="2">
          <cell r="A2" t="str">
            <v>실     명</v>
          </cell>
        </row>
      </sheetData>
      <sheetData sheetId="5032">
        <row r="2">
          <cell r="A2" t="str">
            <v>실     명</v>
          </cell>
        </row>
      </sheetData>
      <sheetData sheetId="5033">
        <row r="2">
          <cell r="A2" t="str">
            <v>실     명</v>
          </cell>
        </row>
      </sheetData>
      <sheetData sheetId="5034">
        <row r="2">
          <cell r="A2" t="str">
            <v>실     명</v>
          </cell>
        </row>
      </sheetData>
      <sheetData sheetId="5035">
        <row r="2">
          <cell r="A2" t="str">
            <v>실     명</v>
          </cell>
        </row>
      </sheetData>
      <sheetData sheetId="5036">
        <row r="2">
          <cell r="A2" t="str">
            <v>실     명</v>
          </cell>
        </row>
      </sheetData>
      <sheetData sheetId="5037">
        <row r="2">
          <cell r="A2" t="str">
            <v>실     명</v>
          </cell>
        </row>
      </sheetData>
      <sheetData sheetId="5038">
        <row r="2">
          <cell r="A2" t="str">
            <v>실     명</v>
          </cell>
        </row>
      </sheetData>
      <sheetData sheetId="5039">
        <row r="2">
          <cell r="A2" t="str">
            <v>실     명</v>
          </cell>
        </row>
      </sheetData>
      <sheetData sheetId="5040">
        <row r="2">
          <cell r="A2" t="str">
            <v>실     명</v>
          </cell>
        </row>
      </sheetData>
      <sheetData sheetId="5041">
        <row r="2">
          <cell r="A2" t="str">
            <v>실     명</v>
          </cell>
        </row>
      </sheetData>
      <sheetData sheetId="5042">
        <row r="2">
          <cell r="A2" t="str">
            <v>실     명</v>
          </cell>
        </row>
      </sheetData>
      <sheetData sheetId="5043">
        <row r="2">
          <cell r="A2" t="str">
            <v>실     명</v>
          </cell>
        </row>
      </sheetData>
      <sheetData sheetId="5044">
        <row r="2">
          <cell r="A2" t="str">
            <v>실     명</v>
          </cell>
        </row>
      </sheetData>
      <sheetData sheetId="5045">
        <row r="2">
          <cell r="A2" t="str">
            <v>실     명</v>
          </cell>
        </row>
      </sheetData>
      <sheetData sheetId="5046">
        <row r="2">
          <cell r="A2" t="str">
            <v>실     명</v>
          </cell>
        </row>
      </sheetData>
      <sheetData sheetId="5047">
        <row r="2">
          <cell r="A2" t="str">
            <v>실     명</v>
          </cell>
        </row>
      </sheetData>
      <sheetData sheetId="5048">
        <row r="2">
          <cell r="A2" t="str">
            <v>실     명</v>
          </cell>
        </row>
      </sheetData>
      <sheetData sheetId="5049">
        <row r="2">
          <cell r="A2" t="str">
            <v>실     명</v>
          </cell>
        </row>
      </sheetData>
      <sheetData sheetId="5050">
        <row r="2">
          <cell r="A2" t="str">
            <v>실     명</v>
          </cell>
        </row>
      </sheetData>
      <sheetData sheetId="5051">
        <row r="2">
          <cell r="A2" t="str">
            <v>실     명</v>
          </cell>
        </row>
      </sheetData>
      <sheetData sheetId="5052">
        <row r="2">
          <cell r="A2" t="str">
            <v>실     명</v>
          </cell>
        </row>
      </sheetData>
      <sheetData sheetId="5053">
        <row r="2">
          <cell r="A2" t="str">
            <v>실     명</v>
          </cell>
        </row>
      </sheetData>
      <sheetData sheetId="5054">
        <row r="2">
          <cell r="A2" t="str">
            <v>실     명</v>
          </cell>
        </row>
      </sheetData>
      <sheetData sheetId="5055">
        <row r="2">
          <cell r="A2" t="str">
            <v>실     명</v>
          </cell>
        </row>
      </sheetData>
      <sheetData sheetId="5056">
        <row r="2">
          <cell r="A2" t="str">
            <v>실     명</v>
          </cell>
        </row>
      </sheetData>
      <sheetData sheetId="5057">
        <row r="2">
          <cell r="A2" t="str">
            <v>실     명</v>
          </cell>
        </row>
      </sheetData>
      <sheetData sheetId="5058">
        <row r="2">
          <cell r="A2" t="str">
            <v>실     명</v>
          </cell>
        </row>
      </sheetData>
      <sheetData sheetId="5059">
        <row r="2">
          <cell r="A2" t="str">
            <v>실     명</v>
          </cell>
        </row>
      </sheetData>
      <sheetData sheetId="5060">
        <row r="2">
          <cell r="A2" t="str">
            <v>실     명</v>
          </cell>
        </row>
      </sheetData>
      <sheetData sheetId="5061">
        <row r="2">
          <cell r="A2" t="str">
            <v>실     명</v>
          </cell>
        </row>
      </sheetData>
      <sheetData sheetId="5062">
        <row r="2">
          <cell r="A2" t="str">
            <v>실     명</v>
          </cell>
        </row>
      </sheetData>
      <sheetData sheetId="5063">
        <row r="2">
          <cell r="A2" t="str">
            <v>실     명</v>
          </cell>
        </row>
      </sheetData>
      <sheetData sheetId="5064">
        <row r="2">
          <cell r="A2" t="str">
            <v>실     명</v>
          </cell>
        </row>
      </sheetData>
      <sheetData sheetId="5065">
        <row r="2">
          <cell r="A2" t="str">
            <v>실     명</v>
          </cell>
        </row>
      </sheetData>
      <sheetData sheetId="5066">
        <row r="2">
          <cell r="A2" t="str">
            <v>실     명</v>
          </cell>
        </row>
      </sheetData>
      <sheetData sheetId="5067">
        <row r="2">
          <cell r="A2" t="str">
            <v>실     명</v>
          </cell>
        </row>
      </sheetData>
      <sheetData sheetId="5068">
        <row r="2">
          <cell r="A2" t="str">
            <v>실     명</v>
          </cell>
        </row>
      </sheetData>
      <sheetData sheetId="5069">
        <row r="2">
          <cell r="A2" t="str">
            <v>실     명</v>
          </cell>
        </row>
      </sheetData>
      <sheetData sheetId="5070">
        <row r="2">
          <cell r="A2" t="str">
            <v>실     명</v>
          </cell>
        </row>
      </sheetData>
      <sheetData sheetId="5071">
        <row r="2">
          <cell r="A2" t="str">
            <v>실     명</v>
          </cell>
        </row>
      </sheetData>
      <sheetData sheetId="5072">
        <row r="2">
          <cell r="A2" t="str">
            <v>실     명</v>
          </cell>
        </row>
      </sheetData>
      <sheetData sheetId="5073">
        <row r="2">
          <cell r="A2" t="str">
            <v>실     명</v>
          </cell>
        </row>
      </sheetData>
      <sheetData sheetId="5074">
        <row r="2">
          <cell r="A2" t="str">
            <v>실     명</v>
          </cell>
        </row>
      </sheetData>
      <sheetData sheetId="5075">
        <row r="2">
          <cell r="A2" t="str">
            <v>실     명</v>
          </cell>
        </row>
      </sheetData>
      <sheetData sheetId="5076">
        <row r="2">
          <cell r="A2" t="str">
            <v>실     명</v>
          </cell>
        </row>
      </sheetData>
      <sheetData sheetId="5077">
        <row r="2">
          <cell r="A2" t="str">
            <v>실     명</v>
          </cell>
        </row>
      </sheetData>
      <sheetData sheetId="5078">
        <row r="2">
          <cell r="A2" t="str">
            <v>$</v>
          </cell>
        </row>
      </sheetData>
      <sheetData sheetId="5079">
        <row r="2">
          <cell r="A2" t="str">
            <v>실     명</v>
          </cell>
        </row>
      </sheetData>
      <sheetData sheetId="5080">
        <row r="2">
          <cell r="A2" t="str">
            <v>실     명</v>
          </cell>
        </row>
      </sheetData>
      <sheetData sheetId="5081">
        <row r="2">
          <cell r="A2" t="str">
            <v>실     명</v>
          </cell>
        </row>
      </sheetData>
      <sheetData sheetId="5082">
        <row r="2">
          <cell r="A2" t="str">
            <v>실     명</v>
          </cell>
        </row>
      </sheetData>
      <sheetData sheetId="5083">
        <row r="2">
          <cell r="A2" t="str">
            <v>실     명</v>
          </cell>
        </row>
      </sheetData>
      <sheetData sheetId="5084">
        <row r="2">
          <cell r="A2" t="str">
            <v>실     명</v>
          </cell>
        </row>
      </sheetData>
      <sheetData sheetId="5085">
        <row r="2">
          <cell r="A2" t="str">
            <v>실     명</v>
          </cell>
        </row>
      </sheetData>
      <sheetData sheetId="5086">
        <row r="2">
          <cell r="A2" t="str">
            <v>실     명</v>
          </cell>
        </row>
      </sheetData>
      <sheetData sheetId="5087">
        <row r="2">
          <cell r="A2" t="str">
            <v>실     명</v>
          </cell>
        </row>
      </sheetData>
      <sheetData sheetId="5088">
        <row r="2">
          <cell r="A2" t="str">
            <v>실     명</v>
          </cell>
        </row>
      </sheetData>
      <sheetData sheetId="5089">
        <row r="2">
          <cell r="A2" t="str">
            <v>실     명</v>
          </cell>
        </row>
      </sheetData>
      <sheetData sheetId="5090">
        <row r="2">
          <cell r="A2" t="str">
            <v>실     명</v>
          </cell>
        </row>
      </sheetData>
      <sheetData sheetId="5091">
        <row r="2">
          <cell r="A2" t="str">
            <v>실     명</v>
          </cell>
        </row>
      </sheetData>
      <sheetData sheetId="5092">
        <row r="2">
          <cell r="A2" t="str">
            <v>실     명</v>
          </cell>
        </row>
      </sheetData>
      <sheetData sheetId="5093">
        <row r="2">
          <cell r="A2" t="str">
            <v>실     명</v>
          </cell>
        </row>
      </sheetData>
      <sheetData sheetId="5094">
        <row r="2">
          <cell r="A2" t="str">
            <v>실     명</v>
          </cell>
        </row>
      </sheetData>
      <sheetData sheetId="5095">
        <row r="2">
          <cell r="A2" t="str">
            <v>실     명</v>
          </cell>
        </row>
      </sheetData>
      <sheetData sheetId="5096">
        <row r="2">
          <cell r="A2" t="str">
            <v>실     명</v>
          </cell>
        </row>
      </sheetData>
      <sheetData sheetId="5097">
        <row r="2">
          <cell r="A2" t="str">
            <v>실     명</v>
          </cell>
        </row>
      </sheetData>
      <sheetData sheetId="5098">
        <row r="2">
          <cell r="A2" t="str">
            <v>실     명</v>
          </cell>
        </row>
      </sheetData>
      <sheetData sheetId="5099">
        <row r="2">
          <cell r="A2" t="str">
            <v>실     명</v>
          </cell>
        </row>
      </sheetData>
      <sheetData sheetId="5100">
        <row r="2">
          <cell r="A2" t="str">
            <v>실     명</v>
          </cell>
        </row>
      </sheetData>
      <sheetData sheetId="5101">
        <row r="2">
          <cell r="A2" t="str">
            <v>실     명</v>
          </cell>
        </row>
      </sheetData>
      <sheetData sheetId="5102">
        <row r="2">
          <cell r="A2" t="str">
            <v>실     명</v>
          </cell>
        </row>
      </sheetData>
      <sheetData sheetId="5103">
        <row r="2">
          <cell r="A2" t="str">
            <v>실     명</v>
          </cell>
        </row>
      </sheetData>
      <sheetData sheetId="5104">
        <row r="2">
          <cell r="A2" t="str">
            <v>실     명</v>
          </cell>
        </row>
      </sheetData>
      <sheetData sheetId="5105">
        <row r="2">
          <cell r="A2" t="str">
            <v>실     명</v>
          </cell>
        </row>
      </sheetData>
      <sheetData sheetId="5106">
        <row r="2">
          <cell r="A2" t="str">
            <v>실     명</v>
          </cell>
        </row>
      </sheetData>
      <sheetData sheetId="5107">
        <row r="2">
          <cell r="A2" t="str">
            <v>실     명</v>
          </cell>
        </row>
      </sheetData>
      <sheetData sheetId="5108">
        <row r="2">
          <cell r="A2" t="str">
            <v>실     명</v>
          </cell>
        </row>
      </sheetData>
      <sheetData sheetId="5109">
        <row r="2">
          <cell r="A2" t="str">
            <v>실     명</v>
          </cell>
        </row>
      </sheetData>
      <sheetData sheetId="5110">
        <row r="2">
          <cell r="A2" t="str">
            <v>실     명</v>
          </cell>
        </row>
      </sheetData>
      <sheetData sheetId="5111">
        <row r="2">
          <cell r="A2" t="str">
            <v>실     명</v>
          </cell>
        </row>
      </sheetData>
      <sheetData sheetId="5112">
        <row r="2">
          <cell r="A2" t="str">
            <v>실     명</v>
          </cell>
        </row>
      </sheetData>
      <sheetData sheetId="5113">
        <row r="2">
          <cell r="A2" t="str">
            <v>실     명</v>
          </cell>
        </row>
      </sheetData>
      <sheetData sheetId="5114">
        <row r="2">
          <cell r="A2" t="str">
            <v>실     명</v>
          </cell>
        </row>
      </sheetData>
      <sheetData sheetId="5115">
        <row r="2">
          <cell r="A2" t="str">
            <v>실     명</v>
          </cell>
        </row>
      </sheetData>
      <sheetData sheetId="5116">
        <row r="2">
          <cell r="A2" t="str">
            <v>실     명</v>
          </cell>
        </row>
      </sheetData>
      <sheetData sheetId="5117">
        <row r="2">
          <cell r="A2" t="str">
            <v>실     명</v>
          </cell>
        </row>
      </sheetData>
      <sheetData sheetId="5118">
        <row r="2">
          <cell r="A2" t="str">
            <v>실     명</v>
          </cell>
        </row>
      </sheetData>
      <sheetData sheetId="5119">
        <row r="2">
          <cell r="A2" t="str">
            <v>실     명</v>
          </cell>
        </row>
      </sheetData>
      <sheetData sheetId="5120">
        <row r="2">
          <cell r="A2" t="str">
            <v>실     명</v>
          </cell>
        </row>
      </sheetData>
      <sheetData sheetId="5121">
        <row r="2">
          <cell r="A2" t="str">
            <v>실     명</v>
          </cell>
        </row>
      </sheetData>
      <sheetData sheetId="5122">
        <row r="2">
          <cell r="A2" t="str">
            <v>실     명</v>
          </cell>
        </row>
      </sheetData>
      <sheetData sheetId="5123">
        <row r="2">
          <cell r="A2" t="str">
            <v>실     명</v>
          </cell>
        </row>
      </sheetData>
      <sheetData sheetId="5124">
        <row r="2">
          <cell r="A2" t="str">
            <v>실     명</v>
          </cell>
        </row>
      </sheetData>
      <sheetData sheetId="5125">
        <row r="2">
          <cell r="A2" t="str">
            <v>실     명</v>
          </cell>
        </row>
      </sheetData>
      <sheetData sheetId="5126">
        <row r="2">
          <cell r="A2" t="str">
            <v>실     명</v>
          </cell>
        </row>
      </sheetData>
      <sheetData sheetId="5127">
        <row r="2">
          <cell r="A2" t="str">
            <v>실     명</v>
          </cell>
        </row>
      </sheetData>
      <sheetData sheetId="5128">
        <row r="2">
          <cell r="A2" t="str">
            <v>실     명</v>
          </cell>
        </row>
      </sheetData>
      <sheetData sheetId="5129">
        <row r="2">
          <cell r="A2" t="str">
            <v>실     명</v>
          </cell>
        </row>
      </sheetData>
      <sheetData sheetId="5130">
        <row r="2">
          <cell r="A2" t="str">
            <v>실     명</v>
          </cell>
        </row>
      </sheetData>
      <sheetData sheetId="5131">
        <row r="2">
          <cell r="A2" t="str">
            <v>실     명</v>
          </cell>
        </row>
      </sheetData>
      <sheetData sheetId="5132">
        <row r="2">
          <cell r="A2" t="str">
            <v>실     명</v>
          </cell>
        </row>
      </sheetData>
      <sheetData sheetId="5133">
        <row r="2">
          <cell r="A2" t="str">
            <v>실     명</v>
          </cell>
        </row>
      </sheetData>
      <sheetData sheetId="5134">
        <row r="2">
          <cell r="A2" t="str">
            <v>실     명</v>
          </cell>
        </row>
      </sheetData>
      <sheetData sheetId="5135">
        <row r="2">
          <cell r="A2" t="str">
            <v>실     명</v>
          </cell>
        </row>
      </sheetData>
      <sheetData sheetId="5136">
        <row r="2">
          <cell r="A2" t="str">
            <v>실     명</v>
          </cell>
        </row>
      </sheetData>
      <sheetData sheetId="5137">
        <row r="2">
          <cell r="A2" t="str">
            <v>실     명</v>
          </cell>
        </row>
      </sheetData>
      <sheetData sheetId="5138">
        <row r="2">
          <cell r="A2" t="str">
            <v>실     명</v>
          </cell>
        </row>
      </sheetData>
      <sheetData sheetId="5139">
        <row r="2">
          <cell r="A2" t="str">
            <v>실     명</v>
          </cell>
        </row>
      </sheetData>
      <sheetData sheetId="5140">
        <row r="2">
          <cell r="A2" t="str">
            <v>실     명</v>
          </cell>
        </row>
      </sheetData>
      <sheetData sheetId="5141">
        <row r="2">
          <cell r="A2" t="str">
            <v>실     명</v>
          </cell>
        </row>
      </sheetData>
      <sheetData sheetId="5142">
        <row r="2">
          <cell r="A2" t="str">
            <v>실     명</v>
          </cell>
        </row>
      </sheetData>
      <sheetData sheetId="5143">
        <row r="2">
          <cell r="A2" t="str">
            <v>실     명</v>
          </cell>
        </row>
      </sheetData>
      <sheetData sheetId="5144">
        <row r="2">
          <cell r="A2" t="str">
            <v>실     명</v>
          </cell>
        </row>
      </sheetData>
      <sheetData sheetId="5145">
        <row r="2">
          <cell r="A2" t="str">
            <v>실     명</v>
          </cell>
        </row>
      </sheetData>
      <sheetData sheetId="5146">
        <row r="2">
          <cell r="A2" t="str">
            <v>실     명</v>
          </cell>
        </row>
      </sheetData>
      <sheetData sheetId="5147">
        <row r="2">
          <cell r="A2" t="str">
            <v>실     명</v>
          </cell>
        </row>
      </sheetData>
      <sheetData sheetId="5148">
        <row r="2">
          <cell r="A2" t="str">
            <v>실     명</v>
          </cell>
        </row>
      </sheetData>
      <sheetData sheetId="5149">
        <row r="2">
          <cell r="A2" t="str">
            <v>실     명</v>
          </cell>
        </row>
      </sheetData>
      <sheetData sheetId="5150">
        <row r="2">
          <cell r="A2" t="str">
            <v>실     명</v>
          </cell>
        </row>
      </sheetData>
      <sheetData sheetId="5151">
        <row r="2">
          <cell r="A2" t="str">
            <v>실     명</v>
          </cell>
        </row>
      </sheetData>
      <sheetData sheetId="5152">
        <row r="2">
          <cell r="A2" t="str">
            <v>실     명</v>
          </cell>
        </row>
      </sheetData>
      <sheetData sheetId="5153">
        <row r="2">
          <cell r="A2" t="str">
            <v>실     명</v>
          </cell>
        </row>
      </sheetData>
      <sheetData sheetId="5154">
        <row r="2">
          <cell r="A2" t="str">
            <v>실     명</v>
          </cell>
        </row>
      </sheetData>
      <sheetData sheetId="5155">
        <row r="2">
          <cell r="A2" t="str">
            <v>실     명</v>
          </cell>
        </row>
      </sheetData>
      <sheetData sheetId="5156">
        <row r="2">
          <cell r="A2" t="str">
            <v>실     명</v>
          </cell>
        </row>
      </sheetData>
      <sheetData sheetId="5157">
        <row r="2">
          <cell r="A2" t="str">
            <v>실     명</v>
          </cell>
        </row>
      </sheetData>
      <sheetData sheetId="5158">
        <row r="2">
          <cell r="A2" t="str">
            <v>실     명</v>
          </cell>
        </row>
      </sheetData>
      <sheetData sheetId="5159">
        <row r="2">
          <cell r="A2" t="str">
            <v>실     명</v>
          </cell>
        </row>
      </sheetData>
      <sheetData sheetId="5160">
        <row r="2">
          <cell r="A2" t="str">
            <v>실     명</v>
          </cell>
        </row>
      </sheetData>
      <sheetData sheetId="5161">
        <row r="2">
          <cell r="A2" t="str">
            <v>실     명</v>
          </cell>
        </row>
      </sheetData>
      <sheetData sheetId="5162">
        <row r="2">
          <cell r="A2" t="str">
            <v>실     명</v>
          </cell>
        </row>
      </sheetData>
      <sheetData sheetId="5163">
        <row r="2">
          <cell r="A2" t="str">
            <v>실     명</v>
          </cell>
        </row>
      </sheetData>
      <sheetData sheetId="5164">
        <row r="2">
          <cell r="A2" t="str">
            <v>실     명</v>
          </cell>
        </row>
      </sheetData>
      <sheetData sheetId="5165">
        <row r="2">
          <cell r="A2" t="str">
            <v>실     명</v>
          </cell>
        </row>
      </sheetData>
      <sheetData sheetId="5166">
        <row r="2">
          <cell r="A2" t="str">
            <v>실     명</v>
          </cell>
        </row>
      </sheetData>
      <sheetData sheetId="5167">
        <row r="2">
          <cell r="A2" t="str">
            <v>실     명</v>
          </cell>
        </row>
      </sheetData>
      <sheetData sheetId="5168">
        <row r="2">
          <cell r="A2" t="str">
            <v>실     명</v>
          </cell>
        </row>
      </sheetData>
      <sheetData sheetId="5169">
        <row r="2">
          <cell r="A2" t="str">
            <v>실     명</v>
          </cell>
        </row>
      </sheetData>
      <sheetData sheetId="5170">
        <row r="2">
          <cell r="A2" t="str">
            <v>실     명</v>
          </cell>
        </row>
      </sheetData>
      <sheetData sheetId="5171">
        <row r="2">
          <cell r="A2" t="str">
            <v>실     명</v>
          </cell>
        </row>
      </sheetData>
      <sheetData sheetId="5172">
        <row r="2">
          <cell r="A2" t="str">
            <v>실     명</v>
          </cell>
        </row>
      </sheetData>
      <sheetData sheetId="5173">
        <row r="2">
          <cell r="A2" t="str">
            <v>실     명</v>
          </cell>
        </row>
      </sheetData>
      <sheetData sheetId="5174">
        <row r="2">
          <cell r="A2" t="str">
            <v>실     명</v>
          </cell>
        </row>
      </sheetData>
      <sheetData sheetId="5175">
        <row r="2">
          <cell r="A2" t="str">
            <v>실     명</v>
          </cell>
        </row>
      </sheetData>
      <sheetData sheetId="5176">
        <row r="2">
          <cell r="A2" t="str">
            <v>실     명</v>
          </cell>
        </row>
      </sheetData>
      <sheetData sheetId="5177">
        <row r="2">
          <cell r="A2" t="str">
            <v>실     명</v>
          </cell>
        </row>
      </sheetData>
      <sheetData sheetId="5178">
        <row r="2">
          <cell r="A2" t="str">
            <v>실     명</v>
          </cell>
        </row>
      </sheetData>
      <sheetData sheetId="5179">
        <row r="2">
          <cell r="A2" t="str">
            <v>실     명</v>
          </cell>
        </row>
      </sheetData>
      <sheetData sheetId="5180">
        <row r="2">
          <cell r="A2" t="str">
            <v>실     명</v>
          </cell>
        </row>
      </sheetData>
      <sheetData sheetId="5181">
        <row r="2">
          <cell r="A2" t="str">
            <v>실     명</v>
          </cell>
        </row>
      </sheetData>
      <sheetData sheetId="5182">
        <row r="2">
          <cell r="A2" t="str">
            <v>실     명</v>
          </cell>
        </row>
      </sheetData>
      <sheetData sheetId="5183">
        <row r="2">
          <cell r="A2" t="str">
            <v>실     명</v>
          </cell>
        </row>
      </sheetData>
      <sheetData sheetId="5184">
        <row r="2">
          <cell r="A2" t="str">
            <v>실     명</v>
          </cell>
        </row>
      </sheetData>
      <sheetData sheetId="5185">
        <row r="2">
          <cell r="A2" t="str">
            <v>실     명</v>
          </cell>
        </row>
      </sheetData>
      <sheetData sheetId="5186">
        <row r="2">
          <cell r="A2" t="str">
            <v>실     명</v>
          </cell>
        </row>
      </sheetData>
      <sheetData sheetId="5187">
        <row r="2">
          <cell r="A2" t="str">
            <v>실     명</v>
          </cell>
        </row>
      </sheetData>
      <sheetData sheetId="5188">
        <row r="2">
          <cell r="A2" t="str">
            <v>실     명</v>
          </cell>
        </row>
      </sheetData>
      <sheetData sheetId="5189">
        <row r="2">
          <cell r="A2" t="str">
            <v>실     명</v>
          </cell>
        </row>
      </sheetData>
      <sheetData sheetId="5190">
        <row r="2">
          <cell r="A2" t="str">
            <v>실     명</v>
          </cell>
        </row>
      </sheetData>
      <sheetData sheetId="5191">
        <row r="2">
          <cell r="A2" t="str">
            <v>실     명</v>
          </cell>
        </row>
      </sheetData>
      <sheetData sheetId="5192">
        <row r="2">
          <cell r="A2" t="str">
            <v>실     명</v>
          </cell>
        </row>
      </sheetData>
      <sheetData sheetId="5193">
        <row r="2">
          <cell r="A2" t="str">
            <v>실     명</v>
          </cell>
        </row>
      </sheetData>
      <sheetData sheetId="5194">
        <row r="2">
          <cell r="A2" t="str">
            <v>실     명</v>
          </cell>
        </row>
      </sheetData>
      <sheetData sheetId="5195">
        <row r="2">
          <cell r="A2" t="str">
            <v>실     명</v>
          </cell>
        </row>
      </sheetData>
      <sheetData sheetId="5196">
        <row r="2">
          <cell r="A2" t="str">
            <v>실     명</v>
          </cell>
        </row>
      </sheetData>
      <sheetData sheetId="5197">
        <row r="2">
          <cell r="A2" t="str">
            <v>실     명</v>
          </cell>
        </row>
      </sheetData>
      <sheetData sheetId="5198">
        <row r="2">
          <cell r="A2" t="str">
            <v>실     명</v>
          </cell>
        </row>
      </sheetData>
      <sheetData sheetId="5199">
        <row r="2">
          <cell r="A2" t="str">
            <v>실     명</v>
          </cell>
        </row>
      </sheetData>
      <sheetData sheetId="5200">
        <row r="2">
          <cell r="A2" t="str">
            <v>실     명</v>
          </cell>
        </row>
      </sheetData>
      <sheetData sheetId="5201">
        <row r="2">
          <cell r="A2" t="str">
            <v>실     명</v>
          </cell>
        </row>
      </sheetData>
      <sheetData sheetId="5202">
        <row r="2">
          <cell r="A2" t="str">
            <v>실     명</v>
          </cell>
        </row>
      </sheetData>
      <sheetData sheetId="5203">
        <row r="2">
          <cell r="A2" t="str">
            <v>실     명</v>
          </cell>
        </row>
      </sheetData>
      <sheetData sheetId="5204">
        <row r="2">
          <cell r="A2" t="str">
            <v>실     명</v>
          </cell>
        </row>
      </sheetData>
      <sheetData sheetId="5205">
        <row r="2">
          <cell r="A2" t="str">
            <v>실     명</v>
          </cell>
        </row>
      </sheetData>
      <sheetData sheetId="5206">
        <row r="2">
          <cell r="A2" t="str">
            <v>실     명</v>
          </cell>
        </row>
      </sheetData>
      <sheetData sheetId="5207">
        <row r="2">
          <cell r="A2" t="str">
            <v>실     명</v>
          </cell>
        </row>
      </sheetData>
      <sheetData sheetId="5208">
        <row r="2">
          <cell r="A2" t="str">
            <v>실     명</v>
          </cell>
        </row>
      </sheetData>
      <sheetData sheetId="5209">
        <row r="2">
          <cell r="A2" t="str">
            <v>실     명</v>
          </cell>
        </row>
      </sheetData>
      <sheetData sheetId="5210">
        <row r="2">
          <cell r="A2" t="str">
            <v>실     명</v>
          </cell>
        </row>
      </sheetData>
      <sheetData sheetId="5211">
        <row r="2">
          <cell r="A2" t="str">
            <v>실     명</v>
          </cell>
        </row>
      </sheetData>
      <sheetData sheetId="5212">
        <row r="2">
          <cell r="A2" t="str">
            <v>실     명</v>
          </cell>
        </row>
      </sheetData>
      <sheetData sheetId="5213">
        <row r="2">
          <cell r="A2" t="str">
            <v>실     명</v>
          </cell>
        </row>
      </sheetData>
      <sheetData sheetId="5214" refreshError="1"/>
      <sheetData sheetId="5215" refreshError="1"/>
      <sheetData sheetId="5216" refreshError="1"/>
      <sheetData sheetId="5217" refreshError="1"/>
      <sheetData sheetId="5218" refreshError="1"/>
      <sheetData sheetId="5219" refreshError="1"/>
      <sheetData sheetId="5220" refreshError="1"/>
      <sheetData sheetId="5221" refreshError="1"/>
      <sheetData sheetId="5222" refreshError="1"/>
      <sheetData sheetId="5223" refreshError="1"/>
      <sheetData sheetId="5224" refreshError="1"/>
      <sheetData sheetId="5225" refreshError="1"/>
      <sheetData sheetId="5226" refreshError="1"/>
      <sheetData sheetId="5227" refreshError="1"/>
      <sheetData sheetId="5228" refreshError="1"/>
      <sheetData sheetId="5229" refreshError="1"/>
      <sheetData sheetId="5230" refreshError="1"/>
      <sheetData sheetId="5231" refreshError="1"/>
      <sheetData sheetId="5232" refreshError="1"/>
      <sheetData sheetId="5233" refreshError="1"/>
      <sheetData sheetId="5234" refreshError="1"/>
      <sheetData sheetId="5235" refreshError="1"/>
      <sheetData sheetId="5236" refreshError="1"/>
      <sheetData sheetId="5237" refreshError="1"/>
      <sheetData sheetId="5238" refreshError="1"/>
      <sheetData sheetId="5239" refreshError="1"/>
      <sheetData sheetId="5240" refreshError="1"/>
      <sheetData sheetId="5241" refreshError="1"/>
      <sheetData sheetId="5242" refreshError="1"/>
      <sheetData sheetId="5243" refreshError="1"/>
      <sheetData sheetId="5244" refreshError="1"/>
      <sheetData sheetId="5245" refreshError="1"/>
      <sheetData sheetId="5246" refreshError="1"/>
      <sheetData sheetId="5247" refreshError="1"/>
      <sheetData sheetId="5248" refreshError="1"/>
      <sheetData sheetId="5249" refreshError="1"/>
      <sheetData sheetId="5250" refreshError="1"/>
      <sheetData sheetId="5251" refreshError="1"/>
      <sheetData sheetId="5252" refreshError="1"/>
      <sheetData sheetId="5253" refreshError="1"/>
      <sheetData sheetId="5254" refreshError="1"/>
      <sheetData sheetId="5255" refreshError="1"/>
      <sheetData sheetId="5256">
        <row r="2">
          <cell r="A2" t="str">
            <v>실     명</v>
          </cell>
        </row>
      </sheetData>
      <sheetData sheetId="5257">
        <row r="2">
          <cell r="A2" t="str">
            <v>실     명</v>
          </cell>
        </row>
      </sheetData>
      <sheetData sheetId="5258">
        <row r="2">
          <cell r="A2" t="str">
            <v>실     명</v>
          </cell>
        </row>
      </sheetData>
      <sheetData sheetId="5259">
        <row r="2">
          <cell r="A2" t="str">
            <v>실     명</v>
          </cell>
        </row>
      </sheetData>
      <sheetData sheetId="5260">
        <row r="2">
          <cell r="A2" t="str">
            <v>실     명</v>
          </cell>
        </row>
      </sheetData>
      <sheetData sheetId="5261">
        <row r="2">
          <cell r="A2" t="str">
            <v>실     명</v>
          </cell>
        </row>
      </sheetData>
      <sheetData sheetId="5262">
        <row r="2">
          <cell r="A2" t="str">
            <v>실     명</v>
          </cell>
        </row>
      </sheetData>
      <sheetData sheetId="5263">
        <row r="2">
          <cell r="A2" t="str">
            <v>실     명</v>
          </cell>
        </row>
      </sheetData>
      <sheetData sheetId="5264">
        <row r="2">
          <cell r="A2" t="str">
            <v>실     명</v>
          </cell>
        </row>
      </sheetData>
      <sheetData sheetId="5265">
        <row r="2">
          <cell r="A2" t="str">
            <v>실     명</v>
          </cell>
        </row>
      </sheetData>
      <sheetData sheetId="5266">
        <row r="2">
          <cell r="A2" t="str">
            <v>실     명</v>
          </cell>
        </row>
      </sheetData>
      <sheetData sheetId="5267">
        <row r="2">
          <cell r="A2" t="str">
            <v>실     명</v>
          </cell>
        </row>
      </sheetData>
      <sheetData sheetId="5268">
        <row r="2">
          <cell r="A2" t="str">
            <v>실     명</v>
          </cell>
        </row>
      </sheetData>
      <sheetData sheetId="5269">
        <row r="2">
          <cell r="A2" t="str">
            <v>실     명</v>
          </cell>
        </row>
      </sheetData>
      <sheetData sheetId="5270">
        <row r="2">
          <cell r="A2" t="str">
            <v>실     명</v>
          </cell>
        </row>
      </sheetData>
      <sheetData sheetId="5271">
        <row r="2">
          <cell r="A2" t="str">
            <v>실     명</v>
          </cell>
        </row>
      </sheetData>
      <sheetData sheetId="5272">
        <row r="2">
          <cell r="A2" t="str">
            <v>실     명</v>
          </cell>
        </row>
      </sheetData>
      <sheetData sheetId="5273">
        <row r="2">
          <cell r="A2" t="str">
            <v>실     명</v>
          </cell>
        </row>
      </sheetData>
      <sheetData sheetId="5274" refreshError="1"/>
      <sheetData sheetId="5275" refreshError="1"/>
      <sheetData sheetId="5276" refreshError="1"/>
      <sheetData sheetId="5277" refreshError="1"/>
      <sheetData sheetId="5278" refreshError="1"/>
      <sheetData sheetId="5279" refreshError="1"/>
      <sheetData sheetId="5280" refreshError="1"/>
      <sheetData sheetId="5281" refreshError="1"/>
      <sheetData sheetId="5282" refreshError="1"/>
      <sheetData sheetId="5283" refreshError="1"/>
      <sheetData sheetId="5284" refreshError="1"/>
      <sheetData sheetId="5285" refreshError="1"/>
      <sheetData sheetId="5286" refreshError="1"/>
      <sheetData sheetId="5287" refreshError="1"/>
      <sheetData sheetId="5288" refreshError="1"/>
      <sheetData sheetId="5289" refreshError="1"/>
      <sheetData sheetId="5290" refreshError="1"/>
      <sheetData sheetId="5291" refreshError="1"/>
      <sheetData sheetId="5292" refreshError="1"/>
      <sheetData sheetId="5293" refreshError="1"/>
      <sheetData sheetId="5294" refreshError="1"/>
      <sheetData sheetId="5295" refreshError="1"/>
      <sheetData sheetId="5296" refreshError="1"/>
      <sheetData sheetId="5297" refreshError="1"/>
      <sheetData sheetId="5298" refreshError="1"/>
      <sheetData sheetId="5299" refreshError="1"/>
      <sheetData sheetId="5300" refreshError="1"/>
      <sheetData sheetId="5301" refreshError="1"/>
      <sheetData sheetId="5302" refreshError="1"/>
      <sheetData sheetId="5303" refreshError="1"/>
      <sheetData sheetId="5304" refreshError="1"/>
      <sheetData sheetId="5305" refreshError="1"/>
      <sheetData sheetId="5306" refreshError="1"/>
      <sheetData sheetId="5307" refreshError="1"/>
      <sheetData sheetId="5308" refreshError="1"/>
      <sheetData sheetId="5309" refreshError="1"/>
      <sheetData sheetId="5310" refreshError="1"/>
      <sheetData sheetId="5311" refreshError="1"/>
      <sheetData sheetId="5312" refreshError="1"/>
      <sheetData sheetId="5313" refreshError="1"/>
      <sheetData sheetId="5314" refreshError="1"/>
      <sheetData sheetId="5315" refreshError="1"/>
      <sheetData sheetId="5316" refreshError="1"/>
      <sheetData sheetId="5317" refreshError="1"/>
      <sheetData sheetId="5318" refreshError="1"/>
      <sheetData sheetId="5319" refreshError="1"/>
      <sheetData sheetId="5320" refreshError="1"/>
      <sheetData sheetId="5321" refreshError="1"/>
      <sheetData sheetId="5322" refreshError="1"/>
      <sheetData sheetId="5323" refreshError="1"/>
      <sheetData sheetId="5324" refreshError="1"/>
      <sheetData sheetId="5325" refreshError="1"/>
      <sheetData sheetId="5326" refreshError="1"/>
      <sheetData sheetId="5327" refreshError="1"/>
      <sheetData sheetId="5328" refreshError="1"/>
      <sheetData sheetId="5329" refreshError="1"/>
      <sheetData sheetId="5330" refreshError="1"/>
      <sheetData sheetId="5331" refreshError="1"/>
      <sheetData sheetId="5332" refreshError="1"/>
      <sheetData sheetId="5333" refreshError="1"/>
      <sheetData sheetId="5334" refreshError="1"/>
      <sheetData sheetId="5335" refreshError="1"/>
      <sheetData sheetId="5336" refreshError="1"/>
      <sheetData sheetId="5337" refreshError="1"/>
      <sheetData sheetId="5338" refreshError="1"/>
      <sheetData sheetId="5339" refreshError="1"/>
      <sheetData sheetId="5340" refreshError="1"/>
      <sheetData sheetId="5341" refreshError="1"/>
      <sheetData sheetId="5342" refreshError="1"/>
      <sheetData sheetId="5343" refreshError="1"/>
      <sheetData sheetId="5344" refreshError="1"/>
      <sheetData sheetId="5345" refreshError="1"/>
      <sheetData sheetId="5346" refreshError="1"/>
      <sheetData sheetId="5347" refreshError="1"/>
      <sheetData sheetId="5348" refreshError="1"/>
      <sheetData sheetId="5349" refreshError="1"/>
      <sheetData sheetId="5350" refreshError="1"/>
      <sheetData sheetId="5351" refreshError="1"/>
      <sheetData sheetId="5352" refreshError="1"/>
      <sheetData sheetId="5353" refreshError="1"/>
      <sheetData sheetId="5354" refreshError="1"/>
      <sheetData sheetId="5355" refreshError="1"/>
      <sheetData sheetId="5356" refreshError="1"/>
      <sheetData sheetId="5357" refreshError="1"/>
      <sheetData sheetId="5358" refreshError="1"/>
      <sheetData sheetId="5359" refreshError="1"/>
      <sheetData sheetId="5360" refreshError="1"/>
      <sheetData sheetId="5361" refreshError="1"/>
      <sheetData sheetId="5362" refreshError="1"/>
      <sheetData sheetId="5363" refreshError="1"/>
      <sheetData sheetId="5364" refreshError="1"/>
      <sheetData sheetId="5365" refreshError="1"/>
      <sheetData sheetId="5366" refreshError="1"/>
      <sheetData sheetId="5367" refreshError="1"/>
      <sheetData sheetId="5368" refreshError="1"/>
      <sheetData sheetId="5369" refreshError="1"/>
      <sheetData sheetId="5370" refreshError="1"/>
      <sheetData sheetId="5371" refreshError="1"/>
      <sheetData sheetId="5372" refreshError="1"/>
      <sheetData sheetId="5373" refreshError="1"/>
      <sheetData sheetId="5374" refreshError="1"/>
      <sheetData sheetId="5375" refreshError="1"/>
      <sheetData sheetId="5376" refreshError="1"/>
      <sheetData sheetId="5377" refreshError="1"/>
      <sheetData sheetId="5378" refreshError="1"/>
      <sheetData sheetId="5379" refreshError="1"/>
      <sheetData sheetId="5380" refreshError="1"/>
      <sheetData sheetId="5381" refreshError="1"/>
      <sheetData sheetId="5382" refreshError="1"/>
      <sheetData sheetId="5383" refreshError="1"/>
      <sheetData sheetId="5384" refreshError="1"/>
      <sheetData sheetId="5385" refreshError="1"/>
      <sheetData sheetId="5386" refreshError="1"/>
      <sheetData sheetId="5387" refreshError="1"/>
      <sheetData sheetId="5388" refreshError="1"/>
      <sheetData sheetId="5389" refreshError="1"/>
      <sheetData sheetId="5390" refreshError="1"/>
      <sheetData sheetId="5391" refreshError="1"/>
      <sheetData sheetId="5392" refreshError="1"/>
      <sheetData sheetId="5393" refreshError="1"/>
      <sheetData sheetId="5394" refreshError="1"/>
      <sheetData sheetId="5395" refreshError="1"/>
      <sheetData sheetId="5396" refreshError="1"/>
      <sheetData sheetId="5397"/>
      <sheetData sheetId="5398"/>
      <sheetData sheetId="5399" refreshError="1"/>
      <sheetData sheetId="5400" refreshError="1"/>
      <sheetData sheetId="5401" refreshError="1"/>
      <sheetData sheetId="5402" refreshError="1"/>
      <sheetData sheetId="5403" refreshError="1"/>
      <sheetData sheetId="5404" refreshError="1"/>
      <sheetData sheetId="5405" refreshError="1"/>
      <sheetData sheetId="5406" refreshError="1"/>
      <sheetData sheetId="5407" refreshError="1"/>
      <sheetData sheetId="5408" refreshError="1"/>
      <sheetData sheetId="5409" refreshError="1"/>
      <sheetData sheetId="5410" refreshError="1"/>
      <sheetData sheetId="5411" refreshError="1"/>
      <sheetData sheetId="5412" refreshError="1"/>
      <sheetData sheetId="5413" refreshError="1"/>
      <sheetData sheetId="5414" refreshError="1"/>
      <sheetData sheetId="5415" refreshError="1"/>
      <sheetData sheetId="5416" refreshError="1"/>
      <sheetData sheetId="5417" refreshError="1"/>
      <sheetData sheetId="5418" refreshError="1"/>
      <sheetData sheetId="5419" refreshError="1"/>
      <sheetData sheetId="5420" refreshError="1"/>
      <sheetData sheetId="5421" refreshError="1"/>
      <sheetData sheetId="5422" refreshError="1"/>
      <sheetData sheetId="5423" refreshError="1"/>
      <sheetData sheetId="5424" refreshError="1"/>
      <sheetData sheetId="5425" refreshError="1"/>
      <sheetData sheetId="5426" refreshError="1"/>
      <sheetData sheetId="5427" refreshError="1"/>
      <sheetData sheetId="5428" refreshError="1"/>
      <sheetData sheetId="5429" refreshError="1"/>
      <sheetData sheetId="5430" refreshError="1"/>
      <sheetData sheetId="5431" refreshError="1"/>
      <sheetData sheetId="5432" refreshError="1"/>
      <sheetData sheetId="5433" refreshError="1"/>
      <sheetData sheetId="5434" refreshError="1"/>
      <sheetData sheetId="5435" refreshError="1"/>
      <sheetData sheetId="5436" refreshError="1"/>
      <sheetData sheetId="5437" refreshError="1"/>
      <sheetData sheetId="5438" refreshError="1"/>
      <sheetData sheetId="5439" refreshError="1"/>
      <sheetData sheetId="5440" refreshError="1"/>
      <sheetData sheetId="5441">
        <row r="2">
          <cell r="A2" t="str">
            <v>실     명</v>
          </cell>
        </row>
      </sheetData>
      <sheetData sheetId="5442">
        <row r="2">
          <cell r="A2" t="str">
            <v>실     명</v>
          </cell>
        </row>
      </sheetData>
      <sheetData sheetId="5443">
        <row r="2">
          <cell r="A2" t="str">
            <v>실     명</v>
          </cell>
        </row>
      </sheetData>
      <sheetData sheetId="5444">
        <row r="2">
          <cell r="A2" t="str">
            <v>실     명</v>
          </cell>
        </row>
      </sheetData>
      <sheetData sheetId="5445">
        <row r="2">
          <cell r="A2" t="str">
            <v>실     명</v>
          </cell>
        </row>
      </sheetData>
      <sheetData sheetId="5446">
        <row r="2">
          <cell r="A2" t="str">
            <v>실     명</v>
          </cell>
        </row>
      </sheetData>
      <sheetData sheetId="5447">
        <row r="2">
          <cell r="A2" t="str">
            <v>실     명</v>
          </cell>
        </row>
      </sheetData>
      <sheetData sheetId="5448">
        <row r="2">
          <cell r="A2" t="str">
            <v>실     명</v>
          </cell>
        </row>
      </sheetData>
      <sheetData sheetId="5449">
        <row r="2">
          <cell r="A2" t="str">
            <v>실     명</v>
          </cell>
        </row>
      </sheetData>
      <sheetData sheetId="5450">
        <row r="2">
          <cell r="A2" t="str">
            <v>실     명</v>
          </cell>
        </row>
      </sheetData>
      <sheetData sheetId="5451">
        <row r="2">
          <cell r="A2" t="str">
            <v>실     명</v>
          </cell>
        </row>
      </sheetData>
      <sheetData sheetId="5452">
        <row r="2">
          <cell r="A2" t="str">
            <v>실     명</v>
          </cell>
        </row>
      </sheetData>
      <sheetData sheetId="5453">
        <row r="2">
          <cell r="A2" t="str">
            <v>실     명</v>
          </cell>
        </row>
      </sheetData>
      <sheetData sheetId="5454">
        <row r="2">
          <cell r="A2" t="str">
            <v>실     명</v>
          </cell>
        </row>
      </sheetData>
      <sheetData sheetId="5455">
        <row r="2">
          <cell r="A2" t="str">
            <v>실     명</v>
          </cell>
        </row>
      </sheetData>
      <sheetData sheetId="5456">
        <row r="2">
          <cell r="A2" t="str">
            <v>실     명</v>
          </cell>
        </row>
      </sheetData>
      <sheetData sheetId="5457">
        <row r="2">
          <cell r="A2" t="str">
            <v>실     명</v>
          </cell>
        </row>
      </sheetData>
      <sheetData sheetId="5458">
        <row r="2">
          <cell r="A2" t="str">
            <v>실     명</v>
          </cell>
        </row>
      </sheetData>
      <sheetData sheetId="5459" refreshError="1"/>
      <sheetData sheetId="5460" refreshError="1"/>
      <sheetData sheetId="5461">
        <row r="2">
          <cell r="A2" t="str">
            <v>실     명</v>
          </cell>
        </row>
      </sheetData>
      <sheetData sheetId="5462" refreshError="1"/>
      <sheetData sheetId="5463" refreshError="1"/>
      <sheetData sheetId="5464" refreshError="1"/>
      <sheetData sheetId="5465">
        <row r="2">
          <cell r="A2" t="str">
            <v>실     명</v>
          </cell>
        </row>
      </sheetData>
      <sheetData sheetId="5466">
        <row r="2">
          <cell r="A2" t="str">
            <v>실     명</v>
          </cell>
        </row>
      </sheetData>
      <sheetData sheetId="5467">
        <row r="2">
          <cell r="A2" t="str">
            <v>실     명</v>
          </cell>
        </row>
      </sheetData>
      <sheetData sheetId="5468">
        <row r="2">
          <cell r="A2" t="str">
            <v>실     명</v>
          </cell>
        </row>
      </sheetData>
      <sheetData sheetId="5469">
        <row r="2">
          <cell r="A2" t="str">
            <v>실     명</v>
          </cell>
        </row>
      </sheetData>
      <sheetData sheetId="5470">
        <row r="2">
          <cell r="A2" t="str">
            <v>실     명</v>
          </cell>
        </row>
      </sheetData>
      <sheetData sheetId="5471">
        <row r="2">
          <cell r="A2" t="str">
            <v>실     명</v>
          </cell>
        </row>
      </sheetData>
      <sheetData sheetId="5472">
        <row r="2">
          <cell r="A2" t="str">
            <v>실     명</v>
          </cell>
        </row>
      </sheetData>
      <sheetData sheetId="5473" refreshError="1"/>
      <sheetData sheetId="5474" refreshError="1"/>
      <sheetData sheetId="5475" refreshError="1"/>
      <sheetData sheetId="5476" refreshError="1"/>
      <sheetData sheetId="5477" refreshError="1"/>
      <sheetData sheetId="5478" refreshError="1"/>
      <sheetData sheetId="5479" refreshError="1"/>
      <sheetData sheetId="5480" refreshError="1"/>
      <sheetData sheetId="5481" refreshError="1"/>
      <sheetData sheetId="5482" refreshError="1"/>
      <sheetData sheetId="5483" refreshError="1"/>
      <sheetData sheetId="5484" refreshError="1"/>
      <sheetData sheetId="5485" refreshError="1"/>
      <sheetData sheetId="5486" refreshError="1"/>
      <sheetData sheetId="5487" refreshError="1"/>
      <sheetData sheetId="5488" refreshError="1"/>
      <sheetData sheetId="5489" refreshError="1"/>
      <sheetData sheetId="5490" refreshError="1"/>
      <sheetData sheetId="5491" refreshError="1"/>
      <sheetData sheetId="5492" refreshError="1"/>
      <sheetData sheetId="5493" refreshError="1"/>
      <sheetData sheetId="5494" refreshError="1"/>
      <sheetData sheetId="5495" refreshError="1"/>
      <sheetData sheetId="5496" refreshError="1"/>
      <sheetData sheetId="5497" refreshError="1"/>
      <sheetData sheetId="5498" refreshError="1"/>
      <sheetData sheetId="5499" refreshError="1"/>
      <sheetData sheetId="5500" refreshError="1"/>
      <sheetData sheetId="5501" refreshError="1"/>
      <sheetData sheetId="5502" refreshError="1"/>
      <sheetData sheetId="5503" refreshError="1"/>
      <sheetData sheetId="5504" refreshError="1"/>
      <sheetData sheetId="5505" refreshError="1"/>
      <sheetData sheetId="5506" refreshError="1"/>
      <sheetData sheetId="5507" refreshError="1"/>
      <sheetData sheetId="5508" refreshError="1"/>
      <sheetData sheetId="5509" refreshError="1"/>
      <sheetData sheetId="5510" refreshError="1"/>
      <sheetData sheetId="5511" refreshError="1"/>
      <sheetData sheetId="5512" refreshError="1"/>
      <sheetData sheetId="5513" refreshError="1"/>
      <sheetData sheetId="5514" refreshError="1"/>
      <sheetData sheetId="5515" refreshError="1"/>
      <sheetData sheetId="5516" refreshError="1"/>
      <sheetData sheetId="5517" refreshError="1"/>
      <sheetData sheetId="5518" refreshError="1"/>
      <sheetData sheetId="5519" refreshError="1"/>
      <sheetData sheetId="5520" refreshError="1"/>
      <sheetData sheetId="5521" refreshError="1"/>
      <sheetData sheetId="5522" refreshError="1"/>
      <sheetData sheetId="5523" refreshError="1"/>
      <sheetData sheetId="5524" refreshError="1"/>
      <sheetData sheetId="5525" refreshError="1"/>
      <sheetData sheetId="5526" refreshError="1"/>
      <sheetData sheetId="5527" refreshError="1"/>
      <sheetData sheetId="5528" refreshError="1"/>
      <sheetData sheetId="5529" refreshError="1"/>
      <sheetData sheetId="5530" refreshError="1"/>
      <sheetData sheetId="5531" refreshError="1"/>
      <sheetData sheetId="5532" refreshError="1"/>
      <sheetData sheetId="5533" refreshError="1"/>
      <sheetData sheetId="5534" refreshError="1"/>
      <sheetData sheetId="5535" refreshError="1"/>
      <sheetData sheetId="5536" refreshError="1"/>
      <sheetData sheetId="5537" refreshError="1"/>
      <sheetData sheetId="5538" refreshError="1"/>
      <sheetData sheetId="5539" refreshError="1"/>
      <sheetData sheetId="5540" refreshError="1"/>
      <sheetData sheetId="5541" refreshError="1"/>
      <sheetData sheetId="5542" refreshError="1"/>
      <sheetData sheetId="5543" refreshError="1"/>
      <sheetData sheetId="5544" refreshError="1"/>
      <sheetData sheetId="5545" refreshError="1"/>
      <sheetData sheetId="5546" refreshError="1"/>
      <sheetData sheetId="5547" refreshError="1"/>
      <sheetData sheetId="5548" refreshError="1"/>
      <sheetData sheetId="5549" refreshError="1"/>
      <sheetData sheetId="5550" refreshError="1"/>
      <sheetData sheetId="5551" refreshError="1"/>
      <sheetData sheetId="5552" refreshError="1"/>
      <sheetData sheetId="5553" refreshError="1"/>
      <sheetData sheetId="5554" refreshError="1"/>
      <sheetData sheetId="5555"/>
      <sheetData sheetId="5556"/>
      <sheetData sheetId="5557"/>
      <sheetData sheetId="5558"/>
      <sheetData sheetId="5559"/>
      <sheetData sheetId="5560"/>
      <sheetData sheetId="5561"/>
      <sheetData sheetId="5562"/>
      <sheetData sheetId="5563" refreshError="1"/>
      <sheetData sheetId="5564" refreshError="1"/>
      <sheetData sheetId="5565" refreshError="1"/>
      <sheetData sheetId="5566" refreshError="1"/>
      <sheetData sheetId="5567" refreshError="1"/>
      <sheetData sheetId="5568" refreshError="1"/>
      <sheetData sheetId="5569" refreshError="1"/>
      <sheetData sheetId="5570" refreshError="1"/>
      <sheetData sheetId="5571" refreshError="1"/>
      <sheetData sheetId="5572" refreshError="1"/>
      <sheetData sheetId="5573" refreshError="1"/>
      <sheetData sheetId="5574" refreshError="1"/>
      <sheetData sheetId="5575" refreshError="1"/>
      <sheetData sheetId="5576" refreshError="1"/>
      <sheetData sheetId="5577" refreshError="1"/>
      <sheetData sheetId="5578" refreshError="1"/>
      <sheetData sheetId="5579" refreshError="1"/>
      <sheetData sheetId="5580" refreshError="1"/>
      <sheetData sheetId="5581" refreshError="1"/>
      <sheetData sheetId="5582" refreshError="1"/>
      <sheetData sheetId="5583" refreshError="1"/>
      <sheetData sheetId="5584" refreshError="1"/>
      <sheetData sheetId="5585" refreshError="1"/>
      <sheetData sheetId="5586" refreshError="1"/>
      <sheetData sheetId="5587" refreshError="1"/>
      <sheetData sheetId="5588" refreshError="1"/>
      <sheetData sheetId="5589" refreshError="1"/>
      <sheetData sheetId="5590" refreshError="1"/>
      <sheetData sheetId="5591" refreshError="1"/>
      <sheetData sheetId="5592" refreshError="1"/>
      <sheetData sheetId="5593" refreshError="1"/>
      <sheetData sheetId="5594" refreshError="1"/>
      <sheetData sheetId="5595" refreshError="1"/>
      <sheetData sheetId="5596" refreshError="1"/>
      <sheetData sheetId="5597" refreshError="1"/>
      <sheetData sheetId="5598" refreshError="1"/>
      <sheetData sheetId="5599" refreshError="1"/>
      <sheetData sheetId="5600" refreshError="1"/>
      <sheetData sheetId="5601" refreshError="1"/>
      <sheetData sheetId="5602" refreshError="1"/>
      <sheetData sheetId="5603" refreshError="1"/>
      <sheetData sheetId="5604" refreshError="1"/>
      <sheetData sheetId="5605" refreshError="1"/>
      <sheetData sheetId="5606" refreshError="1"/>
      <sheetData sheetId="5607" refreshError="1"/>
      <sheetData sheetId="5608" refreshError="1"/>
      <sheetData sheetId="5609" refreshError="1"/>
      <sheetData sheetId="5610" refreshError="1"/>
      <sheetData sheetId="5611" refreshError="1"/>
      <sheetData sheetId="5612" refreshError="1"/>
      <sheetData sheetId="5613" refreshError="1"/>
      <sheetData sheetId="5614" refreshError="1"/>
      <sheetData sheetId="5615" refreshError="1"/>
      <sheetData sheetId="5616" refreshError="1"/>
      <sheetData sheetId="5617" refreshError="1"/>
      <sheetData sheetId="5618" refreshError="1"/>
      <sheetData sheetId="5619" refreshError="1"/>
      <sheetData sheetId="5620" refreshError="1"/>
      <sheetData sheetId="5621" refreshError="1"/>
      <sheetData sheetId="5622" refreshError="1"/>
      <sheetData sheetId="5623" refreshError="1"/>
      <sheetData sheetId="5624" refreshError="1"/>
      <sheetData sheetId="5625" refreshError="1"/>
      <sheetData sheetId="5626" refreshError="1"/>
      <sheetData sheetId="5627" refreshError="1"/>
      <sheetData sheetId="5628" refreshError="1"/>
      <sheetData sheetId="5629" refreshError="1"/>
      <sheetData sheetId="5630" refreshError="1"/>
      <sheetData sheetId="5631" refreshError="1"/>
      <sheetData sheetId="5632" refreshError="1"/>
      <sheetData sheetId="5633" refreshError="1"/>
      <sheetData sheetId="5634" refreshError="1"/>
      <sheetData sheetId="5635" refreshError="1"/>
      <sheetData sheetId="5636" refreshError="1"/>
      <sheetData sheetId="5637" refreshError="1"/>
      <sheetData sheetId="5638" refreshError="1"/>
      <sheetData sheetId="5639" refreshError="1"/>
      <sheetData sheetId="5640" refreshError="1"/>
      <sheetData sheetId="5641" refreshError="1"/>
      <sheetData sheetId="5642" refreshError="1"/>
      <sheetData sheetId="5643" refreshError="1"/>
      <sheetData sheetId="5644" refreshError="1"/>
      <sheetData sheetId="5645" refreshError="1"/>
      <sheetData sheetId="5646" refreshError="1"/>
      <sheetData sheetId="5647" refreshError="1"/>
      <sheetData sheetId="5648" refreshError="1"/>
      <sheetData sheetId="5649" refreshError="1"/>
      <sheetData sheetId="5650" refreshError="1"/>
      <sheetData sheetId="5651" refreshError="1"/>
      <sheetData sheetId="5652" refreshError="1"/>
      <sheetData sheetId="5653" refreshError="1"/>
      <sheetData sheetId="5654" refreshError="1"/>
      <sheetData sheetId="5655" refreshError="1"/>
      <sheetData sheetId="5656" refreshError="1"/>
      <sheetData sheetId="5657" refreshError="1"/>
      <sheetData sheetId="5658" refreshError="1"/>
      <sheetData sheetId="5659" refreshError="1"/>
      <sheetData sheetId="5660" refreshError="1"/>
      <sheetData sheetId="5661" refreshError="1"/>
      <sheetData sheetId="5662" refreshError="1"/>
      <sheetData sheetId="5663" refreshError="1"/>
      <sheetData sheetId="5664" refreshError="1"/>
      <sheetData sheetId="5665" refreshError="1"/>
      <sheetData sheetId="5666" refreshError="1"/>
      <sheetData sheetId="5667" refreshError="1"/>
      <sheetData sheetId="5668" refreshError="1"/>
      <sheetData sheetId="5669" refreshError="1"/>
      <sheetData sheetId="5670" refreshError="1"/>
      <sheetData sheetId="5671" refreshError="1"/>
      <sheetData sheetId="5672" refreshError="1"/>
      <sheetData sheetId="5673" refreshError="1"/>
      <sheetData sheetId="5674" refreshError="1"/>
      <sheetData sheetId="5675" refreshError="1"/>
      <sheetData sheetId="5676" refreshError="1"/>
      <sheetData sheetId="5677" refreshError="1"/>
      <sheetData sheetId="5678" refreshError="1"/>
      <sheetData sheetId="5679" refreshError="1"/>
      <sheetData sheetId="5680" refreshError="1"/>
      <sheetData sheetId="5681" refreshError="1"/>
      <sheetData sheetId="5682" refreshError="1"/>
      <sheetData sheetId="5683" refreshError="1"/>
      <sheetData sheetId="5684" refreshError="1"/>
      <sheetData sheetId="5685" refreshError="1"/>
      <sheetData sheetId="5686" refreshError="1"/>
      <sheetData sheetId="5687" refreshError="1"/>
      <sheetData sheetId="5688" refreshError="1"/>
      <sheetData sheetId="5689" refreshError="1"/>
      <sheetData sheetId="5690" refreshError="1"/>
      <sheetData sheetId="5691" refreshError="1"/>
      <sheetData sheetId="5692" refreshError="1"/>
      <sheetData sheetId="5693" refreshError="1"/>
      <sheetData sheetId="5694" refreshError="1"/>
      <sheetData sheetId="5695" refreshError="1"/>
      <sheetData sheetId="5696" refreshError="1"/>
      <sheetData sheetId="5697" refreshError="1"/>
      <sheetData sheetId="5698" refreshError="1"/>
      <sheetData sheetId="5699" refreshError="1"/>
      <sheetData sheetId="5700" refreshError="1"/>
      <sheetData sheetId="5701" refreshError="1"/>
      <sheetData sheetId="5702" refreshError="1"/>
      <sheetData sheetId="5703" refreshError="1"/>
      <sheetData sheetId="5704" refreshError="1"/>
      <sheetData sheetId="5705" refreshError="1"/>
      <sheetData sheetId="5706" refreshError="1"/>
      <sheetData sheetId="5707" refreshError="1"/>
      <sheetData sheetId="5708" refreshError="1"/>
      <sheetData sheetId="5709" refreshError="1"/>
      <sheetData sheetId="5710" refreshError="1"/>
      <sheetData sheetId="5711" refreshError="1"/>
      <sheetData sheetId="5712" refreshError="1"/>
      <sheetData sheetId="5713" refreshError="1"/>
      <sheetData sheetId="5714" refreshError="1"/>
      <sheetData sheetId="5715" refreshError="1"/>
      <sheetData sheetId="5716" refreshError="1"/>
      <sheetData sheetId="5717"/>
      <sheetData sheetId="5718" refreshError="1"/>
      <sheetData sheetId="5719" refreshError="1"/>
      <sheetData sheetId="5720" refreshError="1"/>
      <sheetData sheetId="5721" refreshError="1"/>
      <sheetData sheetId="5722" refreshError="1"/>
      <sheetData sheetId="5723" refreshError="1"/>
      <sheetData sheetId="5724" refreshError="1"/>
      <sheetData sheetId="5725" refreshError="1"/>
      <sheetData sheetId="5726" refreshError="1"/>
      <sheetData sheetId="5727" refreshError="1"/>
      <sheetData sheetId="5728" refreshError="1"/>
      <sheetData sheetId="5729" refreshError="1"/>
      <sheetData sheetId="5730" refreshError="1"/>
      <sheetData sheetId="5731" refreshError="1"/>
      <sheetData sheetId="5732" refreshError="1"/>
      <sheetData sheetId="5733" refreshError="1"/>
      <sheetData sheetId="5734" refreshError="1"/>
      <sheetData sheetId="5735" refreshError="1"/>
      <sheetData sheetId="5736" refreshError="1"/>
      <sheetData sheetId="5737" refreshError="1"/>
      <sheetData sheetId="5738" refreshError="1"/>
      <sheetData sheetId="5739" refreshError="1"/>
      <sheetData sheetId="5740" refreshError="1"/>
      <sheetData sheetId="5741" refreshError="1"/>
      <sheetData sheetId="5742" refreshError="1"/>
      <sheetData sheetId="5743" refreshError="1"/>
      <sheetData sheetId="5744" refreshError="1"/>
      <sheetData sheetId="5745" refreshError="1"/>
      <sheetData sheetId="5746" refreshError="1"/>
      <sheetData sheetId="5747" refreshError="1"/>
      <sheetData sheetId="5748" refreshError="1"/>
      <sheetData sheetId="5749" refreshError="1"/>
      <sheetData sheetId="5750" refreshError="1"/>
      <sheetData sheetId="5751" refreshError="1"/>
      <sheetData sheetId="5752" refreshError="1"/>
      <sheetData sheetId="5753" refreshError="1"/>
      <sheetData sheetId="5754" refreshError="1"/>
      <sheetData sheetId="5755" refreshError="1"/>
      <sheetData sheetId="5756" refreshError="1"/>
      <sheetData sheetId="5757" refreshError="1"/>
      <sheetData sheetId="5758" refreshError="1"/>
      <sheetData sheetId="5759" refreshError="1"/>
      <sheetData sheetId="5760" refreshError="1"/>
      <sheetData sheetId="5761" refreshError="1"/>
      <sheetData sheetId="5762" refreshError="1"/>
      <sheetData sheetId="5763" refreshError="1"/>
      <sheetData sheetId="5764" refreshError="1"/>
      <sheetData sheetId="5765" refreshError="1"/>
      <sheetData sheetId="5766" refreshError="1"/>
      <sheetData sheetId="5767" refreshError="1"/>
      <sheetData sheetId="5768" refreshError="1"/>
      <sheetData sheetId="5769" refreshError="1"/>
      <sheetData sheetId="5770" refreshError="1"/>
      <sheetData sheetId="5771" refreshError="1"/>
      <sheetData sheetId="5772" refreshError="1"/>
      <sheetData sheetId="5773" refreshError="1"/>
      <sheetData sheetId="5774" refreshError="1"/>
      <sheetData sheetId="5775" refreshError="1"/>
      <sheetData sheetId="5776" refreshError="1"/>
      <sheetData sheetId="5777" refreshError="1"/>
      <sheetData sheetId="5778" refreshError="1"/>
      <sheetData sheetId="5779" refreshError="1"/>
      <sheetData sheetId="5780" refreshError="1"/>
      <sheetData sheetId="5781" refreshError="1"/>
      <sheetData sheetId="5782" refreshError="1"/>
      <sheetData sheetId="5783" refreshError="1"/>
      <sheetData sheetId="5784" refreshError="1"/>
      <sheetData sheetId="5785" refreshError="1"/>
      <sheetData sheetId="5786" refreshError="1"/>
      <sheetData sheetId="5787" refreshError="1"/>
      <sheetData sheetId="5788" refreshError="1"/>
      <sheetData sheetId="5789" refreshError="1"/>
      <sheetData sheetId="5790" refreshError="1"/>
      <sheetData sheetId="5791" refreshError="1"/>
      <sheetData sheetId="5792" refreshError="1"/>
      <sheetData sheetId="5793" refreshError="1"/>
      <sheetData sheetId="5794" refreshError="1"/>
      <sheetData sheetId="5795" refreshError="1"/>
      <sheetData sheetId="5796" refreshError="1"/>
      <sheetData sheetId="5797" refreshError="1"/>
      <sheetData sheetId="5798" refreshError="1"/>
      <sheetData sheetId="5799" refreshError="1"/>
      <sheetData sheetId="5800" refreshError="1"/>
      <sheetData sheetId="5801" refreshError="1"/>
      <sheetData sheetId="5802" refreshError="1"/>
      <sheetData sheetId="5803" refreshError="1"/>
      <sheetData sheetId="5804" refreshError="1"/>
      <sheetData sheetId="5805" refreshError="1"/>
      <sheetData sheetId="5806" refreshError="1"/>
      <sheetData sheetId="5807" refreshError="1"/>
      <sheetData sheetId="5808" refreshError="1"/>
      <sheetData sheetId="5809" refreshError="1"/>
      <sheetData sheetId="5810" refreshError="1"/>
      <sheetData sheetId="5811" refreshError="1"/>
      <sheetData sheetId="5812" refreshError="1"/>
      <sheetData sheetId="5813" refreshError="1"/>
      <sheetData sheetId="5814" refreshError="1"/>
      <sheetData sheetId="5815" refreshError="1"/>
      <sheetData sheetId="5816" refreshError="1"/>
      <sheetData sheetId="5817" refreshError="1"/>
      <sheetData sheetId="5818" refreshError="1"/>
      <sheetData sheetId="5819" refreshError="1"/>
      <sheetData sheetId="5820" refreshError="1"/>
      <sheetData sheetId="5821" refreshError="1"/>
      <sheetData sheetId="5822" refreshError="1"/>
      <sheetData sheetId="5823" refreshError="1"/>
      <sheetData sheetId="5824" refreshError="1"/>
      <sheetData sheetId="5825" refreshError="1"/>
      <sheetData sheetId="5826" refreshError="1"/>
      <sheetData sheetId="5827" refreshError="1"/>
      <sheetData sheetId="5828" refreshError="1"/>
      <sheetData sheetId="5829" refreshError="1"/>
      <sheetData sheetId="5830" refreshError="1"/>
      <sheetData sheetId="5831" refreshError="1"/>
      <sheetData sheetId="5832" refreshError="1"/>
      <sheetData sheetId="5833" refreshError="1"/>
      <sheetData sheetId="5834" refreshError="1"/>
      <sheetData sheetId="5835" refreshError="1"/>
      <sheetData sheetId="5836" refreshError="1"/>
      <sheetData sheetId="5837" refreshError="1"/>
      <sheetData sheetId="5838" refreshError="1"/>
      <sheetData sheetId="5839" refreshError="1"/>
      <sheetData sheetId="5840" refreshError="1"/>
      <sheetData sheetId="5841" refreshError="1"/>
      <sheetData sheetId="5842" refreshError="1"/>
      <sheetData sheetId="5843" refreshError="1"/>
      <sheetData sheetId="5844" refreshError="1"/>
      <sheetData sheetId="5845" refreshError="1"/>
      <sheetData sheetId="5846" refreshError="1"/>
      <sheetData sheetId="5847"/>
      <sheetData sheetId="5848">
        <row r="2">
          <cell r="A2" t="str">
            <v>실     명</v>
          </cell>
        </row>
      </sheetData>
      <sheetData sheetId="5849">
        <row r="2">
          <cell r="A2" t="str">
            <v>실     명</v>
          </cell>
        </row>
      </sheetData>
      <sheetData sheetId="5850">
        <row r="2">
          <cell r="A2" t="str">
            <v>실     명</v>
          </cell>
        </row>
      </sheetData>
      <sheetData sheetId="5851"/>
      <sheetData sheetId="5852"/>
      <sheetData sheetId="5853"/>
      <sheetData sheetId="5854"/>
      <sheetData sheetId="5855"/>
      <sheetData sheetId="5856"/>
      <sheetData sheetId="5857"/>
      <sheetData sheetId="5858"/>
      <sheetData sheetId="5859" refreshError="1"/>
      <sheetData sheetId="5860" refreshError="1"/>
      <sheetData sheetId="5861" refreshError="1"/>
      <sheetData sheetId="5862" refreshError="1"/>
      <sheetData sheetId="5863" refreshError="1"/>
      <sheetData sheetId="5864" refreshError="1"/>
      <sheetData sheetId="5865" refreshError="1"/>
      <sheetData sheetId="5866" refreshError="1"/>
      <sheetData sheetId="5867" refreshError="1"/>
      <sheetData sheetId="5868" refreshError="1"/>
      <sheetData sheetId="5869" refreshError="1"/>
      <sheetData sheetId="5870" refreshError="1"/>
      <sheetData sheetId="5871" refreshError="1"/>
      <sheetData sheetId="5872" refreshError="1"/>
      <sheetData sheetId="5873" refreshError="1"/>
      <sheetData sheetId="5874" refreshError="1"/>
      <sheetData sheetId="5875" refreshError="1"/>
      <sheetData sheetId="5876" refreshError="1"/>
      <sheetData sheetId="5877" refreshError="1"/>
      <sheetData sheetId="5878" refreshError="1"/>
      <sheetData sheetId="5879" refreshError="1"/>
      <sheetData sheetId="5880" refreshError="1"/>
      <sheetData sheetId="5881" refreshError="1"/>
      <sheetData sheetId="5882" refreshError="1"/>
      <sheetData sheetId="5883" refreshError="1"/>
      <sheetData sheetId="5884" refreshError="1"/>
      <sheetData sheetId="5885" refreshError="1"/>
      <sheetData sheetId="5886" refreshError="1"/>
      <sheetData sheetId="5887" refreshError="1"/>
      <sheetData sheetId="5888" refreshError="1"/>
      <sheetData sheetId="5889" refreshError="1"/>
      <sheetData sheetId="5890" refreshError="1"/>
      <sheetData sheetId="5891" refreshError="1"/>
      <sheetData sheetId="5892" refreshError="1"/>
      <sheetData sheetId="5893" refreshError="1"/>
      <sheetData sheetId="5894" refreshError="1"/>
      <sheetData sheetId="5895" refreshError="1"/>
      <sheetData sheetId="5896" refreshError="1"/>
      <sheetData sheetId="5897" refreshError="1"/>
      <sheetData sheetId="5898" refreshError="1"/>
      <sheetData sheetId="5899" refreshError="1"/>
      <sheetData sheetId="5900" refreshError="1"/>
      <sheetData sheetId="5901" refreshError="1"/>
      <sheetData sheetId="5902" refreshError="1"/>
      <sheetData sheetId="5903" refreshError="1"/>
      <sheetData sheetId="5904" refreshError="1"/>
      <sheetData sheetId="5905" refreshError="1"/>
      <sheetData sheetId="5906" refreshError="1"/>
      <sheetData sheetId="5907" refreshError="1"/>
      <sheetData sheetId="5908" refreshError="1"/>
      <sheetData sheetId="5909" refreshError="1"/>
      <sheetData sheetId="5910" refreshError="1"/>
      <sheetData sheetId="5911" refreshError="1"/>
      <sheetData sheetId="5912" refreshError="1"/>
      <sheetData sheetId="5913" refreshError="1"/>
      <sheetData sheetId="5914" refreshError="1"/>
      <sheetData sheetId="5915" refreshError="1"/>
      <sheetData sheetId="5916" refreshError="1"/>
      <sheetData sheetId="5917" refreshError="1"/>
      <sheetData sheetId="5918" refreshError="1"/>
      <sheetData sheetId="5919" refreshError="1"/>
      <sheetData sheetId="5920" refreshError="1"/>
      <sheetData sheetId="5921" refreshError="1"/>
      <sheetData sheetId="5922" refreshError="1"/>
      <sheetData sheetId="5923" refreshError="1"/>
      <sheetData sheetId="5924" refreshError="1"/>
      <sheetData sheetId="5925" refreshError="1"/>
      <sheetData sheetId="5926" refreshError="1"/>
      <sheetData sheetId="5927" refreshError="1"/>
      <sheetData sheetId="5928" refreshError="1"/>
      <sheetData sheetId="5929" refreshError="1"/>
      <sheetData sheetId="5930" refreshError="1"/>
      <sheetData sheetId="5931" refreshError="1"/>
      <sheetData sheetId="5932" refreshError="1"/>
      <sheetData sheetId="5933" refreshError="1"/>
      <sheetData sheetId="5934" refreshError="1"/>
      <sheetData sheetId="5935" refreshError="1"/>
      <sheetData sheetId="5936" refreshError="1"/>
      <sheetData sheetId="5937" refreshError="1"/>
      <sheetData sheetId="5938" refreshError="1"/>
      <sheetData sheetId="5939" refreshError="1"/>
      <sheetData sheetId="5940" refreshError="1"/>
      <sheetData sheetId="5941" refreshError="1"/>
      <sheetData sheetId="5942" refreshError="1"/>
      <sheetData sheetId="5943" refreshError="1"/>
      <sheetData sheetId="5944" refreshError="1"/>
      <sheetData sheetId="5945" refreshError="1"/>
      <sheetData sheetId="5946" refreshError="1"/>
      <sheetData sheetId="5947" refreshError="1"/>
      <sheetData sheetId="5948" refreshError="1"/>
      <sheetData sheetId="5949" refreshError="1"/>
      <sheetData sheetId="5950" refreshError="1"/>
      <sheetData sheetId="5951" refreshError="1"/>
      <sheetData sheetId="5952" refreshError="1"/>
      <sheetData sheetId="5953" refreshError="1"/>
      <sheetData sheetId="5954" refreshError="1"/>
      <sheetData sheetId="5955" refreshError="1"/>
      <sheetData sheetId="5956" refreshError="1"/>
      <sheetData sheetId="5957" refreshError="1"/>
      <sheetData sheetId="5958" refreshError="1"/>
      <sheetData sheetId="5959" refreshError="1"/>
      <sheetData sheetId="5960" refreshError="1"/>
      <sheetData sheetId="5961" refreshError="1"/>
      <sheetData sheetId="5962" refreshError="1"/>
      <sheetData sheetId="5963" refreshError="1"/>
      <sheetData sheetId="5964" refreshError="1"/>
      <sheetData sheetId="5965" refreshError="1"/>
      <sheetData sheetId="5966" refreshError="1"/>
      <sheetData sheetId="5967" refreshError="1"/>
      <sheetData sheetId="5968" refreshError="1"/>
      <sheetData sheetId="5969" refreshError="1"/>
      <sheetData sheetId="5970" refreshError="1"/>
      <sheetData sheetId="5971" refreshError="1"/>
      <sheetData sheetId="5972" refreshError="1"/>
      <sheetData sheetId="5973" refreshError="1"/>
      <sheetData sheetId="5974" refreshError="1"/>
      <sheetData sheetId="5975" refreshError="1"/>
      <sheetData sheetId="5976" refreshError="1"/>
      <sheetData sheetId="5977" refreshError="1"/>
      <sheetData sheetId="5978" refreshError="1"/>
      <sheetData sheetId="5979" refreshError="1"/>
      <sheetData sheetId="5980" refreshError="1"/>
      <sheetData sheetId="5981" refreshError="1"/>
      <sheetData sheetId="5982" refreshError="1"/>
      <sheetData sheetId="5983" refreshError="1"/>
      <sheetData sheetId="5984" refreshError="1"/>
      <sheetData sheetId="5985" refreshError="1"/>
      <sheetData sheetId="5986" refreshError="1"/>
      <sheetData sheetId="5987" refreshError="1"/>
      <sheetData sheetId="5988" refreshError="1"/>
      <sheetData sheetId="5989" refreshError="1"/>
      <sheetData sheetId="5990" refreshError="1"/>
      <sheetData sheetId="5991" refreshError="1"/>
      <sheetData sheetId="5992" refreshError="1"/>
      <sheetData sheetId="5993" refreshError="1"/>
      <sheetData sheetId="5994" refreshError="1"/>
      <sheetData sheetId="5995" refreshError="1"/>
      <sheetData sheetId="5996" refreshError="1"/>
      <sheetData sheetId="5997" refreshError="1"/>
      <sheetData sheetId="5998" refreshError="1"/>
      <sheetData sheetId="5999" refreshError="1"/>
      <sheetData sheetId="6000" refreshError="1"/>
      <sheetData sheetId="6001" refreshError="1"/>
      <sheetData sheetId="6002" refreshError="1"/>
      <sheetData sheetId="6003" refreshError="1"/>
      <sheetData sheetId="6004" refreshError="1"/>
      <sheetData sheetId="6005" refreshError="1"/>
      <sheetData sheetId="6006" refreshError="1"/>
      <sheetData sheetId="6007" refreshError="1"/>
      <sheetData sheetId="6008" refreshError="1"/>
      <sheetData sheetId="6009" refreshError="1"/>
      <sheetData sheetId="6010" refreshError="1"/>
      <sheetData sheetId="6011" refreshError="1"/>
      <sheetData sheetId="6012" refreshError="1"/>
      <sheetData sheetId="6013" refreshError="1"/>
      <sheetData sheetId="6014" refreshError="1"/>
      <sheetData sheetId="6015" refreshError="1"/>
      <sheetData sheetId="6016" refreshError="1"/>
      <sheetData sheetId="6017" refreshError="1"/>
      <sheetData sheetId="6018" refreshError="1"/>
      <sheetData sheetId="6019" refreshError="1"/>
      <sheetData sheetId="6020" refreshError="1"/>
      <sheetData sheetId="6021" refreshError="1"/>
      <sheetData sheetId="6022" refreshError="1"/>
      <sheetData sheetId="6023" refreshError="1"/>
      <sheetData sheetId="6024" refreshError="1"/>
      <sheetData sheetId="6025" refreshError="1"/>
      <sheetData sheetId="6026" refreshError="1"/>
      <sheetData sheetId="6027" refreshError="1"/>
      <sheetData sheetId="6028" refreshError="1"/>
      <sheetData sheetId="6029" refreshError="1"/>
      <sheetData sheetId="6030" refreshError="1"/>
      <sheetData sheetId="6031" refreshError="1"/>
      <sheetData sheetId="6032" refreshError="1"/>
      <sheetData sheetId="6033" refreshError="1"/>
      <sheetData sheetId="6034" refreshError="1"/>
      <sheetData sheetId="6035" refreshError="1"/>
      <sheetData sheetId="6036" refreshError="1"/>
      <sheetData sheetId="6037" refreshError="1"/>
      <sheetData sheetId="6038" refreshError="1"/>
      <sheetData sheetId="6039" refreshError="1"/>
      <sheetData sheetId="6040" refreshError="1"/>
      <sheetData sheetId="6041" refreshError="1"/>
      <sheetData sheetId="6042" refreshError="1"/>
      <sheetData sheetId="6043" refreshError="1"/>
      <sheetData sheetId="6044" refreshError="1"/>
      <sheetData sheetId="6045" refreshError="1"/>
      <sheetData sheetId="6046" refreshError="1"/>
      <sheetData sheetId="6047" refreshError="1"/>
      <sheetData sheetId="6048" refreshError="1"/>
      <sheetData sheetId="6049" refreshError="1"/>
      <sheetData sheetId="6050" refreshError="1"/>
      <sheetData sheetId="6051" refreshError="1"/>
      <sheetData sheetId="6052" refreshError="1"/>
      <sheetData sheetId="6053" refreshError="1"/>
      <sheetData sheetId="6054" refreshError="1"/>
      <sheetData sheetId="6055" refreshError="1"/>
      <sheetData sheetId="6056" refreshError="1"/>
      <sheetData sheetId="6057" refreshError="1"/>
      <sheetData sheetId="6058" refreshError="1"/>
      <sheetData sheetId="6059" refreshError="1"/>
      <sheetData sheetId="6060" refreshError="1"/>
      <sheetData sheetId="6061" refreshError="1"/>
      <sheetData sheetId="6062" refreshError="1"/>
      <sheetData sheetId="6063" refreshError="1"/>
      <sheetData sheetId="6064" refreshError="1"/>
      <sheetData sheetId="6065" refreshError="1"/>
      <sheetData sheetId="6066" refreshError="1"/>
      <sheetData sheetId="6067" refreshError="1"/>
      <sheetData sheetId="6068" refreshError="1"/>
      <sheetData sheetId="6069" refreshError="1"/>
      <sheetData sheetId="6070" refreshError="1"/>
      <sheetData sheetId="6071" refreshError="1"/>
      <sheetData sheetId="6072" refreshError="1"/>
      <sheetData sheetId="6073" refreshError="1"/>
      <sheetData sheetId="6074" refreshError="1"/>
      <sheetData sheetId="6075" refreshError="1"/>
      <sheetData sheetId="6076" refreshError="1"/>
      <sheetData sheetId="6077" refreshError="1"/>
      <sheetData sheetId="6078" refreshError="1"/>
      <sheetData sheetId="6079" refreshError="1"/>
      <sheetData sheetId="6080" refreshError="1"/>
      <sheetData sheetId="6081" refreshError="1"/>
      <sheetData sheetId="6082" refreshError="1"/>
      <sheetData sheetId="6083" refreshError="1"/>
      <sheetData sheetId="6084" refreshError="1"/>
      <sheetData sheetId="6085" refreshError="1"/>
      <sheetData sheetId="6086" refreshError="1"/>
      <sheetData sheetId="6087" refreshError="1"/>
      <sheetData sheetId="6088" refreshError="1"/>
      <sheetData sheetId="6089" refreshError="1"/>
      <sheetData sheetId="6090" refreshError="1"/>
      <sheetData sheetId="6091" refreshError="1"/>
      <sheetData sheetId="6092" refreshError="1"/>
      <sheetData sheetId="6093" refreshError="1"/>
      <sheetData sheetId="6094" refreshError="1"/>
      <sheetData sheetId="6095" refreshError="1"/>
      <sheetData sheetId="6096"/>
      <sheetData sheetId="6097"/>
      <sheetData sheetId="6098"/>
      <sheetData sheetId="6099"/>
      <sheetData sheetId="6100"/>
      <sheetData sheetId="6101"/>
      <sheetData sheetId="6102"/>
      <sheetData sheetId="6103"/>
      <sheetData sheetId="6104"/>
      <sheetData sheetId="6105"/>
      <sheetData sheetId="6106"/>
      <sheetData sheetId="6107"/>
      <sheetData sheetId="6108"/>
      <sheetData sheetId="6109"/>
      <sheetData sheetId="6110"/>
      <sheetData sheetId="6111"/>
      <sheetData sheetId="6112"/>
      <sheetData sheetId="6113"/>
      <sheetData sheetId="6114"/>
      <sheetData sheetId="6115"/>
      <sheetData sheetId="6116"/>
      <sheetData sheetId="6117"/>
      <sheetData sheetId="6118"/>
      <sheetData sheetId="6119"/>
      <sheetData sheetId="6120"/>
      <sheetData sheetId="6121"/>
      <sheetData sheetId="6122"/>
      <sheetData sheetId="6123"/>
      <sheetData sheetId="6124"/>
      <sheetData sheetId="6125"/>
      <sheetData sheetId="6126"/>
      <sheetData sheetId="6127"/>
      <sheetData sheetId="6128"/>
      <sheetData sheetId="6129"/>
      <sheetData sheetId="6130"/>
      <sheetData sheetId="6131"/>
      <sheetData sheetId="6132"/>
      <sheetData sheetId="6133"/>
      <sheetData sheetId="6134"/>
      <sheetData sheetId="6135"/>
      <sheetData sheetId="6136"/>
      <sheetData sheetId="6137"/>
      <sheetData sheetId="6138"/>
      <sheetData sheetId="6139"/>
      <sheetData sheetId="6140"/>
      <sheetData sheetId="6141"/>
      <sheetData sheetId="6142"/>
      <sheetData sheetId="6143"/>
      <sheetData sheetId="6144"/>
      <sheetData sheetId="6145"/>
      <sheetData sheetId="6146"/>
      <sheetData sheetId="6147"/>
      <sheetData sheetId="6148"/>
      <sheetData sheetId="6149"/>
      <sheetData sheetId="6150"/>
      <sheetData sheetId="6151"/>
      <sheetData sheetId="6152"/>
      <sheetData sheetId="6153"/>
      <sheetData sheetId="6154"/>
      <sheetData sheetId="6155"/>
      <sheetData sheetId="6156"/>
      <sheetData sheetId="6157"/>
      <sheetData sheetId="6158"/>
      <sheetData sheetId="6159"/>
      <sheetData sheetId="6160"/>
      <sheetData sheetId="6161"/>
      <sheetData sheetId="6162"/>
      <sheetData sheetId="6163"/>
      <sheetData sheetId="6164"/>
      <sheetData sheetId="6165"/>
      <sheetData sheetId="6166"/>
      <sheetData sheetId="6167"/>
      <sheetData sheetId="6168"/>
      <sheetData sheetId="6169"/>
      <sheetData sheetId="6170"/>
      <sheetData sheetId="6171"/>
      <sheetData sheetId="6172"/>
      <sheetData sheetId="6173"/>
      <sheetData sheetId="6174"/>
      <sheetData sheetId="6175"/>
      <sheetData sheetId="6176"/>
      <sheetData sheetId="6177"/>
      <sheetData sheetId="6178"/>
      <sheetData sheetId="6179"/>
      <sheetData sheetId="6180"/>
      <sheetData sheetId="6181"/>
      <sheetData sheetId="6182"/>
      <sheetData sheetId="6183"/>
      <sheetData sheetId="6184"/>
      <sheetData sheetId="6185"/>
      <sheetData sheetId="6186"/>
      <sheetData sheetId="6187"/>
      <sheetData sheetId="6188"/>
      <sheetData sheetId="6189"/>
      <sheetData sheetId="6190"/>
      <sheetData sheetId="6191"/>
      <sheetData sheetId="6192"/>
      <sheetData sheetId="6193"/>
      <sheetData sheetId="6194"/>
      <sheetData sheetId="6195"/>
      <sheetData sheetId="6196"/>
      <sheetData sheetId="6197"/>
      <sheetData sheetId="6198"/>
      <sheetData sheetId="6199"/>
      <sheetData sheetId="6200"/>
      <sheetData sheetId="6201"/>
      <sheetData sheetId="6202"/>
      <sheetData sheetId="6203"/>
      <sheetData sheetId="6204"/>
      <sheetData sheetId="6205"/>
      <sheetData sheetId="6206" refreshError="1"/>
      <sheetData sheetId="6207" refreshError="1"/>
      <sheetData sheetId="6208" refreshError="1"/>
      <sheetData sheetId="6209" refreshError="1"/>
      <sheetData sheetId="6210" refreshError="1"/>
      <sheetData sheetId="6211" refreshError="1"/>
      <sheetData sheetId="6212" refreshError="1"/>
      <sheetData sheetId="6213" refreshError="1"/>
      <sheetData sheetId="6214" refreshError="1"/>
      <sheetData sheetId="6215" refreshError="1"/>
      <sheetData sheetId="6216" refreshError="1"/>
      <sheetData sheetId="6217" refreshError="1"/>
      <sheetData sheetId="6218" refreshError="1"/>
      <sheetData sheetId="6219" refreshError="1"/>
      <sheetData sheetId="6220" refreshError="1"/>
      <sheetData sheetId="6221" refreshError="1"/>
      <sheetData sheetId="6222" refreshError="1"/>
      <sheetData sheetId="6223" refreshError="1"/>
      <sheetData sheetId="6224" refreshError="1"/>
      <sheetData sheetId="6225" refreshError="1"/>
      <sheetData sheetId="6226" refreshError="1"/>
      <sheetData sheetId="6227" refreshError="1"/>
      <sheetData sheetId="6228" refreshError="1"/>
      <sheetData sheetId="6229" refreshError="1"/>
      <sheetData sheetId="6230" refreshError="1"/>
      <sheetData sheetId="6231" refreshError="1"/>
      <sheetData sheetId="6232"/>
      <sheetData sheetId="6233" refreshError="1"/>
      <sheetData sheetId="6234" refreshError="1"/>
      <sheetData sheetId="6235" refreshError="1"/>
      <sheetData sheetId="6236" refreshError="1"/>
      <sheetData sheetId="6237"/>
      <sheetData sheetId="6238"/>
      <sheetData sheetId="6239"/>
      <sheetData sheetId="6240"/>
      <sheetData sheetId="6241" refreshError="1"/>
      <sheetData sheetId="6242" refreshError="1"/>
      <sheetData sheetId="6243" refreshError="1"/>
      <sheetData sheetId="6244" refreshError="1"/>
      <sheetData sheetId="6245" refreshError="1"/>
      <sheetData sheetId="6246" refreshError="1"/>
      <sheetData sheetId="6247" refreshError="1"/>
      <sheetData sheetId="6248" refreshError="1"/>
      <sheetData sheetId="6249" refreshError="1"/>
      <sheetData sheetId="6250" refreshError="1"/>
      <sheetData sheetId="6251" refreshError="1"/>
      <sheetData sheetId="6252" refreshError="1"/>
      <sheetData sheetId="6253" refreshError="1"/>
      <sheetData sheetId="6254" refreshError="1"/>
      <sheetData sheetId="6255" refreshError="1"/>
      <sheetData sheetId="6256" refreshError="1"/>
      <sheetData sheetId="6257"/>
      <sheetData sheetId="6258" refreshError="1"/>
      <sheetData sheetId="6259" refreshError="1"/>
      <sheetData sheetId="6260" refreshError="1"/>
      <sheetData sheetId="6261" refreshError="1"/>
      <sheetData sheetId="6262" refreshError="1"/>
      <sheetData sheetId="6263" refreshError="1"/>
      <sheetData sheetId="6264" refreshError="1"/>
      <sheetData sheetId="6265" refreshError="1"/>
      <sheetData sheetId="6266" refreshError="1"/>
      <sheetData sheetId="6267" refreshError="1"/>
      <sheetData sheetId="6268" refreshError="1"/>
      <sheetData sheetId="6269" refreshError="1"/>
      <sheetData sheetId="6270" refreshError="1"/>
      <sheetData sheetId="6271" refreshError="1"/>
      <sheetData sheetId="6272" refreshError="1"/>
      <sheetData sheetId="6273" refreshError="1"/>
      <sheetData sheetId="6274" refreshError="1"/>
      <sheetData sheetId="6275" refreshError="1"/>
      <sheetData sheetId="6276" refreshError="1"/>
      <sheetData sheetId="6277" refreshError="1"/>
      <sheetData sheetId="6278" refreshError="1"/>
      <sheetData sheetId="6279" refreshError="1"/>
      <sheetData sheetId="6280" refreshError="1"/>
      <sheetData sheetId="6281" refreshError="1"/>
      <sheetData sheetId="6282" refreshError="1"/>
      <sheetData sheetId="6283" refreshError="1"/>
      <sheetData sheetId="6284" refreshError="1"/>
      <sheetData sheetId="6285" refreshError="1"/>
      <sheetData sheetId="6286" refreshError="1"/>
      <sheetData sheetId="6287" refreshError="1"/>
      <sheetData sheetId="6288" refreshError="1"/>
      <sheetData sheetId="6289" refreshError="1"/>
      <sheetData sheetId="6290" refreshError="1"/>
      <sheetData sheetId="6291" refreshError="1"/>
      <sheetData sheetId="6292" refreshError="1"/>
      <sheetData sheetId="6293" refreshError="1"/>
      <sheetData sheetId="6294" refreshError="1"/>
      <sheetData sheetId="6295" refreshError="1"/>
      <sheetData sheetId="6296" refreshError="1"/>
      <sheetData sheetId="6297" refreshError="1"/>
      <sheetData sheetId="6298" refreshError="1"/>
      <sheetData sheetId="6299" refreshError="1"/>
      <sheetData sheetId="6300" refreshError="1"/>
      <sheetData sheetId="6301" refreshError="1"/>
      <sheetData sheetId="6302" refreshError="1"/>
      <sheetData sheetId="6303" refreshError="1"/>
      <sheetData sheetId="6304" refreshError="1"/>
      <sheetData sheetId="6305" refreshError="1"/>
      <sheetData sheetId="6306" refreshError="1"/>
      <sheetData sheetId="6307" refreshError="1"/>
      <sheetData sheetId="6308" refreshError="1"/>
      <sheetData sheetId="6309" refreshError="1"/>
      <sheetData sheetId="6310" refreshError="1"/>
      <sheetData sheetId="6311" refreshError="1"/>
      <sheetData sheetId="6312" refreshError="1"/>
      <sheetData sheetId="6313" refreshError="1"/>
      <sheetData sheetId="6314" refreshError="1"/>
      <sheetData sheetId="6315" refreshError="1"/>
      <sheetData sheetId="6316" refreshError="1"/>
      <sheetData sheetId="6317" refreshError="1"/>
      <sheetData sheetId="6318" refreshError="1"/>
      <sheetData sheetId="6319" refreshError="1"/>
      <sheetData sheetId="6320" refreshError="1"/>
      <sheetData sheetId="6321" refreshError="1"/>
      <sheetData sheetId="6322" refreshError="1"/>
      <sheetData sheetId="6323" refreshError="1"/>
      <sheetData sheetId="6324" refreshError="1"/>
      <sheetData sheetId="6325" refreshError="1"/>
      <sheetData sheetId="6326" refreshError="1"/>
      <sheetData sheetId="6327" refreshError="1"/>
      <sheetData sheetId="6328" refreshError="1"/>
      <sheetData sheetId="6329" refreshError="1"/>
      <sheetData sheetId="6330" refreshError="1"/>
      <sheetData sheetId="6331" refreshError="1"/>
      <sheetData sheetId="6332" refreshError="1"/>
      <sheetData sheetId="6333" refreshError="1"/>
      <sheetData sheetId="6334" refreshError="1"/>
      <sheetData sheetId="6335" refreshError="1"/>
      <sheetData sheetId="6336" refreshError="1"/>
      <sheetData sheetId="6337" refreshError="1"/>
      <sheetData sheetId="6338" refreshError="1"/>
      <sheetData sheetId="6339" refreshError="1"/>
      <sheetData sheetId="6340" refreshError="1"/>
      <sheetData sheetId="6341" refreshError="1"/>
      <sheetData sheetId="6342" refreshError="1"/>
      <sheetData sheetId="6343" refreshError="1"/>
      <sheetData sheetId="6344" refreshError="1"/>
      <sheetData sheetId="6345" refreshError="1"/>
      <sheetData sheetId="6346" refreshError="1"/>
      <sheetData sheetId="6347" refreshError="1"/>
      <sheetData sheetId="6348" refreshError="1"/>
      <sheetData sheetId="6349" refreshError="1"/>
      <sheetData sheetId="6350" refreshError="1"/>
      <sheetData sheetId="6351" refreshError="1"/>
      <sheetData sheetId="6352" refreshError="1"/>
      <sheetData sheetId="6353"/>
      <sheetData sheetId="6354" refreshError="1"/>
      <sheetData sheetId="6355" refreshError="1"/>
      <sheetData sheetId="6356" refreshError="1"/>
      <sheetData sheetId="6357" refreshError="1"/>
      <sheetData sheetId="6358" refreshError="1"/>
      <sheetData sheetId="6359" refreshError="1"/>
      <sheetData sheetId="6360" refreshError="1"/>
      <sheetData sheetId="6361" refreshError="1"/>
      <sheetData sheetId="6362" refreshError="1"/>
      <sheetData sheetId="6363" refreshError="1"/>
      <sheetData sheetId="6364" refreshError="1"/>
      <sheetData sheetId="6365"/>
      <sheetData sheetId="6366"/>
      <sheetData sheetId="6367"/>
      <sheetData sheetId="6368"/>
      <sheetData sheetId="6369"/>
      <sheetData sheetId="6370"/>
      <sheetData sheetId="6371"/>
      <sheetData sheetId="6372"/>
      <sheetData sheetId="6373"/>
      <sheetData sheetId="6374"/>
      <sheetData sheetId="6375"/>
      <sheetData sheetId="6376"/>
      <sheetData sheetId="6377"/>
      <sheetData sheetId="6378"/>
      <sheetData sheetId="6379"/>
      <sheetData sheetId="6380"/>
      <sheetData sheetId="6381"/>
      <sheetData sheetId="6382"/>
      <sheetData sheetId="6383"/>
      <sheetData sheetId="6384"/>
      <sheetData sheetId="6385"/>
      <sheetData sheetId="6386" refreshError="1"/>
      <sheetData sheetId="6387" refreshError="1"/>
      <sheetData sheetId="6388" refreshError="1"/>
      <sheetData sheetId="6389" refreshError="1"/>
      <sheetData sheetId="6390" refreshError="1"/>
      <sheetData sheetId="6391" refreshError="1"/>
      <sheetData sheetId="6392" refreshError="1"/>
      <sheetData sheetId="6393" refreshError="1"/>
      <sheetData sheetId="6394" refreshError="1"/>
      <sheetData sheetId="6395" refreshError="1"/>
      <sheetData sheetId="6396" refreshError="1"/>
      <sheetData sheetId="6397" refreshError="1"/>
      <sheetData sheetId="6398" refreshError="1"/>
      <sheetData sheetId="6399" refreshError="1"/>
      <sheetData sheetId="6400" refreshError="1"/>
      <sheetData sheetId="6401" refreshError="1"/>
      <sheetData sheetId="6402" refreshError="1"/>
      <sheetData sheetId="6403" refreshError="1"/>
      <sheetData sheetId="6404" refreshError="1"/>
      <sheetData sheetId="6405" refreshError="1"/>
      <sheetData sheetId="6406" refreshError="1"/>
      <sheetData sheetId="6407" refreshError="1"/>
      <sheetData sheetId="6408" refreshError="1"/>
      <sheetData sheetId="6409" refreshError="1"/>
      <sheetData sheetId="6410" refreshError="1"/>
      <sheetData sheetId="6411" refreshError="1"/>
      <sheetData sheetId="6412" refreshError="1"/>
      <sheetData sheetId="6413" refreshError="1"/>
      <sheetData sheetId="6414" refreshError="1"/>
      <sheetData sheetId="6415" refreshError="1"/>
      <sheetData sheetId="6416" refreshError="1"/>
      <sheetData sheetId="6417" refreshError="1"/>
      <sheetData sheetId="6418" refreshError="1"/>
      <sheetData sheetId="6419" refreshError="1"/>
      <sheetData sheetId="6420" refreshError="1"/>
      <sheetData sheetId="6421" refreshError="1"/>
      <sheetData sheetId="6422" refreshError="1"/>
      <sheetData sheetId="6423" refreshError="1"/>
      <sheetData sheetId="6424" refreshError="1"/>
      <sheetData sheetId="6425" refreshError="1"/>
      <sheetData sheetId="6426" refreshError="1"/>
      <sheetData sheetId="6427" refreshError="1"/>
      <sheetData sheetId="6428" refreshError="1"/>
      <sheetData sheetId="6429" refreshError="1"/>
      <sheetData sheetId="6430"/>
      <sheetData sheetId="6431"/>
      <sheetData sheetId="6432"/>
      <sheetData sheetId="6433"/>
      <sheetData sheetId="6434"/>
      <sheetData sheetId="6435"/>
      <sheetData sheetId="6436"/>
      <sheetData sheetId="6437"/>
      <sheetData sheetId="6438"/>
      <sheetData sheetId="6439"/>
      <sheetData sheetId="6440"/>
      <sheetData sheetId="6441"/>
      <sheetData sheetId="6442"/>
      <sheetData sheetId="6443"/>
      <sheetData sheetId="6444"/>
      <sheetData sheetId="6445"/>
      <sheetData sheetId="6446"/>
      <sheetData sheetId="6447"/>
      <sheetData sheetId="6448"/>
      <sheetData sheetId="6449"/>
      <sheetData sheetId="6450"/>
      <sheetData sheetId="6451"/>
      <sheetData sheetId="6452"/>
      <sheetData sheetId="6453"/>
      <sheetData sheetId="6454"/>
      <sheetData sheetId="6455"/>
      <sheetData sheetId="6456"/>
      <sheetData sheetId="6457"/>
      <sheetData sheetId="6458"/>
      <sheetData sheetId="6459"/>
      <sheetData sheetId="6460"/>
      <sheetData sheetId="6461"/>
      <sheetData sheetId="6462"/>
      <sheetData sheetId="6463"/>
      <sheetData sheetId="6464" refreshError="1"/>
      <sheetData sheetId="6465" refreshError="1"/>
      <sheetData sheetId="6466" refreshError="1"/>
      <sheetData sheetId="6467" refreshError="1"/>
      <sheetData sheetId="6468" refreshError="1"/>
      <sheetData sheetId="6469" refreshError="1"/>
      <sheetData sheetId="6470" refreshError="1"/>
      <sheetData sheetId="6471" refreshError="1"/>
      <sheetData sheetId="6472" refreshError="1"/>
      <sheetData sheetId="6473" refreshError="1"/>
      <sheetData sheetId="6474" refreshError="1"/>
      <sheetData sheetId="6475" refreshError="1"/>
      <sheetData sheetId="6476" refreshError="1"/>
      <sheetData sheetId="6477" refreshError="1"/>
      <sheetData sheetId="6478" refreshError="1"/>
      <sheetData sheetId="6479" refreshError="1"/>
      <sheetData sheetId="6480" refreshError="1"/>
      <sheetData sheetId="6481" refreshError="1"/>
      <sheetData sheetId="6482" refreshError="1"/>
      <sheetData sheetId="6483" refreshError="1"/>
      <sheetData sheetId="6484" refreshError="1"/>
      <sheetData sheetId="6485" refreshError="1"/>
      <sheetData sheetId="6486" refreshError="1"/>
      <sheetData sheetId="6487" refreshError="1"/>
      <sheetData sheetId="6488" refreshError="1"/>
      <sheetData sheetId="6489" refreshError="1"/>
      <sheetData sheetId="6490" refreshError="1"/>
      <sheetData sheetId="6491" refreshError="1"/>
      <sheetData sheetId="6492" refreshError="1"/>
      <sheetData sheetId="6493" refreshError="1"/>
      <sheetData sheetId="6494" refreshError="1"/>
      <sheetData sheetId="6495" refreshError="1"/>
      <sheetData sheetId="6496" refreshError="1"/>
      <sheetData sheetId="6497" refreshError="1"/>
      <sheetData sheetId="6498" refreshError="1"/>
      <sheetData sheetId="6499" refreshError="1"/>
      <sheetData sheetId="6500" refreshError="1"/>
      <sheetData sheetId="6501" refreshError="1"/>
      <sheetData sheetId="6502" refreshError="1"/>
      <sheetData sheetId="6503" refreshError="1"/>
      <sheetData sheetId="6504" refreshError="1"/>
      <sheetData sheetId="6505" refreshError="1"/>
      <sheetData sheetId="6506" refreshError="1"/>
      <sheetData sheetId="6507" refreshError="1"/>
      <sheetData sheetId="6508" refreshError="1"/>
      <sheetData sheetId="6509" refreshError="1"/>
      <sheetData sheetId="6510" refreshError="1"/>
      <sheetData sheetId="6511" refreshError="1"/>
      <sheetData sheetId="6512" refreshError="1"/>
      <sheetData sheetId="6513" refreshError="1"/>
      <sheetData sheetId="6514" refreshError="1"/>
      <sheetData sheetId="6515" refreshError="1"/>
      <sheetData sheetId="6516" refreshError="1"/>
      <sheetData sheetId="6517" refreshError="1"/>
      <sheetData sheetId="6518" refreshError="1"/>
      <sheetData sheetId="6519" refreshError="1"/>
      <sheetData sheetId="6520" refreshError="1"/>
      <sheetData sheetId="6521" refreshError="1"/>
      <sheetData sheetId="6522" refreshError="1"/>
      <sheetData sheetId="6523" refreshError="1"/>
      <sheetData sheetId="6524" refreshError="1"/>
      <sheetData sheetId="6525" refreshError="1"/>
      <sheetData sheetId="6526" refreshError="1"/>
      <sheetData sheetId="6527" refreshError="1"/>
      <sheetData sheetId="6528" refreshError="1"/>
      <sheetData sheetId="6529" refreshError="1"/>
      <sheetData sheetId="6530" refreshError="1"/>
      <sheetData sheetId="6531" refreshError="1"/>
      <sheetData sheetId="6532" refreshError="1"/>
      <sheetData sheetId="6533" refreshError="1"/>
      <sheetData sheetId="6534" refreshError="1"/>
      <sheetData sheetId="6535" refreshError="1"/>
      <sheetData sheetId="6536" refreshError="1"/>
      <sheetData sheetId="6537" refreshError="1"/>
      <sheetData sheetId="6538" refreshError="1"/>
      <sheetData sheetId="6539" refreshError="1"/>
      <sheetData sheetId="6540" refreshError="1"/>
      <sheetData sheetId="6541" refreshError="1"/>
      <sheetData sheetId="6542" refreshError="1"/>
      <sheetData sheetId="6543" refreshError="1"/>
      <sheetData sheetId="6544" refreshError="1"/>
      <sheetData sheetId="6545" refreshError="1"/>
      <sheetData sheetId="6546" refreshError="1"/>
      <sheetData sheetId="6547" refreshError="1"/>
      <sheetData sheetId="6548" refreshError="1"/>
      <sheetData sheetId="6549" refreshError="1"/>
      <sheetData sheetId="6550" refreshError="1"/>
      <sheetData sheetId="6551" refreshError="1"/>
      <sheetData sheetId="6552" refreshError="1"/>
      <sheetData sheetId="6553" refreshError="1"/>
      <sheetData sheetId="6554" refreshError="1"/>
      <sheetData sheetId="6555" refreshError="1"/>
      <sheetData sheetId="6556" refreshError="1"/>
      <sheetData sheetId="6557" refreshError="1"/>
      <sheetData sheetId="6558" refreshError="1"/>
      <sheetData sheetId="6559" refreshError="1"/>
      <sheetData sheetId="6560" refreshError="1"/>
      <sheetData sheetId="6561" refreshError="1"/>
      <sheetData sheetId="6562" refreshError="1"/>
      <sheetData sheetId="6563" refreshError="1"/>
      <sheetData sheetId="6564" refreshError="1"/>
      <sheetData sheetId="6565" refreshError="1"/>
      <sheetData sheetId="6566" refreshError="1"/>
      <sheetData sheetId="6567" refreshError="1"/>
      <sheetData sheetId="6568" refreshError="1"/>
      <sheetData sheetId="6569" refreshError="1"/>
      <sheetData sheetId="6570" refreshError="1"/>
      <sheetData sheetId="6571" refreshError="1"/>
      <sheetData sheetId="6572" refreshError="1"/>
      <sheetData sheetId="6573" refreshError="1"/>
      <sheetData sheetId="6574" refreshError="1"/>
      <sheetData sheetId="6575" refreshError="1"/>
      <sheetData sheetId="6576" refreshError="1"/>
      <sheetData sheetId="6577" refreshError="1"/>
      <sheetData sheetId="6578" refreshError="1"/>
      <sheetData sheetId="6579" refreshError="1"/>
      <sheetData sheetId="6580" refreshError="1"/>
      <sheetData sheetId="6581" refreshError="1"/>
      <sheetData sheetId="6582" refreshError="1"/>
      <sheetData sheetId="6583" refreshError="1"/>
      <sheetData sheetId="6584" refreshError="1"/>
      <sheetData sheetId="6585" refreshError="1"/>
      <sheetData sheetId="6586" refreshError="1"/>
      <sheetData sheetId="6587" refreshError="1"/>
      <sheetData sheetId="6588" refreshError="1"/>
      <sheetData sheetId="6589" refreshError="1"/>
      <sheetData sheetId="6590" refreshError="1"/>
      <sheetData sheetId="6591" refreshError="1"/>
      <sheetData sheetId="6592" refreshError="1"/>
      <sheetData sheetId="6593" refreshError="1"/>
      <sheetData sheetId="6594" refreshError="1"/>
      <sheetData sheetId="6595" refreshError="1"/>
      <sheetData sheetId="6596" refreshError="1"/>
      <sheetData sheetId="6597" refreshError="1"/>
      <sheetData sheetId="6598" refreshError="1"/>
      <sheetData sheetId="6599" refreshError="1"/>
      <sheetData sheetId="6600" refreshError="1"/>
      <sheetData sheetId="6601" refreshError="1"/>
      <sheetData sheetId="6602" refreshError="1"/>
      <sheetData sheetId="6603" refreshError="1"/>
      <sheetData sheetId="6604" refreshError="1"/>
      <sheetData sheetId="6605" refreshError="1"/>
      <sheetData sheetId="6606" refreshError="1"/>
      <sheetData sheetId="6607" refreshError="1"/>
      <sheetData sheetId="6608" refreshError="1"/>
      <sheetData sheetId="6609" refreshError="1"/>
      <sheetData sheetId="6610" refreshError="1"/>
      <sheetData sheetId="6611" refreshError="1"/>
      <sheetData sheetId="6612" refreshError="1"/>
      <sheetData sheetId="6613" refreshError="1"/>
      <sheetData sheetId="6614" refreshError="1"/>
      <sheetData sheetId="6615" refreshError="1"/>
      <sheetData sheetId="6616" refreshError="1"/>
      <sheetData sheetId="6617" refreshError="1"/>
      <sheetData sheetId="6618" refreshError="1"/>
      <sheetData sheetId="6619" refreshError="1"/>
      <sheetData sheetId="6620" refreshError="1"/>
      <sheetData sheetId="6621" refreshError="1"/>
      <sheetData sheetId="6622" refreshError="1"/>
      <sheetData sheetId="6623" refreshError="1"/>
      <sheetData sheetId="6624" refreshError="1"/>
      <sheetData sheetId="6625" refreshError="1"/>
      <sheetData sheetId="6626" refreshError="1"/>
      <sheetData sheetId="6627" refreshError="1"/>
      <sheetData sheetId="6628" refreshError="1"/>
      <sheetData sheetId="6629" refreshError="1"/>
      <sheetData sheetId="6630" refreshError="1"/>
      <sheetData sheetId="6631" refreshError="1"/>
      <sheetData sheetId="6632" refreshError="1"/>
      <sheetData sheetId="6633" refreshError="1"/>
      <sheetData sheetId="6634" refreshError="1"/>
      <sheetData sheetId="6635" refreshError="1"/>
      <sheetData sheetId="6636" refreshError="1"/>
      <sheetData sheetId="6637" refreshError="1"/>
      <sheetData sheetId="6638" refreshError="1"/>
      <sheetData sheetId="6639" refreshError="1"/>
      <sheetData sheetId="6640" refreshError="1"/>
      <sheetData sheetId="6641" refreshError="1"/>
      <sheetData sheetId="6642" refreshError="1"/>
      <sheetData sheetId="6643" refreshError="1"/>
      <sheetData sheetId="6644" refreshError="1"/>
      <sheetData sheetId="6645" refreshError="1"/>
      <sheetData sheetId="6646" refreshError="1"/>
      <sheetData sheetId="6647" refreshError="1"/>
      <sheetData sheetId="6648" refreshError="1"/>
      <sheetData sheetId="6649" refreshError="1"/>
      <sheetData sheetId="6650" refreshError="1"/>
      <sheetData sheetId="6651" refreshError="1"/>
      <sheetData sheetId="6652" refreshError="1"/>
      <sheetData sheetId="6653" refreshError="1"/>
      <sheetData sheetId="6654" refreshError="1"/>
      <sheetData sheetId="6655" refreshError="1"/>
      <sheetData sheetId="6656" refreshError="1"/>
      <sheetData sheetId="6657" refreshError="1"/>
      <sheetData sheetId="6658" refreshError="1"/>
      <sheetData sheetId="6659" refreshError="1"/>
      <sheetData sheetId="6660" refreshError="1"/>
      <sheetData sheetId="6661" refreshError="1"/>
      <sheetData sheetId="6662" refreshError="1"/>
      <sheetData sheetId="6663" refreshError="1"/>
      <sheetData sheetId="6664" refreshError="1"/>
      <sheetData sheetId="6665" refreshError="1"/>
      <sheetData sheetId="6666" refreshError="1"/>
      <sheetData sheetId="6667" refreshError="1"/>
      <sheetData sheetId="6668" refreshError="1"/>
      <sheetData sheetId="6669" refreshError="1"/>
      <sheetData sheetId="6670" refreshError="1"/>
      <sheetData sheetId="6671" refreshError="1"/>
      <sheetData sheetId="6672" refreshError="1"/>
      <sheetData sheetId="6673" refreshError="1"/>
      <sheetData sheetId="6674" refreshError="1"/>
      <sheetData sheetId="6675" refreshError="1"/>
      <sheetData sheetId="6676" refreshError="1"/>
      <sheetData sheetId="6677" refreshError="1"/>
      <sheetData sheetId="6678" refreshError="1"/>
      <sheetData sheetId="6679" refreshError="1"/>
      <sheetData sheetId="6680" refreshError="1"/>
      <sheetData sheetId="6681" refreshError="1"/>
      <sheetData sheetId="6682" refreshError="1"/>
      <sheetData sheetId="6683" refreshError="1"/>
      <sheetData sheetId="6684" refreshError="1"/>
      <sheetData sheetId="6685" refreshError="1"/>
      <sheetData sheetId="6686" refreshError="1"/>
      <sheetData sheetId="6687" refreshError="1"/>
      <sheetData sheetId="6688" refreshError="1"/>
      <sheetData sheetId="6689" refreshError="1"/>
      <sheetData sheetId="6690" refreshError="1"/>
      <sheetData sheetId="6691" refreshError="1"/>
      <sheetData sheetId="6692" refreshError="1"/>
      <sheetData sheetId="6693" refreshError="1"/>
      <sheetData sheetId="6694" refreshError="1"/>
      <sheetData sheetId="6695" refreshError="1"/>
      <sheetData sheetId="6696" refreshError="1"/>
      <sheetData sheetId="6697" refreshError="1"/>
      <sheetData sheetId="6698" refreshError="1"/>
      <sheetData sheetId="6699" refreshError="1"/>
      <sheetData sheetId="6700" refreshError="1"/>
      <sheetData sheetId="6701" refreshError="1"/>
      <sheetData sheetId="6702" refreshError="1"/>
      <sheetData sheetId="6703" refreshError="1"/>
      <sheetData sheetId="6704" refreshError="1"/>
      <sheetData sheetId="6705" refreshError="1"/>
      <sheetData sheetId="6706" refreshError="1"/>
      <sheetData sheetId="6707" refreshError="1"/>
      <sheetData sheetId="6708" refreshError="1"/>
      <sheetData sheetId="6709" refreshError="1"/>
      <sheetData sheetId="6710" refreshError="1"/>
      <sheetData sheetId="6711" refreshError="1"/>
      <sheetData sheetId="6712" refreshError="1"/>
      <sheetData sheetId="6713" refreshError="1"/>
      <sheetData sheetId="6714" refreshError="1"/>
      <sheetData sheetId="6715" refreshError="1"/>
      <sheetData sheetId="6716" refreshError="1"/>
      <sheetData sheetId="6717" refreshError="1"/>
      <sheetData sheetId="6718" refreshError="1"/>
      <sheetData sheetId="6719" refreshError="1"/>
      <sheetData sheetId="6720" refreshError="1"/>
      <sheetData sheetId="6721" refreshError="1"/>
      <sheetData sheetId="6722" refreshError="1"/>
      <sheetData sheetId="6723" refreshError="1"/>
      <sheetData sheetId="6724" refreshError="1"/>
      <sheetData sheetId="6725" refreshError="1"/>
      <sheetData sheetId="6726" refreshError="1"/>
    </sheetDataSet>
  </externalBook>
</externalLink>
</file>

<file path=xl/externalLinks/externalLink17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CF BDOWN(청산-당초)"/>
      <sheetName val="RCF BDOWN(청산-BQ)"/>
      <sheetName val="RCF CLAIMED"/>
      <sheetName val="97 사업추정(WEKI)"/>
      <sheetName val="6호기"/>
      <sheetName val="공사비 내역 (가)"/>
      <sheetName val="#REF"/>
      <sheetName val="기준요인별"/>
      <sheetName val="수입"/>
      <sheetName val="간접비 총괄표"/>
    </sheetNames>
    <sheetDataSet>
      <sheetData sheetId="0" refreshError="1"/>
      <sheetData sheetId="1" refreshError="1"/>
      <sheetData sheetId="2" refreshError="1">
        <row r="1">
          <cell r="A1" t="str">
            <v>HYUNDAI ENGINEERING &amp; CONSTRUCTION CO. LTD.</v>
          </cell>
        </row>
        <row r="2">
          <cell r="A2" t="str">
            <v>SELETAR SEWAGE TREATMENT WORKS PHASE III</v>
          </cell>
          <cell r="L2" t="str">
            <v>CLAIMED AMOUNT</v>
          </cell>
        </row>
        <row r="3">
          <cell r="R3" t="str">
            <v>AS OF OCT. 2000</v>
          </cell>
        </row>
        <row r="4">
          <cell r="G4" t="str">
            <v>INLET</v>
          </cell>
          <cell r="H4" t="str">
            <v>BATTERY</v>
          </cell>
          <cell r="I4" t="str">
            <v>SPB</v>
          </cell>
          <cell r="J4" t="str">
            <v>POWERH</v>
          </cell>
          <cell r="K4" t="str">
            <v>DIGESTERS</v>
          </cell>
          <cell r="L4" t="str">
            <v>SLUDGE ST</v>
          </cell>
          <cell r="M4" t="str">
            <v>GAS TANKS</v>
          </cell>
          <cell r="N4" t="str">
            <v>FUEL OIL S</v>
          </cell>
          <cell r="O4" t="str">
            <v>TRANSFORMER</v>
          </cell>
          <cell r="S4" t="str">
            <v>TOTAL</v>
          </cell>
        </row>
        <row r="5">
          <cell r="P5" t="str">
            <v>UNIT</v>
          </cell>
          <cell r="Q5" t="str">
            <v>QTY</v>
          </cell>
          <cell r="R5" t="str">
            <v>RATE (S$)</v>
          </cell>
        </row>
        <row r="6">
          <cell r="B6" t="str">
            <v>STRUCTURAL BREAKDOWN</v>
          </cell>
        </row>
        <row r="8">
          <cell r="B8" t="str">
            <v>CONCRETE</v>
          </cell>
          <cell r="G8">
            <v>4692710.22</v>
          </cell>
          <cell r="H8">
            <v>13356936.42</v>
          </cell>
          <cell r="I8">
            <v>4137599.7600000002</v>
          </cell>
          <cell r="J8">
            <v>1170450.01</v>
          </cell>
          <cell r="K8">
            <v>2719484.1599999997</v>
          </cell>
          <cell r="L8">
            <v>511570.69999999995</v>
          </cell>
          <cell r="M8">
            <v>332838.98000000004</v>
          </cell>
          <cell r="N8">
            <v>60302.939999999995</v>
          </cell>
          <cell r="O8">
            <v>17611.489999999998</v>
          </cell>
          <cell r="P8" t="str">
            <v>M3</v>
          </cell>
          <cell r="Q8">
            <v>201338.58821774798</v>
          </cell>
          <cell r="R8">
            <v>134.1</v>
          </cell>
          <cell r="S8">
            <v>26999504.680000003</v>
          </cell>
        </row>
        <row r="9">
          <cell r="B9" t="str">
            <v>FORMWORK</v>
          </cell>
          <cell r="G9">
            <v>3030994.1500000013</v>
          </cell>
          <cell r="H9">
            <v>7226319.080000001</v>
          </cell>
          <cell r="I9">
            <v>2653262.2599999998</v>
          </cell>
          <cell r="J9">
            <v>937226.25999999989</v>
          </cell>
          <cell r="K9">
            <v>2717583.5799999996</v>
          </cell>
          <cell r="L9">
            <v>441748.75000000006</v>
          </cell>
          <cell r="M9">
            <v>293172.83999999997</v>
          </cell>
          <cell r="N9">
            <v>58443.939999999995</v>
          </cell>
          <cell r="O9">
            <v>21148.61</v>
          </cell>
          <cell r="P9" t="str">
            <v>M2</v>
          </cell>
          <cell r="Q9">
            <v>508184.19502923981</v>
          </cell>
          <cell r="R9">
            <v>34.200000000000003</v>
          </cell>
          <cell r="S9">
            <v>17379899.470000003</v>
          </cell>
        </row>
        <row r="10">
          <cell r="B10" t="str">
            <v>REBAR</v>
          </cell>
          <cell r="G10">
            <v>6085818.3599999994</v>
          </cell>
          <cell r="H10">
            <v>14012578.790000001</v>
          </cell>
          <cell r="I10">
            <v>5737423.6499999994</v>
          </cell>
          <cell r="J10">
            <v>1657986.0499999998</v>
          </cell>
          <cell r="K10">
            <v>3255346.4299999997</v>
          </cell>
          <cell r="L10">
            <v>532751.73</v>
          </cell>
          <cell r="M10">
            <v>204144.84</v>
          </cell>
          <cell r="N10">
            <v>30720.04</v>
          </cell>
          <cell r="O10">
            <v>16859.11</v>
          </cell>
          <cell r="P10" t="str">
            <v>TON</v>
          </cell>
          <cell r="Q10">
            <v>34766.955898566703</v>
          </cell>
          <cell r="R10">
            <v>907</v>
          </cell>
          <cell r="S10">
            <v>31533628.999999996</v>
          </cell>
        </row>
        <row r="11">
          <cell r="C11" t="str">
            <v>WATERSTOP</v>
          </cell>
          <cell r="G11">
            <v>120997.36</v>
          </cell>
          <cell r="H11">
            <v>315678.64</v>
          </cell>
          <cell r="I11">
            <v>92549.639999999985</v>
          </cell>
          <cell r="J11">
            <v>21002.370000000003</v>
          </cell>
          <cell r="K11">
            <v>72259.259999999995</v>
          </cell>
          <cell r="L11">
            <v>1928.36</v>
          </cell>
          <cell r="M11">
            <v>2172.6</v>
          </cell>
          <cell r="P11" t="str">
            <v>M</v>
          </cell>
          <cell r="Q11">
            <v>44125.931690140846</v>
          </cell>
          <cell r="R11">
            <v>14.2</v>
          </cell>
          <cell r="S11">
            <v>626588.23</v>
          </cell>
        </row>
        <row r="12">
          <cell r="C12" t="str">
            <v xml:space="preserve"> FINISH TO FALL, ETC.</v>
          </cell>
          <cell r="G12">
            <v>39950.559999999998</v>
          </cell>
          <cell r="H12">
            <v>475584</v>
          </cell>
          <cell r="I12">
            <v>37769.229999999996</v>
          </cell>
          <cell r="J12">
            <v>17662.71</v>
          </cell>
          <cell r="L12">
            <v>13518.9</v>
          </cell>
          <cell r="N12">
            <v>125.29</v>
          </cell>
          <cell r="P12" t="str">
            <v>M2</v>
          </cell>
          <cell r="Q12">
            <v>89940.106153846165</v>
          </cell>
          <cell r="R12">
            <v>6.5</v>
          </cell>
          <cell r="S12">
            <v>584610.69000000006</v>
          </cell>
        </row>
        <row r="24">
          <cell r="A24" t="str">
            <v>GRAND TOTAL</v>
          </cell>
          <cell r="G24">
            <v>13970470.65</v>
          </cell>
          <cell r="H24">
            <v>35387096.93</v>
          </cell>
          <cell r="I24">
            <v>12658604.539999999</v>
          </cell>
          <cell r="J24">
            <v>3804327.4</v>
          </cell>
          <cell r="K24">
            <v>8764673.4299999978</v>
          </cell>
          <cell r="L24">
            <v>1501518.44</v>
          </cell>
          <cell r="M24">
            <v>832329.26</v>
          </cell>
          <cell r="N24">
            <v>149592.21</v>
          </cell>
          <cell r="O24">
            <v>55619.21</v>
          </cell>
          <cell r="S24">
            <v>77124232.070000008</v>
          </cell>
        </row>
        <row r="27">
          <cell r="B27" t="str">
            <v>C:\CHLEE\이치헌\MR.김석철\[구조물청산물량정리.xls]RCF CLAIMED</v>
          </cell>
        </row>
      </sheetData>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17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사업부배부"/>
      <sheetName val="요약배부"/>
      <sheetName val="요약배부 (보고)"/>
      <sheetName val="요약배부 (보고) (2)"/>
      <sheetName val="배부기준체계"/>
      <sheetName val="예실차이 (2)"/>
      <sheetName val="내용분석(비율)"/>
      <sheetName val="기타매출1"/>
      <sheetName val="Module1"/>
      <sheetName val="배부부별"/>
      <sheetName val="배부비목"/>
      <sheetName val="배부기준설명"/>
      <sheetName val="예실차이"/>
      <sheetName val="임대원가"/>
      <sheetName val="기타매출"/>
      <sheetName val="영업소실적"/>
      <sheetName val="새마을금고"/>
      <sheetName val="참고인원"/>
      <sheetName val="인원대비표"/>
      <sheetName val="사업부배부A"/>
      <sheetName val="97 사업추정(WEKI)"/>
      <sheetName val="총괄표"/>
      <sheetName val="단가"/>
      <sheetName val="노임"/>
      <sheetName val="Sheet5"/>
      <sheetName val="MOKDONG(1)"/>
      <sheetName val="Option"/>
      <sheetName val="N賃率-職"/>
      <sheetName val="노임단가"/>
      <sheetName val="수입"/>
      <sheetName val="I一般比"/>
      <sheetName val="SIMULATION"/>
      <sheetName val="공사비_NDE"/>
      <sheetName val="지급자재"/>
      <sheetName val="단가조사"/>
      <sheetName val="단가산출"/>
      <sheetName val="unit 4"/>
      <sheetName val="일위목차"/>
      <sheetName val="97 사업추정_WEKI_"/>
      <sheetName val="공사내역"/>
      <sheetName val="설계명세서"/>
      <sheetName val="품셈표"/>
      <sheetName val="집계표"/>
      <sheetName val="예산"/>
      <sheetName val="수량A"/>
      <sheetName val="분당임차변경"/>
      <sheetName val="단위수량"/>
      <sheetName val="당초"/>
      <sheetName val="BQ_Utl_Off"/>
      <sheetName val="공통"/>
      <sheetName val="배부97121"/>
      <sheetName val="정산표"/>
      <sheetName val="년말집계"/>
      <sheetName val="지우기"/>
      <sheetName val="일위대가"/>
      <sheetName val="Sheet1"/>
      <sheetName val="PI"/>
      <sheetName val="SubCon"/>
      <sheetName val="휴일check"/>
      <sheetName val=" FURNACE현설"/>
      <sheetName val="RENUN"/>
      <sheetName val="단가일람"/>
      <sheetName val="단위량당중기"/>
      <sheetName val="간접비 총괄표"/>
      <sheetName val="Cover"/>
      <sheetName val="Sheet2"/>
      <sheetName val="eq_data"/>
      <sheetName val="세금자료"/>
      <sheetName val="경제지표"/>
      <sheetName val="상반기손익차2총괄"/>
      <sheetName val="b_balju-단가단가단가"/>
      <sheetName val="급여관련자료"/>
      <sheetName val="h-013211-2"/>
      <sheetName val="NPC500"/>
      <sheetName val="갑지"/>
      <sheetName val="노점수분"/>
      <sheetName val="6호기"/>
      <sheetName val="RCF CLAIMED"/>
      <sheetName val="내역"/>
      <sheetName val="Bond Fee"/>
      <sheetName val="예산내역"/>
      <sheetName val="총괄수지표"/>
      <sheetName val="별표1"/>
      <sheetName val="Units"/>
      <sheetName val="Instructions"/>
      <sheetName val="BLDG_DCI"/>
      <sheetName val="BLDG_MCI"/>
      <sheetName val="DATA1"/>
      <sheetName val="PumpSpec"/>
      <sheetName val="순공사비"/>
      <sheetName val="매설배관"/>
      <sheetName val="A LINE"/>
      <sheetName val="인원계획"/>
      <sheetName val="C3"/>
      <sheetName val="요약배부_(보고)"/>
      <sheetName val="요약배부_(보고)_(2)"/>
      <sheetName val="예실차이_(2)"/>
      <sheetName val="POL6차-PIPING"/>
      <sheetName val="97_사업추정(WEKI)"/>
      <sheetName val="_FURNACE현설"/>
      <sheetName val="97_사업추정_WEKI_"/>
      <sheetName val="unit_4"/>
      <sheetName val="간접비_총괄표"/>
      <sheetName val="RCF_CLAIMED"/>
      <sheetName val="Bond_Fee"/>
      <sheetName val="자재단가비교표"/>
      <sheetName val="2.대외공문"/>
      <sheetName val="95하U$가격"/>
      <sheetName val="노임9월"/>
      <sheetName val="DATE"/>
      <sheetName val="미지급금"/>
      <sheetName val="주관사업"/>
      <sheetName val="일위대가표"/>
      <sheetName val="Tipo Terzi"/>
      <sheetName val="공사비_내역_(가)"/>
      <sheetName val="요약배부_(보고)1"/>
      <sheetName val="요약배부_(보고)_(2)1"/>
      <sheetName val="예실차이_(2)1"/>
      <sheetName val="97_사업추정(WEKI)1"/>
      <sheetName val="TOTAL"/>
      <sheetName val="CAT_5"/>
      <sheetName val="ISBL"/>
      <sheetName val="OSBL"/>
      <sheetName val="적용기준"/>
      <sheetName val="공사비 내역 (가)"/>
      <sheetName val="Spec1"/>
      <sheetName val="CondPol"/>
      <sheetName val="w't table"/>
      <sheetName val="잡설비내역"/>
      <sheetName val="부표총괄"/>
      <sheetName val="96노임기준"/>
      <sheetName val="95삼성급(본사)"/>
      <sheetName val="BEND LOSS"/>
      <sheetName val="BM"/>
      <sheetName val="소야공정계획표"/>
      <sheetName val="자재총괄"/>
      <sheetName val="공통가설"/>
      <sheetName val="산근"/>
      <sheetName val="Mech CIF"/>
      <sheetName val="인원동원계획"/>
      <sheetName val="SE-611"/>
      <sheetName val="간접비총괄"/>
      <sheetName val="Sheet1 (2)"/>
      <sheetName val="적현로"/>
      <sheetName val="기초"/>
      <sheetName val="다곡2교"/>
      <sheetName val="JIG"/>
      <sheetName val="出力画面"/>
      <sheetName val="제작비 집계"/>
      <sheetName val="자재비"/>
      <sheetName val="단가DB"/>
      <sheetName val="대차대조표"/>
      <sheetName val="인건비"/>
      <sheetName val="노무비"/>
      <sheetName val="제작비추산총괄표"/>
      <sheetName val="SS2"/>
      <sheetName val="내역표지"/>
      <sheetName val="작성방법"/>
      <sheetName val="2선재"/>
      <sheetName val="투찰가"/>
      <sheetName val="97_사업추정_WEKI_1"/>
      <sheetName val="unit_41"/>
      <sheetName val="간접비_총괄표1"/>
      <sheetName val="_FURNACE현설1"/>
      <sheetName val="RCF_CLAIMED1"/>
      <sheetName val="Bond_Fee1"/>
      <sheetName val="A_LINE"/>
      <sheetName val="2_대외공문"/>
      <sheetName val="박상무"/>
      <sheetName val="곽병갑"/>
      <sheetName val="김석천"/>
      <sheetName val="오이균"/>
      <sheetName val="이명례"/>
      <sheetName val="원가계산서"/>
      <sheetName val="10.master schedule rev 1(LSIS)"/>
      <sheetName val="Code"/>
      <sheetName val="예산작성기준(전기)"/>
      <sheetName val="수주추정"/>
      <sheetName val="도급양식"/>
      <sheetName val="70%"/>
      <sheetName val="기간등록"/>
      <sheetName val="PipWT"/>
      <sheetName val="96.12"/>
      <sheetName val="1호인버트수량"/>
      <sheetName val="QUOTATION"/>
      <sheetName val="을지"/>
      <sheetName val="C.배수관공"/>
      <sheetName val="견적"/>
      <sheetName val="#REF"/>
      <sheetName val="BM DATA SHEET"/>
      <sheetName val="95신규호표"/>
      <sheetName val="노임이"/>
      <sheetName val="유림골조"/>
      <sheetName val="도급내역(금차분)"/>
      <sheetName val="배수내역"/>
      <sheetName val="골조시행"/>
      <sheetName val="수주현황2월"/>
      <sheetName val="공정진도현황(2069)"/>
      <sheetName val="공정진도현황(2단계2차)"/>
      <sheetName val="guard(mac)"/>
      <sheetName val="PDMP"/>
      <sheetName val="PCE"/>
      <sheetName val="PRODUK"/>
      <sheetName val="TOOL-ME"/>
      <sheetName val="갑지(추정)"/>
      <sheetName val="Qall of Cooler"/>
      <sheetName val="TIE-INS"/>
      <sheetName val="금융"/>
      <sheetName val="가로등내역서"/>
      <sheetName val="산1~4"/>
      <sheetName val="대전-교대(A1-A2)"/>
      <sheetName val="배수공"/>
      <sheetName val="COST-SUM"/>
      <sheetName val="요약배부_(보고)2"/>
      <sheetName val="요약배부_(보고)_(2)2"/>
      <sheetName val="예실차이_(2)2"/>
      <sheetName val="97_사업추정(WEKI)2"/>
      <sheetName val="unit_42"/>
      <sheetName val="97_사업추정_WEKI_2"/>
      <sheetName val="_FURNACE현설2"/>
      <sheetName val="간접비_총괄표2"/>
      <sheetName val="RCF_CLAIMED2"/>
      <sheetName val="Bond_Fee2"/>
      <sheetName val="A_LINE1"/>
      <sheetName val="2_대외공문1"/>
      <sheetName val="공사비_내역_(가)1"/>
      <sheetName val="w't_table"/>
      <sheetName val="Tipo_Terzi"/>
      <sheetName val="BEND_LOSS"/>
      <sheetName val="Mech_CIF"/>
      <sheetName val="Sheet1_(2)"/>
      <sheetName val="제작비_집계"/>
      <sheetName val="10_master_schedule_rev_1(LSIS)"/>
      <sheetName val="손익차9월2"/>
      <sheetName val="Compressors"/>
      <sheetName val="인사자료총집계"/>
      <sheetName val="가도공"/>
      <sheetName val="4-Basic Price"/>
      <sheetName val="Analisa"/>
      <sheetName val="B - Norelec"/>
      <sheetName val="D8(1)"/>
      <sheetName val="HRG DSR UPAH &amp; BAHAN"/>
      <sheetName val="5-ALAT (2)"/>
      <sheetName val="D10 LS-Rutin"/>
      <sheetName val="D9"/>
      <sheetName val="BOQ"/>
      <sheetName val="교대(A1)"/>
      <sheetName val="A-12"/>
      <sheetName val="RE-BAR"/>
      <sheetName val="取费表"/>
      <sheetName val="总估算表(英)"/>
      <sheetName val="Electricity"/>
      <sheetName val="Phase1 Summary"/>
      <sheetName val="1设备占用野三"/>
      <sheetName val="9-1차이내역"/>
      <sheetName val="RIASSUNTIVO"/>
      <sheetName val="BOJUNGGM"/>
      <sheetName val="Stl Backup"/>
      <sheetName val="WBS Split"/>
      <sheetName val="설계내역서"/>
      <sheetName val="CTEMCOST"/>
      <sheetName val="도기류"/>
      <sheetName val="5.경상직원"/>
      <sheetName val="환율CHANGE"/>
      <sheetName val="H.P견적(참조)"/>
      <sheetName val="Proposal"/>
      <sheetName val="매각(6)"/>
      <sheetName val="BM_DATA_SHEET"/>
      <sheetName val="C_배수관공"/>
      <sheetName val="96_12"/>
      <sheetName val="Sheet4"/>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sheetData sheetId="268"/>
      <sheetData sheetId="269"/>
      <sheetData sheetId="270" refreshError="1"/>
    </sheetDataSet>
  </externalBook>
</externalLink>
</file>

<file path=xl/externalLinks/externalLink17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간접비(1)"/>
      <sheetName val="120"/>
      <sheetName val="130"/>
      <sheetName val="100"/>
      <sheetName val="101"/>
      <sheetName val="102"/>
      <sheetName val="103"/>
      <sheetName val="106"/>
      <sheetName val="108"/>
      <sheetName val="109"/>
      <sheetName val="131"/>
      <sheetName val="110"/>
      <sheetName val="111"/>
      <sheetName val="114"/>
      <sheetName val="116"/>
      <sheetName val="132"/>
      <sheetName val="140"/>
      <sheetName val="141"/>
      <sheetName val="142"/>
      <sheetName val="143"/>
      <sheetName val="144"/>
      <sheetName val="145"/>
      <sheetName val="146"/>
      <sheetName val="121"/>
      <sheetName val="147"/>
      <sheetName val="148"/>
      <sheetName val="160"/>
      <sheetName val="164"/>
      <sheetName val="Flaer Area"/>
      <sheetName val="123"/>
      <sheetName val="124"/>
      <sheetName val="125"/>
      <sheetName val="126"/>
      <sheetName val="127"/>
      <sheetName val="128"/>
      <sheetName val="129"/>
      <sheetName val="영업소실적"/>
      <sheetName val="사업계획"/>
      <sheetName val="xxxxxx"/>
      <sheetName val="간접비총괄"/>
      <sheetName val="간접비내역서"/>
      <sheetName val="환율"/>
      <sheetName val="간접비변동(Rev.1)"/>
      <sheetName val="간접비 비교표"/>
      <sheetName val="EXTERNAL(BOQ)"/>
      <sheetName val="소화실적"/>
      <sheetName val="집계표"/>
      <sheetName val="RENUN"/>
      <sheetName val="유림골조"/>
      <sheetName val="Eq. Mobilization"/>
      <sheetName val="15 문제점"/>
      <sheetName val="기초공"/>
      <sheetName val="기둥(원형)"/>
      <sheetName val="BRICK"/>
      <sheetName val="회사99"/>
      <sheetName val="97 사업추정(WEKI)"/>
      <sheetName val="간접비Z"/>
      <sheetName val="#REF"/>
    </sheetNames>
    <sheetDataSet>
      <sheetData sheetId="0" refreshError="1">
        <row r="13">
          <cell r="AE13">
            <v>765</v>
          </cell>
        </row>
        <row r="54">
          <cell r="AF54">
            <v>742</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Set>
  </externalBook>
</externalLink>
</file>

<file path=xl/externalLinks/externalLink17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내역서"/>
      <sheetName val="원가계산"/>
      <sheetName val="부대내역서"/>
      <sheetName val="설비사항"/>
      <sheetName val="설비내역"/>
      <sheetName val="소방사항"/>
      <sheetName val="소방내역"/>
      <sheetName val="제어사항"/>
      <sheetName val="부대제어"/>
      <sheetName val="갑지(추정)"/>
      <sheetName val="목록"/>
      <sheetName val="중기"/>
      <sheetName val="전체"/>
      <sheetName val="본부별사업계획2차"/>
      <sheetName val="출자한도"/>
      <sheetName val="#REF"/>
      <sheetName val="현장"/>
      <sheetName val="현금"/>
      <sheetName val="1월"/>
      <sheetName val="관계주식"/>
      <sheetName val="6호기"/>
      <sheetName val="BQ(실행)"/>
    </sheetNames>
    <sheetDataSet>
      <sheetData sheetId="0"/>
      <sheetData sheetId="1"/>
      <sheetData sheetId="2"/>
      <sheetData sheetId="3"/>
      <sheetData sheetId="4"/>
      <sheetData sheetId="5"/>
      <sheetData sheetId="6"/>
      <sheetData sheetId="7"/>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17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국문(대내)보고"/>
      <sheetName val="국문(대외)보고"/>
      <sheetName val="영문(대외)보고"/>
      <sheetName val="승진통보(1.토목)"/>
      <sheetName val="승진통보(2.건축)"/>
      <sheetName val="승진통보(3.플랜트)"/>
      <sheetName val="승진통보(4.전력)"/>
      <sheetName val="승진통보(5.국내영업)"/>
      <sheetName val="승진통보(6.해외영업)"/>
      <sheetName val="승진통보(7.연구개발)"/>
      <sheetName val="승진통보(8.현장지원)"/>
      <sheetName val="승진통보(9.기획)"/>
      <sheetName val="승진통보(10.재경)"/>
      <sheetName val="승진통보(11.경영지원)"/>
      <sheetName val="승진통보(12.감사)"/>
      <sheetName val="1.재임승진"/>
      <sheetName val="2.신규선임"/>
      <sheetName val="3.임원그룹전출입"/>
      <sheetName val="4.임원퇴임(김석종포함)"/>
      <sheetName val="4.임원퇴임(김석종제외)"/>
      <sheetName val="4.임원퇴임(김석종,이종빈제외)"/>
      <sheetName val="5.전문임원,자문역"/>
      <sheetName val="6.본부장 보직임면"/>
      <sheetName val="7.FreddyTan"/>
      <sheetName val="1)임원현황(계열사포함)"/>
      <sheetName val="임원격려금 지급대상자 명단 작업"/>
      <sheetName val="임원격려금 지급대상자 명단(송부용)"/>
      <sheetName val="2)임원연봉정리"/>
      <sheetName val="3)임원연봉테이블"/>
      <sheetName val="4)현황표"/>
      <sheetName val="5)임원연봉정리(퇴임제외)"/>
      <sheetName val="Sheet3"/>
      <sheetName val="5)임원연봉정리(퇴임제외) (2)"/>
      <sheetName val="★2013년초임원현황(김석종,이종빈제외)"/>
      <sheetName val="★2013년초임원현황(김석종,이종빈포함)"/>
      <sheetName val="순번참고"/>
      <sheetName val="박찬일대리님 송부용(김석종,이종빈제외)"/>
      <sheetName val="6)연봉통지서"/>
      <sheetName val="계열사임원연봉현황"/>
      <sheetName val="별첨4.구입금액"/>
      <sheetName val="STAND20"/>
      <sheetName val="95하U$가격"/>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ow r="2">
          <cell r="A2" t="str">
            <v>1105744</v>
          </cell>
        </row>
      </sheetData>
      <sheetData sheetId="31"/>
      <sheetData sheetId="32"/>
      <sheetData sheetId="33"/>
      <sheetData sheetId="34"/>
      <sheetData sheetId="35"/>
      <sheetData sheetId="36"/>
      <sheetData sheetId="37"/>
      <sheetData sheetId="38"/>
      <sheetData sheetId="39" refreshError="1"/>
      <sheetData sheetId="40" refreshError="1"/>
      <sheetData sheetId="41" refreshError="1"/>
    </sheetDataSet>
  </externalBook>
</externalLink>
</file>

<file path=xl/externalLinks/externalLink17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공문"/>
      <sheetName val="STAND20"/>
      <sheetName val="STAND20(2)"/>
      <sheetName val="PLAN"/>
      <sheetName val="GUIDELINE"/>
      <sheetName val="월별양식"/>
      <sheetName val="예산내역"/>
      <sheetName val="FIXED_EXP"/>
      <sheetName val="VARIABLE_EXP"/>
      <sheetName val="표지"/>
      <sheetName val="지점예산"/>
      <sheetName val="98실99예"/>
      <sheetName val="한국수급"/>
      <sheetName val="현지수급"/>
      <sheetName val="간접수급"/>
      <sheetName val="한국직현"/>
      <sheetName val="현지직원"/>
      <sheetName val="LOC_COST"/>
      <sheetName val="간접요원"/>
      <sheetName val="사무임차"/>
      <sheetName val="차량현황"/>
      <sheetName val="비품임차"/>
      <sheetName val="그룹사현"/>
      <sheetName val="상반기손익차2총괄"/>
      <sheetName val="1"/>
      <sheetName val="RCF CLAIMED"/>
      <sheetName val="Sheet4"/>
      <sheetName val="Total"/>
      <sheetName val="매각(6)"/>
      <sheetName val="간접비(1)"/>
      <sheetName val="6호기"/>
      <sheetName val="HDECGTY"/>
      <sheetName val="120"/>
      <sheetName val="130"/>
      <sheetName val="100"/>
      <sheetName val="101"/>
      <sheetName val="102"/>
      <sheetName val="103"/>
      <sheetName val="106"/>
      <sheetName val="108"/>
      <sheetName val="109"/>
      <sheetName val="131"/>
      <sheetName val="110"/>
      <sheetName val="111"/>
      <sheetName val="114"/>
      <sheetName val="116"/>
      <sheetName val="132"/>
      <sheetName val="140"/>
      <sheetName val="141"/>
      <sheetName val="142"/>
      <sheetName val="143"/>
      <sheetName val="144"/>
      <sheetName val="145"/>
      <sheetName val="146"/>
      <sheetName val="121"/>
      <sheetName val="147"/>
      <sheetName val="148"/>
      <sheetName val="160"/>
      <sheetName val="164"/>
      <sheetName val="Flaer Area"/>
      <sheetName val="123"/>
      <sheetName val="124"/>
      <sheetName val="125"/>
      <sheetName val="126"/>
      <sheetName val="127"/>
      <sheetName val="128"/>
      <sheetName val="129"/>
      <sheetName val="영업소실적"/>
      <sheetName val="안전장치"/>
      <sheetName val="97년 SEACO예산"/>
      <sheetName val="간접비 총괄표"/>
      <sheetName val="Sheet2"/>
      <sheetName val="공통비총괄표"/>
      <sheetName val="마산월령동골조물량변경"/>
      <sheetName val="정산표"/>
      <sheetName val="년말집계"/>
      <sheetName val="토목공사"/>
      <sheetName val="공사개요"/>
      <sheetName val="주관사업"/>
      <sheetName val="Eq. Mobilization"/>
      <sheetName val="cal"/>
      <sheetName val="수입"/>
      <sheetName val="도근좌표"/>
      <sheetName val="7-3가설공사 내역"/>
      <sheetName val="수리결과"/>
      <sheetName val="유림골조"/>
      <sheetName val="갑지(추정)"/>
      <sheetName val="#REF"/>
      <sheetName val="손익차9월2"/>
      <sheetName val="DATA 입력부"/>
      <sheetName val="임대료평가 대상목록(10-11-10)"/>
      <sheetName val="현물출자 평가내용(10-05-03)"/>
      <sheetName val="경비2내역"/>
      <sheetName val="CF Rev.0"/>
      <sheetName val="설계명세"/>
      <sheetName val="내역"/>
    </sheetNames>
    <sheetDataSet>
      <sheetData sheetId="0"/>
      <sheetData sheetId="1" refreshError="1">
        <row r="1">
          <cell r="A1" t="str">
            <v>GUIDELINES ON MAKING-UP OF '2000 BUDGET</v>
          </cell>
          <cell r="G1" t="str">
            <v>/PPRAA~AG</v>
          </cell>
        </row>
        <row r="3">
          <cell r="G3" t="str">
            <v>RBB~AG</v>
          </cell>
        </row>
        <row r="4">
          <cell r="A4" t="str">
            <v xml:space="preserve"> A. FIXED EXPENSE</v>
          </cell>
          <cell r="G4" t="str">
            <v>RCC~AG</v>
          </cell>
        </row>
        <row r="5">
          <cell r="G5" t="str">
            <v>RDD~AG</v>
          </cell>
        </row>
        <row r="6">
          <cell r="A6" t="str">
            <v>I T E M</v>
          </cell>
          <cell r="B6" t="str">
            <v>S U B  -  I T E M</v>
          </cell>
          <cell r="C6" t="str">
            <v xml:space="preserve">              G U I D E L I N E S      I N        D E T A I L S</v>
          </cell>
          <cell r="F6" t="str">
            <v>R E M A R K S</v>
          </cell>
          <cell r="G6" t="str">
            <v>REE~AG</v>
          </cell>
        </row>
        <row r="8">
          <cell r="A8" t="str">
            <v xml:space="preserve"> 1.SALARY &amp;</v>
          </cell>
          <cell r="B8" t="str">
            <v xml:space="preserve"> 1. KOREAN STAFF SALARY</v>
          </cell>
          <cell r="C8" t="str">
            <v xml:space="preserve"> - DRAFTED BY PERSON ACCORDING TO MONTHLY DEMAND-SUPPLY SCH.</v>
          </cell>
        </row>
        <row r="9">
          <cell r="A9" t="str">
            <v xml:space="preserve">   WAGE</v>
          </cell>
          <cell r="B9" t="str">
            <v xml:space="preserve">  1) SALARY</v>
          </cell>
          <cell r="C9" t="str">
            <v xml:space="preserve"> - JAN-DEC H/O-PAID SALARY (BASIC SALARY + ALLOWANCE FOR THE POST ATTACHED +</v>
          </cell>
        </row>
        <row r="10">
          <cell r="C10" t="str">
            <v xml:space="preserve">   OVERTIME PAY + LONG-SERVICE ALLOWANCE + OTHER ALLOWANCE)</v>
          </cell>
        </row>
        <row r="11">
          <cell r="B11" t="str">
            <v xml:space="preserve">  2) H/O PAID OVERSEAS</v>
          </cell>
          <cell r="C11" t="str">
            <v xml:space="preserve"> - H/O-PAID OVERSEAS ALLOWANCE BY GRADE BASED ON </v>
          </cell>
        </row>
        <row r="12">
          <cell r="B12" t="str">
            <v xml:space="preserve">     ALLOWANCE</v>
          </cell>
          <cell r="C12" t="str">
            <v xml:space="preserve">   OVERSEAS ALLOWANCE PAYMENT REGULATIONS.</v>
          </cell>
        </row>
        <row r="13">
          <cell r="B13" t="str">
            <v xml:space="preserve">  3) LOCAL-PAID ALLOWANCE</v>
          </cell>
          <cell r="C13" t="str">
            <v xml:space="preserve"> ① LOCAL-PAID OVERSEAS ALLOWANCE BY GRADE, CASHIER ALLOWANCE BASED ON</v>
          </cell>
        </row>
        <row r="14">
          <cell r="C14" t="str">
            <v xml:space="preserve">    OVERSEAS ALLOWANCE PAYMENT REGULATIONS.</v>
          </cell>
        </row>
        <row r="15">
          <cell r="C15" t="str">
            <v xml:space="preserve"> ② PURCHASING BRANCH : LOCAL-PAID ALLOWANCE &amp; HOUSING ALLOWANCE INC.</v>
          </cell>
        </row>
        <row r="16">
          <cell r="C16" t="str">
            <v xml:space="preserve">                        FOOD STUFFS, TAXES.</v>
          </cell>
        </row>
        <row r="17">
          <cell r="C17" t="str">
            <v xml:space="preserve"> ③ EXTENTION-SERVICE ALLOWANCE FOR EXTENTION-SERVICE STAFF.</v>
          </cell>
        </row>
        <row r="19">
          <cell r="B19" t="str">
            <v xml:space="preserve">  4) BONUS</v>
          </cell>
          <cell r="C19" t="str">
            <v xml:space="preserve"> - (BASIC SALARY + ALLOWANCE FOR THE POST ATTACHED + OVERTIME PAY) X 600%</v>
          </cell>
        </row>
        <row r="21">
          <cell r="B21" t="str">
            <v xml:space="preserve"> 2. LOCAL STAFF SALARY</v>
          </cell>
          <cell r="C21" t="str">
            <v xml:space="preserve"> - DRAFTED BY PERSON ACCORDING TO MONTHLY DEMAND-SUPPLY SCH.</v>
          </cell>
          <cell r="F21" t="str">
            <v xml:space="preserve"> - TO ATTACH ONE COPY OF EMPLOYMENT </v>
          </cell>
        </row>
        <row r="22">
          <cell r="B22" t="str">
            <v xml:space="preserve">  1) SALARY</v>
          </cell>
          <cell r="C22" t="str">
            <v xml:space="preserve"> - APPROPRIATE TOTAL MONTHLY-FIXED SALARY ON CONTRACT</v>
          </cell>
          <cell r="F22" t="str">
            <v xml:space="preserve">   CONTRACT AGREEMENT FOR LOCAL STAFF.</v>
          </cell>
        </row>
        <row r="23">
          <cell r="C23" t="str">
            <v xml:space="preserve"> - APPLY SALARY INCREASE IN ACCORADANCE WITH CONTRACT</v>
          </cell>
        </row>
        <row r="24">
          <cell r="B24" t="str">
            <v xml:space="preserve">  2) OVERTIME PAY</v>
          </cell>
          <cell r="C24" t="str">
            <v xml:space="preserve"> - SPECIFY OVERTIME WORK DETAILS, TIME &amp; PAYMENT STANDARDS</v>
          </cell>
        </row>
        <row r="25">
          <cell r="B25" t="str">
            <v xml:space="preserve">  3) BONUS</v>
          </cell>
          <cell r="C25" t="str">
            <v xml:space="preserve"> - CALCULATE BY PAYMENT TERMS SPECIFIED ON CONTRACT</v>
          </cell>
        </row>
        <row r="26">
          <cell r="C26" t="str">
            <v xml:space="preserve">   (PAYMENT TIME &amp; AMOUNT SPECIFIED)</v>
          </cell>
        </row>
        <row r="27">
          <cell r="B27" t="str">
            <v xml:space="preserve"> 3. INDIRECT LABOUR'S WAGE</v>
          </cell>
          <cell r="C27" t="str">
            <v xml:space="preserve"> - DRAFTED BY PERSON ACCORDING TO MONTHLY DEMAND-SUPPLY SCH.</v>
          </cell>
        </row>
        <row r="28">
          <cell r="B28" t="str">
            <v xml:space="preserve">  1) KOREAN</v>
          </cell>
          <cell r="C28" t="str">
            <v xml:space="preserve"> - APPROPRIATE KOREAN LABOUR'S TOTAL WAGE</v>
          </cell>
        </row>
        <row r="29">
          <cell r="B29" t="str">
            <v xml:space="preserve">  2) FOREIGNER</v>
          </cell>
          <cell r="C29" t="str">
            <v xml:space="preserve"> - APPROPRIATE LOCAL &amp; FOREIGN LABOUR'S TOTAL WAGE</v>
          </cell>
        </row>
        <row r="31">
          <cell r="B31" t="str">
            <v xml:space="preserve"> 4. RETIREMENT GRANTS</v>
          </cell>
          <cell r="C31" t="str">
            <v xml:space="preserve"> ① KOREAN STAFF RETIREMENT GRANTS : APPROPRIATE 10% OF TOTAL AMOUNTS FOR </v>
          </cell>
          <cell r="F31" t="str">
            <v xml:space="preserve"> - EXCEPT LOCAL ALLOWANCE</v>
          </cell>
        </row>
        <row r="32">
          <cell r="D32" t="str">
            <v xml:space="preserve">     SALARY, ALLOWANCE(H/O-PAID) AND BONUS.</v>
          </cell>
        </row>
        <row r="33">
          <cell r="C33" t="str">
            <v xml:space="preserve"> ② LOCAL STAFF RETIREMENT GRANTS  : APPROPRIATE AMOUNT OF RELEVANT YEAR</v>
          </cell>
          <cell r="F33" t="str">
            <v xml:space="preserve"> - SPECIFY CALCULATION DETAILS.</v>
          </cell>
        </row>
        <row r="34">
          <cell r="D34" t="str">
            <v xml:space="preserve">     ACCORDING TO LOCAL LAW.</v>
          </cell>
        </row>
        <row r="35">
          <cell r="C35" t="str">
            <v xml:space="preserve"> ③ KOREAN INDIRECT LABOURS' RETIREMENT GRANTS : APPROPRIATE 1/12 OF EACH </v>
          </cell>
          <cell r="F35" t="str">
            <v xml:space="preserve"> -              〃</v>
          </cell>
        </row>
        <row r="36">
          <cell r="D36" t="str">
            <v xml:space="preserve">                 ACTUAL (MONTH) WAGE</v>
          </cell>
        </row>
        <row r="37">
          <cell r="C37" t="str">
            <v xml:space="preserve"> ④ FOREIGN INDIRECT LABOURS' RETIREMENT GRANTS : APPROPRIATE AMOUNT OF</v>
          </cell>
          <cell r="F37" t="str">
            <v xml:space="preserve"> -              〃</v>
          </cell>
        </row>
        <row r="38">
          <cell r="D38" t="str">
            <v xml:space="preserve">         RELEVANT YEAR ACCORDING TO LOCAL LAW.</v>
          </cell>
        </row>
        <row r="40">
          <cell r="A40" t="str">
            <v xml:space="preserve"> 2.RENTAL CHARGE</v>
          </cell>
          <cell r="B40" t="str">
            <v xml:space="preserve"> 1. OFFICE RENTAL CHARGE</v>
          </cell>
          <cell r="C40" t="str">
            <v xml:space="preserve"> ① REFLECT YEARLY RENTAL CHARGE (SPECIFY SIZE, RENTAL CHARGE, RENTAL PERIOD,</v>
          </cell>
          <cell r="F40" t="str">
            <v xml:space="preserve"> - TO ATTACH ONE COPY OF LEASE CONTRACT </v>
          </cell>
        </row>
        <row r="41">
          <cell r="C41" t="str">
            <v xml:space="preserve">    DEPOSITS, PAYMENT TERMS ETC.)</v>
          </cell>
          <cell r="F41" t="str">
            <v xml:space="preserve">   AGREEMENT</v>
          </cell>
        </row>
        <row r="42">
          <cell r="C42" t="str">
            <v xml:space="preserve"> ② ON JOINT USE WITH GROUP CO. SPECIFY ALLOTED DETAILS &amp; STANDARD AND</v>
          </cell>
        </row>
        <row r="43">
          <cell r="C43" t="str">
            <v xml:space="preserve">    APPROPRIATE AMOUNT OF OUR CO.(HDEC) ONLY.</v>
          </cell>
        </row>
        <row r="44">
          <cell r="C44" t="str">
            <v xml:space="preserve"> ③ ADMISTRATIVE EXPENSE OCCURED FLUCTUATELY EVERY MONTH BESIDES RENTAL CHARGE </v>
          </cell>
        </row>
        <row r="45">
          <cell r="C45" t="str">
            <v xml:space="preserve">    (ELECTRICITY, WATER RATE, CLEANING EXPENSE, OTHER ADMISTRATIVE EXPENSE)  </v>
          </cell>
        </row>
        <row r="46">
          <cell r="C46" t="str">
            <v xml:space="preserve">    SHOULD BE REFLECTED IN WATER &amp; ELEC.(ITEM NO : B-7)  OR  QUARTER </v>
          </cell>
        </row>
        <row r="47">
          <cell r="C47" t="str">
            <v xml:space="preserve">    MAINTENANCE EXP. (ITEM NO : B-1-2)</v>
          </cell>
        </row>
        <row r="49">
          <cell r="B49" t="str">
            <v xml:space="preserve"> 2. QUARTER RENTAL CHARGE</v>
          </cell>
          <cell r="C49" t="str">
            <v xml:space="preserve">    SINGLE    QUARTER : (SPECIFY AREA, RENTAL CHARGE, RENTAL PERIOD, DEPOSITS,</v>
          </cell>
        </row>
        <row r="50">
          <cell r="C50" t="str">
            <v xml:space="preserve">                        PAYMENT TERMS ETC.)</v>
          </cell>
        </row>
        <row r="52">
          <cell r="B52" t="str">
            <v xml:space="preserve"> 3. COMMUNICATION </v>
          </cell>
          <cell r="C52" t="str">
            <v xml:space="preserve"> - COMMUNICATION EQUIPMENTS (TLX M/C, TELEPHONE EXCHANGE) RENTAL CHARGE</v>
          </cell>
          <cell r="F52" t="str">
            <v xml:space="preserve"> - TO ATTACH ONE COPY OF LEASE CONTRACT </v>
          </cell>
        </row>
        <row r="53">
          <cell r="B53" t="str">
            <v xml:space="preserve">  FACILITIES RENTAL CHARGE</v>
          </cell>
          <cell r="C53" t="str">
            <v xml:space="preserve">   (SPECIFY RENTAL TERMS)</v>
          </cell>
          <cell r="F53" t="str">
            <v xml:space="preserve">   AGREEMENT.</v>
          </cell>
        </row>
        <row r="55">
          <cell r="B55" t="str">
            <v xml:space="preserve"> 4. OFFICE FIXTURES RENTAL</v>
          </cell>
          <cell r="C55" t="str">
            <v xml:space="preserve"> - APPROPRIATE OFFICE FIXTURES RENTAL CHARGE (SPECIFY RENTAL TERMS)</v>
          </cell>
          <cell r="F55" t="str">
            <v xml:space="preserve"> -              〃</v>
          </cell>
        </row>
        <row r="56">
          <cell r="B56" t="str">
            <v xml:space="preserve">    CHARGE</v>
          </cell>
        </row>
        <row r="58">
          <cell r="B58" t="str">
            <v xml:space="preserve"> 5. AREA RENTAL CHARGE</v>
          </cell>
          <cell r="C58" t="str">
            <v xml:space="preserve"> - APPROPRIATE YEARLY RENTAL CHARGE (SPECIFY AREA, RENTAL CHARGE, RENTAL PERIOD,</v>
          </cell>
          <cell r="F58" t="str">
            <v xml:space="preserve"> -              〃</v>
          </cell>
        </row>
        <row r="59">
          <cell r="C59" t="str">
            <v xml:space="preserve">                                     DEPOSITS, PAYMENT TERMS ETC.)</v>
          </cell>
        </row>
        <row r="60">
          <cell r="B60" t="str">
            <v xml:space="preserve"> 6. OTHERS</v>
          </cell>
        </row>
        <row r="62">
          <cell r="A62" t="str">
            <v xml:space="preserve"> 3. AIR-FARE</v>
          </cell>
          <cell r="B62" t="str">
            <v xml:space="preserve"> 1. NEW POST AIR-FARE</v>
          </cell>
          <cell r="C62" t="str">
            <v xml:space="preserve"> ① APPROPRIATE NEW POST PERSON'S AIR-FARE ACCORDING TO STAFF &amp; WORKER'S</v>
          </cell>
        </row>
        <row r="63">
          <cell r="C63" t="str">
            <v xml:space="preserve">    DEMAND-SUPPLY SCH.</v>
          </cell>
        </row>
        <row r="64">
          <cell r="C64" t="str">
            <v xml:space="preserve"> ② APPRORIATE PREP. EXP. FOR DEPARTURE (PREP. EXP. FOR PASSPORT, PHYSICAL</v>
          </cell>
        </row>
        <row r="65">
          <cell r="C65" t="str">
            <v xml:space="preserve">    CHECK-UP EXP., AIRPORT RENTAL FEE, VISA FEE ETC.)</v>
          </cell>
        </row>
        <row r="66">
          <cell r="C66" t="str">
            <v xml:space="preserve"> ③ EXCLUDE NEW POST TCN'S AIR-FARE(CHARGE IN PERSON OR BY AGENT)</v>
          </cell>
        </row>
        <row r="67">
          <cell r="B67" t="str">
            <v xml:space="preserve"> 2. VACATION AIR-FARE</v>
          </cell>
          <cell r="C67" t="str">
            <v xml:space="preserve"> - APPROPRIATE SINGLE POST STAFF'S VACATION AIR FARE</v>
          </cell>
        </row>
        <row r="69">
          <cell r="B69" t="str">
            <v xml:space="preserve"> 3. RETURN AIR-FARE</v>
          </cell>
          <cell r="C69" t="str">
            <v xml:space="preserve"> ① APPROPRIATE AIR-FARE ACCORDING TO STAFF &amp; LABOUR RETURN</v>
          </cell>
        </row>
        <row r="70">
          <cell r="C70" t="str">
            <v xml:space="preserve"> ② APPROPRIATE TCN'S RETURN AIR-FARE ACCORDING TO CONTRACT TERMS WITH AGENT</v>
          </cell>
        </row>
        <row r="71">
          <cell r="C71" t="str">
            <v xml:space="preserve">    BY COUNTRY.</v>
          </cell>
        </row>
        <row r="73">
          <cell r="C73" t="str">
            <v xml:space="preserve">                          </v>
          </cell>
        </row>
        <row r="74">
          <cell r="A74" t="str">
            <v xml:space="preserve"> 4. TAXES</v>
          </cell>
          <cell r="C74" t="str">
            <v xml:space="preserve">  SPECIFY RELEVANT CLAUSE(TAX AMOUNT &amp; CALCULATION METHOD, PAYMENT PERIOD ETC.)</v>
          </cell>
        </row>
        <row r="75">
          <cell r="C75" t="str">
            <v xml:space="preserve">   ACCORDING TO LOCAL LAW BY COUNTRY.</v>
          </cell>
        </row>
        <row r="76">
          <cell r="B76" t="str">
            <v xml:space="preserve"> 1. INCOME TAX</v>
          </cell>
          <cell r="C76" t="str">
            <v xml:space="preserve"> - INDICATE SUBJECT, TAXATION STANDARD, TAX RATES ETC.</v>
          </cell>
          <cell r="F76" t="str">
            <v xml:space="preserve"> - EXCEPT PURCHASING BRANCH.</v>
          </cell>
        </row>
        <row r="77">
          <cell r="B77" t="str">
            <v xml:space="preserve"> 2. SOCIAL SECURITY TAX</v>
          </cell>
          <cell r="C77" t="str">
            <v xml:space="preserve"> - INDICATE SUBJECT, TAXATION STANDARD, TAX RATES ETC.</v>
          </cell>
        </row>
        <row r="78">
          <cell r="B78" t="str">
            <v xml:space="preserve"> 3. OTHER</v>
          </cell>
          <cell r="C78" t="str">
            <v xml:space="preserve"> - TAXES OTHER THAN ABOVE 1,2 CLAUSE.</v>
          </cell>
        </row>
        <row r="80">
          <cell r="A80" t="str">
            <v xml:space="preserve"> 5. INSURANCE </v>
          </cell>
          <cell r="B80" t="str">
            <v xml:space="preserve"> 1. WORKMAN'S COMPENSATION</v>
          </cell>
          <cell r="C80" t="str">
            <v xml:space="preserve"> ⑴ SAUDI ARABIA</v>
          </cell>
        </row>
        <row r="81">
          <cell r="A81" t="str">
            <v xml:space="preserve">    PREMIUMS</v>
          </cell>
          <cell r="B81" t="str">
            <v xml:space="preserve">    INSURANCE</v>
          </cell>
          <cell r="C81" t="str">
            <v xml:space="preserve">  ① KOREAN STAFF : TOTAL STAFF'S U$ 750 MONTHLY PER PERSON X 5.25% = MONTHLY </v>
          </cell>
        </row>
        <row r="82">
          <cell r="C82" t="str">
            <v xml:space="preserve">                    INSURANCE PREMIUM.</v>
          </cell>
        </row>
        <row r="83">
          <cell r="C83" t="str">
            <v xml:space="preserve">  ② KOREAN WORKER : TATAL MONTHLY WAGE X 5.25% = MONTHLY INSURANCE PREMIUM.</v>
          </cell>
        </row>
        <row r="84">
          <cell r="C84" t="str">
            <v xml:space="preserve"> ⑵ OTHER AREAS (EXC. SAUDI ARABIA)</v>
          </cell>
        </row>
        <row r="85">
          <cell r="C85" t="str">
            <v xml:space="preserve">  ① KOREAN STAFF : TOTAL STAFF'S U$750 MONTHLY PER PERSON X 5.79% = MONTHLY</v>
          </cell>
        </row>
        <row r="86">
          <cell r="C86" t="str">
            <v xml:space="preserve">                    INSURANCE PREMIUM.</v>
          </cell>
        </row>
        <row r="87">
          <cell r="C87" t="str">
            <v xml:space="preserve">  ② KOREAN WORKER : TOTAL MONTHLY WAGE X 5.79% = MONTHLY INSURANCE PREMIUM.</v>
          </cell>
        </row>
        <row r="88">
          <cell r="C88" t="str">
            <v xml:space="preserve"> ⑶ INDICATE LOCAL INSURANCE PREMIUM DETAILS IF ANY.</v>
          </cell>
        </row>
        <row r="89">
          <cell r="C89" t="str">
            <v xml:space="preserve"> ⑷ THOUGH LOCAL STAFF/ TCN PAYS PREMIUMS AT HIS OWN EXPENSE IN PRINCIPLE,</v>
          </cell>
        </row>
        <row r="90">
          <cell r="C90" t="str">
            <v xml:space="preserve">    APPROPRIATE IF CONTRACT CONTAINS COMPANY PAY TERMS.</v>
          </cell>
        </row>
        <row r="92">
          <cell r="B92" t="str">
            <v xml:space="preserve"> 2. MEDICAL INSURANCE </v>
          </cell>
          <cell r="C92" t="str">
            <v xml:space="preserve"> ① SUBJECT : KOREAN STAFF/WORKER</v>
          </cell>
        </row>
        <row r="93">
          <cell r="B93" t="str">
            <v xml:space="preserve">    PREMIUM</v>
          </cell>
          <cell r="C93" t="str">
            <v xml:space="preserve"> ② INSURANCE PREMIUM : TOTAL MONTHLY SALARY (BONUS EXCLUDED) X 0.75% (CO'S EXP)</v>
          </cell>
        </row>
        <row r="94">
          <cell r="C94" t="str">
            <v xml:space="preserve">  ※ TOTAL MONTHLY SALARY MEANS GROSS SALARY PAID BY HEAD OFFICE</v>
          </cell>
        </row>
        <row r="95">
          <cell r="C95" t="str">
            <v xml:space="preserve">     EXCLUDING BONUS AND LOCAL ALLOWANCE.</v>
          </cell>
        </row>
        <row r="96">
          <cell r="B96" t="str">
            <v xml:space="preserve"> 3. NATIONAL PENSION</v>
          </cell>
          <cell r="C96" t="str">
            <v xml:space="preserve"> ① SUBJECT : KOREAN STAFF/WORKER</v>
          </cell>
        </row>
        <row r="97">
          <cell r="C97" t="str">
            <v xml:space="preserve"> ② PENSION : TOTAL MONTHLY SALARY (BONUS INCLUDED) X 3.0% (CO'S EXPENSE)</v>
          </cell>
        </row>
        <row r="98">
          <cell r="C98" t="str">
            <v xml:space="preserve">  ※ TOTAL MONTHLY SALARY MEANS GROSS SALARY PAID BY HEAD OFFICE</v>
          </cell>
        </row>
        <row r="99">
          <cell r="C99" t="str">
            <v xml:space="preserve">     EXCLUDING LOCAL ALLOWANCE ONLY.</v>
          </cell>
        </row>
        <row r="100">
          <cell r="B100" t="str">
            <v xml:space="preserve"> 4. VEHICLE INSURANCE </v>
          </cell>
          <cell r="C100" t="str">
            <v xml:space="preserve"> - INSURANCE PREMIUM BY VEHICLE TYPE AND NUMBERS.</v>
          </cell>
        </row>
        <row r="101">
          <cell r="B101" t="str">
            <v xml:space="preserve">    PREMIUM</v>
          </cell>
        </row>
        <row r="102">
          <cell r="B102" t="str">
            <v xml:space="preserve"> 5. FIRE INSURANCE PREMIUM</v>
          </cell>
          <cell r="C102" t="str">
            <v xml:space="preserve"> - INSURANCE PREMIUM INSURED AGAINST FIRE.</v>
          </cell>
          <cell r="F102" t="str">
            <v xml:space="preserve"> - TO ATTACH ONE COPY OF INSURANCE</v>
          </cell>
        </row>
        <row r="103">
          <cell r="F103" t="str">
            <v xml:space="preserve">   POLICY.</v>
          </cell>
        </row>
        <row r="104">
          <cell r="B104" t="str">
            <v xml:space="preserve"> 6. OTHERS</v>
          </cell>
          <cell r="C104" t="str">
            <v xml:space="preserve"> - APPROPRIATE OTHER INSURANCE PREMIUM IF ANY.</v>
          </cell>
        </row>
        <row r="105">
          <cell r="C105" t="str">
            <v xml:space="preserve"> - EMPLOYMENT INSURANCE : TOTAL MONTHLY SALARY(BONUS INCLUDED)×0.55%</v>
          </cell>
        </row>
        <row r="107">
          <cell r="A107" t="str">
            <v xml:space="preserve"> 6. DEPRECIATIONS</v>
          </cell>
          <cell r="B107" t="str">
            <v xml:space="preserve">    DEPRECIATIONS FOR </v>
          </cell>
          <cell r="C107" t="str">
            <v xml:space="preserve"> - APPROPRIATE EXP. BASED ON YEARLY DEPRECIATIONS RATE</v>
          </cell>
        </row>
        <row r="108">
          <cell r="B108" t="str">
            <v xml:space="preserve">    BUILDING AND VEHICLES</v>
          </cell>
          <cell r="C108" t="str">
            <v xml:space="preserve">   (SPECIFIED DERECIATION METHOD)</v>
          </cell>
        </row>
        <row r="110">
          <cell r="A110" t="str">
            <v xml:space="preserve"> 7. OTHERS</v>
          </cell>
          <cell r="B110" t="str">
            <v xml:space="preserve">    EQUIPMENT MAINTENANCE</v>
          </cell>
          <cell r="C110" t="str">
            <v xml:space="preserve"> - SET UP MONTHLY OPERATION PLAN AND REFLECT THE AMOUNTS SPECIFIED ITEM BY ITEM</v>
          </cell>
          <cell r="F110" t="str">
            <v xml:space="preserve"> - FOR BATAM-YARD, JOR-YARD ONLY</v>
          </cell>
        </row>
        <row r="111">
          <cell r="B111" t="str">
            <v xml:space="preserve">    EXP.</v>
          </cell>
          <cell r="C111" t="str">
            <v xml:space="preserve">   IN DETAILS.</v>
          </cell>
        </row>
        <row r="112">
          <cell r="C112" t="str">
            <v xml:space="preserve">  (REPAIRING/MAINTENANCE FOR EQUIPMENT AND FACILITIES, FUELS, CUSTOM CLEARANCE,</v>
          </cell>
        </row>
        <row r="113">
          <cell r="C113" t="str">
            <v xml:space="preserve">   TRANSPORTATION, SPARE PARTS AND OTHERS)</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Set>
  </externalBook>
</externalLink>
</file>

<file path=xl/externalLinks/externalLink17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xxxxxx"/>
      <sheetName val="세금관련집계표"/>
      <sheetName val="환율"/>
      <sheetName val="간접비총괄"/>
      <sheetName val="간접비내역서"/>
      <sheetName val="간접비-화폐단위별"/>
      <sheetName val="가설인원"/>
      <sheetName val="가설건물-당사"/>
      <sheetName val="용전"/>
      <sheetName val="용수"/>
      <sheetName val="직원급료(본사)"/>
      <sheetName val="직원급료(현장)"/>
      <sheetName val="임금인상"/>
      <sheetName val="비품"/>
      <sheetName val="차량동원계획"/>
      <sheetName val="차량동원계획(2)"/>
      <sheetName val="버스임대계획"/>
      <sheetName val="차량가격"/>
      <sheetName val="Bond"/>
      <sheetName val="Local Tax"/>
      <sheetName val="가설관세"/>
      <sheetName val="개인소득세"/>
      <sheetName val="사회보장세"/>
      <sheetName val="종합소득세"/>
      <sheetName val="Stamp Duty"/>
    </sheetNames>
    <sheetDataSet>
      <sheetData sheetId="0" refreshError="1"/>
      <sheetData sheetId="1" refreshError="1"/>
      <sheetData sheetId="2">
        <row r="15">
          <cell r="B15">
            <v>50</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Set>
  </externalBook>
</externalLink>
</file>

<file path=xl/externalLinks/externalLink17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표지"/>
      <sheetName val="설계서표지"/>
      <sheetName val="설계서"/>
      <sheetName val="원가계산서"/>
      <sheetName val="순공사비"/>
      <sheetName val="일위대가목록"/>
      <sheetName val="식재일위대가"/>
      <sheetName val="식재수량산출"/>
      <sheetName val="단가비교표"/>
      <sheetName val="인쇄용노임"/>
      <sheetName val="2000하반기노임기준"/>
      <sheetName val="간접비계산"/>
      <sheetName val="소방사항"/>
      <sheetName val="Sheet5"/>
      <sheetName val="BID"/>
      <sheetName val="토목내역"/>
      <sheetName val="집계"/>
      <sheetName val="DATE"/>
      <sheetName val="내역"/>
      <sheetName val="목록"/>
      <sheetName val="중기"/>
      <sheetName val="내역서"/>
      <sheetName val="BSD (2)"/>
      <sheetName val="갑지(추정)"/>
      <sheetName val="식재인부"/>
      <sheetName val="일위대가"/>
      <sheetName val="기본자료입력"/>
      <sheetName val="변경내역서간지"/>
      <sheetName val="토목주소"/>
      <sheetName val="녹화사업-시립박물관"/>
      <sheetName val="4차원가계산서"/>
      <sheetName val="단가표"/>
      <sheetName val="확약서"/>
      <sheetName val="6호기"/>
      <sheetName val="기자재수량"/>
      <sheetName val="45,46"/>
      <sheetName val="밸브설치"/>
      <sheetName val="일위_파일"/>
      <sheetName val="2002하반기노임기준"/>
      <sheetName val="평가데이터"/>
      <sheetName val="노임단가"/>
      <sheetName val="기본일위"/>
      <sheetName val="기초대가"/>
      <sheetName val="산출내역서집계표"/>
      <sheetName val="영업소실적"/>
      <sheetName val="소화배관"/>
      <sheetName val="공조배관"/>
      <sheetName val="Sheet7(ㅅ)"/>
    </sheetNames>
    <sheetDataSet>
      <sheetData sheetId="0" refreshError="1"/>
      <sheetData sheetId="1" refreshError="1"/>
      <sheetData sheetId="2" refreshError="1"/>
      <sheetData sheetId="3"/>
      <sheetData sheetId="4"/>
      <sheetData sheetId="5"/>
      <sheetData sheetId="6" refreshError="1"/>
      <sheetData sheetId="7" refreshError="1"/>
      <sheetData sheetId="8"/>
      <sheetData sheetId="9" refreshError="1"/>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Set>
  </externalBook>
</externalLink>
</file>

<file path=xl/externalLinks/externalLink17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JOKUN"/>
      <sheetName val="GAEYO"/>
      <sheetName val="갑지(추정)"/>
      <sheetName val="갑지_추정_"/>
      <sheetName val="콘크리트타설집계표"/>
      <sheetName val="소방사항"/>
      <sheetName val="Eq. Mobilization"/>
    </sheetNames>
    <sheetDataSet>
      <sheetData sheetId="0" refreshError="1"/>
      <sheetData sheetId="1" refreshError="1"/>
      <sheetData sheetId="2"/>
      <sheetData sheetId="3"/>
      <sheetData sheetId="4" refreshError="1"/>
      <sheetData sheetId="5" refreshError="1"/>
      <sheetData sheetId="6" refreshError="1"/>
    </sheetDataSet>
  </externalBook>
</externalLink>
</file>

<file path=xl/externalLinks/externalLink17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COVER (2)"/>
      <sheetName val="배경"/>
      <sheetName val="지역도"/>
      <sheetName val="관할구역"/>
      <sheetName val="판단기준"/>
      <sheetName val="수익성검토"/>
      <sheetName val="유첨"/>
      <sheetName val="특약점"/>
      <sheetName val="현대"/>
      <sheetName val="DATA"/>
      <sheetName val="전국"/>
      <sheetName val="MACRO2"/>
      <sheetName val="공통"/>
    </sheetNames>
    <sheetDataSet>
      <sheetData sheetId="0"/>
      <sheetData sheetId="1"/>
      <sheetData sheetId="2"/>
      <sheetData sheetId="3"/>
      <sheetData sheetId="4"/>
      <sheetData sheetId="5"/>
      <sheetData sheetId="6"/>
      <sheetData sheetId="7"/>
      <sheetData sheetId="8"/>
      <sheetData sheetId="9" refreshError="1"/>
      <sheetData sheetId="10"/>
      <sheetData sheetId="11" refreshError="1"/>
      <sheetData sheetId="12" refreshError="1"/>
    </sheetDataSet>
  </externalBook>
</externalLink>
</file>

<file path=xl/externalLinks/externalLink18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xxxxxx"/>
      <sheetName val="VXXXXX"/>
      <sheetName val="원남"/>
      <sheetName val="원가계산(조,투,실)"/>
      <sheetName val="관리비"/>
      <sheetName val="조사가추정"/>
      <sheetName val="업체"/>
      <sheetName val="대비집계장(견적)"/>
      <sheetName val="원가계산"/>
      <sheetName val="설계집계장"/>
      <sheetName val="실행집계장"/>
      <sheetName val="투찰집계장"/>
      <sheetName val="♣총괄내역서♣"/>
      <sheetName val="실행내역서"/>
      <sheetName val="확약서"/>
      <sheetName val="실행하도사항"/>
      <sheetName val="실행별지"/>
      <sheetName val="실행하도잡비"/>
      <sheetName val="실행토공하도"/>
      <sheetName val="실행철콘하도"/>
      <sheetName val="실행철강하도"/>
      <sheetName val="실행토공견갑"/>
      <sheetName val="실행토공견적"/>
      <sheetName val="실행철콘견갑"/>
      <sheetName val="실행철콘견적"/>
      <sheetName val="실행철강견갑"/>
      <sheetName val="실행철강견적"/>
      <sheetName val="단산"/>
      <sheetName val="DATA"/>
      <sheetName val="일위대가"/>
      <sheetName val="개요"/>
      <sheetName val="터파기및재료"/>
      <sheetName val="건1"/>
    </sheetNames>
    <sheetDataSet>
      <sheetData sheetId="0"/>
      <sheetData sheetId="1" refreshError="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refreshError="1">
        <row r="1">
          <cell r="A1">
            <v>1</v>
          </cell>
        </row>
        <row r="2">
          <cell r="A2">
            <v>2</v>
          </cell>
        </row>
        <row r="3">
          <cell r="A3">
            <v>3</v>
          </cell>
        </row>
        <row r="4">
          <cell r="A4">
            <v>4</v>
          </cell>
        </row>
      </sheetData>
      <sheetData sheetId="21"/>
      <sheetData sheetId="22"/>
      <sheetData sheetId="23"/>
      <sheetData sheetId="24"/>
      <sheetData sheetId="25"/>
      <sheetData sheetId="26"/>
      <sheetData sheetId="27"/>
      <sheetData sheetId="28" refreshError="1"/>
      <sheetData sheetId="29" refreshError="1"/>
      <sheetData sheetId="30" refreshError="1"/>
      <sheetData sheetId="31" refreshError="1"/>
      <sheetData sheetId="32" refreshError="1"/>
    </sheetDataSet>
  </externalBook>
</externalLink>
</file>

<file path=xl/externalLinks/externalLink18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00000"/>
      <sheetName val="당진화력석탄설비CABLE포설공사내역서-갑지"/>
      <sheetName val="당진화력석탄설비CABLE포설공사집계표"/>
      <sheetName val="당진화력석탄설비CABLE포설공사내역서-을지"/>
      <sheetName val="당진1,2호기전선관설치및접지4차공사내역서-갑지"/>
      <sheetName val="당진화력1,2호기전선관설치및접지공사집계표"/>
      <sheetName val="당진1,2호기전선관설치및접지4차공사내역서-을지"/>
      <sheetName val="당진1,2호기전기설비기초분중전기공사내역서-갑지"/>
      <sheetName val="당진1,2호기전기설비기초분중전기공사집계표"/>
      <sheetName val="당진1,2호기전기설비기초분중전기공사내역서-을지"/>
      <sheetName val="당진3,4호기CABLE포설2차공사내역서-갑지"/>
      <sheetName val="당진3,4호기CABLE포설2차공사내역서-을지"/>
      <sheetName val="당진화력1,2전선관접지4차공사내역서(갑)"/>
      <sheetName val="당진화력석탄취급설비전기공사(1차변경)집계표"/>
      <sheetName val="당진화력석탄취급설비전기공사내역서(1차변경)-을지"/>
      <sheetName val="당진화력석탄취급설비전기공사(2차변경)내역서-갑지"/>
      <sheetName val="당진화력석탄취급설비전기공사(2차변경)집계표"/>
      <sheetName val="당진화력석탄취급설비전기공사내역서(2차변경)-을지"/>
      <sheetName val="당진화력석탄취급설비전기공사(완차)내역서-갑지"/>
      <sheetName val="당진1,2호기전선관설치및접지4차공사내역서(1차변경)-갑지"/>
      <sheetName val="당진1,2호기전선관설치및접지4차공사(1차변경)집계표"/>
      <sheetName val="당진1,2호기전선관설치및접지4차공사내역서(1차)-을지"/>
      <sheetName val="당진화력석탄취급설비전기공사(완차)내역서-갑"/>
      <sheetName val="당진화력석탄취급설비전기공사내역서(완차)-을지"/>
      <sheetName val="당진화력석탄취급설비전기공사(완차)집계표"/>
      <sheetName val="B1(반포1차)"/>
      <sheetName val="spc 배관견적"/>
      <sheetName val="BREAKDOWN(철거설치)"/>
      <sheetName val="General Data"/>
      <sheetName val="갑지"/>
      <sheetName val="실행(1)"/>
      <sheetName val="노임9월"/>
      <sheetName val="전기내역서(총계)"/>
      <sheetName val="설계서"/>
      <sheetName val="BQ_Utl_Off"/>
      <sheetName val="unit 4"/>
      <sheetName val="투찰가"/>
      <sheetName val="견적서"/>
      <sheetName val="기술부 VENDOR LIST"/>
      <sheetName val="견"/>
      <sheetName val="6호기"/>
      <sheetName val="당진화력1.2전선관접지4차공사내역서(갑)"/>
      <sheetName val="실행내역서 "/>
      <sheetName val="원가총괄"/>
      <sheetName val="MIJIBI"/>
      <sheetName val="#2_일위대가목록"/>
      <sheetName val="예산M6-B"/>
      <sheetName val="#REF"/>
      <sheetName val="갑지(추정)"/>
      <sheetName val="단가산출"/>
      <sheetName val="견적"/>
      <sheetName val="data"/>
      <sheetName val="노임단가"/>
      <sheetName val="운반"/>
      <sheetName val="경비2내역"/>
      <sheetName val="현장업무"/>
      <sheetName val="일일"/>
      <sheetName val="사업관리"/>
      <sheetName val="sheet1"/>
      <sheetName val="단면가정"/>
      <sheetName val="기계내역서"/>
      <sheetName val="제경비"/>
      <sheetName val="자재단가"/>
      <sheetName val="집계표"/>
      <sheetName val="합계"/>
      <sheetName val="자재단가비교표"/>
      <sheetName val="교통대책내역"/>
      <sheetName val="총괄표"/>
      <sheetName val="2.1  노무비 평균단가산출"/>
      <sheetName val="추가예산"/>
      <sheetName val="STAND20"/>
      <sheetName val="26.자재단가율 및 Sourcing비율 입력"/>
      <sheetName val="34.자재LIST"/>
      <sheetName val="18.자재 단가율입력"/>
      <sheetName val="15100"/>
      <sheetName val="산출근거#2-3"/>
      <sheetName val="INSTR"/>
      <sheetName val="MATERIAL"/>
      <sheetName val="인원동원계획표"/>
      <sheetName val="입력"/>
      <sheetName val="MP SUMMARY"/>
      <sheetName val="인원계획"/>
      <sheetName val="산근"/>
      <sheetName val="공사비_NDE"/>
      <sheetName val="CAT_5"/>
      <sheetName val="덤프트럭계수"/>
      <sheetName val="교량"/>
      <sheetName val="단가대비표"/>
      <sheetName val="전체"/>
      <sheetName val="Y-WORK"/>
      <sheetName val="실행철강하도"/>
      <sheetName val="자판실행"/>
      <sheetName val="작성방법"/>
      <sheetName val="계수시트"/>
      <sheetName val="현장관리비참조"/>
      <sheetName val="재료비"/>
      <sheetName val="산출내역서"/>
      <sheetName val="2000년1차"/>
      <sheetName val="2000전체분"/>
      <sheetName val="공통가설"/>
      <sheetName val="DHEQSUPT"/>
      <sheetName val="전기일위목록"/>
      <sheetName val="간접비 총괄표"/>
      <sheetName val="양식_자재단가조사표"/>
      <sheetName val="일반공사"/>
      <sheetName val="내역서"/>
      <sheetName val="95신규호표"/>
      <sheetName val="Baby일위대가"/>
      <sheetName val="일위대가"/>
      <sheetName val="내역(100%)"/>
      <sheetName val="내역"/>
      <sheetName val="Wt of Mod."/>
      <sheetName val="자재일람"/>
      <sheetName val="단가조사"/>
      <sheetName val="DATE"/>
      <sheetName val="12CGOU"/>
      <sheetName val="환율change"/>
      <sheetName val="가열로SW"/>
      <sheetName val="영업소실적"/>
      <sheetName val=" 갑지"/>
      <sheetName val="설계명세"/>
      <sheetName val="토목주소"/>
      <sheetName val="을-ATYPE"/>
      <sheetName val="건축공사"/>
      <sheetName val="기흥하도용"/>
      <sheetName val="검토"/>
      <sheetName val="정산서 "/>
      <sheetName val="증감내역서"/>
      <sheetName val="단가비교"/>
      <sheetName val="배수내역"/>
      <sheetName val="노임"/>
      <sheetName val="시운전연료비"/>
      <sheetName val="골조시행"/>
      <sheetName val="시운전연료"/>
      <sheetName val="소비자가"/>
      <sheetName val="일반부표"/>
      <sheetName val="건축내역"/>
      <sheetName val="배관공사"/>
      <sheetName val="spc_배관견적"/>
      <sheetName val="unit_4"/>
      <sheetName val="노무비"/>
      <sheetName val="내역서 "/>
      <sheetName val="General_Data"/>
      <sheetName val="실행내역서_"/>
      <sheetName val="기술부_VENDOR_LIST"/>
      <sheetName val="당진화력1_2전선관접지4차공사내역서(갑)"/>
      <sheetName val="Wt_of_Mod_"/>
      <sheetName val="내역서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sheetData sheetId="141" refreshError="1"/>
      <sheetData sheetId="142" refreshError="1"/>
      <sheetData sheetId="143" refreshError="1"/>
      <sheetData sheetId="144" refreshError="1"/>
      <sheetData sheetId="145" refreshError="1"/>
      <sheetData sheetId="146" refreshError="1"/>
      <sheetData sheetId="147" refreshError="1"/>
    </sheetDataSet>
  </externalBook>
</externalLink>
</file>

<file path=xl/externalLinks/externalLink18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인원계획"/>
      <sheetName val="인원계획 (2)"/>
      <sheetName val="인원계획 (3)"/>
      <sheetName val="인원차이"/>
      <sheetName val="인원차이 (2)"/>
      <sheetName val="IT-BAT"/>
      <sheetName val="9-1차이내역"/>
      <sheetName val="영업소실적"/>
      <sheetName val=" 갑지"/>
      <sheetName val="SubCon"/>
      <sheetName val="세금자료"/>
      <sheetName val="소화실적"/>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18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9-1차이내역"/>
      <sheetName val="공문1"/>
      <sheetName val="결산대책 "/>
      <sheetName val="표지"/>
      <sheetName val="1총괄(上)"/>
      <sheetName val="1총괄(下)"/>
      <sheetName val="2손익"/>
      <sheetName val="3대차"/>
      <sheetName val="4법인세(上)"/>
      <sheetName val="4법인세(下)"/>
      <sheetName val="5잉여금"/>
      <sheetName val="6준비금"/>
      <sheetName val="7여신"/>
      <sheetName val="8주평"/>
      <sheetName val="8-1순자산액계산서"/>
      <sheetName val="8-2평가차액계산명세서"/>
      <sheetName val="8-3순손익액계산서"/>
      <sheetName val="8-4영업권평가조서"/>
      <sheetName val="9확정실적"/>
      <sheetName val="상반기손익차2총괄"/>
      <sheetName val="인원계획"/>
      <sheetName val="영업소실적"/>
      <sheetName val="간접비 총괄표"/>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Set>
  </externalBook>
</externalLink>
</file>

<file path=xl/externalLinks/externalLink18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TENT (3)"/>
      <sheetName val="7.3.1A(INPUT)"/>
      <sheetName val="7.3.1.B(BREAKDN)"/>
      <sheetName val="7.3.1.C(SCOPE)"/>
      <sheetName val="7.3.1.D(TECH)"/>
      <sheetName val="7.3.1.E(ALLOW)"/>
      <sheetName val="7.3.2.1(SUMARY)"/>
      <sheetName val="7.3.2.2(SUMARY)"/>
      <sheetName val="7.3.3.BOQ"/>
      <sheetName val="7.3.3.A BOQ TOTAIL (SUMARY) "/>
      <sheetName val="7.3.3.B BOQ OF UNIT 500 "/>
      <sheetName val="7.3.3.C BOQ OF UNIT 501"/>
      <sheetName val="7.3.3.D BOQ OF UNIT 502 "/>
      <sheetName val="7.3.3.E BOQ OF UNIT 503"/>
      <sheetName val="7.3.3.F BOQ OF UNIT 506 "/>
      <sheetName val="7.3.3.G BOQ OF UNIT 508 "/>
      <sheetName val="7.3.3.H BOQ OF UNIT 521 "/>
      <sheetName val="7.3.3.I BOQ OF UNIT 525"/>
      <sheetName val="7.3.3.J BOQ OF UNIT 526 "/>
      <sheetName val="7.3.3.K BOQ OF UNIT 560 "/>
      <sheetName val="7.3.3.L BOQ OF PR500 "/>
      <sheetName val="7.3.3.M BOQ OF OFF-SITE"/>
      <sheetName val="7.3.4.A(REF-INTER)"/>
      <sheetName val="1) INCOMING "/>
      <sheetName val="2) OUTGOING "/>
      <sheetName val="7.3.4.B(REF-BOQ)"/>
      <sheetName val="7.3.4.C(REF-SHIP)"/>
      <sheetName val="7.3.5(CHECK)"/>
      <sheetName val="간접비 총괄표"/>
      <sheetName val="배수내역"/>
      <sheetName val="2.대외공문"/>
      <sheetName val="인원계획"/>
      <sheetName val="증감내역서"/>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Set>
  </externalBook>
</externalLink>
</file>

<file path=xl/externalLinks/externalLink18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eneral Data"/>
      <sheetName val="Summary"/>
      <sheetName val="1.1 가설공사1"/>
      <sheetName val="1.2 토목공사1"/>
      <sheetName val="1.3 건축공사1"/>
      <sheetName val="1.4 철골공사1"/>
      <sheetName val="2.1 기기설치공사"/>
      <sheetName val="2.2 배관공사1"/>
      <sheetName val="2.3 보온공사1"/>
      <sheetName val="2.4 도장공사1"/>
      <sheetName val="3.1 전기공사1"/>
      <sheetName val="계장공사1"/>
      <sheetName val="당진1,2호기전선관설치및접지4차공사내역서-을지"/>
      <sheetName val="갑지"/>
      <sheetName val="간접비 총괄표"/>
      <sheetName val="배수내역"/>
      <sheetName val="SHL"/>
    </sheetNames>
    <sheetDataSet>
      <sheetData sheetId="0">
        <row r="14">
          <cell r="B14" t="str">
            <v>2003년7월22일</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18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당초"/>
      <sheetName val="변경"/>
      <sheetName val="집계표"/>
      <sheetName val="내역서"/>
      <sheetName val="총괄표"/>
      <sheetName val="CB"/>
      <sheetName val="경비"/>
      <sheetName val="Sheet3"/>
      <sheetName val="General Data"/>
      <sheetName val="간접비 총괄표"/>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18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내역서"/>
      <sheetName val="#REF"/>
      <sheetName val="갑지"/>
      <sheetName val="원가계산서"/>
      <sheetName val="소방사항"/>
      <sheetName val="Sheet5"/>
      <sheetName val="방수"/>
      <sheetName val="중기"/>
      <sheetName val="심의위원명단"/>
      <sheetName val="실행간접비"/>
      <sheetName val="내역"/>
      <sheetName val="손익분석"/>
      <sheetName val="실행내역"/>
      <sheetName val="소화실적"/>
      <sheetName val="재료"/>
      <sheetName val="램머"/>
      <sheetName val="평3"/>
      <sheetName val="직노"/>
      <sheetName val="금액내역서"/>
      <sheetName val="조명율표"/>
      <sheetName val="220 (2)"/>
      <sheetName val="Total"/>
      <sheetName val="교통대책내역"/>
      <sheetName val="일위대가표"/>
      <sheetName val="물량표"/>
      <sheetName val="Customer Databas"/>
      <sheetName val="품셈TABLE"/>
      <sheetName val="200"/>
      <sheetName val="주요기준"/>
      <sheetName val="조명시설"/>
    </sheetNames>
    <sheetDataSet>
      <sheetData sheetId="0" refreshError="1"/>
      <sheetData sheetId="1" refreshError="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18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99년하반기"/>
      <sheetName val="99년하반기(1~6월)"/>
      <sheetName val="99년하반기(1~7월)"/>
      <sheetName val="토목2000"/>
      <sheetName val="플랜트2000"/>
      <sheetName val="조명율표"/>
      <sheetName val="손익차9월2"/>
      <sheetName val="상반기손익차2총괄"/>
      <sheetName val="인원계획"/>
      <sheetName val="1.취수장"/>
      <sheetName val="소화실적"/>
      <sheetName val="97 사업추정(WEKI)"/>
      <sheetName val="3-구교-오리지날"/>
      <sheetName val="내역"/>
      <sheetName val="2000년1차"/>
      <sheetName val="2000전체분"/>
      <sheetName val="공종별예산조서"/>
      <sheetName val="97년 SEACO예산"/>
      <sheetName val="건축내역"/>
      <sheetName val="제경비계산"/>
      <sheetName val="배수내역"/>
      <sheetName val="현금"/>
      <sheetName val="간접비 총괄표"/>
      <sheetName val="4.6. 장비동원-REF"/>
      <sheetName val="정산표"/>
      <sheetName val="년말집계"/>
      <sheetName val="운반"/>
      <sheetName val="노임단가"/>
      <sheetName val="부표총괄"/>
      <sheetName val="환율"/>
      <sheetName val="토목"/>
      <sheetName val="99년하반기수주계획"/>
      <sheetName val="입찰안"/>
      <sheetName val="조건표"/>
      <sheetName val="#REF"/>
      <sheetName val="BH-1 (2)"/>
      <sheetName val="호표"/>
      <sheetName val="자재일람"/>
      <sheetName val="기존단가 (2)"/>
      <sheetName val="세금자료"/>
      <sheetName val="Indirect Cost"/>
      <sheetName val="TOWER 12TON"/>
      <sheetName val="JIB CRANE,HOIST"/>
      <sheetName val="TOWER 10TON"/>
      <sheetName val="간접1"/>
      <sheetName val="9-1차이내역"/>
      <sheetName val="일위대가"/>
      <sheetName val="산근"/>
      <sheetName val="VST재료산출"/>
      <sheetName val="앉음벽 (2)"/>
      <sheetName val="4.일위대가집계"/>
      <sheetName val="실행(1)"/>
      <sheetName val="천방교접속"/>
      <sheetName val="대포2교접속"/>
      <sheetName val="직접경비호표"/>
      <sheetName val="임대동호배치"/>
      <sheetName val="98지급계획"/>
      <sheetName val="STAND20"/>
      <sheetName val="7. 매출 투입 취하"/>
      <sheetName val="수주현황2월"/>
      <sheetName val="납부내역"/>
      <sheetName val="영업소실적"/>
      <sheetName val="RCF CLAIMED"/>
      <sheetName val="조사번호"/>
      <sheetName val="이름표"/>
      <sheetName val="일괄자료"/>
      <sheetName val="임테블"/>
      <sheetName val="총원가.24"/>
      <sheetName val="Sheet1"/>
      <sheetName val="조서원본"/>
      <sheetName val="2009 마송지구 비교표준지"/>
      <sheetName val="제품CODE"/>
      <sheetName val="정율표"/>
      <sheetName val="안산기계장치"/>
      <sheetName val="회사정보"/>
      <sheetName val="데이타"/>
      <sheetName val="변수"/>
      <sheetName val="구조물수량집계표"/>
      <sheetName val="101125"/>
      <sheetName val="안전사고"/>
      <sheetName val="실행내역"/>
      <sheetName val="담당자"/>
      <sheetName val="영흥TL(UP,DOWN) "/>
      <sheetName val="준검 내역서"/>
      <sheetName val="Macro1"/>
      <sheetName val="1_취수장"/>
      <sheetName val="97_사업추정(WEKI)"/>
      <sheetName val="97년_SEACO예산"/>
      <sheetName val="간접비_총괄표"/>
      <sheetName val="4_6__장비동원-REF"/>
      <sheetName val="BH-1_(2)"/>
      <sheetName val="기존단가_(2)"/>
      <sheetName val="Indirect_Cost"/>
      <sheetName val="TOWER_12TON"/>
      <sheetName val="JIB_CRANE,HOIST"/>
      <sheetName val="TOWER_10TON"/>
      <sheetName val="지질조사"/>
      <sheetName val="Macro2"/>
      <sheetName val="조경일람"/>
      <sheetName val="총원가_24"/>
      <sheetName val="RE9604"/>
      <sheetName val="집계표"/>
      <sheetName val="확인"/>
      <sheetName val="점유현황"/>
      <sheetName val="신대방33(적용)"/>
      <sheetName val="보차도경계석"/>
      <sheetName val="유림골조"/>
      <sheetName val="담보"/>
      <sheetName val="지급자재"/>
      <sheetName val="현금및현금등가물1"/>
      <sheetName val="단자차입일별"/>
      <sheetName val="24분기"/>
      <sheetName val="한계이익(연습) "/>
      <sheetName val="FM"/>
      <sheetName val="제안서"/>
      <sheetName val="행정표준(1)"/>
      <sheetName val="행정표준(2)"/>
      <sheetName val="VC2 8.98"/>
      <sheetName val="본지점중"/>
      <sheetName val="MEED"/>
      <sheetName val="공사착공계"/>
      <sheetName val="3.공통공사대비"/>
      <sheetName val="실행철강하도"/>
      <sheetName val="증감내역서"/>
      <sheetName val="코드표"/>
      <sheetName val="2.대외공문"/>
      <sheetName val="선급법인세"/>
      <sheetName val="기흥하도용"/>
      <sheetName val="단가"/>
      <sheetName val="리 스 트"/>
      <sheetName val="증감대비"/>
      <sheetName val="수리결과"/>
      <sheetName val="전체"/>
      <sheetName val="단가일람"/>
      <sheetName val="관급자재"/>
      <sheetName val="단위단가"/>
      <sheetName val="분양설계데이타"/>
      <sheetName val="기타요인"/>
      <sheetName val="저산리"/>
      <sheetName val="갑지"/>
      <sheetName val="Total"/>
      <sheetName val="자료"/>
      <sheetName val="토지조서(원본)"/>
      <sheetName val="새로이 설치할 정비기반시설 조서 나번 (2)"/>
      <sheetName val="대처방안"/>
      <sheetName val="현장"/>
      <sheetName val="guard(mac)"/>
      <sheetName val="접수명부"/>
      <sheetName val="교각1"/>
      <sheetName val="비준표"/>
      <sheetName val="SHL"/>
      <sheetName val="성과급지급기준"/>
      <sheetName val="Sheet11"/>
      <sheetName val="휴일check"/>
      <sheetName val="DATA"/>
      <sheetName val="1번"/>
      <sheetName val="절대지우지말것"/>
      <sheetName val="백호우계수"/>
      <sheetName val="Sheet2"/>
      <sheetName val="General Data"/>
      <sheetName val="자금입금"/>
      <sheetName val="제경비"/>
      <sheetName val="세부내역"/>
      <sheetName val="가로등기초"/>
      <sheetName val="PAD TR보호대기초"/>
      <sheetName val="1공구원가계산서"/>
      <sheetName val="1공구산출내역서"/>
      <sheetName val="당진1,2호기전선관설치및접지4차공사내역서-을지"/>
      <sheetName val="전공코드"/>
      <sheetName val="02년채용시스템자료"/>
      <sheetName val="YKSFRT_1"/>
      <sheetName val="장비 (2)"/>
      <sheetName val="DHEQSUPT"/>
      <sheetName val="전입"/>
      <sheetName val="Breakdown sum"/>
    </sheetNames>
    <sheetDataSet>
      <sheetData sheetId="0" refreshError="1">
        <row r="12">
          <cell r="G12">
            <v>182</v>
          </cell>
        </row>
        <row r="13">
          <cell r="E13">
            <v>64</v>
          </cell>
          <cell r="G13">
            <v>2500</v>
          </cell>
          <cell r="I13">
            <v>2619</v>
          </cell>
        </row>
        <row r="14">
          <cell r="C14">
            <v>1350</v>
          </cell>
          <cell r="E14">
            <v>256</v>
          </cell>
          <cell r="G14">
            <v>244</v>
          </cell>
          <cell r="I14">
            <v>5480</v>
          </cell>
          <cell r="K14">
            <v>41</v>
          </cell>
        </row>
        <row r="15">
          <cell r="C15">
            <v>74</v>
          </cell>
          <cell r="E15">
            <v>100</v>
          </cell>
          <cell r="G15">
            <v>1265</v>
          </cell>
          <cell r="I15">
            <v>343</v>
          </cell>
          <cell r="K15">
            <v>164</v>
          </cell>
          <cell r="M15">
            <v>1000</v>
          </cell>
        </row>
        <row r="16">
          <cell r="E16">
            <v>41</v>
          </cell>
          <cell r="G16">
            <v>276</v>
          </cell>
          <cell r="I16">
            <v>7200</v>
          </cell>
        </row>
        <row r="17">
          <cell r="G17">
            <v>667</v>
          </cell>
          <cell r="I17">
            <v>43</v>
          </cell>
        </row>
        <row r="18">
          <cell r="G18">
            <v>7</v>
          </cell>
        </row>
        <row r="30">
          <cell r="M30">
            <v>2000</v>
          </cell>
        </row>
        <row r="31">
          <cell r="M31">
            <v>7000</v>
          </cell>
        </row>
        <row r="32">
          <cell r="I32">
            <v>5000</v>
          </cell>
          <cell r="M32">
            <v>20000</v>
          </cell>
        </row>
        <row r="33">
          <cell r="C33">
            <v>5000</v>
          </cell>
          <cell r="E33">
            <v>3000</v>
          </cell>
          <cell r="I33">
            <v>20000</v>
          </cell>
          <cell r="K33">
            <v>9000</v>
          </cell>
          <cell r="M33">
            <v>10000</v>
          </cell>
        </row>
        <row r="34">
          <cell r="M34">
            <v>6000</v>
          </cell>
        </row>
        <row r="35">
          <cell r="M35">
            <v>2000</v>
          </cell>
        </row>
        <row r="36">
          <cell r="M36">
            <v>1084</v>
          </cell>
        </row>
      </sheetData>
      <sheetData sheetId="1"/>
      <sheetData sheetId="2"/>
      <sheetData sheetId="3"/>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sheetData sheetId="86"/>
      <sheetData sheetId="87"/>
      <sheetData sheetId="88"/>
      <sheetData sheetId="89"/>
      <sheetData sheetId="90"/>
      <sheetData sheetId="91"/>
      <sheetData sheetId="92"/>
      <sheetData sheetId="93"/>
      <sheetData sheetId="94"/>
      <sheetData sheetId="95"/>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Set>
  </externalBook>
</externalLink>
</file>

<file path=xl/externalLinks/externalLink18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1-1. 5월 임금현황(기아부품)"/>
      <sheetName val="1-1. 5월 임금현황(기아부품) (2)"/>
      <sheetName val="1-2. 4월 임금현황(기아부품)"/>
      <sheetName val="1-2.인원변동"/>
      <sheetName val="①MT"/>
      <sheetName val="②직급코드"/>
      <sheetName val="③인원피벗"/>
      <sheetName val="④DT"/>
      <sheetName val="⑤수당코드"/>
      <sheetName val="⑥금액피벗"/>
      <sheetName val="1-1. 5월 임금현황(보고용)"/>
      <sheetName val="색있는부분은 피벗에서 끌어올 데이타임"/>
      <sheetName val="인원현황총괄"/>
      <sheetName val="소속순"/>
      <sheetName val="간접비 총괄표"/>
    </sheetNames>
    <sheetDataSet>
      <sheetData sheetId="0"/>
      <sheetData sheetId="1"/>
      <sheetData sheetId="2"/>
      <sheetData sheetId="3"/>
      <sheetData sheetId="4" refreshError="1"/>
      <sheetData sheetId="5"/>
      <sheetData sheetId="6"/>
      <sheetData sheetId="7"/>
      <sheetData sheetId="8"/>
      <sheetData sheetId="9"/>
      <sheetData sheetId="10" refreshError="1"/>
      <sheetData sheetId="11" refreshError="1"/>
      <sheetData sheetId="12" refreshError="1"/>
      <sheetData sheetId="13" refreshError="1"/>
      <sheetData sheetId="14" refreshError="1"/>
    </sheetDataSet>
  </externalBook>
</externalLink>
</file>

<file path=xl/externalLinks/externalLink19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XXX"/>
      <sheetName val="비교"/>
      <sheetName val="인원"/>
      <sheetName val="간접비 총괄표"/>
      <sheetName val="간접비 내역"/>
      <sheetName val="세금자료"/>
      <sheetName val="인원계획"/>
      <sheetName val="소화실적"/>
      <sheetName val="base"/>
      <sheetName val="매각(6)"/>
      <sheetName val="1100-1200-1300-1910-2140-LEV 2"/>
      <sheetName val="갑지"/>
      <sheetName val="당진1,2호기전선관설치및접지4차공사내역서-을지"/>
      <sheetName val="inter"/>
      <sheetName val="B급보"/>
      <sheetName val="B급지보"/>
      <sheetName val="D급보"/>
      <sheetName val="#REF"/>
      <sheetName val="간접비_REV1"/>
      <sheetName val="평균급여+간접"/>
      <sheetName val="지점A "/>
      <sheetName val="A급지보 "/>
      <sheetName val="S중A"/>
      <sheetName val="A급보"/>
      <sheetName val="C급지보 "/>
      <sheetName val="S급보"/>
      <sheetName val="C급보 "/>
      <sheetName val="IT-BAT"/>
      <sheetName val="단가산출"/>
      <sheetName val="h-013211-2"/>
      <sheetName val="을지"/>
      <sheetName val="STAND20"/>
      <sheetName val="산근"/>
      <sheetName val="Sheet1"/>
      <sheetName val="Sheet2"/>
      <sheetName val="공사비 내역 (가)"/>
      <sheetName val="1-11조직표"/>
      <sheetName val="10현장조직"/>
      <sheetName val="General Data"/>
      <sheetName val="당초"/>
      <sheetName val="eq_data"/>
      <sheetName val="공사설계서"/>
      <sheetName val="Indirect Cost"/>
      <sheetName val="97 사업추정(WEKI)"/>
      <sheetName val="NYS"/>
      <sheetName val="SHL"/>
      <sheetName val="내역"/>
      <sheetName val="상반기손익차2총괄"/>
      <sheetName val="120"/>
      <sheetName val="130"/>
      <sheetName val="100"/>
      <sheetName val="101"/>
      <sheetName val="102"/>
      <sheetName val="103"/>
      <sheetName val="106"/>
      <sheetName val="108"/>
      <sheetName val="109"/>
      <sheetName val="131"/>
      <sheetName val="110"/>
      <sheetName val="111"/>
      <sheetName val="114"/>
      <sheetName val="116"/>
      <sheetName val="132"/>
      <sheetName val="140"/>
      <sheetName val="141"/>
      <sheetName val="142"/>
      <sheetName val="143"/>
      <sheetName val="144"/>
      <sheetName val="145"/>
      <sheetName val="146"/>
      <sheetName val="121"/>
      <sheetName val="147"/>
      <sheetName val="148"/>
      <sheetName val="160"/>
      <sheetName val="164"/>
      <sheetName val="Flaer Area"/>
      <sheetName val="123"/>
      <sheetName val="124"/>
      <sheetName val="125"/>
      <sheetName val="126"/>
      <sheetName val="127"/>
      <sheetName val="128"/>
      <sheetName val="129"/>
      <sheetName val="영업소실적"/>
      <sheetName val="RCF CLAIMED"/>
      <sheetName val="손익차9월2"/>
      <sheetName val="사업부배부A"/>
      <sheetName val="99년하반기"/>
      <sheetName val="입찰"/>
      <sheetName val="현경"/>
      <sheetName val="DATE"/>
      <sheetName val="공사비PK5월"/>
      <sheetName val="토목"/>
      <sheetName val="RFP009"/>
      <sheetName val="RFP007"/>
      <sheetName val="변수데이타"/>
      <sheetName val="집계표"/>
      <sheetName val="개시대사 (2)"/>
      <sheetName val="STAND98"/>
      <sheetName val="간접비총괄"/>
      <sheetName val="Unit 49_분개표"/>
      <sheetName val="Unit 76_분개표"/>
      <sheetName val="UnitList"/>
      <sheetName val="ANALYSER"/>
      <sheetName val="INPUT DATA"/>
      <sheetName val="CIVIL WORK"/>
      <sheetName val="96.12"/>
      <sheetName val="직원동원계획"/>
      <sheetName val="REDUCER"/>
      <sheetName val="WE'T"/>
      <sheetName val="OFFER RATE"/>
      <sheetName val="Mech CIF"/>
      <sheetName val="COVERSHEET PAGE"/>
      <sheetName val="본지점중"/>
      <sheetName val="TABLE2-2 OSBL-(SITE PREP)"/>
      <sheetName val="BOQ"/>
      <sheetName val="OSBL-TOTAL (OTHER WORK)"/>
      <sheetName val="OSBL-TOTAL (SEA WATER)"/>
      <sheetName val="OSBL-TOTAL (CIVIL WORK)"/>
      <sheetName val="산출근거#2-3"/>
      <sheetName val="작업년월"/>
      <sheetName val="WORKER"/>
      <sheetName val="15100"/>
      <sheetName val="수입"/>
      <sheetName val="9-1차이내역"/>
      <sheetName val="노임단가"/>
      <sheetName val="금융비용"/>
      <sheetName val="일위대가"/>
      <sheetName val="직원동원SCH"/>
      <sheetName val="자구계획db"/>
      <sheetName val="공사비_NDE"/>
      <sheetName val="BOJUNGGM"/>
      <sheetName val="Weld, NDE (Pipe)"/>
      <sheetName val="예산M11A"/>
      <sheetName val="유림콘도"/>
      <sheetName val="CAT_5"/>
      <sheetName val="DHEQSUPT"/>
      <sheetName val="함수"/>
      <sheetName val="연수원"/>
      <sheetName val="차량(구)"/>
      <sheetName val="b_balju-단가단가단가"/>
      <sheetName val="EXCHANGE_RATE"/>
      <sheetName val="2.대외공문"/>
      <sheetName val="전입"/>
      <sheetName val="6호기"/>
      <sheetName val="카메라"/>
      <sheetName val="소속순"/>
      <sheetName val="사업정리"/>
      <sheetName val="사업별"/>
      <sheetName val="Eq. Mobilization"/>
      <sheetName val="Report"/>
      <sheetName val="Weld, NDE (Piၰe)"/>
      <sheetName val="①MT"/>
      <sheetName val="기계공사비집계(원안)"/>
      <sheetName val="입찰안"/>
      <sheetName val=" 갑지"/>
      <sheetName val="요약"/>
      <sheetName val="INSPECTOR (PKG-1)"/>
      <sheetName val="Consumables"/>
      <sheetName val="Benchmark"/>
      <sheetName val="10월사업별"/>
      <sheetName val="PI"/>
      <sheetName val="실행내역서 "/>
      <sheetName val="설계명세서"/>
      <sheetName val="Units"/>
      <sheetName val="Instructions"/>
      <sheetName val="HRSG PRINT"/>
      <sheetName val="기초자료입력"/>
      <sheetName val="노임이"/>
      <sheetName val="코드표"/>
      <sheetName val="Macro(MCC)"/>
      <sheetName val="교수설계"/>
      <sheetName val="입찰개요"/>
      <sheetName val="적용근거"/>
      <sheetName val="공장집계표"/>
      <sheetName val="일반배전반-7.2KV 2단적"/>
      <sheetName val="LV 표준_민수(85KA_3P)"/>
      <sheetName val="DB_수출용"/>
      <sheetName val="MCCB COST"/>
      <sheetName val="SPARE_MV_PRO"/>
      <sheetName val="SPARE_MV_NOR"/>
      <sheetName val="SPECIAL_MV_COM"/>
      <sheetName val="SPARE_LV_COM"/>
      <sheetName val="SPECIAL_LV_COM"/>
      <sheetName val="DATA"/>
      <sheetName val="간접비"/>
      <sheetName val="동결보온"/>
      <sheetName val="골조"/>
      <sheetName val="LOAD 5 Wind "/>
      <sheetName val="실행철강하도"/>
      <sheetName val="Cash2"/>
      <sheetName val="Z"/>
      <sheetName val="#2_일위대가목록"/>
      <sheetName val="실행예산SHEET도장재검토"/>
      <sheetName val="MS"/>
      <sheetName val="2009--"/>
      <sheetName val="배수내역"/>
      <sheetName val="TD_3_一次高圧過熱器"/>
      <sheetName val="Salary(해외)"/>
      <sheetName val="간접비_총괄표"/>
      <sheetName val="간접비_내역"/>
      <sheetName val="지점A_"/>
      <sheetName val="A급지보_"/>
      <sheetName val="C급지보_"/>
      <sheetName val="C급보_"/>
      <sheetName val="LABTOTAL"/>
      <sheetName val="N賃率-職"/>
      <sheetName val="연습"/>
      <sheetName val="설비비4"/>
      <sheetName val="콘크리트타설집계표"/>
      <sheetName val="실행(1)"/>
      <sheetName val="unit 4"/>
      <sheetName val="2.1  노무비 평균단가산출"/>
      <sheetName val="UNIT 3"/>
      <sheetName val="TABLE-A"/>
      <sheetName val="BM"/>
      <sheetName val="Chart"/>
      <sheetName val="예총"/>
      <sheetName val="차액보증"/>
      <sheetName val="95신규호표"/>
      <sheetName val="8.PILE  (돌출)"/>
      <sheetName val="U_A Input"/>
      <sheetName val="인사자료총집계"/>
      <sheetName val="날개벽수량표"/>
      <sheetName val="수주현황2월"/>
      <sheetName val="비품"/>
      <sheetName val="GFA"/>
      <sheetName val="Stl-B"/>
      <sheetName val="예산작성기준(전기)"/>
      <sheetName val="eqpmt"/>
      <sheetName val="A.1.1(e)"/>
      <sheetName val="BOQ segment2 (PartB)"/>
      <sheetName val="A.1.4"/>
      <sheetName val="A.1.1(d)"/>
      <sheetName val="A.1.3"/>
      <sheetName val="A.1.2(a)"/>
      <sheetName val="A.1.1(a)"/>
      <sheetName val="단가결정"/>
      <sheetName val="TTL"/>
      <sheetName val="cal1"/>
      <sheetName val="C.배수관공"/>
      <sheetName val="Terbilang"/>
      <sheetName val="내역(한신APT)"/>
      <sheetName val="Galian batu"/>
      <sheetName val="대비표"/>
      <sheetName val="FAB별"/>
      <sheetName val="정부노임단가"/>
      <sheetName val="현장업무"/>
      <sheetName val="TABLE DB"/>
      <sheetName val="쌍용 data base"/>
      <sheetName val="예산"/>
      <sheetName val="ABUT수량-A1"/>
      <sheetName val="설계내역서"/>
      <sheetName val="출력X"/>
      <sheetName val="물량표"/>
      <sheetName val="개설과정현황"/>
      <sheetName val="97_사업추정(WEKI)"/>
      <sheetName val="1.설계조건"/>
      <sheetName val="주beam"/>
      <sheetName val="코드관리"/>
      <sheetName val="공사비_내역_(가)"/>
      <sheetName val="General_Data"/>
      <sheetName val="Indirect_Cost"/>
      <sheetName val="Flaer_Area"/>
      <sheetName val="RCF_CLAIMED"/>
      <sheetName val="1100-1200-1300-1910-2140-LEV_2"/>
      <sheetName val="Unit_49_분개표"/>
      <sheetName val="Unit_76_분개표"/>
      <sheetName val="INPUT_DATA"/>
      <sheetName val="CIVIL_WORK"/>
      <sheetName val="96_12"/>
      <sheetName val="OFFER_RATE"/>
      <sheetName val="Mech_CIF"/>
      <sheetName val="COVERSHEET_PAGE"/>
      <sheetName val="TABLE2-2_OSBL-(SITE_PREP)"/>
      <sheetName val="OSBL-TOTAL_(OTHER_WORK)"/>
      <sheetName val="OSBL-TOTAL_(SEA_WATER)"/>
      <sheetName val="OSBL-TOTAL_(CIVIL_WORK)"/>
      <sheetName val="개시대사_(2)"/>
      <sheetName val="NP"/>
      <sheetName val="BREAKDOWN(철거설치)"/>
      <sheetName val="RAB"/>
      <sheetName val="토목주소"/>
      <sheetName val="프랜트면허"/>
      <sheetName val="BID"/>
      <sheetName val="Resume"/>
      <sheetName val="jj"/>
      <sheetName val="임율 Data"/>
      <sheetName val="단가조사"/>
      <sheetName val="내역서"/>
    </sheetNames>
    <sheetDataSet>
      <sheetData sheetId="0" refreshError="1"/>
      <sheetData sheetId="1" refreshError="1"/>
      <sheetData sheetId="2" refreshError="1"/>
      <sheetData sheetId="3">
        <row r="1">
          <cell r="B1" t="str">
            <v>간 접 비 I (총 괄 표)</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ow r="10">
          <cell r="I10">
            <v>0</v>
          </cell>
        </row>
      </sheetData>
      <sheetData sheetId="173">
        <row r="10">
          <cell r="I10">
            <v>0</v>
          </cell>
        </row>
      </sheetData>
      <sheetData sheetId="174">
        <row r="10">
          <cell r="I10">
            <v>0</v>
          </cell>
        </row>
      </sheetData>
      <sheetData sheetId="175"/>
      <sheetData sheetId="176"/>
      <sheetData sheetId="177"/>
      <sheetData sheetId="178"/>
      <sheetData sheetId="179"/>
      <sheetData sheetId="180"/>
      <sheetData sheetId="181"/>
      <sheetData sheetId="182"/>
      <sheetData sheetId="183"/>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Set>
  </externalBook>
</externalLink>
</file>

<file path=xl/externalLinks/externalLink19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FRC r1"/>
      <sheetName val="Senior"/>
      <sheetName val="Junior"/>
      <sheetName val="Labour"/>
      <sheetName val="전기 소모량"/>
      <sheetName val="동원계획"/>
      <sheetName val="당초"/>
      <sheetName val="간접비 총괄표"/>
    </sheetNames>
    <sheetDataSet>
      <sheetData sheetId="0" refreshError="1"/>
      <sheetData sheetId="1" refreshError="1"/>
      <sheetData sheetId="2" refreshError="1"/>
      <sheetData sheetId="3" refreshError="1"/>
      <sheetData sheetId="4" refreshError="1"/>
      <sheetData sheetId="5">
        <row r="7">
          <cell r="I7">
            <v>2196</v>
          </cell>
        </row>
      </sheetData>
      <sheetData sheetId="6" refreshError="1"/>
      <sheetData sheetId="7" refreshError="1"/>
    </sheetDataSet>
  </externalBook>
</externalLink>
</file>

<file path=xl/externalLinks/externalLink19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96"/>
      <sheetName val="작성양식"/>
      <sheetName val="직원신상"/>
      <sheetName val="신규DEP"/>
      <sheetName val="59130-25200"/>
      <sheetName val="존4"/>
      <sheetName val="XGPROD"/>
      <sheetName val="2월"/>
      <sheetName val="진급관련DATA"/>
      <sheetName val="Macro1"/>
      <sheetName val="ML"/>
      <sheetName val="부서CODE"/>
      <sheetName val="CR CODE"/>
      <sheetName val="THEME CODE"/>
      <sheetName val="2-2. 구체자재 직도보급현황"/>
      <sheetName val="2.대외공문"/>
      <sheetName val="참고"/>
      <sheetName val="구동"/>
      <sheetName val="鞤원신상"/>
      <sheetName val="사양"/>
      <sheetName val="대외공문"/>
      <sheetName val="이익"/>
      <sheetName val="Sheet3"/>
      <sheetName val="①MT"/>
      <sheetName val="GRACE"/>
      <sheetName val="미결업무"/>
      <sheetName val="소속순"/>
      <sheetName val="간접비 총괄표"/>
      <sheetName val="전입"/>
    </sheetNames>
    <sheetDataSet>
      <sheetData sheetId="0"/>
      <sheetData sheetId="1" refreshError="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Set>
  </externalBook>
</externalLink>
</file>

<file path=xl/externalLinks/externalLink19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총괄표"/>
      <sheetName val="특수"/>
      <sheetName val="참고"/>
      <sheetName val="현장"/>
      <sheetName val="계획대비"/>
      <sheetName val="골조시행"/>
      <sheetName val="출자한도"/>
      <sheetName val="건축내역"/>
      <sheetName val="예산"/>
      <sheetName val="손익차9월2"/>
      <sheetName val="Sheet2"/>
      <sheetName val="부재리스트"/>
      <sheetName val="양식0202"/>
      <sheetName val="현장명"/>
      <sheetName val="내역"/>
      <sheetName val="경영혁신본부"/>
      <sheetName val="#REF"/>
      <sheetName val="할증 "/>
      <sheetName val="차액보증"/>
      <sheetName val="사업부배부A"/>
      <sheetName val="당진1,2호기전선관설치및접지4차공사내역서-을지"/>
      <sheetName val="입찰안"/>
      <sheetName val="1001"/>
      <sheetName val="내역서"/>
      <sheetName val="12CGOU"/>
      <sheetName val="특외대"/>
      <sheetName val="첨부1"/>
      <sheetName val="95년12월말"/>
      <sheetName val="기준액"/>
      <sheetName val="리비아전체장비200306"/>
      <sheetName val="BID"/>
      <sheetName val="경산"/>
      <sheetName val="BOJUNGGM"/>
      <sheetName val="MIJIBI"/>
      <sheetName val="손익9801"/>
      <sheetName val="가로등내역서"/>
      <sheetName val="구분"/>
      <sheetName val="목창호"/>
      <sheetName val="실행철강하도"/>
      <sheetName val="도급양식"/>
      <sheetName val="기성현황"/>
      <sheetName val="사업전망"/>
      <sheetName val="원가현황"/>
      <sheetName val="당초"/>
      <sheetName val="SG"/>
      <sheetName val="기성수금(단단위)"/>
      <sheetName val="원가매출(단단위)"/>
      <sheetName val="인수공규격"/>
      <sheetName val="현금"/>
      <sheetName val="감가상각"/>
      <sheetName val="누계12"/>
      <sheetName val="RECIMAKE"/>
      <sheetName val="NYS"/>
      <sheetName val="대,유,램"/>
      <sheetName val="2.예금"/>
      <sheetName val="경비"/>
      <sheetName val="EACT10"/>
      <sheetName val="보증수수료산출"/>
      <sheetName val="200"/>
      <sheetName val="집계표"/>
      <sheetName val="인건-측정"/>
      <sheetName val="실행"/>
      <sheetName val="내역서2안"/>
      <sheetName val="매출원가"/>
      <sheetName val="일위대가"/>
      <sheetName val="준검 내역서"/>
      <sheetName val="지질조사"/>
      <sheetName val="Input"/>
      <sheetName val="도급견적가"/>
      <sheetName val="남양시작동자105노65기1.3화1.2"/>
      <sheetName val="조명시설"/>
      <sheetName val="중기"/>
      <sheetName val="데리네이타현황"/>
      <sheetName val="2000년1차"/>
      <sheetName val="남대문빌딩"/>
      <sheetName val="2공구산출내역"/>
      <sheetName val="토공(우물통,기타) "/>
      <sheetName val="원가"/>
      <sheetName val="미지급금"/>
      <sheetName val="산출근거"/>
      <sheetName val="견적서"/>
      <sheetName val="단가조사"/>
      <sheetName val="패널"/>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Set>
  </externalBook>
</externalLink>
</file>

<file path=xl/externalLinks/externalLink19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AEYO"/>
      <sheetName val="Sheet5"/>
      <sheetName val="개요"/>
      <sheetName val="BSD (2)"/>
      <sheetName val="INPUT"/>
      <sheetName val="Ext. Stone-P"/>
      <sheetName val="FURNITURE-01"/>
      <sheetName val="천안IP공장자100노100물량110할증"/>
      <sheetName val="시화점실행"/>
      <sheetName val="ETC"/>
      <sheetName val="기본DATA"/>
      <sheetName val="갑지(추정)"/>
      <sheetName val="플랜트 설치"/>
      <sheetName val="공문"/>
      <sheetName val="정부노임단가"/>
      <sheetName val="토목주소"/>
      <sheetName val="프랜트면허"/>
      <sheetName val="갑지"/>
      <sheetName val="DATE"/>
      <sheetName val="입찰안"/>
      <sheetName val="CAT_5"/>
      <sheetName val="내역서"/>
      <sheetName val="노임이"/>
      <sheetName val="#REF"/>
      <sheetName val="ABUT수량-A1"/>
      <sheetName val="Girder"/>
      <sheetName val="인사자료총집계"/>
      <sheetName val="I一般比"/>
      <sheetName val="GAEYOXLS"/>
      <sheetName val="ITEM"/>
      <sheetName val="집행갑지"/>
      <sheetName val="Parts"/>
      <sheetName val="Menu A"/>
      <sheetName val="TOTAL1"/>
      <sheetName val="간접경상비"/>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Set>
  </externalBook>
</externalLink>
</file>

<file path=xl/externalLinks/externalLink19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필리핀"/>
      <sheetName val="상품입고집계"/>
      <sheetName val="인도"/>
      <sheetName val="인도네시"/>
      <sheetName val="일본"/>
      <sheetName val="요르단"/>
      <sheetName val="중국"/>
      <sheetName val="카타르"/>
      <sheetName val="캄보디아"/>
      <sheetName val="쿠웨이트"/>
      <sheetName val="태국"/>
      <sheetName val="파키스탄"/>
      <sheetName val="Sheet1"/>
      <sheetName val="조직표"/>
    </sheetNames>
    <sheetDataSet>
      <sheetData sheetId="0">
        <row r="1">
          <cell r="A1" t="str">
            <v>file=c:\worksht\itb\필리핀입.wd1</v>
          </cell>
        </row>
      </sheetData>
      <sheetData sheetId="1" refreshError="1"/>
      <sheetData sheetId="2"/>
      <sheetData sheetId="3"/>
      <sheetData sheetId="4"/>
      <sheetData sheetId="5"/>
      <sheetData sheetId="6"/>
      <sheetData sheetId="7"/>
      <sheetData sheetId="8"/>
      <sheetData sheetId="9"/>
      <sheetData sheetId="10"/>
      <sheetData sheetId="11"/>
      <sheetData sheetId="12" refreshError="1"/>
      <sheetData sheetId="13" refreshError="1"/>
    </sheetDataSet>
  </externalBook>
</externalLink>
</file>

<file path=xl/externalLinks/externalLink19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주관사업"/>
      <sheetName val="사업부배부"/>
      <sheetName val="계정실적"/>
      <sheetName val="계정보고"/>
      <sheetName val="계정보고 (2)"/>
      <sheetName val="요약배부"/>
      <sheetName val="요약배부 (보고)"/>
      <sheetName val="요약배부 (보고) (2)"/>
      <sheetName val="10월계정별"/>
      <sheetName val="10월년간추정"/>
      <sheetName val="배부부별"/>
      <sheetName val="배부비목"/>
      <sheetName val="임대원가"/>
      <sheetName val="기타매출"/>
      <sheetName val="기타매출 (2)"/>
      <sheetName val="기타매출 (3)"/>
      <sheetName val="영업소실적"/>
      <sheetName val="새마을금고"/>
      <sheetName val="Module1"/>
      <sheetName val="참고인원"/>
      <sheetName val="9-1차이내역"/>
      <sheetName val="설계"/>
      <sheetName val="품셈TABLE"/>
      <sheetName val="국내"/>
      <sheetName val="수입"/>
      <sheetName val="당초"/>
      <sheetName val="보온자재단가표"/>
      <sheetName val="삼보지질"/>
      <sheetName val="단가표"/>
      <sheetName val="경비_원본"/>
      <sheetName val="노임단가"/>
      <sheetName val="Sheet1"/>
      <sheetName val="STAND20"/>
      <sheetName val="공사비PK5월"/>
      <sheetName val="부표총괄"/>
      <sheetName val="품셈1-"/>
      <sheetName val="DB"/>
      <sheetName val="BID"/>
      <sheetName val="기계사급자재"/>
      <sheetName val="Paint,Fire-Proof,Insul(48)"/>
      <sheetName val="VXXXXXXX"/>
      <sheetName val="#3E1_GCR"/>
      <sheetName val="BRICK"/>
      <sheetName val="배수내역"/>
      <sheetName val="합계잔액시산표"/>
      <sheetName val="95년12월말"/>
      <sheetName val="설 계"/>
      <sheetName val="품셈표"/>
      <sheetName val="15.도급예산대비표"/>
      <sheetName val="97 사업추정(WEKI)"/>
      <sheetName val="필리핀"/>
      <sheetName val="현금"/>
      <sheetName val="지사인원사무실"/>
      <sheetName val="상품입고집계"/>
      <sheetName val="조직표"/>
      <sheetName val="SCH"/>
      <sheetName val="Tension"/>
      <sheetName val="적용토목"/>
      <sheetName val="평자재단가"/>
      <sheetName val="상반기손익차2총괄"/>
      <sheetName val="Summary Sheets"/>
      <sheetName val="B31.1"/>
      <sheetName val="PSIZE"/>
      <sheetName val="COVER-P"/>
      <sheetName val="평균인원"/>
      <sheetName val="집계표"/>
      <sheetName val="협력업체전기요금"/>
      <sheetName val="차량별점검"/>
      <sheetName val="수문일1"/>
      <sheetName val="일위대가"/>
      <sheetName val="표지"/>
      <sheetName val="토적계산"/>
      <sheetName val="1차배부(JB포함)"/>
      <sheetName val="돈"/>
      <sheetName val="기본단가"/>
      <sheetName val="신대방33(적용)"/>
      <sheetName val="수주실적0709"/>
      <sheetName val="96 능제취입"/>
      <sheetName val="실행철강하도"/>
      <sheetName val="청산공사"/>
      <sheetName val="10현장조직"/>
      <sheetName val="토목"/>
      <sheetName val="마케팅"/>
      <sheetName val="WORKER"/>
      <sheetName val="9GNG운반"/>
      <sheetName val="99년하반기"/>
      <sheetName val="공사비내역"/>
      <sheetName val="W42  "/>
      <sheetName val="한화건설"/>
      <sheetName val="P.M 별"/>
      <sheetName val="입찰안"/>
      <sheetName val="하조서"/>
      <sheetName val="실행내역"/>
      <sheetName val="경상"/>
      <sheetName val="경비공통"/>
      <sheetName val="VXXXXX"/>
      <sheetName val="내역서"/>
      <sheetName val="NYS"/>
      <sheetName val="인건-측정"/>
      <sheetName val="자재단가"/>
      <sheetName val="Sheet5"/>
      <sheetName val="계정보고_(2)"/>
      <sheetName val="요약배부_(보고)"/>
      <sheetName val="요약배부_(보고)_(2)"/>
      <sheetName val="기타매출_(2)"/>
      <sheetName val="기타매출_(3)"/>
      <sheetName val="1.취수장"/>
      <sheetName val="수성페인트도장 내역서"/>
      <sheetName val="도급"/>
      <sheetName val="견적대비"/>
      <sheetName val="기안"/>
      <sheetName val="총괄-1"/>
      <sheetName val="토공사"/>
      <sheetName val="단가"/>
      <sheetName val="기초자료입력및 K치 확인"/>
      <sheetName val="직노"/>
      <sheetName val="재료"/>
      <sheetName val="내역_ver1.0"/>
      <sheetName val="내역서1"/>
      <sheetName val="ysn"/>
      <sheetName val="교각1"/>
      <sheetName val="총괄표"/>
      <sheetName val="Sheet6"/>
      <sheetName val="CAT_5"/>
      <sheetName val="INPUT"/>
      <sheetName val="기계"/>
      <sheetName val="토량산출서"/>
      <sheetName val="토목주소"/>
      <sheetName val="프랜트면허"/>
      <sheetName val="입찰보고"/>
      <sheetName val="세부기준"/>
      <sheetName val="2003.02월수금계획"/>
      <sheetName val="2002_건설용역비미수금현황"/>
      <sheetName val="Piping Design Data"/>
      <sheetName val="현장"/>
      <sheetName val="MOKDONG(1)"/>
      <sheetName val="회사99"/>
      <sheetName val="손익차9월2"/>
      <sheetName val="손익차총괄2"/>
      <sheetName val="공통"/>
      <sheetName val="공통비총괄표"/>
      <sheetName val="Sheet2"/>
      <sheetName val="삭제금지단가"/>
      <sheetName val="공문"/>
      <sheetName val="95삼성급(본사)"/>
      <sheetName val="집계표(OPTION)"/>
      <sheetName val="合成単価作成表-BLDG"/>
      <sheetName val="유림골조"/>
      <sheetName val="정산표"/>
      <sheetName val="부안일위"/>
      <sheetName val="와동25-3(변경)"/>
      <sheetName val="정산표2"/>
      <sheetName val="2003_02월수금계획"/>
      <sheetName val="Piping_Design_Data"/>
      <sheetName val="97_사업추정(WEKI)"/>
      <sheetName val="P_M_별"/>
      <sheetName val="일위_파일"/>
      <sheetName val="M-EQPT-Z"/>
      <sheetName val="소화실적"/>
      <sheetName val="개시대사 (2)"/>
      <sheetName val="보증금(전신전화가입권)"/>
      <sheetName val="Equipment (5)"/>
      <sheetName val="#REF"/>
      <sheetName val="RCF CLAIMED"/>
      <sheetName val="KP1590_E"/>
      <sheetName val="JOB Assign"/>
      <sheetName val="예가표"/>
      <sheetName val="Total"/>
      <sheetName val="Customer Databas"/>
      <sheetName val="EACT10"/>
      <sheetName val="가격조사서"/>
      <sheetName val="금액내역서"/>
      <sheetName val="원가계산서"/>
      <sheetName val="적용대가"/>
      <sheetName val="3.바닥판설계"/>
      <sheetName val="주형"/>
      <sheetName val="INPUT DATA"/>
      <sheetName val="B"/>
      <sheetName val="Doha WBS Clean"/>
      <sheetName val="토사(PE)"/>
      <sheetName val="건축"/>
      <sheetName val="CB"/>
      <sheetName val="new급여T(4을-운전)"/>
      <sheetName val="Peralatan (2)"/>
      <sheetName val="DCS"/>
      <sheetName val="ANALYSER"/>
      <sheetName val="Sheet11"/>
      <sheetName val="BATCH"/>
      <sheetName val="인원계획"/>
      <sheetName val="구의33고"/>
      <sheetName val="직S"/>
      <sheetName val="사업부배부A"/>
      <sheetName val="eq_data"/>
      <sheetName val="카메라"/>
      <sheetName val="제작비추산총괄표"/>
      <sheetName val="물가자료"/>
      <sheetName val="Sheet3"/>
      <sheetName val="2003_02월수금계획1"/>
      <sheetName val="Piping_Design_Data1"/>
      <sheetName val="97_사업추정(WEKI)1"/>
      <sheetName val="P_M_별1"/>
      <sheetName val="개시대사_(2)"/>
      <sheetName val="RCF_CLAIMED"/>
      <sheetName val="Equipment_(5)"/>
      <sheetName val="JOB_Assign"/>
      <sheetName val="INPUT_DATA"/>
      <sheetName val="Customer_Databas"/>
      <sheetName val="Doha_WBS_Clean"/>
      <sheetName val="Peralatan_(2)"/>
      <sheetName val="3_바닥판설계"/>
      <sheetName val="약품설비"/>
      <sheetName val="content(내부)"/>
      <sheetName val="7.4.1.A(input)"/>
      <sheetName val="7.4.1(B) BOQ Breakdown"/>
      <sheetName val="7.4.1.C(scope)"/>
      <sheetName val="7.4.1.D(Basis)"/>
      <sheetName val="7.4.1.E(allow)"/>
      <sheetName val="7.4.2.A-Build(list)"/>
      <sheetName val="7.4.3.B-BOQ-SUM"/>
      <sheetName val="7.4.3(BOQ_각표지)"/>
      <sheetName val="7.4.3.A(Shelter)"/>
      <sheetName val="7.4.3.B(Module)"/>
      <sheetName val="7.4.3.C(Shelter-FLB)"/>
      <sheetName val="7.4.3.D(Brief Spec.)"/>
      <sheetName val="건설성적"/>
      <sheetName val="정부노임단가"/>
      <sheetName val="예산M2"/>
      <sheetName val="예산M12A"/>
      <sheetName val="예산M6-B"/>
      <sheetName val="Regenerator  Concrete Structure"/>
      <sheetName val="공통가설"/>
      <sheetName val="노무비단가"/>
      <sheetName val="cable-data"/>
      <sheetName val="수안보-MBR1"/>
      <sheetName val="간접"/>
      <sheetName val="전기혼잡제경비(45)"/>
      <sheetName val="6PILE  (돌출)"/>
      <sheetName val="sum"/>
      <sheetName val="1월"/>
      <sheetName val="터널조도"/>
      <sheetName val="산출서"/>
      <sheetName val="설_계"/>
      <sheetName val="15_도급예산대비표"/>
      <sheetName val="Summary_Sheets"/>
      <sheetName val="B31_1"/>
      <sheetName val="96_능제취입"/>
      <sheetName val="평형공사비"/>
      <sheetName val="2.대외공문"/>
      <sheetName val="견적서"/>
      <sheetName val="직원동원SCH"/>
      <sheetName val="년말집계"/>
      <sheetName val="VENDOR LIST"/>
      <sheetName val="OD5000"/>
      <sheetName val="95하U$가격"/>
      <sheetName val="내역표지"/>
      <sheetName val="VV보온LINK"/>
      <sheetName val="FIT보온LINK"/>
      <sheetName val="간접비 총괄표"/>
      <sheetName val="갑지"/>
      <sheetName val="IT-BAT"/>
      <sheetName val="lab"/>
      <sheetName val="지사인원"/>
      <sheetName val="새공통"/>
      <sheetName val="BLIND FLANGE"/>
      <sheetName val="CAP"/>
      <sheetName val="ELBOW"/>
      <sheetName val="FLANGE"/>
      <sheetName val="PIPE NPS OD"/>
      <sheetName val="OLET"/>
      <sheetName val="REDUCER"/>
      <sheetName val="TEE"/>
      <sheetName val="DATE"/>
      <sheetName val="토 적 표"/>
      <sheetName val="Cash"/>
      <sheetName val="금리계산"/>
      <sheetName val="단가산출"/>
      <sheetName val="BLDG_DCI"/>
      <sheetName val="BLDG_MCI"/>
      <sheetName val="용소리교"/>
      <sheetName val="ACUNIT"/>
      <sheetName val="구조물공"/>
      <sheetName val="주beam"/>
      <sheetName val="Weld, NDE (Pipe)"/>
      <sheetName val="선수금반제"/>
      <sheetName val="배수내역 (2)"/>
      <sheetName val="월별인건비현황"/>
      <sheetName val="data"/>
      <sheetName val="공통비"/>
      <sheetName val="부대내역"/>
      <sheetName val="XL4Poppy"/>
      <sheetName val="WIND"/>
      <sheetName val="COMPRESSOR"/>
      <sheetName val="배수공 주요자재 집계표"/>
      <sheetName val="WIND-EQ"/>
      <sheetName val="HORI. VESSEL"/>
      <sheetName val="2003_02월수금계획2"/>
      <sheetName val="Piping_Design_Data2"/>
      <sheetName val="97_사업추정(WEKI)2"/>
      <sheetName val="P_M_별2"/>
      <sheetName val="계정보고_(2)1"/>
      <sheetName val="요약배부_(보고)1"/>
      <sheetName val="요약배부_(보고)_(2)1"/>
      <sheetName val="기타매출_(2)1"/>
      <sheetName val="기타매출_(3)1"/>
      <sheetName val="개시대사_(2)1"/>
      <sheetName val="RCF_CLAIMED1"/>
      <sheetName val="BOROUGE2"/>
      <sheetName val="CBE-VSL"/>
      <sheetName val="TTL"/>
      <sheetName val="수주추정"/>
      <sheetName val="공정회의자료(월요일 10시까지)"/>
      <sheetName val="공사비 내역 (가)"/>
      <sheetName val="INPUT DATA OF SCHEDULE"/>
      <sheetName val="Equipment_(5)1"/>
      <sheetName val="JOB_Assign1"/>
      <sheetName val="Customer_Databas1"/>
      <sheetName val="3_바닥판설계1"/>
      <sheetName val="INPUT_DATA1"/>
      <sheetName val="Doha_WBS_Clean1"/>
      <sheetName val="Peralatan_(2)1"/>
      <sheetName val="공통부대비"/>
      <sheetName val="제출내역 (2)"/>
      <sheetName val="사급자재"/>
      <sheetName val="FWBS7000,8000"/>
      <sheetName val="8"/>
      <sheetName val="10"/>
      <sheetName val="12"/>
      <sheetName val="9"/>
      <sheetName val="11"/>
      <sheetName val="2"/>
      <sheetName val="실적"/>
      <sheetName val="세금자료"/>
      <sheetName val="경제지표"/>
      <sheetName val="6PILE__(돌출)"/>
      <sheetName val="BLIND_FLANGE"/>
      <sheetName val="PIPE_NPS_OD"/>
      <sheetName val="현대본사"/>
      <sheetName val="저"/>
      <sheetName val="단가비교"/>
      <sheetName val="조경일람"/>
      <sheetName val="내역"/>
      <sheetName val="공정코드"/>
      <sheetName val="BQ"/>
      <sheetName val="IMP(MAIN)"/>
      <sheetName val="IMP (REACTOR)"/>
      <sheetName val="ANX3A65"/>
      <sheetName val="할증 "/>
      <sheetName val="Manmonth(입력)"/>
      <sheetName val="list"/>
      <sheetName val="부속동"/>
      <sheetName val="총괄집계 "/>
      <sheetName val="설_계1"/>
      <sheetName val="15_도급예산대비표1"/>
      <sheetName val="Summary_Sheets1"/>
      <sheetName val="B31_11"/>
      <sheetName val="계정보고_(2)2"/>
      <sheetName val="요약배부_(보고)2"/>
      <sheetName val="요약배부_(보고)_(2)2"/>
      <sheetName val="기타매출_(2)2"/>
      <sheetName val="기타매출_(3)2"/>
      <sheetName val="15_도급예산대비표2"/>
      <sheetName val="설_계2"/>
      <sheetName val="Summary_Sheets2"/>
      <sheetName val="B31_12"/>
      <sheetName val="W42__"/>
      <sheetName val="원본"/>
      <sheetName val="P_M 별"/>
      <sheetName val="내역(전력)"/>
      <sheetName val="98수문일위"/>
      <sheetName val="Container항차정리"/>
      <sheetName val="외화금융(97-03)"/>
      <sheetName val="조정전"/>
      <sheetName val="tjexcel"/>
      <sheetName val="Prices"/>
      <sheetName val="내역서(당초변경)"/>
      <sheetName val="점수계산1-2"/>
      <sheetName val="품조정율(97-99)"/>
      <sheetName val="포장공"/>
      <sheetName val="재료율"/>
      <sheetName val="PRO_A"/>
      <sheetName val="ELEC_MCI"/>
      <sheetName val="MAIN"/>
      <sheetName val="INST_MCI"/>
      <sheetName val="MECH_MCI"/>
      <sheetName val="PRO"/>
      <sheetName val="D-623D"/>
      <sheetName val="평3"/>
      <sheetName val="견적단가"/>
      <sheetName val=""/>
      <sheetName val="원가"/>
      <sheetName val="작성기준"/>
      <sheetName val="남양내역"/>
      <sheetName val="공사설계서"/>
      <sheetName val="AS복구"/>
      <sheetName val="중기터파기"/>
      <sheetName val="변수값"/>
      <sheetName val="중기상차"/>
      <sheetName val="단위가격"/>
      <sheetName val="적용단가"/>
      <sheetName val="Malaysia incl. RET"/>
      <sheetName val="을"/>
      <sheetName val=" 냉각수펌프"/>
      <sheetName val="공조기휀"/>
      <sheetName val="AHU집계"/>
      <sheetName val="5사남"/>
      <sheetName val="기계내역"/>
      <sheetName val="대전-교대(A1-A2)"/>
      <sheetName val="변동률산출"/>
      <sheetName val="tcm_bq_MH"/>
      <sheetName val="PRO_DCI"/>
      <sheetName val="INST_DCI"/>
      <sheetName val="HVAC_DCI"/>
      <sheetName val="PIPE_DCI"/>
      <sheetName val="신표지1"/>
      <sheetName val="¼ÕÀÍÂ÷9¿ù2"/>
      <sheetName val="Y-MOV2011"/>
      <sheetName val="관급"/>
      <sheetName val="XXXXXXXX"/>
      <sheetName val="지장물조서"/>
      <sheetName val="토지조서"/>
      <sheetName val="비교재무제표"/>
      <sheetName val="표준지"/>
      <sheetName val="CF2"/>
      <sheetName val="CF4"/>
      <sheetName val="CF5"/>
      <sheetName val="CF7"/>
      <sheetName val="CF8"/>
      <sheetName val="GF3"/>
      <sheetName val="128M"/>
      <sheetName val="16EDO"/>
      <sheetName val="16SD"/>
      <sheetName val="16WB"/>
      <sheetName val="256M"/>
      <sheetName val="4M"/>
      <sheetName val="64EDO"/>
      <sheetName val="64SD"/>
      <sheetName val="DRD"/>
      <sheetName val="SRAM"/>
      <sheetName val="법곳동"/>
      <sheetName val="대화동"/>
      <sheetName val="명세표"/>
      <sheetName val="Intro2"/>
      <sheetName val="Id"/>
      <sheetName val="변수"/>
      <sheetName val="토지평가조서"/>
      <sheetName val="2차보상토지"/>
      <sheetName val="수식변수"/>
      <sheetName val="산근터빈"/>
      <sheetName val="FAB별"/>
      <sheetName val="6호기"/>
      <sheetName val="MEED"/>
      <sheetName val="ÁÖ°ü»ç¾÷"/>
      <sheetName val="0고과평균 및 편차조정 (2)"/>
      <sheetName val="98지급계획"/>
      <sheetName val="N賃率-職"/>
      <sheetName val="지급자재"/>
      <sheetName val="97 사업추정_WEKI_"/>
      <sheetName val="jobhist"/>
      <sheetName val="97"/>
      <sheetName val="DWG"/>
      <sheetName val="ELEC_DCI"/>
      <sheetName val="982월원안"/>
      <sheetName val="TOT-SUM"/>
      <sheetName val="BREAKDOWN(철거설치)"/>
      <sheetName val="공사비예산서(토목분)"/>
      <sheetName val="반포2차"/>
      <sheetName val="General Data"/>
      <sheetName val="EQUIP"/>
      <sheetName val="무전표"/>
      <sheetName val=" "/>
      <sheetName val="insulation"/>
      <sheetName val="PRICE-COMP"/>
      <sheetName val="할증_"/>
      <sheetName val="전기단가조사서"/>
      <sheetName val="시공집계"/>
      <sheetName val="TABLE-A"/>
      <sheetName val="CAL(1)."/>
      <sheetName val="입찰"/>
      <sheetName val="현경"/>
      <sheetName val="식재인부"/>
      <sheetName val="경비2내역"/>
      <sheetName val="시설물일위"/>
      <sheetName val="금액"/>
      <sheetName val="노임"/>
      <sheetName val="일위대가표"/>
      <sheetName val="품셈1-26"/>
      <sheetName val="처리목록"/>
      <sheetName val="Basic"/>
      <sheetName val="2공구산출내역"/>
      <sheetName val="BLR-S"/>
      <sheetName val="공정산출"/>
      <sheetName val="공사진행"/>
      <sheetName val="문학간접"/>
      <sheetName val="뜃맟뭁돽띿맟?-BLDG"/>
      <sheetName val="산출근거#2-3"/>
      <sheetName val="GAEYO"/>
      <sheetName val="음료실행"/>
      <sheetName val="L V Separator"/>
      <sheetName val="Proposal"/>
      <sheetName val="#13_Electrical"/>
      <sheetName val="DPRKMHDT"/>
      <sheetName val="광통신 견적내역서1"/>
      <sheetName val="15"/>
      <sheetName val="노무비"/>
      <sheetName val="BOLT"/>
      <sheetName val="Sheet17"/>
      <sheetName val="참고1"/>
      <sheetName val="MOTOR"/>
      <sheetName val="뜃맟뭁돽띿맟_-BLDG"/>
      <sheetName val="TB-내역서"/>
      <sheetName val="MACRO(전선관)"/>
      <sheetName val="매체인지도분석"/>
      <sheetName val="Asset9809CAK"/>
      <sheetName val="200"/>
      <sheetName val="설계내역서"/>
      <sheetName val="간선계산"/>
      <sheetName val="B2BERP"/>
      <sheetName val="6동"/>
      <sheetName val="LEGEND"/>
      <sheetName val="Quantity"/>
      <sheetName val="ANX3A11"/>
      <sheetName val="bolts"/>
      <sheetName val="신우"/>
      <sheetName val="Curves"/>
      <sheetName val="Tables"/>
      <sheetName val="info"/>
      <sheetName val="에너지동"/>
      <sheetName val="명세서"/>
      <sheetName val="단가(LP)"/>
      <sheetName val="휴일check"/>
      <sheetName val="차액보증"/>
      <sheetName val="Code_Magics"/>
      <sheetName val="Code"/>
      <sheetName val="1련,2련"/>
      <sheetName val="변품8-37"/>
      <sheetName val="우수"/>
      <sheetName val="매립"/>
      <sheetName val="대차대조표"/>
      <sheetName val="적금및발행어음계산"/>
      <sheetName val="참고"/>
      <sheetName val="해외 연수비용 계산-삭제"/>
      <sheetName val="해외 기술훈련비 (합계)"/>
      <sheetName val="환산매출"/>
      <sheetName val="일반자료"/>
      <sheetName val="이름표"/>
      <sheetName val="회사정보"/>
      <sheetName val="guard(mac)"/>
      <sheetName val="마스터"/>
      <sheetName val="2003_02월수금계획3"/>
      <sheetName val="Piping_Design_Data3"/>
      <sheetName val="97_사업추정(WEKI)3"/>
      <sheetName val="P_M_별3"/>
      <sheetName val="Equipment_(5)2"/>
      <sheetName val="개시대사_(2)2"/>
      <sheetName val="RCF_CLAIMED2"/>
      <sheetName val="JOB_Assign2"/>
      <sheetName val="INPUT_DATA2"/>
      <sheetName val="Customer_Databas2"/>
      <sheetName val="Peralatan_(2)2"/>
      <sheetName val="Doha_WBS_Clean2"/>
      <sheetName val="3_바닥판설계2"/>
      <sheetName val="공정회의자료(월요일_10시까지)"/>
      <sheetName val="6PILE__(돌출)1"/>
      <sheetName val="7_4_1_A(input)"/>
      <sheetName val="7_4_1(B)_BOQ_Breakdown"/>
      <sheetName val="7_4_1_C(scope)"/>
      <sheetName val="7_4_1_D(Basis)"/>
      <sheetName val="7_4_1_E(allow)"/>
      <sheetName val="7_4_2_A-Build(list)"/>
      <sheetName val="7_4_3_B-BOQ-SUM"/>
      <sheetName val="7_4_3(BOQ_각표지)"/>
      <sheetName val="7_4_3_A(Shelter)"/>
      <sheetName val="7_4_3_B(Module)"/>
      <sheetName val="7_4_3_C(Shelter-FLB)"/>
      <sheetName val="7_4_3_D(Brief_Spec_)"/>
      <sheetName val="BLIND_FLANGE1"/>
      <sheetName val="PIPE_NPS_OD1"/>
      <sheetName val="배수공_주요자재_집계표"/>
      <sheetName val="HORI__VESSEL"/>
      <sheetName val="IMP_(REACTOR)"/>
      <sheetName val="공사비_내역_(가)"/>
      <sheetName val="INPUT_DATA_OF_SCHEDULE"/>
      <sheetName val="Malaysia_incl__RET"/>
      <sheetName val="제출내역_(2)"/>
      <sheetName val="플랜트 설치"/>
      <sheetName val="Control"/>
      <sheetName val="경"/>
      <sheetName val="소상 &quot;1&quot;"/>
      <sheetName val="-15.0"/>
      <sheetName val="sheet4"/>
      <sheetName val="F-1,2"/>
      <sheetName val="손익계산서(管理)"/>
      <sheetName val="Data_인원계획"/>
      <sheetName val="관계주식"/>
      <sheetName val="Config"/>
      <sheetName val="영지실적"/>
      <sheetName val="교통대책내역"/>
      <sheetName val="맨홀수량산출"/>
      <sheetName val="가감수량"/>
      <sheetName val="자료"/>
      <sheetName val="Z- GENERAL PRICE SUMMARY"/>
      <sheetName val=" Estimate  "/>
      <sheetName val="데이타"/>
      <sheetName val="MIJIBI"/>
      <sheetName val="을지"/>
      <sheetName val="BASIC (2)"/>
      <sheetName val="포장복구집계"/>
      <sheetName val="Eq. Mobilization"/>
      <sheetName val="공사개요"/>
      <sheetName val="ITB COST"/>
      <sheetName val="제잡비"/>
      <sheetName val="??-BLDG"/>
      <sheetName val="DAF-2"/>
      <sheetName val="설비"/>
      <sheetName val="공비대비"/>
      <sheetName val="BOX 본체"/>
      <sheetName val="입출재고현황 (2)"/>
      <sheetName val="날개벽"/>
      <sheetName val="예정(3)"/>
      <sheetName val="견적대비표"/>
      <sheetName val="ITEM"/>
      <sheetName val="설계조건"/>
      <sheetName val="동원(3)"/>
      <sheetName val="화재 탐지 설비"/>
      <sheetName val="2000전체분"/>
      <sheetName val="G.R300경비"/>
      <sheetName val="AS포장복구 "/>
      <sheetName val="청천내"/>
      <sheetName val="기계경비(시간당)"/>
      <sheetName val="2000년1차"/>
      <sheetName val="단가일람"/>
      <sheetName val="단위량당중기"/>
      <sheetName val="램머"/>
      <sheetName val="Baby일위대가"/>
      <sheetName val="교대(A1)"/>
      <sheetName val="투찰가"/>
      <sheetName val="백호우계수"/>
      <sheetName val="Sheet1 (2)"/>
      <sheetName val="기준보온"/>
      <sheetName val="투찰내역"/>
      <sheetName val="자재일람"/>
      <sheetName val="조명율표"/>
      <sheetName val="인력정보"/>
      <sheetName val="data_dci"/>
      <sheetName val="data_mci"/>
      <sheetName val="behind"/>
      <sheetName val="TACE"/>
      <sheetName val="inter"/>
      <sheetName val="영동(D)"/>
      <sheetName val="부재치수입력"/>
      <sheetName val="재료집계"/>
      <sheetName val="총괄"/>
      <sheetName val="별표 "/>
      <sheetName val="Resource"/>
      <sheetName val="Exrate"/>
      <sheetName val="설계명세서"/>
      <sheetName val="지수적용공사비내역서"/>
      <sheetName val="진주방향"/>
      <sheetName val="마산방향"/>
      <sheetName val="남양시작동자105노65기1.3화1.2"/>
      <sheetName val="TOT"/>
      <sheetName val="내역(자100%,노100%)기아화성UD동"/>
      <sheetName val="EF &amp; PF"/>
      <sheetName val="3-1-12"/>
      <sheetName val="노무산출서"/>
      <sheetName val="과천MAIN"/>
      <sheetName val="간접비"/>
      <sheetName val="기기리스트"/>
      <sheetName val="백분율"/>
      <sheetName val="DHEQSUPT"/>
      <sheetName val="기계내역서"/>
      <sheetName val="Steel-Main Work"/>
      <sheetName val="라이닝보강"/>
      <sheetName val="h-013211-2"/>
      <sheetName val="Du toan"/>
      <sheetName val="단면검토"/>
      <sheetName val="계정보고_(2)3"/>
      <sheetName val="요약배부_(보고)3"/>
      <sheetName val="요약배부_(보고)_(2)3"/>
      <sheetName val="기타매출_(2)3"/>
      <sheetName val="기타매출_(3)3"/>
      <sheetName val="설_계3"/>
      <sheetName val="15_도급예산대비표3"/>
      <sheetName val="Summary_Sheets3"/>
      <sheetName val="B31_13"/>
      <sheetName val="96_능제취입1"/>
      <sheetName val="W42__1"/>
      <sheetName val="Regenerator__Concrete_Structure"/>
      <sheetName val="간접비_총괄표"/>
      <sheetName val="BOX_본체"/>
      <sheetName val="입출재고현황_(2)"/>
      <sheetName val="화재_탐지_설비"/>
      <sheetName val="G_R300경비"/>
      <sheetName val="AS포장복구_"/>
      <sheetName val="Sheet1_(2)"/>
      <sheetName val="수성페인트도장_내역서"/>
      <sheetName val="1_취수장"/>
      <sheetName val="기초자료입력및_K치_확인"/>
      <sheetName val="내역_ver1_0"/>
      <sheetName val="_냉각수펌프"/>
      <sheetName val="Weld,_NDE_(Pipe)"/>
      <sheetName val="할증_1"/>
      <sheetName val="VENDOR_LIST"/>
      <sheetName val="2_대외공문"/>
      <sheetName val="97_사업추정_WEKI_"/>
      <sheetName val="토_적_표"/>
      <sheetName val="General_Data"/>
      <sheetName val="총괄집계_"/>
      <sheetName val="배수내역_(2)"/>
      <sheetName val="_"/>
      <sheetName val="CAL(1)_"/>
      <sheetName val="P_M_별4"/>
      <sheetName val="L_V_Separator"/>
      <sheetName val="BT"/>
      <sheetName val="화물기"/>
      <sheetName val="철거산출근거"/>
      <sheetName val="매입세율"/>
      <sheetName val="보일러"/>
      <sheetName val="Process Piping"/>
      <sheetName val="현장지지물물량"/>
      <sheetName val="Large_ISO BOM"/>
      <sheetName val="Sub-Activity"/>
      <sheetName val="AILC004"/>
      <sheetName val="조명시설"/>
      <sheetName val="대운산출"/>
      <sheetName val="안정계산"/>
      <sheetName val="범례"/>
      <sheetName val="암거공"/>
      <sheetName val="0226"/>
      <sheetName val="조직"/>
      <sheetName val="CJI3"/>
      <sheetName val="이자율"/>
      <sheetName val="투입실적"/>
      <sheetName val="증감내역서"/>
      <sheetName val="삼성전기"/>
      <sheetName val="PIPE"/>
      <sheetName val="VALVE"/>
      <sheetName val="목표세부명세"/>
      <sheetName val="NNV"/>
      <sheetName val="검색표"/>
      <sheetName val="물량투입계획"/>
      <sheetName val="간접경상비"/>
      <sheetName val="건축내역"/>
      <sheetName val="부대단위수량"/>
      <sheetName val="유림콘도"/>
      <sheetName val="물량산출(철콘)"/>
      <sheetName val="갑지(추정)"/>
      <sheetName val="20-25"/>
      <sheetName val="LO"/>
      <sheetName val="DAF_2"/>
      <sheetName val="Bhn"/>
      <sheetName val="평균터파기고(1-2,ASP)"/>
      <sheetName val="투찰(하수)"/>
      <sheetName val="토공"/>
      <sheetName val="참조"/>
      <sheetName val="DPRKM_x0000__x0000__x0005_"/>
      <sheetName val="암거날개벽"/>
      <sheetName val="토지조서(원본)"/>
      <sheetName val="차수"/>
      <sheetName val="당진1,2호기전선관설치및접지4차공사내역서-을지"/>
      <sheetName val="적점"/>
      <sheetName val="예산서"/>
      <sheetName val="특수선일위대가"/>
      <sheetName val="도근좌표"/>
      <sheetName val="배수통관(좌)"/>
      <sheetName val="날개벽수량표"/>
      <sheetName val="대포2교접속"/>
      <sheetName val="천방교접속"/>
      <sheetName val="말뚝지지력산정"/>
      <sheetName val="인명부"/>
      <sheetName val="2003_02월수금계획4"/>
      <sheetName val="Piping_Design_Data4"/>
      <sheetName val="97_사업추정(WEKI)4"/>
      <sheetName val="개시대사_(2)3"/>
      <sheetName val="RCF_CLAIMED3"/>
      <sheetName val="Equipment_(5)3"/>
      <sheetName val="JOB_Assign3"/>
      <sheetName val="INPUT_DATA3"/>
      <sheetName val="Customer_Databas3"/>
      <sheetName val="Doha_WBS_Clean3"/>
      <sheetName val="Peralatan_(2)3"/>
      <sheetName val="3_바닥판설계3"/>
      <sheetName val="6PILE__(돌출)2"/>
      <sheetName val="BLIND_FLANGE2"/>
      <sheetName val="PIPE_NPS_OD2"/>
      <sheetName val="공정회의자료(월요일_10시까지)1"/>
      <sheetName val="7_4_1_A(input)1"/>
      <sheetName val="7_4_1(B)_BOQ_Breakdown1"/>
      <sheetName val="7_4_1_C(scope)1"/>
      <sheetName val="7_4_1_D(Basis)1"/>
      <sheetName val="7_4_1_E(allow)1"/>
      <sheetName val="7_4_2_A-Build(list)1"/>
      <sheetName val="7_4_3_B-BOQ-SUM1"/>
      <sheetName val="7_4_3(BOQ_각표지)1"/>
      <sheetName val="7_4_3_A(Shelter)1"/>
      <sheetName val="7_4_3_B(Module)1"/>
      <sheetName val="7_4_3_C(Shelter-FLB)1"/>
      <sheetName val="7_4_3_D(Brief_Spec_)1"/>
      <sheetName val="공사비_내역_(가)1"/>
      <sheetName val="INPUT_DATA_OF_SCHEDULE1"/>
      <sheetName val="배수공_주요자재_집계표1"/>
      <sheetName val="HORI__VESSEL1"/>
      <sheetName val="IMP_(REACTOR)1"/>
      <sheetName val="제출내역_(2)1"/>
      <sheetName val="Malaysia_incl__RET1"/>
      <sheetName val="P_M_별5"/>
      <sheetName val="0고과평균_및_편차조정_(2)"/>
      <sheetName val="광통신_견적내역서1"/>
      <sheetName val="플랜트_설치"/>
      <sheetName val="소상_&quot;1&quot;"/>
      <sheetName val="-15_0"/>
      <sheetName val="Z-_GENERAL_PRICE_SUMMARY"/>
      <sheetName val="_Estimate__"/>
      <sheetName val="해외_연수비용_계산-삭제"/>
      <sheetName val="해외_기술훈련비_(합계)"/>
      <sheetName val="ITB_COST"/>
      <sheetName val="2003_02월수금계획5"/>
      <sheetName val="Piping_Design_Data5"/>
      <sheetName val="97_사업추정(WEKI)5"/>
      <sheetName val="P_M_별6"/>
      <sheetName val="계정보고_(2)4"/>
      <sheetName val="요약배부_(보고)4"/>
      <sheetName val="요약배부_(보고)_(2)4"/>
      <sheetName val="기타매출_(2)4"/>
      <sheetName val="기타매출_(3)4"/>
      <sheetName val="개시대사_(2)4"/>
      <sheetName val="RCF_CLAIMED4"/>
      <sheetName val="Equipment_(5)4"/>
      <sheetName val="JOB_Assign4"/>
      <sheetName val="INPUT_DATA4"/>
      <sheetName val="Customer_Databas4"/>
      <sheetName val="Doha_WBS_Clean4"/>
      <sheetName val="Peralatan_(2)4"/>
      <sheetName val="3_바닥판설계4"/>
      <sheetName val="6PILE__(돌출)3"/>
      <sheetName val="설_계4"/>
      <sheetName val="15_도급예산대비표4"/>
      <sheetName val="Summary_Sheets4"/>
      <sheetName val="B31_14"/>
      <sheetName val="BLIND_FLANGE3"/>
      <sheetName val="PIPE_NPS_OD3"/>
      <sheetName val="공정회의자료(월요일_10시까지)2"/>
      <sheetName val="96_능제취입2"/>
      <sheetName val="7_4_1_A(input)2"/>
      <sheetName val="7_4_1(B)_BOQ_Breakdown2"/>
      <sheetName val="7_4_1_C(scope)2"/>
      <sheetName val="7_4_1_D(Basis)2"/>
      <sheetName val="7_4_1_E(allow)2"/>
      <sheetName val="7_4_2_A-Build(list)2"/>
      <sheetName val="7_4_3_B-BOQ-SUM2"/>
      <sheetName val="7_4_3(BOQ_각표지)2"/>
      <sheetName val="7_4_3_A(Shelter)2"/>
      <sheetName val="7_4_3_B(Module)2"/>
      <sheetName val="7_4_3_C(Shelter-FLB)2"/>
      <sheetName val="7_4_3_D(Brief_Spec_)2"/>
      <sheetName val="공사비_내역_(가)2"/>
      <sheetName val="INPUT_DATA_OF_SCHEDULE2"/>
      <sheetName val="배수공_주요자재_집계표2"/>
      <sheetName val="HORI__VESSEL2"/>
      <sheetName val="IMP_(REACTOR)2"/>
      <sheetName val="제출내역_(2)2"/>
      <sheetName val="W42__2"/>
      <sheetName val="간접비_총괄표1"/>
      <sheetName val="Weld,_NDE_(Pipe)1"/>
      <sheetName val="할증_2"/>
      <sheetName val="Malaysia_incl__RET2"/>
      <sheetName val="Regenerator__Concrete_Structur1"/>
      <sheetName val="수성페인트도장_내역서1"/>
      <sheetName val="1_취수장1"/>
      <sheetName val="기초자료입력및_K치_확인1"/>
      <sheetName val="내역_ver1_01"/>
      <sheetName val="_냉각수펌프1"/>
      <sheetName val="97_사업추정_WEKI_1"/>
      <sheetName val="VENDOR_LIST1"/>
      <sheetName val="2_대외공문1"/>
      <sheetName val="General_Data1"/>
      <sheetName val="_1"/>
      <sheetName val="토_적_표1"/>
      <sheetName val="CAL(1)_1"/>
      <sheetName val="총괄집계_1"/>
      <sheetName val="배수내역_(2)1"/>
      <sheetName val="P_M_별7"/>
      <sheetName val="L_V_Separator1"/>
      <sheetName val="0고과평균_및_편차조정_(2)1"/>
      <sheetName val="광통신_견적내역서11"/>
      <sheetName val="플랜트_설치1"/>
      <sheetName val="소상_&quot;1&quot;1"/>
      <sheetName val="-15_01"/>
      <sheetName val="Z-_GENERAL_PRICE_SUMMARY1"/>
      <sheetName val="_Estimate__1"/>
      <sheetName val="해외_연수비용_계산-삭제1"/>
      <sheetName val="해외_기술훈련비_(합계)1"/>
      <sheetName val="BOX_본체1"/>
      <sheetName val="입출재고현황_(2)1"/>
      <sheetName val="화재_탐지_설비1"/>
      <sheetName val="ITB_COST1"/>
      <sheetName val="G_R300경비1"/>
      <sheetName val="AS포장복구_1"/>
      <sheetName val="Sheet1_(2)1"/>
      <sheetName val="급식예산"/>
      <sheetName val="SRC-B3U2"/>
      <sheetName val="재료비"/>
      <sheetName val="7.4.3.D(Brief Spᵥc.)"/>
      <sheetName val="Malaysia_incl__R౅T"/>
      <sheetName val="Z- GENERAL PRICEРSUMMARY"/>
      <sheetName val="RV미수수익보정"/>
      <sheetName val="불균등-거치외(미수)"/>
      <sheetName val="불균등-TOP(선수)"/>
      <sheetName val="일반경비"/>
      <sheetName val="발생집계"/>
      <sheetName val="협조전"/>
      <sheetName val="수량산출서 갑지"/>
      <sheetName val="3월"/>
      <sheetName val="NOMUBI"/>
      <sheetName val="C.1"/>
      <sheetName val="C.10"/>
      <sheetName val="C.11"/>
      <sheetName val="C.12"/>
      <sheetName val="C.13"/>
      <sheetName val="C.14"/>
      <sheetName val="C.15"/>
      <sheetName val="C.16"/>
      <sheetName val="C.17"/>
      <sheetName val="C.19"/>
      <sheetName val="C.20"/>
      <sheetName val="C.21"/>
      <sheetName val="C.22"/>
      <sheetName val="C.23"/>
      <sheetName val="C.24"/>
      <sheetName val="C.25"/>
      <sheetName val="C.6"/>
      <sheetName val="C.7"/>
      <sheetName val="C.8"/>
      <sheetName val="C.9"/>
      <sheetName val="DATA LISTS"/>
      <sheetName val="__-BLDG"/>
      <sheetName val="STD"/>
      <sheetName val="Soil Parameter"/>
      <sheetName val="99총공사내역서"/>
      <sheetName val="D_AWG"/>
      <sheetName val="T_Cu_ASTM"/>
      <sheetName val="보고"/>
      <sheetName val="wall"/>
      <sheetName val="Front"/>
      <sheetName val="건축2"/>
      <sheetName val="현황CODE"/>
      <sheetName val="손익현황"/>
      <sheetName val="6.3.2"/>
      <sheetName val="4.1구조설계"/>
      <sheetName val="DESIGN"/>
      <sheetName val="BM DATA SHEET"/>
      <sheetName val="Rates"/>
      <sheetName val="NPV"/>
      <sheetName val="Architectural"/>
      <sheetName val="External"/>
      <sheetName val="Lift"/>
      <sheetName val=" Structural"/>
      <sheetName val="Travel.Cranes"/>
      <sheetName val="Recap Architect"/>
      <sheetName val="Recap External"/>
      <sheetName val="Recap Struct"/>
      <sheetName val="Recap Travel.Crane"/>
      <sheetName val="Package 1"/>
      <sheetName val="Recap Lift"/>
      <sheetName val="取费基准"/>
      <sheetName val="DRUM"/>
      <sheetName val="산근"/>
      <sheetName val="ARP2"/>
      <sheetName val="FJK_01"/>
      <sheetName val="지급어음"/>
      <sheetName val="BASIC_(2)"/>
      <sheetName val="Eq__Mobilization"/>
      <sheetName val="별표_"/>
      <sheetName val="남양시작동자105노65기1_3화1_2"/>
      <sheetName val="EF_&amp;_PF"/>
      <sheetName val="Steel-Main_Work"/>
      <sheetName val="Du_toan"/>
      <sheetName val="Process_Piping"/>
      <sheetName val="Large_ISO_BOM"/>
      <sheetName val="Voucher"/>
      <sheetName val="안산기계장치"/>
      <sheetName val="Assumption"/>
      <sheetName val="옵션DB(단계3)"/>
      <sheetName val="EJ"/>
      <sheetName val="89평단가"/>
      <sheetName val="84평단가"/>
      <sheetName val="FORM1"/>
      <sheetName val="FINISHING"/>
      <sheetName val="목차"/>
      <sheetName val="H.Satuan"/>
      <sheetName val="8. Arch."/>
      <sheetName val="S-Curve"/>
      <sheetName val="0. PM"/>
      <sheetName val="2. Piping"/>
      <sheetName val="choose"/>
      <sheetName val="역T형"/>
      <sheetName val="지변률공시지가"/>
      <sheetName val="지질조사"/>
      <sheetName val="Demolition"/>
      <sheetName val="건물"/>
      <sheetName val="2003_02월수금계획6"/>
      <sheetName val="Piping_Design_Data6"/>
      <sheetName val="97_사업추정(WEKI)6"/>
      <sheetName val="P_M_별8"/>
      <sheetName val="계정보고_(2)5"/>
      <sheetName val="요약배부_(보고)5"/>
      <sheetName val="요약배부_(보고)_(2)5"/>
      <sheetName val="기타매출_(2)5"/>
      <sheetName val="기타매출_(3)5"/>
      <sheetName val="개시대사_(2)5"/>
      <sheetName val="RCF_CLAIMED5"/>
      <sheetName val="Equipment_(5)5"/>
      <sheetName val="JOB_Assign5"/>
      <sheetName val="INPUT_DATA5"/>
      <sheetName val="Customer_Databas5"/>
      <sheetName val="Doha_WBS_Clean5"/>
      <sheetName val="3_바닥판설계5"/>
      <sheetName val="Peralatan_(2)5"/>
      <sheetName val="설_계5"/>
      <sheetName val="15_도급예산대비표5"/>
      <sheetName val="Summary_Sheets5"/>
      <sheetName val="B31_15"/>
      <sheetName val="6PILE__(돌출)4"/>
      <sheetName val="BLIND_FLANGE4"/>
      <sheetName val="PIPE_NPS_OD4"/>
      <sheetName val="배수공_주요자재_집계표3"/>
      <sheetName val="HORI__VESSEL3"/>
      <sheetName val="공정회의자료(월요일_10시까지)3"/>
      <sheetName val="96_능제취입3"/>
      <sheetName val="7_4_1_A(input)3"/>
      <sheetName val="7_4_1(B)_BOQ_Breakdown3"/>
      <sheetName val="7_4_1_C(scope)3"/>
      <sheetName val="7_4_1_D(Basis)3"/>
      <sheetName val="7_4_1_E(allow)3"/>
      <sheetName val="7_4_2_A-Build(list)3"/>
      <sheetName val="7_4_3_B-BOQ-SUM3"/>
      <sheetName val="7_4_3(BOQ_각표지)3"/>
      <sheetName val="7_4_3_A(Shelter)3"/>
      <sheetName val="7_4_3_B(Module)3"/>
      <sheetName val="7_4_3_C(Shelter-FLB)3"/>
      <sheetName val="7_4_3_D(Brief_Spec_)3"/>
      <sheetName val="공사비_내역_(가)3"/>
      <sheetName val="INPUT_DATA_OF_SCHEDULE3"/>
      <sheetName val="제출내역_(2)3"/>
      <sheetName val="W42__3"/>
      <sheetName val="Regenerator__Concrete_Structur2"/>
      <sheetName val="간접비_총괄표2"/>
      <sheetName val="IMP_(REACTOR)3"/>
      <sheetName val="Weld,_NDE_(Pipe)2"/>
      <sheetName val="할증_3"/>
      <sheetName val="Malaysia_incl__RET3"/>
      <sheetName val="수성페인트도장_내역서2"/>
      <sheetName val="1_취수장2"/>
      <sheetName val="기초자료입력및_K치_확인2"/>
      <sheetName val="내역_ver1_02"/>
      <sheetName val="_냉각수펌프2"/>
      <sheetName val="VENDOR_LIST2"/>
      <sheetName val="2_대외공문2"/>
      <sheetName val="General_Data2"/>
      <sheetName val="97_사업추정_WEKI_2"/>
      <sheetName val="_2"/>
      <sheetName val="토_적_표2"/>
      <sheetName val="CAL(1)_2"/>
      <sheetName val="총괄집계_2"/>
      <sheetName val="배수내역_(2)2"/>
      <sheetName val="P_M_별9"/>
      <sheetName val="L_V_Separator2"/>
      <sheetName val="0고과평균_및_편차조정_(2)2"/>
      <sheetName val="광통신_견적내역서12"/>
      <sheetName val="플랜트_설치2"/>
      <sheetName val="소상_&quot;1&quot;2"/>
      <sheetName val="-15_02"/>
      <sheetName val="Z-_GENERAL_PRICE_SUMMARY2"/>
      <sheetName val="_Estimate__2"/>
      <sheetName val="해외_연수비용_계산-삭제2"/>
      <sheetName val="해외_기술훈련비_(합계)2"/>
      <sheetName val="ITB_COST2"/>
      <sheetName val="BOX_본체2"/>
      <sheetName val="입출재고현황_(2)2"/>
      <sheetName val="화재_탐지_설비2"/>
      <sheetName val="G_R300경비2"/>
      <sheetName val="AS포장복구_2"/>
      <sheetName val="Sheet1_(2)2"/>
      <sheetName val="C_1"/>
      <sheetName val="C_10"/>
      <sheetName val="C_11"/>
      <sheetName val="C_12"/>
      <sheetName val="C_13"/>
      <sheetName val="C_14"/>
      <sheetName val="C_15"/>
      <sheetName val="C_16"/>
      <sheetName val="C_17"/>
      <sheetName val="C_19"/>
      <sheetName val="C_20"/>
      <sheetName val="C_21"/>
      <sheetName val="C_22"/>
      <sheetName val="C_23"/>
      <sheetName val="C_24"/>
      <sheetName val="C_25"/>
      <sheetName val="C_6"/>
      <sheetName val="C_7"/>
      <sheetName val="C_8"/>
      <sheetName val="C_9"/>
      <sheetName val="Index"/>
      <sheetName val="노임이"/>
      <sheetName val="화해(함평)"/>
      <sheetName val="화해(장성)"/>
      <sheetName val="CERTIFICATE"/>
      <sheetName val="C9901"/>
      <sheetName val="단가기준"/>
      <sheetName val="PCSUM"/>
      <sheetName val="VARNS"/>
      <sheetName val="2.주요계수총괄"/>
      <sheetName val="인사자료총집계"/>
      <sheetName val="재무가정"/>
      <sheetName val="수량산출"/>
      <sheetName val="월별cashflow"/>
      <sheetName val="PipWT"/>
      <sheetName val="UPRI"/>
      <sheetName val="Volume"/>
      <sheetName val="Penjumlahan"/>
      <sheetName val="Currency Rate"/>
      <sheetName val="Salesdata01-10 2004"/>
      <sheetName val="BP"/>
      <sheetName val="REKAP A BESAR"/>
      <sheetName val="PNT-QUOT-#3"/>
      <sheetName val="COAT&amp;WRAP-QIOT-#3"/>
      <sheetName val="BAG_2"/>
      <sheetName val="7-2"/>
      <sheetName val="CS_SS892"/>
      <sheetName val="CS_SS191"/>
      <sheetName val="CS_SS192"/>
      <sheetName val="CS_SS961"/>
      <sheetName val="CS_SS391"/>
      <sheetName val="CS_SS791"/>
      <sheetName val="CS_SS491"/>
      <sheetName val="CS_SS492"/>
      <sheetName val="MVCable"/>
      <sheetName val="COCable"/>
      <sheetName val="Div2"/>
      <sheetName val="항목(1)"/>
      <sheetName val="BOOK4"/>
      <sheetName val="sal"/>
      <sheetName val="UPAH DAN BAHAN"/>
      <sheetName val="4-Basic Price"/>
      <sheetName val="D8(1)"/>
      <sheetName val="HRG DSR UPAH &amp; BAHAN"/>
      <sheetName val="5-ALAT (2)"/>
      <sheetName val="D10 LS-Rutin"/>
      <sheetName val="D9"/>
      <sheetName val="BOQ"/>
      <sheetName val="Analisa"/>
      <sheetName val="DAF-5"/>
      <sheetName val="SPT vs PHI"/>
      <sheetName val="member design"/>
      <sheetName val="design criteria"/>
      <sheetName val="working load at the btm ft."/>
      <sheetName val="plan&amp;section of foundation"/>
      <sheetName val="Bill 1 - 9"/>
      <sheetName val="Bill 12"/>
      <sheetName val="Bill 10"/>
      <sheetName val="harsat"/>
      <sheetName val="rab - persiapan &amp; lantai-1"/>
      <sheetName val="dongia (2)"/>
      <sheetName val="giathanh1"/>
      <sheetName val="THPDMoi  (2)"/>
      <sheetName val="lam-moi"/>
      <sheetName val="gtrinh"/>
      <sheetName val="thao-go"/>
      <sheetName val="CHITIET VL-NC-TT -1p"/>
      <sheetName val="VC"/>
      <sheetName val="TH XL"/>
      <sheetName val="chitiet"/>
      <sheetName val="CHITIET VL-NC-TT-3p"/>
      <sheetName val="TONGKE-HT"/>
      <sheetName val="t-h HA THE"/>
      <sheetName val="TDTKP1"/>
      <sheetName val="KPVC-BD "/>
      <sheetName val="TOTAL 2"/>
      <sheetName val="pw&amp;shs"/>
      <sheetName val="일위대가(가설)"/>
      <sheetName val="2Angles"/>
      <sheetName val="struktur"/>
      <sheetName val="월간"/>
      <sheetName val="DPRKM"/>
      <sheetName val="7_4_3_D(Brief_Spᵥc_)"/>
      <sheetName val="Z-_GENERAL_PRICEРSUMMARY"/>
      <sheetName val="수량산출서_갑지"/>
      <sheetName val="DATA_LISTS"/>
      <sheetName val="Soil_Parameter"/>
      <sheetName val="CTEMCOST"/>
      <sheetName val="FAB4생산"/>
      <sheetName val="단양 00 아파트-세부내역"/>
      <sheetName val="장비 (2)"/>
      <sheetName val="골조"/>
      <sheetName val="직종표"/>
      <sheetName val="Sheet389"/>
      <sheetName val="Material"/>
      <sheetName val="REMUNERASISTANDAR"/>
      <sheetName val="TABEL-DETASIR"/>
      <sheetName val="DESCRIPTION"/>
      <sheetName val="Anls"/>
      <sheetName val="Alat"/>
      <sheetName val="Persiapan"/>
      <sheetName val="rap rinci"/>
      <sheetName val="Tender Info"/>
      <sheetName val="H-Bahan"/>
      <sheetName val="3-DIV4"/>
      <sheetName val="DAFTAR HARGA"/>
      <sheetName val="HRG BHN"/>
      <sheetName val="REF.ONLY"/>
      <sheetName val="Cover"/>
      <sheetName val="EQ_an"/>
      <sheetName val="bhn FINAL"/>
      <sheetName val="H-BHN"/>
      <sheetName val="EQ"/>
      <sheetName val="MTa"/>
      <sheetName val="villa"/>
      <sheetName val="Bank"/>
      <sheetName val="6-AGREGAT"/>
      <sheetName val="온도cycle"/>
      <sheetName val="TYPE-A"/>
      <sheetName val="Cost Proposal (lyn)"/>
      <sheetName val="4-Lane bridge"/>
      <sheetName val="worksheet"/>
      <sheetName val="RATES G-5"/>
      <sheetName val="RC Tabulation"/>
      <sheetName val="Cost_Proposal_(lyn)"/>
      <sheetName val="4-Lane_bridge"/>
      <sheetName val="RATES_G-5"/>
      <sheetName val="RC_Tabulation"/>
      <sheetName val="4.boq-site(o)"/>
      <sheetName val="revised#1"/>
      <sheetName val="Project list"/>
      <sheetName val="BILLING SUMMARY"/>
      <sheetName val="Others"/>
      <sheetName val="sum mdc"/>
      <sheetName val="Arch"/>
      <sheetName val="D-3"/>
      <sheetName val="PumpSpec"/>
      <sheetName val="6_3_2"/>
      <sheetName val="4_1구조설계"/>
      <sheetName val="BM_DATA_SHEET"/>
      <sheetName val="SKEDUL AV-05"/>
      <sheetName val="WL"/>
      <sheetName val="CONCRETE"/>
      <sheetName val="trf(36%)"/>
      <sheetName val="반응조"/>
      <sheetName val="A:\평균인원.95"/>
      <sheetName val="ABUT수량-A1"/>
      <sheetName val="품목"/>
      <sheetName val="CBL_SIZE"/>
      <sheetName val="CBL_OD"/>
      <sheetName val="공조기"/>
      <sheetName val="계정보고_(2)6"/>
      <sheetName val="요약배부_(보고)6"/>
      <sheetName val="요약배부_(보고)_(2)6"/>
      <sheetName val="기타매출_(2)6"/>
      <sheetName val="기타매출_(3)6"/>
      <sheetName val="할증_4"/>
      <sheetName val="잡철물"/>
      <sheetName val="설_계6"/>
      <sheetName val="15_도급예산대비표6"/>
      <sheetName val="Summary_Sheets6"/>
      <sheetName val="B31_16"/>
      <sheetName val="96_능제취입4"/>
      <sheetName val="1_취수장3"/>
      <sheetName val="W42__4"/>
      <sheetName val="수성페인트도장_내역서3"/>
      <sheetName val="기초자료입력및_K치_확인3"/>
      <sheetName val="내역_ver1_03"/>
      <sheetName val="Regenerator__Concrete_Structur3"/>
      <sheetName val="2_대외공문3"/>
      <sheetName val="토_적_표3"/>
      <sheetName val="VENDOR_LIST3"/>
      <sheetName val="간접비_총괄표3"/>
      <sheetName val="총괄집계_3"/>
      <sheetName val="Weld,_NDE_(Pipe)3"/>
      <sheetName val="배수내역_(2)3"/>
      <sheetName val="P_M_별10"/>
      <sheetName val="_냉각수펌프3"/>
      <sheetName val="97_사업추정_WEKI_3"/>
      <sheetName val="General_Data3"/>
      <sheetName val="_3"/>
      <sheetName val="CAL(1)_3"/>
      <sheetName val="L_V_Separator3"/>
      <sheetName val="BASIC_(2)2"/>
      <sheetName val="Eq__Mobilization2"/>
      <sheetName val="BOX_본체3"/>
      <sheetName val="입출재고현황_(2)3"/>
      <sheetName val="화재_탐지_설비3"/>
      <sheetName val="G_R300경비3"/>
      <sheetName val="AS포장복구_3"/>
      <sheetName val="Sheet1_(2)3"/>
      <sheetName val="별표_2"/>
      <sheetName val="남양시작동자105노65기1_3화1_22"/>
      <sheetName val="EF_&amp;_PF2"/>
      <sheetName val="Steel-Main_Work2"/>
      <sheetName val="Du_toan2"/>
      <sheetName val="Process_Piping2"/>
      <sheetName val="Large_ISO_BOM2"/>
      <sheetName val="BASIC_(2)1"/>
      <sheetName val="Eq__Mobilization1"/>
      <sheetName val="별표_1"/>
      <sheetName val="남양시작동자105노65기1_3화1_21"/>
      <sheetName val="EF_&amp;_PF1"/>
      <sheetName val="Steel-Main_Work1"/>
      <sheetName val="Du_toan1"/>
      <sheetName val="Process_Piping1"/>
      <sheetName val="Large_ISO_BOM1"/>
      <sheetName val="자재단가비교표"/>
      <sheetName val="VS배관내역서"/>
      <sheetName val="경비"/>
      <sheetName val="example (2)"/>
      <sheetName val="PMfee산정"/>
      <sheetName val="임대사례선정"/>
      <sheetName val="거래사례선정"/>
      <sheetName val="구분1"/>
      <sheetName val="구분2"/>
      <sheetName val="동명"/>
      <sheetName val="동_임대"/>
      <sheetName val="블럭명"/>
      <sheetName val="Home"/>
      <sheetName val="소재지"/>
      <sheetName val="소재지_임대"/>
      <sheetName val="10매출"/>
      <sheetName val="조건표"/>
      <sheetName val="DPRKMß_x0000_Ԁ"/>
      <sheetName val="터파기및재료"/>
      <sheetName val="정렬"/>
      <sheetName val="총원"/>
      <sheetName val="품셈총괄표"/>
      <sheetName val="시설물기초"/>
      <sheetName val="co-no.2"/>
      <sheetName val="Building"/>
      <sheetName val="Schedule_Sheet"/>
      <sheetName val="Calculation"/>
      <sheetName val="Civil"/>
      <sheetName val="Electrical"/>
      <sheetName val="Equipment"/>
      <sheetName val="Instrument"/>
      <sheetName val="Overall"/>
      <sheetName val="Painting"/>
      <sheetName val="Progress_Data"/>
      <sheetName val="Pipe Fabrication"/>
      <sheetName val="Steel"/>
      <sheetName val="대공종"/>
      <sheetName val="전체내역 (2)"/>
      <sheetName val="2003_02월수금계획8"/>
      <sheetName val="Piping_Design_Data8"/>
      <sheetName val="97_사업추정(WEKI)8"/>
      <sheetName val="계정보고_(2)7"/>
      <sheetName val="요약배부_(보고)7"/>
      <sheetName val="요약배부_(보고)_(2)7"/>
      <sheetName val="기타매출_(2)7"/>
      <sheetName val="기타매출_(3)7"/>
      <sheetName val="Equipment_(5)7"/>
      <sheetName val="개시대사_(2)7"/>
      <sheetName val="RCF_CLAIMED7"/>
      <sheetName val="JOB_Assign7"/>
      <sheetName val="INPUT_DATA7"/>
      <sheetName val="Customer_Databas7"/>
      <sheetName val="Doha_WBS_Clean7"/>
      <sheetName val="3_바닥판설계7"/>
      <sheetName val="Peralatan_(2)7"/>
      <sheetName val="6PILE__(돌출)6"/>
      <sheetName val="BLIND_FLANGE6"/>
      <sheetName val="PIPE_NPS_OD6"/>
      <sheetName val="배수공_주요자재_집계표6"/>
      <sheetName val="HORI__VESSEL6"/>
      <sheetName val="공정회의자료(월요일_10시까지)6"/>
      <sheetName val="96_능제취입6"/>
      <sheetName val="7_4_1_A(input)6"/>
      <sheetName val="7_4_1(B)_BOQ_Breakdown6"/>
      <sheetName val="7_4_1_C(scope)6"/>
      <sheetName val="7_4_1_D(Basis)6"/>
      <sheetName val="7_4_1_E(allow)6"/>
      <sheetName val="7_4_2_A-Build(list)6"/>
      <sheetName val="7_4_3_B-BOQ-SUM6"/>
      <sheetName val="7_4_3(BOQ_각표지)6"/>
      <sheetName val="7_4_3_A(Shelter)6"/>
      <sheetName val="7_4_3_B(Module)6"/>
      <sheetName val="7_4_3_C(Shelter-FLB)6"/>
      <sheetName val="7_4_3_D(Brief_Spec_)6"/>
      <sheetName val="배수공_주요자재_집계표4"/>
      <sheetName val="HORI__VESSEL4"/>
      <sheetName val="공정회의자료(월요일_10시까지)4"/>
      <sheetName val="7_4_1_A(input)4"/>
      <sheetName val="7_4_1(B)_BOQ_Breakdown4"/>
      <sheetName val="7_4_1_C(scope)4"/>
      <sheetName val="7_4_1_D(Basis)4"/>
      <sheetName val="7_4_1_E(allow)4"/>
      <sheetName val="7_4_2_A-Build(list)4"/>
      <sheetName val="7_4_3_B-BOQ-SUM4"/>
      <sheetName val="7_4_3(BOQ_각표지)4"/>
      <sheetName val="7_4_3_A(Shelter)4"/>
      <sheetName val="7_4_3_B(Module)4"/>
      <sheetName val="7_4_3_C(Shelter-FLB)4"/>
      <sheetName val="7_4_3_D(Brief_Spec_)4"/>
      <sheetName val="2003_02월수금계획7"/>
      <sheetName val="Piping_Design_Data7"/>
      <sheetName val="97_사업추정(WEKI)7"/>
      <sheetName val="Equipment_(5)6"/>
      <sheetName val="개시대사_(2)6"/>
      <sheetName val="RCF_CLAIMED6"/>
      <sheetName val="JOB_Assign6"/>
      <sheetName val="INPUT_DATA6"/>
      <sheetName val="Customer_Databas6"/>
      <sheetName val="Doha_WBS_Clean6"/>
      <sheetName val="3_바닥판설계6"/>
      <sheetName val="Peralatan_(2)6"/>
      <sheetName val="6PILE__(돌출)5"/>
      <sheetName val="BLIND_FLANGE5"/>
      <sheetName val="PIPE_NPS_OD5"/>
      <sheetName val="배수공_주요자재_집계표5"/>
      <sheetName val="HORI__VESSEL5"/>
      <sheetName val="공정회의자료(월요일_10시까지)5"/>
      <sheetName val="96_능제취입5"/>
      <sheetName val="7_4_1_A(input)5"/>
      <sheetName val="7_4_1(B)_BOQ_Breakdown5"/>
      <sheetName val="7_4_1_C(scope)5"/>
      <sheetName val="7_4_1_D(Basis)5"/>
      <sheetName val="7_4_1_E(allow)5"/>
      <sheetName val="7_4_2_A-Build(list)5"/>
      <sheetName val="7_4_3_B-BOQ-SUM5"/>
      <sheetName val="7_4_3(BOQ_각표지)5"/>
      <sheetName val="7_4_3_A(Shelter)5"/>
      <sheetName val="7_4_3_B(Module)5"/>
      <sheetName val="7_4_3_C(Shelter-FLB)5"/>
      <sheetName val="7_4_3_D(Brief_Spec_)5"/>
      <sheetName val="QPL"/>
      <sheetName val="EPC Summary"/>
      <sheetName val="Macro-Dexterne"/>
      <sheetName val="Macro-cons"/>
      <sheetName val="Macro-Epaisseur"/>
      <sheetName val="Macro-Diam-interne"/>
      <sheetName val="Macro-press"/>
      <sheetName val="Macro-Long"/>
      <sheetName val="AN2"/>
      <sheetName val="50  Equipment Pricing xxx"/>
      <sheetName val="업무처리전"/>
      <sheetName val="가공비"/>
      <sheetName val="DB BIDDER"/>
      <sheetName val="Data Table"/>
      <sheetName val="SUMMARY"/>
      <sheetName val="tabel berat"/>
      <sheetName val="TJ1Q47"/>
      <sheetName val="N-AC"/>
      <sheetName val="L 1"/>
      <sheetName val="기준정보"/>
      <sheetName val="[평균인원.95]A:\평균인원.95"/>
      <sheetName val="신림APT"/>
      <sheetName val="골조시행"/>
      <sheetName val="WING3"/>
      <sheetName val="5_1_1 Cut-off SS install"/>
      <sheetName val="Sheet3 (2)"/>
      <sheetName val="E_Summary"/>
      <sheetName val="D_Cntnts"/>
      <sheetName val="공내역"/>
      <sheetName val="DPRKM劬_x0010__x0000_"/>
      <sheetName val="9-1차이내역."/>
    </sheetNames>
    <sheetDataSet>
      <sheetData sheetId="0" refreshError="1"/>
      <sheetData sheetId="1" refreshError="1"/>
      <sheetData sheetId="2"/>
      <sheetData sheetId="3"/>
      <sheetData sheetId="4" refreshError="1"/>
      <sheetData sheetId="5"/>
      <sheetData sheetId="6"/>
      <sheetData sheetId="7"/>
      <sheetData sheetId="8"/>
      <sheetData sheetId="9"/>
      <sheetData sheetId="10"/>
      <sheetData sheetId="11"/>
      <sheetData sheetId="12"/>
      <sheetData sheetId="13"/>
      <sheetData sheetId="14"/>
      <sheetData sheetId="15"/>
      <sheetData sheetId="16"/>
      <sheetData sheetId="17"/>
      <sheetData sheetId="18" refreshError="1"/>
      <sheetData sheetId="19"/>
      <sheetData sheetId="20" refreshError="1"/>
      <sheetData sheetId="21"/>
      <sheetData sheetId="22" refreshError="1"/>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sheetData sheetId="38" refreshError="1"/>
      <sheetData sheetId="39" refreshError="1"/>
      <sheetData sheetId="40"/>
      <sheetData sheetId="41" refreshError="1"/>
      <sheetData sheetId="42"/>
      <sheetData sheetId="43"/>
      <sheetData sheetId="44"/>
      <sheetData sheetId="45" refreshError="1"/>
      <sheetData sheetId="46"/>
      <sheetData sheetId="47" refreshError="1"/>
      <sheetData sheetId="48"/>
      <sheetData sheetId="49"/>
      <sheetData sheetId="50"/>
      <sheetData sheetId="51" refreshError="1"/>
      <sheetData sheetId="52" refreshError="1"/>
      <sheetData sheetId="53"/>
      <sheetData sheetId="54"/>
      <sheetData sheetId="55"/>
      <sheetData sheetId="56"/>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sheetData sheetId="102"/>
      <sheetData sheetId="103"/>
      <sheetData sheetId="104"/>
      <sheetData sheetId="105"/>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sheetData sheetId="193" refreshError="1"/>
      <sheetData sheetId="194" refreshError="1"/>
      <sheetData sheetId="195" refreshError="1"/>
      <sheetData sheetId="196"/>
      <sheetData sheetId="197"/>
      <sheetData sheetId="198"/>
      <sheetData sheetId="199"/>
      <sheetData sheetId="200"/>
      <sheetData sheetId="20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sheetData sheetId="244" refreshError="1"/>
      <sheetData sheetId="245"/>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sheetData sheetId="569"/>
      <sheetData sheetId="570"/>
      <sheetData sheetId="571"/>
      <sheetData sheetId="572"/>
      <sheetData sheetId="573"/>
      <sheetData sheetId="574"/>
      <sheetData sheetId="575" refreshError="1"/>
      <sheetData sheetId="576" refreshError="1"/>
      <sheetData sheetId="577" refreshError="1"/>
      <sheetData sheetId="578" refreshError="1"/>
      <sheetData sheetId="579"/>
      <sheetData sheetId="580" refreshError="1"/>
      <sheetData sheetId="581" refreshError="1"/>
      <sheetData sheetId="582" refreshError="1"/>
      <sheetData sheetId="583"/>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sheetData sheetId="971"/>
      <sheetData sheetId="972"/>
      <sheetData sheetId="973"/>
      <sheetData sheetId="974"/>
      <sheetData sheetId="975"/>
      <sheetData sheetId="976"/>
      <sheetData sheetId="977"/>
      <sheetData sheetId="978"/>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sheetData sheetId="1185"/>
      <sheetData sheetId="1186"/>
      <sheetData sheetId="1187"/>
      <sheetData sheetId="1188"/>
      <sheetData sheetId="1189"/>
      <sheetData sheetId="1190" refreshError="1"/>
      <sheetData sheetId="1191" refreshError="1"/>
      <sheetData sheetId="1192"/>
      <sheetData sheetId="1193" refreshError="1"/>
      <sheetData sheetId="1194" refreshError="1"/>
      <sheetData sheetId="1195" refreshError="1"/>
      <sheetData sheetId="1196"/>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sheetData sheetId="1228"/>
      <sheetData sheetId="1229"/>
      <sheetData sheetId="1230"/>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sheetData sheetId="1241"/>
      <sheetData sheetId="1242"/>
      <sheetData sheetId="1243" refreshError="1"/>
      <sheetData sheetId="1244" refreshError="1"/>
      <sheetData sheetId="1245" refreshError="1"/>
      <sheetData sheetId="1246" refreshError="1"/>
      <sheetData sheetId="1247" refreshError="1"/>
      <sheetData sheetId="1248"/>
      <sheetData sheetId="1249" refreshError="1"/>
      <sheetData sheetId="1250" refreshError="1"/>
      <sheetData sheetId="1251" refreshError="1"/>
      <sheetData sheetId="1252" refreshError="1"/>
      <sheetData sheetId="1253" refreshError="1"/>
      <sheetData sheetId="1254"/>
      <sheetData sheetId="1255"/>
      <sheetData sheetId="1256"/>
      <sheetData sheetId="1257"/>
      <sheetData sheetId="1258"/>
      <sheetData sheetId="1259"/>
      <sheetData sheetId="1260" refreshError="1"/>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sheetData sheetId="1277"/>
      <sheetData sheetId="1278"/>
      <sheetData sheetId="1279"/>
      <sheetData sheetId="1280"/>
      <sheetData sheetId="1281"/>
      <sheetData sheetId="1282"/>
      <sheetData sheetId="1283"/>
      <sheetData sheetId="1284"/>
      <sheetData sheetId="1285"/>
      <sheetData sheetId="1286"/>
      <sheetData sheetId="1287"/>
      <sheetData sheetId="1288"/>
      <sheetData sheetId="1289"/>
      <sheetData sheetId="1290"/>
      <sheetData sheetId="1291"/>
      <sheetData sheetId="1292"/>
      <sheetData sheetId="1293"/>
      <sheetData sheetId="1294"/>
      <sheetData sheetId="1295"/>
      <sheetData sheetId="1296"/>
      <sheetData sheetId="1297"/>
      <sheetData sheetId="1298"/>
      <sheetData sheetId="1299"/>
      <sheetData sheetId="1300"/>
      <sheetData sheetId="1301"/>
      <sheetData sheetId="1302"/>
      <sheetData sheetId="1303"/>
      <sheetData sheetId="1304"/>
      <sheetData sheetId="1305"/>
      <sheetData sheetId="1306"/>
      <sheetData sheetId="1307"/>
      <sheetData sheetId="1308"/>
      <sheetData sheetId="1309"/>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sheetData sheetId="1349"/>
      <sheetData sheetId="1350"/>
      <sheetData sheetId="1351"/>
      <sheetData sheetId="1352"/>
      <sheetData sheetId="1353"/>
      <sheetData sheetId="1354"/>
      <sheetData sheetId="1355"/>
      <sheetData sheetId="1356"/>
      <sheetData sheetId="1357"/>
      <sheetData sheetId="1358"/>
      <sheetData sheetId="1359"/>
      <sheetData sheetId="1360"/>
      <sheetData sheetId="1361"/>
      <sheetData sheetId="1362"/>
      <sheetData sheetId="1363"/>
      <sheetData sheetId="1364"/>
      <sheetData sheetId="1365"/>
      <sheetData sheetId="1366"/>
      <sheetData sheetId="1367"/>
      <sheetData sheetId="1368"/>
      <sheetData sheetId="1369"/>
      <sheetData sheetId="1370"/>
      <sheetData sheetId="1371"/>
      <sheetData sheetId="1372"/>
      <sheetData sheetId="1373"/>
      <sheetData sheetId="1374"/>
      <sheetData sheetId="1375"/>
      <sheetData sheetId="1376"/>
      <sheetData sheetId="1377"/>
      <sheetData sheetId="1378"/>
      <sheetData sheetId="1379"/>
      <sheetData sheetId="1380"/>
      <sheetData sheetId="1381"/>
      <sheetData sheetId="1382"/>
      <sheetData sheetId="1383"/>
      <sheetData sheetId="1384"/>
      <sheetData sheetId="1385"/>
      <sheetData sheetId="1386"/>
      <sheetData sheetId="1387"/>
      <sheetData sheetId="1388"/>
      <sheetData sheetId="1389"/>
      <sheetData sheetId="1390"/>
      <sheetData sheetId="1391"/>
      <sheetData sheetId="1392"/>
      <sheetData sheetId="1393"/>
      <sheetData sheetId="1394"/>
      <sheetData sheetId="1395"/>
      <sheetData sheetId="1396"/>
      <sheetData sheetId="1397"/>
      <sheetData sheetId="1398"/>
      <sheetData sheetId="1399"/>
      <sheetData sheetId="1400"/>
      <sheetData sheetId="1401"/>
      <sheetData sheetId="1402"/>
      <sheetData sheetId="1403"/>
      <sheetData sheetId="1404"/>
      <sheetData sheetId="1405"/>
      <sheetData sheetId="1406"/>
      <sheetData sheetId="1407"/>
      <sheetData sheetId="1408"/>
      <sheetData sheetId="1409"/>
      <sheetData sheetId="1410"/>
      <sheetData sheetId="1411"/>
      <sheetData sheetId="1412"/>
      <sheetData sheetId="1413"/>
      <sheetData sheetId="1414"/>
      <sheetData sheetId="1415"/>
      <sheetData sheetId="1416"/>
      <sheetData sheetId="1417"/>
      <sheetData sheetId="1418"/>
      <sheetData sheetId="1419"/>
      <sheetData sheetId="1420"/>
      <sheetData sheetId="1421"/>
      <sheetData sheetId="1422"/>
      <sheetData sheetId="1423"/>
      <sheetData sheetId="1424"/>
      <sheetData sheetId="1425"/>
      <sheetData sheetId="1426"/>
      <sheetData sheetId="1427"/>
      <sheetData sheetId="1428"/>
      <sheetData sheetId="1429"/>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sheetData sheetId="1451" refreshError="1"/>
      <sheetData sheetId="1452" refreshError="1"/>
      <sheetData sheetId="1453"/>
      <sheetData sheetId="1454" refreshError="1"/>
      <sheetData sheetId="1455" refreshError="1"/>
      <sheetData sheetId="1456" refreshError="1"/>
      <sheetData sheetId="1457" refreshError="1"/>
      <sheetData sheetId="1458" refreshError="1"/>
      <sheetData sheetId="1459" refreshError="1"/>
      <sheetData sheetId="1460" refreshError="1"/>
    </sheetDataSet>
  </externalBook>
</externalLink>
</file>

<file path=xl/externalLinks/externalLink19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xxxxxx"/>
      <sheetName val="계약고&amp;환율"/>
      <sheetName val="1. 가설Sum"/>
      <sheetName val="가설인원"/>
      <sheetName val="1.1 가설 예산"/>
      <sheetName val="부대공통Sum"/>
      <sheetName val="부대공통"/>
      <sheetName val="가설전기"/>
      <sheetName val="가설전기사용"/>
      <sheetName val="용전용수"/>
      <sheetName val="가설용수"/>
      <sheetName val="공사개발비"/>
      <sheetName val="발주처제공분"/>
      <sheetName val="인원동원계획"/>
      <sheetName val="인원동원계획(참조용)"/>
      <sheetName val="Sheet1"/>
      <sheetName val="환율"/>
    </sheetNames>
    <sheetDataSet>
      <sheetData sheetId="0" refreshError="1"/>
      <sheetData sheetId="1" refreshError="1">
        <row r="11">
          <cell r="B11">
            <v>42</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kin.naver.com/qna/detail.nhn?d1id=6&amp;dirId=60223&amp;docId=309242153&amp;qb=7Iug6rec7JWE7YyM7Yq4IOuTseq4sOu5hOyaqQ==&amp;enc=utf8&amp;section=kin&amp;rank=1&amp;search_sort=0&amp;spq=0&amp;pid=TJN4IwpVuEhssbtwjcGssssstZG-104276&amp;sid=wFhfBTfTw4UuJV/owWahRw%3D%3D" TargetMode="External"/><Relationship Id="rId4"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20.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4.xml"/><Relationship Id="rId1" Type="http://schemas.openxmlformats.org/officeDocument/2006/relationships/printerSettings" Target="../printerSettings/printerSettings18.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722397-5888-49C4-BD21-92F09FA7DECC}">
  <dimension ref="A1:AF176"/>
  <sheetViews>
    <sheetView zoomScale="85" zoomScaleNormal="85" zoomScaleSheetLayoutView="55" workbookViewId="0">
      <selection activeCell="E33" sqref="E33"/>
    </sheetView>
  </sheetViews>
  <sheetFormatPr defaultColWidth="9" defaultRowHeight="12.75"/>
  <cols>
    <col min="1" max="1" width="2.625" style="127" customWidth="1"/>
    <col min="2" max="2" width="4.25" style="119" customWidth="1"/>
    <col min="3" max="3" width="12.125" style="119" customWidth="1"/>
    <col min="4" max="4" width="27.375" style="119" customWidth="1"/>
    <col min="5" max="5" width="28" style="119" customWidth="1"/>
    <col min="6" max="6" width="12.375" style="119" customWidth="1"/>
    <col min="7" max="7" width="14.375" style="127" customWidth="1"/>
    <col min="8" max="8" width="33.75" style="127" customWidth="1"/>
    <col min="9" max="9" width="21.625" style="127" customWidth="1"/>
    <col min="10" max="12" width="9" style="127"/>
    <col min="13" max="13" width="11.375" style="127" customWidth="1"/>
    <col min="14" max="14" width="25.625" style="119" customWidth="1"/>
    <col min="15" max="15" width="22.25" style="119" customWidth="1"/>
    <col min="16" max="16" width="13" style="119" bestFit="1" customWidth="1"/>
    <col min="17" max="17" width="27.125" style="119" customWidth="1"/>
    <col min="18" max="18" width="9" style="119"/>
    <col min="19" max="19" width="12.125" style="119" customWidth="1"/>
    <col min="20" max="21" width="13.25" style="119" customWidth="1"/>
    <col min="22" max="22" width="52.25" style="119" customWidth="1"/>
    <col min="23" max="24" width="9" style="119"/>
    <col min="25" max="26" width="11.125" style="119" customWidth="1"/>
    <col min="27" max="27" width="9.5" style="119" customWidth="1"/>
    <col min="28" max="29" width="11.125" style="119" customWidth="1"/>
    <col min="30" max="31" width="12.75" style="119" customWidth="1"/>
    <col min="32" max="32" width="9.5" style="119" customWidth="1"/>
    <col min="33" max="16384" width="9" style="119"/>
  </cols>
  <sheetData>
    <row r="1" spans="1:24" ht="33" customHeight="1">
      <c r="A1" s="518" t="s">
        <v>2367</v>
      </c>
      <c r="B1" s="518"/>
      <c r="C1" s="518"/>
      <c r="D1" s="518"/>
      <c r="E1" s="518"/>
      <c r="F1" s="518"/>
      <c r="G1" s="518"/>
      <c r="H1" s="518"/>
      <c r="I1" s="518"/>
      <c r="J1" s="518"/>
      <c r="K1" s="518"/>
      <c r="L1" s="518"/>
      <c r="M1" s="118"/>
      <c r="N1" s="118"/>
      <c r="O1" s="118"/>
      <c r="P1" s="118"/>
      <c r="Q1" s="118"/>
      <c r="R1" s="118"/>
      <c r="S1" s="118"/>
      <c r="T1" s="118"/>
      <c r="U1" s="118"/>
      <c r="V1" s="118"/>
      <c r="W1" s="118"/>
      <c r="X1" s="118"/>
    </row>
    <row r="2" spans="1:24" ht="16.5" customHeight="1">
      <c r="A2" s="118"/>
      <c r="B2" s="118"/>
      <c r="C2" s="118"/>
      <c r="D2" s="118"/>
      <c r="E2" s="118"/>
      <c r="F2" s="118"/>
      <c r="G2" s="118"/>
      <c r="H2" s="118"/>
      <c r="I2" s="118"/>
      <c r="J2" s="118"/>
      <c r="K2" s="118"/>
      <c r="L2" s="120"/>
      <c r="M2" s="120"/>
      <c r="N2" s="118"/>
      <c r="O2" s="118"/>
      <c r="P2" s="118"/>
      <c r="Q2" s="118"/>
      <c r="R2" s="118"/>
      <c r="S2" s="118"/>
      <c r="T2" s="118"/>
      <c r="U2" s="118"/>
      <c r="V2" s="118"/>
      <c r="W2" s="118"/>
      <c r="X2" s="118"/>
    </row>
    <row r="3" spans="1:24" ht="13.5">
      <c r="A3" s="118"/>
      <c r="B3" s="123" t="s">
        <v>810</v>
      </c>
      <c r="C3" s="123" t="s">
        <v>811</v>
      </c>
      <c r="D3" s="123" t="s">
        <v>812</v>
      </c>
      <c r="E3" s="123" t="s">
        <v>813</v>
      </c>
      <c r="F3" s="123" t="s">
        <v>814</v>
      </c>
      <c r="G3" s="135" t="s">
        <v>815</v>
      </c>
      <c r="H3" s="118"/>
      <c r="I3" s="118"/>
      <c r="J3" s="118"/>
      <c r="K3" s="118"/>
      <c r="L3" s="120"/>
      <c r="M3" s="120"/>
      <c r="N3" s="118"/>
      <c r="O3" s="118"/>
      <c r="P3" s="118"/>
      <c r="Q3" s="118"/>
      <c r="R3" s="118"/>
      <c r="S3" s="118"/>
      <c r="T3" s="118"/>
      <c r="U3" s="118"/>
      <c r="V3" s="118"/>
      <c r="W3" s="118"/>
      <c r="X3" s="118"/>
    </row>
    <row r="4" spans="1:24" ht="13.5">
      <c r="A4" s="118"/>
      <c r="B4" s="123">
        <f>ROW()-3</f>
        <v>1</v>
      </c>
      <c r="C4" s="124">
        <v>42286</v>
      </c>
      <c r="D4" s="121" t="s">
        <v>816</v>
      </c>
      <c r="E4" s="121" t="s">
        <v>2368</v>
      </c>
      <c r="F4" s="122">
        <v>5000000</v>
      </c>
      <c r="G4" s="122" t="s">
        <v>841</v>
      </c>
      <c r="H4" s="118"/>
      <c r="I4" s="118"/>
      <c r="J4" s="118"/>
      <c r="K4" s="118"/>
      <c r="L4" s="120"/>
      <c r="M4" s="120"/>
      <c r="N4" s="118"/>
      <c r="O4" s="118"/>
      <c r="P4" s="118"/>
      <c r="Q4" s="118"/>
      <c r="R4" s="118"/>
      <c r="S4" s="118"/>
      <c r="T4" s="118"/>
      <c r="U4" s="118"/>
      <c r="V4" s="118"/>
      <c r="W4" s="118"/>
      <c r="X4" s="118"/>
    </row>
    <row r="5" spans="1:24" ht="13.5">
      <c r="A5" s="118"/>
      <c r="B5" s="123">
        <f t="shared" ref="B5:B35" si="0">ROW()-3</f>
        <v>2</v>
      </c>
      <c r="C5" s="124">
        <v>42287</v>
      </c>
      <c r="D5" s="121" t="s">
        <v>816</v>
      </c>
      <c r="E5" s="121" t="s">
        <v>2368</v>
      </c>
      <c r="F5" s="122">
        <v>20000000</v>
      </c>
      <c r="G5" s="122" t="s">
        <v>841</v>
      </c>
      <c r="H5" s="118"/>
      <c r="I5" s="118"/>
      <c r="J5" s="118"/>
      <c r="K5" s="118"/>
      <c r="L5" s="120"/>
      <c r="M5" s="120"/>
      <c r="N5" s="118"/>
      <c r="O5" s="118"/>
      <c r="P5" s="118"/>
      <c r="Q5" s="118"/>
      <c r="R5" s="118"/>
      <c r="S5" s="118"/>
      <c r="T5" s="118"/>
      <c r="U5" s="118"/>
      <c r="V5" s="118"/>
      <c r="W5" s="118"/>
      <c r="X5" s="118"/>
    </row>
    <row r="6" spans="1:24" ht="13.5">
      <c r="A6" s="118"/>
      <c r="B6" s="123">
        <f t="shared" si="0"/>
        <v>3</v>
      </c>
      <c r="C6" s="124">
        <v>42290</v>
      </c>
      <c r="D6" s="121" t="s">
        <v>816</v>
      </c>
      <c r="E6" s="121" t="s">
        <v>2369</v>
      </c>
      <c r="F6" s="122">
        <v>50000000</v>
      </c>
      <c r="G6" s="122" t="s">
        <v>841</v>
      </c>
      <c r="H6" s="118"/>
      <c r="I6" s="118"/>
      <c r="J6" s="118"/>
      <c r="K6" s="118"/>
      <c r="L6" s="120"/>
      <c r="M6" s="120"/>
      <c r="N6" s="118"/>
      <c r="O6" s="118"/>
      <c r="P6" s="118"/>
      <c r="Q6" s="118"/>
      <c r="R6" s="118"/>
      <c r="S6" s="118"/>
      <c r="T6" s="118"/>
      <c r="U6" s="118"/>
      <c r="V6" s="118"/>
      <c r="W6" s="118"/>
      <c r="X6" s="118"/>
    </row>
    <row r="7" spans="1:24" ht="13.5">
      <c r="A7" s="118"/>
      <c r="B7" s="123">
        <f t="shared" si="0"/>
        <v>4</v>
      </c>
      <c r="C7" s="124">
        <v>42298</v>
      </c>
      <c r="D7" s="121" t="s">
        <v>816</v>
      </c>
      <c r="E7" s="121" t="s">
        <v>838</v>
      </c>
      <c r="F7" s="122">
        <v>114000000</v>
      </c>
      <c r="G7" s="122" t="s">
        <v>841</v>
      </c>
      <c r="H7" s="118"/>
      <c r="I7" s="118"/>
      <c r="J7" s="118"/>
      <c r="K7" s="118"/>
      <c r="L7" s="120"/>
      <c r="M7" s="120"/>
      <c r="N7" s="118"/>
      <c r="O7" s="118"/>
      <c r="P7" s="118"/>
      <c r="Q7" s="118"/>
      <c r="R7" s="118"/>
      <c r="S7" s="118"/>
      <c r="T7" s="118"/>
      <c r="U7" s="118"/>
      <c r="V7" s="118"/>
      <c r="W7" s="118"/>
      <c r="X7" s="118"/>
    </row>
    <row r="8" spans="1:24" ht="13.5">
      <c r="A8" s="118"/>
      <c r="B8" s="123">
        <f t="shared" si="0"/>
        <v>5</v>
      </c>
      <c r="C8" s="124" t="s">
        <v>817</v>
      </c>
      <c r="D8" s="121" t="s">
        <v>816</v>
      </c>
      <c r="E8" s="121" t="s">
        <v>818</v>
      </c>
      <c r="F8" s="122">
        <v>9600000</v>
      </c>
      <c r="G8" s="122" t="s">
        <v>841</v>
      </c>
      <c r="H8" s="118"/>
      <c r="I8" s="118"/>
      <c r="J8" s="118"/>
      <c r="K8" s="118"/>
      <c r="L8" s="120"/>
      <c r="M8" s="120"/>
      <c r="N8" s="118"/>
      <c r="O8" s="118"/>
      <c r="P8" s="118"/>
      <c r="Q8" s="118"/>
      <c r="R8" s="118"/>
      <c r="S8" s="118"/>
      <c r="T8" s="118"/>
      <c r="U8" s="118"/>
      <c r="V8" s="118"/>
      <c r="W8" s="118"/>
      <c r="X8" s="118"/>
    </row>
    <row r="9" spans="1:24" ht="13.5">
      <c r="A9" s="118"/>
      <c r="B9" s="123">
        <f t="shared" si="0"/>
        <v>6</v>
      </c>
      <c r="C9" s="124" t="s">
        <v>817</v>
      </c>
      <c r="D9" s="121" t="s">
        <v>816</v>
      </c>
      <c r="E9" s="121" t="s">
        <v>819</v>
      </c>
      <c r="F9" s="122">
        <v>880000</v>
      </c>
      <c r="G9" s="122" t="s">
        <v>841</v>
      </c>
      <c r="H9" s="118"/>
      <c r="I9" s="118"/>
      <c r="J9" s="118"/>
      <c r="K9" s="118"/>
      <c r="L9" s="120"/>
      <c r="M9" s="120"/>
      <c r="N9" s="118"/>
      <c r="O9" s="118"/>
      <c r="P9" s="118"/>
      <c r="Q9" s="118"/>
      <c r="R9" s="118"/>
      <c r="S9" s="118"/>
      <c r="T9" s="118"/>
      <c r="U9" s="118"/>
      <c r="V9" s="118"/>
      <c r="W9" s="118"/>
      <c r="X9" s="118"/>
    </row>
    <row r="10" spans="1:24" ht="13.5">
      <c r="A10" s="118"/>
      <c r="B10" s="123">
        <f t="shared" si="0"/>
        <v>7</v>
      </c>
      <c r="C10" s="124">
        <v>42690</v>
      </c>
      <c r="D10" s="121" t="s">
        <v>820</v>
      </c>
      <c r="E10" s="121" t="s">
        <v>821</v>
      </c>
      <c r="F10" s="122">
        <v>83600000</v>
      </c>
      <c r="G10" s="122" t="s">
        <v>841</v>
      </c>
      <c r="H10" s="118"/>
      <c r="I10" s="118"/>
      <c r="J10" s="118"/>
      <c r="K10" s="118"/>
      <c r="L10" s="120"/>
      <c r="M10" s="120"/>
      <c r="N10" s="118"/>
      <c r="O10" s="118"/>
      <c r="P10" s="118"/>
      <c r="Q10" s="118"/>
      <c r="R10" s="118"/>
      <c r="S10" s="118"/>
      <c r="T10" s="118"/>
      <c r="U10" s="118"/>
      <c r="V10" s="118"/>
      <c r="W10" s="118"/>
      <c r="X10" s="118"/>
    </row>
    <row r="11" spans="1:24" ht="13.5">
      <c r="A11" s="120"/>
      <c r="B11" s="123">
        <f t="shared" si="0"/>
        <v>8</v>
      </c>
      <c r="C11" s="124">
        <v>42690</v>
      </c>
      <c r="D11" s="121" t="s">
        <v>820</v>
      </c>
      <c r="E11" s="121" t="s">
        <v>822</v>
      </c>
      <c r="F11" s="122">
        <v>330000</v>
      </c>
      <c r="G11" s="122" t="s">
        <v>2370</v>
      </c>
      <c r="H11" s="118"/>
      <c r="I11" s="120"/>
      <c r="J11" s="118"/>
      <c r="K11" s="118"/>
      <c r="L11" s="120"/>
      <c r="M11" s="120"/>
      <c r="N11" s="118"/>
      <c r="O11" s="118"/>
      <c r="P11" s="118"/>
      <c r="Q11" s="118"/>
      <c r="R11" s="118"/>
      <c r="S11" s="118"/>
      <c r="T11" s="118"/>
      <c r="U11" s="118"/>
      <c r="V11" s="118"/>
      <c r="W11" s="118"/>
      <c r="X11" s="118"/>
    </row>
    <row r="12" spans="1:24" ht="13.5">
      <c r="A12" s="120"/>
      <c r="B12" s="123">
        <f t="shared" si="0"/>
        <v>9</v>
      </c>
      <c r="C12" s="124">
        <v>42723</v>
      </c>
      <c r="D12" s="121" t="s">
        <v>820</v>
      </c>
      <c r="E12" s="121" t="s">
        <v>823</v>
      </c>
      <c r="F12" s="122">
        <v>41800000</v>
      </c>
      <c r="G12" s="122" t="s">
        <v>841</v>
      </c>
      <c r="H12" s="118"/>
      <c r="I12" s="120"/>
      <c r="J12" s="118"/>
      <c r="K12" s="118"/>
      <c r="L12" s="120"/>
      <c r="M12" s="120"/>
      <c r="N12" s="118"/>
      <c r="O12" s="118"/>
      <c r="P12" s="118"/>
      <c r="Q12" s="118"/>
      <c r="R12" s="118"/>
      <c r="S12" s="118"/>
      <c r="T12" s="118"/>
      <c r="U12" s="118"/>
      <c r="V12" s="118"/>
      <c r="W12" s="118"/>
      <c r="X12" s="118"/>
    </row>
    <row r="13" spans="1:24" ht="13.5">
      <c r="A13" s="120"/>
      <c r="B13" s="123">
        <f t="shared" si="0"/>
        <v>10</v>
      </c>
      <c r="C13" s="124">
        <v>42723</v>
      </c>
      <c r="D13" s="121" t="s">
        <v>820</v>
      </c>
      <c r="E13" s="121" t="s">
        <v>824</v>
      </c>
      <c r="F13" s="122">
        <v>510000</v>
      </c>
      <c r="G13" s="122" t="s">
        <v>2370</v>
      </c>
      <c r="H13" s="118"/>
      <c r="I13" s="120"/>
      <c r="J13" s="118"/>
      <c r="K13" s="118"/>
      <c r="L13" s="120"/>
      <c r="M13" s="120"/>
      <c r="N13" s="118"/>
      <c r="O13" s="118"/>
      <c r="P13" s="118"/>
      <c r="Q13" s="118"/>
      <c r="R13" s="118"/>
      <c r="S13" s="118"/>
      <c r="T13" s="118"/>
      <c r="U13" s="118"/>
      <c r="V13" s="118"/>
      <c r="W13" s="118"/>
      <c r="X13" s="118"/>
    </row>
    <row r="14" spans="1:24" ht="13.5">
      <c r="A14" s="120"/>
      <c r="B14" s="123">
        <f t="shared" si="0"/>
        <v>11</v>
      </c>
      <c r="C14" s="124">
        <v>42810</v>
      </c>
      <c r="D14" s="121" t="s">
        <v>820</v>
      </c>
      <c r="E14" s="121" t="s">
        <v>825</v>
      </c>
      <c r="F14" s="122">
        <f>41800000+3000</f>
        <v>41803000</v>
      </c>
      <c r="G14" s="122" t="s">
        <v>841</v>
      </c>
      <c r="H14" s="118"/>
      <c r="I14" s="120"/>
      <c r="J14" s="118"/>
      <c r="K14" s="118"/>
      <c r="L14" s="120"/>
      <c r="M14" s="120"/>
      <c r="N14" s="118"/>
      <c r="O14" s="118"/>
      <c r="P14" s="118"/>
      <c r="Q14" s="118"/>
      <c r="R14" s="118"/>
      <c r="S14" s="118"/>
      <c r="T14" s="118"/>
      <c r="U14" s="118"/>
      <c r="V14" s="118"/>
      <c r="W14" s="118"/>
      <c r="X14" s="118"/>
    </row>
    <row r="15" spans="1:24" ht="13.5">
      <c r="A15" s="120"/>
      <c r="B15" s="123">
        <f t="shared" si="0"/>
        <v>12</v>
      </c>
      <c r="C15" s="124">
        <v>42928</v>
      </c>
      <c r="D15" s="121" t="s">
        <v>820</v>
      </c>
      <c r="E15" s="121" t="s">
        <v>826</v>
      </c>
      <c r="F15" s="122">
        <v>41800000</v>
      </c>
      <c r="G15" s="122" t="s">
        <v>841</v>
      </c>
      <c r="H15" s="118"/>
      <c r="I15" s="120"/>
      <c r="J15" s="118"/>
      <c r="K15" s="118"/>
      <c r="L15" s="120"/>
      <c r="M15" s="120"/>
      <c r="N15" s="118"/>
      <c r="O15" s="118"/>
      <c r="P15" s="118"/>
      <c r="Q15" s="118"/>
      <c r="R15" s="118"/>
      <c r="S15" s="118"/>
      <c r="T15" s="118"/>
      <c r="U15" s="118"/>
      <c r="V15" s="118"/>
      <c r="W15" s="118"/>
      <c r="X15" s="118"/>
    </row>
    <row r="16" spans="1:24" ht="13.5">
      <c r="A16" s="120"/>
      <c r="B16" s="123">
        <f t="shared" si="0"/>
        <v>13</v>
      </c>
      <c r="C16" s="124">
        <v>43052</v>
      </c>
      <c r="D16" s="121" t="s">
        <v>820</v>
      </c>
      <c r="E16" s="121" t="s">
        <v>827</v>
      </c>
      <c r="F16" s="122">
        <v>41800000</v>
      </c>
      <c r="G16" s="122" t="s">
        <v>841</v>
      </c>
      <c r="H16" s="118"/>
      <c r="I16" s="120"/>
      <c r="J16" s="118"/>
      <c r="K16" s="118"/>
      <c r="L16" s="120"/>
      <c r="M16" s="120"/>
      <c r="N16" s="118"/>
      <c r="O16" s="118"/>
      <c r="P16" s="118"/>
      <c r="Q16" s="118"/>
      <c r="R16" s="118"/>
      <c r="S16" s="118"/>
      <c r="T16" s="118"/>
      <c r="U16" s="118"/>
      <c r="V16" s="118"/>
      <c r="W16" s="118"/>
      <c r="X16" s="118"/>
    </row>
    <row r="17" spans="1:24" ht="13.5">
      <c r="A17" s="120"/>
      <c r="B17" s="123">
        <f t="shared" si="0"/>
        <v>14</v>
      </c>
      <c r="C17" s="124">
        <v>43141</v>
      </c>
      <c r="D17" s="121" t="s">
        <v>820</v>
      </c>
      <c r="E17" s="121" t="s">
        <v>828</v>
      </c>
      <c r="F17" s="122">
        <v>85000</v>
      </c>
      <c r="G17" s="122" t="s">
        <v>844</v>
      </c>
      <c r="H17" s="118"/>
      <c r="I17" s="120"/>
      <c r="J17" s="118"/>
      <c r="K17" s="118"/>
      <c r="L17" s="120"/>
      <c r="M17" s="120"/>
      <c r="N17" s="118"/>
      <c r="O17" s="118"/>
      <c r="P17" s="118"/>
      <c r="Q17" s="118"/>
      <c r="R17" s="118"/>
      <c r="S17" s="118"/>
      <c r="T17" s="118"/>
      <c r="U17" s="118"/>
      <c r="V17" s="118"/>
      <c r="W17" s="118"/>
      <c r="X17" s="118"/>
    </row>
    <row r="18" spans="1:24" ht="13.5">
      <c r="A18" s="120"/>
      <c r="B18" s="123">
        <f t="shared" si="0"/>
        <v>15</v>
      </c>
      <c r="C18" s="124">
        <v>43168</v>
      </c>
      <c r="D18" s="121" t="s">
        <v>820</v>
      </c>
      <c r="E18" s="121" t="s">
        <v>829</v>
      </c>
      <c r="F18" s="122">
        <v>41800000</v>
      </c>
      <c r="G18" s="122" t="s">
        <v>841</v>
      </c>
      <c r="H18" s="118"/>
      <c r="I18" s="120"/>
      <c r="J18" s="118"/>
      <c r="K18" s="118"/>
      <c r="L18" s="120"/>
      <c r="M18" s="120"/>
      <c r="N18" s="118"/>
      <c r="O18" s="118"/>
      <c r="P18" s="118"/>
      <c r="Q18" s="118"/>
      <c r="R18" s="118"/>
      <c r="S18" s="118"/>
      <c r="T18" s="118"/>
      <c r="U18" s="118"/>
      <c r="V18" s="118"/>
      <c r="W18" s="118"/>
      <c r="X18" s="118"/>
    </row>
    <row r="19" spans="1:24" ht="13.5">
      <c r="A19" s="120"/>
      <c r="B19" s="123">
        <f t="shared" si="0"/>
        <v>16</v>
      </c>
      <c r="C19" s="124">
        <v>43198</v>
      </c>
      <c r="D19" s="121" t="s">
        <v>820</v>
      </c>
      <c r="E19" s="121" t="s">
        <v>830</v>
      </c>
      <c r="F19" s="122">
        <v>170000</v>
      </c>
      <c r="G19" s="122" t="s">
        <v>844</v>
      </c>
      <c r="H19" s="118"/>
      <c r="I19" s="120"/>
      <c r="J19" s="118"/>
      <c r="K19" s="118"/>
      <c r="L19" s="120"/>
      <c r="M19" s="120"/>
      <c r="N19" s="118"/>
      <c r="O19" s="118"/>
      <c r="P19" s="118"/>
      <c r="Q19" s="118"/>
      <c r="R19" s="118"/>
      <c r="S19" s="118"/>
      <c r="T19" s="118"/>
      <c r="U19" s="118"/>
      <c r="V19" s="118"/>
      <c r="W19" s="118"/>
      <c r="X19" s="118"/>
    </row>
    <row r="20" spans="1:24" ht="13.5">
      <c r="A20" s="120"/>
      <c r="B20" s="123">
        <f t="shared" si="0"/>
        <v>17</v>
      </c>
      <c r="C20" s="124">
        <v>43292</v>
      </c>
      <c r="D20" s="121" t="s">
        <v>820</v>
      </c>
      <c r="E20" s="121" t="s">
        <v>831</v>
      </c>
      <c r="F20" s="122">
        <v>41800000</v>
      </c>
      <c r="G20" s="122" t="s">
        <v>841</v>
      </c>
      <c r="H20" s="118"/>
      <c r="I20" s="120"/>
      <c r="J20" s="118"/>
      <c r="K20" s="118"/>
      <c r="L20" s="120"/>
      <c r="M20" s="120"/>
      <c r="N20" s="118"/>
      <c r="O20" s="118"/>
      <c r="P20" s="118"/>
      <c r="Q20" s="118"/>
      <c r="R20" s="118"/>
      <c r="S20" s="118"/>
      <c r="T20" s="118"/>
      <c r="U20" s="118"/>
      <c r="V20" s="118"/>
      <c r="W20" s="118"/>
      <c r="X20" s="118"/>
    </row>
    <row r="21" spans="1:24" ht="13.5">
      <c r="A21" s="120"/>
      <c r="B21" s="123">
        <f t="shared" si="0"/>
        <v>18</v>
      </c>
      <c r="C21" s="124">
        <v>43395</v>
      </c>
      <c r="D21" s="121" t="s">
        <v>820</v>
      </c>
      <c r="E21" s="121" t="s">
        <v>832</v>
      </c>
      <c r="F21" s="122">
        <v>84063853</v>
      </c>
      <c r="G21" s="122" t="s">
        <v>841</v>
      </c>
      <c r="H21" s="118"/>
      <c r="I21" s="120"/>
      <c r="J21" s="118"/>
      <c r="K21" s="118"/>
      <c r="L21" s="120"/>
      <c r="M21" s="120"/>
      <c r="N21" s="118"/>
      <c r="O21" s="118"/>
      <c r="P21" s="118"/>
      <c r="Q21" s="118"/>
      <c r="R21" s="118"/>
      <c r="S21" s="118"/>
      <c r="T21" s="118"/>
      <c r="U21" s="118"/>
      <c r="V21" s="118"/>
      <c r="W21" s="118"/>
      <c r="X21" s="118"/>
    </row>
    <row r="22" spans="1:24" ht="13.5">
      <c r="A22" s="120"/>
      <c r="B22" s="123">
        <f t="shared" si="0"/>
        <v>19</v>
      </c>
      <c r="C22" s="124">
        <v>43401</v>
      </c>
      <c r="D22" s="121" t="s">
        <v>820</v>
      </c>
      <c r="E22" s="121" t="s">
        <v>833</v>
      </c>
      <c r="F22" s="122">
        <v>595000</v>
      </c>
      <c r="G22" s="122" t="s">
        <v>844</v>
      </c>
      <c r="H22" s="118"/>
      <c r="I22" s="120"/>
      <c r="J22" s="118"/>
      <c r="K22" s="118"/>
      <c r="L22" s="120"/>
      <c r="M22" s="120"/>
      <c r="N22" s="118"/>
      <c r="O22" s="118"/>
      <c r="P22" s="118"/>
      <c r="Q22" s="118"/>
      <c r="R22" s="118"/>
      <c r="S22" s="118"/>
      <c r="T22" s="118"/>
      <c r="U22" s="118"/>
      <c r="V22" s="118"/>
      <c r="W22" s="118"/>
      <c r="X22" s="118"/>
    </row>
    <row r="23" spans="1:24" ht="13.5">
      <c r="A23" s="120"/>
      <c r="B23" s="123">
        <f t="shared" si="0"/>
        <v>20</v>
      </c>
      <c r="C23" s="124">
        <v>43401</v>
      </c>
      <c r="D23" s="121" t="s">
        <v>820</v>
      </c>
      <c r="E23" s="121" t="s">
        <v>834</v>
      </c>
      <c r="F23" s="122">
        <v>1960000</v>
      </c>
      <c r="G23" s="122" t="s">
        <v>844</v>
      </c>
      <c r="H23" s="118"/>
      <c r="I23" s="120"/>
      <c r="J23" s="118"/>
      <c r="K23" s="118"/>
      <c r="L23" s="120"/>
      <c r="M23" s="120"/>
      <c r="N23" s="118"/>
      <c r="O23" s="118"/>
      <c r="P23" s="118"/>
      <c r="Q23" s="118"/>
      <c r="R23" s="118"/>
      <c r="S23" s="118"/>
      <c r="T23" s="118"/>
      <c r="U23" s="118"/>
      <c r="V23" s="118"/>
      <c r="W23" s="118"/>
      <c r="X23" s="118"/>
    </row>
    <row r="24" spans="1:24" ht="13.5">
      <c r="A24" s="120"/>
      <c r="B24" s="123">
        <f t="shared" si="0"/>
        <v>21</v>
      </c>
      <c r="C24" s="124">
        <v>43434</v>
      </c>
      <c r="D24" s="121" t="s">
        <v>820</v>
      </c>
      <c r="E24" s="121" t="s">
        <v>2372</v>
      </c>
      <c r="F24" s="122">
        <v>10000000</v>
      </c>
      <c r="G24" s="122" t="s">
        <v>841</v>
      </c>
      <c r="H24" s="118"/>
      <c r="I24" s="120"/>
      <c r="J24" s="118"/>
      <c r="K24" s="118"/>
      <c r="L24" s="120"/>
      <c r="M24" s="120"/>
      <c r="N24" s="118"/>
      <c r="O24" s="118"/>
      <c r="P24" s="118"/>
      <c r="Q24" s="118"/>
      <c r="R24" s="118"/>
      <c r="S24" s="118"/>
      <c r="T24" s="118"/>
      <c r="U24" s="118"/>
      <c r="V24" s="118"/>
      <c r="W24" s="118"/>
      <c r="X24" s="118"/>
    </row>
    <row r="25" spans="1:24" ht="13.5">
      <c r="A25" s="120"/>
      <c r="B25" s="123">
        <f t="shared" si="0"/>
        <v>22</v>
      </c>
      <c r="C25" s="124">
        <v>43434</v>
      </c>
      <c r="D25" s="121" t="s">
        <v>820</v>
      </c>
      <c r="E25" s="121" t="s">
        <v>2373</v>
      </c>
      <c r="F25" s="122">
        <v>320000</v>
      </c>
      <c r="G25" s="122" t="s">
        <v>2371</v>
      </c>
      <c r="H25" s="118"/>
      <c r="I25" s="120"/>
      <c r="J25" s="118"/>
      <c r="K25" s="118"/>
      <c r="L25" s="120"/>
      <c r="M25" s="120"/>
      <c r="N25" s="118"/>
      <c r="O25" s="118"/>
      <c r="P25" s="118"/>
      <c r="Q25" s="118"/>
      <c r="R25" s="118"/>
      <c r="S25" s="118"/>
      <c r="T25" s="118"/>
      <c r="U25" s="118"/>
      <c r="V25" s="118"/>
      <c r="W25" s="118"/>
      <c r="X25" s="118"/>
    </row>
    <row r="26" spans="1:24" ht="13.5">
      <c r="A26" s="120"/>
      <c r="B26" s="123">
        <f t="shared" si="0"/>
        <v>23</v>
      </c>
      <c r="C26" s="124">
        <v>43445</v>
      </c>
      <c r="D26" s="121" t="s">
        <v>820</v>
      </c>
      <c r="E26" s="121" t="s">
        <v>2374</v>
      </c>
      <c r="F26" s="122">
        <v>-216110</v>
      </c>
      <c r="G26" s="122" t="s">
        <v>2371</v>
      </c>
      <c r="H26" s="118"/>
      <c r="I26" s="120"/>
      <c r="J26" s="118"/>
      <c r="K26" s="118"/>
      <c r="L26" s="120"/>
      <c r="M26" s="120"/>
      <c r="N26" s="118"/>
      <c r="O26" s="118"/>
      <c r="P26" s="118"/>
      <c r="Q26" s="118"/>
      <c r="R26" s="118"/>
      <c r="S26" s="118"/>
      <c r="T26" s="118"/>
      <c r="U26" s="118"/>
      <c r="V26" s="118"/>
      <c r="W26" s="118"/>
      <c r="X26" s="118"/>
    </row>
    <row r="27" spans="1:24" ht="13.5">
      <c r="A27" s="120"/>
      <c r="B27" s="123">
        <f t="shared" si="0"/>
        <v>24</v>
      </c>
      <c r="C27" s="124">
        <v>43470</v>
      </c>
      <c r="D27" s="121" t="s">
        <v>820</v>
      </c>
      <c r="E27" s="121" t="s">
        <v>835</v>
      </c>
      <c r="F27" s="122">
        <v>8173130</v>
      </c>
      <c r="G27" s="122" t="s">
        <v>2371</v>
      </c>
      <c r="H27" s="118"/>
      <c r="I27" s="120"/>
      <c r="J27" s="118"/>
      <c r="K27" s="118"/>
      <c r="L27" s="120"/>
      <c r="M27" s="120"/>
      <c r="N27" s="118"/>
      <c r="O27" s="118"/>
      <c r="P27" s="118"/>
      <c r="Q27" s="118"/>
      <c r="R27" s="118"/>
      <c r="S27" s="118"/>
      <c r="T27" s="118"/>
      <c r="U27" s="118"/>
      <c r="V27" s="118"/>
      <c r="W27" s="118"/>
      <c r="X27" s="118"/>
    </row>
    <row r="28" spans="1:24" ht="13.5">
      <c r="A28" s="120"/>
      <c r="B28" s="123">
        <f t="shared" si="0"/>
        <v>25</v>
      </c>
      <c r="C28" s="124">
        <v>43753</v>
      </c>
      <c r="D28" s="121" t="s">
        <v>820</v>
      </c>
      <c r="E28" s="121" t="s">
        <v>2375</v>
      </c>
      <c r="F28" s="122">
        <v>-50000</v>
      </c>
      <c r="G28" s="122" t="s">
        <v>2371</v>
      </c>
      <c r="H28" s="118"/>
      <c r="I28" s="120"/>
      <c r="J28" s="118"/>
      <c r="K28" s="118"/>
      <c r="L28" s="120"/>
      <c r="M28" s="120"/>
      <c r="N28" s="118"/>
      <c r="O28" s="118"/>
      <c r="P28" s="118"/>
      <c r="Q28" s="118"/>
      <c r="R28" s="118"/>
      <c r="S28" s="118"/>
      <c r="T28" s="118"/>
      <c r="U28" s="118"/>
      <c r="V28" s="118"/>
      <c r="W28" s="118"/>
      <c r="X28" s="118"/>
    </row>
    <row r="29" spans="1:24" ht="13.5">
      <c r="A29" s="120"/>
      <c r="B29" s="123">
        <f t="shared" si="0"/>
        <v>26</v>
      </c>
      <c r="C29" s="124">
        <v>44098</v>
      </c>
      <c r="D29" s="121" t="s">
        <v>820</v>
      </c>
      <c r="E29" s="121" t="s">
        <v>2376</v>
      </c>
      <c r="F29" s="122">
        <v>-744545</v>
      </c>
      <c r="G29" s="122" t="s">
        <v>2371</v>
      </c>
      <c r="H29" s="118"/>
      <c r="I29" s="120"/>
      <c r="J29" s="118"/>
      <c r="K29" s="118"/>
      <c r="L29" s="120"/>
      <c r="M29" s="120"/>
      <c r="N29" s="118"/>
      <c r="O29" s="118"/>
      <c r="P29" s="118"/>
      <c r="Q29" s="118"/>
      <c r="R29" s="118"/>
      <c r="S29" s="118"/>
      <c r="T29" s="118"/>
      <c r="U29" s="118"/>
      <c r="V29" s="118"/>
      <c r="W29" s="118"/>
      <c r="X29" s="118"/>
    </row>
    <row r="30" spans="1:24" ht="13.5">
      <c r="A30" s="120"/>
      <c r="B30" s="123">
        <f t="shared" si="0"/>
        <v>27</v>
      </c>
      <c r="C30" s="124">
        <v>44176</v>
      </c>
      <c r="D30" s="121" t="s">
        <v>820</v>
      </c>
      <c r="E30" s="121" t="s">
        <v>2377</v>
      </c>
      <c r="F30" s="122">
        <f>-195318+30079</f>
        <v>-165239</v>
      </c>
      <c r="G30" s="122" t="s">
        <v>2371</v>
      </c>
      <c r="H30" s="118"/>
      <c r="I30" s="120"/>
      <c r="J30" s="118"/>
      <c r="K30" s="118"/>
      <c r="L30" s="120"/>
      <c r="M30" s="120"/>
      <c r="N30" s="118"/>
      <c r="O30" s="118"/>
      <c r="P30" s="118"/>
      <c r="Q30" s="118"/>
      <c r="R30" s="118"/>
      <c r="S30" s="118"/>
      <c r="T30" s="118"/>
      <c r="U30" s="118"/>
      <c r="V30" s="118"/>
      <c r="W30" s="118"/>
      <c r="X30" s="118"/>
    </row>
    <row r="31" spans="1:24" ht="13.5">
      <c r="A31" s="120"/>
      <c r="B31" s="123">
        <f t="shared" si="0"/>
        <v>28</v>
      </c>
      <c r="C31" s="124">
        <v>45245</v>
      </c>
      <c r="D31" s="121" t="s">
        <v>820</v>
      </c>
      <c r="E31" s="121" t="s">
        <v>2377</v>
      </c>
      <c r="F31" s="122">
        <v>-775514</v>
      </c>
      <c r="G31" s="122" t="s">
        <v>2371</v>
      </c>
      <c r="H31" s="118"/>
      <c r="I31" s="120"/>
      <c r="J31" s="118"/>
      <c r="K31" s="118"/>
      <c r="L31" s="120"/>
      <c r="M31" s="120"/>
      <c r="N31" s="118"/>
      <c r="O31" s="118"/>
      <c r="P31" s="118"/>
      <c r="Q31" s="118"/>
      <c r="R31" s="118"/>
      <c r="S31" s="118"/>
      <c r="T31" s="118"/>
      <c r="U31" s="118"/>
      <c r="V31" s="118"/>
      <c r="W31" s="118"/>
      <c r="X31" s="118"/>
    </row>
    <row r="32" spans="1:24" ht="13.5">
      <c r="A32" s="120"/>
      <c r="B32" s="123">
        <f t="shared" si="0"/>
        <v>29</v>
      </c>
      <c r="C32" s="124">
        <v>45254</v>
      </c>
      <c r="D32" s="121" t="s">
        <v>820</v>
      </c>
      <c r="E32" s="121" t="s">
        <v>2377</v>
      </c>
      <c r="F32" s="122">
        <v>-102119</v>
      </c>
      <c r="G32" s="122" t="s">
        <v>2371</v>
      </c>
      <c r="H32" s="118"/>
      <c r="I32" s="120"/>
      <c r="J32" s="118"/>
      <c r="K32" s="118"/>
      <c r="L32" s="120"/>
      <c r="M32" s="120"/>
      <c r="N32" s="118"/>
      <c r="O32" s="118"/>
      <c r="P32" s="118"/>
      <c r="Q32" s="118"/>
      <c r="R32" s="118"/>
      <c r="S32" s="118"/>
      <c r="T32" s="118"/>
      <c r="U32" s="118"/>
      <c r="V32" s="118"/>
      <c r="W32" s="118"/>
      <c r="X32" s="118"/>
    </row>
    <row r="33" spans="1:24" ht="13.5">
      <c r="A33" s="120"/>
      <c r="B33" s="123">
        <f t="shared" si="0"/>
        <v>30</v>
      </c>
      <c r="C33" s="124">
        <v>45289</v>
      </c>
      <c r="D33" s="121" t="s">
        <v>820</v>
      </c>
      <c r="E33" s="121" t="s">
        <v>2378</v>
      </c>
      <c r="F33" s="122">
        <v>3681280</v>
      </c>
      <c r="G33" s="122" t="s">
        <v>2371</v>
      </c>
      <c r="H33" s="118"/>
      <c r="I33" s="120"/>
      <c r="J33" s="118"/>
      <c r="K33" s="118"/>
      <c r="L33" s="120"/>
      <c r="M33" s="120"/>
      <c r="N33" s="118"/>
      <c r="O33" s="118"/>
      <c r="P33" s="118"/>
      <c r="Q33" s="118"/>
      <c r="R33" s="118"/>
      <c r="S33" s="118"/>
      <c r="T33" s="118"/>
      <c r="U33" s="118"/>
      <c r="V33" s="118"/>
      <c r="W33" s="118"/>
      <c r="X33" s="118"/>
    </row>
    <row r="34" spans="1:24" ht="13.5">
      <c r="A34" s="120"/>
      <c r="B34" s="123">
        <f t="shared" si="0"/>
        <v>31</v>
      </c>
      <c r="C34" s="124">
        <v>46063</v>
      </c>
      <c r="D34" s="121" t="s">
        <v>820</v>
      </c>
      <c r="E34" s="121" t="s">
        <v>2376</v>
      </c>
      <c r="F34" s="122">
        <v>-659187</v>
      </c>
      <c r="G34" s="122" t="s">
        <v>2371</v>
      </c>
      <c r="H34" s="118"/>
      <c r="I34" s="120"/>
      <c r="J34" s="118"/>
      <c r="K34" s="118"/>
      <c r="L34" s="120"/>
      <c r="M34" s="120"/>
      <c r="N34" s="118"/>
      <c r="O34" s="118"/>
      <c r="P34" s="118"/>
      <c r="Q34" s="118"/>
      <c r="R34" s="118"/>
      <c r="S34" s="118"/>
      <c r="T34" s="118"/>
      <c r="U34" s="118"/>
      <c r="V34" s="118"/>
      <c r="W34" s="118"/>
      <c r="X34" s="118"/>
    </row>
    <row r="35" spans="1:24" ht="13.5">
      <c r="A35" s="120"/>
      <c r="B35" s="312">
        <f t="shared" si="0"/>
        <v>32</v>
      </c>
      <c r="C35" s="313" t="s">
        <v>1045</v>
      </c>
      <c r="D35" s="314" t="s">
        <v>820</v>
      </c>
      <c r="E35" s="314" t="s">
        <v>836</v>
      </c>
      <c r="F35" s="315">
        <v>48000000</v>
      </c>
      <c r="G35" s="315" t="s">
        <v>2379</v>
      </c>
      <c r="H35" s="118"/>
      <c r="I35" s="120"/>
      <c r="J35" s="118"/>
      <c r="K35" s="118"/>
      <c r="L35" s="120"/>
      <c r="M35" s="120"/>
      <c r="N35" s="118"/>
      <c r="O35" s="118"/>
      <c r="P35" s="118"/>
      <c r="Q35" s="118"/>
      <c r="R35" s="118"/>
      <c r="S35" s="118"/>
      <c r="T35" s="118"/>
      <c r="U35" s="118"/>
      <c r="V35" s="118"/>
      <c r="W35" s="118"/>
      <c r="X35" s="118"/>
    </row>
    <row r="36" spans="1:24">
      <c r="A36" s="120"/>
      <c r="B36" s="118"/>
      <c r="C36" s="118"/>
      <c r="D36" s="118"/>
      <c r="E36" s="118"/>
      <c r="F36" s="118"/>
      <c r="G36" s="120"/>
      <c r="H36" s="118"/>
      <c r="I36" s="120"/>
      <c r="J36" s="118"/>
      <c r="K36" s="118"/>
      <c r="L36" s="120"/>
      <c r="M36" s="120"/>
      <c r="N36" s="118"/>
      <c r="O36" s="118"/>
      <c r="P36" s="118"/>
      <c r="Q36" s="118"/>
      <c r="R36" s="118"/>
      <c r="S36" s="118"/>
      <c r="T36" s="118"/>
      <c r="U36" s="118"/>
      <c r="V36" s="118"/>
      <c r="W36" s="118"/>
      <c r="X36" s="118"/>
    </row>
    <row r="37" spans="1:24">
      <c r="A37" s="120"/>
      <c r="B37" s="118"/>
      <c r="C37" s="118"/>
      <c r="D37" s="118"/>
      <c r="E37" s="118"/>
      <c r="F37" s="118"/>
      <c r="G37" s="120"/>
      <c r="H37" s="118"/>
      <c r="I37" s="120"/>
      <c r="J37" s="118"/>
      <c r="K37" s="118"/>
      <c r="L37" s="120"/>
      <c r="M37" s="120"/>
      <c r="N37" s="118"/>
      <c r="O37" s="118"/>
      <c r="P37" s="118"/>
      <c r="Q37" s="118"/>
      <c r="R37" s="118"/>
      <c r="S37" s="118"/>
      <c r="T37" s="118"/>
      <c r="U37" s="118"/>
      <c r="V37" s="118"/>
      <c r="W37" s="118"/>
      <c r="X37" s="118"/>
    </row>
    <row r="38" spans="1:24">
      <c r="A38" s="120"/>
      <c r="B38" s="118"/>
      <c r="C38" s="118"/>
      <c r="D38" s="118"/>
      <c r="E38" s="118"/>
      <c r="F38" s="118"/>
      <c r="G38" s="120"/>
      <c r="H38" s="118"/>
      <c r="I38" s="120"/>
      <c r="J38" s="118"/>
      <c r="K38" s="118"/>
      <c r="L38" s="120"/>
      <c r="M38" s="120"/>
      <c r="N38" s="118"/>
      <c r="O38" s="118"/>
      <c r="P38" s="118"/>
      <c r="Q38" s="118"/>
      <c r="R38" s="118"/>
      <c r="S38" s="118"/>
      <c r="T38" s="118"/>
      <c r="U38" s="118"/>
      <c r="V38" s="118"/>
      <c r="W38" s="118"/>
      <c r="X38" s="118"/>
    </row>
    <row r="39" spans="1:24">
      <c r="A39" s="120"/>
      <c r="B39" s="118"/>
      <c r="C39" s="118"/>
      <c r="D39" s="118"/>
      <c r="E39" s="118"/>
      <c r="F39" s="118"/>
      <c r="G39" s="120"/>
      <c r="H39" s="118"/>
      <c r="I39" s="120"/>
      <c r="J39" s="118"/>
      <c r="K39" s="118"/>
      <c r="L39" s="120"/>
      <c r="M39" s="120"/>
      <c r="N39" s="118"/>
      <c r="O39" s="118"/>
      <c r="P39" s="118"/>
      <c r="Q39" s="118"/>
      <c r="R39" s="118"/>
      <c r="S39" s="118"/>
      <c r="T39" s="118"/>
      <c r="U39" s="118"/>
      <c r="V39" s="118"/>
      <c r="W39" s="118"/>
      <c r="X39" s="118"/>
    </row>
    <row r="40" spans="1:24">
      <c r="A40" s="118"/>
      <c r="B40" s="118"/>
      <c r="C40" s="118"/>
      <c r="D40" s="118"/>
      <c r="E40" s="118"/>
      <c r="F40" s="118"/>
      <c r="G40" s="120"/>
      <c r="H40" s="118"/>
      <c r="I40" s="118"/>
      <c r="J40" s="118"/>
      <c r="K40" s="118"/>
      <c r="L40" s="120"/>
      <c r="M40" s="120"/>
      <c r="N40" s="118"/>
      <c r="O40" s="118"/>
      <c r="P40" s="118"/>
      <c r="Q40" s="118"/>
      <c r="R40" s="118"/>
      <c r="S40" s="118"/>
      <c r="T40" s="118"/>
      <c r="U40" s="118"/>
      <c r="V40" s="118"/>
      <c r="W40" s="118"/>
      <c r="X40" s="118"/>
    </row>
    <row r="41" spans="1:24">
      <c r="A41" s="120"/>
      <c r="B41" s="118"/>
      <c r="C41" s="118"/>
      <c r="D41" s="118"/>
      <c r="E41" s="118"/>
      <c r="F41" s="118"/>
      <c r="G41" s="120"/>
      <c r="H41" s="120"/>
      <c r="I41" s="120"/>
      <c r="J41" s="120"/>
      <c r="K41" s="120"/>
      <c r="L41" s="120"/>
      <c r="M41" s="120"/>
      <c r="N41" s="118"/>
      <c r="O41" s="118"/>
      <c r="P41" s="118"/>
      <c r="Q41" s="118"/>
      <c r="R41" s="118"/>
      <c r="S41" s="118"/>
      <c r="T41" s="118"/>
      <c r="U41" s="118"/>
      <c r="V41" s="118"/>
      <c r="W41" s="118"/>
      <c r="X41" s="118"/>
    </row>
    <row r="42" spans="1:24">
      <c r="A42" s="120"/>
      <c r="B42" s="118"/>
      <c r="C42" s="118"/>
      <c r="D42" s="118"/>
      <c r="E42" s="118"/>
      <c r="F42" s="118"/>
      <c r="G42" s="120"/>
      <c r="H42" s="120"/>
      <c r="I42" s="120"/>
      <c r="J42" s="120"/>
      <c r="K42" s="120"/>
      <c r="L42" s="120"/>
      <c r="M42" s="120"/>
      <c r="N42" s="118"/>
      <c r="O42" s="118"/>
      <c r="P42" s="118"/>
      <c r="Q42" s="118"/>
      <c r="R42" s="118"/>
      <c r="S42" s="118"/>
      <c r="T42" s="118"/>
      <c r="U42" s="118"/>
      <c r="V42" s="118"/>
      <c r="W42" s="118"/>
      <c r="X42" s="118"/>
    </row>
    <row r="43" spans="1:24">
      <c r="A43" s="120"/>
      <c r="B43" s="118"/>
      <c r="C43" s="118"/>
      <c r="D43" s="118"/>
      <c r="E43" s="118"/>
      <c r="F43" s="118"/>
      <c r="G43" s="120"/>
      <c r="H43" s="120"/>
      <c r="I43" s="120"/>
      <c r="J43" s="120"/>
      <c r="K43" s="120"/>
      <c r="L43" s="120"/>
      <c r="M43" s="120"/>
      <c r="N43" s="118"/>
      <c r="O43" s="118"/>
      <c r="P43" s="118"/>
      <c r="Q43" s="118"/>
      <c r="R43" s="118"/>
      <c r="S43" s="118"/>
      <c r="T43" s="118"/>
      <c r="U43" s="118"/>
      <c r="V43" s="118"/>
      <c r="W43" s="118"/>
      <c r="X43" s="118"/>
    </row>
    <row r="44" spans="1:24">
      <c r="A44" s="120"/>
      <c r="B44" s="118"/>
      <c r="C44" s="118"/>
      <c r="D44" s="118"/>
      <c r="E44" s="118"/>
      <c r="F44" s="118"/>
      <c r="G44" s="120"/>
      <c r="H44" s="120"/>
      <c r="I44" s="120"/>
      <c r="J44" s="120"/>
      <c r="K44" s="120"/>
      <c r="L44" s="120"/>
      <c r="M44" s="120"/>
      <c r="N44" s="118"/>
      <c r="O44" s="118"/>
      <c r="P44" s="118"/>
      <c r="Q44" s="118"/>
      <c r="R44" s="118"/>
      <c r="S44" s="118"/>
      <c r="T44" s="118"/>
      <c r="U44" s="118"/>
      <c r="V44" s="118"/>
      <c r="W44" s="118"/>
      <c r="X44" s="118"/>
    </row>
    <row r="45" spans="1:24">
      <c r="A45" s="120"/>
      <c r="B45" s="118"/>
      <c r="C45" s="118"/>
      <c r="D45" s="118"/>
      <c r="E45" s="118"/>
      <c r="F45" s="118"/>
      <c r="G45" s="120"/>
      <c r="H45" s="120"/>
      <c r="I45" s="120"/>
      <c r="J45" s="120"/>
      <c r="K45" s="120"/>
      <c r="L45" s="120"/>
      <c r="M45" s="120"/>
      <c r="N45" s="118"/>
      <c r="O45" s="118"/>
      <c r="P45" s="118"/>
      <c r="Q45" s="118"/>
      <c r="R45" s="118"/>
      <c r="S45" s="118"/>
      <c r="T45" s="118"/>
      <c r="U45" s="118"/>
      <c r="V45" s="118"/>
      <c r="W45" s="118"/>
      <c r="X45" s="118"/>
    </row>
    <row r="46" spans="1:24">
      <c r="A46" s="120"/>
      <c r="B46" s="118"/>
      <c r="C46" s="118"/>
      <c r="D46" s="118"/>
      <c r="E46" s="118"/>
      <c r="F46" s="118"/>
      <c r="G46" s="120"/>
      <c r="H46" s="120"/>
      <c r="I46" s="120"/>
      <c r="J46" s="120"/>
      <c r="K46" s="120"/>
      <c r="L46" s="120"/>
      <c r="M46" s="120"/>
      <c r="N46" s="118"/>
      <c r="O46" s="118"/>
      <c r="P46" s="118"/>
      <c r="Q46" s="118"/>
      <c r="R46" s="118"/>
      <c r="S46" s="118"/>
      <c r="T46" s="118"/>
      <c r="U46" s="118"/>
      <c r="V46" s="118"/>
      <c r="W46" s="118"/>
      <c r="X46" s="118"/>
    </row>
    <row r="47" spans="1:24">
      <c r="A47" s="120"/>
      <c r="B47" s="118"/>
      <c r="C47" s="118"/>
      <c r="D47" s="118"/>
      <c r="E47" s="118"/>
      <c r="F47" s="118"/>
      <c r="G47" s="120"/>
      <c r="H47" s="120"/>
      <c r="I47" s="120"/>
      <c r="J47" s="120"/>
      <c r="K47" s="120"/>
      <c r="L47" s="120"/>
      <c r="M47" s="120"/>
      <c r="N47" s="118"/>
      <c r="O47" s="118"/>
      <c r="P47" s="118"/>
      <c r="Q47" s="118"/>
      <c r="R47" s="118"/>
      <c r="S47" s="118"/>
      <c r="T47" s="118"/>
      <c r="U47" s="118"/>
      <c r="V47" s="118"/>
      <c r="W47" s="118"/>
      <c r="X47" s="118"/>
    </row>
    <row r="48" spans="1:24">
      <c r="A48" s="120"/>
      <c r="B48" s="118"/>
      <c r="C48" s="118"/>
      <c r="D48" s="118"/>
      <c r="E48" s="118"/>
      <c r="F48" s="118"/>
      <c r="G48" s="120"/>
      <c r="H48" s="120"/>
      <c r="I48" s="120"/>
      <c r="J48" s="120"/>
      <c r="K48" s="120"/>
      <c r="L48" s="120"/>
      <c r="M48" s="120"/>
      <c r="N48" s="118"/>
      <c r="O48" s="118"/>
      <c r="P48" s="118"/>
      <c r="Q48" s="118"/>
      <c r="R48" s="118"/>
      <c r="S48" s="118"/>
      <c r="T48" s="118"/>
      <c r="U48" s="118"/>
      <c r="V48" s="118"/>
      <c r="W48" s="118"/>
      <c r="X48" s="118"/>
    </row>
    <row r="49" spans="1:24">
      <c r="A49" s="120"/>
      <c r="B49" s="118"/>
      <c r="C49" s="118"/>
      <c r="D49" s="118"/>
      <c r="E49" s="118"/>
      <c r="F49" s="118"/>
      <c r="G49" s="120"/>
      <c r="H49" s="120"/>
      <c r="I49" s="120"/>
      <c r="J49" s="120"/>
      <c r="K49" s="120"/>
      <c r="L49" s="120"/>
      <c r="M49" s="120"/>
      <c r="N49" s="118"/>
      <c r="O49" s="118"/>
      <c r="P49" s="118"/>
      <c r="Q49" s="118"/>
      <c r="R49" s="118"/>
      <c r="S49" s="118"/>
      <c r="T49" s="118"/>
      <c r="U49" s="118"/>
      <c r="V49" s="118"/>
      <c r="W49" s="118"/>
      <c r="X49" s="118"/>
    </row>
    <row r="50" spans="1:24">
      <c r="A50" s="120"/>
      <c r="B50" s="118"/>
      <c r="C50" s="118"/>
      <c r="D50" s="118"/>
      <c r="E50" s="118"/>
      <c r="F50" s="118"/>
      <c r="G50" s="120"/>
      <c r="H50" s="120"/>
      <c r="I50" s="120"/>
      <c r="J50" s="120"/>
      <c r="K50" s="120"/>
      <c r="L50" s="120"/>
      <c r="M50" s="120"/>
      <c r="N50" s="118"/>
      <c r="O50" s="118"/>
      <c r="P50" s="118"/>
      <c r="Q50" s="118"/>
      <c r="R50" s="118"/>
      <c r="S50" s="118"/>
      <c r="T50" s="118"/>
      <c r="U50" s="118"/>
      <c r="V50" s="118"/>
      <c r="W50" s="118"/>
      <c r="X50" s="118"/>
    </row>
    <row r="51" spans="1:24">
      <c r="A51" s="120"/>
      <c r="B51" s="118"/>
      <c r="C51" s="118"/>
      <c r="D51" s="118"/>
      <c r="E51" s="118"/>
      <c r="F51" s="118"/>
      <c r="G51" s="120"/>
      <c r="H51" s="120"/>
      <c r="I51" s="120"/>
      <c r="J51" s="120"/>
      <c r="K51" s="120"/>
      <c r="L51" s="120"/>
      <c r="M51" s="120"/>
      <c r="N51" s="118"/>
      <c r="O51" s="118"/>
      <c r="P51" s="118"/>
      <c r="Q51" s="118"/>
      <c r="R51" s="118"/>
      <c r="S51" s="118"/>
      <c r="T51" s="118"/>
      <c r="U51" s="118"/>
      <c r="V51" s="118"/>
      <c r="W51" s="118"/>
      <c r="X51" s="118"/>
    </row>
    <row r="52" spans="1:24">
      <c r="A52" s="120"/>
      <c r="B52" s="118"/>
      <c r="C52" s="118"/>
      <c r="D52" s="118"/>
      <c r="E52" s="118"/>
      <c r="F52" s="118"/>
      <c r="G52" s="120"/>
      <c r="H52" s="120"/>
      <c r="I52" s="120"/>
      <c r="J52" s="120"/>
      <c r="K52" s="120"/>
      <c r="L52" s="120"/>
      <c r="M52" s="120"/>
      <c r="N52" s="118"/>
      <c r="O52" s="118"/>
      <c r="P52" s="118"/>
      <c r="Q52" s="118"/>
      <c r="R52" s="118"/>
      <c r="S52" s="118"/>
      <c r="T52" s="118"/>
      <c r="U52" s="118"/>
      <c r="V52" s="118"/>
      <c r="W52" s="118"/>
      <c r="X52" s="118"/>
    </row>
    <row r="53" spans="1:24">
      <c r="A53" s="120"/>
      <c r="B53" s="118"/>
      <c r="C53" s="118"/>
      <c r="D53" s="118"/>
      <c r="E53" s="118"/>
      <c r="F53" s="118"/>
      <c r="G53" s="120"/>
      <c r="H53" s="120"/>
      <c r="I53" s="120"/>
      <c r="J53" s="120"/>
      <c r="K53" s="120"/>
      <c r="L53" s="120"/>
      <c r="M53" s="120"/>
      <c r="N53" s="118"/>
      <c r="O53" s="118"/>
      <c r="P53" s="118"/>
      <c r="Q53" s="118"/>
      <c r="R53" s="118"/>
      <c r="S53" s="118"/>
      <c r="T53" s="118"/>
      <c r="U53" s="118"/>
      <c r="V53" s="118"/>
      <c r="W53" s="118"/>
      <c r="X53" s="118"/>
    </row>
    <row r="54" spans="1:24">
      <c r="A54" s="120"/>
      <c r="B54" s="118"/>
      <c r="C54" s="118"/>
      <c r="D54" s="118"/>
      <c r="E54" s="118"/>
      <c r="F54" s="118"/>
      <c r="G54" s="120"/>
      <c r="H54" s="120"/>
      <c r="I54" s="120"/>
      <c r="J54" s="120"/>
      <c r="K54" s="120"/>
      <c r="L54" s="120"/>
      <c r="M54" s="120"/>
      <c r="N54" s="118"/>
      <c r="O54" s="118"/>
      <c r="P54" s="118"/>
      <c r="Q54" s="118"/>
      <c r="R54" s="118"/>
      <c r="S54" s="118"/>
      <c r="T54" s="118"/>
      <c r="U54" s="118"/>
      <c r="V54" s="118"/>
      <c r="W54" s="118"/>
      <c r="X54" s="118"/>
    </row>
    <row r="55" spans="1:24">
      <c r="A55" s="120"/>
      <c r="B55" s="118"/>
      <c r="C55" s="118"/>
      <c r="D55" s="118"/>
      <c r="E55" s="118"/>
      <c r="F55" s="118"/>
      <c r="G55" s="120"/>
      <c r="H55" s="120"/>
      <c r="I55" s="120"/>
      <c r="J55" s="120"/>
      <c r="K55" s="120"/>
      <c r="L55" s="120"/>
      <c r="M55" s="120"/>
      <c r="N55" s="118"/>
      <c r="O55" s="118"/>
      <c r="P55" s="118"/>
      <c r="Q55" s="118"/>
      <c r="R55" s="118"/>
      <c r="S55" s="118"/>
      <c r="T55" s="118"/>
      <c r="U55" s="118"/>
      <c r="V55" s="118"/>
      <c r="W55" s="118"/>
      <c r="X55" s="118"/>
    </row>
    <row r="56" spans="1:24">
      <c r="A56" s="120"/>
      <c r="B56" s="118"/>
      <c r="C56" s="118"/>
      <c r="D56" s="118"/>
      <c r="E56" s="118"/>
      <c r="F56" s="118"/>
      <c r="G56" s="120"/>
      <c r="H56" s="120"/>
      <c r="I56" s="120"/>
      <c r="J56" s="120"/>
      <c r="K56" s="120"/>
      <c r="L56" s="120"/>
      <c r="M56" s="120"/>
      <c r="N56" s="118"/>
      <c r="O56" s="118"/>
      <c r="P56" s="118"/>
      <c r="Q56" s="118"/>
      <c r="R56" s="118"/>
      <c r="S56" s="118"/>
      <c r="T56" s="118"/>
      <c r="U56" s="118"/>
      <c r="V56" s="118"/>
      <c r="W56" s="118"/>
      <c r="X56" s="118"/>
    </row>
    <row r="57" spans="1:24">
      <c r="A57" s="120"/>
      <c r="B57" s="118"/>
      <c r="C57" s="118"/>
      <c r="D57" s="118"/>
      <c r="E57" s="118"/>
      <c r="F57" s="118"/>
      <c r="G57" s="120"/>
      <c r="H57" s="120"/>
      <c r="I57" s="120"/>
      <c r="J57" s="120"/>
      <c r="K57" s="120"/>
      <c r="L57" s="120"/>
      <c r="M57" s="120"/>
      <c r="N57" s="118"/>
      <c r="O57" s="118"/>
      <c r="P57" s="118"/>
      <c r="Q57" s="118"/>
      <c r="R57" s="118"/>
      <c r="S57" s="118"/>
      <c r="T57" s="118"/>
      <c r="U57" s="118"/>
      <c r="V57" s="118"/>
      <c r="W57" s="118"/>
      <c r="X57" s="118"/>
    </row>
    <row r="58" spans="1:24">
      <c r="A58" s="120"/>
      <c r="B58" s="118"/>
      <c r="C58" s="118"/>
      <c r="D58" s="118"/>
      <c r="E58" s="118"/>
      <c r="F58" s="118"/>
      <c r="G58" s="120"/>
      <c r="H58" s="120"/>
      <c r="I58" s="120"/>
      <c r="J58" s="120"/>
      <c r="K58" s="120"/>
      <c r="L58" s="120"/>
      <c r="M58" s="120"/>
      <c r="N58" s="118"/>
      <c r="O58" s="118"/>
      <c r="P58" s="118"/>
      <c r="Q58" s="118"/>
      <c r="R58" s="118"/>
      <c r="S58" s="118"/>
      <c r="T58" s="118"/>
      <c r="U58" s="118"/>
      <c r="V58" s="118"/>
      <c r="W58" s="118"/>
      <c r="X58" s="118"/>
    </row>
    <row r="59" spans="1:24">
      <c r="A59" s="120"/>
      <c r="B59" s="118"/>
      <c r="C59" s="118"/>
      <c r="D59" s="118"/>
      <c r="E59" s="118"/>
      <c r="F59" s="118"/>
      <c r="G59" s="120"/>
      <c r="H59" s="120"/>
      <c r="I59" s="120"/>
      <c r="J59" s="120"/>
      <c r="K59" s="120"/>
      <c r="L59" s="120"/>
      <c r="M59" s="120"/>
      <c r="N59" s="118"/>
      <c r="O59" s="118"/>
      <c r="P59" s="118"/>
      <c r="Q59" s="118"/>
      <c r="R59" s="118"/>
      <c r="S59" s="118"/>
      <c r="T59" s="118"/>
      <c r="U59" s="118"/>
      <c r="V59" s="118"/>
      <c r="W59" s="118"/>
      <c r="X59" s="118"/>
    </row>
    <row r="60" spans="1:24">
      <c r="A60" s="120"/>
      <c r="B60" s="118"/>
      <c r="C60" s="118"/>
      <c r="D60" s="118"/>
      <c r="E60" s="118"/>
      <c r="F60" s="118"/>
      <c r="G60" s="120"/>
      <c r="H60" s="120"/>
      <c r="I60" s="120"/>
      <c r="J60" s="120"/>
      <c r="K60" s="120"/>
      <c r="L60" s="120"/>
      <c r="M60" s="120"/>
      <c r="N60" s="118"/>
      <c r="O60" s="118"/>
      <c r="P60" s="118"/>
      <c r="Q60" s="118"/>
      <c r="R60" s="118"/>
      <c r="S60" s="118"/>
      <c r="T60" s="118"/>
      <c r="U60" s="118"/>
      <c r="V60" s="118"/>
      <c r="W60" s="118"/>
      <c r="X60" s="118"/>
    </row>
    <row r="61" spans="1:24">
      <c r="A61" s="120"/>
      <c r="B61" s="118"/>
      <c r="C61" s="118"/>
      <c r="D61" s="118"/>
      <c r="E61" s="118"/>
      <c r="F61" s="118"/>
      <c r="G61" s="120"/>
      <c r="H61" s="120"/>
      <c r="I61" s="120"/>
      <c r="J61" s="120"/>
      <c r="K61" s="120"/>
      <c r="L61" s="120"/>
      <c r="M61" s="120"/>
      <c r="N61" s="118"/>
      <c r="O61" s="118"/>
      <c r="P61" s="118"/>
      <c r="Q61" s="118"/>
      <c r="R61" s="118"/>
      <c r="S61" s="118"/>
      <c r="T61" s="118"/>
      <c r="U61" s="118"/>
      <c r="V61" s="118"/>
      <c r="W61" s="118"/>
      <c r="X61" s="118"/>
    </row>
    <row r="62" spans="1:24">
      <c r="A62" s="120"/>
      <c r="B62" s="118"/>
      <c r="C62" s="118"/>
      <c r="D62" s="118"/>
      <c r="E62" s="118"/>
      <c r="F62" s="118"/>
      <c r="G62" s="120"/>
      <c r="H62" s="120"/>
      <c r="I62" s="120"/>
      <c r="J62" s="120"/>
      <c r="K62" s="120"/>
      <c r="L62" s="120"/>
      <c r="M62" s="120"/>
      <c r="N62" s="118"/>
      <c r="O62" s="118"/>
      <c r="P62" s="118"/>
      <c r="Q62" s="118"/>
      <c r="R62" s="118"/>
      <c r="S62" s="118"/>
      <c r="T62" s="118"/>
      <c r="U62" s="118"/>
      <c r="V62" s="118"/>
      <c r="W62" s="118"/>
      <c r="X62" s="118"/>
    </row>
    <row r="63" spans="1:24" ht="13.5">
      <c r="A63" s="120"/>
      <c r="B63" s="118"/>
      <c r="C63" s="118"/>
      <c r="D63" s="118"/>
      <c r="E63" s="118"/>
      <c r="F63" s="118"/>
      <c r="G63" s="120"/>
      <c r="H63" s="120"/>
      <c r="I63" s="120"/>
      <c r="J63" s="120"/>
      <c r="K63" s="120"/>
      <c r="L63" s="120"/>
      <c r="M63" s="120"/>
      <c r="N63" s="125" t="s">
        <v>812</v>
      </c>
      <c r="O63" s="125" t="s">
        <v>813</v>
      </c>
      <c r="P63" s="125" t="s">
        <v>814</v>
      </c>
      <c r="Q63" s="125" t="s">
        <v>815</v>
      </c>
      <c r="R63" s="118"/>
      <c r="S63" s="125" t="s">
        <v>812</v>
      </c>
      <c r="T63" s="125" t="s">
        <v>837</v>
      </c>
      <c r="U63" s="125" t="s">
        <v>838</v>
      </c>
      <c r="V63" s="125" t="s">
        <v>815</v>
      </c>
      <c r="W63" s="118"/>
      <c r="X63" s="118"/>
    </row>
    <row r="64" spans="1:24" ht="13.5">
      <c r="A64" s="120"/>
      <c r="B64" s="118"/>
      <c r="C64" s="118"/>
      <c r="D64" s="118"/>
      <c r="E64" s="118"/>
      <c r="F64" s="118"/>
      <c r="G64" s="120"/>
      <c r="H64" s="120"/>
      <c r="I64" s="120"/>
      <c r="J64" s="120"/>
      <c r="K64" s="120"/>
      <c r="L64" s="120"/>
      <c r="M64" s="120"/>
      <c r="N64" s="519" t="s">
        <v>816</v>
      </c>
      <c r="O64" s="125" t="s">
        <v>839</v>
      </c>
      <c r="P64" s="126">
        <v>189000000</v>
      </c>
      <c r="Q64" s="125" t="s">
        <v>840</v>
      </c>
      <c r="R64" s="118"/>
      <c r="S64" s="125" t="s">
        <v>841</v>
      </c>
      <c r="T64" s="126">
        <f>627943853-48000000+3000</f>
        <v>579946853</v>
      </c>
      <c r="U64" s="126">
        <v>0</v>
      </c>
      <c r="V64" s="121" t="s">
        <v>842</v>
      </c>
      <c r="W64" s="118"/>
      <c r="X64" s="118"/>
    </row>
    <row r="65" spans="1:24" ht="13.5">
      <c r="A65" s="120"/>
      <c r="B65" s="118"/>
      <c r="C65" s="118"/>
      <c r="D65" s="118"/>
      <c r="E65" s="118"/>
      <c r="F65" s="118"/>
      <c r="G65" s="120"/>
      <c r="H65" s="120"/>
      <c r="I65" s="120"/>
      <c r="J65" s="120"/>
      <c r="K65" s="120"/>
      <c r="L65" s="120"/>
      <c r="M65" s="120"/>
      <c r="N65" s="519"/>
      <c r="O65" s="125" t="s">
        <v>818</v>
      </c>
      <c r="P65" s="126">
        <v>9600000</v>
      </c>
      <c r="Q65" s="125" t="s">
        <v>840</v>
      </c>
      <c r="R65" s="118"/>
      <c r="S65" s="125" t="s">
        <v>2371</v>
      </c>
      <c r="T65" s="126">
        <f>48000000+3681280-775514-102119-50000-165239-744545+8173130+320000-216110-659187</f>
        <v>57461696</v>
      </c>
      <c r="U65" s="126">
        <v>0</v>
      </c>
      <c r="V65" s="121" t="s">
        <v>843</v>
      </c>
      <c r="W65" s="118"/>
      <c r="X65" s="118"/>
    </row>
    <row r="66" spans="1:24" ht="13.5">
      <c r="A66" s="120"/>
      <c r="B66" s="118"/>
      <c r="C66" s="118"/>
      <c r="D66" s="118"/>
      <c r="E66" s="118"/>
      <c r="F66" s="118"/>
      <c r="G66" s="120"/>
      <c r="H66" s="120"/>
      <c r="I66" s="120"/>
      <c r="J66" s="120"/>
      <c r="K66" s="120"/>
      <c r="L66" s="120"/>
      <c r="M66" s="120"/>
      <c r="N66" s="519"/>
      <c r="O66" s="125" t="s">
        <v>819</v>
      </c>
      <c r="P66" s="126">
        <v>880000</v>
      </c>
      <c r="Q66" s="125" t="s">
        <v>840</v>
      </c>
      <c r="R66" s="118"/>
      <c r="S66" s="125" t="s">
        <v>844</v>
      </c>
      <c r="T66" s="126">
        <v>3650000</v>
      </c>
      <c r="U66" s="126">
        <v>0</v>
      </c>
      <c r="V66" s="125" t="s">
        <v>845</v>
      </c>
      <c r="W66" s="118"/>
      <c r="X66" s="118"/>
    </row>
    <row r="67" spans="1:24" ht="13.5">
      <c r="A67" s="120"/>
      <c r="B67" s="118"/>
      <c r="C67" s="118"/>
      <c r="D67" s="118"/>
      <c r="E67" s="118"/>
      <c r="F67" s="118"/>
      <c r="G67" s="120"/>
      <c r="H67" s="120"/>
      <c r="I67" s="120"/>
      <c r="J67" s="120"/>
      <c r="K67" s="120"/>
      <c r="L67" s="120"/>
      <c r="M67" s="120"/>
      <c r="N67" s="519" t="s">
        <v>820</v>
      </c>
      <c r="O67" s="125" t="s">
        <v>846</v>
      </c>
      <c r="P67" s="126">
        <f>418463853+3000</f>
        <v>418466853</v>
      </c>
      <c r="Q67" s="125" t="s">
        <v>2380</v>
      </c>
      <c r="R67" s="118"/>
      <c r="S67" s="311" t="s">
        <v>847</v>
      </c>
      <c r="T67" s="316">
        <f>SUM(T64:T66)</f>
        <v>641058549</v>
      </c>
      <c r="U67" s="316">
        <f>SUM(U64:U66)</f>
        <v>0</v>
      </c>
      <c r="V67" s="311"/>
      <c r="W67" s="118"/>
      <c r="X67" s="118"/>
    </row>
    <row r="68" spans="1:24" ht="13.5">
      <c r="A68" s="120"/>
      <c r="B68" s="118"/>
      <c r="C68" s="118"/>
      <c r="D68" s="118"/>
      <c r="E68" s="118"/>
      <c r="F68" s="118"/>
      <c r="G68" s="120"/>
      <c r="H68" s="120"/>
      <c r="I68" s="120"/>
      <c r="J68" s="120"/>
      <c r="K68" s="120"/>
      <c r="L68" s="120"/>
      <c r="M68" s="120"/>
      <c r="N68" s="519"/>
      <c r="O68" s="125" t="s">
        <v>848</v>
      </c>
      <c r="P68" s="126">
        <v>2800000</v>
      </c>
      <c r="Q68" s="125" t="s">
        <v>840</v>
      </c>
      <c r="R68" s="118"/>
      <c r="S68" s="118"/>
      <c r="T68" s="118"/>
      <c r="U68" s="118"/>
      <c r="V68" s="118"/>
      <c r="W68" s="118"/>
      <c r="X68" s="118"/>
    </row>
    <row r="69" spans="1:24" ht="13.5">
      <c r="A69" s="120"/>
      <c r="B69" s="118"/>
      <c r="C69" s="118"/>
      <c r="D69" s="118"/>
      <c r="E69" s="118"/>
      <c r="F69" s="118"/>
      <c r="G69" s="120"/>
      <c r="H69" s="120"/>
      <c r="I69" s="120"/>
      <c r="J69" s="120"/>
      <c r="K69" s="120"/>
      <c r="L69" s="120"/>
      <c r="M69" s="120"/>
      <c r="N69" s="519"/>
      <c r="O69" s="125" t="s">
        <v>849</v>
      </c>
      <c r="P69" s="126">
        <v>850000</v>
      </c>
      <c r="Q69" s="125" t="s">
        <v>840</v>
      </c>
      <c r="R69" s="118"/>
      <c r="S69" s="118"/>
      <c r="T69" s="118"/>
      <c r="U69" s="118"/>
      <c r="V69" s="118"/>
      <c r="W69" s="118"/>
      <c r="X69" s="118"/>
    </row>
    <row r="70" spans="1:24" ht="13.5">
      <c r="A70" s="120"/>
      <c r="B70" s="118"/>
      <c r="C70" s="118"/>
      <c r="D70" s="118"/>
      <c r="E70" s="118"/>
      <c r="F70" s="118"/>
      <c r="G70" s="120"/>
      <c r="H70" s="120"/>
      <c r="I70" s="120"/>
      <c r="J70" s="120"/>
      <c r="K70" s="120"/>
      <c r="L70" s="120"/>
      <c r="M70" s="120"/>
      <c r="N70" s="519"/>
      <c r="O70" s="125" t="s">
        <v>835</v>
      </c>
      <c r="P70" s="126">
        <f>8173130+3681280</f>
        <v>11854410</v>
      </c>
      <c r="Q70" s="125" t="s">
        <v>840</v>
      </c>
      <c r="R70" s="118"/>
      <c r="S70" s="118"/>
      <c r="T70" s="118"/>
      <c r="U70" s="118"/>
      <c r="V70" s="118"/>
      <c r="W70" s="118"/>
      <c r="X70" s="118"/>
    </row>
    <row r="71" spans="1:24" ht="13.5">
      <c r="A71" s="120"/>
      <c r="B71" s="118"/>
      <c r="C71" s="118"/>
      <c r="D71" s="118"/>
      <c r="E71" s="118"/>
      <c r="F71" s="118"/>
      <c r="G71" s="120"/>
      <c r="H71" s="120"/>
      <c r="I71" s="120"/>
      <c r="J71" s="120"/>
      <c r="K71" s="120"/>
      <c r="L71" s="120"/>
      <c r="M71" s="120"/>
      <c r="N71" s="519"/>
      <c r="O71" s="125" t="s">
        <v>2373</v>
      </c>
      <c r="P71" s="126">
        <v>320000</v>
      </c>
      <c r="Q71" s="125" t="s">
        <v>840</v>
      </c>
      <c r="R71" s="118"/>
      <c r="S71" s="118"/>
      <c r="T71" s="118"/>
      <c r="U71" s="118"/>
      <c r="V71" s="118"/>
      <c r="W71" s="118"/>
      <c r="X71" s="118"/>
    </row>
    <row r="72" spans="1:24" ht="13.5">
      <c r="A72" s="120"/>
      <c r="B72" s="118"/>
      <c r="C72" s="118"/>
      <c r="D72" s="118"/>
      <c r="E72" s="118"/>
      <c r="F72" s="118"/>
      <c r="G72" s="120"/>
      <c r="H72" s="120"/>
      <c r="I72" s="120"/>
      <c r="J72" s="120"/>
      <c r="K72" s="120"/>
      <c r="L72" s="120"/>
      <c r="M72" s="120"/>
      <c r="N72" s="519"/>
      <c r="O72" s="125" t="s">
        <v>2372</v>
      </c>
      <c r="P72" s="126">
        <v>10000000</v>
      </c>
      <c r="Q72" s="125" t="s">
        <v>840</v>
      </c>
      <c r="R72" s="118"/>
      <c r="S72" s="118"/>
      <c r="T72" s="118"/>
      <c r="U72" s="118"/>
      <c r="V72" s="118"/>
      <c r="W72" s="118"/>
      <c r="X72" s="118"/>
    </row>
    <row r="73" spans="1:24" ht="13.5">
      <c r="A73" s="120"/>
      <c r="B73" s="118"/>
      <c r="C73" s="118"/>
      <c r="D73" s="118"/>
      <c r="E73" s="118"/>
      <c r="F73" s="118"/>
      <c r="G73" s="120"/>
      <c r="H73" s="120"/>
      <c r="I73" s="120"/>
      <c r="J73" s="120"/>
      <c r="K73" s="120"/>
      <c r="L73" s="120"/>
      <c r="M73" s="120"/>
      <c r="N73" s="519"/>
      <c r="O73" s="125" t="s">
        <v>2381</v>
      </c>
      <c r="P73" s="126">
        <v>-216110</v>
      </c>
      <c r="Q73" s="125" t="s">
        <v>2382</v>
      </c>
      <c r="R73" s="118"/>
      <c r="S73" s="118"/>
      <c r="T73" s="118"/>
      <c r="U73" s="118"/>
      <c r="V73" s="118"/>
      <c r="W73" s="118"/>
      <c r="X73" s="118"/>
    </row>
    <row r="74" spans="1:24" ht="13.5">
      <c r="A74" s="120"/>
      <c r="B74" s="118"/>
      <c r="C74" s="118"/>
      <c r="D74" s="118"/>
      <c r="E74" s="118"/>
      <c r="F74" s="118"/>
      <c r="G74" s="120"/>
      <c r="H74" s="120"/>
      <c r="I74" s="120"/>
      <c r="J74" s="120"/>
      <c r="K74" s="120"/>
      <c r="L74" s="120"/>
      <c r="M74" s="120"/>
      <c r="N74" s="520"/>
      <c r="O74" s="125" t="s">
        <v>2375</v>
      </c>
      <c r="P74" s="126">
        <v>-50000</v>
      </c>
      <c r="Q74" s="125" t="s">
        <v>2382</v>
      </c>
      <c r="R74" s="118"/>
      <c r="S74" s="118"/>
      <c r="T74" s="118"/>
      <c r="U74" s="118"/>
      <c r="V74" s="118"/>
      <c r="W74" s="118"/>
      <c r="X74" s="118"/>
    </row>
    <row r="75" spans="1:24" ht="13.5">
      <c r="A75" s="120"/>
      <c r="B75" s="118"/>
      <c r="C75" s="118"/>
      <c r="D75" s="118"/>
      <c r="E75" s="118"/>
      <c r="F75" s="118"/>
      <c r="G75" s="120"/>
      <c r="H75" s="120"/>
      <c r="I75" s="120"/>
      <c r="J75" s="120"/>
      <c r="K75" s="120"/>
      <c r="L75" s="120"/>
      <c r="M75" s="120"/>
      <c r="N75" s="519"/>
      <c r="O75" s="125" t="s">
        <v>2383</v>
      </c>
      <c r="P75" s="126">
        <f>-744545-659187</f>
        <v>-1403732</v>
      </c>
      <c r="Q75" s="125" t="s">
        <v>2382</v>
      </c>
      <c r="R75" s="118"/>
      <c r="S75" s="118"/>
      <c r="T75" s="118"/>
      <c r="U75" s="118"/>
      <c r="V75" s="118"/>
      <c r="W75" s="118"/>
      <c r="X75" s="118"/>
    </row>
    <row r="76" spans="1:24" ht="13.5">
      <c r="A76" s="120"/>
      <c r="B76" s="118"/>
      <c r="C76" s="118"/>
      <c r="D76" s="118"/>
      <c r="E76" s="118"/>
      <c r="F76" s="118"/>
      <c r="G76" s="120"/>
      <c r="H76" s="120"/>
      <c r="I76" s="120"/>
      <c r="J76" s="120"/>
      <c r="K76" s="120"/>
      <c r="L76" s="120"/>
      <c r="M76" s="120"/>
      <c r="N76" s="519"/>
      <c r="O76" s="125" t="s">
        <v>2377</v>
      </c>
      <c r="P76" s="126">
        <f>-195318+30079-775514-102119</f>
        <v>-1042872</v>
      </c>
      <c r="Q76" s="125" t="s">
        <v>2382</v>
      </c>
      <c r="R76" s="118"/>
      <c r="S76" s="118"/>
      <c r="T76" s="118"/>
      <c r="U76" s="118"/>
      <c r="V76" s="118"/>
      <c r="W76" s="118"/>
      <c r="X76" s="118"/>
    </row>
    <row r="77" spans="1:24" ht="13.5">
      <c r="A77" s="120"/>
      <c r="B77" s="118"/>
      <c r="C77" s="118"/>
      <c r="D77" s="118"/>
      <c r="E77" s="118"/>
      <c r="F77" s="118"/>
      <c r="G77" s="120"/>
      <c r="H77" s="120"/>
      <c r="I77" s="120"/>
      <c r="J77" s="120"/>
      <c r="K77" s="120"/>
      <c r="L77" s="120"/>
      <c r="M77" s="120"/>
      <c r="N77" s="521" t="s">
        <v>847</v>
      </c>
      <c r="O77" s="521"/>
      <c r="P77" s="310">
        <f>SUM(P64:P76)</f>
        <v>641058549</v>
      </c>
      <c r="Q77" s="311"/>
      <c r="R77" s="118"/>
      <c r="S77" s="118"/>
      <c r="T77" s="118"/>
      <c r="U77" s="118"/>
      <c r="V77" s="118"/>
      <c r="W77" s="118"/>
      <c r="X77" s="118"/>
    </row>
    <row r="78" spans="1:24">
      <c r="A78" s="120"/>
      <c r="B78" s="118"/>
      <c r="C78" s="118"/>
      <c r="D78" s="118"/>
      <c r="E78" s="118"/>
      <c r="F78" s="118"/>
      <c r="G78" s="120"/>
      <c r="H78" s="120"/>
      <c r="I78" s="120"/>
      <c r="J78" s="120"/>
      <c r="K78" s="120"/>
      <c r="L78" s="120"/>
      <c r="M78" s="120"/>
      <c r="N78" s="118"/>
      <c r="O78" s="118"/>
      <c r="P78" s="118"/>
      <c r="Q78" s="118"/>
      <c r="R78" s="118"/>
      <c r="S78" s="118"/>
      <c r="T78" s="118"/>
      <c r="U78" s="118"/>
      <c r="V78" s="118"/>
      <c r="W78" s="118"/>
      <c r="X78" s="118"/>
    </row>
    <row r="79" spans="1:24">
      <c r="A79" s="120"/>
      <c r="B79" s="118"/>
      <c r="C79" s="118"/>
      <c r="D79" s="118"/>
      <c r="E79" s="118"/>
      <c r="F79" s="118"/>
      <c r="G79" s="120"/>
      <c r="H79" s="120"/>
      <c r="I79" s="120"/>
      <c r="J79" s="120"/>
      <c r="K79" s="120"/>
      <c r="L79" s="120"/>
      <c r="M79" s="120"/>
      <c r="N79" s="118"/>
      <c r="O79" s="118"/>
      <c r="P79" s="118"/>
      <c r="Q79" s="118"/>
      <c r="R79" s="118"/>
      <c r="S79" s="118"/>
      <c r="T79" s="118"/>
      <c r="U79" s="118"/>
      <c r="V79" s="118"/>
      <c r="W79" s="118"/>
      <c r="X79" s="118"/>
    </row>
    <row r="80" spans="1:24">
      <c r="A80" s="120"/>
      <c r="B80" s="118"/>
      <c r="C80" s="118"/>
      <c r="D80" s="118"/>
      <c r="E80" s="118"/>
      <c r="F80" s="118"/>
      <c r="G80" s="120"/>
      <c r="H80" s="120"/>
      <c r="I80" s="120"/>
      <c r="J80" s="120"/>
      <c r="K80" s="120"/>
      <c r="L80" s="120"/>
      <c r="M80" s="120"/>
      <c r="N80" s="118"/>
      <c r="O80" s="118"/>
      <c r="P80" s="118"/>
      <c r="Q80" s="118"/>
      <c r="R80" s="118"/>
      <c r="S80" s="118"/>
      <c r="T80" s="118"/>
      <c r="U80" s="118"/>
      <c r="V80" s="118"/>
      <c r="W80" s="118"/>
      <c r="X80" s="118"/>
    </row>
    <row r="81" spans="1:32">
      <c r="A81" s="120"/>
      <c r="B81" s="118"/>
      <c r="C81" s="118"/>
      <c r="D81" s="118"/>
      <c r="E81" s="118"/>
      <c r="F81" s="118"/>
      <c r="G81" s="120"/>
      <c r="H81" s="120"/>
      <c r="I81" s="120"/>
      <c r="J81" s="120"/>
      <c r="K81" s="120"/>
      <c r="L81" s="120"/>
      <c r="M81" s="120"/>
      <c r="N81" s="118"/>
      <c r="O81" s="118"/>
      <c r="P81" s="118"/>
      <c r="Q81" s="118"/>
      <c r="R81" s="118"/>
      <c r="S81" s="118"/>
      <c r="T81" s="118"/>
      <c r="U81" s="118"/>
      <c r="V81" s="118"/>
      <c r="W81" s="118"/>
      <c r="X81" s="118"/>
    </row>
    <row r="82" spans="1:32">
      <c r="A82" s="120"/>
      <c r="B82" s="118"/>
      <c r="C82" s="118"/>
      <c r="D82" s="118"/>
      <c r="E82" s="118"/>
      <c r="F82" s="118"/>
      <c r="G82" s="120"/>
      <c r="H82" s="120"/>
      <c r="I82" s="120"/>
      <c r="J82" s="120"/>
      <c r="K82" s="120"/>
      <c r="L82" s="120"/>
      <c r="M82" s="120"/>
      <c r="N82" s="118"/>
      <c r="O82" s="118"/>
      <c r="P82" s="118"/>
      <c r="Q82" s="118"/>
      <c r="R82" s="118"/>
      <c r="S82" s="118"/>
      <c r="T82" s="118"/>
      <c r="U82" s="118"/>
      <c r="V82" s="118"/>
      <c r="W82" s="118"/>
      <c r="X82" s="118"/>
    </row>
    <row r="83" spans="1:32">
      <c r="A83" s="120"/>
      <c r="B83" s="118"/>
      <c r="C83" s="118"/>
      <c r="D83" s="118"/>
      <c r="E83" s="118"/>
      <c r="F83" s="118"/>
      <c r="G83" s="120"/>
      <c r="H83" s="120"/>
      <c r="I83" s="120"/>
      <c r="J83" s="120"/>
      <c r="K83" s="120"/>
      <c r="L83" s="120"/>
      <c r="M83" s="120"/>
      <c r="N83" s="118"/>
      <c r="O83" s="118"/>
      <c r="P83" s="118"/>
      <c r="Q83" s="118"/>
      <c r="R83" s="118"/>
      <c r="S83" s="118"/>
      <c r="T83" s="118"/>
      <c r="U83" s="118"/>
      <c r="V83" s="118"/>
      <c r="W83" s="118"/>
      <c r="X83" s="118"/>
    </row>
    <row r="84" spans="1:32">
      <c r="A84" s="120"/>
      <c r="B84" s="118"/>
      <c r="C84" s="118"/>
      <c r="D84" s="118"/>
      <c r="E84" s="118"/>
      <c r="F84" s="118"/>
      <c r="G84" s="120"/>
      <c r="H84" s="120"/>
      <c r="I84" s="120"/>
      <c r="J84" s="120"/>
      <c r="K84" s="120"/>
      <c r="L84" s="120"/>
      <c r="M84" s="120"/>
      <c r="N84" s="118"/>
      <c r="O84" s="118"/>
      <c r="P84" s="118"/>
      <c r="Q84" s="118"/>
      <c r="R84" s="118"/>
      <c r="S84" s="118"/>
      <c r="T84" s="118"/>
      <c r="U84" s="118"/>
      <c r="V84" s="118"/>
      <c r="W84" s="118"/>
      <c r="X84" s="118"/>
    </row>
    <row r="85" spans="1:32">
      <c r="A85" s="120"/>
      <c r="B85" s="118"/>
      <c r="C85" s="118"/>
      <c r="D85" s="118"/>
      <c r="E85" s="118"/>
      <c r="F85" s="118"/>
      <c r="G85" s="120"/>
      <c r="H85" s="120"/>
      <c r="I85" s="120"/>
      <c r="J85" s="120"/>
      <c r="K85" s="120"/>
      <c r="L85" s="120"/>
      <c r="M85" s="120"/>
      <c r="N85" s="118"/>
      <c r="O85" s="118"/>
      <c r="P85" s="118"/>
      <c r="Q85" s="118"/>
      <c r="R85" s="118"/>
      <c r="S85" s="118"/>
      <c r="T85" s="118"/>
      <c r="U85" s="118"/>
      <c r="V85" s="118"/>
      <c r="W85" s="118"/>
      <c r="X85" s="118"/>
    </row>
    <row r="86" spans="1:32">
      <c r="A86" s="120"/>
      <c r="B86" s="118"/>
      <c r="C86" s="118"/>
      <c r="D86" s="118"/>
      <c r="E86" s="118"/>
      <c r="F86" s="118"/>
      <c r="G86" s="120"/>
      <c r="H86" s="120"/>
      <c r="I86" s="120"/>
      <c r="J86" s="120"/>
      <c r="K86" s="120"/>
      <c r="L86" s="120"/>
      <c r="M86" s="120"/>
      <c r="N86" s="118"/>
      <c r="O86" s="118"/>
      <c r="P86" s="118"/>
      <c r="Q86" s="118"/>
      <c r="R86" s="118"/>
      <c r="S86" s="118"/>
      <c r="T86" s="118"/>
      <c r="U86" s="118"/>
      <c r="V86" s="118"/>
      <c r="W86" s="118"/>
      <c r="X86" s="118"/>
    </row>
    <row r="87" spans="1:32">
      <c r="A87" s="120"/>
      <c r="B87" s="118"/>
      <c r="C87" s="118"/>
      <c r="D87" s="118"/>
      <c r="E87" s="118"/>
      <c r="F87" s="118"/>
      <c r="G87" s="120"/>
      <c r="H87" s="120"/>
      <c r="I87" s="120"/>
      <c r="J87" s="120"/>
      <c r="K87" s="120"/>
      <c r="L87" s="120"/>
      <c r="M87" s="120"/>
      <c r="N87" s="118"/>
      <c r="O87" s="118"/>
      <c r="P87" s="118"/>
      <c r="Q87" s="118"/>
      <c r="R87" s="118"/>
      <c r="S87" s="118"/>
      <c r="T87" s="118"/>
      <c r="U87" s="118"/>
      <c r="V87" s="118"/>
      <c r="W87" s="118"/>
      <c r="X87" s="118"/>
    </row>
    <row r="88" spans="1:32" ht="13.5">
      <c r="A88" s="120"/>
      <c r="B88" s="118"/>
      <c r="C88" s="118"/>
      <c r="D88" s="118"/>
      <c r="E88" s="118"/>
      <c r="F88" s="118"/>
      <c r="G88" s="120"/>
      <c r="H88" s="120"/>
      <c r="I88" s="120"/>
      <c r="J88" s="120"/>
      <c r="K88" s="120"/>
      <c r="L88" s="120"/>
      <c r="M88" s="120"/>
      <c r="N88" s="118"/>
      <c r="O88" s="118"/>
      <c r="P88" s="118"/>
      <c r="Q88" s="118"/>
      <c r="R88" s="118"/>
      <c r="S88" s="118"/>
      <c r="T88" s="118"/>
      <c r="U88" s="118"/>
      <c r="V88" s="118"/>
      <c r="W88" s="118"/>
      <c r="X88" s="118"/>
      <c r="Y88" s="128" t="s">
        <v>1024</v>
      </c>
      <c r="Z88" s="128" t="s">
        <v>1025</v>
      </c>
      <c r="AA88" s="128" t="s">
        <v>1026</v>
      </c>
      <c r="AB88" s="128" t="s">
        <v>1027</v>
      </c>
      <c r="AC88" s="128" t="s">
        <v>1028</v>
      </c>
      <c r="AD88" s="128" t="s">
        <v>1029</v>
      </c>
      <c r="AE88" s="128" t="s">
        <v>1030</v>
      </c>
      <c r="AF88" s="128" t="s">
        <v>1031</v>
      </c>
    </row>
    <row r="89" spans="1:32" ht="13.5">
      <c r="A89" s="120"/>
      <c r="B89" s="118"/>
      <c r="C89" s="118"/>
      <c r="D89" s="118"/>
      <c r="E89" s="118"/>
      <c r="F89" s="118"/>
      <c r="G89" s="120"/>
      <c r="H89" s="120"/>
      <c r="I89" s="120"/>
      <c r="J89" s="120"/>
      <c r="K89" s="120"/>
      <c r="L89" s="120"/>
      <c r="M89" s="120"/>
      <c r="N89" s="118"/>
      <c r="O89" s="118"/>
      <c r="P89" s="118"/>
      <c r="Q89" s="118"/>
      <c r="R89" s="118"/>
      <c r="S89" s="118"/>
      <c r="T89" s="118"/>
      <c r="U89" s="118"/>
      <c r="V89" s="118"/>
      <c r="W89" s="118"/>
      <c r="X89" s="118"/>
      <c r="Y89" s="129" t="s">
        <v>850</v>
      </c>
      <c r="Z89" s="130" t="s">
        <v>851</v>
      </c>
      <c r="AA89" s="130" t="s">
        <v>1032</v>
      </c>
      <c r="AB89" s="131">
        <v>1000000</v>
      </c>
      <c r="AC89" s="132">
        <v>0</v>
      </c>
      <c r="AD89" s="130" t="s">
        <v>1033</v>
      </c>
      <c r="AE89" s="132">
        <v>3504294</v>
      </c>
      <c r="AF89" s="130" t="s">
        <v>1034</v>
      </c>
    </row>
    <row r="90" spans="1:32" ht="13.5">
      <c r="A90" s="120"/>
      <c r="B90" s="118"/>
      <c r="C90" s="118"/>
      <c r="D90" s="118"/>
      <c r="E90" s="118"/>
      <c r="F90" s="118"/>
      <c r="G90" s="120"/>
      <c r="H90" s="120"/>
      <c r="I90" s="120"/>
      <c r="J90" s="120"/>
      <c r="K90" s="120"/>
      <c r="L90" s="120"/>
      <c r="M90" s="120"/>
      <c r="N90" s="118"/>
      <c r="O90" s="118"/>
      <c r="P90" s="118"/>
      <c r="Q90" s="118"/>
      <c r="R90" s="118"/>
      <c r="S90" s="118"/>
      <c r="T90" s="118"/>
      <c r="U90" s="118"/>
      <c r="V90" s="118"/>
      <c r="W90" s="118"/>
      <c r="X90" s="118"/>
      <c r="Y90" s="129" t="s">
        <v>852</v>
      </c>
      <c r="Z90" s="130" t="s">
        <v>853</v>
      </c>
      <c r="AA90" s="130" t="s">
        <v>1032</v>
      </c>
      <c r="AB90" s="131">
        <v>1000000</v>
      </c>
      <c r="AC90" s="132">
        <v>0</v>
      </c>
      <c r="AD90" s="130" t="s">
        <v>1033</v>
      </c>
      <c r="AE90" s="132">
        <v>1142252</v>
      </c>
      <c r="AF90" s="130" t="s">
        <v>1034</v>
      </c>
    </row>
    <row r="91" spans="1:32" ht="13.5">
      <c r="A91" s="120"/>
      <c r="B91" s="118"/>
      <c r="C91" s="118"/>
      <c r="D91" s="118"/>
      <c r="E91" s="118"/>
      <c r="F91" s="118"/>
      <c r="G91" s="120"/>
      <c r="H91" s="120"/>
      <c r="I91" s="120"/>
      <c r="J91" s="120"/>
      <c r="K91" s="120"/>
      <c r="L91" s="120"/>
      <c r="M91" s="120"/>
      <c r="N91" s="118"/>
      <c r="O91" s="118"/>
      <c r="P91" s="118"/>
      <c r="Q91" s="118"/>
      <c r="R91" s="118"/>
      <c r="S91" s="118"/>
      <c r="T91" s="118"/>
      <c r="U91" s="118"/>
      <c r="V91" s="118"/>
      <c r="W91" s="118"/>
      <c r="X91" s="118"/>
      <c r="Y91" s="129" t="s">
        <v>854</v>
      </c>
      <c r="Z91" s="130" t="s">
        <v>855</v>
      </c>
      <c r="AA91" s="130" t="s">
        <v>1032</v>
      </c>
      <c r="AB91" s="131">
        <v>1000000</v>
      </c>
      <c r="AC91" s="132">
        <v>0</v>
      </c>
      <c r="AD91" s="130" t="s">
        <v>1033</v>
      </c>
      <c r="AE91" s="132">
        <v>1539606</v>
      </c>
      <c r="AF91" s="130" t="s">
        <v>1034</v>
      </c>
    </row>
    <row r="92" spans="1:32" ht="13.5">
      <c r="A92" s="120"/>
      <c r="B92" s="118"/>
      <c r="C92" s="118"/>
      <c r="D92" s="118"/>
      <c r="E92" s="118"/>
      <c r="F92" s="118"/>
      <c r="G92" s="120"/>
      <c r="H92" s="120"/>
      <c r="I92" s="120"/>
      <c r="J92" s="120"/>
      <c r="K92" s="120"/>
      <c r="L92" s="120"/>
      <c r="M92" s="120"/>
      <c r="N92" s="118"/>
      <c r="O92" s="118"/>
      <c r="P92" s="118"/>
      <c r="Q92" s="118"/>
      <c r="R92" s="118"/>
      <c r="S92" s="118"/>
      <c r="T92" s="118"/>
      <c r="U92" s="118"/>
      <c r="V92" s="118"/>
      <c r="W92" s="118"/>
      <c r="X92" s="118"/>
      <c r="Y92" s="129" t="s">
        <v>856</v>
      </c>
      <c r="Z92" s="130" t="s">
        <v>857</v>
      </c>
      <c r="AA92" s="130" t="s">
        <v>1032</v>
      </c>
      <c r="AB92" s="131">
        <v>1000000</v>
      </c>
      <c r="AC92" s="132">
        <v>0</v>
      </c>
      <c r="AD92" s="130" t="s">
        <v>1033</v>
      </c>
      <c r="AE92" s="132">
        <v>1390334</v>
      </c>
      <c r="AF92" s="130" t="s">
        <v>1034</v>
      </c>
    </row>
    <row r="93" spans="1:32" ht="13.5">
      <c r="A93" s="120"/>
      <c r="B93" s="118"/>
      <c r="C93" s="118"/>
      <c r="D93" s="118"/>
      <c r="E93" s="118"/>
      <c r="F93" s="118"/>
      <c r="G93" s="120"/>
      <c r="H93" s="120"/>
      <c r="I93" s="120"/>
      <c r="J93" s="120"/>
      <c r="K93" s="120"/>
      <c r="L93" s="120"/>
      <c r="M93" s="120"/>
      <c r="N93" s="118"/>
      <c r="O93" s="118"/>
      <c r="P93" s="118"/>
      <c r="Q93" s="118"/>
      <c r="R93" s="118"/>
      <c r="S93" s="118"/>
      <c r="T93" s="118"/>
      <c r="U93" s="118"/>
      <c r="V93" s="118"/>
      <c r="W93" s="118"/>
      <c r="X93" s="118"/>
      <c r="Y93" s="129" t="s">
        <v>858</v>
      </c>
      <c r="Z93" s="130" t="s">
        <v>859</v>
      </c>
      <c r="AA93" s="130" t="s">
        <v>1032</v>
      </c>
      <c r="AB93" s="131">
        <v>1000000</v>
      </c>
      <c r="AC93" s="132">
        <v>0</v>
      </c>
      <c r="AD93" s="130" t="s">
        <v>1033</v>
      </c>
      <c r="AE93" s="132">
        <v>963560</v>
      </c>
      <c r="AF93" s="130" t="s">
        <v>1034</v>
      </c>
    </row>
    <row r="94" spans="1:32" ht="13.5">
      <c r="A94" s="120"/>
      <c r="B94" s="118"/>
      <c r="C94" s="118"/>
      <c r="D94" s="118"/>
      <c r="E94" s="118"/>
      <c r="F94" s="118"/>
      <c r="G94" s="120"/>
      <c r="H94" s="120"/>
      <c r="I94" s="120"/>
      <c r="J94" s="120"/>
      <c r="K94" s="120"/>
      <c r="L94" s="120"/>
      <c r="M94" s="120"/>
      <c r="N94" s="118"/>
      <c r="O94" s="118"/>
      <c r="P94" s="118"/>
      <c r="Q94" s="118"/>
      <c r="R94" s="118"/>
      <c r="S94" s="118"/>
      <c r="T94" s="118"/>
      <c r="U94" s="118"/>
      <c r="V94" s="118"/>
      <c r="W94" s="118"/>
      <c r="X94" s="118"/>
      <c r="Y94" s="129" t="s">
        <v>860</v>
      </c>
      <c r="Z94" s="130" t="s">
        <v>861</v>
      </c>
      <c r="AA94" s="130" t="s">
        <v>1032</v>
      </c>
      <c r="AB94" s="131">
        <v>1000000</v>
      </c>
      <c r="AC94" s="132">
        <v>0</v>
      </c>
      <c r="AD94" s="130" t="s">
        <v>1033</v>
      </c>
      <c r="AE94" s="132">
        <v>1465977</v>
      </c>
      <c r="AF94" s="130" t="s">
        <v>1034</v>
      </c>
    </row>
    <row r="95" spans="1:32" ht="13.5">
      <c r="A95" s="120"/>
      <c r="B95" s="118"/>
      <c r="C95" s="118"/>
      <c r="D95" s="118"/>
      <c r="E95" s="118"/>
      <c r="F95" s="118"/>
      <c r="G95" s="120"/>
      <c r="H95" s="120"/>
      <c r="I95" s="120"/>
      <c r="J95" s="120"/>
      <c r="K95" s="120"/>
      <c r="L95" s="120"/>
      <c r="M95" s="120"/>
      <c r="N95" s="118"/>
      <c r="O95" s="118"/>
      <c r="P95" s="118"/>
      <c r="Q95" s="118"/>
      <c r="R95" s="118"/>
      <c r="S95" s="118"/>
      <c r="T95" s="118"/>
      <c r="U95" s="118"/>
      <c r="V95" s="118"/>
      <c r="W95" s="118"/>
      <c r="X95" s="118"/>
      <c r="Y95" s="129" t="s">
        <v>862</v>
      </c>
      <c r="Z95" s="130" t="s">
        <v>863</v>
      </c>
      <c r="AA95" s="130" t="s">
        <v>1032</v>
      </c>
      <c r="AB95" s="131">
        <v>1000000</v>
      </c>
      <c r="AC95" s="132">
        <v>0</v>
      </c>
      <c r="AD95" s="130" t="s">
        <v>1033</v>
      </c>
      <c r="AE95" s="132">
        <v>2367785</v>
      </c>
      <c r="AF95" s="130" t="s">
        <v>1034</v>
      </c>
    </row>
    <row r="96" spans="1:32" ht="13.5">
      <c r="A96" s="120"/>
      <c r="B96" s="118"/>
      <c r="C96" s="118"/>
      <c r="D96" s="118"/>
      <c r="E96" s="118"/>
      <c r="F96" s="118"/>
      <c r="G96" s="120"/>
      <c r="H96" s="120"/>
      <c r="I96" s="120"/>
      <c r="J96" s="120"/>
      <c r="K96" s="120"/>
      <c r="L96" s="120"/>
      <c r="M96" s="120"/>
      <c r="N96" s="118"/>
      <c r="O96" s="118"/>
      <c r="P96" s="118"/>
      <c r="Q96" s="118"/>
      <c r="R96" s="118"/>
      <c r="S96" s="118"/>
      <c r="T96" s="118"/>
      <c r="U96" s="118"/>
      <c r="V96" s="118"/>
      <c r="W96" s="118"/>
      <c r="X96" s="118"/>
      <c r="Y96" s="129" t="s">
        <v>864</v>
      </c>
      <c r="Z96" s="130" t="s">
        <v>865</v>
      </c>
      <c r="AA96" s="130" t="s">
        <v>1032</v>
      </c>
      <c r="AB96" s="131">
        <v>1000000</v>
      </c>
      <c r="AC96" s="132">
        <v>0</v>
      </c>
      <c r="AD96" s="130" t="s">
        <v>1033</v>
      </c>
      <c r="AE96" s="132">
        <v>1995236</v>
      </c>
      <c r="AF96" s="130" t="s">
        <v>1034</v>
      </c>
    </row>
    <row r="97" spans="1:32" ht="13.5">
      <c r="A97" s="120"/>
      <c r="B97" s="118"/>
      <c r="C97" s="118"/>
      <c r="D97" s="118"/>
      <c r="E97" s="118"/>
      <c r="F97" s="118"/>
      <c r="G97" s="120"/>
      <c r="H97" s="120"/>
      <c r="I97" s="120"/>
      <c r="J97" s="120"/>
      <c r="K97" s="120"/>
      <c r="L97" s="120"/>
      <c r="M97" s="120"/>
      <c r="N97" s="118"/>
      <c r="O97" s="118"/>
      <c r="P97" s="118"/>
      <c r="Q97" s="118"/>
      <c r="R97" s="118"/>
      <c r="S97" s="118"/>
      <c r="T97" s="118"/>
      <c r="U97" s="118"/>
      <c r="V97" s="118"/>
      <c r="W97" s="118"/>
      <c r="X97" s="118"/>
      <c r="Y97" s="129" t="s">
        <v>866</v>
      </c>
      <c r="Z97" s="130" t="s">
        <v>867</v>
      </c>
      <c r="AA97" s="130" t="s">
        <v>1032</v>
      </c>
      <c r="AB97" s="131">
        <v>1000000</v>
      </c>
      <c r="AC97" s="132">
        <v>0</v>
      </c>
      <c r="AD97" s="130" t="s">
        <v>1033</v>
      </c>
      <c r="AE97" s="132">
        <v>1043246</v>
      </c>
      <c r="AF97" s="130" t="s">
        <v>1034</v>
      </c>
    </row>
    <row r="98" spans="1:32" ht="13.5">
      <c r="A98" s="120"/>
      <c r="B98" s="118"/>
      <c r="C98" s="118"/>
      <c r="D98" s="118"/>
      <c r="E98" s="118"/>
      <c r="F98" s="118"/>
      <c r="G98" s="120"/>
      <c r="H98" s="120"/>
      <c r="I98" s="120"/>
      <c r="J98" s="120"/>
      <c r="K98" s="120"/>
      <c r="L98" s="120"/>
      <c r="M98" s="120"/>
      <c r="N98" s="118"/>
      <c r="O98" s="118"/>
      <c r="P98" s="118"/>
      <c r="Q98" s="118"/>
      <c r="R98" s="118"/>
      <c r="S98" s="118"/>
      <c r="T98" s="118"/>
      <c r="U98" s="118"/>
      <c r="V98" s="118"/>
      <c r="W98" s="118"/>
      <c r="X98" s="118"/>
      <c r="Y98" s="129" t="s">
        <v>868</v>
      </c>
      <c r="Z98" s="130" t="s">
        <v>869</v>
      </c>
      <c r="AA98" s="130" t="s">
        <v>1032</v>
      </c>
      <c r="AB98" s="131">
        <v>1000000</v>
      </c>
      <c r="AC98" s="132">
        <v>0</v>
      </c>
      <c r="AD98" s="130" t="s">
        <v>1033</v>
      </c>
      <c r="AE98" s="132">
        <v>2697055</v>
      </c>
      <c r="AF98" s="130" t="s">
        <v>1034</v>
      </c>
    </row>
    <row r="99" spans="1:32" ht="13.5">
      <c r="A99" s="120"/>
      <c r="B99" s="118"/>
      <c r="C99" s="118"/>
      <c r="D99" s="118"/>
      <c r="E99" s="118"/>
      <c r="F99" s="118"/>
      <c r="G99" s="120"/>
      <c r="H99" s="120"/>
      <c r="I99" s="120"/>
      <c r="J99" s="120"/>
      <c r="K99" s="120"/>
      <c r="L99" s="120"/>
      <c r="M99" s="120"/>
      <c r="N99" s="118"/>
      <c r="O99" s="118"/>
      <c r="P99" s="118"/>
      <c r="Q99" s="118"/>
      <c r="R99" s="118"/>
      <c r="S99" s="118"/>
      <c r="T99" s="118"/>
      <c r="U99" s="118"/>
      <c r="V99" s="118"/>
      <c r="W99" s="118"/>
      <c r="X99" s="118"/>
      <c r="Y99" s="129" t="s">
        <v>870</v>
      </c>
      <c r="Z99" s="130" t="s">
        <v>871</v>
      </c>
      <c r="AA99" s="130" t="s">
        <v>1032</v>
      </c>
      <c r="AB99" s="131">
        <v>1000000</v>
      </c>
      <c r="AC99" s="132">
        <v>0</v>
      </c>
      <c r="AD99" s="130" t="s">
        <v>1033</v>
      </c>
      <c r="AE99" s="132">
        <v>1362896</v>
      </c>
      <c r="AF99" s="130" t="s">
        <v>1034</v>
      </c>
    </row>
    <row r="100" spans="1:32" ht="13.5">
      <c r="A100" s="120"/>
      <c r="B100" s="118"/>
      <c r="C100" s="118"/>
      <c r="D100" s="118"/>
      <c r="E100" s="118"/>
      <c r="F100" s="118"/>
      <c r="G100" s="120"/>
      <c r="H100" s="120"/>
      <c r="I100" s="120"/>
      <c r="J100" s="120"/>
      <c r="K100" s="120"/>
      <c r="L100" s="120"/>
      <c r="M100" s="120"/>
      <c r="N100" s="118"/>
      <c r="O100" s="118"/>
      <c r="P100" s="118"/>
      <c r="Q100" s="118"/>
      <c r="R100" s="118"/>
      <c r="S100" s="118"/>
      <c r="T100" s="118"/>
      <c r="U100" s="118"/>
      <c r="V100" s="118"/>
      <c r="W100" s="118"/>
      <c r="X100" s="118"/>
      <c r="Y100" s="129" t="s">
        <v>872</v>
      </c>
      <c r="Z100" s="130" t="s">
        <v>873</v>
      </c>
      <c r="AA100" s="130" t="s">
        <v>1032</v>
      </c>
      <c r="AB100" s="131">
        <v>1000000</v>
      </c>
      <c r="AC100" s="132">
        <v>0</v>
      </c>
      <c r="AD100" s="130" t="s">
        <v>1035</v>
      </c>
      <c r="AE100" s="132">
        <v>2207494</v>
      </c>
      <c r="AF100" s="130" t="s">
        <v>1034</v>
      </c>
    </row>
    <row r="101" spans="1:32" ht="13.5">
      <c r="A101" s="120"/>
      <c r="B101" s="118"/>
      <c r="C101" s="118"/>
      <c r="D101" s="118"/>
      <c r="E101" s="118"/>
      <c r="F101" s="118"/>
      <c r="G101" s="120"/>
      <c r="H101" s="120"/>
      <c r="I101" s="120"/>
      <c r="J101" s="120"/>
      <c r="K101" s="120"/>
      <c r="L101" s="120"/>
      <c r="M101" s="120"/>
      <c r="N101" s="118"/>
      <c r="O101" s="118"/>
      <c r="P101" s="118"/>
      <c r="Q101" s="118"/>
      <c r="R101" s="118"/>
      <c r="S101" s="118"/>
      <c r="T101" s="118"/>
      <c r="U101" s="118"/>
      <c r="V101" s="118"/>
      <c r="W101" s="118"/>
      <c r="X101" s="118"/>
      <c r="Y101" s="129" t="s">
        <v>874</v>
      </c>
      <c r="Z101" s="130" t="s">
        <v>875</v>
      </c>
      <c r="AA101" s="130" t="s">
        <v>1036</v>
      </c>
      <c r="AB101" s="133">
        <v>2000000</v>
      </c>
      <c r="AC101" s="132">
        <v>0</v>
      </c>
      <c r="AD101" s="130" t="s">
        <v>1037</v>
      </c>
      <c r="AE101" s="132">
        <v>1350073</v>
      </c>
      <c r="AF101" s="130" t="s">
        <v>1038</v>
      </c>
    </row>
    <row r="102" spans="1:32" ht="13.5">
      <c r="A102" s="120"/>
      <c r="B102" s="118"/>
      <c r="C102" s="118"/>
      <c r="D102" s="118"/>
      <c r="E102" s="118"/>
      <c r="F102" s="118"/>
      <c r="G102" s="120"/>
      <c r="H102" s="120"/>
      <c r="I102" s="120"/>
      <c r="J102" s="120"/>
      <c r="K102" s="120"/>
      <c r="L102" s="120"/>
      <c r="M102" s="120"/>
      <c r="N102" s="118"/>
      <c r="O102" s="118"/>
      <c r="P102" s="118"/>
      <c r="Q102" s="118"/>
      <c r="R102" s="118"/>
      <c r="S102" s="118"/>
      <c r="T102" s="118"/>
      <c r="U102" s="118"/>
      <c r="V102" s="118"/>
      <c r="W102" s="118"/>
      <c r="X102" s="118"/>
      <c r="Y102" s="129" t="s">
        <v>876</v>
      </c>
      <c r="Z102" s="130" t="s">
        <v>877</v>
      </c>
      <c r="AA102" s="130" t="s">
        <v>1039</v>
      </c>
      <c r="AB102" s="132">
        <v>0</v>
      </c>
      <c r="AC102" s="134">
        <v>1000000</v>
      </c>
      <c r="AD102" s="130" t="s">
        <v>1040</v>
      </c>
      <c r="AE102" s="132">
        <v>2270093</v>
      </c>
      <c r="AF102" s="130" t="s">
        <v>1041</v>
      </c>
    </row>
    <row r="103" spans="1:32" ht="13.5">
      <c r="A103" s="120"/>
      <c r="B103" s="118"/>
      <c r="C103" s="118"/>
      <c r="D103" s="118"/>
      <c r="E103" s="118"/>
      <c r="F103" s="118"/>
      <c r="G103" s="120"/>
      <c r="H103" s="120"/>
      <c r="I103" s="120"/>
      <c r="J103" s="120"/>
      <c r="K103" s="120"/>
      <c r="L103" s="120"/>
      <c r="M103" s="120"/>
      <c r="N103" s="118"/>
      <c r="O103" s="118"/>
      <c r="P103" s="118"/>
      <c r="Q103" s="118"/>
      <c r="R103" s="118"/>
      <c r="S103" s="118"/>
      <c r="T103" s="118"/>
      <c r="U103" s="118"/>
      <c r="V103" s="118"/>
      <c r="W103" s="118"/>
      <c r="X103" s="118"/>
      <c r="Y103" s="129" t="s">
        <v>878</v>
      </c>
      <c r="Z103" s="130" t="s">
        <v>879</v>
      </c>
      <c r="AA103" s="130" t="s">
        <v>1036</v>
      </c>
      <c r="AB103" s="133">
        <v>2000000</v>
      </c>
      <c r="AC103" s="132">
        <v>0</v>
      </c>
      <c r="AD103" s="130" t="s">
        <v>1037</v>
      </c>
      <c r="AE103" s="132">
        <v>1851761</v>
      </c>
      <c r="AF103" s="130" t="s">
        <v>1038</v>
      </c>
    </row>
    <row r="104" spans="1:32" ht="13.5">
      <c r="A104" s="120"/>
      <c r="B104" s="118"/>
      <c r="C104" s="118"/>
      <c r="D104" s="118"/>
      <c r="E104" s="118"/>
      <c r="F104" s="118"/>
      <c r="G104" s="120"/>
      <c r="H104" s="120"/>
      <c r="I104" s="120"/>
      <c r="J104" s="120"/>
      <c r="K104" s="120"/>
      <c r="L104" s="120"/>
      <c r="M104" s="120"/>
      <c r="N104" s="118"/>
      <c r="O104" s="118"/>
      <c r="P104" s="118"/>
      <c r="Q104" s="118"/>
      <c r="R104" s="118"/>
      <c r="S104" s="118"/>
      <c r="T104" s="118"/>
      <c r="U104" s="118"/>
      <c r="V104" s="118"/>
      <c r="W104" s="118"/>
      <c r="X104" s="118"/>
      <c r="Y104" s="129" t="s">
        <v>880</v>
      </c>
      <c r="Z104" s="130" t="s">
        <v>881</v>
      </c>
      <c r="AA104" s="130" t="s">
        <v>1042</v>
      </c>
      <c r="AB104" s="132">
        <v>0</v>
      </c>
      <c r="AC104" s="134">
        <v>1000000</v>
      </c>
      <c r="AD104" s="130" t="s">
        <v>1040</v>
      </c>
      <c r="AE104" s="132">
        <v>1380451</v>
      </c>
      <c r="AF104" s="130" t="s">
        <v>1041</v>
      </c>
    </row>
    <row r="105" spans="1:32" ht="13.5">
      <c r="R105" s="118"/>
      <c r="S105" s="118"/>
      <c r="T105" s="118"/>
      <c r="U105" s="118"/>
      <c r="V105" s="118"/>
      <c r="W105" s="118"/>
      <c r="X105" s="118"/>
      <c r="Y105" s="129" t="s">
        <v>882</v>
      </c>
      <c r="Z105" s="130" t="s">
        <v>883</v>
      </c>
      <c r="AA105" s="130" t="s">
        <v>1036</v>
      </c>
      <c r="AB105" s="133">
        <v>2000000</v>
      </c>
      <c r="AC105" s="132">
        <v>0</v>
      </c>
      <c r="AD105" s="130" t="s">
        <v>1037</v>
      </c>
      <c r="AE105" s="132">
        <v>3526409</v>
      </c>
      <c r="AF105" s="130" t="s">
        <v>1043</v>
      </c>
    </row>
    <row r="106" spans="1:32" ht="13.5">
      <c r="Y106" s="129" t="s">
        <v>884</v>
      </c>
      <c r="Z106" s="130" t="s">
        <v>885</v>
      </c>
      <c r="AA106" s="130" t="s">
        <v>1042</v>
      </c>
      <c r="AB106" s="132">
        <v>0</v>
      </c>
      <c r="AC106" s="134">
        <v>1000000</v>
      </c>
      <c r="AD106" s="130" t="s">
        <v>1040</v>
      </c>
      <c r="AE106" s="132">
        <v>1204954</v>
      </c>
      <c r="AF106" s="130" t="s">
        <v>1041</v>
      </c>
    </row>
    <row r="107" spans="1:32" ht="13.5">
      <c r="Y107" s="129" t="s">
        <v>886</v>
      </c>
      <c r="Z107" s="130" t="s">
        <v>887</v>
      </c>
      <c r="AA107" s="130" t="s">
        <v>1036</v>
      </c>
      <c r="AB107" s="133">
        <v>2000000</v>
      </c>
      <c r="AC107" s="132">
        <v>0</v>
      </c>
      <c r="AD107" s="130" t="s">
        <v>1037</v>
      </c>
      <c r="AE107" s="132">
        <v>1690797</v>
      </c>
      <c r="AF107" s="130" t="s">
        <v>1043</v>
      </c>
    </row>
    <row r="108" spans="1:32" ht="13.5">
      <c r="Y108" s="129" t="s">
        <v>888</v>
      </c>
      <c r="Z108" s="130" t="s">
        <v>889</v>
      </c>
      <c r="AA108" s="130" t="s">
        <v>1042</v>
      </c>
      <c r="AB108" s="132">
        <v>0</v>
      </c>
      <c r="AC108" s="134">
        <v>1000000</v>
      </c>
      <c r="AD108" s="130" t="s">
        <v>1040</v>
      </c>
      <c r="AE108" s="132">
        <v>1253315</v>
      </c>
      <c r="AF108" s="130" t="s">
        <v>1041</v>
      </c>
    </row>
    <row r="109" spans="1:32" ht="13.5">
      <c r="Y109" s="129" t="s">
        <v>890</v>
      </c>
      <c r="Z109" s="130" t="s">
        <v>891</v>
      </c>
      <c r="AA109" s="130" t="s">
        <v>1036</v>
      </c>
      <c r="AB109" s="133">
        <v>2000000</v>
      </c>
      <c r="AC109" s="132">
        <v>0</v>
      </c>
      <c r="AD109" s="130" t="s">
        <v>1037</v>
      </c>
      <c r="AE109" s="132">
        <v>1119777</v>
      </c>
      <c r="AF109" s="130" t="s">
        <v>1043</v>
      </c>
    </row>
    <row r="110" spans="1:32" ht="13.5">
      <c r="Y110" s="129" t="s">
        <v>892</v>
      </c>
      <c r="Z110" s="130" t="s">
        <v>893</v>
      </c>
      <c r="AA110" s="130" t="s">
        <v>1042</v>
      </c>
      <c r="AB110" s="132">
        <v>0</v>
      </c>
      <c r="AC110" s="134">
        <v>1000000</v>
      </c>
      <c r="AD110" s="130" t="s">
        <v>1040</v>
      </c>
      <c r="AE110" s="132">
        <v>1330457</v>
      </c>
      <c r="AF110" s="130" t="s">
        <v>1041</v>
      </c>
    </row>
    <row r="111" spans="1:32" ht="13.5">
      <c r="Y111" s="129" t="s">
        <v>894</v>
      </c>
      <c r="Z111" s="130" t="s">
        <v>895</v>
      </c>
      <c r="AA111" s="130" t="s">
        <v>1036</v>
      </c>
      <c r="AB111" s="133">
        <v>2000000</v>
      </c>
      <c r="AC111" s="132">
        <v>0</v>
      </c>
      <c r="AD111" s="130" t="s">
        <v>1037</v>
      </c>
      <c r="AE111" s="132">
        <v>832590</v>
      </c>
      <c r="AF111" s="130" t="s">
        <v>1043</v>
      </c>
    </row>
    <row r="112" spans="1:32" ht="13.5">
      <c r="Y112" s="129" t="s">
        <v>896</v>
      </c>
      <c r="Z112" s="130" t="s">
        <v>897</v>
      </c>
      <c r="AA112" s="130" t="s">
        <v>1042</v>
      </c>
      <c r="AB112" s="132">
        <v>0</v>
      </c>
      <c r="AC112" s="134">
        <v>1000000</v>
      </c>
      <c r="AD112" s="130" t="s">
        <v>1040</v>
      </c>
      <c r="AE112" s="132">
        <v>1423250</v>
      </c>
      <c r="AF112" s="130" t="s">
        <v>1041</v>
      </c>
    </row>
    <row r="113" spans="25:32" ht="13.5">
      <c r="Y113" s="129" t="s">
        <v>898</v>
      </c>
      <c r="Z113" s="130" t="s">
        <v>899</v>
      </c>
      <c r="AA113" s="130" t="s">
        <v>1036</v>
      </c>
      <c r="AB113" s="133">
        <v>2000000</v>
      </c>
      <c r="AC113" s="132">
        <v>0</v>
      </c>
      <c r="AD113" s="130" t="s">
        <v>1037</v>
      </c>
      <c r="AE113" s="132">
        <v>2918104</v>
      </c>
      <c r="AF113" s="130" t="s">
        <v>1043</v>
      </c>
    </row>
    <row r="114" spans="25:32" ht="13.5">
      <c r="Y114" s="129" t="s">
        <v>900</v>
      </c>
      <c r="Z114" s="130" t="s">
        <v>901</v>
      </c>
      <c r="AA114" s="130" t="s">
        <v>1042</v>
      </c>
      <c r="AB114" s="132">
        <v>0</v>
      </c>
      <c r="AC114" s="134">
        <v>1000000</v>
      </c>
      <c r="AD114" s="130" t="s">
        <v>1040</v>
      </c>
      <c r="AE114" s="132">
        <v>1745116</v>
      </c>
      <c r="AF114" s="130" t="s">
        <v>1041</v>
      </c>
    </row>
    <row r="115" spans="25:32" ht="13.5">
      <c r="Y115" s="129" t="s">
        <v>902</v>
      </c>
      <c r="Z115" s="130" t="s">
        <v>903</v>
      </c>
      <c r="AA115" s="130" t="s">
        <v>1036</v>
      </c>
      <c r="AB115" s="133">
        <v>2000000</v>
      </c>
      <c r="AC115" s="132">
        <v>0</v>
      </c>
      <c r="AD115" s="130" t="s">
        <v>1037</v>
      </c>
      <c r="AE115" s="132">
        <v>1362196</v>
      </c>
      <c r="AF115" s="130" t="s">
        <v>1043</v>
      </c>
    </row>
    <row r="116" spans="25:32" ht="13.5">
      <c r="Y116" s="129" t="s">
        <v>904</v>
      </c>
      <c r="Z116" s="130" t="s">
        <v>905</v>
      </c>
      <c r="AA116" s="130" t="s">
        <v>1042</v>
      </c>
      <c r="AB116" s="132">
        <v>0</v>
      </c>
      <c r="AC116" s="134">
        <v>1000000</v>
      </c>
      <c r="AD116" s="130" t="s">
        <v>1040</v>
      </c>
      <c r="AE116" s="132">
        <v>3271892</v>
      </c>
      <c r="AF116" s="130" t="s">
        <v>1041</v>
      </c>
    </row>
    <row r="117" spans="25:32" ht="13.5">
      <c r="Y117" s="129" t="s">
        <v>906</v>
      </c>
      <c r="Z117" s="130" t="s">
        <v>907</v>
      </c>
      <c r="AA117" s="130" t="s">
        <v>1036</v>
      </c>
      <c r="AB117" s="133">
        <v>2000000</v>
      </c>
      <c r="AC117" s="132">
        <v>0</v>
      </c>
      <c r="AD117" s="130" t="s">
        <v>1037</v>
      </c>
      <c r="AE117" s="132">
        <v>1035580</v>
      </c>
      <c r="AF117" s="130" t="s">
        <v>1043</v>
      </c>
    </row>
    <row r="118" spans="25:32" ht="13.5">
      <c r="Y118" s="129" t="s">
        <v>908</v>
      </c>
      <c r="Z118" s="130" t="s">
        <v>909</v>
      </c>
      <c r="AA118" s="130" t="s">
        <v>1042</v>
      </c>
      <c r="AB118" s="132">
        <v>0</v>
      </c>
      <c r="AC118" s="134">
        <v>1000000</v>
      </c>
      <c r="AD118" s="130" t="s">
        <v>1040</v>
      </c>
      <c r="AE118" s="132">
        <v>1015431</v>
      </c>
      <c r="AF118" s="130" t="s">
        <v>1041</v>
      </c>
    </row>
    <row r="119" spans="25:32" ht="13.5">
      <c r="Y119" s="129" t="s">
        <v>910</v>
      </c>
      <c r="Z119" s="130" t="s">
        <v>911</v>
      </c>
      <c r="AA119" s="130" t="s">
        <v>1036</v>
      </c>
      <c r="AB119" s="133">
        <v>2000000</v>
      </c>
      <c r="AC119" s="132">
        <v>0</v>
      </c>
      <c r="AD119" s="130" t="s">
        <v>1037</v>
      </c>
      <c r="AE119" s="132">
        <v>1772084</v>
      </c>
      <c r="AF119" s="130" t="s">
        <v>1043</v>
      </c>
    </row>
    <row r="120" spans="25:32" ht="13.5">
      <c r="Y120" s="129" t="s">
        <v>912</v>
      </c>
      <c r="Z120" s="130" t="s">
        <v>913</v>
      </c>
      <c r="AA120" s="130" t="s">
        <v>1042</v>
      </c>
      <c r="AB120" s="132">
        <v>0</v>
      </c>
      <c r="AC120" s="134">
        <v>1000000</v>
      </c>
      <c r="AD120" s="130" t="s">
        <v>1040</v>
      </c>
      <c r="AE120" s="132">
        <v>1108440</v>
      </c>
      <c r="AF120" s="130" t="s">
        <v>1041</v>
      </c>
    </row>
    <row r="121" spans="25:32" ht="13.5">
      <c r="Y121" s="129" t="s">
        <v>914</v>
      </c>
      <c r="Z121" s="130" t="s">
        <v>915</v>
      </c>
      <c r="AA121" s="130" t="s">
        <v>1036</v>
      </c>
      <c r="AB121" s="133">
        <v>2000000</v>
      </c>
      <c r="AC121" s="132">
        <v>0</v>
      </c>
      <c r="AD121" s="130" t="s">
        <v>1037</v>
      </c>
      <c r="AE121" s="132">
        <v>2787552</v>
      </c>
      <c r="AF121" s="130" t="s">
        <v>1043</v>
      </c>
    </row>
    <row r="122" spans="25:32" ht="13.5">
      <c r="Y122" s="129" t="s">
        <v>916</v>
      </c>
      <c r="Z122" s="130" t="s">
        <v>917</v>
      </c>
      <c r="AA122" s="130" t="s">
        <v>1042</v>
      </c>
      <c r="AB122" s="132">
        <v>0</v>
      </c>
      <c r="AC122" s="134">
        <v>1000000</v>
      </c>
      <c r="AD122" s="130" t="s">
        <v>1040</v>
      </c>
      <c r="AE122" s="132">
        <v>1005647</v>
      </c>
      <c r="AF122" s="130" t="s">
        <v>1041</v>
      </c>
    </row>
    <row r="123" spans="25:32" ht="13.5">
      <c r="Y123" s="129" t="s">
        <v>918</v>
      </c>
      <c r="Z123" s="130" t="s">
        <v>919</v>
      </c>
      <c r="AA123" s="130" t="s">
        <v>1036</v>
      </c>
      <c r="AB123" s="133">
        <v>2000000</v>
      </c>
      <c r="AC123" s="132">
        <v>0</v>
      </c>
      <c r="AD123" s="130" t="s">
        <v>1037</v>
      </c>
      <c r="AE123" s="132">
        <v>1600699</v>
      </c>
      <c r="AF123" s="130" t="s">
        <v>1043</v>
      </c>
    </row>
    <row r="124" spans="25:32" ht="13.5">
      <c r="Y124" s="129" t="s">
        <v>920</v>
      </c>
      <c r="Z124" s="130" t="s">
        <v>921</v>
      </c>
      <c r="AA124" s="130" t="s">
        <v>1042</v>
      </c>
      <c r="AB124" s="132">
        <v>0</v>
      </c>
      <c r="AC124" s="134">
        <v>1000000</v>
      </c>
      <c r="AD124" s="130" t="s">
        <v>1040</v>
      </c>
      <c r="AE124" s="132">
        <v>1464188</v>
      </c>
      <c r="AF124" s="130" t="s">
        <v>1041</v>
      </c>
    </row>
    <row r="125" spans="25:32" ht="13.5">
      <c r="Y125" s="129" t="s">
        <v>922</v>
      </c>
      <c r="Z125" s="130" t="s">
        <v>923</v>
      </c>
      <c r="AA125" s="130" t="s">
        <v>1036</v>
      </c>
      <c r="AB125" s="133">
        <v>2000000</v>
      </c>
      <c r="AC125" s="132">
        <v>0</v>
      </c>
      <c r="AD125" s="130" t="s">
        <v>1037</v>
      </c>
      <c r="AE125" s="132">
        <v>1108426</v>
      </c>
      <c r="AF125" s="130" t="s">
        <v>1043</v>
      </c>
    </row>
    <row r="126" spans="25:32" ht="13.5">
      <c r="Y126" s="129" t="s">
        <v>924</v>
      </c>
      <c r="Z126" s="130" t="s">
        <v>925</v>
      </c>
      <c r="AA126" s="130" t="s">
        <v>1042</v>
      </c>
      <c r="AB126" s="132">
        <v>0</v>
      </c>
      <c r="AC126" s="134">
        <v>1000000</v>
      </c>
      <c r="AD126" s="130" t="s">
        <v>1040</v>
      </c>
      <c r="AE126" s="132">
        <v>1048439</v>
      </c>
      <c r="AF126" s="130" t="s">
        <v>1041</v>
      </c>
    </row>
    <row r="127" spans="25:32" ht="13.5">
      <c r="Y127" s="129" t="s">
        <v>926</v>
      </c>
      <c r="Z127" s="130" t="s">
        <v>927</v>
      </c>
      <c r="AA127" s="130" t="s">
        <v>1036</v>
      </c>
      <c r="AB127" s="133">
        <v>2000000</v>
      </c>
      <c r="AC127" s="132">
        <v>0</v>
      </c>
      <c r="AD127" s="130" t="s">
        <v>1037</v>
      </c>
      <c r="AE127" s="132">
        <v>792983</v>
      </c>
      <c r="AF127" s="130" t="s">
        <v>1043</v>
      </c>
    </row>
    <row r="128" spans="25:32" ht="13.5">
      <c r="Y128" s="129" t="s">
        <v>928</v>
      </c>
      <c r="Z128" s="130" t="s">
        <v>929</v>
      </c>
      <c r="AA128" s="130" t="s">
        <v>1042</v>
      </c>
      <c r="AB128" s="132">
        <v>0</v>
      </c>
      <c r="AC128" s="134">
        <v>1000000</v>
      </c>
      <c r="AD128" s="130" t="s">
        <v>1040</v>
      </c>
      <c r="AE128" s="132">
        <v>1177019</v>
      </c>
      <c r="AF128" s="130" t="s">
        <v>1041</v>
      </c>
    </row>
    <row r="129" spans="25:32" ht="13.5">
      <c r="Y129" s="129" t="s">
        <v>930</v>
      </c>
      <c r="Z129" s="130" t="s">
        <v>931</v>
      </c>
      <c r="AA129" s="130" t="s">
        <v>1036</v>
      </c>
      <c r="AB129" s="133">
        <v>2000000</v>
      </c>
      <c r="AC129" s="132">
        <v>0</v>
      </c>
      <c r="AD129" s="130" t="s">
        <v>1037</v>
      </c>
      <c r="AE129" s="132">
        <v>1289348</v>
      </c>
      <c r="AF129" s="130" t="s">
        <v>1043</v>
      </c>
    </row>
    <row r="130" spans="25:32" ht="13.5">
      <c r="Y130" s="129" t="s">
        <v>932</v>
      </c>
      <c r="Z130" s="130" t="s">
        <v>933</v>
      </c>
      <c r="AA130" s="130" t="s">
        <v>1042</v>
      </c>
      <c r="AB130" s="132">
        <v>0</v>
      </c>
      <c r="AC130" s="134">
        <v>1000000</v>
      </c>
      <c r="AD130" s="130" t="s">
        <v>1040</v>
      </c>
      <c r="AE130" s="132">
        <v>1526128</v>
      </c>
      <c r="AF130" s="130" t="s">
        <v>1041</v>
      </c>
    </row>
    <row r="131" spans="25:32" ht="13.5">
      <c r="Y131" s="129" t="s">
        <v>934</v>
      </c>
      <c r="Z131" s="130" t="s">
        <v>935</v>
      </c>
      <c r="AA131" s="130" t="s">
        <v>1036</v>
      </c>
      <c r="AB131" s="133">
        <v>2000000</v>
      </c>
      <c r="AC131" s="132">
        <v>0</v>
      </c>
      <c r="AD131" s="130" t="s">
        <v>1037</v>
      </c>
      <c r="AE131" s="132">
        <v>1774358</v>
      </c>
      <c r="AF131" s="130" t="s">
        <v>1043</v>
      </c>
    </row>
    <row r="132" spans="25:32" ht="13.5">
      <c r="Y132" s="129" t="s">
        <v>936</v>
      </c>
      <c r="Z132" s="130" t="s">
        <v>937</v>
      </c>
      <c r="AA132" s="130" t="s">
        <v>1042</v>
      </c>
      <c r="AB132" s="132">
        <v>0</v>
      </c>
      <c r="AC132" s="134">
        <v>1000000</v>
      </c>
      <c r="AD132" s="130" t="s">
        <v>1040</v>
      </c>
      <c r="AE132" s="132">
        <v>1073402</v>
      </c>
      <c r="AF132" s="130" t="s">
        <v>1041</v>
      </c>
    </row>
    <row r="133" spans="25:32" ht="13.5">
      <c r="Y133" s="129" t="s">
        <v>938</v>
      </c>
      <c r="Z133" s="130" t="s">
        <v>939</v>
      </c>
      <c r="AA133" s="130" t="s">
        <v>1036</v>
      </c>
      <c r="AB133" s="133">
        <v>2000000</v>
      </c>
      <c r="AC133" s="132">
        <v>0</v>
      </c>
      <c r="AD133" s="130" t="s">
        <v>1037</v>
      </c>
      <c r="AE133" s="132">
        <v>356192</v>
      </c>
      <c r="AF133" s="130" t="s">
        <v>1043</v>
      </c>
    </row>
    <row r="134" spans="25:32" ht="13.5">
      <c r="Y134" s="129" t="s">
        <v>940</v>
      </c>
      <c r="Z134" s="130" t="s">
        <v>941</v>
      </c>
      <c r="AA134" s="130" t="s">
        <v>1042</v>
      </c>
      <c r="AB134" s="132">
        <v>0</v>
      </c>
      <c r="AC134" s="134">
        <v>1000000</v>
      </c>
      <c r="AD134" s="130" t="s">
        <v>1040</v>
      </c>
      <c r="AE134" s="132">
        <v>1031500</v>
      </c>
      <c r="AF134" s="130" t="s">
        <v>1041</v>
      </c>
    </row>
    <row r="135" spans="25:32" ht="13.5">
      <c r="Y135" s="129" t="s">
        <v>942</v>
      </c>
      <c r="Z135" s="130" t="s">
        <v>943</v>
      </c>
      <c r="AA135" s="130" t="s">
        <v>1036</v>
      </c>
      <c r="AB135" s="133">
        <v>2000000</v>
      </c>
      <c r="AC135" s="132">
        <v>0</v>
      </c>
      <c r="AD135" s="130" t="s">
        <v>1037</v>
      </c>
      <c r="AE135" s="132">
        <v>971459</v>
      </c>
      <c r="AF135" s="130" t="s">
        <v>1043</v>
      </c>
    </row>
    <row r="136" spans="25:32" ht="13.5">
      <c r="Y136" s="129" t="s">
        <v>944</v>
      </c>
      <c r="Z136" s="130" t="s">
        <v>945</v>
      </c>
      <c r="AA136" s="130" t="s">
        <v>1042</v>
      </c>
      <c r="AB136" s="132">
        <v>0</v>
      </c>
      <c r="AC136" s="134">
        <v>1000000</v>
      </c>
      <c r="AD136" s="130" t="s">
        <v>1040</v>
      </c>
      <c r="AE136" s="132">
        <v>1119520</v>
      </c>
      <c r="AF136" s="130" t="s">
        <v>1041</v>
      </c>
    </row>
    <row r="137" spans="25:32" ht="13.5">
      <c r="Y137" s="129" t="s">
        <v>946</v>
      </c>
      <c r="Z137" s="130" t="s">
        <v>947</v>
      </c>
      <c r="AA137" s="130" t="s">
        <v>1036</v>
      </c>
      <c r="AB137" s="133">
        <v>2000000</v>
      </c>
      <c r="AC137" s="132">
        <v>0</v>
      </c>
      <c r="AD137" s="130" t="s">
        <v>1037</v>
      </c>
      <c r="AE137" s="132">
        <v>564840</v>
      </c>
      <c r="AF137" s="130" t="s">
        <v>1043</v>
      </c>
    </row>
    <row r="138" spans="25:32" ht="13.5">
      <c r="Y138" s="129" t="s">
        <v>948</v>
      </c>
      <c r="Z138" s="130" t="s">
        <v>949</v>
      </c>
      <c r="AA138" s="130" t="s">
        <v>1042</v>
      </c>
      <c r="AB138" s="132">
        <v>0</v>
      </c>
      <c r="AC138" s="134">
        <v>1000000</v>
      </c>
      <c r="AD138" s="130" t="s">
        <v>1040</v>
      </c>
      <c r="AE138" s="132">
        <v>1179705</v>
      </c>
      <c r="AF138" s="130" t="s">
        <v>1041</v>
      </c>
    </row>
    <row r="139" spans="25:32" ht="13.5">
      <c r="Y139" s="129" t="s">
        <v>950</v>
      </c>
      <c r="Z139" s="130" t="s">
        <v>951</v>
      </c>
      <c r="AA139" s="130" t="s">
        <v>1036</v>
      </c>
      <c r="AB139" s="133">
        <v>2000000</v>
      </c>
      <c r="AC139" s="132">
        <v>0</v>
      </c>
      <c r="AD139" s="130" t="s">
        <v>1037</v>
      </c>
      <c r="AE139" s="132">
        <v>2970835</v>
      </c>
      <c r="AF139" s="130" t="s">
        <v>1043</v>
      </c>
    </row>
    <row r="140" spans="25:32" ht="13.5">
      <c r="Y140" s="129" t="s">
        <v>952</v>
      </c>
      <c r="Z140" s="130" t="s">
        <v>953</v>
      </c>
      <c r="AA140" s="130" t="s">
        <v>1042</v>
      </c>
      <c r="AB140" s="132">
        <v>0</v>
      </c>
      <c r="AC140" s="134">
        <v>1000000</v>
      </c>
      <c r="AD140" s="130" t="s">
        <v>1040</v>
      </c>
      <c r="AE140" s="132">
        <v>4325216</v>
      </c>
      <c r="AF140" s="130" t="s">
        <v>1041</v>
      </c>
    </row>
    <row r="141" spans="25:32" ht="13.5">
      <c r="Y141" s="129" t="s">
        <v>954</v>
      </c>
      <c r="Z141" s="130" t="s">
        <v>955</v>
      </c>
      <c r="AA141" s="130" t="s">
        <v>1036</v>
      </c>
      <c r="AB141" s="133">
        <v>2000000</v>
      </c>
      <c r="AC141" s="132">
        <v>0</v>
      </c>
      <c r="AD141" s="130" t="s">
        <v>1037</v>
      </c>
      <c r="AE141" s="132">
        <v>712087</v>
      </c>
      <c r="AF141" s="130" t="s">
        <v>1043</v>
      </c>
    </row>
    <row r="142" spans="25:32" ht="13.5">
      <c r="Y142" s="129" t="s">
        <v>956</v>
      </c>
      <c r="Z142" s="130" t="s">
        <v>957</v>
      </c>
      <c r="AA142" s="130" t="s">
        <v>1042</v>
      </c>
      <c r="AB142" s="132">
        <v>0</v>
      </c>
      <c r="AC142" s="134">
        <v>1000000</v>
      </c>
      <c r="AD142" s="130" t="s">
        <v>1040</v>
      </c>
      <c r="AE142" s="132">
        <v>1192866</v>
      </c>
      <c r="AF142" s="130" t="s">
        <v>1041</v>
      </c>
    </row>
    <row r="143" spans="25:32" ht="13.5">
      <c r="Y143" s="129" t="s">
        <v>958</v>
      </c>
      <c r="Z143" s="130" t="s">
        <v>959</v>
      </c>
      <c r="AA143" s="130" t="s">
        <v>1036</v>
      </c>
      <c r="AB143" s="133">
        <v>2000000</v>
      </c>
      <c r="AC143" s="132">
        <v>0</v>
      </c>
      <c r="AD143" s="130" t="s">
        <v>1037</v>
      </c>
      <c r="AE143" s="132">
        <v>2522096</v>
      </c>
      <c r="AF143" s="130" t="s">
        <v>1043</v>
      </c>
    </row>
    <row r="144" spans="25:32" ht="13.5">
      <c r="Y144" s="129" t="s">
        <v>960</v>
      </c>
      <c r="Z144" s="130" t="s">
        <v>961</v>
      </c>
      <c r="AA144" s="130" t="s">
        <v>1042</v>
      </c>
      <c r="AB144" s="132">
        <v>0</v>
      </c>
      <c r="AC144" s="134">
        <v>1000000</v>
      </c>
      <c r="AD144" s="130" t="s">
        <v>1040</v>
      </c>
      <c r="AE144" s="132">
        <v>3055463</v>
      </c>
      <c r="AF144" s="130" t="s">
        <v>1041</v>
      </c>
    </row>
    <row r="145" spans="25:32" ht="13.5">
      <c r="Y145" s="129" t="s">
        <v>962</v>
      </c>
      <c r="Z145" s="130" t="s">
        <v>963</v>
      </c>
      <c r="AA145" s="130" t="s">
        <v>1036</v>
      </c>
      <c r="AB145" s="133">
        <v>2000000</v>
      </c>
      <c r="AC145" s="132">
        <v>0</v>
      </c>
      <c r="AD145" s="130" t="s">
        <v>1037</v>
      </c>
      <c r="AE145" s="132">
        <v>3290275</v>
      </c>
      <c r="AF145" s="130" t="s">
        <v>1043</v>
      </c>
    </row>
    <row r="146" spans="25:32" ht="13.5">
      <c r="Y146" s="129" t="s">
        <v>964</v>
      </c>
      <c r="Z146" s="130" t="s">
        <v>965</v>
      </c>
      <c r="AA146" s="130" t="s">
        <v>1042</v>
      </c>
      <c r="AB146" s="132">
        <v>0</v>
      </c>
      <c r="AC146" s="134">
        <v>1000000</v>
      </c>
      <c r="AD146" s="130" t="s">
        <v>1040</v>
      </c>
      <c r="AE146" s="132">
        <v>2221746</v>
      </c>
      <c r="AF146" s="130" t="s">
        <v>1041</v>
      </c>
    </row>
    <row r="147" spans="25:32" ht="13.5">
      <c r="Y147" s="129" t="s">
        <v>966</v>
      </c>
      <c r="Z147" s="130" t="s">
        <v>967</v>
      </c>
      <c r="AA147" s="130" t="s">
        <v>1036</v>
      </c>
      <c r="AB147" s="133">
        <v>2000000</v>
      </c>
      <c r="AC147" s="132">
        <v>0</v>
      </c>
      <c r="AD147" s="130" t="s">
        <v>1037</v>
      </c>
      <c r="AE147" s="132">
        <v>3929406</v>
      </c>
      <c r="AF147" s="130" t="s">
        <v>1043</v>
      </c>
    </row>
    <row r="148" spans="25:32" ht="13.5">
      <c r="Y148" s="129" t="s">
        <v>968</v>
      </c>
      <c r="Z148" s="130" t="s">
        <v>969</v>
      </c>
      <c r="AA148" s="130" t="s">
        <v>1042</v>
      </c>
      <c r="AB148" s="132">
        <v>0</v>
      </c>
      <c r="AC148" s="134">
        <v>1000000</v>
      </c>
      <c r="AD148" s="130" t="s">
        <v>1040</v>
      </c>
      <c r="AE148" s="132">
        <v>4291143</v>
      </c>
      <c r="AF148" s="130" t="s">
        <v>1041</v>
      </c>
    </row>
    <row r="149" spans="25:32" ht="13.5">
      <c r="Y149" s="129" t="s">
        <v>970</v>
      </c>
      <c r="Z149" s="130" t="s">
        <v>971</v>
      </c>
      <c r="AA149" s="130" t="s">
        <v>1036</v>
      </c>
      <c r="AB149" s="133">
        <v>2000000</v>
      </c>
      <c r="AC149" s="132">
        <v>0</v>
      </c>
      <c r="AD149" s="130" t="s">
        <v>1037</v>
      </c>
      <c r="AE149" s="132">
        <v>1588067</v>
      </c>
      <c r="AF149" s="130" t="s">
        <v>1043</v>
      </c>
    </row>
    <row r="150" spans="25:32" ht="13.5">
      <c r="Y150" s="129" t="s">
        <v>972</v>
      </c>
      <c r="Z150" s="130" t="s">
        <v>973</v>
      </c>
      <c r="AA150" s="130" t="s">
        <v>1042</v>
      </c>
      <c r="AB150" s="132">
        <v>0</v>
      </c>
      <c r="AC150" s="134">
        <v>1000000</v>
      </c>
      <c r="AD150" s="130" t="s">
        <v>1040</v>
      </c>
      <c r="AE150" s="132">
        <v>1262560</v>
      </c>
      <c r="AF150" s="130" t="s">
        <v>1041</v>
      </c>
    </row>
    <row r="151" spans="25:32" ht="13.5">
      <c r="Y151" s="129" t="s">
        <v>974</v>
      </c>
      <c r="Z151" s="130" t="s">
        <v>975</v>
      </c>
      <c r="AA151" s="130" t="s">
        <v>1036</v>
      </c>
      <c r="AB151" s="133">
        <v>2000000</v>
      </c>
      <c r="AC151" s="132">
        <v>0</v>
      </c>
      <c r="AD151" s="130" t="s">
        <v>1037</v>
      </c>
      <c r="AE151" s="132">
        <v>1335290</v>
      </c>
      <c r="AF151" s="130" t="s">
        <v>1043</v>
      </c>
    </row>
    <row r="152" spans="25:32" ht="13.5">
      <c r="Y152" s="129" t="s">
        <v>976</v>
      </c>
      <c r="Z152" s="130" t="s">
        <v>977</v>
      </c>
      <c r="AA152" s="130" t="s">
        <v>1042</v>
      </c>
      <c r="AB152" s="132">
        <v>0</v>
      </c>
      <c r="AC152" s="134">
        <v>1000000</v>
      </c>
      <c r="AD152" s="130" t="s">
        <v>1040</v>
      </c>
      <c r="AE152" s="132">
        <v>1204146</v>
      </c>
      <c r="AF152" s="130" t="s">
        <v>1041</v>
      </c>
    </row>
    <row r="153" spans="25:32" ht="13.5">
      <c r="Y153" s="129" t="s">
        <v>978</v>
      </c>
      <c r="Z153" s="130" t="s">
        <v>979</v>
      </c>
      <c r="AA153" s="130" t="s">
        <v>1036</v>
      </c>
      <c r="AB153" s="133">
        <v>2000000</v>
      </c>
      <c r="AC153" s="132">
        <v>0</v>
      </c>
      <c r="AD153" s="130" t="s">
        <v>1037</v>
      </c>
      <c r="AE153" s="132">
        <v>2264306</v>
      </c>
      <c r="AF153" s="130" t="s">
        <v>1043</v>
      </c>
    </row>
    <row r="154" spans="25:32" ht="13.5">
      <c r="Y154" s="129" t="s">
        <v>980</v>
      </c>
      <c r="Z154" s="130" t="s">
        <v>981</v>
      </c>
      <c r="AA154" s="130" t="s">
        <v>1042</v>
      </c>
      <c r="AB154" s="132">
        <v>0</v>
      </c>
      <c r="AC154" s="134">
        <v>1000000</v>
      </c>
      <c r="AD154" s="130" t="s">
        <v>1040</v>
      </c>
      <c r="AE154" s="132">
        <v>2071212</v>
      </c>
      <c r="AF154" s="130" t="s">
        <v>1041</v>
      </c>
    </row>
    <row r="155" spans="25:32" ht="13.5">
      <c r="Y155" s="129" t="s">
        <v>982</v>
      </c>
      <c r="Z155" s="130" t="s">
        <v>983</v>
      </c>
      <c r="AA155" s="130" t="s">
        <v>1036</v>
      </c>
      <c r="AB155" s="133">
        <v>2000000</v>
      </c>
      <c r="AC155" s="132">
        <v>0</v>
      </c>
      <c r="AD155" s="130" t="s">
        <v>1037</v>
      </c>
      <c r="AE155" s="132">
        <v>2823442</v>
      </c>
      <c r="AF155" s="130" t="s">
        <v>1043</v>
      </c>
    </row>
    <row r="156" spans="25:32" ht="13.5">
      <c r="Y156" s="129" t="s">
        <v>984</v>
      </c>
      <c r="Z156" s="130" t="s">
        <v>985</v>
      </c>
      <c r="AA156" s="130" t="s">
        <v>1042</v>
      </c>
      <c r="AB156" s="132">
        <v>0</v>
      </c>
      <c r="AC156" s="134">
        <v>1000000</v>
      </c>
      <c r="AD156" s="130" t="s">
        <v>1040</v>
      </c>
      <c r="AE156" s="132">
        <v>2243109</v>
      </c>
      <c r="AF156" s="130" t="s">
        <v>1041</v>
      </c>
    </row>
    <row r="157" spans="25:32" ht="13.5">
      <c r="Y157" s="129" t="s">
        <v>986</v>
      </c>
      <c r="Z157" s="130" t="s">
        <v>987</v>
      </c>
      <c r="AA157" s="130" t="s">
        <v>1036</v>
      </c>
      <c r="AB157" s="133">
        <v>2000000</v>
      </c>
      <c r="AC157" s="132">
        <v>0</v>
      </c>
      <c r="AD157" s="130" t="s">
        <v>1037</v>
      </c>
      <c r="AE157" s="132">
        <v>1490863</v>
      </c>
      <c r="AF157" s="130" t="s">
        <v>1043</v>
      </c>
    </row>
    <row r="158" spans="25:32" ht="13.5">
      <c r="Y158" s="129" t="s">
        <v>988</v>
      </c>
      <c r="Z158" s="130" t="s">
        <v>989</v>
      </c>
      <c r="AA158" s="130" t="s">
        <v>1042</v>
      </c>
      <c r="AB158" s="132">
        <v>0</v>
      </c>
      <c r="AC158" s="134">
        <v>1000000</v>
      </c>
      <c r="AD158" s="130" t="s">
        <v>1040</v>
      </c>
      <c r="AE158" s="132">
        <v>1085435</v>
      </c>
      <c r="AF158" s="130" t="s">
        <v>1041</v>
      </c>
    </row>
    <row r="159" spans="25:32" ht="13.5">
      <c r="Y159" s="129" t="s">
        <v>990</v>
      </c>
      <c r="Z159" s="130" t="s">
        <v>991</v>
      </c>
      <c r="AA159" s="130" t="s">
        <v>1036</v>
      </c>
      <c r="AB159" s="133">
        <v>2000000</v>
      </c>
      <c r="AC159" s="132">
        <v>0</v>
      </c>
      <c r="AD159" s="130" t="s">
        <v>1037</v>
      </c>
      <c r="AE159" s="132">
        <v>1203865</v>
      </c>
      <c r="AF159" s="130" t="s">
        <v>1043</v>
      </c>
    </row>
    <row r="160" spans="25:32" ht="13.5">
      <c r="Y160" s="129" t="s">
        <v>992</v>
      </c>
      <c r="Z160" s="130" t="s">
        <v>993</v>
      </c>
      <c r="AA160" s="130" t="s">
        <v>1042</v>
      </c>
      <c r="AB160" s="132">
        <v>0</v>
      </c>
      <c r="AC160" s="134">
        <v>1000000</v>
      </c>
      <c r="AD160" s="130" t="s">
        <v>1040</v>
      </c>
      <c r="AE160" s="132">
        <v>1234503</v>
      </c>
      <c r="AF160" s="130" t="s">
        <v>1041</v>
      </c>
    </row>
    <row r="161" spans="25:32" ht="13.5">
      <c r="Y161" s="129" t="s">
        <v>994</v>
      </c>
      <c r="Z161" s="130" t="s">
        <v>995</v>
      </c>
      <c r="AA161" s="130" t="s">
        <v>1036</v>
      </c>
      <c r="AB161" s="133">
        <v>2000000</v>
      </c>
      <c r="AC161" s="132">
        <v>0</v>
      </c>
      <c r="AD161" s="130" t="s">
        <v>1037</v>
      </c>
      <c r="AE161" s="132">
        <v>963923</v>
      </c>
      <c r="AF161" s="130" t="s">
        <v>1043</v>
      </c>
    </row>
    <row r="162" spans="25:32" ht="13.5">
      <c r="Y162" s="129" t="s">
        <v>996</v>
      </c>
      <c r="Z162" s="130" t="s">
        <v>997</v>
      </c>
      <c r="AA162" s="130" t="s">
        <v>1042</v>
      </c>
      <c r="AB162" s="132">
        <v>0</v>
      </c>
      <c r="AC162" s="134">
        <v>1000000</v>
      </c>
      <c r="AD162" s="130" t="s">
        <v>1040</v>
      </c>
      <c r="AE162" s="132">
        <v>2711453</v>
      </c>
      <c r="AF162" s="130" t="s">
        <v>1041</v>
      </c>
    </row>
    <row r="163" spans="25:32" ht="13.5">
      <c r="Y163" s="129" t="s">
        <v>998</v>
      </c>
      <c r="Z163" s="130" t="s">
        <v>999</v>
      </c>
      <c r="AA163" s="130" t="s">
        <v>1036</v>
      </c>
      <c r="AB163" s="133">
        <v>2000000</v>
      </c>
      <c r="AC163" s="132">
        <v>0</v>
      </c>
      <c r="AD163" s="130" t="s">
        <v>1037</v>
      </c>
      <c r="AE163" s="132">
        <v>5978863</v>
      </c>
      <c r="AF163" s="130" t="s">
        <v>1043</v>
      </c>
    </row>
    <row r="164" spans="25:32" ht="13.5">
      <c r="Y164" s="129" t="s">
        <v>1000</v>
      </c>
      <c r="Z164" s="130" t="s">
        <v>1001</v>
      </c>
      <c r="AA164" s="130" t="s">
        <v>1042</v>
      </c>
      <c r="AB164" s="132">
        <v>0</v>
      </c>
      <c r="AC164" s="134">
        <v>1000000</v>
      </c>
      <c r="AD164" s="130" t="s">
        <v>1040</v>
      </c>
      <c r="AE164" s="132">
        <v>1440457</v>
      </c>
      <c r="AF164" s="130" t="s">
        <v>1041</v>
      </c>
    </row>
    <row r="165" spans="25:32" ht="13.5">
      <c r="Y165" s="129" t="s">
        <v>1002</v>
      </c>
      <c r="Z165" s="130" t="s">
        <v>1003</v>
      </c>
      <c r="AA165" s="130" t="s">
        <v>1036</v>
      </c>
      <c r="AB165" s="133">
        <v>2000000</v>
      </c>
      <c r="AC165" s="132">
        <v>0</v>
      </c>
      <c r="AD165" s="130" t="s">
        <v>1037</v>
      </c>
      <c r="AE165" s="132">
        <v>2457355</v>
      </c>
      <c r="AF165" s="130" t="s">
        <v>1043</v>
      </c>
    </row>
    <row r="166" spans="25:32" ht="13.5">
      <c r="Y166" s="129" t="s">
        <v>1004</v>
      </c>
      <c r="Z166" s="130" t="s">
        <v>1005</v>
      </c>
      <c r="AA166" s="130" t="s">
        <v>1042</v>
      </c>
      <c r="AB166" s="132">
        <v>0</v>
      </c>
      <c r="AC166" s="134">
        <v>1000000</v>
      </c>
      <c r="AD166" s="130" t="s">
        <v>1040</v>
      </c>
      <c r="AE166" s="132">
        <v>1472334</v>
      </c>
      <c r="AF166" s="130" t="s">
        <v>1041</v>
      </c>
    </row>
    <row r="167" spans="25:32" ht="13.5">
      <c r="Y167" s="129" t="s">
        <v>1006</v>
      </c>
      <c r="Z167" s="130" t="s">
        <v>1007</v>
      </c>
      <c r="AA167" s="130" t="s">
        <v>1036</v>
      </c>
      <c r="AB167" s="133">
        <v>2000000</v>
      </c>
      <c r="AC167" s="132">
        <v>0</v>
      </c>
      <c r="AD167" s="130" t="s">
        <v>1037</v>
      </c>
      <c r="AE167" s="132">
        <v>1102674</v>
      </c>
      <c r="AF167" s="130" t="s">
        <v>1043</v>
      </c>
    </row>
    <row r="168" spans="25:32" ht="13.5">
      <c r="Y168" s="129" t="s">
        <v>1008</v>
      </c>
      <c r="Z168" s="130" t="s">
        <v>1009</v>
      </c>
      <c r="AA168" s="130" t="s">
        <v>1042</v>
      </c>
      <c r="AB168" s="132">
        <v>0</v>
      </c>
      <c r="AC168" s="134">
        <v>1000000</v>
      </c>
      <c r="AD168" s="130" t="s">
        <v>1040</v>
      </c>
      <c r="AE168" s="132">
        <v>1016037</v>
      </c>
      <c r="AF168" s="130" t="s">
        <v>1041</v>
      </c>
    </row>
    <row r="169" spans="25:32" ht="13.5">
      <c r="Y169" s="129" t="s">
        <v>1010</v>
      </c>
      <c r="Z169" s="130" t="s">
        <v>1011</v>
      </c>
      <c r="AA169" s="130" t="s">
        <v>1036</v>
      </c>
      <c r="AB169" s="133">
        <v>2000000</v>
      </c>
      <c r="AC169" s="132">
        <v>0</v>
      </c>
      <c r="AD169" s="130" t="s">
        <v>1037</v>
      </c>
      <c r="AE169" s="132">
        <v>3008009</v>
      </c>
      <c r="AF169" s="130" t="s">
        <v>1043</v>
      </c>
    </row>
    <row r="170" spans="25:32" ht="13.5">
      <c r="Y170" s="129" t="s">
        <v>1012</v>
      </c>
      <c r="Z170" s="130" t="s">
        <v>1013</v>
      </c>
      <c r="AA170" s="130" t="s">
        <v>1042</v>
      </c>
      <c r="AB170" s="132">
        <v>0</v>
      </c>
      <c r="AC170" s="134">
        <v>1000000</v>
      </c>
      <c r="AD170" s="130" t="s">
        <v>1040</v>
      </c>
      <c r="AE170" s="132">
        <v>2064594</v>
      </c>
      <c r="AF170" s="130" t="s">
        <v>1041</v>
      </c>
    </row>
    <row r="171" spans="25:32" ht="13.5">
      <c r="Y171" s="129" t="s">
        <v>1014</v>
      </c>
      <c r="Z171" s="130" t="s">
        <v>1015</v>
      </c>
      <c r="AA171" s="130" t="s">
        <v>1036</v>
      </c>
      <c r="AB171" s="133">
        <v>2000000</v>
      </c>
      <c r="AC171" s="132">
        <v>0</v>
      </c>
      <c r="AD171" s="130" t="s">
        <v>1037</v>
      </c>
      <c r="AE171" s="132">
        <v>2252304</v>
      </c>
      <c r="AF171" s="130" t="s">
        <v>1043</v>
      </c>
    </row>
    <row r="172" spans="25:32" ht="13.5">
      <c r="Y172" s="129" t="s">
        <v>1016</v>
      </c>
      <c r="Z172" s="130" t="s">
        <v>1005</v>
      </c>
      <c r="AA172" s="130" t="s">
        <v>1042</v>
      </c>
      <c r="AB172" s="132">
        <v>0</v>
      </c>
      <c r="AC172" s="134">
        <v>1000000</v>
      </c>
      <c r="AD172" s="130" t="s">
        <v>1040</v>
      </c>
      <c r="AE172" s="132">
        <v>1882943</v>
      </c>
      <c r="AF172" s="130" t="s">
        <v>1041</v>
      </c>
    </row>
    <row r="173" spans="25:32" ht="13.5">
      <c r="Y173" s="129" t="s">
        <v>1017</v>
      </c>
      <c r="Z173" s="130" t="s">
        <v>1018</v>
      </c>
      <c r="AA173" s="130" t="s">
        <v>1036</v>
      </c>
      <c r="AB173" s="133">
        <v>2000000</v>
      </c>
      <c r="AC173" s="132">
        <v>0</v>
      </c>
      <c r="AD173" s="130" t="s">
        <v>1037</v>
      </c>
      <c r="AE173" s="132">
        <v>2100123</v>
      </c>
      <c r="AF173" s="130" t="s">
        <v>1043</v>
      </c>
    </row>
    <row r="174" spans="25:32" ht="13.5">
      <c r="Y174" s="129" t="s">
        <v>1019</v>
      </c>
      <c r="Z174" s="130" t="s">
        <v>1020</v>
      </c>
      <c r="AA174" s="130" t="s">
        <v>1036</v>
      </c>
      <c r="AB174" s="133">
        <v>2000000</v>
      </c>
      <c r="AC174" s="132">
        <v>0</v>
      </c>
      <c r="AD174" s="130" t="s">
        <v>1037</v>
      </c>
      <c r="AE174" s="132">
        <v>5151275</v>
      </c>
      <c r="AF174" s="130" t="s">
        <v>1043</v>
      </c>
    </row>
    <row r="175" spans="25:32" ht="13.5">
      <c r="Y175" s="129" t="s">
        <v>1021</v>
      </c>
      <c r="Z175" s="130" t="s">
        <v>1022</v>
      </c>
      <c r="AA175" s="130" t="s">
        <v>1044</v>
      </c>
      <c r="AB175" s="132">
        <v>0</v>
      </c>
      <c r="AC175" s="134">
        <v>700000</v>
      </c>
      <c r="AD175" s="130"/>
      <c r="AE175" s="132">
        <v>4222054</v>
      </c>
      <c r="AF175" s="130" t="s">
        <v>1043</v>
      </c>
    </row>
    <row r="176" spans="25:32" ht="13.5">
      <c r="Y176" s="129" t="s">
        <v>1021</v>
      </c>
      <c r="Z176" s="130" t="s">
        <v>1023</v>
      </c>
      <c r="AA176" s="130" t="s">
        <v>1039</v>
      </c>
      <c r="AB176" s="132">
        <v>0</v>
      </c>
      <c r="AC176" s="134">
        <v>3300000</v>
      </c>
      <c r="AD176" s="130" t="s">
        <v>1040</v>
      </c>
      <c r="AE176" s="132">
        <v>3522054</v>
      </c>
      <c r="AF176" s="130" t="s">
        <v>1041</v>
      </c>
    </row>
  </sheetData>
  <autoFilter ref="B3:G35" xr:uid="{00000000-0009-0000-0000-000000000000}"/>
  <mergeCells count="4">
    <mergeCell ref="A1:L1"/>
    <mergeCell ref="N64:N66"/>
    <mergeCell ref="N67:N76"/>
    <mergeCell ref="N77:O77"/>
  </mergeCells>
  <phoneticPr fontId="5" type="noConversion"/>
  <hyperlinks>
    <hyperlink ref="Q16" r:id="rId1" display="링크 참조" xr:uid="{DB98A5B5-4DF3-4A7A-A7BC-776949CBCBCF}"/>
  </hyperlinks>
  <pageMargins left="0.7" right="0.7" top="0.75" bottom="0.75" header="0.3" footer="0.3"/>
  <pageSetup paperSize="9" scale="41" orientation="portrait" r:id="rId2"/>
  <headerFooter>
    <oddHeader>&amp;R&amp;"Aptos"&amp;13&amp;K000000 [ RESTRICTED ]&amp;1#_x000D_</oddHeader>
    <oddFooter>&amp;R_x000D_&amp;1#&amp;"Aptos"&amp;5&amp;K000000 [Secure Minds, Secure Finds] 본 문서는 현대건설㈜의 정보자산이므로 무단 전제 및 복제할 수 없으며, 이를 위반할 시에는 당사 사규 및 관련 법규에 의해 제지를 받을 수 있습니다.</oddFooter>
  </headerFooter>
  <drawing r:id="rId3"/>
  <legacyDrawing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I303"/>
  <sheetViews>
    <sheetView zoomScale="85" zoomScaleNormal="85" workbookViewId="0">
      <pane ySplit="2" topLeftCell="A32" activePane="bottomLeft" state="frozen"/>
      <selection activeCell="E8" sqref="E8"/>
      <selection pane="bottomLeft" activeCell="E8" sqref="E8"/>
    </sheetView>
  </sheetViews>
  <sheetFormatPr defaultColWidth="9" defaultRowHeight="13.5"/>
  <cols>
    <col min="1" max="2" width="5.25" style="4" customWidth="1"/>
    <col min="3" max="3" width="13.75" style="114" customWidth="1"/>
    <col min="4" max="4" width="16.625" style="114" bestFit="1" customWidth="1"/>
    <col min="5" max="5" width="20" style="58" customWidth="1"/>
    <col min="6" max="7" width="12.875" style="115" customWidth="1"/>
    <col min="8" max="8" width="12.875" style="116" customWidth="1"/>
    <col min="9" max="9" width="28.125" style="117" bestFit="1" customWidth="1"/>
    <col min="10" max="16384" width="9" style="107"/>
  </cols>
  <sheetData>
    <row r="1" spans="1:9" ht="33" customHeight="1">
      <c r="A1" s="522" t="s">
        <v>489</v>
      </c>
      <c r="B1" s="522"/>
      <c r="C1" s="522"/>
      <c r="D1" s="522"/>
      <c r="E1" s="522"/>
      <c r="F1" s="522"/>
      <c r="G1" s="522"/>
      <c r="H1" s="522"/>
      <c r="I1" s="522"/>
    </row>
    <row r="2" spans="1:9" s="58" customFormat="1" ht="18" customHeight="1">
      <c r="A2" s="40" t="s">
        <v>490</v>
      </c>
      <c r="B2" s="108" t="s">
        <v>491</v>
      </c>
      <c r="C2" s="108" t="s">
        <v>492</v>
      </c>
      <c r="D2" s="109" t="s">
        <v>449</v>
      </c>
      <c r="E2" s="109" t="s">
        <v>493</v>
      </c>
      <c r="F2" s="110" t="s">
        <v>494</v>
      </c>
      <c r="G2" s="110" t="s">
        <v>495</v>
      </c>
      <c r="H2" s="111" t="s">
        <v>496</v>
      </c>
      <c r="I2" s="109" t="s">
        <v>153</v>
      </c>
    </row>
    <row r="3" spans="1:9" s="58" customFormat="1" ht="18" customHeight="1">
      <c r="A3" s="40">
        <f t="shared" ref="A3:A138" si="0">ROW()-2</f>
        <v>1</v>
      </c>
      <c r="B3" s="40" t="s">
        <v>3</v>
      </c>
      <c r="C3" s="50">
        <v>43237</v>
      </c>
      <c r="D3" s="109" t="s">
        <v>497</v>
      </c>
      <c r="E3" s="109" t="s">
        <v>498</v>
      </c>
      <c r="F3" s="112">
        <v>5</v>
      </c>
      <c r="G3" s="112">
        <f>F3</f>
        <v>5</v>
      </c>
      <c r="H3" s="111" t="s">
        <v>499</v>
      </c>
      <c r="I3" s="109"/>
    </row>
    <row r="4" spans="1:9" s="58" customFormat="1" ht="18" customHeight="1">
      <c r="A4" s="40">
        <f t="shared" si="0"/>
        <v>2</v>
      </c>
      <c r="B4" s="40" t="s">
        <v>3</v>
      </c>
      <c r="C4" s="50">
        <v>43239</v>
      </c>
      <c r="D4" s="109" t="s">
        <v>500</v>
      </c>
      <c r="E4" s="109" t="s">
        <v>501</v>
      </c>
      <c r="F4" s="112">
        <v>10</v>
      </c>
      <c r="G4" s="112">
        <f>F4+G3</f>
        <v>15</v>
      </c>
      <c r="H4" s="111" t="s">
        <v>502</v>
      </c>
      <c r="I4" s="109"/>
    </row>
    <row r="5" spans="1:9" s="58" customFormat="1" ht="18" customHeight="1">
      <c r="A5" s="40">
        <f t="shared" si="0"/>
        <v>3</v>
      </c>
      <c r="B5" s="40" t="s">
        <v>3</v>
      </c>
      <c r="C5" s="50">
        <v>43241</v>
      </c>
      <c r="D5" s="109" t="s">
        <v>497</v>
      </c>
      <c r="E5" s="109" t="s">
        <v>503</v>
      </c>
      <c r="F5" s="112">
        <v>5</v>
      </c>
      <c r="G5" s="112">
        <f t="shared" ref="G5:G68" si="1">F5+G4</f>
        <v>20</v>
      </c>
      <c r="H5" s="111" t="s">
        <v>499</v>
      </c>
      <c r="I5" s="109"/>
    </row>
    <row r="6" spans="1:9" s="58" customFormat="1" ht="18" customHeight="1">
      <c r="A6" s="40">
        <f t="shared" si="0"/>
        <v>4</v>
      </c>
      <c r="B6" s="40" t="s">
        <v>3</v>
      </c>
      <c r="C6" s="50">
        <v>43251</v>
      </c>
      <c r="D6" s="109" t="s">
        <v>504</v>
      </c>
      <c r="E6" s="113" t="s">
        <v>505</v>
      </c>
      <c r="F6" s="112">
        <v>20</v>
      </c>
      <c r="G6" s="112">
        <f t="shared" si="1"/>
        <v>40</v>
      </c>
      <c r="H6" s="111" t="s">
        <v>506</v>
      </c>
      <c r="I6" s="109"/>
    </row>
    <row r="7" spans="1:9" s="58" customFormat="1" ht="18" customHeight="1">
      <c r="A7" s="40">
        <f t="shared" si="0"/>
        <v>5</v>
      </c>
      <c r="B7" s="40" t="s">
        <v>3</v>
      </c>
      <c r="C7" s="50">
        <v>43251</v>
      </c>
      <c r="D7" s="109" t="s">
        <v>507</v>
      </c>
      <c r="E7" s="109" t="s">
        <v>508</v>
      </c>
      <c r="F7" s="112">
        <v>5</v>
      </c>
      <c r="G7" s="112">
        <f t="shared" si="1"/>
        <v>45</v>
      </c>
      <c r="H7" s="111" t="s">
        <v>506</v>
      </c>
      <c r="I7" s="109"/>
    </row>
    <row r="8" spans="1:9" s="58" customFormat="1" ht="18" customHeight="1">
      <c r="A8" s="40">
        <f t="shared" si="0"/>
        <v>6</v>
      </c>
      <c r="B8" s="40" t="s">
        <v>3</v>
      </c>
      <c r="C8" s="50">
        <v>43251</v>
      </c>
      <c r="D8" s="109" t="s">
        <v>497</v>
      </c>
      <c r="E8" s="109" t="s">
        <v>509</v>
      </c>
      <c r="F8" s="112">
        <v>10</v>
      </c>
      <c r="G8" s="112">
        <f t="shared" si="1"/>
        <v>55</v>
      </c>
      <c r="H8" s="111" t="s">
        <v>499</v>
      </c>
      <c r="I8" s="109"/>
    </row>
    <row r="9" spans="1:9" s="58" customFormat="1" ht="18" customHeight="1">
      <c r="A9" s="40">
        <f t="shared" si="0"/>
        <v>7</v>
      </c>
      <c r="B9" s="40" t="s">
        <v>3</v>
      </c>
      <c r="C9" s="50">
        <v>43251</v>
      </c>
      <c r="D9" s="109" t="s">
        <v>497</v>
      </c>
      <c r="E9" s="109" t="s">
        <v>510</v>
      </c>
      <c r="F9" s="112">
        <v>5</v>
      </c>
      <c r="G9" s="112">
        <f t="shared" si="1"/>
        <v>60</v>
      </c>
      <c r="H9" s="111" t="s">
        <v>499</v>
      </c>
      <c r="I9" s="109"/>
    </row>
    <row r="10" spans="1:9" s="58" customFormat="1" ht="18" customHeight="1">
      <c r="A10" s="40">
        <f t="shared" si="0"/>
        <v>8</v>
      </c>
      <c r="B10" s="40" t="s">
        <v>3</v>
      </c>
      <c r="C10" s="50">
        <v>43252</v>
      </c>
      <c r="D10" s="109" t="s">
        <v>497</v>
      </c>
      <c r="E10" s="109" t="s">
        <v>511</v>
      </c>
      <c r="F10" s="112">
        <v>5</v>
      </c>
      <c r="G10" s="112">
        <f t="shared" si="1"/>
        <v>65</v>
      </c>
      <c r="H10" s="111" t="s">
        <v>499</v>
      </c>
      <c r="I10" s="109"/>
    </row>
    <row r="11" spans="1:9" s="58" customFormat="1" ht="18" customHeight="1">
      <c r="A11" s="40">
        <f t="shared" si="0"/>
        <v>9</v>
      </c>
      <c r="B11" s="40" t="s">
        <v>3</v>
      </c>
      <c r="C11" s="50">
        <v>43252</v>
      </c>
      <c r="D11" s="109" t="s">
        <v>497</v>
      </c>
      <c r="E11" s="109" t="s">
        <v>512</v>
      </c>
      <c r="F11" s="112">
        <v>3</v>
      </c>
      <c r="G11" s="112">
        <f t="shared" si="1"/>
        <v>68</v>
      </c>
      <c r="H11" s="111" t="s">
        <v>499</v>
      </c>
      <c r="I11" s="109"/>
    </row>
    <row r="12" spans="1:9" s="58" customFormat="1" ht="18" customHeight="1">
      <c r="A12" s="40">
        <f t="shared" si="0"/>
        <v>10</v>
      </c>
      <c r="B12" s="40" t="s">
        <v>3</v>
      </c>
      <c r="C12" s="50">
        <v>43252</v>
      </c>
      <c r="D12" s="109" t="s">
        <v>504</v>
      </c>
      <c r="E12" s="109" t="s">
        <v>513</v>
      </c>
      <c r="F12" s="112">
        <v>5</v>
      </c>
      <c r="G12" s="112">
        <f t="shared" si="1"/>
        <v>73</v>
      </c>
      <c r="H12" s="111" t="s">
        <v>499</v>
      </c>
      <c r="I12" s="109"/>
    </row>
    <row r="13" spans="1:9" s="58" customFormat="1" ht="18" customHeight="1">
      <c r="A13" s="40">
        <f t="shared" si="0"/>
        <v>11</v>
      </c>
      <c r="B13" s="40" t="s">
        <v>3</v>
      </c>
      <c r="C13" s="50">
        <v>43252</v>
      </c>
      <c r="D13" s="109" t="s">
        <v>497</v>
      </c>
      <c r="E13" s="109" t="s">
        <v>514</v>
      </c>
      <c r="F13" s="112">
        <v>5</v>
      </c>
      <c r="G13" s="112">
        <f t="shared" si="1"/>
        <v>78</v>
      </c>
      <c r="H13" s="111" t="s">
        <v>499</v>
      </c>
      <c r="I13" s="109"/>
    </row>
    <row r="14" spans="1:9" s="58" customFormat="1" ht="18" customHeight="1">
      <c r="A14" s="40">
        <f t="shared" si="0"/>
        <v>12</v>
      </c>
      <c r="B14" s="40" t="s">
        <v>3</v>
      </c>
      <c r="C14" s="50">
        <v>43252</v>
      </c>
      <c r="D14" s="109" t="s">
        <v>497</v>
      </c>
      <c r="E14" s="109" t="s">
        <v>515</v>
      </c>
      <c r="F14" s="112">
        <v>5</v>
      </c>
      <c r="G14" s="112">
        <f t="shared" si="1"/>
        <v>83</v>
      </c>
      <c r="H14" s="111" t="s">
        <v>499</v>
      </c>
      <c r="I14" s="109"/>
    </row>
    <row r="15" spans="1:9" s="58" customFormat="1" ht="18" customHeight="1">
      <c r="A15" s="40">
        <f t="shared" si="0"/>
        <v>13</v>
      </c>
      <c r="B15" s="40" t="s">
        <v>3</v>
      </c>
      <c r="C15" s="50">
        <v>43252</v>
      </c>
      <c r="D15" s="109" t="s">
        <v>516</v>
      </c>
      <c r="E15" s="109" t="s">
        <v>517</v>
      </c>
      <c r="F15" s="112">
        <v>5</v>
      </c>
      <c r="G15" s="112">
        <f t="shared" si="1"/>
        <v>88</v>
      </c>
      <c r="H15" s="111" t="s">
        <v>502</v>
      </c>
      <c r="I15" s="109"/>
    </row>
    <row r="16" spans="1:9" s="58" customFormat="1" ht="18" customHeight="1">
      <c r="A16" s="40">
        <f t="shared" si="0"/>
        <v>14</v>
      </c>
      <c r="B16" s="40" t="s">
        <v>3</v>
      </c>
      <c r="C16" s="50">
        <v>43252</v>
      </c>
      <c r="D16" s="109" t="s">
        <v>518</v>
      </c>
      <c r="E16" s="113" t="s">
        <v>519</v>
      </c>
      <c r="F16" s="112">
        <v>30</v>
      </c>
      <c r="G16" s="112">
        <f t="shared" si="1"/>
        <v>118</v>
      </c>
      <c r="H16" s="111" t="s">
        <v>506</v>
      </c>
      <c r="I16" s="109"/>
    </row>
    <row r="17" spans="1:9" s="58" customFormat="1" ht="18" customHeight="1">
      <c r="A17" s="40">
        <f t="shared" si="0"/>
        <v>15</v>
      </c>
      <c r="B17" s="40" t="s">
        <v>3</v>
      </c>
      <c r="C17" s="50">
        <v>43252</v>
      </c>
      <c r="D17" s="109" t="s">
        <v>518</v>
      </c>
      <c r="E17" s="113" t="s">
        <v>520</v>
      </c>
      <c r="F17" s="112">
        <v>30</v>
      </c>
      <c r="G17" s="112">
        <f t="shared" si="1"/>
        <v>148</v>
      </c>
      <c r="H17" s="111" t="s">
        <v>506</v>
      </c>
      <c r="I17" s="109"/>
    </row>
    <row r="18" spans="1:9" s="58" customFormat="1" ht="18" customHeight="1">
      <c r="A18" s="40">
        <f t="shared" si="0"/>
        <v>16</v>
      </c>
      <c r="B18" s="40" t="s">
        <v>3</v>
      </c>
      <c r="C18" s="50">
        <v>43253</v>
      </c>
      <c r="D18" s="109" t="s">
        <v>497</v>
      </c>
      <c r="E18" s="109" t="s">
        <v>521</v>
      </c>
      <c r="F18" s="112">
        <v>5</v>
      </c>
      <c r="G18" s="112">
        <f t="shared" si="1"/>
        <v>153</v>
      </c>
      <c r="H18" s="111" t="s">
        <v>499</v>
      </c>
      <c r="I18" s="109"/>
    </row>
    <row r="19" spans="1:9" s="58" customFormat="1" ht="18" customHeight="1">
      <c r="A19" s="40">
        <f t="shared" si="0"/>
        <v>17</v>
      </c>
      <c r="B19" s="40" t="s">
        <v>3</v>
      </c>
      <c r="C19" s="50">
        <v>43253</v>
      </c>
      <c r="D19" s="109" t="s">
        <v>497</v>
      </c>
      <c r="E19" s="109" t="s">
        <v>522</v>
      </c>
      <c r="F19" s="112">
        <v>5</v>
      </c>
      <c r="G19" s="112">
        <f t="shared" si="1"/>
        <v>158</v>
      </c>
      <c r="H19" s="111" t="s">
        <v>499</v>
      </c>
      <c r="I19" s="109"/>
    </row>
    <row r="20" spans="1:9" s="58" customFormat="1" ht="18" customHeight="1">
      <c r="A20" s="40">
        <f t="shared" si="0"/>
        <v>18</v>
      </c>
      <c r="B20" s="40" t="s">
        <v>3</v>
      </c>
      <c r="C20" s="50">
        <v>43253</v>
      </c>
      <c r="D20" s="109" t="s">
        <v>497</v>
      </c>
      <c r="E20" s="109" t="s">
        <v>523</v>
      </c>
      <c r="F20" s="112">
        <v>5</v>
      </c>
      <c r="G20" s="112">
        <f t="shared" si="1"/>
        <v>163</v>
      </c>
      <c r="H20" s="111" t="s">
        <v>499</v>
      </c>
      <c r="I20" s="109"/>
    </row>
    <row r="21" spans="1:9" s="58" customFormat="1" ht="18" customHeight="1">
      <c r="A21" s="40">
        <f t="shared" si="0"/>
        <v>19</v>
      </c>
      <c r="B21" s="40" t="s">
        <v>3</v>
      </c>
      <c r="C21" s="50">
        <v>43253</v>
      </c>
      <c r="D21" s="109" t="s">
        <v>497</v>
      </c>
      <c r="E21" s="109" t="s">
        <v>524</v>
      </c>
      <c r="F21" s="112">
        <v>5</v>
      </c>
      <c r="G21" s="112">
        <f t="shared" si="1"/>
        <v>168</v>
      </c>
      <c r="H21" s="111" t="s">
        <v>499</v>
      </c>
      <c r="I21" s="109"/>
    </row>
    <row r="22" spans="1:9" s="58" customFormat="1" ht="18" customHeight="1">
      <c r="A22" s="40">
        <f t="shared" si="0"/>
        <v>20</v>
      </c>
      <c r="B22" s="40" t="s">
        <v>3</v>
      </c>
      <c r="C22" s="50">
        <v>43253</v>
      </c>
      <c r="D22" s="109" t="s">
        <v>507</v>
      </c>
      <c r="E22" s="109" t="s">
        <v>525</v>
      </c>
      <c r="F22" s="112">
        <v>10</v>
      </c>
      <c r="G22" s="112">
        <f t="shared" si="1"/>
        <v>178</v>
      </c>
      <c r="H22" s="111" t="s">
        <v>506</v>
      </c>
      <c r="I22" s="109"/>
    </row>
    <row r="23" spans="1:9" s="58" customFormat="1" ht="18" customHeight="1">
      <c r="A23" s="40">
        <f t="shared" si="0"/>
        <v>21</v>
      </c>
      <c r="B23" s="40" t="s">
        <v>3</v>
      </c>
      <c r="C23" s="50">
        <v>43253</v>
      </c>
      <c r="D23" s="109" t="s">
        <v>518</v>
      </c>
      <c r="E23" s="109" t="s">
        <v>526</v>
      </c>
      <c r="F23" s="112">
        <v>5</v>
      </c>
      <c r="G23" s="112">
        <f t="shared" si="1"/>
        <v>183</v>
      </c>
      <c r="H23" s="111" t="s">
        <v>506</v>
      </c>
      <c r="I23" s="109"/>
    </row>
    <row r="24" spans="1:9" s="58" customFormat="1" ht="18" customHeight="1">
      <c r="A24" s="40">
        <f t="shared" si="0"/>
        <v>22</v>
      </c>
      <c r="B24" s="40">
        <f>ROW()-12</f>
        <v>12</v>
      </c>
      <c r="C24" s="50">
        <v>43253</v>
      </c>
      <c r="D24" s="109"/>
      <c r="E24" s="109" t="s">
        <v>527</v>
      </c>
      <c r="F24" s="112">
        <v>5</v>
      </c>
      <c r="G24" s="112">
        <f t="shared" si="1"/>
        <v>188</v>
      </c>
      <c r="H24" s="111" t="s">
        <v>502</v>
      </c>
      <c r="I24" s="109"/>
    </row>
    <row r="25" spans="1:9" s="58" customFormat="1" ht="18" customHeight="1">
      <c r="A25" s="40">
        <f t="shared" si="0"/>
        <v>23</v>
      </c>
      <c r="B25" s="40">
        <f t="shared" ref="B25:B88" si="2">ROW()-12</f>
        <v>13</v>
      </c>
      <c r="C25" s="50">
        <v>43253</v>
      </c>
      <c r="D25" s="109" t="s">
        <v>497</v>
      </c>
      <c r="E25" s="109" t="s">
        <v>528</v>
      </c>
      <c r="F25" s="112">
        <v>5</v>
      </c>
      <c r="G25" s="112">
        <f t="shared" si="1"/>
        <v>193</v>
      </c>
      <c r="H25" s="111" t="s">
        <v>502</v>
      </c>
      <c r="I25" s="109"/>
    </row>
    <row r="26" spans="1:9" s="58" customFormat="1" ht="18" customHeight="1">
      <c r="A26" s="40">
        <f t="shared" si="0"/>
        <v>24</v>
      </c>
      <c r="B26" s="40">
        <f t="shared" si="2"/>
        <v>14</v>
      </c>
      <c r="C26" s="50">
        <v>43253</v>
      </c>
      <c r="D26" s="109" t="s">
        <v>518</v>
      </c>
      <c r="E26" s="113" t="s">
        <v>529</v>
      </c>
      <c r="F26" s="112">
        <v>15</v>
      </c>
      <c r="G26" s="112">
        <f t="shared" si="1"/>
        <v>208</v>
      </c>
      <c r="H26" s="111" t="s">
        <v>502</v>
      </c>
      <c r="I26" s="109"/>
    </row>
    <row r="27" spans="1:9" s="58" customFormat="1" ht="18" customHeight="1">
      <c r="A27" s="40">
        <f t="shared" si="0"/>
        <v>25</v>
      </c>
      <c r="B27" s="40">
        <f t="shared" si="2"/>
        <v>15</v>
      </c>
      <c r="C27" s="50">
        <v>43253</v>
      </c>
      <c r="D27" s="109" t="s">
        <v>518</v>
      </c>
      <c r="E27" s="113" t="s">
        <v>530</v>
      </c>
      <c r="F27" s="112">
        <v>15</v>
      </c>
      <c r="G27" s="112">
        <f t="shared" si="1"/>
        <v>223</v>
      </c>
      <c r="H27" s="111" t="s">
        <v>502</v>
      </c>
      <c r="I27" s="109"/>
    </row>
    <row r="28" spans="1:9" s="58" customFormat="1" ht="18" customHeight="1">
      <c r="A28" s="40">
        <f t="shared" si="0"/>
        <v>26</v>
      </c>
      <c r="B28" s="40">
        <f t="shared" si="2"/>
        <v>16</v>
      </c>
      <c r="C28" s="50">
        <v>43253</v>
      </c>
      <c r="D28" s="109" t="s">
        <v>497</v>
      </c>
      <c r="E28" s="109" t="s">
        <v>531</v>
      </c>
      <c r="F28" s="112">
        <v>10</v>
      </c>
      <c r="G28" s="112">
        <f t="shared" si="1"/>
        <v>233</v>
      </c>
      <c r="H28" s="111" t="s">
        <v>502</v>
      </c>
      <c r="I28" s="109"/>
    </row>
    <row r="29" spans="1:9" s="58" customFormat="1" ht="18" customHeight="1">
      <c r="A29" s="40">
        <f t="shared" si="0"/>
        <v>27</v>
      </c>
      <c r="B29" s="40">
        <f t="shared" si="2"/>
        <v>17</v>
      </c>
      <c r="C29" s="50">
        <v>43253</v>
      </c>
      <c r="D29" s="109" t="s">
        <v>518</v>
      </c>
      <c r="E29" s="109" t="s">
        <v>532</v>
      </c>
      <c r="F29" s="112">
        <v>5</v>
      </c>
      <c r="G29" s="112">
        <f t="shared" si="1"/>
        <v>238</v>
      </c>
      <c r="H29" s="111" t="s">
        <v>502</v>
      </c>
      <c r="I29" s="109"/>
    </row>
    <row r="30" spans="1:9" s="58" customFormat="1" ht="18" customHeight="1">
      <c r="A30" s="40">
        <f t="shared" si="0"/>
        <v>28</v>
      </c>
      <c r="B30" s="40">
        <f t="shared" si="2"/>
        <v>18</v>
      </c>
      <c r="C30" s="50">
        <v>43253</v>
      </c>
      <c r="D30" s="109" t="s">
        <v>518</v>
      </c>
      <c r="E30" s="109" t="s">
        <v>533</v>
      </c>
      <c r="F30" s="112">
        <v>5</v>
      </c>
      <c r="G30" s="112">
        <f t="shared" si="1"/>
        <v>243</v>
      </c>
      <c r="H30" s="111" t="s">
        <v>502</v>
      </c>
      <c r="I30" s="109"/>
    </row>
    <row r="31" spans="1:9" s="58" customFormat="1" ht="18" customHeight="1">
      <c r="A31" s="40">
        <f t="shared" si="0"/>
        <v>29</v>
      </c>
      <c r="B31" s="40">
        <f t="shared" si="2"/>
        <v>19</v>
      </c>
      <c r="C31" s="50">
        <v>43253</v>
      </c>
      <c r="D31" s="109" t="s">
        <v>534</v>
      </c>
      <c r="E31" s="109" t="s">
        <v>535</v>
      </c>
      <c r="F31" s="112">
        <v>5</v>
      </c>
      <c r="G31" s="112">
        <f t="shared" si="1"/>
        <v>248</v>
      </c>
      <c r="H31" s="111" t="s">
        <v>502</v>
      </c>
      <c r="I31" s="109"/>
    </row>
    <row r="32" spans="1:9" s="58" customFormat="1" ht="18" customHeight="1">
      <c r="A32" s="40">
        <f t="shared" si="0"/>
        <v>30</v>
      </c>
      <c r="B32" s="40">
        <f t="shared" si="2"/>
        <v>20</v>
      </c>
      <c r="C32" s="50">
        <v>43253</v>
      </c>
      <c r="D32" s="109" t="s">
        <v>518</v>
      </c>
      <c r="E32" s="109" t="s">
        <v>536</v>
      </c>
      <c r="F32" s="112">
        <v>5</v>
      </c>
      <c r="G32" s="112">
        <f t="shared" si="1"/>
        <v>253</v>
      </c>
      <c r="H32" s="111" t="s">
        <v>502</v>
      </c>
      <c r="I32" s="109"/>
    </row>
    <row r="33" spans="1:9" s="58" customFormat="1" ht="18" customHeight="1">
      <c r="A33" s="40">
        <f t="shared" si="0"/>
        <v>31</v>
      </c>
      <c r="B33" s="40">
        <f t="shared" si="2"/>
        <v>21</v>
      </c>
      <c r="C33" s="50">
        <v>43253</v>
      </c>
      <c r="D33" s="109" t="s">
        <v>500</v>
      </c>
      <c r="E33" s="113" t="s">
        <v>537</v>
      </c>
      <c r="F33" s="112">
        <v>30</v>
      </c>
      <c r="G33" s="112">
        <f t="shared" si="1"/>
        <v>283</v>
      </c>
      <c r="H33" s="111" t="s">
        <v>502</v>
      </c>
      <c r="I33" s="109"/>
    </row>
    <row r="34" spans="1:9" s="58" customFormat="1" ht="18" customHeight="1">
      <c r="A34" s="40">
        <f t="shared" si="0"/>
        <v>32</v>
      </c>
      <c r="B34" s="40">
        <f t="shared" si="2"/>
        <v>22</v>
      </c>
      <c r="C34" s="50">
        <v>43253</v>
      </c>
      <c r="D34" s="109" t="s">
        <v>534</v>
      </c>
      <c r="E34" s="109" t="s">
        <v>538</v>
      </c>
      <c r="F34" s="112">
        <v>5</v>
      </c>
      <c r="G34" s="112">
        <f t="shared" si="1"/>
        <v>288</v>
      </c>
      <c r="H34" s="111" t="s">
        <v>502</v>
      </c>
      <c r="I34" s="109"/>
    </row>
    <row r="35" spans="1:9" ht="18" customHeight="1">
      <c r="A35" s="40">
        <f t="shared" si="0"/>
        <v>33</v>
      </c>
      <c r="B35" s="40">
        <f t="shared" si="2"/>
        <v>23</v>
      </c>
      <c r="C35" s="50">
        <v>43253</v>
      </c>
      <c r="D35" s="109" t="s">
        <v>534</v>
      </c>
      <c r="E35" s="109" t="s">
        <v>539</v>
      </c>
      <c r="F35" s="112">
        <v>5</v>
      </c>
      <c r="G35" s="112">
        <f t="shared" si="1"/>
        <v>293</v>
      </c>
      <c r="H35" s="111" t="s">
        <v>502</v>
      </c>
      <c r="I35" s="109"/>
    </row>
    <row r="36" spans="1:9" ht="18" customHeight="1">
      <c r="A36" s="40">
        <f t="shared" si="0"/>
        <v>34</v>
      </c>
      <c r="B36" s="40">
        <f t="shared" si="2"/>
        <v>24</v>
      </c>
      <c r="C36" s="50">
        <v>43253</v>
      </c>
      <c r="D36" s="109" t="s">
        <v>518</v>
      </c>
      <c r="E36" s="109" t="s">
        <v>540</v>
      </c>
      <c r="F36" s="112">
        <v>5</v>
      </c>
      <c r="G36" s="112">
        <f t="shared" si="1"/>
        <v>298</v>
      </c>
      <c r="H36" s="111" t="s">
        <v>502</v>
      </c>
      <c r="I36" s="109"/>
    </row>
    <row r="37" spans="1:9" ht="18" customHeight="1">
      <c r="A37" s="40">
        <f t="shared" si="0"/>
        <v>35</v>
      </c>
      <c r="B37" s="40">
        <f t="shared" si="2"/>
        <v>25</v>
      </c>
      <c r="C37" s="50">
        <v>43253</v>
      </c>
      <c r="D37" s="109" t="s">
        <v>534</v>
      </c>
      <c r="E37" s="109" t="s">
        <v>541</v>
      </c>
      <c r="F37" s="112">
        <v>10</v>
      </c>
      <c r="G37" s="112">
        <f t="shared" si="1"/>
        <v>308</v>
      </c>
      <c r="H37" s="111" t="s">
        <v>502</v>
      </c>
      <c r="I37" s="109"/>
    </row>
    <row r="38" spans="1:9" ht="18" customHeight="1">
      <c r="A38" s="40">
        <f t="shared" si="0"/>
        <v>36</v>
      </c>
      <c r="B38" s="40">
        <f t="shared" si="2"/>
        <v>26</v>
      </c>
      <c r="C38" s="50">
        <v>43253</v>
      </c>
      <c r="D38" s="109"/>
      <c r="E38" s="109" t="s">
        <v>542</v>
      </c>
      <c r="F38" s="112">
        <v>5</v>
      </c>
      <c r="G38" s="112">
        <f t="shared" si="1"/>
        <v>313</v>
      </c>
      <c r="H38" s="111" t="s">
        <v>502</v>
      </c>
      <c r="I38" s="109"/>
    </row>
    <row r="39" spans="1:9" ht="18" customHeight="1">
      <c r="A39" s="40">
        <f t="shared" si="0"/>
        <v>37</v>
      </c>
      <c r="B39" s="40">
        <f t="shared" si="2"/>
        <v>27</v>
      </c>
      <c r="C39" s="50">
        <v>43253</v>
      </c>
      <c r="D39" s="109"/>
      <c r="E39" s="109" t="s">
        <v>543</v>
      </c>
      <c r="F39" s="112">
        <v>10</v>
      </c>
      <c r="G39" s="112">
        <f t="shared" si="1"/>
        <v>323</v>
      </c>
      <c r="H39" s="111" t="s">
        <v>502</v>
      </c>
      <c r="I39" s="109"/>
    </row>
    <row r="40" spans="1:9" ht="18" customHeight="1">
      <c r="A40" s="40">
        <f t="shared" si="0"/>
        <v>38</v>
      </c>
      <c r="B40" s="40">
        <f t="shared" si="2"/>
        <v>28</v>
      </c>
      <c r="C40" s="50">
        <v>43253</v>
      </c>
      <c r="D40" s="109"/>
      <c r="E40" s="109" t="s">
        <v>544</v>
      </c>
      <c r="F40" s="112">
        <v>5</v>
      </c>
      <c r="G40" s="112">
        <f t="shared" si="1"/>
        <v>328</v>
      </c>
      <c r="H40" s="111" t="s">
        <v>502</v>
      </c>
      <c r="I40" s="109"/>
    </row>
    <row r="41" spans="1:9" ht="18" customHeight="1">
      <c r="A41" s="40">
        <f t="shared" si="0"/>
        <v>39</v>
      </c>
      <c r="B41" s="40">
        <f t="shared" si="2"/>
        <v>29</v>
      </c>
      <c r="C41" s="50">
        <v>43253</v>
      </c>
      <c r="D41" s="109"/>
      <c r="E41" s="109" t="s">
        <v>545</v>
      </c>
      <c r="F41" s="112">
        <v>5</v>
      </c>
      <c r="G41" s="112">
        <f t="shared" si="1"/>
        <v>333</v>
      </c>
      <c r="H41" s="111" t="s">
        <v>502</v>
      </c>
      <c r="I41" s="109"/>
    </row>
    <row r="42" spans="1:9" ht="18" customHeight="1">
      <c r="A42" s="40">
        <f t="shared" si="0"/>
        <v>40</v>
      </c>
      <c r="B42" s="40">
        <f t="shared" si="2"/>
        <v>30</v>
      </c>
      <c r="C42" s="50">
        <v>43253</v>
      </c>
      <c r="D42" s="109" t="s">
        <v>534</v>
      </c>
      <c r="E42" s="109" t="s">
        <v>546</v>
      </c>
      <c r="F42" s="112">
        <v>10</v>
      </c>
      <c r="G42" s="112">
        <f t="shared" si="1"/>
        <v>343</v>
      </c>
      <c r="H42" s="111" t="s">
        <v>502</v>
      </c>
      <c r="I42" s="109"/>
    </row>
    <row r="43" spans="1:9" ht="18" customHeight="1">
      <c r="A43" s="40">
        <f t="shared" si="0"/>
        <v>41</v>
      </c>
      <c r="B43" s="40">
        <f t="shared" si="2"/>
        <v>31</v>
      </c>
      <c r="C43" s="50">
        <v>43253</v>
      </c>
      <c r="D43" s="109" t="s">
        <v>518</v>
      </c>
      <c r="E43" s="109" t="s">
        <v>547</v>
      </c>
      <c r="F43" s="112">
        <v>10</v>
      </c>
      <c r="G43" s="112">
        <f t="shared" si="1"/>
        <v>353</v>
      </c>
      <c r="H43" s="111" t="s">
        <v>502</v>
      </c>
      <c r="I43" s="109"/>
    </row>
    <row r="44" spans="1:9" ht="18" customHeight="1">
      <c r="A44" s="40">
        <f t="shared" si="0"/>
        <v>42</v>
      </c>
      <c r="B44" s="40">
        <f t="shared" si="2"/>
        <v>32</v>
      </c>
      <c r="C44" s="50">
        <v>43253</v>
      </c>
      <c r="D44" s="109" t="s">
        <v>534</v>
      </c>
      <c r="E44" s="109" t="s">
        <v>548</v>
      </c>
      <c r="F44" s="112">
        <v>7</v>
      </c>
      <c r="G44" s="112">
        <f t="shared" si="1"/>
        <v>360</v>
      </c>
      <c r="H44" s="111" t="s">
        <v>502</v>
      </c>
      <c r="I44" s="109"/>
    </row>
    <row r="45" spans="1:9" ht="18" customHeight="1">
      <c r="A45" s="40">
        <f t="shared" si="0"/>
        <v>43</v>
      </c>
      <c r="B45" s="40">
        <f t="shared" si="2"/>
        <v>33</v>
      </c>
      <c r="C45" s="50">
        <v>43253</v>
      </c>
      <c r="D45" s="109" t="s">
        <v>497</v>
      </c>
      <c r="E45" s="109" t="s">
        <v>549</v>
      </c>
      <c r="F45" s="112">
        <v>10</v>
      </c>
      <c r="G45" s="112">
        <f t="shared" si="1"/>
        <v>370</v>
      </c>
      <c r="H45" s="111" t="s">
        <v>502</v>
      </c>
      <c r="I45" s="109"/>
    </row>
    <row r="46" spans="1:9" ht="18" customHeight="1">
      <c r="A46" s="40">
        <f t="shared" si="0"/>
        <v>44</v>
      </c>
      <c r="B46" s="40">
        <f t="shared" si="2"/>
        <v>34</v>
      </c>
      <c r="C46" s="50">
        <v>43253</v>
      </c>
      <c r="D46" s="109" t="s">
        <v>497</v>
      </c>
      <c r="E46" s="109" t="s">
        <v>550</v>
      </c>
      <c r="F46" s="112">
        <v>10</v>
      </c>
      <c r="G46" s="112">
        <f t="shared" si="1"/>
        <v>380</v>
      </c>
      <c r="H46" s="111" t="s">
        <v>502</v>
      </c>
      <c r="I46" s="109"/>
    </row>
    <row r="47" spans="1:9" ht="18" customHeight="1">
      <c r="A47" s="40">
        <f t="shared" si="0"/>
        <v>45</v>
      </c>
      <c r="B47" s="40">
        <f t="shared" si="2"/>
        <v>35</v>
      </c>
      <c r="C47" s="50">
        <v>43253</v>
      </c>
      <c r="D47" s="109" t="s">
        <v>497</v>
      </c>
      <c r="E47" s="109" t="s">
        <v>551</v>
      </c>
      <c r="F47" s="112">
        <v>5</v>
      </c>
      <c r="G47" s="112">
        <f t="shared" si="1"/>
        <v>385</v>
      </c>
      <c r="H47" s="111" t="s">
        <v>502</v>
      </c>
      <c r="I47" s="109"/>
    </row>
    <row r="48" spans="1:9" ht="18" customHeight="1">
      <c r="A48" s="40">
        <f t="shared" si="0"/>
        <v>46</v>
      </c>
      <c r="B48" s="40">
        <f t="shared" si="2"/>
        <v>36</v>
      </c>
      <c r="C48" s="50">
        <v>43253</v>
      </c>
      <c r="D48" s="109" t="s">
        <v>497</v>
      </c>
      <c r="E48" s="109" t="s">
        <v>552</v>
      </c>
      <c r="F48" s="112">
        <v>5</v>
      </c>
      <c r="G48" s="112">
        <f t="shared" si="1"/>
        <v>390</v>
      </c>
      <c r="H48" s="111" t="s">
        <v>502</v>
      </c>
      <c r="I48" s="109"/>
    </row>
    <row r="49" spans="1:9" ht="18" customHeight="1">
      <c r="A49" s="40">
        <f t="shared" si="0"/>
        <v>47</v>
      </c>
      <c r="B49" s="40">
        <f t="shared" si="2"/>
        <v>37</v>
      </c>
      <c r="C49" s="50">
        <v>43253</v>
      </c>
      <c r="D49" s="109" t="s">
        <v>497</v>
      </c>
      <c r="E49" s="113" t="s">
        <v>553</v>
      </c>
      <c r="F49" s="112">
        <v>20</v>
      </c>
      <c r="G49" s="112">
        <f t="shared" si="1"/>
        <v>410</v>
      </c>
      <c r="H49" s="111" t="s">
        <v>502</v>
      </c>
      <c r="I49" s="109"/>
    </row>
    <row r="50" spans="1:9" ht="18" customHeight="1">
      <c r="A50" s="40">
        <f t="shared" si="0"/>
        <v>48</v>
      </c>
      <c r="B50" s="40">
        <f t="shared" si="2"/>
        <v>38</v>
      </c>
      <c r="C50" s="50">
        <v>43253</v>
      </c>
      <c r="D50" s="109" t="s">
        <v>518</v>
      </c>
      <c r="E50" s="109" t="s">
        <v>554</v>
      </c>
      <c r="F50" s="112">
        <v>15</v>
      </c>
      <c r="G50" s="112">
        <f t="shared" si="1"/>
        <v>425</v>
      </c>
      <c r="H50" s="111" t="s">
        <v>502</v>
      </c>
      <c r="I50" s="109"/>
    </row>
    <row r="51" spans="1:9" ht="18" customHeight="1">
      <c r="A51" s="40">
        <f t="shared" si="0"/>
        <v>49</v>
      </c>
      <c r="B51" s="40">
        <f t="shared" si="2"/>
        <v>39</v>
      </c>
      <c r="C51" s="50">
        <v>43253</v>
      </c>
      <c r="D51" s="109" t="s">
        <v>497</v>
      </c>
      <c r="E51" s="109" t="s">
        <v>555</v>
      </c>
      <c r="F51" s="112">
        <v>5</v>
      </c>
      <c r="G51" s="112">
        <f t="shared" si="1"/>
        <v>430</v>
      </c>
      <c r="H51" s="111" t="s">
        <v>502</v>
      </c>
      <c r="I51" s="109"/>
    </row>
    <row r="52" spans="1:9" ht="18" customHeight="1">
      <c r="A52" s="40">
        <f t="shared" si="0"/>
        <v>50</v>
      </c>
      <c r="B52" s="40">
        <f t="shared" si="2"/>
        <v>40</v>
      </c>
      <c r="C52" s="50">
        <v>43253</v>
      </c>
      <c r="D52" s="109" t="s">
        <v>497</v>
      </c>
      <c r="E52" s="109" t="s">
        <v>556</v>
      </c>
      <c r="F52" s="112">
        <v>5</v>
      </c>
      <c r="G52" s="112">
        <f t="shared" si="1"/>
        <v>435</v>
      </c>
      <c r="H52" s="111" t="s">
        <v>502</v>
      </c>
      <c r="I52" s="109"/>
    </row>
    <row r="53" spans="1:9" ht="18" customHeight="1">
      <c r="A53" s="40">
        <f t="shared" si="0"/>
        <v>51</v>
      </c>
      <c r="B53" s="40">
        <f t="shared" si="2"/>
        <v>41</v>
      </c>
      <c r="C53" s="50">
        <v>43253</v>
      </c>
      <c r="D53" s="109" t="s">
        <v>504</v>
      </c>
      <c r="E53" s="109" t="s">
        <v>557</v>
      </c>
      <c r="F53" s="112">
        <v>5</v>
      </c>
      <c r="G53" s="112">
        <f t="shared" si="1"/>
        <v>440</v>
      </c>
      <c r="H53" s="111" t="s">
        <v>502</v>
      </c>
      <c r="I53" s="109"/>
    </row>
    <row r="54" spans="1:9" ht="18" customHeight="1">
      <c r="A54" s="40">
        <f t="shared" si="0"/>
        <v>52</v>
      </c>
      <c r="B54" s="40">
        <f t="shared" si="2"/>
        <v>42</v>
      </c>
      <c r="C54" s="50">
        <v>43253</v>
      </c>
      <c r="D54" s="109" t="s">
        <v>504</v>
      </c>
      <c r="E54" s="109" t="s">
        <v>558</v>
      </c>
      <c r="F54" s="112">
        <v>5</v>
      </c>
      <c r="G54" s="112">
        <f t="shared" si="1"/>
        <v>445</v>
      </c>
      <c r="H54" s="111" t="s">
        <v>502</v>
      </c>
      <c r="I54" s="109"/>
    </row>
    <row r="55" spans="1:9" ht="18" customHeight="1">
      <c r="A55" s="40">
        <f t="shared" si="0"/>
        <v>53</v>
      </c>
      <c r="B55" s="40">
        <f t="shared" si="2"/>
        <v>43</v>
      </c>
      <c r="C55" s="50">
        <v>43253</v>
      </c>
      <c r="D55" s="109" t="s">
        <v>518</v>
      </c>
      <c r="E55" s="113" t="s">
        <v>559</v>
      </c>
      <c r="F55" s="112">
        <v>15</v>
      </c>
      <c r="G55" s="112">
        <f t="shared" si="1"/>
        <v>460</v>
      </c>
      <c r="H55" s="111" t="s">
        <v>502</v>
      </c>
      <c r="I55" s="109"/>
    </row>
    <row r="56" spans="1:9" ht="18" customHeight="1">
      <c r="A56" s="40">
        <f t="shared" si="0"/>
        <v>54</v>
      </c>
      <c r="B56" s="40">
        <f t="shared" si="2"/>
        <v>44</v>
      </c>
      <c r="C56" s="50">
        <v>43253</v>
      </c>
      <c r="D56" s="109" t="s">
        <v>518</v>
      </c>
      <c r="E56" s="109" t="s">
        <v>560</v>
      </c>
      <c r="F56" s="112">
        <v>5</v>
      </c>
      <c r="G56" s="112">
        <f t="shared" si="1"/>
        <v>465</v>
      </c>
      <c r="H56" s="111" t="s">
        <v>502</v>
      </c>
      <c r="I56" s="109"/>
    </row>
    <row r="57" spans="1:9" ht="18" customHeight="1">
      <c r="A57" s="40">
        <f t="shared" si="0"/>
        <v>55</v>
      </c>
      <c r="B57" s="40">
        <f t="shared" si="2"/>
        <v>45</v>
      </c>
      <c r="C57" s="50">
        <v>43253</v>
      </c>
      <c r="D57" s="109" t="s">
        <v>507</v>
      </c>
      <c r="E57" s="109" t="s">
        <v>561</v>
      </c>
      <c r="F57" s="112">
        <v>10</v>
      </c>
      <c r="G57" s="112">
        <f t="shared" si="1"/>
        <v>475</v>
      </c>
      <c r="H57" s="111" t="s">
        <v>502</v>
      </c>
      <c r="I57" s="109"/>
    </row>
    <row r="58" spans="1:9" ht="18" customHeight="1">
      <c r="A58" s="40">
        <f t="shared" si="0"/>
        <v>56</v>
      </c>
      <c r="B58" s="40">
        <f t="shared" si="2"/>
        <v>46</v>
      </c>
      <c r="C58" s="50">
        <v>43253</v>
      </c>
      <c r="D58" s="109" t="s">
        <v>500</v>
      </c>
      <c r="E58" s="109" t="s">
        <v>562</v>
      </c>
      <c r="F58" s="112">
        <v>5</v>
      </c>
      <c r="G58" s="112">
        <f t="shared" si="1"/>
        <v>480</v>
      </c>
      <c r="H58" s="111" t="s">
        <v>502</v>
      </c>
      <c r="I58" s="109"/>
    </row>
    <row r="59" spans="1:9" ht="18" customHeight="1">
      <c r="A59" s="40">
        <f t="shared" si="0"/>
        <v>57</v>
      </c>
      <c r="B59" s="40">
        <f t="shared" si="2"/>
        <v>47</v>
      </c>
      <c r="C59" s="50">
        <v>43253</v>
      </c>
      <c r="D59" s="109" t="s">
        <v>534</v>
      </c>
      <c r="E59" s="109" t="s">
        <v>563</v>
      </c>
      <c r="F59" s="112">
        <v>5</v>
      </c>
      <c r="G59" s="112">
        <f t="shared" si="1"/>
        <v>485</v>
      </c>
      <c r="H59" s="111" t="s">
        <v>502</v>
      </c>
      <c r="I59" s="109"/>
    </row>
    <row r="60" spans="1:9" ht="18" customHeight="1">
      <c r="A60" s="40">
        <f t="shared" si="0"/>
        <v>58</v>
      </c>
      <c r="B60" s="40">
        <f t="shared" si="2"/>
        <v>48</v>
      </c>
      <c r="C60" s="50">
        <v>43253</v>
      </c>
      <c r="D60" s="109" t="s">
        <v>507</v>
      </c>
      <c r="E60" s="113" t="s">
        <v>564</v>
      </c>
      <c r="F60" s="112">
        <v>20</v>
      </c>
      <c r="G60" s="112">
        <f t="shared" si="1"/>
        <v>505</v>
      </c>
      <c r="H60" s="111" t="s">
        <v>502</v>
      </c>
      <c r="I60" s="109"/>
    </row>
    <row r="61" spans="1:9" ht="18" customHeight="1">
      <c r="A61" s="40">
        <f t="shared" si="0"/>
        <v>59</v>
      </c>
      <c r="B61" s="40">
        <f t="shared" si="2"/>
        <v>49</v>
      </c>
      <c r="C61" s="50">
        <v>43253</v>
      </c>
      <c r="D61" s="109" t="s">
        <v>534</v>
      </c>
      <c r="E61" s="109" t="s">
        <v>565</v>
      </c>
      <c r="F61" s="112">
        <v>5</v>
      </c>
      <c r="G61" s="112">
        <f t="shared" si="1"/>
        <v>510</v>
      </c>
      <c r="H61" s="111" t="s">
        <v>502</v>
      </c>
      <c r="I61" s="109"/>
    </row>
    <row r="62" spans="1:9" ht="18" customHeight="1">
      <c r="A62" s="40">
        <f t="shared" si="0"/>
        <v>60</v>
      </c>
      <c r="B62" s="40">
        <f t="shared" si="2"/>
        <v>50</v>
      </c>
      <c r="C62" s="50">
        <v>43253</v>
      </c>
      <c r="D62" s="109" t="s">
        <v>534</v>
      </c>
      <c r="E62" s="109" t="s">
        <v>566</v>
      </c>
      <c r="F62" s="112">
        <v>5</v>
      </c>
      <c r="G62" s="112">
        <f t="shared" si="1"/>
        <v>515</v>
      </c>
      <c r="H62" s="111" t="s">
        <v>502</v>
      </c>
      <c r="I62" s="109"/>
    </row>
    <row r="63" spans="1:9" ht="18" customHeight="1">
      <c r="A63" s="40">
        <f t="shared" si="0"/>
        <v>61</v>
      </c>
      <c r="B63" s="40">
        <f t="shared" si="2"/>
        <v>51</v>
      </c>
      <c r="C63" s="50">
        <v>43253</v>
      </c>
      <c r="D63" s="109" t="s">
        <v>518</v>
      </c>
      <c r="E63" s="109" t="s">
        <v>567</v>
      </c>
      <c r="F63" s="112">
        <v>5</v>
      </c>
      <c r="G63" s="112">
        <f t="shared" si="1"/>
        <v>520</v>
      </c>
      <c r="H63" s="111" t="s">
        <v>502</v>
      </c>
      <c r="I63" s="109"/>
    </row>
    <row r="64" spans="1:9" ht="18" customHeight="1">
      <c r="A64" s="40">
        <f t="shared" si="0"/>
        <v>62</v>
      </c>
      <c r="B64" s="40">
        <f t="shared" si="2"/>
        <v>52</v>
      </c>
      <c r="C64" s="50">
        <v>43253</v>
      </c>
      <c r="D64" s="109"/>
      <c r="E64" s="109" t="s">
        <v>568</v>
      </c>
      <c r="F64" s="112">
        <v>5</v>
      </c>
      <c r="G64" s="112">
        <f t="shared" si="1"/>
        <v>525</v>
      </c>
      <c r="H64" s="111" t="s">
        <v>502</v>
      </c>
      <c r="I64" s="109"/>
    </row>
    <row r="65" spans="1:9" ht="18" customHeight="1">
      <c r="A65" s="40">
        <f t="shared" si="0"/>
        <v>63</v>
      </c>
      <c r="B65" s="40">
        <f t="shared" si="2"/>
        <v>53</v>
      </c>
      <c r="C65" s="50">
        <v>43253</v>
      </c>
      <c r="D65" s="109" t="s">
        <v>569</v>
      </c>
      <c r="E65" s="109" t="s">
        <v>570</v>
      </c>
      <c r="F65" s="112">
        <v>30</v>
      </c>
      <c r="G65" s="112">
        <f t="shared" si="1"/>
        <v>555</v>
      </c>
      <c r="H65" s="111" t="s">
        <v>502</v>
      </c>
      <c r="I65" s="109"/>
    </row>
    <row r="66" spans="1:9" ht="18" customHeight="1">
      <c r="A66" s="40">
        <f t="shared" si="0"/>
        <v>64</v>
      </c>
      <c r="B66" s="40">
        <f t="shared" si="2"/>
        <v>54</v>
      </c>
      <c r="C66" s="50">
        <v>43253</v>
      </c>
      <c r="D66" s="109" t="s">
        <v>569</v>
      </c>
      <c r="E66" s="109" t="s">
        <v>571</v>
      </c>
      <c r="F66" s="112">
        <v>10</v>
      </c>
      <c r="G66" s="112">
        <f t="shared" si="1"/>
        <v>565</v>
      </c>
      <c r="H66" s="111" t="s">
        <v>502</v>
      </c>
      <c r="I66" s="109"/>
    </row>
    <row r="67" spans="1:9" ht="18" customHeight="1">
      <c r="A67" s="40">
        <f t="shared" si="0"/>
        <v>65</v>
      </c>
      <c r="B67" s="40">
        <f t="shared" si="2"/>
        <v>55</v>
      </c>
      <c r="C67" s="50">
        <v>43253</v>
      </c>
      <c r="D67" s="109" t="s">
        <v>518</v>
      </c>
      <c r="E67" s="109" t="s">
        <v>572</v>
      </c>
      <c r="F67" s="112">
        <v>10</v>
      </c>
      <c r="G67" s="112">
        <f t="shared" si="1"/>
        <v>575</v>
      </c>
      <c r="H67" s="111" t="s">
        <v>502</v>
      </c>
      <c r="I67" s="109"/>
    </row>
    <row r="68" spans="1:9" ht="18" customHeight="1">
      <c r="A68" s="40">
        <f t="shared" si="0"/>
        <v>66</v>
      </c>
      <c r="B68" s="40">
        <f t="shared" si="2"/>
        <v>56</v>
      </c>
      <c r="C68" s="50">
        <v>43253</v>
      </c>
      <c r="D68" s="109"/>
      <c r="E68" s="109" t="s">
        <v>573</v>
      </c>
      <c r="F68" s="112">
        <v>5</v>
      </c>
      <c r="G68" s="112">
        <f t="shared" si="1"/>
        <v>580</v>
      </c>
      <c r="H68" s="111" t="s">
        <v>502</v>
      </c>
      <c r="I68" s="109"/>
    </row>
    <row r="69" spans="1:9" ht="18" customHeight="1">
      <c r="A69" s="40">
        <f t="shared" si="0"/>
        <v>67</v>
      </c>
      <c r="B69" s="40">
        <f t="shared" si="2"/>
        <v>57</v>
      </c>
      <c r="C69" s="50">
        <v>43253</v>
      </c>
      <c r="D69" s="109" t="s">
        <v>518</v>
      </c>
      <c r="E69" s="109" t="s">
        <v>574</v>
      </c>
      <c r="F69" s="112">
        <v>10</v>
      </c>
      <c r="G69" s="112">
        <f t="shared" ref="G69:G132" si="3">F69+G68</f>
        <v>590</v>
      </c>
      <c r="H69" s="111" t="s">
        <v>502</v>
      </c>
      <c r="I69" s="109"/>
    </row>
    <row r="70" spans="1:9" ht="18" customHeight="1">
      <c r="A70" s="40">
        <f t="shared" si="0"/>
        <v>68</v>
      </c>
      <c r="B70" s="40">
        <f t="shared" si="2"/>
        <v>58</v>
      </c>
      <c r="C70" s="50">
        <v>43253</v>
      </c>
      <c r="D70" s="109" t="s">
        <v>518</v>
      </c>
      <c r="E70" s="109" t="s">
        <v>575</v>
      </c>
      <c r="F70" s="112">
        <v>10</v>
      </c>
      <c r="G70" s="112">
        <f t="shared" si="3"/>
        <v>600</v>
      </c>
      <c r="H70" s="111" t="s">
        <v>502</v>
      </c>
      <c r="I70" s="109"/>
    </row>
    <row r="71" spans="1:9" ht="18" customHeight="1">
      <c r="A71" s="40">
        <f t="shared" si="0"/>
        <v>69</v>
      </c>
      <c r="B71" s="40">
        <f t="shared" si="2"/>
        <v>59</v>
      </c>
      <c r="C71" s="50">
        <v>43253</v>
      </c>
      <c r="D71" s="109" t="s">
        <v>518</v>
      </c>
      <c r="E71" s="109" t="s">
        <v>576</v>
      </c>
      <c r="F71" s="112">
        <v>5</v>
      </c>
      <c r="G71" s="112">
        <f t="shared" si="3"/>
        <v>605</v>
      </c>
      <c r="H71" s="111" t="s">
        <v>502</v>
      </c>
      <c r="I71" s="109"/>
    </row>
    <row r="72" spans="1:9" ht="18" customHeight="1">
      <c r="A72" s="40">
        <f t="shared" si="0"/>
        <v>70</v>
      </c>
      <c r="B72" s="40">
        <f t="shared" si="2"/>
        <v>60</v>
      </c>
      <c r="C72" s="50">
        <v>43253</v>
      </c>
      <c r="D72" s="109" t="s">
        <v>518</v>
      </c>
      <c r="E72" s="109" t="s">
        <v>577</v>
      </c>
      <c r="F72" s="112">
        <v>10</v>
      </c>
      <c r="G72" s="112">
        <f t="shared" si="3"/>
        <v>615</v>
      </c>
      <c r="H72" s="111" t="s">
        <v>502</v>
      </c>
      <c r="I72" s="109"/>
    </row>
    <row r="73" spans="1:9" ht="18" customHeight="1">
      <c r="A73" s="40">
        <f t="shared" si="0"/>
        <v>71</v>
      </c>
      <c r="B73" s="40">
        <f t="shared" si="2"/>
        <v>61</v>
      </c>
      <c r="C73" s="50">
        <v>43253</v>
      </c>
      <c r="D73" s="109" t="s">
        <v>518</v>
      </c>
      <c r="E73" s="109" t="s">
        <v>578</v>
      </c>
      <c r="F73" s="112">
        <v>10</v>
      </c>
      <c r="G73" s="112">
        <f t="shared" si="3"/>
        <v>625</v>
      </c>
      <c r="H73" s="111" t="s">
        <v>502</v>
      </c>
      <c r="I73" s="109"/>
    </row>
    <row r="74" spans="1:9" ht="18" customHeight="1">
      <c r="A74" s="40">
        <f t="shared" si="0"/>
        <v>72</v>
      </c>
      <c r="B74" s="40">
        <f t="shared" si="2"/>
        <v>62</v>
      </c>
      <c r="C74" s="50">
        <v>43253</v>
      </c>
      <c r="D74" s="109" t="s">
        <v>579</v>
      </c>
      <c r="E74" s="109" t="s">
        <v>580</v>
      </c>
      <c r="F74" s="112">
        <v>10</v>
      </c>
      <c r="G74" s="112">
        <f t="shared" si="3"/>
        <v>635</v>
      </c>
      <c r="H74" s="111" t="s">
        <v>502</v>
      </c>
      <c r="I74" s="109"/>
    </row>
    <row r="75" spans="1:9" ht="18" customHeight="1">
      <c r="A75" s="40">
        <f t="shared" si="0"/>
        <v>73</v>
      </c>
      <c r="B75" s="40">
        <f t="shared" si="2"/>
        <v>63</v>
      </c>
      <c r="C75" s="50">
        <v>43253</v>
      </c>
      <c r="D75" s="109" t="s">
        <v>500</v>
      </c>
      <c r="E75" s="109" t="s">
        <v>581</v>
      </c>
      <c r="F75" s="112">
        <v>10</v>
      </c>
      <c r="G75" s="112">
        <f t="shared" si="3"/>
        <v>645</v>
      </c>
      <c r="H75" s="111" t="s">
        <v>502</v>
      </c>
      <c r="I75" s="109"/>
    </row>
    <row r="76" spans="1:9" ht="18" customHeight="1">
      <c r="A76" s="40">
        <f t="shared" si="0"/>
        <v>74</v>
      </c>
      <c r="B76" s="40">
        <f t="shared" si="2"/>
        <v>64</v>
      </c>
      <c r="C76" s="50">
        <v>43253</v>
      </c>
      <c r="D76" s="109" t="s">
        <v>500</v>
      </c>
      <c r="E76" s="109" t="s">
        <v>582</v>
      </c>
      <c r="F76" s="112">
        <v>10</v>
      </c>
      <c r="G76" s="112">
        <f t="shared" si="3"/>
        <v>655</v>
      </c>
      <c r="H76" s="111" t="s">
        <v>502</v>
      </c>
      <c r="I76" s="109"/>
    </row>
    <row r="77" spans="1:9" ht="18" customHeight="1">
      <c r="A77" s="40">
        <f t="shared" si="0"/>
        <v>75</v>
      </c>
      <c r="B77" s="40">
        <f t="shared" si="2"/>
        <v>65</v>
      </c>
      <c r="C77" s="50">
        <v>43253</v>
      </c>
      <c r="D77" s="109" t="s">
        <v>497</v>
      </c>
      <c r="E77" s="109" t="s">
        <v>583</v>
      </c>
      <c r="F77" s="112">
        <v>10</v>
      </c>
      <c r="G77" s="112">
        <f t="shared" si="3"/>
        <v>665</v>
      </c>
      <c r="H77" s="111" t="s">
        <v>502</v>
      </c>
      <c r="I77" s="109"/>
    </row>
    <row r="78" spans="1:9" ht="18" customHeight="1">
      <c r="A78" s="40">
        <f t="shared" si="0"/>
        <v>76</v>
      </c>
      <c r="B78" s="40">
        <f t="shared" si="2"/>
        <v>66</v>
      </c>
      <c r="C78" s="50">
        <v>43253</v>
      </c>
      <c r="D78" s="109" t="s">
        <v>504</v>
      </c>
      <c r="E78" s="109" t="s">
        <v>584</v>
      </c>
      <c r="F78" s="112">
        <v>10</v>
      </c>
      <c r="G78" s="112">
        <f t="shared" si="3"/>
        <v>675</v>
      </c>
      <c r="H78" s="111" t="s">
        <v>502</v>
      </c>
      <c r="I78" s="109"/>
    </row>
    <row r="79" spans="1:9" ht="18" customHeight="1">
      <c r="A79" s="40">
        <f t="shared" si="0"/>
        <v>77</v>
      </c>
      <c r="B79" s="40">
        <f t="shared" si="2"/>
        <v>67</v>
      </c>
      <c r="C79" s="50">
        <v>43253</v>
      </c>
      <c r="D79" s="109" t="s">
        <v>518</v>
      </c>
      <c r="E79" s="109" t="s">
        <v>585</v>
      </c>
      <c r="F79" s="112">
        <v>5</v>
      </c>
      <c r="G79" s="112">
        <f t="shared" si="3"/>
        <v>680</v>
      </c>
      <c r="H79" s="111" t="s">
        <v>502</v>
      </c>
      <c r="I79" s="109"/>
    </row>
    <row r="80" spans="1:9" ht="18" customHeight="1">
      <c r="A80" s="40">
        <f t="shared" si="0"/>
        <v>78</v>
      </c>
      <c r="B80" s="40">
        <f t="shared" si="2"/>
        <v>68</v>
      </c>
      <c r="C80" s="50">
        <v>43253</v>
      </c>
      <c r="D80" s="109" t="s">
        <v>586</v>
      </c>
      <c r="E80" s="109" t="s">
        <v>587</v>
      </c>
      <c r="F80" s="112">
        <v>5</v>
      </c>
      <c r="G80" s="112">
        <f t="shared" si="3"/>
        <v>685</v>
      </c>
      <c r="H80" s="111" t="s">
        <v>502</v>
      </c>
      <c r="I80" s="109"/>
    </row>
    <row r="81" spans="1:9" ht="18" customHeight="1">
      <c r="A81" s="40">
        <f t="shared" si="0"/>
        <v>79</v>
      </c>
      <c r="B81" s="40">
        <f t="shared" si="2"/>
        <v>69</v>
      </c>
      <c r="C81" s="50">
        <v>43253</v>
      </c>
      <c r="D81" s="109"/>
      <c r="E81" s="109" t="s">
        <v>588</v>
      </c>
      <c r="F81" s="112">
        <v>30</v>
      </c>
      <c r="G81" s="112">
        <f t="shared" si="3"/>
        <v>715</v>
      </c>
      <c r="H81" s="111" t="s">
        <v>502</v>
      </c>
      <c r="I81" s="109"/>
    </row>
    <row r="82" spans="1:9" ht="18" customHeight="1">
      <c r="A82" s="40">
        <f t="shared" si="0"/>
        <v>80</v>
      </c>
      <c r="B82" s="40">
        <f t="shared" si="2"/>
        <v>70</v>
      </c>
      <c r="C82" s="50">
        <v>43253</v>
      </c>
      <c r="D82" s="109" t="s">
        <v>586</v>
      </c>
      <c r="E82" s="109" t="s">
        <v>589</v>
      </c>
      <c r="F82" s="112">
        <v>10</v>
      </c>
      <c r="G82" s="112">
        <f t="shared" si="3"/>
        <v>725</v>
      </c>
      <c r="H82" s="111" t="s">
        <v>502</v>
      </c>
      <c r="I82" s="109"/>
    </row>
    <row r="83" spans="1:9" ht="18" customHeight="1">
      <c r="A83" s="40">
        <f t="shared" si="0"/>
        <v>81</v>
      </c>
      <c r="B83" s="40">
        <f t="shared" si="2"/>
        <v>71</v>
      </c>
      <c r="C83" s="50">
        <v>43253</v>
      </c>
      <c r="D83" s="109"/>
      <c r="E83" s="109" t="s">
        <v>590</v>
      </c>
      <c r="F83" s="112">
        <v>30</v>
      </c>
      <c r="G83" s="112">
        <f t="shared" si="3"/>
        <v>755</v>
      </c>
      <c r="H83" s="111" t="s">
        <v>502</v>
      </c>
      <c r="I83" s="109"/>
    </row>
    <row r="84" spans="1:9" ht="18" customHeight="1">
      <c r="A84" s="40">
        <f t="shared" si="0"/>
        <v>82</v>
      </c>
      <c r="B84" s="40">
        <f t="shared" si="2"/>
        <v>72</v>
      </c>
      <c r="C84" s="50">
        <v>43253</v>
      </c>
      <c r="D84" s="109"/>
      <c r="E84" s="109" t="s">
        <v>591</v>
      </c>
      <c r="F84" s="112">
        <v>30</v>
      </c>
      <c r="G84" s="112">
        <f t="shared" si="3"/>
        <v>785</v>
      </c>
      <c r="H84" s="111" t="s">
        <v>502</v>
      </c>
      <c r="I84" s="109"/>
    </row>
    <row r="85" spans="1:9" ht="18" customHeight="1">
      <c r="A85" s="40">
        <f t="shared" si="0"/>
        <v>83</v>
      </c>
      <c r="B85" s="40">
        <f t="shared" si="2"/>
        <v>73</v>
      </c>
      <c r="C85" s="50">
        <v>43253</v>
      </c>
      <c r="D85" s="109" t="s">
        <v>569</v>
      </c>
      <c r="E85" s="109" t="s">
        <v>592</v>
      </c>
      <c r="F85" s="112">
        <v>30</v>
      </c>
      <c r="G85" s="112">
        <f t="shared" si="3"/>
        <v>815</v>
      </c>
      <c r="H85" s="111" t="s">
        <v>502</v>
      </c>
      <c r="I85" s="109"/>
    </row>
    <row r="86" spans="1:9" ht="18" customHeight="1">
      <c r="A86" s="40">
        <f t="shared" si="0"/>
        <v>84</v>
      </c>
      <c r="B86" s="40">
        <f t="shared" si="2"/>
        <v>74</v>
      </c>
      <c r="C86" s="50">
        <v>43253</v>
      </c>
      <c r="D86" s="109" t="s">
        <v>569</v>
      </c>
      <c r="E86" s="109" t="s">
        <v>593</v>
      </c>
      <c r="F86" s="112">
        <v>10</v>
      </c>
      <c r="G86" s="112">
        <f t="shared" si="3"/>
        <v>825</v>
      </c>
      <c r="H86" s="111" t="s">
        <v>502</v>
      </c>
      <c r="I86" s="109"/>
    </row>
    <row r="87" spans="1:9" ht="18" customHeight="1">
      <c r="A87" s="40">
        <f t="shared" si="0"/>
        <v>85</v>
      </c>
      <c r="B87" s="40">
        <f t="shared" si="2"/>
        <v>75</v>
      </c>
      <c r="C87" s="50">
        <v>43253</v>
      </c>
      <c r="D87" s="109" t="s">
        <v>569</v>
      </c>
      <c r="E87" s="109" t="s">
        <v>594</v>
      </c>
      <c r="F87" s="112">
        <v>10</v>
      </c>
      <c r="G87" s="112">
        <f t="shared" si="3"/>
        <v>835</v>
      </c>
      <c r="H87" s="111" t="s">
        <v>502</v>
      </c>
      <c r="I87" s="109"/>
    </row>
    <row r="88" spans="1:9" ht="18" customHeight="1">
      <c r="A88" s="40">
        <f t="shared" si="0"/>
        <v>86</v>
      </c>
      <c r="B88" s="40">
        <f t="shared" si="2"/>
        <v>76</v>
      </c>
      <c r="C88" s="50">
        <v>43253</v>
      </c>
      <c r="D88" s="109" t="s">
        <v>569</v>
      </c>
      <c r="E88" s="109" t="s">
        <v>595</v>
      </c>
      <c r="F88" s="112">
        <v>20</v>
      </c>
      <c r="G88" s="112">
        <f t="shared" si="3"/>
        <v>855</v>
      </c>
      <c r="H88" s="111" t="s">
        <v>502</v>
      </c>
      <c r="I88" s="109"/>
    </row>
    <row r="89" spans="1:9" ht="18" customHeight="1">
      <c r="A89" s="40">
        <f t="shared" si="0"/>
        <v>87</v>
      </c>
      <c r="B89" s="40">
        <f t="shared" ref="B89:B152" si="4">ROW()-12</f>
        <v>77</v>
      </c>
      <c r="C89" s="50">
        <v>43253</v>
      </c>
      <c r="D89" s="109" t="s">
        <v>586</v>
      </c>
      <c r="E89" s="109" t="s">
        <v>596</v>
      </c>
      <c r="F89" s="112">
        <v>5</v>
      </c>
      <c r="G89" s="112">
        <f t="shared" si="3"/>
        <v>860</v>
      </c>
      <c r="H89" s="111" t="s">
        <v>502</v>
      </c>
      <c r="I89" s="109"/>
    </row>
    <row r="90" spans="1:9" ht="18" customHeight="1">
      <c r="A90" s="40">
        <f t="shared" si="0"/>
        <v>88</v>
      </c>
      <c r="B90" s="40">
        <f t="shared" si="4"/>
        <v>78</v>
      </c>
      <c r="C90" s="50">
        <v>43253</v>
      </c>
      <c r="D90" s="109" t="s">
        <v>497</v>
      </c>
      <c r="E90" s="109" t="s">
        <v>597</v>
      </c>
      <c r="F90" s="112">
        <v>10</v>
      </c>
      <c r="G90" s="112">
        <f t="shared" si="3"/>
        <v>870</v>
      </c>
      <c r="H90" s="111" t="s">
        <v>502</v>
      </c>
      <c r="I90" s="109"/>
    </row>
    <row r="91" spans="1:9" ht="18" customHeight="1">
      <c r="A91" s="40">
        <f t="shared" si="0"/>
        <v>89</v>
      </c>
      <c r="B91" s="40">
        <f t="shared" si="4"/>
        <v>79</v>
      </c>
      <c r="C91" s="50">
        <v>43253</v>
      </c>
      <c r="D91" s="109" t="s">
        <v>579</v>
      </c>
      <c r="E91" s="109" t="s">
        <v>598</v>
      </c>
      <c r="F91" s="112">
        <v>10</v>
      </c>
      <c r="G91" s="112">
        <f t="shared" si="3"/>
        <v>880</v>
      </c>
      <c r="H91" s="111" t="s">
        <v>502</v>
      </c>
      <c r="I91" s="109"/>
    </row>
    <row r="92" spans="1:9" ht="18" customHeight="1">
      <c r="A92" s="40">
        <f t="shared" si="0"/>
        <v>90</v>
      </c>
      <c r="B92" s="40">
        <f t="shared" si="4"/>
        <v>80</v>
      </c>
      <c r="C92" s="50">
        <v>43253</v>
      </c>
      <c r="D92" s="109" t="s">
        <v>586</v>
      </c>
      <c r="E92" s="109" t="s">
        <v>599</v>
      </c>
      <c r="F92" s="112">
        <v>5</v>
      </c>
      <c r="G92" s="112">
        <f t="shared" si="3"/>
        <v>885</v>
      </c>
      <c r="H92" s="111" t="s">
        <v>502</v>
      </c>
      <c r="I92" s="109"/>
    </row>
    <row r="93" spans="1:9" ht="18" customHeight="1">
      <c r="A93" s="40">
        <f t="shared" si="0"/>
        <v>91</v>
      </c>
      <c r="B93" s="40">
        <f t="shared" si="4"/>
        <v>81</v>
      </c>
      <c r="C93" s="50">
        <v>43253</v>
      </c>
      <c r="D93" s="109" t="s">
        <v>586</v>
      </c>
      <c r="E93" s="109" t="s">
        <v>600</v>
      </c>
      <c r="F93" s="112">
        <v>5</v>
      </c>
      <c r="G93" s="112">
        <f t="shared" si="3"/>
        <v>890</v>
      </c>
      <c r="H93" s="111" t="s">
        <v>502</v>
      </c>
      <c r="I93" s="109"/>
    </row>
    <row r="94" spans="1:9" ht="18" customHeight="1">
      <c r="A94" s="40">
        <f t="shared" si="0"/>
        <v>92</v>
      </c>
      <c r="B94" s="40">
        <f t="shared" si="4"/>
        <v>82</v>
      </c>
      <c r="C94" s="50">
        <v>43253</v>
      </c>
      <c r="D94" s="109" t="s">
        <v>586</v>
      </c>
      <c r="E94" s="109" t="s">
        <v>601</v>
      </c>
      <c r="F94" s="112">
        <v>5</v>
      </c>
      <c r="G94" s="112">
        <f t="shared" si="3"/>
        <v>895</v>
      </c>
      <c r="H94" s="111" t="s">
        <v>502</v>
      </c>
      <c r="I94" s="109"/>
    </row>
    <row r="95" spans="1:9" ht="18" customHeight="1">
      <c r="A95" s="40">
        <f t="shared" si="0"/>
        <v>93</v>
      </c>
      <c r="B95" s="40">
        <f t="shared" si="4"/>
        <v>83</v>
      </c>
      <c r="C95" s="50">
        <v>43253</v>
      </c>
      <c r="D95" s="109" t="s">
        <v>586</v>
      </c>
      <c r="E95" s="109" t="s">
        <v>602</v>
      </c>
      <c r="F95" s="112">
        <v>5</v>
      </c>
      <c r="G95" s="112">
        <f t="shared" si="3"/>
        <v>900</v>
      </c>
      <c r="H95" s="111" t="s">
        <v>502</v>
      </c>
      <c r="I95" s="109"/>
    </row>
    <row r="96" spans="1:9" ht="18" customHeight="1">
      <c r="A96" s="40">
        <f t="shared" si="0"/>
        <v>94</v>
      </c>
      <c r="B96" s="40">
        <f t="shared" si="4"/>
        <v>84</v>
      </c>
      <c r="C96" s="50">
        <v>43253</v>
      </c>
      <c r="D96" s="109" t="s">
        <v>586</v>
      </c>
      <c r="E96" s="109" t="s">
        <v>603</v>
      </c>
      <c r="F96" s="112">
        <v>5</v>
      </c>
      <c r="G96" s="112">
        <f t="shared" si="3"/>
        <v>905</v>
      </c>
      <c r="H96" s="111" t="s">
        <v>502</v>
      </c>
      <c r="I96" s="109"/>
    </row>
    <row r="97" spans="1:9" ht="18" customHeight="1">
      <c r="A97" s="40">
        <f t="shared" si="0"/>
        <v>95</v>
      </c>
      <c r="B97" s="40">
        <f t="shared" si="4"/>
        <v>85</v>
      </c>
      <c r="C97" s="50">
        <v>43253</v>
      </c>
      <c r="D97" s="109" t="s">
        <v>500</v>
      </c>
      <c r="E97" s="109" t="s">
        <v>604</v>
      </c>
      <c r="F97" s="112">
        <v>10</v>
      </c>
      <c r="G97" s="112">
        <f t="shared" si="3"/>
        <v>915</v>
      </c>
      <c r="H97" s="111" t="s">
        <v>502</v>
      </c>
      <c r="I97" s="109"/>
    </row>
    <row r="98" spans="1:9" ht="18" customHeight="1">
      <c r="A98" s="40">
        <f t="shared" si="0"/>
        <v>96</v>
      </c>
      <c r="B98" s="40">
        <f t="shared" si="4"/>
        <v>86</v>
      </c>
      <c r="C98" s="50">
        <v>43253</v>
      </c>
      <c r="D98" s="109" t="s">
        <v>579</v>
      </c>
      <c r="E98" s="109" t="s">
        <v>605</v>
      </c>
      <c r="F98" s="112">
        <v>10</v>
      </c>
      <c r="G98" s="112">
        <f t="shared" si="3"/>
        <v>925</v>
      </c>
      <c r="H98" s="111" t="s">
        <v>502</v>
      </c>
      <c r="I98" s="109"/>
    </row>
    <row r="99" spans="1:9" ht="18" customHeight="1">
      <c r="A99" s="40">
        <f t="shared" si="0"/>
        <v>97</v>
      </c>
      <c r="B99" s="40">
        <f t="shared" si="4"/>
        <v>87</v>
      </c>
      <c r="C99" s="50">
        <v>43253</v>
      </c>
      <c r="D99" s="109" t="s">
        <v>579</v>
      </c>
      <c r="E99" s="109" t="s">
        <v>606</v>
      </c>
      <c r="F99" s="112">
        <v>10</v>
      </c>
      <c r="G99" s="112">
        <f t="shared" si="3"/>
        <v>935</v>
      </c>
      <c r="H99" s="111" t="s">
        <v>502</v>
      </c>
      <c r="I99" s="109"/>
    </row>
    <row r="100" spans="1:9" ht="18" customHeight="1">
      <c r="A100" s="40">
        <f t="shared" si="0"/>
        <v>98</v>
      </c>
      <c r="B100" s="40">
        <f t="shared" si="4"/>
        <v>88</v>
      </c>
      <c r="C100" s="50">
        <v>43253</v>
      </c>
      <c r="D100" s="109" t="s">
        <v>534</v>
      </c>
      <c r="E100" s="109" t="s">
        <v>607</v>
      </c>
      <c r="F100" s="112">
        <v>10</v>
      </c>
      <c r="G100" s="112">
        <f t="shared" si="3"/>
        <v>945</v>
      </c>
      <c r="H100" s="111" t="s">
        <v>502</v>
      </c>
      <c r="I100" s="109"/>
    </row>
    <row r="101" spans="1:9" ht="18" customHeight="1">
      <c r="A101" s="40">
        <f t="shared" si="0"/>
        <v>99</v>
      </c>
      <c r="B101" s="40">
        <f t="shared" si="4"/>
        <v>89</v>
      </c>
      <c r="C101" s="50">
        <v>43253</v>
      </c>
      <c r="D101" s="109" t="s">
        <v>569</v>
      </c>
      <c r="E101" s="109" t="s">
        <v>608</v>
      </c>
      <c r="F101" s="112">
        <v>10</v>
      </c>
      <c r="G101" s="112">
        <f t="shared" si="3"/>
        <v>955</v>
      </c>
      <c r="H101" s="111" t="s">
        <v>502</v>
      </c>
      <c r="I101" s="109"/>
    </row>
    <row r="102" spans="1:9" ht="18" customHeight="1">
      <c r="A102" s="40">
        <f t="shared" si="0"/>
        <v>100</v>
      </c>
      <c r="B102" s="40">
        <f t="shared" si="4"/>
        <v>90</v>
      </c>
      <c r="C102" s="50">
        <v>43253</v>
      </c>
      <c r="D102" s="109" t="s">
        <v>569</v>
      </c>
      <c r="E102" s="109" t="s">
        <v>609</v>
      </c>
      <c r="F102" s="112">
        <v>10</v>
      </c>
      <c r="G102" s="112">
        <f t="shared" si="3"/>
        <v>965</v>
      </c>
      <c r="H102" s="111" t="s">
        <v>502</v>
      </c>
      <c r="I102" s="109"/>
    </row>
    <row r="103" spans="1:9" ht="18" customHeight="1">
      <c r="A103" s="40">
        <f t="shared" si="0"/>
        <v>101</v>
      </c>
      <c r="B103" s="40">
        <f t="shared" si="4"/>
        <v>91</v>
      </c>
      <c r="C103" s="50">
        <v>43253</v>
      </c>
      <c r="D103" s="109" t="s">
        <v>569</v>
      </c>
      <c r="E103" s="109" t="s">
        <v>610</v>
      </c>
      <c r="F103" s="112">
        <v>10</v>
      </c>
      <c r="G103" s="112">
        <f t="shared" si="3"/>
        <v>975</v>
      </c>
      <c r="H103" s="111" t="s">
        <v>502</v>
      </c>
      <c r="I103" s="109"/>
    </row>
    <row r="104" spans="1:9" ht="18" customHeight="1">
      <c r="A104" s="40">
        <f t="shared" si="0"/>
        <v>102</v>
      </c>
      <c r="B104" s="40">
        <f t="shared" si="4"/>
        <v>92</v>
      </c>
      <c r="C104" s="50">
        <v>43253</v>
      </c>
      <c r="D104" s="109" t="s">
        <v>569</v>
      </c>
      <c r="E104" s="109" t="s">
        <v>611</v>
      </c>
      <c r="F104" s="112">
        <v>20</v>
      </c>
      <c r="G104" s="112">
        <f t="shared" si="3"/>
        <v>995</v>
      </c>
      <c r="H104" s="111" t="s">
        <v>502</v>
      </c>
      <c r="I104" s="109"/>
    </row>
    <row r="105" spans="1:9" ht="18" customHeight="1">
      <c r="A105" s="40">
        <f t="shared" si="0"/>
        <v>103</v>
      </c>
      <c r="B105" s="40">
        <f t="shared" si="4"/>
        <v>93</v>
      </c>
      <c r="C105" s="50">
        <v>43253</v>
      </c>
      <c r="D105" s="109" t="s">
        <v>586</v>
      </c>
      <c r="E105" s="109" t="s">
        <v>612</v>
      </c>
      <c r="F105" s="112">
        <v>5</v>
      </c>
      <c r="G105" s="112">
        <f t="shared" si="3"/>
        <v>1000</v>
      </c>
      <c r="H105" s="111" t="s">
        <v>502</v>
      </c>
      <c r="I105" s="109"/>
    </row>
    <row r="106" spans="1:9" ht="18" customHeight="1">
      <c r="A106" s="40">
        <f t="shared" si="0"/>
        <v>104</v>
      </c>
      <c r="B106" s="40">
        <f t="shared" si="4"/>
        <v>94</v>
      </c>
      <c r="C106" s="50">
        <v>43253</v>
      </c>
      <c r="D106" s="109" t="s">
        <v>586</v>
      </c>
      <c r="E106" s="109" t="s">
        <v>613</v>
      </c>
      <c r="F106" s="112">
        <v>5</v>
      </c>
      <c r="G106" s="112">
        <f t="shared" si="3"/>
        <v>1005</v>
      </c>
      <c r="H106" s="111" t="s">
        <v>502</v>
      </c>
      <c r="I106" s="109"/>
    </row>
    <row r="107" spans="1:9" ht="18" customHeight="1">
      <c r="A107" s="40">
        <f t="shared" si="0"/>
        <v>105</v>
      </c>
      <c r="B107" s="40">
        <f t="shared" si="4"/>
        <v>95</v>
      </c>
      <c r="C107" s="50">
        <v>43253</v>
      </c>
      <c r="D107" s="109" t="s">
        <v>586</v>
      </c>
      <c r="E107" s="109" t="s">
        <v>614</v>
      </c>
      <c r="F107" s="112">
        <v>5</v>
      </c>
      <c r="G107" s="112">
        <f t="shared" si="3"/>
        <v>1010</v>
      </c>
      <c r="H107" s="111" t="s">
        <v>502</v>
      </c>
      <c r="I107" s="109"/>
    </row>
    <row r="108" spans="1:9" ht="18" customHeight="1">
      <c r="A108" s="40">
        <f t="shared" si="0"/>
        <v>106</v>
      </c>
      <c r="B108" s="40">
        <f t="shared" si="4"/>
        <v>96</v>
      </c>
      <c r="C108" s="50">
        <v>43253</v>
      </c>
      <c r="D108" s="109" t="s">
        <v>586</v>
      </c>
      <c r="E108" s="109" t="s">
        <v>615</v>
      </c>
      <c r="F108" s="112">
        <v>10</v>
      </c>
      <c r="G108" s="112">
        <f t="shared" si="3"/>
        <v>1020</v>
      </c>
      <c r="H108" s="111" t="s">
        <v>502</v>
      </c>
      <c r="I108" s="109"/>
    </row>
    <row r="109" spans="1:9" ht="18" customHeight="1">
      <c r="A109" s="40">
        <f t="shared" si="0"/>
        <v>107</v>
      </c>
      <c r="B109" s="40">
        <f t="shared" si="4"/>
        <v>97</v>
      </c>
      <c r="C109" s="50">
        <v>43253</v>
      </c>
      <c r="D109" s="109" t="s">
        <v>586</v>
      </c>
      <c r="E109" s="109" t="s">
        <v>527</v>
      </c>
      <c r="F109" s="112">
        <v>5</v>
      </c>
      <c r="G109" s="112">
        <f t="shared" si="3"/>
        <v>1025</v>
      </c>
      <c r="H109" s="111" t="s">
        <v>502</v>
      </c>
      <c r="I109" s="109"/>
    </row>
    <row r="110" spans="1:9" ht="18" customHeight="1">
      <c r="A110" s="40">
        <f t="shared" si="0"/>
        <v>108</v>
      </c>
      <c r="B110" s="40">
        <f t="shared" si="4"/>
        <v>98</v>
      </c>
      <c r="C110" s="50">
        <v>43253</v>
      </c>
      <c r="D110" s="109" t="s">
        <v>586</v>
      </c>
      <c r="E110" s="109" t="s">
        <v>616</v>
      </c>
      <c r="F110" s="112">
        <v>5</v>
      </c>
      <c r="G110" s="112">
        <f t="shared" si="3"/>
        <v>1030</v>
      </c>
      <c r="H110" s="111" t="s">
        <v>502</v>
      </c>
      <c r="I110" s="109"/>
    </row>
    <row r="111" spans="1:9" ht="18" customHeight="1">
      <c r="A111" s="40">
        <f t="shared" si="0"/>
        <v>109</v>
      </c>
      <c r="B111" s="40">
        <f t="shared" si="4"/>
        <v>99</v>
      </c>
      <c r="C111" s="50">
        <v>43253</v>
      </c>
      <c r="D111" s="109" t="s">
        <v>586</v>
      </c>
      <c r="E111" s="109" t="s">
        <v>617</v>
      </c>
      <c r="F111" s="112">
        <v>5</v>
      </c>
      <c r="G111" s="112">
        <f t="shared" si="3"/>
        <v>1035</v>
      </c>
      <c r="H111" s="111" t="s">
        <v>502</v>
      </c>
      <c r="I111" s="109"/>
    </row>
    <row r="112" spans="1:9" ht="18" customHeight="1">
      <c r="A112" s="40">
        <f t="shared" si="0"/>
        <v>110</v>
      </c>
      <c r="B112" s="40">
        <f t="shared" si="4"/>
        <v>100</v>
      </c>
      <c r="C112" s="50">
        <v>43253</v>
      </c>
      <c r="D112" s="109" t="s">
        <v>586</v>
      </c>
      <c r="E112" s="109" t="s">
        <v>618</v>
      </c>
      <c r="F112" s="112">
        <v>5</v>
      </c>
      <c r="G112" s="112">
        <f t="shared" si="3"/>
        <v>1040</v>
      </c>
      <c r="H112" s="111" t="s">
        <v>502</v>
      </c>
      <c r="I112" s="109"/>
    </row>
    <row r="113" spans="1:9" ht="18" customHeight="1">
      <c r="A113" s="40">
        <f t="shared" si="0"/>
        <v>111</v>
      </c>
      <c r="B113" s="40">
        <f t="shared" si="4"/>
        <v>101</v>
      </c>
      <c r="C113" s="50">
        <v>43253</v>
      </c>
      <c r="D113" s="109" t="s">
        <v>586</v>
      </c>
      <c r="E113" s="109" t="s">
        <v>505</v>
      </c>
      <c r="F113" s="112">
        <v>5</v>
      </c>
      <c r="G113" s="112">
        <f t="shared" si="3"/>
        <v>1045</v>
      </c>
      <c r="H113" s="111" t="s">
        <v>502</v>
      </c>
      <c r="I113" s="109"/>
    </row>
    <row r="114" spans="1:9" ht="18" customHeight="1">
      <c r="A114" s="40">
        <f t="shared" si="0"/>
        <v>112</v>
      </c>
      <c r="B114" s="40">
        <f t="shared" si="4"/>
        <v>102</v>
      </c>
      <c r="C114" s="50">
        <v>43253</v>
      </c>
      <c r="D114" s="109" t="s">
        <v>586</v>
      </c>
      <c r="E114" s="109" t="s">
        <v>619</v>
      </c>
      <c r="F114" s="112">
        <v>5</v>
      </c>
      <c r="G114" s="112">
        <f t="shared" si="3"/>
        <v>1050</v>
      </c>
      <c r="H114" s="111" t="s">
        <v>502</v>
      </c>
      <c r="I114" s="109"/>
    </row>
    <row r="115" spans="1:9" ht="18" customHeight="1">
      <c r="A115" s="40">
        <f t="shared" si="0"/>
        <v>113</v>
      </c>
      <c r="B115" s="40">
        <f t="shared" si="4"/>
        <v>103</v>
      </c>
      <c r="C115" s="50">
        <v>43253</v>
      </c>
      <c r="D115" s="109" t="s">
        <v>586</v>
      </c>
      <c r="E115" s="109" t="s">
        <v>620</v>
      </c>
      <c r="F115" s="112">
        <v>5</v>
      </c>
      <c r="G115" s="112">
        <f t="shared" si="3"/>
        <v>1055</v>
      </c>
      <c r="H115" s="111" t="s">
        <v>502</v>
      </c>
      <c r="I115" s="109"/>
    </row>
    <row r="116" spans="1:9" ht="18" customHeight="1">
      <c r="A116" s="40">
        <f t="shared" si="0"/>
        <v>114</v>
      </c>
      <c r="B116" s="40">
        <f t="shared" si="4"/>
        <v>104</v>
      </c>
      <c r="C116" s="50">
        <v>43253</v>
      </c>
      <c r="D116" s="109" t="s">
        <v>586</v>
      </c>
      <c r="E116" s="109" t="s">
        <v>621</v>
      </c>
      <c r="F116" s="112">
        <v>5</v>
      </c>
      <c r="G116" s="112">
        <f t="shared" si="3"/>
        <v>1060</v>
      </c>
      <c r="H116" s="111" t="s">
        <v>502</v>
      </c>
      <c r="I116" s="109"/>
    </row>
    <row r="117" spans="1:9" ht="18" customHeight="1">
      <c r="A117" s="40">
        <f t="shared" si="0"/>
        <v>115</v>
      </c>
      <c r="B117" s="40">
        <f t="shared" si="4"/>
        <v>105</v>
      </c>
      <c r="C117" s="50">
        <v>43253</v>
      </c>
      <c r="D117" s="109" t="s">
        <v>586</v>
      </c>
      <c r="E117" s="109" t="s">
        <v>622</v>
      </c>
      <c r="F117" s="112">
        <v>5</v>
      </c>
      <c r="G117" s="112">
        <f t="shared" si="3"/>
        <v>1065</v>
      </c>
      <c r="H117" s="111" t="s">
        <v>502</v>
      </c>
      <c r="I117" s="109"/>
    </row>
    <row r="118" spans="1:9" ht="18" customHeight="1">
      <c r="A118" s="40">
        <f t="shared" si="0"/>
        <v>116</v>
      </c>
      <c r="B118" s="40">
        <f t="shared" si="4"/>
        <v>106</v>
      </c>
      <c r="C118" s="50">
        <v>43253</v>
      </c>
      <c r="D118" s="109" t="s">
        <v>586</v>
      </c>
      <c r="E118" s="109" t="s">
        <v>623</v>
      </c>
      <c r="F118" s="112">
        <v>5</v>
      </c>
      <c r="G118" s="112">
        <f t="shared" si="3"/>
        <v>1070</v>
      </c>
      <c r="H118" s="111" t="s">
        <v>502</v>
      </c>
      <c r="I118" s="109"/>
    </row>
    <row r="119" spans="1:9" ht="18" customHeight="1">
      <c r="A119" s="40">
        <f t="shared" si="0"/>
        <v>117</v>
      </c>
      <c r="B119" s="40">
        <f t="shared" si="4"/>
        <v>107</v>
      </c>
      <c r="C119" s="50">
        <v>43253</v>
      </c>
      <c r="D119" s="109" t="s">
        <v>586</v>
      </c>
      <c r="E119" s="109" t="s">
        <v>624</v>
      </c>
      <c r="F119" s="112">
        <v>5</v>
      </c>
      <c r="G119" s="112">
        <f t="shared" si="3"/>
        <v>1075</v>
      </c>
      <c r="H119" s="111" t="s">
        <v>502</v>
      </c>
      <c r="I119" s="109"/>
    </row>
    <row r="120" spans="1:9" ht="18" customHeight="1">
      <c r="A120" s="40">
        <f t="shared" si="0"/>
        <v>118</v>
      </c>
      <c r="B120" s="40">
        <f t="shared" si="4"/>
        <v>108</v>
      </c>
      <c r="C120" s="50">
        <v>43253</v>
      </c>
      <c r="D120" s="109" t="s">
        <v>586</v>
      </c>
      <c r="E120" s="109" t="s">
        <v>625</v>
      </c>
      <c r="F120" s="112">
        <v>10</v>
      </c>
      <c r="G120" s="112">
        <f t="shared" si="3"/>
        <v>1085</v>
      </c>
      <c r="H120" s="111" t="s">
        <v>502</v>
      </c>
      <c r="I120" s="109"/>
    </row>
    <row r="121" spans="1:9" ht="18" customHeight="1">
      <c r="A121" s="40">
        <f t="shared" si="0"/>
        <v>119</v>
      </c>
      <c r="B121" s="40">
        <f t="shared" si="4"/>
        <v>109</v>
      </c>
      <c r="C121" s="50">
        <v>43253</v>
      </c>
      <c r="D121" s="109" t="s">
        <v>586</v>
      </c>
      <c r="E121" s="109" t="s">
        <v>626</v>
      </c>
      <c r="F121" s="112">
        <v>10</v>
      </c>
      <c r="G121" s="112">
        <f t="shared" si="3"/>
        <v>1095</v>
      </c>
      <c r="H121" s="111" t="s">
        <v>502</v>
      </c>
      <c r="I121" s="109"/>
    </row>
    <row r="122" spans="1:9" ht="18" customHeight="1">
      <c r="A122" s="40">
        <f t="shared" si="0"/>
        <v>120</v>
      </c>
      <c r="B122" s="40">
        <f t="shared" si="4"/>
        <v>110</v>
      </c>
      <c r="C122" s="50">
        <v>43253</v>
      </c>
      <c r="D122" s="109" t="s">
        <v>586</v>
      </c>
      <c r="E122" s="109" t="s">
        <v>627</v>
      </c>
      <c r="F122" s="112">
        <v>5</v>
      </c>
      <c r="G122" s="112">
        <f t="shared" si="3"/>
        <v>1100</v>
      </c>
      <c r="H122" s="111" t="s">
        <v>502</v>
      </c>
      <c r="I122" s="109"/>
    </row>
    <row r="123" spans="1:9" ht="18" customHeight="1">
      <c r="A123" s="40">
        <f t="shared" si="0"/>
        <v>121</v>
      </c>
      <c r="B123" s="40">
        <f t="shared" si="4"/>
        <v>111</v>
      </c>
      <c r="C123" s="50">
        <v>43253</v>
      </c>
      <c r="D123" s="109" t="s">
        <v>586</v>
      </c>
      <c r="E123" s="109" t="s">
        <v>628</v>
      </c>
      <c r="F123" s="112">
        <v>10</v>
      </c>
      <c r="G123" s="112">
        <f t="shared" si="3"/>
        <v>1110</v>
      </c>
      <c r="H123" s="111" t="s">
        <v>502</v>
      </c>
      <c r="I123" s="109"/>
    </row>
    <row r="124" spans="1:9" ht="18" customHeight="1">
      <c r="A124" s="40">
        <f t="shared" si="0"/>
        <v>122</v>
      </c>
      <c r="B124" s="40">
        <f t="shared" si="4"/>
        <v>112</v>
      </c>
      <c r="C124" s="50">
        <v>43253</v>
      </c>
      <c r="D124" s="109" t="s">
        <v>586</v>
      </c>
      <c r="E124" s="109" t="s">
        <v>629</v>
      </c>
      <c r="F124" s="112">
        <v>10</v>
      </c>
      <c r="G124" s="112">
        <f t="shared" si="3"/>
        <v>1120</v>
      </c>
      <c r="H124" s="111" t="s">
        <v>502</v>
      </c>
      <c r="I124" s="109"/>
    </row>
    <row r="125" spans="1:9" ht="18" customHeight="1">
      <c r="A125" s="40">
        <f t="shared" si="0"/>
        <v>123</v>
      </c>
      <c r="B125" s="40">
        <f t="shared" si="4"/>
        <v>113</v>
      </c>
      <c r="C125" s="50">
        <v>43253</v>
      </c>
      <c r="D125" s="109" t="s">
        <v>586</v>
      </c>
      <c r="E125" s="109" t="s">
        <v>630</v>
      </c>
      <c r="F125" s="112">
        <v>5</v>
      </c>
      <c r="G125" s="112">
        <f t="shared" si="3"/>
        <v>1125</v>
      </c>
      <c r="H125" s="111" t="s">
        <v>502</v>
      </c>
      <c r="I125" s="109"/>
    </row>
    <row r="126" spans="1:9" ht="18" customHeight="1">
      <c r="A126" s="40">
        <f t="shared" si="0"/>
        <v>124</v>
      </c>
      <c r="B126" s="40">
        <f t="shared" si="4"/>
        <v>114</v>
      </c>
      <c r="C126" s="50">
        <v>43253</v>
      </c>
      <c r="D126" s="109" t="s">
        <v>586</v>
      </c>
      <c r="E126" s="109" t="s">
        <v>631</v>
      </c>
      <c r="F126" s="112">
        <v>5</v>
      </c>
      <c r="G126" s="112">
        <f t="shared" si="3"/>
        <v>1130</v>
      </c>
      <c r="H126" s="111" t="s">
        <v>502</v>
      </c>
      <c r="I126" s="109"/>
    </row>
    <row r="127" spans="1:9" ht="18" customHeight="1">
      <c r="A127" s="40">
        <f t="shared" si="0"/>
        <v>125</v>
      </c>
      <c r="B127" s="40">
        <f t="shared" si="4"/>
        <v>115</v>
      </c>
      <c r="C127" s="50">
        <v>43253</v>
      </c>
      <c r="D127" s="109" t="s">
        <v>518</v>
      </c>
      <c r="E127" s="109" t="s">
        <v>632</v>
      </c>
      <c r="F127" s="112">
        <v>5</v>
      </c>
      <c r="G127" s="112">
        <f t="shared" si="3"/>
        <v>1135</v>
      </c>
      <c r="H127" s="111" t="s">
        <v>502</v>
      </c>
      <c r="I127" s="109"/>
    </row>
    <row r="128" spans="1:9" ht="18" customHeight="1">
      <c r="A128" s="40">
        <f t="shared" si="0"/>
        <v>126</v>
      </c>
      <c r="B128" s="40">
        <f t="shared" si="4"/>
        <v>116</v>
      </c>
      <c r="C128" s="50">
        <v>43253</v>
      </c>
      <c r="D128" s="109" t="s">
        <v>633</v>
      </c>
      <c r="E128" s="109" t="s">
        <v>634</v>
      </c>
      <c r="F128" s="112">
        <v>5</v>
      </c>
      <c r="G128" s="112">
        <f t="shared" si="3"/>
        <v>1140</v>
      </c>
      <c r="H128" s="111" t="s">
        <v>502</v>
      </c>
      <c r="I128" s="109"/>
    </row>
    <row r="129" spans="1:9" ht="18" customHeight="1">
      <c r="A129" s="40">
        <f t="shared" si="0"/>
        <v>127</v>
      </c>
      <c r="B129" s="40">
        <f t="shared" si="4"/>
        <v>117</v>
      </c>
      <c r="C129" s="50">
        <v>43253</v>
      </c>
      <c r="D129" s="109" t="s">
        <v>635</v>
      </c>
      <c r="E129" s="109" t="s">
        <v>613</v>
      </c>
      <c r="F129" s="112">
        <v>5</v>
      </c>
      <c r="G129" s="112">
        <f t="shared" si="3"/>
        <v>1145</v>
      </c>
      <c r="H129" s="111" t="s">
        <v>502</v>
      </c>
      <c r="I129" s="109"/>
    </row>
    <row r="130" spans="1:9" ht="18" customHeight="1">
      <c r="A130" s="40">
        <f t="shared" si="0"/>
        <v>128</v>
      </c>
      <c r="B130" s="40">
        <f t="shared" si="4"/>
        <v>118</v>
      </c>
      <c r="C130" s="50">
        <v>43253</v>
      </c>
      <c r="D130" s="109" t="s">
        <v>636</v>
      </c>
      <c r="E130" s="109" t="s">
        <v>637</v>
      </c>
      <c r="F130" s="112">
        <v>5</v>
      </c>
      <c r="G130" s="112">
        <f t="shared" si="3"/>
        <v>1150</v>
      </c>
      <c r="H130" s="111" t="s">
        <v>502</v>
      </c>
      <c r="I130" s="109"/>
    </row>
    <row r="131" spans="1:9" ht="18" customHeight="1">
      <c r="A131" s="40">
        <f t="shared" si="0"/>
        <v>129</v>
      </c>
      <c r="B131" s="40">
        <f t="shared" si="4"/>
        <v>119</v>
      </c>
      <c r="C131" s="50">
        <v>43253</v>
      </c>
      <c r="D131" s="109" t="s">
        <v>516</v>
      </c>
      <c r="E131" s="109" t="s">
        <v>638</v>
      </c>
      <c r="F131" s="112">
        <v>5</v>
      </c>
      <c r="G131" s="112">
        <f t="shared" si="3"/>
        <v>1155</v>
      </c>
      <c r="H131" s="111" t="s">
        <v>502</v>
      </c>
      <c r="I131" s="109"/>
    </row>
    <row r="132" spans="1:9" ht="18" customHeight="1">
      <c r="A132" s="40">
        <f t="shared" si="0"/>
        <v>130</v>
      </c>
      <c r="B132" s="40">
        <f t="shared" si="4"/>
        <v>120</v>
      </c>
      <c r="C132" s="50">
        <v>43253</v>
      </c>
      <c r="D132" s="109" t="s">
        <v>636</v>
      </c>
      <c r="E132" s="109" t="s">
        <v>639</v>
      </c>
      <c r="F132" s="112">
        <v>5</v>
      </c>
      <c r="G132" s="112">
        <f t="shared" si="3"/>
        <v>1160</v>
      </c>
      <c r="H132" s="111" t="s">
        <v>502</v>
      </c>
      <c r="I132" s="109"/>
    </row>
    <row r="133" spans="1:9" ht="18" customHeight="1">
      <c r="A133" s="40">
        <f t="shared" si="0"/>
        <v>131</v>
      </c>
      <c r="B133" s="40">
        <f t="shared" si="4"/>
        <v>121</v>
      </c>
      <c r="C133" s="50">
        <v>43253</v>
      </c>
      <c r="D133" s="109" t="s">
        <v>497</v>
      </c>
      <c r="E133" s="109" t="s">
        <v>640</v>
      </c>
      <c r="F133" s="112">
        <v>5</v>
      </c>
      <c r="G133" s="112">
        <f t="shared" ref="G133:G196" si="5">F133+G132</f>
        <v>1165</v>
      </c>
      <c r="H133" s="111" t="s">
        <v>502</v>
      </c>
      <c r="I133" s="109"/>
    </row>
    <row r="134" spans="1:9" ht="18" customHeight="1">
      <c r="A134" s="40">
        <f t="shared" si="0"/>
        <v>132</v>
      </c>
      <c r="B134" s="40">
        <f t="shared" si="4"/>
        <v>122</v>
      </c>
      <c r="C134" s="50">
        <v>43253</v>
      </c>
      <c r="D134" s="109" t="s">
        <v>497</v>
      </c>
      <c r="E134" s="109" t="s">
        <v>641</v>
      </c>
      <c r="F134" s="112">
        <v>5</v>
      </c>
      <c r="G134" s="112">
        <f t="shared" si="5"/>
        <v>1170</v>
      </c>
      <c r="H134" s="111" t="s">
        <v>502</v>
      </c>
      <c r="I134" s="109"/>
    </row>
    <row r="135" spans="1:9" ht="18" customHeight="1">
      <c r="A135" s="40">
        <f t="shared" si="0"/>
        <v>133</v>
      </c>
      <c r="B135" s="40">
        <f t="shared" si="4"/>
        <v>123</v>
      </c>
      <c r="C135" s="50">
        <v>43253</v>
      </c>
      <c r="D135" s="109" t="s">
        <v>497</v>
      </c>
      <c r="E135" s="109" t="s">
        <v>642</v>
      </c>
      <c r="F135" s="112">
        <v>5</v>
      </c>
      <c r="G135" s="112">
        <f t="shared" si="5"/>
        <v>1175</v>
      </c>
      <c r="H135" s="111" t="s">
        <v>502</v>
      </c>
      <c r="I135" s="109"/>
    </row>
    <row r="136" spans="1:9" ht="18" customHeight="1">
      <c r="A136" s="40">
        <f t="shared" si="0"/>
        <v>134</v>
      </c>
      <c r="B136" s="40">
        <f t="shared" si="4"/>
        <v>124</v>
      </c>
      <c r="C136" s="50">
        <v>43253</v>
      </c>
      <c r="D136" s="109" t="s">
        <v>497</v>
      </c>
      <c r="E136" s="109" t="s">
        <v>166</v>
      </c>
      <c r="F136" s="112">
        <v>5</v>
      </c>
      <c r="G136" s="112">
        <f t="shared" si="5"/>
        <v>1180</v>
      </c>
      <c r="H136" s="111" t="s">
        <v>502</v>
      </c>
      <c r="I136" s="109"/>
    </row>
    <row r="137" spans="1:9" ht="18" customHeight="1">
      <c r="A137" s="40">
        <f t="shared" si="0"/>
        <v>135</v>
      </c>
      <c r="B137" s="40">
        <f t="shared" si="4"/>
        <v>125</v>
      </c>
      <c r="C137" s="50">
        <v>43253</v>
      </c>
      <c r="D137" s="109" t="s">
        <v>497</v>
      </c>
      <c r="E137" s="109" t="s">
        <v>643</v>
      </c>
      <c r="F137" s="112">
        <v>5</v>
      </c>
      <c r="G137" s="112">
        <f t="shared" si="5"/>
        <v>1185</v>
      </c>
      <c r="H137" s="111" t="s">
        <v>502</v>
      </c>
      <c r="I137" s="109"/>
    </row>
    <row r="138" spans="1:9" ht="18" customHeight="1">
      <c r="A138" s="40">
        <f t="shared" si="0"/>
        <v>136</v>
      </c>
      <c r="B138" s="40">
        <f t="shared" si="4"/>
        <v>126</v>
      </c>
      <c r="C138" s="50">
        <v>43253</v>
      </c>
      <c r="D138" s="109" t="s">
        <v>497</v>
      </c>
      <c r="E138" s="109" t="s">
        <v>644</v>
      </c>
      <c r="F138" s="112">
        <v>5</v>
      </c>
      <c r="G138" s="112">
        <f t="shared" si="5"/>
        <v>1190</v>
      </c>
      <c r="H138" s="111" t="s">
        <v>502</v>
      </c>
      <c r="I138" s="109"/>
    </row>
    <row r="139" spans="1:9" ht="18" customHeight="1">
      <c r="A139" s="40">
        <f t="shared" ref="A139:A202" si="6">ROW()-2</f>
        <v>137</v>
      </c>
      <c r="B139" s="40">
        <f t="shared" si="4"/>
        <v>127</v>
      </c>
      <c r="C139" s="50">
        <v>43253</v>
      </c>
      <c r="D139" s="109" t="s">
        <v>497</v>
      </c>
      <c r="E139" s="109" t="s">
        <v>645</v>
      </c>
      <c r="F139" s="112">
        <v>10</v>
      </c>
      <c r="G139" s="112">
        <f t="shared" si="5"/>
        <v>1200</v>
      </c>
      <c r="H139" s="111" t="s">
        <v>502</v>
      </c>
      <c r="I139" s="109"/>
    </row>
    <row r="140" spans="1:9" ht="18" customHeight="1">
      <c r="A140" s="40">
        <f t="shared" si="6"/>
        <v>138</v>
      </c>
      <c r="B140" s="40">
        <f t="shared" si="4"/>
        <v>128</v>
      </c>
      <c r="C140" s="50">
        <v>43253</v>
      </c>
      <c r="D140" s="109" t="s">
        <v>504</v>
      </c>
      <c r="E140" s="109" t="s">
        <v>646</v>
      </c>
      <c r="F140" s="112">
        <v>5</v>
      </c>
      <c r="G140" s="112">
        <f t="shared" si="5"/>
        <v>1205</v>
      </c>
      <c r="H140" s="111" t="s">
        <v>502</v>
      </c>
      <c r="I140" s="109"/>
    </row>
    <row r="141" spans="1:9" ht="18" customHeight="1">
      <c r="A141" s="40">
        <f t="shared" si="6"/>
        <v>139</v>
      </c>
      <c r="B141" s="40">
        <f t="shared" si="4"/>
        <v>129</v>
      </c>
      <c r="C141" s="50">
        <v>43253</v>
      </c>
      <c r="D141" s="109" t="s">
        <v>497</v>
      </c>
      <c r="E141" s="109" t="s">
        <v>647</v>
      </c>
      <c r="F141" s="112">
        <v>5</v>
      </c>
      <c r="G141" s="112">
        <f t="shared" si="5"/>
        <v>1210</v>
      </c>
      <c r="H141" s="111" t="s">
        <v>502</v>
      </c>
      <c r="I141" s="109"/>
    </row>
    <row r="142" spans="1:9" ht="18" customHeight="1">
      <c r="A142" s="40">
        <f t="shared" si="6"/>
        <v>140</v>
      </c>
      <c r="B142" s="40">
        <f t="shared" si="4"/>
        <v>130</v>
      </c>
      <c r="C142" s="50">
        <v>43253</v>
      </c>
      <c r="D142" s="109" t="s">
        <v>497</v>
      </c>
      <c r="E142" s="109" t="s">
        <v>648</v>
      </c>
      <c r="F142" s="112">
        <v>5</v>
      </c>
      <c r="G142" s="112">
        <f t="shared" si="5"/>
        <v>1215</v>
      </c>
      <c r="H142" s="111" t="s">
        <v>502</v>
      </c>
      <c r="I142" s="109"/>
    </row>
    <row r="143" spans="1:9" ht="18" customHeight="1">
      <c r="A143" s="40">
        <f t="shared" si="6"/>
        <v>141</v>
      </c>
      <c r="B143" s="40">
        <f t="shared" si="4"/>
        <v>131</v>
      </c>
      <c r="C143" s="50">
        <v>43253</v>
      </c>
      <c r="D143" s="109" t="s">
        <v>636</v>
      </c>
      <c r="E143" s="109" t="s">
        <v>649</v>
      </c>
      <c r="F143" s="112">
        <v>5</v>
      </c>
      <c r="G143" s="112">
        <f t="shared" si="5"/>
        <v>1220</v>
      </c>
      <c r="H143" s="111" t="s">
        <v>502</v>
      </c>
      <c r="I143" s="109"/>
    </row>
    <row r="144" spans="1:9" ht="18" customHeight="1">
      <c r="A144" s="40">
        <f t="shared" si="6"/>
        <v>142</v>
      </c>
      <c r="B144" s="40">
        <f t="shared" si="4"/>
        <v>132</v>
      </c>
      <c r="C144" s="50">
        <v>43253</v>
      </c>
      <c r="D144" s="109" t="s">
        <v>497</v>
      </c>
      <c r="E144" s="109" t="s">
        <v>650</v>
      </c>
      <c r="F144" s="112">
        <v>10</v>
      </c>
      <c r="G144" s="112">
        <f t="shared" si="5"/>
        <v>1230</v>
      </c>
      <c r="H144" s="111" t="s">
        <v>502</v>
      </c>
      <c r="I144" s="109"/>
    </row>
    <row r="145" spans="1:9" ht="18" customHeight="1">
      <c r="A145" s="40">
        <f t="shared" si="6"/>
        <v>143</v>
      </c>
      <c r="B145" s="40">
        <f t="shared" si="4"/>
        <v>133</v>
      </c>
      <c r="C145" s="50">
        <v>43253</v>
      </c>
      <c r="D145" s="109" t="s">
        <v>497</v>
      </c>
      <c r="E145" s="109" t="s">
        <v>651</v>
      </c>
      <c r="F145" s="112">
        <v>5</v>
      </c>
      <c r="G145" s="112">
        <f t="shared" si="5"/>
        <v>1235</v>
      </c>
      <c r="H145" s="111" t="s">
        <v>502</v>
      </c>
      <c r="I145" s="109"/>
    </row>
    <row r="146" spans="1:9" ht="18" customHeight="1">
      <c r="A146" s="40">
        <f t="shared" si="6"/>
        <v>144</v>
      </c>
      <c r="B146" s="40">
        <f t="shared" si="4"/>
        <v>134</v>
      </c>
      <c r="C146" s="50">
        <v>43253</v>
      </c>
      <c r="D146" s="109" t="s">
        <v>579</v>
      </c>
      <c r="E146" s="109" t="s">
        <v>652</v>
      </c>
      <c r="F146" s="112">
        <v>10</v>
      </c>
      <c r="G146" s="112">
        <f t="shared" si="5"/>
        <v>1245</v>
      </c>
      <c r="H146" s="111" t="s">
        <v>502</v>
      </c>
      <c r="I146" s="109"/>
    </row>
    <row r="147" spans="1:9" ht="18" customHeight="1">
      <c r="A147" s="40">
        <f t="shared" si="6"/>
        <v>145</v>
      </c>
      <c r="B147" s="40">
        <f t="shared" si="4"/>
        <v>135</v>
      </c>
      <c r="C147" s="50">
        <v>43253</v>
      </c>
      <c r="D147" s="109" t="s">
        <v>635</v>
      </c>
      <c r="E147" s="109" t="s">
        <v>653</v>
      </c>
      <c r="F147" s="112">
        <v>10</v>
      </c>
      <c r="G147" s="112">
        <f t="shared" si="5"/>
        <v>1255</v>
      </c>
      <c r="H147" s="111" t="s">
        <v>502</v>
      </c>
      <c r="I147" s="109"/>
    </row>
    <row r="148" spans="1:9" ht="18" customHeight="1">
      <c r="A148" s="40">
        <f t="shared" si="6"/>
        <v>146</v>
      </c>
      <c r="B148" s="40">
        <f t="shared" si="4"/>
        <v>136</v>
      </c>
      <c r="C148" s="50">
        <v>43253</v>
      </c>
      <c r="D148" s="109" t="s">
        <v>497</v>
      </c>
      <c r="E148" s="109" t="s">
        <v>654</v>
      </c>
      <c r="F148" s="112">
        <v>5</v>
      </c>
      <c r="G148" s="112">
        <f t="shared" si="5"/>
        <v>1260</v>
      </c>
      <c r="H148" s="111" t="s">
        <v>502</v>
      </c>
      <c r="I148" s="109"/>
    </row>
    <row r="149" spans="1:9" ht="18" customHeight="1">
      <c r="A149" s="40">
        <f t="shared" si="6"/>
        <v>147</v>
      </c>
      <c r="B149" s="40">
        <f t="shared" si="4"/>
        <v>137</v>
      </c>
      <c r="C149" s="50">
        <v>43253</v>
      </c>
      <c r="D149" s="109" t="s">
        <v>497</v>
      </c>
      <c r="E149" s="109" t="s">
        <v>655</v>
      </c>
      <c r="F149" s="112">
        <v>3</v>
      </c>
      <c r="G149" s="112">
        <f t="shared" si="5"/>
        <v>1263</v>
      </c>
      <c r="H149" s="111" t="s">
        <v>502</v>
      </c>
      <c r="I149" s="109"/>
    </row>
    <row r="150" spans="1:9" ht="18" customHeight="1">
      <c r="A150" s="40">
        <f t="shared" si="6"/>
        <v>148</v>
      </c>
      <c r="B150" s="40">
        <f t="shared" si="4"/>
        <v>138</v>
      </c>
      <c r="C150" s="50">
        <v>43253</v>
      </c>
      <c r="D150" s="109" t="s">
        <v>635</v>
      </c>
      <c r="E150" s="109" t="s">
        <v>635</v>
      </c>
      <c r="F150" s="112">
        <v>10</v>
      </c>
      <c r="G150" s="112">
        <f t="shared" si="5"/>
        <v>1273</v>
      </c>
      <c r="H150" s="111" t="s">
        <v>502</v>
      </c>
      <c r="I150" s="109"/>
    </row>
    <row r="151" spans="1:9" ht="18" customHeight="1">
      <c r="A151" s="40">
        <f t="shared" si="6"/>
        <v>149</v>
      </c>
      <c r="B151" s="40">
        <f t="shared" si="4"/>
        <v>139</v>
      </c>
      <c r="C151" s="50">
        <v>43253</v>
      </c>
      <c r="D151" s="109" t="s">
        <v>636</v>
      </c>
      <c r="E151" s="109" t="s">
        <v>656</v>
      </c>
      <c r="F151" s="112">
        <v>10</v>
      </c>
      <c r="G151" s="112">
        <f t="shared" si="5"/>
        <v>1283</v>
      </c>
      <c r="H151" s="111" t="s">
        <v>502</v>
      </c>
      <c r="I151" s="109"/>
    </row>
    <row r="152" spans="1:9" ht="18" customHeight="1">
      <c r="A152" s="40">
        <f t="shared" si="6"/>
        <v>150</v>
      </c>
      <c r="B152" s="40">
        <f t="shared" si="4"/>
        <v>140</v>
      </c>
      <c r="C152" s="50">
        <v>43253</v>
      </c>
      <c r="D152" s="109" t="s">
        <v>497</v>
      </c>
      <c r="E152" s="109" t="s">
        <v>657</v>
      </c>
      <c r="F152" s="112">
        <v>3</v>
      </c>
      <c r="G152" s="112">
        <f t="shared" si="5"/>
        <v>1286</v>
      </c>
      <c r="H152" s="111" t="s">
        <v>502</v>
      </c>
      <c r="I152" s="109"/>
    </row>
    <row r="153" spans="1:9" ht="18" customHeight="1">
      <c r="A153" s="40">
        <f t="shared" si="6"/>
        <v>151</v>
      </c>
      <c r="B153" s="40">
        <f t="shared" ref="B153:B216" si="7">ROW()-12</f>
        <v>141</v>
      </c>
      <c r="C153" s="50">
        <v>43253</v>
      </c>
      <c r="D153" s="109" t="s">
        <v>497</v>
      </c>
      <c r="E153" s="109" t="s">
        <v>658</v>
      </c>
      <c r="F153" s="112">
        <v>5</v>
      </c>
      <c r="G153" s="112">
        <f t="shared" si="5"/>
        <v>1291</v>
      </c>
      <c r="H153" s="111" t="s">
        <v>502</v>
      </c>
      <c r="I153" s="109"/>
    </row>
    <row r="154" spans="1:9" ht="18" customHeight="1">
      <c r="A154" s="40">
        <f t="shared" si="6"/>
        <v>152</v>
      </c>
      <c r="B154" s="40">
        <f t="shared" si="7"/>
        <v>142</v>
      </c>
      <c r="C154" s="50">
        <v>43253</v>
      </c>
      <c r="D154" s="109" t="s">
        <v>497</v>
      </c>
      <c r="E154" s="109" t="s">
        <v>659</v>
      </c>
      <c r="F154" s="112">
        <v>10</v>
      </c>
      <c r="G154" s="112">
        <f t="shared" si="5"/>
        <v>1301</v>
      </c>
      <c r="H154" s="111" t="s">
        <v>502</v>
      </c>
      <c r="I154" s="109"/>
    </row>
    <row r="155" spans="1:9" ht="18" customHeight="1">
      <c r="A155" s="40">
        <f t="shared" si="6"/>
        <v>153</v>
      </c>
      <c r="B155" s="40">
        <f t="shared" si="7"/>
        <v>143</v>
      </c>
      <c r="C155" s="50">
        <v>43253</v>
      </c>
      <c r="D155" s="109" t="s">
        <v>500</v>
      </c>
      <c r="E155" s="109" t="s">
        <v>660</v>
      </c>
      <c r="F155" s="112">
        <v>10</v>
      </c>
      <c r="G155" s="112">
        <f t="shared" si="5"/>
        <v>1311</v>
      </c>
      <c r="H155" s="111" t="s">
        <v>502</v>
      </c>
      <c r="I155" s="109"/>
    </row>
    <row r="156" spans="1:9" ht="18" customHeight="1">
      <c r="A156" s="40">
        <f t="shared" si="6"/>
        <v>154</v>
      </c>
      <c r="B156" s="40">
        <f t="shared" si="7"/>
        <v>144</v>
      </c>
      <c r="C156" s="50">
        <v>43253</v>
      </c>
      <c r="D156" s="109" t="s">
        <v>534</v>
      </c>
      <c r="E156" s="109" t="s">
        <v>661</v>
      </c>
      <c r="F156" s="112">
        <v>5</v>
      </c>
      <c r="G156" s="112">
        <f t="shared" si="5"/>
        <v>1316</v>
      </c>
      <c r="H156" s="111" t="s">
        <v>502</v>
      </c>
      <c r="I156" s="109"/>
    </row>
    <row r="157" spans="1:9" ht="18" customHeight="1">
      <c r="A157" s="40">
        <f t="shared" si="6"/>
        <v>155</v>
      </c>
      <c r="B157" s="40">
        <f t="shared" si="7"/>
        <v>145</v>
      </c>
      <c r="C157" s="50">
        <v>43253</v>
      </c>
      <c r="D157" s="109" t="s">
        <v>534</v>
      </c>
      <c r="E157" s="109" t="s">
        <v>662</v>
      </c>
      <c r="F157" s="112">
        <v>5</v>
      </c>
      <c r="G157" s="112">
        <f t="shared" si="5"/>
        <v>1321</v>
      </c>
      <c r="H157" s="111" t="s">
        <v>502</v>
      </c>
      <c r="I157" s="109"/>
    </row>
    <row r="158" spans="1:9" ht="18" customHeight="1">
      <c r="A158" s="40">
        <f t="shared" si="6"/>
        <v>156</v>
      </c>
      <c r="B158" s="40">
        <f t="shared" si="7"/>
        <v>146</v>
      </c>
      <c r="C158" s="50">
        <v>43253</v>
      </c>
      <c r="D158" s="109" t="s">
        <v>497</v>
      </c>
      <c r="E158" s="109" t="s">
        <v>663</v>
      </c>
      <c r="F158" s="112">
        <v>15</v>
      </c>
      <c r="G158" s="112">
        <f t="shared" si="5"/>
        <v>1336</v>
      </c>
      <c r="H158" s="111" t="s">
        <v>502</v>
      </c>
      <c r="I158" s="109"/>
    </row>
    <row r="159" spans="1:9" ht="18" customHeight="1">
      <c r="A159" s="40">
        <f t="shared" si="6"/>
        <v>157</v>
      </c>
      <c r="B159" s="40">
        <f t="shared" si="7"/>
        <v>147</v>
      </c>
      <c r="C159" s="50">
        <v>43253</v>
      </c>
      <c r="D159" s="109" t="s">
        <v>586</v>
      </c>
      <c r="E159" s="109" t="s">
        <v>664</v>
      </c>
      <c r="F159" s="112">
        <v>5</v>
      </c>
      <c r="G159" s="112">
        <f t="shared" si="5"/>
        <v>1341</v>
      </c>
      <c r="H159" s="111" t="s">
        <v>502</v>
      </c>
      <c r="I159" s="109"/>
    </row>
    <row r="160" spans="1:9" ht="18" customHeight="1">
      <c r="A160" s="40">
        <f t="shared" si="6"/>
        <v>158</v>
      </c>
      <c r="B160" s="40">
        <f t="shared" si="7"/>
        <v>148</v>
      </c>
      <c r="C160" s="50">
        <v>43253</v>
      </c>
      <c r="D160" s="109" t="s">
        <v>579</v>
      </c>
      <c r="E160" s="109" t="s">
        <v>665</v>
      </c>
      <c r="F160" s="112">
        <v>20</v>
      </c>
      <c r="G160" s="112">
        <f t="shared" si="5"/>
        <v>1361</v>
      </c>
      <c r="H160" s="111" t="s">
        <v>502</v>
      </c>
      <c r="I160" s="109"/>
    </row>
    <row r="161" spans="1:9" ht="18" customHeight="1">
      <c r="A161" s="40">
        <f t="shared" si="6"/>
        <v>159</v>
      </c>
      <c r="B161" s="40">
        <f t="shared" si="7"/>
        <v>149</v>
      </c>
      <c r="C161" s="50">
        <v>43253</v>
      </c>
      <c r="D161" s="109" t="s">
        <v>579</v>
      </c>
      <c r="E161" s="109" t="s">
        <v>666</v>
      </c>
      <c r="F161" s="112">
        <v>10</v>
      </c>
      <c r="G161" s="112">
        <f t="shared" si="5"/>
        <v>1371</v>
      </c>
      <c r="H161" s="111" t="s">
        <v>502</v>
      </c>
      <c r="I161" s="109"/>
    </row>
    <row r="162" spans="1:9" ht="18" customHeight="1">
      <c r="A162" s="40">
        <f t="shared" si="6"/>
        <v>160</v>
      </c>
      <c r="B162" s="40">
        <f t="shared" si="7"/>
        <v>150</v>
      </c>
      <c r="C162" s="50">
        <v>43253</v>
      </c>
      <c r="D162" s="109" t="s">
        <v>579</v>
      </c>
      <c r="E162" s="109" t="s">
        <v>667</v>
      </c>
      <c r="F162" s="112">
        <v>10</v>
      </c>
      <c r="G162" s="112">
        <f t="shared" si="5"/>
        <v>1381</v>
      </c>
      <c r="H162" s="111" t="s">
        <v>502</v>
      </c>
      <c r="I162" s="109"/>
    </row>
    <row r="163" spans="1:9" ht="18" customHeight="1">
      <c r="A163" s="40">
        <f t="shared" si="6"/>
        <v>161</v>
      </c>
      <c r="B163" s="40">
        <f t="shared" si="7"/>
        <v>151</v>
      </c>
      <c r="C163" s="50">
        <v>43253</v>
      </c>
      <c r="D163" s="109" t="s">
        <v>500</v>
      </c>
      <c r="E163" s="109" t="s">
        <v>668</v>
      </c>
      <c r="F163" s="112">
        <v>5</v>
      </c>
      <c r="G163" s="112">
        <f t="shared" si="5"/>
        <v>1386</v>
      </c>
      <c r="H163" s="111" t="s">
        <v>502</v>
      </c>
      <c r="I163" s="109"/>
    </row>
    <row r="164" spans="1:9" ht="18" customHeight="1">
      <c r="A164" s="40">
        <f t="shared" si="6"/>
        <v>162</v>
      </c>
      <c r="B164" s="40">
        <f t="shared" si="7"/>
        <v>152</v>
      </c>
      <c r="C164" s="50">
        <v>43253</v>
      </c>
      <c r="D164" s="109" t="s">
        <v>586</v>
      </c>
      <c r="E164" s="109" t="s">
        <v>669</v>
      </c>
      <c r="F164" s="112">
        <v>5</v>
      </c>
      <c r="G164" s="112">
        <f t="shared" si="5"/>
        <v>1391</v>
      </c>
      <c r="H164" s="111" t="s">
        <v>502</v>
      </c>
      <c r="I164" s="109"/>
    </row>
    <row r="165" spans="1:9" ht="18" customHeight="1">
      <c r="A165" s="40">
        <f t="shared" si="6"/>
        <v>163</v>
      </c>
      <c r="B165" s="40">
        <f t="shared" si="7"/>
        <v>153</v>
      </c>
      <c r="C165" s="50">
        <v>43253</v>
      </c>
      <c r="D165" s="109" t="s">
        <v>500</v>
      </c>
      <c r="E165" s="109" t="s">
        <v>670</v>
      </c>
      <c r="F165" s="112">
        <v>10</v>
      </c>
      <c r="G165" s="112">
        <f t="shared" si="5"/>
        <v>1401</v>
      </c>
      <c r="H165" s="111" t="s">
        <v>502</v>
      </c>
      <c r="I165" s="109"/>
    </row>
    <row r="166" spans="1:9" ht="18" customHeight="1">
      <c r="A166" s="40">
        <f t="shared" si="6"/>
        <v>164</v>
      </c>
      <c r="B166" s="40">
        <f t="shared" si="7"/>
        <v>154</v>
      </c>
      <c r="C166" s="50">
        <v>43253</v>
      </c>
      <c r="D166" s="109" t="s">
        <v>518</v>
      </c>
      <c r="E166" s="109" t="s">
        <v>671</v>
      </c>
      <c r="F166" s="112">
        <v>10</v>
      </c>
      <c r="G166" s="112">
        <f t="shared" si="5"/>
        <v>1411</v>
      </c>
      <c r="H166" s="111" t="s">
        <v>502</v>
      </c>
      <c r="I166" s="109"/>
    </row>
    <row r="167" spans="1:9" ht="18" customHeight="1">
      <c r="A167" s="40">
        <f t="shared" si="6"/>
        <v>165</v>
      </c>
      <c r="B167" s="40">
        <f t="shared" si="7"/>
        <v>155</v>
      </c>
      <c r="C167" s="50">
        <v>43253</v>
      </c>
      <c r="D167" s="109" t="s">
        <v>534</v>
      </c>
      <c r="E167" s="109" t="s">
        <v>672</v>
      </c>
      <c r="F167" s="112">
        <v>10</v>
      </c>
      <c r="G167" s="112">
        <f t="shared" si="5"/>
        <v>1421</v>
      </c>
      <c r="H167" s="111" t="s">
        <v>502</v>
      </c>
      <c r="I167" s="109"/>
    </row>
    <row r="168" spans="1:9" ht="18" customHeight="1">
      <c r="A168" s="40">
        <f t="shared" si="6"/>
        <v>166</v>
      </c>
      <c r="B168" s="40">
        <f t="shared" si="7"/>
        <v>156</v>
      </c>
      <c r="C168" s="50">
        <v>43253</v>
      </c>
      <c r="D168" s="109" t="s">
        <v>534</v>
      </c>
      <c r="E168" s="109" t="s">
        <v>673</v>
      </c>
      <c r="F168" s="112">
        <v>5</v>
      </c>
      <c r="G168" s="112">
        <f t="shared" si="5"/>
        <v>1426</v>
      </c>
      <c r="H168" s="111" t="s">
        <v>502</v>
      </c>
      <c r="I168" s="109"/>
    </row>
    <row r="169" spans="1:9" ht="18" customHeight="1">
      <c r="A169" s="40">
        <f t="shared" si="6"/>
        <v>167</v>
      </c>
      <c r="B169" s="40">
        <f t="shared" si="7"/>
        <v>157</v>
      </c>
      <c r="C169" s="50">
        <v>43253</v>
      </c>
      <c r="D169" s="109" t="s">
        <v>534</v>
      </c>
      <c r="E169" s="109" t="s">
        <v>674</v>
      </c>
      <c r="F169" s="112">
        <v>10</v>
      </c>
      <c r="G169" s="112">
        <f t="shared" si="5"/>
        <v>1436</v>
      </c>
      <c r="H169" s="111" t="s">
        <v>502</v>
      </c>
      <c r="I169" s="109"/>
    </row>
    <row r="170" spans="1:9" ht="18" customHeight="1">
      <c r="A170" s="40">
        <f t="shared" si="6"/>
        <v>168</v>
      </c>
      <c r="B170" s="40">
        <f t="shared" si="7"/>
        <v>158</v>
      </c>
      <c r="C170" s="50">
        <v>43253</v>
      </c>
      <c r="D170" s="109" t="s">
        <v>534</v>
      </c>
      <c r="E170" s="109" t="s">
        <v>675</v>
      </c>
      <c r="F170" s="112">
        <v>15</v>
      </c>
      <c r="G170" s="112">
        <f t="shared" si="5"/>
        <v>1451</v>
      </c>
      <c r="H170" s="111" t="s">
        <v>502</v>
      </c>
      <c r="I170" s="109"/>
    </row>
    <row r="171" spans="1:9" ht="18" customHeight="1">
      <c r="A171" s="40">
        <f t="shared" si="6"/>
        <v>169</v>
      </c>
      <c r="B171" s="40">
        <f t="shared" si="7"/>
        <v>159</v>
      </c>
      <c r="C171" s="50">
        <v>43253</v>
      </c>
      <c r="D171" s="109" t="s">
        <v>534</v>
      </c>
      <c r="E171" s="109" t="s">
        <v>676</v>
      </c>
      <c r="F171" s="112">
        <v>5</v>
      </c>
      <c r="G171" s="112">
        <f t="shared" si="5"/>
        <v>1456</v>
      </c>
      <c r="H171" s="111" t="s">
        <v>502</v>
      </c>
      <c r="I171" s="109"/>
    </row>
    <row r="172" spans="1:9" ht="18" customHeight="1">
      <c r="A172" s="40">
        <f t="shared" si="6"/>
        <v>170</v>
      </c>
      <c r="B172" s="40">
        <f t="shared" si="7"/>
        <v>160</v>
      </c>
      <c r="C172" s="50">
        <v>43253</v>
      </c>
      <c r="D172" s="109" t="s">
        <v>534</v>
      </c>
      <c r="E172" s="109" t="s">
        <v>677</v>
      </c>
      <c r="F172" s="112">
        <v>5</v>
      </c>
      <c r="G172" s="112">
        <f t="shared" si="5"/>
        <v>1461</v>
      </c>
      <c r="H172" s="111" t="s">
        <v>502</v>
      </c>
      <c r="I172" s="109"/>
    </row>
    <row r="173" spans="1:9" ht="18" customHeight="1">
      <c r="A173" s="40">
        <f t="shared" si="6"/>
        <v>171</v>
      </c>
      <c r="B173" s="40">
        <f t="shared" si="7"/>
        <v>161</v>
      </c>
      <c r="C173" s="50">
        <v>43253</v>
      </c>
      <c r="D173" s="109" t="s">
        <v>500</v>
      </c>
      <c r="E173" s="113" t="s">
        <v>678</v>
      </c>
      <c r="F173" s="112">
        <v>20</v>
      </c>
      <c r="G173" s="112">
        <f t="shared" si="5"/>
        <v>1481</v>
      </c>
      <c r="H173" s="111" t="s">
        <v>502</v>
      </c>
      <c r="I173" s="109"/>
    </row>
    <row r="174" spans="1:9" ht="18" customHeight="1">
      <c r="A174" s="40">
        <f t="shared" si="6"/>
        <v>172</v>
      </c>
      <c r="B174" s="40">
        <f t="shared" si="7"/>
        <v>162</v>
      </c>
      <c r="C174" s="50">
        <v>43253</v>
      </c>
      <c r="D174" s="109" t="s">
        <v>500</v>
      </c>
      <c r="E174" s="113" t="s">
        <v>679</v>
      </c>
      <c r="F174" s="112">
        <v>20</v>
      </c>
      <c r="G174" s="112">
        <f t="shared" si="5"/>
        <v>1501</v>
      </c>
      <c r="H174" s="111" t="s">
        <v>502</v>
      </c>
      <c r="I174" s="109"/>
    </row>
    <row r="175" spans="1:9" ht="18" customHeight="1">
      <c r="A175" s="40">
        <f t="shared" si="6"/>
        <v>173</v>
      </c>
      <c r="B175" s="40">
        <f t="shared" si="7"/>
        <v>163</v>
      </c>
      <c r="C175" s="50">
        <v>43253</v>
      </c>
      <c r="D175" s="109" t="s">
        <v>579</v>
      </c>
      <c r="E175" s="109" t="s">
        <v>680</v>
      </c>
      <c r="F175" s="112">
        <v>5</v>
      </c>
      <c r="G175" s="112">
        <f t="shared" si="5"/>
        <v>1506</v>
      </c>
      <c r="H175" s="111" t="s">
        <v>502</v>
      </c>
      <c r="I175" s="109"/>
    </row>
    <row r="176" spans="1:9" ht="18" customHeight="1">
      <c r="A176" s="40">
        <f t="shared" si="6"/>
        <v>174</v>
      </c>
      <c r="B176" s="40">
        <f t="shared" si="7"/>
        <v>164</v>
      </c>
      <c r="C176" s="50">
        <v>43253</v>
      </c>
      <c r="D176" s="109" t="s">
        <v>500</v>
      </c>
      <c r="E176" s="109" t="s">
        <v>681</v>
      </c>
      <c r="F176" s="112">
        <v>10</v>
      </c>
      <c r="G176" s="112">
        <f t="shared" si="5"/>
        <v>1516</v>
      </c>
      <c r="H176" s="111" t="s">
        <v>502</v>
      </c>
      <c r="I176" s="109"/>
    </row>
    <row r="177" spans="1:9" ht="18" customHeight="1">
      <c r="A177" s="40">
        <f t="shared" si="6"/>
        <v>175</v>
      </c>
      <c r="B177" s="40">
        <f t="shared" si="7"/>
        <v>165</v>
      </c>
      <c r="C177" s="50">
        <v>43253</v>
      </c>
      <c r="D177" s="109" t="s">
        <v>500</v>
      </c>
      <c r="E177" s="109" t="s">
        <v>682</v>
      </c>
      <c r="F177" s="112">
        <v>5</v>
      </c>
      <c r="G177" s="112">
        <f t="shared" si="5"/>
        <v>1521</v>
      </c>
      <c r="H177" s="111" t="s">
        <v>502</v>
      </c>
      <c r="I177" s="109"/>
    </row>
    <row r="178" spans="1:9" ht="18" customHeight="1">
      <c r="A178" s="40">
        <f t="shared" si="6"/>
        <v>176</v>
      </c>
      <c r="B178" s="40">
        <f t="shared" si="7"/>
        <v>166</v>
      </c>
      <c r="C178" s="50">
        <v>43253</v>
      </c>
      <c r="D178" s="109" t="s">
        <v>683</v>
      </c>
      <c r="E178" s="109" t="s">
        <v>684</v>
      </c>
      <c r="F178" s="112">
        <v>5</v>
      </c>
      <c r="G178" s="112">
        <f t="shared" si="5"/>
        <v>1526</v>
      </c>
      <c r="H178" s="111" t="s">
        <v>502</v>
      </c>
      <c r="I178" s="109"/>
    </row>
    <row r="179" spans="1:9" ht="18" customHeight="1">
      <c r="A179" s="40">
        <f t="shared" si="6"/>
        <v>177</v>
      </c>
      <c r="B179" s="40">
        <f t="shared" si="7"/>
        <v>167</v>
      </c>
      <c r="C179" s="50">
        <v>43253</v>
      </c>
      <c r="D179" s="109" t="s">
        <v>586</v>
      </c>
      <c r="E179" s="109" t="s">
        <v>685</v>
      </c>
      <c r="F179" s="112">
        <v>10</v>
      </c>
      <c r="G179" s="112">
        <f t="shared" si="5"/>
        <v>1536</v>
      </c>
      <c r="H179" s="111" t="s">
        <v>502</v>
      </c>
      <c r="I179" s="109"/>
    </row>
    <row r="180" spans="1:9" ht="18" customHeight="1">
      <c r="A180" s="40">
        <f t="shared" si="6"/>
        <v>178</v>
      </c>
      <c r="B180" s="40">
        <f t="shared" si="7"/>
        <v>168</v>
      </c>
      <c r="C180" s="50">
        <v>43253</v>
      </c>
      <c r="D180" s="109"/>
      <c r="E180" s="109" t="s">
        <v>686</v>
      </c>
      <c r="F180" s="112">
        <v>5</v>
      </c>
      <c r="G180" s="112">
        <f t="shared" si="5"/>
        <v>1541</v>
      </c>
      <c r="H180" s="111" t="s">
        <v>502</v>
      </c>
      <c r="I180" s="109"/>
    </row>
    <row r="181" spans="1:9" ht="18" customHeight="1">
      <c r="A181" s="40">
        <f t="shared" si="6"/>
        <v>179</v>
      </c>
      <c r="B181" s="40">
        <f t="shared" si="7"/>
        <v>169</v>
      </c>
      <c r="C181" s="50">
        <v>43253</v>
      </c>
      <c r="D181" s="109" t="s">
        <v>586</v>
      </c>
      <c r="E181" s="109" t="s">
        <v>643</v>
      </c>
      <c r="F181" s="112">
        <v>5</v>
      </c>
      <c r="G181" s="112">
        <f t="shared" si="5"/>
        <v>1546</v>
      </c>
      <c r="H181" s="111" t="s">
        <v>502</v>
      </c>
      <c r="I181" s="109"/>
    </row>
    <row r="182" spans="1:9" ht="18" customHeight="1">
      <c r="A182" s="40">
        <f t="shared" si="6"/>
        <v>180</v>
      </c>
      <c r="B182" s="40">
        <f t="shared" si="7"/>
        <v>170</v>
      </c>
      <c r="C182" s="50">
        <v>43253</v>
      </c>
      <c r="D182" s="109" t="s">
        <v>586</v>
      </c>
      <c r="E182" s="109" t="s">
        <v>687</v>
      </c>
      <c r="F182" s="112">
        <v>5</v>
      </c>
      <c r="G182" s="112">
        <f t="shared" si="5"/>
        <v>1551</v>
      </c>
      <c r="H182" s="111" t="s">
        <v>502</v>
      </c>
      <c r="I182" s="109"/>
    </row>
    <row r="183" spans="1:9" ht="18" customHeight="1">
      <c r="A183" s="40">
        <f t="shared" si="6"/>
        <v>181</v>
      </c>
      <c r="B183" s="40">
        <f t="shared" si="7"/>
        <v>171</v>
      </c>
      <c r="C183" s="50">
        <v>43253</v>
      </c>
      <c r="D183" s="109" t="s">
        <v>586</v>
      </c>
      <c r="E183" s="109" t="s">
        <v>688</v>
      </c>
      <c r="F183" s="112">
        <v>5</v>
      </c>
      <c r="G183" s="112">
        <f t="shared" si="5"/>
        <v>1556</v>
      </c>
      <c r="H183" s="111" t="s">
        <v>502</v>
      </c>
      <c r="I183" s="109"/>
    </row>
    <row r="184" spans="1:9" ht="18" customHeight="1">
      <c r="A184" s="40">
        <f t="shared" si="6"/>
        <v>182</v>
      </c>
      <c r="B184" s="40">
        <f t="shared" si="7"/>
        <v>172</v>
      </c>
      <c r="C184" s="50">
        <v>43253</v>
      </c>
      <c r="D184" s="109" t="s">
        <v>586</v>
      </c>
      <c r="E184" s="109" t="s">
        <v>689</v>
      </c>
      <c r="F184" s="112">
        <v>5</v>
      </c>
      <c r="G184" s="112">
        <f t="shared" si="5"/>
        <v>1561</v>
      </c>
      <c r="H184" s="111" t="s">
        <v>502</v>
      </c>
      <c r="I184" s="109"/>
    </row>
    <row r="185" spans="1:9" ht="18" customHeight="1">
      <c r="A185" s="40">
        <f t="shared" si="6"/>
        <v>183</v>
      </c>
      <c r="B185" s="40">
        <f t="shared" si="7"/>
        <v>173</v>
      </c>
      <c r="C185" s="50">
        <v>43253</v>
      </c>
      <c r="D185" s="109" t="s">
        <v>586</v>
      </c>
      <c r="E185" s="109" t="s">
        <v>690</v>
      </c>
      <c r="F185" s="112">
        <v>5</v>
      </c>
      <c r="G185" s="112">
        <f t="shared" si="5"/>
        <v>1566</v>
      </c>
      <c r="H185" s="111" t="s">
        <v>502</v>
      </c>
      <c r="I185" s="109"/>
    </row>
    <row r="186" spans="1:9" ht="18" customHeight="1">
      <c r="A186" s="40">
        <f t="shared" si="6"/>
        <v>184</v>
      </c>
      <c r="B186" s="40">
        <f t="shared" si="7"/>
        <v>174</v>
      </c>
      <c r="C186" s="50">
        <v>43253</v>
      </c>
      <c r="D186" s="109" t="s">
        <v>586</v>
      </c>
      <c r="E186" s="109" t="s">
        <v>691</v>
      </c>
      <c r="F186" s="112">
        <v>10</v>
      </c>
      <c r="G186" s="112">
        <f t="shared" si="5"/>
        <v>1576</v>
      </c>
      <c r="H186" s="111" t="s">
        <v>502</v>
      </c>
      <c r="I186" s="109"/>
    </row>
    <row r="187" spans="1:9" ht="18" customHeight="1">
      <c r="A187" s="40">
        <f t="shared" si="6"/>
        <v>185</v>
      </c>
      <c r="B187" s="40">
        <f t="shared" si="7"/>
        <v>175</v>
      </c>
      <c r="C187" s="50">
        <v>43253</v>
      </c>
      <c r="D187" s="109" t="s">
        <v>586</v>
      </c>
      <c r="E187" s="109" t="s">
        <v>692</v>
      </c>
      <c r="F187" s="112">
        <v>5</v>
      </c>
      <c r="G187" s="112">
        <f t="shared" si="5"/>
        <v>1581</v>
      </c>
      <c r="H187" s="111" t="s">
        <v>502</v>
      </c>
      <c r="I187" s="109"/>
    </row>
    <row r="188" spans="1:9" ht="18" customHeight="1">
      <c r="A188" s="40">
        <f t="shared" si="6"/>
        <v>186</v>
      </c>
      <c r="B188" s="40">
        <f t="shared" si="7"/>
        <v>176</v>
      </c>
      <c r="C188" s="50">
        <v>43253</v>
      </c>
      <c r="D188" s="109" t="s">
        <v>586</v>
      </c>
      <c r="E188" s="109" t="s">
        <v>693</v>
      </c>
      <c r="F188" s="112">
        <v>5</v>
      </c>
      <c r="G188" s="112">
        <f t="shared" si="5"/>
        <v>1586</v>
      </c>
      <c r="H188" s="111" t="s">
        <v>502</v>
      </c>
      <c r="I188" s="109"/>
    </row>
    <row r="189" spans="1:9" ht="18" customHeight="1">
      <c r="A189" s="40">
        <f t="shared" si="6"/>
        <v>187</v>
      </c>
      <c r="B189" s="40">
        <f t="shared" si="7"/>
        <v>177</v>
      </c>
      <c r="C189" s="50">
        <v>43253</v>
      </c>
      <c r="D189" s="109" t="s">
        <v>586</v>
      </c>
      <c r="E189" s="109" t="s">
        <v>694</v>
      </c>
      <c r="F189" s="112">
        <v>5</v>
      </c>
      <c r="G189" s="112">
        <f t="shared" si="5"/>
        <v>1591</v>
      </c>
      <c r="H189" s="111" t="s">
        <v>502</v>
      </c>
      <c r="I189" s="109"/>
    </row>
    <row r="190" spans="1:9" ht="18" customHeight="1">
      <c r="A190" s="40">
        <f t="shared" si="6"/>
        <v>188</v>
      </c>
      <c r="B190" s="40">
        <f t="shared" si="7"/>
        <v>178</v>
      </c>
      <c r="C190" s="50">
        <v>43253</v>
      </c>
      <c r="D190" s="109" t="s">
        <v>586</v>
      </c>
      <c r="E190" s="109" t="s">
        <v>695</v>
      </c>
      <c r="F190" s="112">
        <v>5</v>
      </c>
      <c r="G190" s="112">
        <f t="shared" si="5"/>
        <v>1596</v>
      </c>
      <c r="H190" s="111" t="s">
        <v>502</v>
      </c>
      <c r="I190" s="109"/>
    </row>
    <row r="191" spans="1:9" ht="18" customHeight="1">
      <c r="A191" s="40">
        <f t="shared" si="6"/>
        <v>189</v>
      </c>
      <c r="B191" s="40">
        <f t="shared" si="7"/>
        <v>179</v>
      </c>
      <c r="C191" s="50">
        <v>43253</v>
      </c>
      <c r="D191" s="109" t="s">
        <v>586</v>
      </c>
      <c r="E191" s="109" t="s">
        <v>696</v>
      </c>
      <c r="F191" s="112">
        <v>5</v>
      </c>
      <c r="G191" s="112">
        <f t="shared" si="5"/>
        <v>1601</v>
      </c>
      <c r="H191" s="111" t="s">
        <v>502</v>
      </c>
      <c r="I191" s="109"/>
    </row>
    <row r="192" spans="1:9" ht="18" customHeight="1">
      <c r="A192" s="40">
        <f t="shared" si="6"/>
        <v>190</v>
      </c>
      <c r="B192" s="40">
        <f t="shared" si="7"/>
        <v>180</v>
      </c>
      <c r="C192" s="50">
        <v>43253</v>
      </c>
      <c r="D192" s="109" t="s">
        <v>586</v>
      </c>
      <c r="E192" s="109" t="s">
        <v>697</v>
      </c>
      <c r="F192" s="112">
        <v>5</v>
      </c>
      <c r="G192" s="112">
        <f t="shared" si="5"/>
        <v>1606</v>
      </c>
      <c r="H192" s="111" t="s">
        <v>502</v>
      </c>
      <c r="I192" s="109"/>
    </row>
    <row r="193" spans="1:9" ht="18" customHeight="1">
      <c r="A193" s="40">
        <f t="shared" si="6"/>
        <v>191</v>
      </c>
      <c r="B193" s="40">
        <f t="shared" si="7"/>
        <v>181</v>
      </c>
      <c r="C193" s="50">
        <v>43253</v>
      </c>
      <c r="D193" s="109" t="s">
        <v>586</v>
      </c>
      <c r="E193" s="109" t="s">
        <v>698</v>
      </c>
      <c r="F193" s="112">
        <v>5</v>
      </c>
      <c r="G193" s="112">
        <f t="shared" si="5"/>
        <v>1611</v>
      </c>
      <c r="H193" s="111" t="s">
        <v>502</v>
      </c>
      <c r="I193" s="109"/>
    </row>
    <row r="194" spans="1:9" ht="18" customHeight="1">
      <c r="A194" s="40">
        <f t="shared" si="6"/>
        <v>192</v>
      </c>
      <c r="B194" s="40">
        <f t="shared" si="7"/>
        <v>182</v>
      </c>
      <c r="C194" s="50">
        <v>43253</v>
      </c>
      <c r="D194" s="109" t="s">
        <v>586</v>
      </c>
      <c r="E194" s="109" t="s">
        <v>699</v>
      </c>
      <c r="F194" s="112">
        <v>5</v>
      </c>
      <c r="G194" s="112">
        <f t="shared" si="5"/>
        <v>1616</v>
      </c>
      <c r="H194" s="111" t="s">
        <v>502</v>
      </c>
      <c r="I194" s="109"/>
    </row>
    <row r="195" spans="1:9" ht="18" customHeight="1">
      <c r="A195" s="40">
        <f t="shared" si="6"/>
        <v>193</v>
      </c>
      <c r="B195" s="40">
        <f t="shared" si="7"/>
        <v>183</v>
      </c>
      <c r="C195" s="50">
        <v>43253</v>
      </c>
      <c r="D195" s="109" t="s">
        <v>586</v>
      </c>
      <c r="E195" s="109" t="s">
        <v>700</v>
      </c>
      <c r="F195" s="112">
        <v>5</v>
      </c>
      <c r="G195" s="112">
        <f t="shared" si="5"/>
        <v>1621</v>
      </c>
      <c r="H195" s="111" t="s">
        <v>502</v>
      </c>
      <c r="I195" s="109"/>
    </row>
    <row r="196" spans="1:9" ht="18" customHeight="1">
      <c r="A196" s="40">
        <f t="shared" si="6"/>
        <v>194</v>
      </c>
      <c r="B196" s="40">
        <f t="shared" si="7"/>
        <v>184</v>
      </c>
      <c r="C196" s="50">
        <v>43253</v>
      </c>
      <c r="D196" s="109" t="s">
        <v>586</v>
      </c>
      <c r="E196" s="109" t="s">
        <v>701</v>
      </c>
      <c r="F196" s="112">
        <v>5</v>
      </c>
      <c r="G196" s="112">
        <f t="shared" si="5"/>
        <v>1626</v>
      </c>
      <c r="H196" s="111" t="s">
        <v>502</v>
      </c>
      <c r="I196" s="109"/>
    </row>
    <row r="197" spans="1:9" ht="18" customHeight="1">
      <c r="A197" s="40">
        <f t="shared" si="6"/>
        <v>195</v>
      </c>
      <c r="B197" s="40">
        <f t="shared" si="7"/>
        <v>185</v>
      </c>
      <c r="C197" s="50">
        <v>43253</v>
      </c>
      <c r="D197" s="109" t="s">
        <v>586</v>
      </c>
      <c r="E197" s="109" t="s">
        <v>702</v>
      </c>
      <c r="F197" s="112">
        <v>5</v>
      </c>
      <c r="G197" s="112">
        <f t="shared" ref="G197:G260" si="8">F197+G196</f>
        <v>1631</v>
      </c>
      <c r="H197" s="111" t="s">
        <v>502</v>
      </c>
      <c r="I197" s="109"/>
    </row>
    <row r="198" spans="1:9" ht="18" customHeight="1">
      <c r="A198" s="40">
        <f t="shared" si="6"/>
        <v>196</v>
      </c>
      <c r="B198" s="40">
        <f t="shared" si="7"/>
        <v>186</v>
      </c>
      <c r="C198" s="50">
        <v>43253</v>
      </c>
      <c r="D198" s="109" t="s">
        <v>586</v>
      </c>
      <c r="E198" s="109" t="s">
        <v>703</v>
      </c>
      <c r="F198" s="112">
        <v>5</v>
      </c>
      <c r="G198" s="112">
        <f t="shared" si="8"/>
        <v>1636</v>
      </c>
      <c r="H198" s="111" t="s">
        <v>502</v>
      </c>
      <c r="I198" s="109"/>
    </row>
    <row r="199" spans="1:9" ht="18" customHeight="1">
      <c r="A199" s="40">
        <f t="shared" si="6"/>
        <v>197</v>
      </c>
      <c r="B199" s="40">
        <f t="shared" si="7"/>
        <v>187</v>
      </c>
      <c r="C199" s="50">
        <v>43253</v>
      </c>
      <c r="D199" s="109" t="s">
        <v>586</v>
      </c>
      <c r="E199" s="109" t="s">
        <v>704</v>
      </c>
      <c r="F199" s="112">
        <v>5</v>
      </c>
      <c r="G199" s="112">
        <f t="shared" si="8"/>
        <v>1641</v>
      </c>
      <c r="H199" s="111" t="s">
        <v>502</v>
      </c>
      <c r="I199" s="109"/>
    </row>
    <row r="200" spans="1:9" ht="18" customHeight="1">
      <c r="A200" s="40">
        <f t="shared" si="6"/>
        <v>198</v>
      </c>
      <c r="B200" s="40">
        <f t="shared" si="7"/>
        <v>188</v>
      </c>
      <c r="C200" s="50">
        <v>43253</v>
      </c>
      <c r="D200" s="109" t="s">
        <v>586</v>
      </c>
      <c r="E200" s="109" t="s">
        <v>599</v>
      </c>
      <c r="F200" s="112">
        <v>5</v>
      </c>
      <c r="G200" s="112">
        <f t="shared" si="8"/>
        <v>1646</v>
      </c>
      <c r="H200" s="111" t="s">
        <v>502</v>
      </c>
      <c r="I200" s="109"/>
    </row>
    <row r="201" spans="1:9" ht="18" customHeight="1">
      <c r="A201" s="40">
        <f t="shared" si="6"/>
        <v>199</v>
      </c>
      <c r="B201" s="40">
        <f t="shared" si="7"/>
        <v>189</v>
      </c>
      <c r="C201" s="50">
        <v>43253</v>
      </c>
      <c r="D201" s="109" t="s">
        <v>586</v>
      </c>
      <c r="E201" s="109" t="s">
        <v>705</v>
      </c>
      <c r="F201" s="112">
        <v>5</v>
      </c>
      <c r="G201" s="112">
        <f t="shared" si="8"/>
        <v>1651</v>
      </c>
      <c r="H201" s="111" t="s">
        <v>502</v>
      </c>
      <c r="I201" s="109"/>
    </row>
    <row r="202" spans="1:9" ht="18" customHeight="1">
      <c r="A202" s="40">
        <f t="shared" si="6"/>
        <v>200</v>
      </c>
      <c r="B202" s="40">
        <f t="shared" si="7"/>
        <v>190</v>
      </c>
      <c r="C202" s="50">
        <v>43253</v>
      </c>
      <c r="D202" s="109" t="s">
        <v>586</v>
      </c>
      <c r="E202" s="109" t="s">
        <v>706</v>
      </c>
      <c r="F202" s="112">
        <v>5</v>
      </c>
      <c r="G202" s="112">
        <f t="shared" si="8"/>
        <v>1656</v>
      </c>
      <c r="H202" s="111" t="s">
        <v>502</v>
      </c>
      <c r="I202" s="109"/>
    </row>
    <row r="203" spans="1:9" ht="18" customHeight="1">
      <c r="A203" s="40">
        <f t="shared" ref="A203:A266" si="9">ROW()-2</f>
        <v>201</v>
      </c>
      <c r="B203" s="40">
        <f t="shared" si="7"/>
        <v>191</v>
      </c>
      <c r="C203" s="50">
        <v>43253</v>
      </c>
      <c r="D203" s="109" t="s">
        <v>586</v>
      </c>
      <c r="E203" s="109" t="s">
        <v>707</v>
      </c>
      <c r="F203" s="112">
        <v>5</v>
      </c>
      <c r="G203" s="112">
        <f t="shared" si="8"/>
        <v>1661</v>
      </c>
      <c r="H203" s="111" t="s">
        <v>502</v>
      </c>
      <c r="I203" s="109"/>
    </row>
    <row r="204" spans="1:9" ht="18" customHeight="1">
      <c r="A204" s="40">
        <f t="shared" si="9"/>
        <v>202</v>
      </c>
      <c r="B204" s="40">
        <f t="shared" si="7"/>
        <v>192</v>
      </c>
      <c r="C204" s="50">
        <v>43253</v>
      </c>
      <c r="D204" s="109" t="s">
        <v>586</v>
      </c>
      <c r="E204" s="109" t="s">
        <v>708</v>
      </c>
      <c r="F204" s="112">
        <v>10</v>
      </c>
      <c r="G204" s="112">
        <f t="shared" si="8"/>
        <v>1671</v>
      </c>
      <c r="H204" s="111" t="s">
        <v>502</v>
      </c>
      <c r="I204" s="109"/>
    </row>
    <row r="205" spans="1:9" ht="18" customHeight="1">
      <c r="A205" s="40">
        <f t="shared" si="9"/>
        <v>203</v>
      </c>
      <c r="B205" s="40">
        <f t="shared" si="7"/>
        <v>193</v>
      </c>
      <c r="C205" s="50">
        <v>43253</v>
      </c>
      <c r="D205" s="109" t="s">
        <v>586</v>
      </c>
      <c r="E205" s="109" t="s">
        <v>709</v>
      </c>
      <c r="F205" s="112">
        <v>5</v>
      </c>
      <c r="G205" s="112">
        <f t="shared" si="8"/>
        <v>1676</v>
      </c>
      <c r="H205" s="111" t="s">
        <v>502</v>
      </c>
      <c r="I205" s="109"/>
    </row>
    <row r="206" spans="1:9" ht="18" customHeight="1">
      <c r="A206" s="40">
        <f t="shared" si="9"/>
        <v>204</v>
      </c>
      <c r="B206" s="40">
        <f t="shared" si="7"/>
        <v>194</v>
      </c>
      <c r="C206" s="50">
        <v>43253</v>
      </c>
      <c r="D206" s="109" t="s">
        <v>586</v>
      </c>
      <c r="E206" s="109" t="s">
        <v>710</v>
      </c>
      <c r="F206" s="112">
        <v>10</v>
      </c>
      <c r="G206" s="112">
        <f t="shared" si="8"/>
        <v>1686</v>
      </c>
      <c r="H206" s="111" t="s">
        <v>502</v>
      </c>
      <c r="I206" s="109"/>
    </row>
    <row r="207" spans="1:9" ht="18" customHeight="1">
      <c r="A207" s="40">
        <f t="shared" si="9"/>
        <v>205</v>
      </c>
      <c r="B207" s="40">
        <f t="shared" si="7"/>
        <v>195</v>
      </c>
      <c r="C207" s="50">
        <v>43253</v>
      </c>
      <c r="D207" s="109" t="s">
        <v>586</v>
      </c>
      <c r="E207" s="109" t="s">
        <v>711</v>
      </c>
      <c r="F207" s="112">
        <v>5</v>
      </c>
      <c r="G207" s="112">
        <f t="shared" si="8"/>
        <v>1691</v>
      </c>
      <c r="H207" s="111" t="s">
        <v>502</v>
      </c>
      <c r="I207" s="109"/>
    </row>
    <row r="208" spans="1:9" ht="18" customHeight="1">
      <c r="A208" s="40">
        <f t="shared" si="9"/>
        <v>206</v>
      </c>
      <c r="B208" s="40">
        <f t="shared" si="7"/>
        <v>196</v>
      </c>
      <c r="C208" s="50">
        <v>43253</v>
      </c>
      <c r="D208" s="109" t="s">
        <v>586</v>
      </c>
      <c r="E208" s="109" t="s">
        <v>712</v>
      </c>
      <c r="F208" s="112">
        <v>10</v>
      </c>
      <c r="G208" s="112">
        <f t="shared" si="8"/>
        <v>1701</v>
      </c>
      <c r="H208" s="111" t="s">
        <v>502</v>
      </c>
      <c r="I208" s="109"/>
    </row>
    <row r="209" spans="1:9" ht="18" customHeight="1">
      <c r="A209" s="40">
        <f t="shared" si="9"/>
        <v>207</v>
      </c>
      <c r="B209" s="40">
        <f t="shared" si="7"/>
        <v>197</v>
      </c>
      <c r="C209" s="50">
        <v>43253</v>
      </c>
      <c r="D209" s="109" t="s">
        <v>586</v>
      </c>
      <c r="E209" s="109" t="s">
        <v>713</v>
      </c>
      <c r="F209" s="112">
        <v>5</v>
      </c>
      <c r="G209" s="112">
        <f t="shared" si="8"/>
        <v>1706</v>
      </c>
      <c r="H209" s="111" t="s">
        <v>502</v>
      </c>
      <c r="I209" s="109"/>
    </row>
    <row r="210" spans="1:9" ht="18" customHeight="1">
      <c r="A210" s="40">
        <f t="shared" si="9"/>
        <v>208</v>
      </c>
      <c r="B210" s="40">
        <f t="shared" si="7"/>
        <v>198</v>
      </c>
      <c r="C210" s="50">
        <v>43253</v>
      </c>
      <c r="D210" s="109" t="s">
        <v>586</v>
      </c>
      <c r="E210" s="109" t="s">
        <v>714</v>
      </c>
      <c r="F210" s="112">
        <v>10</v>
      </c>
      <c r="G210" s="112">
        <f t="shared" si="8"/>
        <v>1716</v>
      </c>
      <c r="H210" s="111" t="s">
        <v>502</v>
      </c>
      <c r="I210" s="109"/>
    </row>
    <row r="211" spans="1:9" ht="18" customHeight="1">
      <c r="A211" s="40">
        <f t="shared" si="9"/>
        <v>209</v>
      </c>
      <c r="B211" s="40">
        <f t="shared" si="7"/>
        <v>199</v>
      </c>
      <c r="C211" s="50">
        <v>43253</v>
      </c>
      <c r="D211" s="109" t="s">
        <v>586</v>
      </c>
      <c r="E211" s="109" t="s">
        <v>715</v>
      </c>
      <c r="F211" s="112">
        <v>10</v>
      </c>
      <c r="G211" s="112">
        <f t="shared" si="8"/>
        <v>1726</v>
      </c>
      <c r="H211" s="111" t="s">
        <v>502</v>
      </c>
      <c r="I211" s="109"/>
    </row>
    <row r="212" spans="1:9" ht="18" customHeight="1">
      <c r="A212" s="40">
        <f t="shared" si="9"/>
        <v>210</v>
      </c>
      <c r="B212" s="40">
        <f t="shared" si="7"/>
        <v>200</v>
      </c>
      <c r="C212" s="50">
        <v>43253</v>
      </c>
      <c r="D212" s="109" t="s">
        <v>586</v>
      </c>
      <c r="E212" s="109" t="s">
        <v>716</v>
      </c>
      <c r="F212" s="112">
        <v>10</v>
      </c>
      <c r="G212" s="112">
        <f t="shared" si="8"/>
        <v>1736</v>
      </c>
      <c r="H212" s="111" t="s">
        <v>502</v>
      </c>
      <c r="I212" s="109"/>
    </row>
    <row r="213" spans="1:9" ht="18" customHeight="1">
      <c r="A213" s="40">
        <f t="shared" si="9"/>
        <v>211</v>
      </c>
      <c r="B213" s="40">
        <f t="shared" si="7"/>
        <v>201</v>
      </c>
      <c r="C213" s="50">
        <v>43253</v>
      </c>
      <c r="D213" s="109" t="s">
        <v>586</v>
      </c>
      <c r="E213" s="109" t="s">
        <v>717</v>
      </c>
      <c r="F213" s="112">
        <v>5</v>
      </c>
      <c r="G213" s="112">
        <f t="shared" si="8"/>
        <v>1741</v>
      </c>
      <c r="H213" s="111" t="s">
        <v>502</v>
      </c>
      <c r="I213" s="109"/>
    </row>
    <row r="214" spans="1:9" ht="18" customHeight="1">
      <c r="A214" s="40">
        <f t="shared" si="9"/>
        <v>212</v>
      </c>
      <c r="B214" s="40">
        <f t="shared" si="7"/>
        <v>202</v>
      </c>
      <c r="C214" s="50">
        <v>43253</v>
      </c>
      <c r="D214" s="109" t="s">
        <v>586</v>
      </c>
      <c r="E214" s="109" t="s">
        <v>718</v>
      </c>
      <c r="F214" s="112">
        <v>5</v>
      </c>
      <c r="G214" s="112">
        <f t="shared" si="8"/>
        <v>1746</v>
      </c>
      <c r="H214" s="111" t="s">
        <v>502</v>
      </c>
      <c r="I214" s="109"/>
    </row>
    <row r="215" spans="1:9" ht="18" customHeight="1">
      <c r="A215" s="40">
        <f t="shared" si="9"/>
        <v>213</v>
      </c>
      <c r="B215" s="40">
        <f t="shared" si="7"/>
        <v>203</v>
      </c>
      <c r="C215" s="50">
        <v>43253</v>
      </c>
      <c r="D215" s="109" t="s">
        <v>586</v>
      </c>
      <c r="E215" s="109" t="s">
        <v>719</v>
      </c>
      <c r="F215" s="112">
        <v>5</v>
      </c>
      <c r="G215" s="112">
        <f t="shared" si="8"/>
        <v>1751</v>
      </c>
      <c r="H215" s="111" t="s">
        <v>502</v>
      </c>
      <c r="I215" s="109"/>
    </row>
    <row r="216" spans="1:9" ht="18" customHeight="1">
      <c r="A216" s="40">
        <f t="shared" si="9"/>
        <v>214</v>
      </c>
      <c r="B216" s="40">
        <f t="shared" si="7"/>
        <v>204</v>
      </c>
      <c r="C216" s="50">
        <v>43253</v>
      </c>
      <c r="D216" s="109" t="s">
        <v>586</v>
      </c>
      <c r="E216" s="109" t="s">
        <v>720</v>
      </c>
      <c r="F216" s="112">
        <v>5</v>
      </c>
      <c r="G216" s="112">
        <f t="shared" si="8"/>
        <v>1756</v>
      </c>
      <c r="H216" s="111" t="s">
        <v>502</v>
      </c>
      <c r="I216" s="109"/>
    </row>
    <row r="217" spans="1:9" ht="18" customHeight="1">
      <c r="A217" s="40">
        <f t="shared" si="9"/>
        <v>215</v>
      </c>
      <c r="B217" s="40">
        <f t="shared" ref="B217:B266" si="10">ROW()-12</f>
        <v>205</v>
      </c>
      <c r="C217" s="50">
        <v>43253</v>
      </c>
      <c r="D217" s="109" t="s">
        <v>586</v>
      </c>
      <c r="E217" s="109" t="s">
        <v>721</v>
      </c>
      <c r="F217" s="112">
        <v>10</v>
      </c>
      <c r="G217" s="112">
        <f t="shared" si="8"/>
        <v>1766</v>
      </c>
      <c r="H217" s="111" t="s">
        <v>502</v>
      </c>
      <c r="I217" s="109"/>
    </row>
    <row r="218" spans="1:9" ht="18" customHeight="1">
      <c r="A218" s="40">
        <f t="shared" si="9"/>
        <v>216</v>
      </c>
      <c r="B218" s="40">
        <f t="shared" si="10"/>
        <v>206</v>
      </c>
      <c r="C218" s="50">
        <v>43253</v>
      </c>
      <c r="D218" s="109" t="s">
        <v>586</v>
      </c>
      <c r="E218" s="109" t="s">
        <v>722</v>
      </c>
      <c r="F218" s="112">
        <v>10</v>
      </c>
      <c r="G218" s="112">
        <f t="shared" si="8"/>
        <v>1776</v>
      </c>
      <c r="H218" s="111" t="s">
        <v>502</v>
      </c>
      <c r="I218" s="109"/>
    </row>
    <row r="219" spans="1:9" ht="18" customHeight="1">
      <c r="A219" s="40">
        <f t="shared" si="9"/>
        <v>217</v>
      </c>
      <c r="B219" s="40">
        <f t="shared" si="10"/>
        <v>207</v>
      </c>
      <c r="C219" s="50">
        <v>43253</v>
      </c>
      <c r="D219" s="109" t="s">
        <v>586</v>
      </c>
      <c r="E219" s="109" t="s">
        <v>723</v>
      </c>
      <c r="F219" s="112">
        <v>5</v>
      </c>
      <c r="G219" s="112">
        <f t="shared" si="8"/>
        <v>1781</v>
      </c>
      <c r="H219" s="111" t="s">
        <v>502</v>
      </c>
      <c r="I219" s="109"/>
    </row>
    <row r="220" spans="1:9" ht="18" customHeight="1">
      <c r="A220" s="40">
        <f t="shared" si="9"/>
        <v>218</v>
      </c>
      <c r="B220" s="40">
        <f t="shared" si="10"/>
        <v>208</v>
      </c>
      <c r="C220" s="50">
        <v>43253</v>
      </c>
      <c r="D220" s="109" t="s">
        <v>586</v>
      </c>
      <c r="E220" s="109" t="s">
        <v>724</v>
      </c>
      <c r="F220" s="112">
        <v>5</v>
      </c>
      <c r="G220" s="112">
        <f t="shared" si="8"/>
        <v>1786</v>
      </c>
      <c r="H220" s="111" t="s">
        <v>502</v>
      </c>
      <c r="I220" s="109"/>
    </row>
    <row r="221" spans="1:9" ht="18" customHeight="1">
      <c r="A221" s="40">
        <f t="shared" si="9"/>
        <v>219</v>
      </c>
      <c r="B221" s="40">
        <f t="shared" si="10"/>
        <v>209</v>
      </c>
      <c r="C221" s="50">
        <v>43253</v>
      </c>
      <c r="D221" s="109" t="s">
        <v>586</v>
      </c>
      <c r="E221" s="109" t="s">
        <v>725</v>
      </c>
      <c r="F221" s="112">
        <v>5</v>
      </c>
      <c r="G221" s="112">
        <f t="shared" si="8"/>
        <v>1791</v>
      </c>
      <c r="H221" s="111" t="s">
        <v>502</v>
      </c>
      <c r="I221" s="109"/>
    </row>
    <row r="222" spans="1:9" ht="18" customHeight="1">
      <c r="A222" s="40">
        <f t="shared" si="9"/>
        <v>220</v>
      </c>
      <c r="B222" s="40">
        <f t="shared" si="10"/>
        <v>210</v>
      </c>
      <c r="C222" s="50">
        <v>43253</v>
      </c>
      <c r="D222" s="109" t="s">
        <v>586</v>
      </c>
      <c r="E222" s="109" t="s">
        <v>726</v>
      </c>
      <c r="F222" s="112">
        <v>10</v>
      </c>
      <c r="G222" s="112">
        <f t="shared" si="8"/>
        <v>1801</v>
      </c>
      <c r="H222" s="111" t="s">
        <v>502</v>
      </c>
      <c r="I222" s="109"/>
    </row>
    <row r="223" spans="1:9" ht="18" customHeight="1">
      <c r="A223" s="40">
        <f t="shared" si="9"/>
        <v>221</v>
      </c>
      <c r="B223" s="40">
        <f t="shared" si="10"/>
        <v>211</v>
      </c>
      <c r="C223" s="50">
        <v>43253</v>
      </c>
      <c r="D223" s="109" t="s">
        <v>586</v>
      </c>
      <c r="E223" s="109" t="s">
        <v>727</v>
      </c>
      <c r="F223" s="112">
        <v>5</v>
      </c>
      <c r="G223" s="112">
        <f t="shared" si="8"/>
        <v>1806</v>
      </c>
      <c r="H223" s="111" t="s">
        <v>502</v>
      </c>
      <c r="I223" s="109"/>
    </row>
    <row r="224" spans="1:9" ht="18" customHeight="1">
      <c r="A224" s="40">
        <f t="shared" si="9"/>
        <v>222</v>
      </c>
      <c r="B224" s="40">
        <f t="shared" si="10"/>
        <v>212</v>
      </c>
      <c r="C224" s="50">
        <v>43253</v>
      </c>
      <c r="D224" s="109" t="s">
        <v>586</v>
      </c>
      <c r="E224" s="109" t="s">
        <v>728</v>
      </c>
      <c r="F224" s="112">
        <v>10</v>
      </c>
      <c r="G224" s="112">
        <f t="shared" si="8"/>
        <v>1816</v>
      </c>
      <c r="H224" s="111" t="s">
        <v>502</v>
      </c>
      <c r="I224" s="109"/>
    </row>
    <row r="225" spans="1:9" ht="18" customHeight="1">
      <c r="A225" s="40">
        <f t="shared" si="9"/>
        <v>223</v>
      </c>
      <c r="B225" s="40">
        <f t="shared" si="10"/>
        <v>213</v>
      </c>
      <c r="C225" s="50">
        <v>43253</v>
      </c>
      <c r="D225" s="109" t="s">
        <v>586</v>
      </c>
      <c r="E225" s="109" t="s">
        <v>729</v>
      </c>
      <c r="F225" s="112">
        <v>5</v>
      </c>
      <c r="G225" s="112">
        <f t="shared" si="8"/>
        <v>1821</v>
      </c>
      <c r="H225" s="111" t="s">
        <v>502</v>
      </c>
      <c r="I225" s="109"/>
    </row>
    <row r="226" spans="1:9" ht="18" customHeight="1">
      <c r="A226" s="40">
        <f t="shared" si="9"/>
        <v>224</v>
      </c>
      <c r="B226" s="40">
        <f t="shared" si="10"/>
        <v>214</v>
      </c>
      <c r="C226" s="50">
        <v>43253</v>
      </c>
      <c r="D226" s="109" t="s">
        <v>518</v>
      </c>
      <c r="E226" s="109" t="s">
        <v>730</v>
      </c>
      <c r="F226" s="112">
        <v>5</v>
      </c>
      <c r="G226" s="112">
        <f t="shared" si="8"/>
        <v>1826</v>
      </c>
      <c r="H226" s="111" t="s">
        <v>502</v>
      </c>
      <c r="I226" s="109"/>
    </row>
    <row r="227" spans="1:9" ht="18" customHeight="1">
      <c r="A227" s="40">
        <f t="shared" si="9"/>
        <v>225</v>
      </c>
      <c r="B227" s="40">
        <f t="shared" si="10"/>
        <v>215</v>
      </c>
      <c r="C227" s="50">
        <v>43253</v>
      </c>
      <c r="D227" s="109" t="s">
        <v>497</v>
      </c>
      <c r="E227" s="109" t="s">
        <v>731</v>
      </c>
      <c r="F227" s="112">
        <v>5</v>
      </c>
      <c r="G227" s="112">
        <f t="shared" si="8"/>
        <v>1831</v>
      </c>
      <c r="H227" s="111" t="s">
        <v>502</v>
      </c>
      <c r="I227" s="109"/>
    </row>
    <row r="228" spans="1:9" ht="18" customHeight="1">
      <c r="A228" s="40">
        <f t="shared" si="9"/>
        <v>226</v>
      </c>
      <c r="B228" s="40">
        <f t="shared" si="10"/>
        <v>216</v>
      </c>
      <c r="C228" s="50">
        <v>43253</v>
      </c>
      <c r="D228" s="109" t="s">
        <v>497</v>
      </c>
      <c r="E228" s="109" t="s">
        <v>732</v>
      </c>
      <c r="F228" s="112">
        <v>5</v>
      </c>
      <c r="G228" s="112">
        <f t="shared" si="8"/>
        <v>1836</v>
      </c>
      <c r="H228" s="111" t="s">
        <v>502</v>
      </c>
      <c r="I228" s="109"/>
    </row>
    <row r="229" spans="1:9" ht="18" customHeight="1">
      <c r="A229" s="40">
        <f t="shared" si="9"/>
        <v>227</v>
      </c>
      <c r="B229" s="40">
        <f t="shared" si="10"/>
        <v>217</v>
      </c>
      <c r="C229" s="50">
        <v>43253</v>
      </c>
      <c r="D229" s="109" t="s">
        <v>586</v>
      </c>
      <c r="E229" s="109" t="s">
        <v>733</v>
      </c>
      <c r="F229" s="112">
        <v>10</v>
      </c>
      <c r="G229" s="112">
        <f t="shared" si="8"/>
        <v>1846</v>
      </c>
      <c r="H229" s="111" t="s">
        <v>502</v>
      </c>
      <c r="I229" s="109"/>
    </row>
    <row r="230" spans="1:9" ht="18" customHeight="1">
      <c r="A230" s="40">
        <f t="shared" si="9"/>
        <v>228</v>
      </c>
      <c r="B230" s="40">
        <f t="shared" si="10"/>
        <v>218</v>
      </c>
      <c r="C230" s="50">
        <v>43253</v>
      </c>
      <c r="D230" s="109" t="s">
        <v>586</v>
      </c>
      <c r="E230" s="109" t="s">
        <v>734</v>
      </c>
      <c r="F230" s="112">
        <v>10</v>
      </c>
      <c r="G230" s="112">
        <f t="shared" si="8"/>
        <v>1856</v>
      </c>
      <c r="H230" s="111" t="s">
        <v>502</v>
      </c>
      <c r="I230" s="109"/>
    </row>
    <row r="231" spans="1:9" ht="18" customHeight="1">
      <c r="A231" s="40">
        <f t="shared" si="9"/>
        <v>229</v>
      </c>
      <c r="B231" s="40">
        <f t="shared" si="10"/>
        <v>219</v>
      </c>
      <c r="C231" s="50">
        <v>43253</v>
      </c>
      <c r="D231" s="109" t="s">
        <v>586</v>
      </c>
      <c r="E231" s="109" t="s">
        <v>735</v>
      </c>
      <c r="F231" s="112">
        <v>20</v>
      </c>
      <c r="G231" s="112">
        <f t="shared" si="8"/>
        <v>1876</v>
      </c>
      <c r="H231" s="111" t="s">
        <v>502</v>
      </c>
      <c r="I231" s="109"/>
    </row>
    <row r="232" spans="1:9" ht="18" customHeight="1">
      <c r="A232" s="40">
        <f t="shared" si="9"/>
        <v>230</v>
      </c>
      <c r="B232" s="40">
        <f t="shared" si="10"/>
        <v>220</v>
      </c>
      <c r="C232" s="50">
        <v>43253</v>
      </c>
      <c r="D232" s="109" t="s">
        <v>586</v>
      </c>
      <c r="E232" s="109" t="s">
        <v>736</v>
      </c>
      <c r="F232" s="112">
        <v>5</v>
      </c>
      <c r="G232" s="112">
        <f t="shared" si="8"/>
        <v>1881</v>
      </c>
      <c r="H232" s="111" t="s">
        <v>502</v>
      </c>
      <c r="I232" s="109"/>
    </row>
    <row r="233" spans="1:9" ht="18" customHeight="1">
      <c r="A233" s="40">
        <f t="shared" si="9"/>
        <v>231</v>
      </c>
      <c r="B233" s="40">
        <f t="shared" si="10"/>
        <v>221</v>
      </c>
      <c r="C233" s="50">
        <v>43253</v>
      </c>
      <c r="D233" s="109" t="s">
        <v>586</v>
      </c>
      <c r="E233" s="109" t="s">
        <v>737</v>
      </c>
      <c r="F233" s="112">
        <v>5</v>
      </c>
      <c r="G233" s="112">
        <f t="shared" si="8"/>
        <v>1886</v>
      </c>
      <c r="H233" s="111" t="s">
        <v>502</v>
      </c>
      <c r="I233" s="109"/>
    </row>
    <row r="234" spans="1:9" ht="18" customHeight="1">
      <c r="A234" s="40">
        <f t="shared" si="9"/>
        <v>232</v>
      </c>
      <c r="B234" s="40">
        <f t="shared" si="10"/>
        <v>222</v>
      </c>
      <c r="C234" s="50">
        <v>43253</v>
      </c>
      <c r="D234" s="109" t="s">
        <v>586</v>
      </c>
      <c r="E234" s="109" t="s">
        <v>738</v>
      </c>
      <c r="F234" s="112">
        <v>10</v>
      </c>
      <c r="G234" s="112">
        <f t="shared" si="8"/>
        <v>1896</v>
      </c>
      <c r="H234" s="111" t="s">
        <v>502</v>
      </c>
      <c r="I234" s="109"/>
    </row>
    <row r="235" spans="1:9" ht="18" customHeight="1">
      <c r="A235" s="40">
        <f t="shared" si="9"/>
        <v>233</v>
      </c>
      <c r="B235" s="40">
        <f t="shared" si="10"/>
        <v>223</v>
      </c>
      <c r="C235" s="50">
        <v>43253</v>
      </c>
      <c r="D235" s="109"/>
      <c r="E235" s="109" t="s">
        <v>739</v>
      </c>
      <c r="F235" s="112">
        <v>5</v>
      </c>
      <c r="G235" s="112">
        <f t="shared" si="8"/>
        <v>1901</v>
      </c>
      <c r="H235" s="111" t="s">
        <v>502</v>
      </c>
      <c r="I235" s="109"/>
    </row>
    <row r="236" spans="1:9" ht="18" customHeight="1">
      <c r="A236" s="40">
        <f t="shared" si="9"/>
        <v>234</v>
      </c>
      <c r="B236" s="40">
        <f t="shared" si="10"/>
        <v>224</v>
      </c>
      <c r="C236" s="50">
        <v>43253</v>
      </c>
      <c r="D236" s="109" t="s">
        <v>586</v>
      </c>
      <c r="E236" s="109" t="s">
        <v>740</v>
      </c>
      <c r="F236" s="112">
        <v>5</v>
      </c>
      <c r="G236" s="112">
        <f t="shared" si="8"/>
        <v>1906</v>
      </c>
      <c r="H236" s="111" t="s">
        <v>502</v>
      </c>
      <c r="I236" s="109"/>
    </row>
    <row r="237" spans="1:9" ht="18" customHeight="1">
      <c r="A237" s="40">
        <f t="shared" si="9"/>
        <v>235</v>
      </c>
      <c r="B237" s="40">
        <f t="shared" si="10"/>
        <v>225</v>
      </c>
      <c r="C237" s="50">
        <v>43253</v>
      </c>
      <c r="D237" s="109" t="s">
        <v>586</v>
      </c>
      <c r="E237" s="109" t="s">
        <v>741</v>
      </c>
      <c r="F237" s="112">
        <v>5</v>
      </c>
      <c r="G237" s="112">
        <f t="shared" si="8"/>
        <v>1911</v>
      </c>
      <c r="H237" s="111" t="s">
        <v>502</v>
      </c>
      <c r="I237" s="109"/>
    </row>
    <row r="238" spans="1:9" ht="18" customHeight="1">
      <c r="A238" s="40">
        <f t="shared" si="9"/>
        <v>236</v>
      </c>
      <c r="B238" s="40">
        <f t="shared" si="10"/>
        <v>226</v>
      </c>
      <c r="C238" s="50">
        <v>43253</v>
      </c>
      <c r="D238" s="109"/>
      <c r="E238" s="109" t="s">
        <v>742</v>
      </c>
      <c r="F238" s="112">
        <v>5</v>
      </c>
      <c r="G238" s="112">
        <f t="shared" si="8"/>
        <v>1916</v>
      </c>
      <c r="H238" s="111" t="s">
        <v>502</v>
      </c>
      <c r="I238" s="109"/>
    </row>
    <row r="239" spans="1:9" ht="18" customHeight="1">
      <c r="A239" s="40">
        <f t="shared" si="9"/>
        <v>237</v>
      </c>
      <c r="B239" s="40">
        <f t="shared" si="10"/>
        <v>227</v>
      </c>
      <c r="C239" s="50">
        <v>43253</v>
      </c>
      <c r="D239" s="109"/>
      <c r="E239" s="109" t="s">
        <v>743</v>
      </c>
      <c r="F239" s="112">
        <v>5</v>
      </c>
      <c r="G239" s="112">
        <f t="shared" si="8"/>
        <v>1921</v>
      </c>
      <c r="H239" s="111" t="s">
        <v>502</v>
      </c>
      <c r="I239" s="109"/>
    </row>
    <row r="240" spans="1:9" ht="18" customHeight="1">
      <c r="A240" s="40">
        <f t="shared" si="9"/>
        <v>238</v>
      </c>
      <c r="B240" s="40">
        <f t="shared" si="10"/>
        <v>228</v>
      </c>
      <c r="C240" s="50">
        <v>43253</v>
      </c>
      <c r="D240" s="109" t="s">
        <v>586</v>
      </c>
      <c r="E240" s="109" t="s">
        <v>744</v>
      </c>
      <c r="F240" s="112">
        <v>10</v>
      </c>
      <c r="G240" s="112">
        <f t="shared" si="8"/>
        <v>1931</v>
      </c>
      <c r="H240" s="111" t="s">
        <v>502</v>
      </c>
      <c r="I240" s="109"/>
    </row>
    <row r="241" spans="1:9" ht="18" customHeight="1">
      <c r="A241" s="40">
        <f t="shared" si="9"/>
        <v>239</v>
      </c>
      <c r="B241" s="40">
        <f t="shared" si="10"/>
        <v>229</v>
      </c>
      <c r="C241" s="50">
        <v>43253</v>
      </c>
      <c r="D241" s="109"/>
      <c r="E241" s="109" t="s">
        <v>745</v>
      </c>
      <c r="F241" s="112">
        <v>10</v>
      </c>
      <c r="G241" s="112">
        <f t="shared" si="8"/>
        <v>1941</v>
      </c>
      <c r="H241" s="111" t="s">
        <v>502</v>
      </c>
      <c r="I241" s="109"/>
    </row>
    <row r="242" spans="1:9" ht="18" customHeight="1">
      <c r="A242" s="40">
        <f t="shared" si="9"/>
        <v>240</v>
      </c>
      <c r="B242" s="40">
        <f t="shared" si="10"/>
        <v>230</v>
      </c>
      <c r="C242" s="50">
        <v>43253</v>
      </c>
      <c r="D242" s="109" t="s">
        <v>500</v>
      </c>
      <c r="E242" s="109" t="s">
        <v>746</v>
      </c>
      <c r="F242" s="112">
        <v>10</v>
      </c>
      <c r="G242" s="112">
        <f t="shared" si="8"/>
        <v>1951</v>
      </c>
      <c r="H242" s="111" t="s">
        <v>502</v>
      </c>
      <c r="I242" s="109"/>
    </row>
    <row r="243" spans="1:9" ht="18" customHeight="1">
      <c r="A243" s="40">
        <f t="shared" si="9"/>
        <v>241</v>
      </c>
      <c r="B243" s="40">
        <f t="shared" si="10"/>
        <v>231</v>
      </c>
      <c r="C243" s="50">
        <v>43253</v>
      </c>
      <c r="D243" s="109" t="s">
        <v>586</v>
      </c>
      <c r="E243" s="109" t="s">
        <v>747</v>
      </c>
      <c r="F243" s="112">
        <v>5</v>
      </c>
      <c r="G243" s="112">
        <f t="shared" si="8"/>
        <v>1956</v>
      </c>
      <c r="H243" s="111" t="s">
        <v>502</v>
      </c>
      <c r="I243" s="109"/>
    </row>
    <row r="244" spans="1:9" ht="18" customHeight="1">
      <c r="A244" s="40">
        <f t="shared" si="9"/>
        <v>242</v>
      </c>
      <c r="B244" s="40">
        <f t="shared" si="10"/>
        <v>232</v>
      </c>
      <c r="C244" s="50">
        <v>43253</v>
      </c>
      <c r="D244" s="109" t="s">
        <v>586</v>
      </c>
      <c r="E244" s="109" t="s">
        <v>748</v>
      </c>
      <c r="F244" s="112">
        <v>10</v>
      </c>
      <c r="G244" s="112">
        <f t="shared" si="8"/>
        <v>1966</v>
      </c>
      <c r="H244" s="111" t="s">
        <v>502</v>
      </c>
      <c r="I244" s="109"/>
    </row>
    <row r="245" spans="1:9" ht="18" customHeight="1">
      <c r="A245" s="40">
        <f t="shared" si="9"/>
        <v>243</v>
      </c>
      <c r="B245" s="40">
        <f t="shared" si="10"/>
        <v>233</v>
      </c>
      <c r="C245" s="50">
        <v>43253</v>
      </c>
      <c r="D245" s="109" t="s">
        <v>586</v>
      </c>
      <c r="E245" s="109" t="s">
        <v>749</v>
      </c>
      <c r="F245" s="112">
        <v>30</v>
      </c>
      <c r="G245" s="112">
        <f t="shared" si="8"/>
        <v>1996</v>
      </c>
      <c r="H245" s="111" t="s">
        <v>502</v>
      </c>
      <c r="I245" s="109"/>
    </row>
    <row r="246" spans="1:9" ht="18" customHeight="1">
      <c r="A246" s="40">
        <f t="shared" si="9"/>
        <v>244</v>
      </c>
      <c r="B246" s="40">
        <f t="shared" si="10"/>
        <v>234</v>
      </c>
      <c r="C246" s="50">
        <v>43253</v>
      </c>
      <c r="D246" s="109" t="s">
        <v>586</v>
      </c>
      <c r="E246" s="109" t="s">
        <v>750</v>
      </c>
      <c r="F246" s="112">
        <v>10</v>
      </c>
      <c r="G246" s="112">
        <f t="shared" si="8"/>
        <v>2006</v>
      </c>
      <c r="H246" s="111" t="s">
        <v>502</v>
      </c>
      <c r="I246" s="109"/>
    </row>
    <row r="247" spans="1:9" ht="18" customHeight="1">
      <c r="A247" s="40">
        <f t="shared" si="9"/>
        <v>245</v>
      </c>
      <c r="B247" s="40">
        <f t="shared" si="10"/>
        <v>235</v>
      </c>
      <c r="C247" s="50">
        <v>43253</v>
      </c>
      <c r="D247" s="109" t="s">
        <v>586</v>
      </c>
      <c r="E247" s="109" t="s">
        <v>751</v>
      </c>
      <c r="F247" s="112">
        <v>10</v>
      </c>
      <c r="G247" s="112">
        <f t="shared" si="8"/>
        <v>2016</v>
      </c>
      <c r="H247" s="111" t="s">
        <v>502</v>
      </c>
      <c r="I247" s="109"/>
    </row>
    <row r="248" spans="1:9" ht="18" customHeight="1">
      <c r="A248" s="40">
        <f t="shared" si="9"/>
        <v>246</v>
      </c>
      <c r="B248" s="40">
        <f t="shared" si="10"/>
        <v>236</v>
      </c>
      <c r="C248" s="50">
        <v>43253</v>
      </c>
      <c r="D248" s="109"/>
      <c r="E248" s="109" t="s">
        <v>752</v>
      </c>
      <c r="F248" s="112">
        <v>30</v>
      </c>
      <c r="G248" s="112">
        <f t="shared" si="8"/>
        <v>2046</v>
      </c>
      <c r="H248" s="111" t="s">
        <v>502</v>
      </c>
      <c r="I248" s="109"/>
    </row>
    <row r="249" spans="1:9" ht="18" customHeight="1">
      <c r="A249" s="40">
        <f t="shared" si="9"/>
        <v>247</v>
      </c>
      <c r="B249" s="40">
        <f t="shared" si="10"/>
        <v>237</v>
      </c>
      <c r="C249" s="50">
        <v>43253</v>
      </c>
      <c r="D249" s="109" t="s">
        <v>518</v>
      </c>
      <c r="E249" s="113" t="s">
        <v>753</v>
      </c>
      <c r="F249" s="112">
        <v>15</v>
      </c>
      <c r="G249" s="112">
        <f t="shared" si="8"/>
        <v>2061</v>
      </c>
      <c r="H249" s="111" t="s">
        <v>502</v>
      </c>
      <c r="I249" s="109"/>
    </row>
    <row r="250" spans="1:9" ht="18" customHeight="1">
      <c r="A250" s="40">
        <f t="shared" si="9"/>
        <v>248</v>
      </c>
      <c r="B250" s="40">
        <f t="shared" si="10"/>
        <v>238</v>
      </c>
      <c r="C250" s="50">
        <v>43253</v>
      </c>
      <c r="D250" s="109" t="s">
        <v>518</v>
      </c>
      <c r="E250" s="109" t="s">
        <v>754</v>
      </c>
      <c r="F250" s="112">
        <v>7</v>
      </c>
      <c r="G250" s="112">
        <f t="shared" si="8"/>
        <v>2068</v>
      </c>
      <c r="H250" s="111" t="s">
        <v>502</v>
      </c>
      <c r="I250" s="109"/>
    </row>
    <row r="251" spans="1:9" ht="18" customHeight="1">
      <c r="A251" s="40">
        <f t="shared" si="9"/>
        <v>249</v>
      </c>
      <c r="B251" s="40">
        <f t="shared" si="10"/>
        <v>239</v>
      </c>
      <c r="C251" s="50">
        <v>43253</v>
      </c>
      <c r="D251" s="109" t="s">
        <v>518</v>
      </c>
      <c r="E251" s="113" t="s">
        <v>755</v>
      </c>
      <c r="F251" s="112">
        <v>15</v>
      </c>
      <c r="G251" s="112">
        <f t="shared" si="8"/>
        <v>2083</v>
      </c>
      <c r="H251" s="111" t="s">
        <v>502</v>
      </c>
      <c r="I251" s="109"/>
    </row>
    <row r="252" spans="1:9" ht="18" customHeight="1">
      <c r="A252" s="40">
        <f t="shared" si="9"/>
        <v>250</v>
      </c>
      <c r="B252" s="40">
        <f t="shared" si="10"/>
        <v>240</v>
      </c>
      <c r="C252" s="50">
        <v>43253</v>
      </c>
      <c r="D252" s="109" t="s">
        <v>500</v>
      </c>
      <c r="E252" s="113" t="s">
        <v>756</v>
      </c>
      <c r="F252" s="112">
        <v>20</v>
      </c>
      <c r="G252" s="112">
        <f t="shared" si="8"/>
        <v>2103</v>
      </c>
      <c r="H252" s="111" t="s">
        <v>502</v>
      </c>
      <c r="I252" s="109"/>
    </row>
    <row r="253" spans="1:9" ht="18" customHeight="1">
      <c r="A253" s="40">
        <f t="shared" si="9"/>
        <v>251</v>
      </c>
      <c r="B253" s="40">
        <f t="shared" si="10"/>
        <v>241</v>
      </c>
      <c r="C253" s="50">
        <v>43253</v>
      </c>
      <c r="D253" s="109" t="s">
        <v>518</v>
      </c>
      <c r="E253" s="109" t="s">
        <v>757</v>
      </c>
      <c r="F253" s="112">
        <v>10</v>
      </c>
      <c r="G253" s="112">
        <f t="shared" si="8"/>
        <v>2113</v>
      </c>
      <c r="H253" s="111" t="s">
        <v>502</v>
      </c>
      <c r="I253" s="109"/>
    </row>
    <row r="254" spans="1:9" ht="18" customHeight="1">
      <c r="A254" s="40">
        <f t="shared" si="9"/>
        <v>252</v>
      </c>
      <c r="B254" s="40">
        <f t="shared" si="10"/>
        <v>242</v>
      </c>
      <c r="C254" s="50">
        <v>43253</v>
      </c>
      <c r="D254" s="109" t="s">
        <v>586</v>
      </c>
      <c r="E254" s="109" t="s">
        <v>758</v>
      </c>
      <c r="F254" s="112">
        <v>50</v>
      </c>
      <c r="G254" s="112">
        <f t="shared" si="8"/>
        <v>2163</v>
      </c>
      <c r="H254" s="111" t="s">
        <v>502</v>
      </c>
      <c r="I254" s="109"/>
    </row>
    <row r="255" spans="1:9" ht="18" customHeight="1">
      <c r="A255" s="40">
        <f t="shared" si="9"/>
        <v>253</v>
      </c>
      <c r="B255" s="40">
        <f t="shared" si="10"/>
        <v>243</v>
      </c>
      <c r="C255" s="50">
        <v>43253</v>
      </c>
      <c r="D255" s="109" t="s">
        <v>586</v>
      </c>
      <c r="E255" s="109" t="s">
        <v>759</v>
      </c>
      <c r="F255" s="112">
        <v>5</v>
      </c>
      <c r="G255" s="112">
        <f t="shared" si="8"/>
        <v>2168</v>
      </c>
      <c r="H255" s="111" t="s">
        <v>502</v>
      </c>
      <c r="I255" s="109"/>
    </row>
    <row r="256" spans="1:9" ht="18" customHeight="1">
      <c r="A256" s="40">
        <f t="shared" si="9"/>
        <v>254</v>
      </c>
      <c r="B256" s="40">
        <f t="shared" si="10"/>
        <v>244</v>
      </c>
      <c r="C256" s="50">
        <v>43253</v>
      </c>
      <c r="D256" s="109" t="s">
        <v>586</v>
      </c>
      <c r="E256" s="109" t="s">
        <v>760</v>
      </c>
      <c r="F256" s="112">
        <v>5</v>
      </c>
      <c r="G256" s="112">
        <f t="shared" si="8"/>
        <v>2173</v>
      </c>
      <c r="H256" s="111" t="s">
        <v>502</v>
      </c>
      <c r="I256" s="109"/>
    </row>
    <row r="257" spans="1:9" ht="18" customHeight="1">
      <c r="A257" s="40">
        <f t="shared" si="9"/>
        <v>255</v>
      </c>
      <c r="B257" s="40">
        <f t="shared" si="10"/>
        <v>245</v>
      </c>
      <c r="C257" s="50">
        <v>43253</v>
      </c>
      <c r="D257" s="109" t="s">
        <v>586</v>
      </c>
      <c r="E257" s="109" t="s">
        <v>761</v>
      </c>
      <c r="F257" s="112">
        <v>5</v>
      </c>
      <c r="G257" s="112">
        <f t="shared" si="8"/>
        <v>2178</v>
      </c>
      <c r="H257" s="111" t="s">
        <v>502</v>
      </c>
      <c r="I257" s="109"/>
    </row>
    <row r="258" spans="1:9" ht="18" customHeight="1">
      <c r="A258" s="40">
        <f t="shared" si="9"/>
        <v>256</v>
      </c>
      <c r="B258" s="40">
        <f t="shared" si="10"/>
        <v>246</v>
      </c>
      <c r="C258" s="50">
        <v>43253</v>
      </c>
      <c r="D258" s="109" t="s">
        <v>586</v>
      </c>
      <c r="E258" s="109" t="s">
        <v>762</v>
      </c>
      <c r="F258" s="112">
        <v>5</v>
      </c>
      <c r="G258" s="112">
        <f t="shared" si="8"/>
        <v>2183</v>
      </c>
      <c r="H258" s="111" t="s">
        <v>502</v>
      </c>
      <c r="I258" s="109"/>
    </row>
    <row r="259" spans="1:9" ht="18" customHeight="1">
      <c r="A259" s="40">
        <f t="shared" si="9"/>
        <v>257</v>
      </c>
      <c r="B259" s="40">
        <f t="shared" si="10"/>
        <v>247</v>
      </c>
      <c r="C259" s="50">
        <v>43253</v>
      </c>
      <c r="D259" s="109" t="s">
        <v>586</v>
      </c>
      <c r="E259" s="109" t="s">
        <v>763</v>
      </c>
      <c r="F259" s="112">
        <v>10</v>
      </c>
      <c r="G259" s="112">
        <f t="shared" si="8"/>
        <v>2193</v>
      </c>
      <c r="H259" s="111" t="s">
        <v>502</v>
      </c>
      <c r="I259" s="109"/>
    </row>
    <row r="260" spans="1:9" ht="18" customHeight="1">
      <c r="A260" s="40">
        <f t="shared" si="9"/>
        <v>258</v>
      </c>
      <c r="B260" s="40">
        <f t="shared" si="10"/>
        <v>248</v>
      </c>
      <c r="C260" s="50">
        <v>43253</v>
      </c>
      <c r="D260" s="109" t="s">
        <v>586</v>
      </c>
      <c r="E260" s="109" t="s">
        <v>764</v>
      </c>
      <c r="F260" s="112">
        <v>5</v>
      </c>
      <c r="G260" s="112">
        <f t="shared" si="8"/>
        <v>2198</v>
      </c>
      <c r="H260" s="111" t="s">
        <v>502</v>
      </c>
      <c r="I260" s="109"/>
    </row>
    <row r="261" spans="1:9" ht="18" customHeight="1">
      <c r="A261" s="40">
        <f t="shared" si="9"/>
        <v>259</v>
      </c>
      <c r="B261" s="40">
        <f t="shared" si="10"/>
        <v>249</v>
      </c>
      <c r="C261" s="50">
        <v>43253</v>
      </c>
      <c r="D261" s="109" t="s">
        <v>586</v>
      </c>
      <c r="E261" s="109" t="s">
        <v>765</v>
      </c>
      <c r="F261" s="112">
        <v>5</v>
      </c>
      <c r="G261" s="112">
        <f t="shared" ref="G261:G303" si="11">F261+G260</f>
        <v>2203</v>
      </c>
      <c r="H261" s="111" t="s">
        <v>502</v>
      </c>
      <c r="I261" s="109"/>
    </row>
    <row r="262" spans="1:9" ht="18" customHeight="1">
      <c r="A262" s="40">
        <f t="shared" si="9"/>
        <v>260</v>
      </c>
      <c r="B262" s="40">
        <f t="shared" si="10"/>
        <v>250</v>
      </c>
      <c r="C262" s="50">
        <v>43253</v>
      </c>
      <c r="D262" s="109" t="s">
        <v>586</v>
      </c>
      <c r="E262" s="109" t="s">
        <v>766</v>
      </c>
      <c r="F262" s="112">
        <v>5</v>
      </c>
      <c r="G262" s="112">
        <f t="shared" si="11"/>
        <v>2208</v>
      </c>
      <c r="H262" s="111" t="s">
        <v>502</v>
      </c>
      <c r="I262" s="109"/>
    </row>
    <row r="263" spans="1:9" ht="18" customHeight="1">
      <c r="A263" s="40">
        <f t="shared" si="9"/>
        <v>261</v>
      </c>
      <c r="B263" s="40">
        <f t="shared" si="10"/>
        <v>251</v>
      </c>
      <c r="C263" s="50">
        <v>43253</v>
      </c>
      <c r="D263" s="109" t="s">
        <v>586</v>
      </c>
      <c r="E263" s="109" t="s">
        <v>767</v>
      </c>
      <c r="F263" s="112">
        <v>5</v>
      </c>
      <c r="G263" s="112">
        <f t="shared" si="11"/>
        <v>2213</v>
      </c>
      <c r="H263" s="111" t="s">
        <v>502</v>
      </c>
      <c r="I263" s="109"/>
    </row>
    <row r="264" spans="1:9" ht="18" customHeight="1">
      <c r="A264" s="40">
        <f t="shared" si="9"/>
        <v>262</v>
      </c>
      <c r="B264" s="40">
        <f t="shared" si="10"/>
        <v>252</v>
      </c>
      <c r="C264" s="50">
        <v>43253</v>
      </c>
      <c r="D264" s="109" t="s">
        <v>569</v>
      </c>
      <c r="E264" s="109" t="s">
        <v>768</v>
      </c>
      <c r="F264" s="112">
        <v>100</v>
      </c>
      <c r="G264" s="112">
        <f t="shared" si="11"/>
        <v>2313</v>
      </c>
      <c r="H264" s="111" t="s">
        <v>502</v>
      </c>
      <c r="I264" s="109"/>
    </row>
    <row r="265" spans="1:9" ht="18" customHeight="1">
      <c r="A265" s="40">
        <f t="shared" si="9"/>
        <v>263</v>
      </c>
      <c r="B265" s="40">
        <f t="shared" si="10"/>
        <v>253</v>
      </c>
      <c r="C265" s="50">
        <v>43253</v>
      </c>
      <c r="D265" s="109" t="s">
        <v>769</v>
      </c>
      <c r="E265" s="109" t="s">
        <v>770</v>
      </c>
      <c r="F265" s="112">
        <v>20</v>
      </c>
      <c r="G265" s="112">
        <f t="shared" si="11"/>
        <v>2333</v>
      </c>
      <c r="H265" s="111" t="s">
        <v>502</v>
      </c>
      <c r="I265" s="109"/>
    </row>
    <row r="266" spans="1:9" ht="18" customHeight="1">
      <c r="A266" s="40">
        <f t="shared" si="9"/>
        <v>264</v>
      </c>
      <c r="B266" s="40">
        <f t="shared" si="10"/>
        <v>254</v>
      </c>
      <c r="C266" s="50">
        <v>43253</v>
      </c>
      <c r="D266" s="109" t="s">
        <v>569</v>
      </c>
      <c r="E266" s="109" t="s">
        <v>771</v>
      </c>
      <c r="F266" s="112">
        <v>50</v>
      </c>
      <c r="G266" s="112">
        <f t="shared" si="11"/>
        <v>2383</v>
      </c>
      <c r="H266" s="111" t="s">
        <v>502</v>
      </c>
      <c r="I266" s="109"/>
    </row>
    <row r="267" spans="1:9" ht="18" customHeight="1">
      <c r="A267" s="40">
        <f t="shared" ref="A267:A303" si="12">ROW()-2</f>
        <v>265</v>
      </c>
      <c r="B267" s="40" t="s">
        <v>3</v>
      </c>
      <c r="C267" s="50">
        <v>43253</v>
      </c>
      <c r="D267" s="109" t="s">
        <v>569</v>
      </c>
      <c r="E267" s="109" t="s">
        <v>772</v>
      </c>
      <c r="F267" s="112">
        <v>20</v>
      </c>
      <c r="G267" s="112">
        <f t="shared" si="11"/>
        <v>2403</v>
      </c>
      <c r="H267" s="111" t="s">
        <v>502</v>
      </c>
      <c r="I267" s="109"/>
    </row>
    <row r="268" spans="1:9" ht="18" customHeight="1">
      <c r="A268" s="40">
        <f t="shared" si="12"/>
        <v>266</v>
      </c>
      <c r="B268" s="40">
        <f>ROW()-13</f>
        <v>255</v>
      </c>
      <c r="C268" s="50">
        <v>43253</v>
      </c>
      <c r="D268" s="109" t="s">
        <v>569</v>
      </c>
      <c r="E268" s="109" t="s">
        <v>773</v>
      </c>
      <c r="F268" s="112">
        <v>50</v>
      </c>
      <c r="G268" s="112">
        <f t="shared" si="11"/>
        <v>2453</v>
      </c>
      <c r="H268" s="111" t="s">
        <v>502</v>
      </c>
      <c r="I268" s="109"/>
    </row>
    <row r="269" spans="1:9" ht="18" customHeight="1">
      <c r="A269" s="40">
        <f t="shared" si="12"/>
        <v>267</v>
      </c>
      <c r="B269" s="40">
        <f t="shared" ref="B269:B279" si="13">ROW()-13</f>
        <v>256</v>
      </c>
      <c r="C269" s="50">
        <v>43253</v>
      </c>
      <c r="D269" s="109" t="s">
        <v>569</v>
      </c>
      <c r="E269" s="109" t="s">
        <v>774</v>
      </c>
      <c r="F269" s="112">
        <v>10</v>
      </c>
      <c r="G269" s="112">
        <f t="shared" si="11"/>
        <v>2463</v>
      </c>
      <c r="H269" s="111" t="s">
        <v>502</v>
      </c>
      <c r="I269" s="109"/>
    </row>
    <row r="270" spans="1:9" ht="18" customHeight="1">
      <c r="A270" s="40">
        <f t="shared" si="12"/>
        <v>268</v>
      </c>
      <c r="B270" s="40">
        <f t="shared" si="13"/>
        <v>257</v>
      </c>
      <c r="C270" s="50">
        <v>43253</v>
      </c>
      <c r="D270" s="109"/>
      <c r="E270" s="109" t="s">
        <v>775</v>
      </c>
      <c r="F270" s="112">
        <v>10</v>
      </c>
      <c r="G270" s="112">
        <f t="shared" si="11"/>
        <v>2473</v>
      </c>
      <c r="H270" s="111" t="s">
        <v>502</v>
      </c>
      <c r="I270" s="109"/>
    </row>
    <row r="271" spans="1:9" ht="18" customHeight="1">
      <c r="A271" s="40">
        <f t="shared" si="12"/>
        <v>269</v>
      </c>
      <c r="B271" s="40">
        <f t="shared" si="13"/>
        <v>258</v>
      </c>
      <c r="C271" s="50">
        <v>43253</v>
      </c>
      <c r="D271" s="109"/>
      <c r="E271" s="109" t="s">
        <v>776</v>
      </c>
      <c r="F271" s="112">
        <v>10</v>
      </c>
      <c r="G271" s="112">
        <f t="shared" si="11"/>
        <v>2483</v>
      </c>
      <c r="H271" s="111" t="s">
        <v>502</v>
      </c>
      <c r="I271" s="109"/>
    </row>
    <row r="272" spans="1:9" ht="18" customHeight="1">
      <c r="A272" s="40">
        <f t="shared" si="12"/>
        <v>270</v>
      </c>
      <c r="B272" s="40">
        <f t="shared" si="13"/>
        <v>259</v>
      </c>
      <c r="C272" s="50">
        <v>43253</v>
      </c>
      <c r="D272" s="109"/>
      <c r="E272" s="109" t="s">
        <v>777</v>
      </c>
      <c r="F272" s="112">
        <v>10</v>
      </c>
      <c r="G272" s="112">
        <f t="shared" si="11"/>
        <v>2493</v>
      </c>
      <c r="H272" s="111" t="s">
        <v>502</v>
      </c>
      <c r="I272" s="109"/>
    </row>
    <row r="273" spans="1:9" ht="18" customHeight="1">
      <c r="A273" s="40">
        <f t="shared" si="12"/>
        <v>271</v>
      </c>
      <c r="B273" s="40">
        <f t="shared" si="13"/>
        <v>260</v>
      </c>
      <c r="C273" s="50">
        <v>43253</v>
      </c>
      <c r="D273" s="109"/>
      <c r="E273" s="109" t="s">
        <v>778</v>
      </c>
      <c r="F273" s="112">
        <v>10</v>
      </c>
      <c r="G273" s="112">
        <f t="shared" si="11"/>
        <v>2503</v>
      </c>
      <c r="H273" s="111" t="s">
        <v>502</v>
      </c>
      <c r="I273" s="109"/>
    </row>
    <row r="274" spans="1:9" ht="18" customHeight="1">
      <c r="A274" s="40">
        <f t="shared" si="12"/>
        <v>272</v>
      </c>
      <c r="B274" s="40">
        <f t="shared" si="13"/>
        <v>261</v>
      </c>
      <c r="C274" s="50">
        <v>43253</v>
      </c>
      <c r="D274" s="109"/>
      <c r="E274" s="109" t="s">
        <v>779</v>
      </c>
      <c r="F274" s="112">
        <v>10</v>
      </c>
      <c r="G274" s="112">
        <f t="shared" si="11"/>
        <v>2513</v>
      </c>
      <c r="H274" s="111" t="s">
        <v>502</v>
      </c>
      <c r="I274" s="109"/>
    </row>
    <row r="275" spans="1:9" ht="18" customHeight="1">
      <c r="A275" s="40">
        <f t="shared" si="12"/>
        <v>273</v>
      </c>
      <c r="B275" s="40">
        <f t="shared" si="13"/>
        <v>262</v>
      </c>
      <c r="C275" s="50">
        <v>43253</v>
      </c>
      <c r="D275" s="109"/>
      <c r="E275" s="109" t="s">
        <v>780</v>
      </c>
      <c r="F275" s="112">
        <v>10</v>
      </c>
      <c r="G275" s="112">
        <f t="shared" si="11"/>
        <v>2523</v>
      </c>
      <c r="H275" s="111" t="s">
        <v>502</v>
      </c>
      <c r="I275" s="109"/>
    </row>
    <row r="276" spans="1:9" ht="18" customHeight="1">
      <c r="A276" s="40">
        <f t="shared" si="12"/>
        <v>274</v>
      </c>
      <c r="B276" s="40">
        <f t="shared" si="13"/>
        <v>263</v>
      </c>
      <c r="C276" s="50">
        <v>43253</v>
      </c>
      <c r="D276" s="109"/>
      <c r="E276" s="109" t="s">
        <v>781</v>
      </c>
      <c r="F276" s="112">
        <v>30</v>
      </c>
      <c r="G276" s="112">
        <f t="shared" si="11"/>
        <v>2553</v>
      </c>
      <c r="H276" s="111" t="s">
        <v>502</v>
      </c>
      <c r="I276" s="109"/>
    </row>
    <row r="277" spans="1:9" ht="18" customHeight="1">
      <c r="A277" s="40">
        <f t="shared" si="12"/>
        <v>275</v>
      </c>
      <c r="B277" s="40">
        <f t="shared" si="13"/>
        <v>264</v>
      </c>
      <c r="C277" s="50">
        <v>43253</v>
      </c>
      <c r="D277" s="109"/>
      <c r="E277" s="109" t="s">
        <v>782</v>
      </c>
      <c r="F277" s="112">
        <v>5</v>
      </c>
      <c r="G277" s="112">
        <f t="shared" si="11"/>
        <v>2558</v>
      </c>
      <c r="H277" s="111" t="s">
        <v>502</v>
      </c>
      <c r="I277" s="109"/>
    </row>
    <row r="278" spans="1:9" ht="18" customHeight="1">
      <c r="A278" s="40">
        <f t="shared" si="12"/>
        <v>276</v>
      </c>
      <c r="B278" s="40">
        <f t="shared" si="13"/>
        <v>265</v>
      </c>
      <c r="C278" s="50">
        <v>43253</v>
      </c>
      <c r="D278" s="109"/>
      <c r="E278" s="109" t="s">
        <v>783</v>
      </c>
      <c r="F278" s="112">
        <v>5</v>
      </c>
      <c r="G278" s="112">
        <f t="shared" si="11"/>
        <v>2563</v>
      </c>
      <c r="H278" s="111" t="s">
        <v>502</v>
      </c>
      <c r="I278" s="109"/>
    </row>
    <row r="279" spans="1:9" ht="18" customHeight="1">
      <c r="A279" s="40">
        <f t="shared" si="12"/>
        <v>277</v>
      </c>
      <c r="B279" s="40">
        <f t="shared" si="13"/>
        <v>266</v>
      </c>
      <c r="C279" s="50">
        <v>43253</v>
      </c>
      <c r="D279" s="109"/>
      <c r="E279" s="109" t="s">
        <v>784</v>
      </c>
      <c r="F279" s="112">
        <v>10</v>
      </c>
      <c r="G279" s="112">
        <f t="shared" si="11"/>
        <v>2573</v>
      </c>
      <c r="H279" s="111" t="s">
        <v>502</v>
      </c>
      <c r="I279" s="109"/>
    </row>
    <row r="280" spans="1:9" ht="18" customHeight="1">
      <c r="A280" s="40">
        <f t="shared" si="12"/>
        <v>278</v>
      </c>
      <c r="B280" s="40" t="s">
        <v>3</v>
      </c>
      <c r="C280" s="50">
        <v>43253</v>
      </c>
      <c r="D280" s="109" t="s">
        <v>534</v>
      </c>
      <c r="E280" s="109" t="s">
        <v>785</v>
      </c>
      <c r="F280" s="112">
        <v>5</v>
      </c>
      <c r="G280" s="112">
        <f t="shared" si="11"/>
        <v>2578</v>
      </c>
      <c r="H280" s="111" t="s">
        <v>502</v>
      </c>
      <c r="I280" s="109"/>
    </row>
    <row r="281" spans="1:9" ht="18" customHeight="1">
      <c r="A281" s="40">
        <f t="shared" si="12"/>
        <v>279</v>
      </c>
      <c r="B281" s="40" t="s">
        <v>3</v>
      </c>
      <c r="C281" s="50">
        <v>43253</v>
      </c>
      <c r="D281" s="109" t="s">
        <v>534</v>
      </c>
      <c r="E281" s="109" t="s">
        <v>786</v>
      </c>
      <c r="F281" s="112">
        <v>5</v>
      </c>
      <c r="G281" s="112">
        <f t="shared" si="11"/>
        <v>2583</v>
      </c>
      <c r="H281" s="111" t="s">
        <v>502</v>
      </c>
      <c r="I281" s="109"/>
    </row>
    <row r="282" spans="1:9" ht="18" customHeight="1">
      <c r="A282" s="40">
        <f t="shared" si="12"/>
        <v>280</v>
      </c>
      <c r="B282" s="40" t="s">
        <v>3</v>
      </c>
      <c r="C282" s="50">
        <v>43253</v>
      </c>
      <c r="D282" s="109" t="s">
        <v>497</v>
      </c>
      <c r="E282" s="109" t="s">
        <v>787</v>
      </c>
      <c r="F282" s="112">
        <v>10</v>
      </c>
      <c r="G282" s="112">
        <f t="shared" si="11"/>
        <v>2593</v>
      </c>
      <c r="H282" s="111" t="s">
        <v>502</v>
      </c>
      <c r="I282" s="109"/>
    </row>
    <row r="283" spans="1:9" ht="18" customHeight="1">
      <c r="A283" s="40">
        <f t="shared" si="12"/>
        <v>281</v>
      </c>
      <c r="B283" s="40" t="s">
        <v>3</v>
      </c>
      <c r="C283" s="50">
        <v>43253</v>
      </c>
      <c r="D283" s="109" t="s">
        <v>769</v>
      </c>
      <c r="E283" s="109" t="s">
        <v>788</v>
      </c>
      <c r="F283" s="112">
        <v>150</v>
      </c>
      <c r="G283" s="112">
        <f t="shared" si="11"/>
        <v>2743</v>
      </c>
      <c r="H283" s="111" t="s">
        <v>502</v>
      </c>
      <c r="I283" s="109"/>
    </row>
    <row r="284" spans="1:9" ht="18" customHeight="1">
      <c r="A284" s="40">
        <f t="shared" si="12"/>
        <v>282</v>
      </c>
      <c r="B284" s="40" t="s">
        <v>3</v>
      </c>
      <c r="C284" s="50">
        <v>43254</v>
      </c>
      <c r="D284" s="109" t="s">
        <v>497</v>
      </c>
      <c r="E284" s="109" t="s">
        <v>789</v>
      </c>
      <c r="F284" s="112">
        <v>5</v>
      </c>
      <c r="G284" s="112">
        <f t="shared" si="11"/>
        <v>2748</v>
      </c>
      <c r="H284" s="111" t="s">
        <v>499</v>
      </c>
      <c r="I284" s="109"/>
    </row>
    <row r="285" spans="1:9" ht="18" customHeight="1">
      <c r="A285" s="40">
        <f t="shared" si="12"/>
        <v>283</v>
      </c>
      <c r="B285" s="40" t="s">
        <v>3</v>
      </c>
      <c r="C285" s="50">
        <v>43254</v>
      </c>
      <c r="D285" s="109" t="s">
        <v>497</v>
      </c>
      <c r="E285" s="109" t="s">
        <v>790</v>
      </c>
      <c r="F285" s="112">
        <v>10</v>
      </c>
      <c r="G285" s="112">
        <f t="shared" si="11"/>
        <v>2758</v>
      </c>
      <c r="H285" s="111" t="s">
        <v>499</v>
      </c>
      <c r="I285" s="109"/>
    </row>
    <row r="286" spans="1:9" ht="18" customHeight="1">
      <c r="A286" s="40">
        <f t="shared" si="12"/>
        <v>284</v>
      </c>
      <c r="B286" s="40" t="s">
        <v>3</v>
      </c>
      <c r="C286" s="50">
        <v>43254</v>
      </c>
      <c r="D286" s="109" t="s">
        <v>497</v>
      </c>
      <c r="E286" s="109" t="s">
        <v>791</v>
      </c>
      <c r="F286" s="112">
        <v>10</v>
      </c>
      <c r="G286" s="112">
        <f t="shared" si="11"/>
        <v>2768</v>
      </c>
      <c r="H286" s="111" t="s">
        <v>499</v>
      </c>
      <c r="I286" s="109"/>
    </row>
    <row r="287" spans="1:9" ht="18" customHeight="1">
      <c r="A287" s="40">
        <f t="shared" si="12"/>
        <v>285</v>
      </c>
      <c r="B287" s="40" t="s">
        <v>3</v>
      </c>
      <c r="C287" s="50">
        <v>43254</v>
      </c>
      <c r="D287" s="109" t="s">
        <v>497</v>
      </c>
      <c r="E287" s="109" t="s">
        <v>792</v>
      </c>
      <c r="F287" s="112">
        <v>5</v>
      </c>
      <c r="G287" s="112">
        <f t="shared" si="11"/>
        <v>2773</v>
      </c>
      <c r="H287" s="111" t="s">
        <v>499</v>
      </c>
      <c r="I287" s="109"/>
    </row>
    <row r="288" spans="1:9" ht="18" customHeight="1">
      <c r="A288" s="40">
        <f t="shared" si="12"/>
        <v>286</v>
      </c>
      <c r="B288" s="40" t="s">
        <v>3</v>
      </c>
      <c r="C288" s="50">
        <v>43255</v>
      </c>
      <c r="D288" s="109" t="s">
        <v>497</v>
      </c>
      <c r="E288" s="109" t="s">
        <v>793</v>
      </c>
      <c r="F288" s="112">
        <v>5</v>
      </c>
      <c r="G288" s="112">
        <f t="shared" si="11"/>
        <v>2778</v>
      </c>
      <c r="H288" s="111" t="s">
        <v>499</v>
      </c>
      <c r="I288" s="109"/>
    </row>
    <row r="289" spans="1:9" ht="18" customHeight="1">
      <c r="A289" s="40">
        <f t="shared" si="12"/>
        <v>287</v>
      </c>
      <c r="B289" s="40" t="s">
        <v>3</v>
      </c>
      <c r="C289" s="50">
        <v>43255</v>
      </c>
      <c r="D289" s="109" t="s">
        <v>497</v>
      </c>
      <c r="E289" s="109" t="s">
        <v>794</v>
      </c>
      <c r="F289" s="112">
        <v>5</v>
      </c>
      <c r="G289" s="112">
        <f t="shared" si="11"/>
        <v>2783</v>
      </c>
      <c r="H289" s="111" t="s">
        <v>499</v>
      </c>
      <c r="I289" s="109"/>
    </row>
    <row r="290" spans="1:9" ht="18" customHeight="1">
      <c r="A290" s="40">
        <f t="shared" si="12"/>
        <v>288</v>
      </c>
      <c r="B290" s="40" t="s">
        <v>3</v>
      </c>
      <c r="C290" s="50">
        <v>43255</v>
      </c>
      <c r="D290" s="109" t="s">
        <v>504</v>
      </c>
      <c r="E290" s="109" t="s">
        <v>795</v>
      </c>
      <c r="F290" s="112">
        <v>5</v>
      </c>
      <c r="G290" s="112">
        <f t="shared" si="11"/>
        <v>2788</v>
      </c>
      <c r="H290" s="111" t="s">
        <v>499</v>
      </c>
      <c r="I290" s="109"/>
    </row>
    <row r="291" spans="1:9" ht="18" customHeight="1">
      <c r="A291" s="40">
        <f t="shared" si="12"/>
        <v>289</v>
      </c>
      <c r="B291" s="40" t="s">
        <v>3</v>
      </c>
      <c r="C291" s="50">
        <v>43255</v>
      </c>
      <c r="D291" s="109" t="s">
        <v>497</v>
      </c>
      <c r="E291" s="109" t="s">
        <v>796</v>
      </c>
      <c r="F291" s="112">
        <v>5</v>
      </c>
      <c r="G291" s="112">
        <f t="shared" si="11"/>
        <v>2793</v>
      </c>
      <c r="H291" s="111" t="s">
        <v>499</v>
      </c>
      <c r="I291" s="109"/>
    </row>
    <row r="292" spans="1:9" ht="18" customHeight="1">
      <c r="A292" s="40">
        <f t="shared" si="12"/>
        <v>290</v>
      </c>
      <c r="B292" s="40" t="s">
        <v>3</v>
      </c>
      <c r="C292" s="50">
        <v>43256</v>
      </c>
      <c r="D292" s="109" t="s">
        <v>500</v>
      </c>
      <c r="E292" s="113" t="s">
        <v>797</v>
      </c>
      <c r="F292" s="112">
        <v>30</v>
      </c>
      <c r="G292" s="112">
        <f t="shared" si="11"/>
        <v>2823</v>
      </c>
      <c r="H292" s="111" t="s">
        <v>502</v>
      </c>
      <c r="I292" s="109"/>
    </row>
    <row r="293" spans="1:9" ht="18" customHeight="1">
      <c r="A293" s="40">
        <f t="shared" si="12"/>
        <v>291</v>
      </c>
      <c r="B293" s="40" t="s">
        <v>3</v>
      </c>
      <c r="C293" s="50">
        <v>43256</v>
      </c>
      <c r="D293" s="109" t="s">
        <v>500</v>
      </c>
      <c r="E293" s="113" t="s">
        <v>798</v>
      </c>
      <c r="F293" s="112">
        <v>30</v>
      </c>
      <c r="G293" s="112">
        <f t="shared" si="11"/>
        <v>2853</v>
      </c>
      <c r="H293" s="111" t="s">
        <v>502</v>
      </c>
      <c r="I293" s="109"/>
    </row>
    <row r="294" spans="1:9" ht="18" customHeight="1">
      <c r="A294" s="40">
        <f t="shared" si="12"/>
        <v>292</v>
      </c>
      <c r="B294" s="40" t="s">
        <v>3</v>
      </c>
      <c r="C294" s="50">
        <v>43256</v>
      </c>
      <c r="D294" s="109" t="s">
        <v>500</v>
      </c>
      <c r="E294" s="113" t="s">
        <v>799</v>
      </c>
      <c r="F294" s="112">
        <v>30</v>
      </c>
      <c r="G294" s="112">
        <f t="shared" si="11"/>
        <v>2883</v>
      </c>
      <c r="H294" s="111" t="s">
        <v>502</v>
      </c>
      <c r="I294" s="109"/>
    </row>
    <row r="295" spans="1:9" ht="18" customHeight="1">
      <c r="A295" s="40">
        <f t="shared" si="12"/>
        <v>293</v>
      </c>
      <c r="B295" s="40" t="s">
        <v>3</v>
      </c>
      <c r="C295" s="50">
        <v>43258</v>
      </c>
      <c r="D295" s="109" t="s">
        <v>497</v>
      </c>
      <c r="E295" s="109" t="s">
        <v>800</v>
      </c>
      <c r="F295" s="112">
        <v>5</v>
      </c>
      <c r="G295" s="112">
        <f t="shared" si="11"/>
        <v>2888</v>
      </c>
      <c r="H295" s="111" t="s">
        <v>499</v>
      </c>
      <c r="I295" s="109"/>
    </row>
    <row r="296" spans="1:9" ht="18" customHeight="1">
      <c r="A296" s="40">
        <f t="shared" si="12"/>
        <v>294</v>
      </c>
      <c r="B296" s="40" t="s">
        <v>3</v>
      </c>
      <c r="C296" s="50">
        <v>43263</v>
      </c>
      <c r="D296" s="109" t="s">
        <v>497</v>
      </c>
      <c r="E296" s="109" t="s">
        <v>801</v>
      </c>
      <c r="F296" s="112">
        <v>5</v>
      </c>
      <c r="G296" s="112">
        <f t="shared" si="11"/>
        <v>2893</v>
      </c>
      <c r="H296" s="111" t="s">
        <v>499</v>
      </c>
      <c r="I296" s="109"/>
    </row>
    <row r="297" spans="1:9" ht="18" customHeight="1">
      <c r="A297" s="40">
        <f t="shared" si="12"/>
        <v>295</v>
      </c>
      <c r="B297" s="40" t="s">
        <v>3</v>
      </c>
      <c r="C297" s="50">
        <v>43263</v>
      </c>
      <c r="D297" s="109" t="s">
        <v>497</v>
      </c>
      <c r="E297" s="109" t="s">
        <v>802</v>
      </c>
      <c r="F297" s="112">
        <v>5</v>
      </c>
      <c r="G297" s="112">
        <f t="shared" si="11"/>
        <v>2898</v>
      </c>
      <c r="H297" s="111" t="s">
        <v>499</v>
      </c>
      <c r="I297" s="109"/>
    </row>
    <row r="298" spans="1:9" ht="18" customHeight="1">
      <c r="A298" s="40">
        <f t="shared" si="12"/>
        <v>296</v>
      </c>
      <c r="B298" s="40" t="s">
        <v>3</v>
      </c>
      <c r="C298" s="50">
        <v>43265</v>
      </c>
      <c r="D298" s="109" t="s">
        <v>518</v>
      </c>
      <c r="E298" s="113" t="s">
        <v>803</v>
      </c>
      <c r="F298" s="112">
        <v>20</v>
      </c>
      <c r="G298" s="112">
        <f t="shared" si="11"/>
        <v>2918</v>
      </c>
      <c r="H298" s="111" t="s">
        <v>506</v>
      </c>
      <c r="I298" s="109"/>
    </row>
    <row r="299" spans="1:9" ht="18" customHeight="1">
      <c r="A299" s="40">
        <f t="shared" si="12"/>
        <v>297</v>
      </c>
      <c r="B299" s="40" t="s">
        <v>3</v>
      </c>
      <c r="C299" s="50">
        <v>43265</v>
      </c>
      <c r="D299" s="109" t="s">
        <v>497</v>
      </c>
      <c r="E299" s="109" t="s">
        <v>804</v>
      </c>
      <c r="F299" s="112">
        <v>5</v>
      </c>
      <c r="G299" s="112">
        <f t="shared" si="11"/>
        <v>2923</v>
      </c>
      <c r="H299" s="111" t="s">
        <v>499</v>
      </c>
      <c r="I299" s="109"/>
    </row>
    <row r="300" spans="1:9" ht="18" customHeight="1">
      <c r="A300" s="40">
        <f t="shared" si="12"/>
        <v>298</v>
      </c>
      <c r="B300" s="40" t="s">
        <v>3</v>
      </c>
      <c r="C300" s="50">
        <v>43265</v>
      </c>
      <c r="D300" s="109" t="s">
        <v>497</v>
      </c>
      <c r="E300" s="109" t="s">
        <v>805</v>
      </c>
      <c r="F300" s="112">
        <v>5</v>
      </c>
      <c r="G300" s="112">
        <f t="shared" si="11"/>
        <v>2928</v>
      </c>
      <c r="H300" s="111" t="s">
        <v>499</v>
      </c>
      <c r="I300" s="109"/>
    </row>
    <row r="301" spans="1:9" ht="18" customHeight="1">
      <c r="A301" s="40">
        <f t="shared" si="12"/>
        <v>299</v>
      </c>
      <c r="B301" s="40" t="s">
        <v>3</v>
      </c>
      <c r="C301" s="50">
        <v>43269</v>
      </c>
      <c r="D301" s="109" t="s">
        <v>497</v>
      </c>
      <c r="E301" s="109" t="s">
        <v>756</v>
      </c>
      <c r="F301" s="112">
        <v>5</v>
      </c>
      <c r="G301" s="112">
        <f t="shared" si="11"/>
        <v>2933</v>
      </c>
      <c r="H301" s="111" t="s">
        <v>502</v>
      </c>
      <c r="I301" s="109"/>
    </row>
    <row r="302" spans="1:9" ht="18" customHeight="1">
      <c r="A302" s="40">
        <f t="shared" si="12"/>
        <v>300</v>
      </c>
      <c r="B302" s="40" t="s">
        <v>3</v>
      </c>
      <c r="C302" s="50">
        <v>43353</v>
      </c>
      <c r="D302" s="109" t="s">
        <v>500</v>
      </c>
      <c r="E302" s="109" t="s">
        <v>806</v>
      </c>
      <c r="F302" s="112">
        <v>5</v>
      </c>
      <c r="G302" s="112">
        <f t="shared" si="11"/>
        <v>2938</v>
      </c>
      <c r="H302" s="111" t="s">
        <v>807</v>
      </c>
      <c r="I302" s="109"/>
    </row>
    <row r="303" spans="1:9" ht="18" customHeight="1">
      <c r="A303" s="40">
        <f t="shared" si="12"/>
        <v>301</v>
      </c>
      <c r="B303" s="40" t="s">
        <v>3</v>
      </c>
      <c r="C303" s="50">
        <v>43438</v>
      </c>
      <c r="D303" s="109" t="s">
        <v>500</v>
      </c>
      <c r="E303" s="109" t="s">
        <v>808</v>
      </c>
      <c r="F303" s="112">
        <v>10</v>
      </c>
      <c r="G303" s="112">
        <f t="shared" si="11"/>
        <v>2948</v>
      </c>
      <c r="H303" s="111" t="s">
        <v>809</v>
      </c>
      <c r="I303" s="109"/>
    </row>
  </sheetData>
  <autoFilter ref="A2:I303" xr:uid="{00000000-0009-0000-0000-000001000000}">
    <sortState xmlns:xlrd2="http://schemas.microsoft.com/office/spreadsheetml/2017/richdata2" ref="A3:L54">
      <sortCondition ref="C2:C54"/>
    </sortState>
  </autoFilter>
  <mergeCells count="1">
    <mergeCell ref="A1:I1"/>
  </mergeCells>
  <phoneticPr fontId="5" type="noConversion"/>
  <pageMargins left="0.7" right="0.7" top="0.75" bottom="0.75" header="0.3" footer="0.3"/>
  <pageSetup paperSize="9" scale="63" orientation="portrait" r:id="rId1"/>
  <headerFooter>
    <oddHeader>&amp;R&amp;"Aptos"&amp;13&amp;K000000 [ RESTRICTED ]&amp;1#_x000D_</oddHeader>
    <oddFooter>&amp;R_x000D_&amp;1#&amp;"Aptos"&amp;5&amp;K000000 [Secure Minds, Secure Finds] 본 문서는 현대건설㈜의 정보자산이므로 무단 전제 및 복제할 수 없으며, 이를 위반할 시에는 당사 사규 및 관련 법규에 의해 제지를 받을 수 있습니다.</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DE594A-3DD2-49BC-8421-D2C55076B90A}">
  <dimension ref="A1:AE211"/>
  <sheetViews>
    <sheetView zoomScale="85" zoomScaleNormal="85" workbookViewId="0">
      <pane ySplit="6" topLeftCell="A106" activePane="bottomLeft" state="frozen"/>
      <selection activeCell="E8" sqref="E8"/>
      <selection pane="bottomLeft" activeCell="H100" sqref="H100"/>
    </sheetView>
  </sheetViews>
  <sheetFormatPr defaultColWidth="9" defaultRowHeight="13.5"/>
  <cols>
    <col min="1" max="1" width="5.25" style="4" customWidth="1"/>
    <col min="2" max="2" width="13.75" style="114" customWidth="1"/>
    <col min="3" max="3" width="16.625" style="114" bestFit="1" customWidth="1"/>
    <col min="4" max="4" width="20" style="58" customWidth="1"/>
    <col min="5" max="6" width="12.875" style="115" customWidth="1"/>
    <col min="7" max="7" width="12.875" style="116" customWidth="1"/>
    <col min="8" max="8" width="28.125" style="117" bestFit="1" customWidth="1"/>
    <col min="9" max="16384" width="9" style="107"/>
  </cols>
  <sheetData>
    <row r="1" spans="1:31" ht="33" customHeight="1">
      <c r="A1" s="523" t="s">
        <v>1695</v>
      </c>
      <c r="B1" s="523"/>
      <c r="C1" s="523"/>
      <c r="D1" s="523"/>
      <c r="E1" s="523"/>
      <c r="F1" s="523"/>
      <c r="G1" s="523"/>
      <c r="H1" s="523"/>
      <c r="I1" s="208"/>
      <c r="J1" s="208"/>
      <c r="K1" s="208"/>
      <c r="L1" s="208"/>
      <c r="M1" s="208"/>
      <c r="N1" s="208"/>
      <c r="O1" s="208"/>
      <c r="P1" s="208"/>
      <c r="Q1" s="208"/>
      <c r="R1" s="208"/>
      <c r="S1" s="208"/>
      <c r="T1" s="208"/>
      <c r="U1" s="208"/>
      <c r="V1" s="208"/>
      <c r="W1" s="208"/>
      <c r="X1" s="208"/>
      <c r="Y1" s="208"/>
      <c r="Z1" s="208"/>
      <c r="AA1" s="208"/>
      <c r="AB1" s="208"/>
      <c r="AC1" s="208"/>
      <c r="AD1" s="208"/>
      <c r="AE1" s="208"/>
    </row>
    <row r="2" spans="1:31" s="58" customFormat="1" ht="18" customHeight="1">
      <c r="A2" s="204"/>
      <c r="B2" s="205"/>
      <c r="C2" s="206"/>
      <c r="D2" s="206"/>
      <c r="E2" s="207"/>
      <c r="F2" s="215">
        <f>SUM(E7:E111)</f>
        <v>1053</v>
      </c>
      <c r="G2" s="216" t="s">
        <v>1061</v>
      </c>
      <c r="H2" s="206"/>
      <c r="I2" s="209"/>
      <c r="J2" s="209"/>
      <c r="K2" s="209"/>
      <c r="L2" s="209"/>
      <c r="M2" s="209"/>
      <c r="N2" s="209"/>
      <c r="O2" s="209"/>
      <c r="P2" s="209"/>
      <c r="Q2" s="209"/>
      <c r="R2" s="209"/>
      <c r="S2" s="209"/>
      <c r="T2" s="209"/>
      <c r="U2" s="209"/>
      <c r="V2" s="209"/>
      <c r="W2" s="209"/>
      <c r="X2" s="209"/>
      <c r="Y2" s="209"/>
      <c r="Z2" s="209"/>
      <c r="AA2" s="209"/>
      <c r="AB2" s="209"/>
      <c r="AC2" s="209"/>
      <c r="AD2" s="209"/>
      <c r="AE2" s="209"/>
    </row>
    <row r="3" spans="1:31" s="58" customFormat="1" ht="18" customHeight="1">
      <c r="A3" s="204"/>
      <c r="B3" s="205"/>
      <c r="C3" s="206"/>
      <c r="D3" s="206"/>
      <c r="E3" s="207"/>
      <c r="F3" s="148">
        <f>SUMIF($G$7:$G$111,G3,$E$7:$E$111)</f>
        <v>650</v>
      </c>
      <c r="G3" s="203" t="s">
        <v>502</v>
      </c>
      <c r="H3" s="206"/>
      <c r="I3" s="209"/>
      <c r="J3" s="209"/>
      <c r="K3" s="209"/>
      <c r="L3" s="209"/>
      <c r="M3" s="209"/>
      <c r="N3" s="209"/>
      <c r="O3" s="209"/>
      <c r="P3" s="209"/>
      <c r="Q3" s="209"/>
      <c r="R3" s="209"/>
      <c r="S3" s="209"/>
      <c r="T3" s="209"/>
      <c r="U3" s="209"/>
      <c r="V3" s="209"/>
      <c r="W3" s="209"/>
      <c r="X3" s="209"/>
      <c r="Y3" s="209"/>
      <c r="Z3" s="209"/>
      <c r="AA3" s="209"/>
      <c r="AB3" s="209"/>
      <c r="AC3" s="209"/>
      <c r="AD3" s="209"/>
      <c r="AE3" s="209"/>
    </row>
    <row r="4" spans="1:31" s="58" customFormat="1" ht="18" customHeight="1">
      <c r="A4" s="204"/>
      <c r="B4" s="205"/>
      <c r="C4" s="206"/>
      <c r="D4" s="206"/>
      <c r="E4" s="207"/>
      <c r="F4" s="148">
        <f t="shared" ref="F4:F5" si="0">SUMIF($G$7:$G$111,G4,$E$7:$E$111)</f>
        <v>388</v>
      </c>
      <c r="G4" s="203" t="s">
        <v>506</v>
      </c>
      <c r="H4" s="206"/>
      <c r="I4" s="209"/>
      <c r="J4" s="209"/>
      <c r="K4" s="209"/>
      <c r="L4" s="209"/>
      <c r="M4" s="209"/>
      <c r="N4" s="209"/>
      <c r="O4" s="209"/>
      <c r="P4" s="209"/>
      <c r="Q4" s="209"/>
      <c r="R4" s="209"/>
      <c r="S4" s="209"/>
      <c r="T4" s="209"/>
      <c r="U4" s="209"/>
      <c r="V4" s="209"/>
      <c r="W4" s="209"/>
      <c r="X4" s="209"/>
      <c r="Y4" s="209"/>
      <c r="Z4" s="209"/>
      <c r="AA4" s="209"/>
      <c r="AB4" s="209"/>
      <c r="AC4" s="209"/>
      <c r="AD4" s="209"/>
      <c r="AE4" s="209"/>
    </row>
    <row r="5" spans="1:31" s="58" customFormat="1" ht="18" customHeight="1">
      <c r="A5" s="204"/>
      <c r="B5" s="205"/>
      <c r="C5" s="206"/>
      <c r="D5" s="206"/>
      <c r="E5" s="207"/>
      <c r="F5" s="148">
        <f t="shared" si="0"/>
        <v>15</v>
      </c>
      <c r="G5" s="203" t="s">
        <v>1696</v>
      </c>
      <c r="H5" s="206"/>
      <c r="I5" s="209"/>
      <c r="J5" s="209"/>
      <c r="K5" s="209"/>
      <c r="L5" s="209"/>
      <c r="M5" s="209"/>
      <c r="N5" s="209"/>
      <c r="O5" s="209"/>
      <c r="P5" s="209"/>
      <c r="Q5" s="209"/>
      <c r="R5" s="209"/>
      <c r="S5" s="209"/>
      <c r="T5" s="209"/>
      <c r="U5" s="209"/>
      <c r="V5" s="209"/>
      <c r="W5" s="209"/>
      <c r="X5" s="209"/>
      <c r="Y5" s="209"/>
      <c r="Z5" s="209"/>
      <c r="AA5" s="209"/>
      <c r="AB5" s="209"/>
      <c r="AC5" s="209"/>
      <c r="AD5" s="209"/>
      <c r="AE5" s="209"/>
    </row>
    <row r="6" spans="1:31" s="58" customFormat="1" ht="18" customHeight="1">
      <c r="A6" s="199" t="s">
        <v>490</v>
      </c>
      <c r="B6" s="200" t="s">
        <v>492</v>
      </c>
      <c r="C6" s="201" t="s">
        <v>449</v>
      </c>
      <c r="D6" s="201" t="s">
        <v>493</v>
      </c>
      <c r="E6" s="202" t="s">
        <v>494</v>
      </c>
      <c r="F6" s="202" t="s">
        <v>495</v>
      </c>
      <c r="G6" s="203" t="s">
        <v>496</v>
      </c>
      <c r="H6" s="201" t="s">
        <v>153</v>
      </c>
      <c r="I6" s="209"/>
      <c r="J6" s="209"/>
      <c r="K6" s="209"/>
      <c r="L6" s="209"/>
      <c r="M6" s="209"/>
      <c r="N6" s="209"/>
      <c r="O6" s="209"/>
      <c r="P6" s="209"/>
      <c r="Q6" s="209"/>
      <c r="R6" s="209"/>
      <c r="S6" s="209"/>
      <c r="T6" s="209"/>
      <c r="U6" s="209"/>
      <c r="V6" s="209"/>
      <c r="W6" s="209"/>
      <c r="X6" s="209"/>
      <c r="Y6" s="209"/>
      <c r="Z6" s="209"/>
      <c r="AA6" s="209"/>
      <c r="AB6" s="209"/>
      <c r="AC6" s="209"/>
      <c r="AD6" s="209"/>
      <c r="AE6" s="209"/>
    </row>
    <row r="7" spans="1:31" s="58" customFormat="1" ht="18" customHeight="1">
      <c r="A7" s="30">
        <f>ROW()-6</f>
        <v>1</v>
      </c>
      <c r="B7" s="34">
        <v>45126</v>
      </c>
      <c r="C7" s="33" t="s">
        <v>534</v>
      </c>
      <c r="D7" s="33" t="s">
        <v>675</v>
      </c>
      <c r="E7" s="174">
        <v>10</v>
      </c>
      <c r="F7" s="174">
        <f>E7</f>
        <v>10</v>
      </c>
      <c r="G7" s="175" t="s">
        <v>506</v>
      </c>
      <c r="H7" s="33"/>
      <c r="I7" s="209"/>
      <c r="J7" s="209"/>
      <c r="K7" s="209"/>
      <c r="L7" s="209"/>
      <c r="M7" s="209"/>
      <c r="N7" s="209"/>
      <c r="O7" s="209"/>
      <c r="P7" s="209"/>
      <c r="Q7" s="209"/>
      <c r="R7" s="209"/>
      <c r="S7" s="209"/>
      <c r="T7" s="209"/>
      <c r="U7" s="209"/>
      <c r="V7" s="209"/>
      <c r="W7" s="209"/>
      <c r="X7" s="209"/>
      <c r="Y7" s="209"/>
      <c r="Z7" s="209"/>
      <c r="AA7" s="209"/>
      <c r="AB7" s="209"/>
      <c r="AC7" s="209"/>
      <c r="AD7" s="209"/>
      <c r="AE7" s="209"/>
    </row>
    <row r="8" spans="1:31" s="58" customFormat="1" ht="18" customHeight="1">
      <c r="A8" s="30">
        <f t="shared" ref="A8:A71" si="1">ROW()-6</f>
        <v>2</v>
      </c>
      <c r="B8" s="34">
        <v>45126</v>
      </c>
      <c r="C8" s="33" t="s">
        <v>497</v>
      </c>
      <c r="D8" s="33" t="s">
        <v>1747</v>
      </c>
      <c r="E8" s="174">
        <v>10</v>
      </c>
      <c r="F8" s="174">
        <f>F7+E8</f>
        <v>20</v>
      </c>
      <c r="G8" s="175" t="s">
        <v>506</v>
      </c>
      <c r="H8" s="33"/>
      <c r="I8" s="209"/>
      <c r="J8" s="209"/>
      <c r="K8" s="209"/>
      <c r="L8" s="209"/>
      <c r="M8" s="209"/>
      <c r="N8" s="209"/>
      <c r="O8" s="209"/>
      <c r="P8" s="209"/>
      <c r="Q8" s="209"/>
      <c r="R8" s="209"/>
      <c r="S8" s="209"/>
      <c r="T8" s="209"/>
      <c r="U8" s="209"/>
      <c r="V8" s="209"/>
      <c r="W8" s="209"/>
      <c r="X8" s="209"/>
      <c r="Y8" s="209"/>
      <c r="Z8" s="209"/>
      <c r="AA8" s="209"/>
      <c r="AB8" s="209"/>
      <c r="AC8" s="209"/>
      <c r="AD8" s="209"/>
      <c r="AE8" s="209"/>
    </row>
    <row r="9" spans="1:31" s="58" customFormat="1" ht="18" customHeight="1">
      <c r="A9" s="30">
        <f t="shared" si="1"/>
        <v>3</v>
      </c>
      <c r="B9" s="34">
        <v>45126</v>
      </c>
      <c r="C9" s="33" t="s">
        <v>1748</v>
      </c>
      <c r="D9" s="33" t="s">
        <v>656</v>
      </c>
      <c r="E9" s="174">
        <v>5</v>
      </c>
      <c r="F9" s="174">
        <f t="shared" ref="F9:F72" si="2">F8+E9</f>
        <v>25</v>
      </c>
      <c r="G9" s="175" t="s">
        <v>506</v>
      </c>
      <c r="H9" s="33"/>
      <c r="I9" s="209"/>
      <c r="J9" s="209"/>
      <c r="K9" s="209"/>
      <c r="L9" s="209"/>
      <c r="M9" s="209"/>
      <c r="N9" s="209"/>
      <c r="O9" s="209"/>
      <c r="P9" s="209"/>
      <c r="Q9" s="209"/>
      <c r="R9" s="209"/>
      <c r="S9" s="209"/>
      <c r="T9" s="209"/>
      <c r="U9" s="209"/>
      <c r="V9" s="209"/>
      <c r="W9" s="209"/>
      <c r="X9" s="209"/>
      <c r="Y9" s="209"/>
      <c r="Z9" s="209"/>
      <c r="AA9" s="209"/>
      <c r="AB9" s="209"/>
      <c r="AC9" s="209"/>
      <c r="AD9" s="209"/>
      <c r="AE9" s="209"/>
    </row>
    <row r="10" spans="1:31" s="58" customFormat="1" ht="18" customHeight="1">
      <c r="A10" s="30">
        <f t="shared" si="1"/>
        <v>4</v>
      </c>
      <c r="B10" s="34">
        <v>45126</v>
      </c>
      <c r="C10" s="33" t="s">
        <v>497</v>
      </c>
      <c r="D10" s="33" t="s">
        <v>583</v>
      </c>
      <c r="E10" s="174">
        <v>20</v>
      </c>
      <c r="F10" s="174">
        <f t="shared" si="2"/>
        <v>45</v>
      </c>
      <c r="G10" s="175" t="s">
        <v>506</v>
      </c>
      <c r="H10" s="33"/>
      <c r="I10" s="209"/>
      <c r="J10" s="209"/>
      <c r="K10" s="209"/>
      <c r="L10" s="209"/>
      <c r="M10" s="209"/>
      <c r="N10" s="209"/>
      <c r="O10" s="209"/>
      <c r="P10" s="209"/>
      <c r="Q10" s="209"/>
      <c r="R10" s="209"/>
      <c r="S10" s="209"/>
      <c r="T10" s="209"/>
      <c r="U10" s="209"/>
      <c r="V10" s="209"/>
      <c r="W10" s="209"/>
      <c r="X10" s="209"/>
      <c r="Y10" s="209"/>
      <c r="Z10" s="209"/>
      <c r="AA10" s="209"/>
      <c r="AB10" s="209"/>
      <c r="AC10" s="209"/>
      <c r="AD10" s="209"/>
      <c r="AE10" s="209"/>
    </row>
    <row r="11" spans="1:31" s="58" customFormat="1" ht="18" customHeight="1">
      <c r="A11" s="30">
        <f t="shared" si="1"/>
        <v>5</v>
      </c>
      <c r="B11" s="34">
        <v>45126</v>
      </c>
      <c r="C11" s="33" t="s">
        <v>497</v>
      </c>
      <c r="D11" s="33" t="s">
        <v>644</v>
      </c>
      <c r="E11" s="174">
        <v>5</v>
      </c>
      <c r="F11" s="174">
        <f t="shared" si="2"/>
        <v>50</v>
      </c>
      <c r="G11" s="175" t="s">
        <v>506</v>
      </c>
      <c r="H11" s="33"/>
      <c r="I11" s="209"/>
      <c r="J11" s="209"/>
      <c r="K11" s="209"/>
      <c r="L11" s="209"/>
      <c r="M11" s="209"/>
      <c r="N11" s="209"/>
      <c r="O11" s="209"/>
      <c r="P11" s="209"/>
      <c r="Q11" s="209"/>
      <c r="R11" s="209"/>
      <c r="S11" s="209"/>
      <c r="T11" s="209"/>
      <c r="U11" s="209"/>
      <c r="V11" s="209"/>
      <c r="W11" s="209"/>
      <c r="X11" s="209"/>
      <c r="Y11" s="209"/>
      <c r="Z11" s="209"/>
      <c r="AA11" s="209"/>
      <c r="AB11" s="209"/>
      <c r="AC11" s="209"/>
      <c r="AD11" s="209"/>
      <c r="AE11" s="209"/>
    </row>
    <row r="12" spans="1:31" s="58" customFormat="1" ht="18" customHeight="1">
      <c r="A12" s="30">
        <f t="shared" si="1"/>
        <v>6</v>
      </c>
      <c r="B12" s="34">
        <v>45126</v>
      </c>
      <c r="C12" s="33" t="s">
        <v>497</v>
      </c>
      <c r="D12" s="33" t="s">
        <v>1749</v>
      </c>
      <c r="E12" s="174">
        <v>10</v>
      </c>
      <c r="F12" s="174">
        <f t="shared" si="2"/>
        <v>60</v>
      </c>
      <c r="G12" s="175" t="s">
        <v>506</v>
      </c>
      <c r="H12" s="33"/>
      <c r="I12" s="209"/>
      <c r="J12" s="209"/>
      <c r="K12" s="209"/>
      <c r="L12" s="209"/>
      <c r="M12" s="209"/>
      <c r="N12" s="209"/>
      <c r="O12" s="209"/>
      <c r="P12" s="209"/>
      <c r="Q12" s="209"/>
      <c r="R12" s="209"/>
      <c r="S12" s="209"/>
      <c r="T12" s="209"/>
      <c r="U12" s="209"/>
      <c r="V12" s="209"/>
      <c r="W12" s="209"/>
      <c r="X12" s="209"/>
      <c r="Y12" s="209"/>
      <c r="Z12" s="209"/>
      <c r="AA12" s="209"/>
      <c r="AB12" s="209"/>
      <c r="AC12" s="209"/>
      <c r="AD12" s="209"/>
      <c r="AE12" s="209"/>
    </row>
    <row r="13" spans="1:31" s="58" customFormat="1" ht="18" customHeight="1">
      <c r="A13" s="30">
        <f t="shared" si="1"/>
        <v>7</v>
      </c>
      <c r="B13" s="34">
        <v>45126</v>
      </c>
      <c r="C13" s="33" t="s">
        <v>497</v>
      </c>
      <c r="D13" s="33" t="s">
        <v>1750</v>
      </c>
      <c r="E13" s="174">
        <v>10</v>
      </c>
      <c r="F13" s="174">
        <f t="shared" si="2"/>
        <v>70</v>
      </c>
      <c r="G13" s="175" t="s">
        <v>506</v>
      </c>
      <c r="H13" s="33"/>
      <c r="I13" s="209"/>
      <c r="J13" s="209"/>
      <c r="K13" s="209"/>
      <c r="L13" s="209"/>
      <c r="M13" s="209"/>
      <c r="N13" s="209"/>
      <c r="O13" s="209"/>
      <c r="P13" s="209"/>
      <c r="Q13" s="209"/>
      <c r="R13" s="209"/>
      <c r="S13" s="209"/>
      <c r="T13" s="209"/>
      <c r="U13" s="209"/>
      <c r="V13" s="209"/>
      <c r="W13" s="209"/>
      <c r="X13" s="209"/>
      <c r="Y13" s="209"/>
      <c r="Z13" s="209"/>
      <c r="AA13" s="209"/>
      <c r="AB13" s="209"/>
      <c r="AC13" s="209"/>
      <c r="AD13" s="209"/>
      <c r="AE13" s="209"/>
    </row>
    <row r="14" spans="1:31" s="58" customFormat="1" ht="18" customHeight="1">
      <c r="A14" s="30">
        <f t="shared" si="1"/>
        <v>8</v>
      </c>
      <c r="B14" s="34">
        <v>45126</v>
      </c>
      <c r="C14" s="33" t="s">
        <v>497</v>
      </c>
      <c r="D14" s="33" t="s">
        <v>1751</v>
      </c>
      <c r="E14" s="174">
        <v>5</v>
      </c>
      <c r="F14" s="174">
        <f t="shared" si="2"/>
        <v>75</v>
      </c>
      <c r="G14" s="175" t="s">
        <v>506</v>
      </c>
      <c r="H14" s="33"/>
      <c r="I14" s="209"/>
      <c r="J14" s="209"/>
      <c r="K14" s="209"/>
      <c r="L14" s="209"/>
      <c r="M14" s="209"/>
      <c r="N14" s="209"/>
      <c r="O14" s="209"/>
      <c r="P14" s="209"/>
      <c r="Q14" s="209"/>
      <c r="R14" s="209"/>
      <c r="S14" s="209"/>
      <c r="T14" s="209"/>
      <c r="U14" s="209"/>
      <c r="V14" s="209"/>
      <c r="W14" s="209"/>
      <c r="X14" s="209"/>
      <c r="Y14" s="209"/>
      <c r="Z14" s="209"/>
      <c r="AA14" s="209"/>
      <c r="AB14" s="209"/>
      <c r="AC14" s="209"/>
      <c r="AD14" s="209"/>
      <c r="AE14" s="209"/>
    </row>
    <row r="15" spans="1:31" s="58" customFormat="1" ht="18" customHeight="1">
      <c r="A15" s="30">
        <f t="shared" si="1"/>
        <v>9</v>
      </c>
      <c r="B15" s="34">
        <v>45126</v>
      </c>
      <c r="C15" s="33" t="s">
        <v>534</v>
      </c>
      <c r="D15" s="33" t="s">
        <v>674</v>
      </c>
      <c r="E15" s="174">
        <v>5</v>
      </c>
      <c r="F15" s="174">
        <f t="shared" si="2"/>
        <v>80</v>
      </c>
      <c r="G15" s="175" t="s">
        <v>506</v>
      </c>
      <c r="H15" s="33"/>
      <c r="I15" s="209"/>
      <c r="J15" s="209"/>
      <c r="K15" s="209"/>
      <c r="L15" s="209"/>
      <c r="M15" s="209"/>
      <c r="N15" s="209"/>
      <c r="O15" s="209"/>
      <c r="P15" s="209"/>
      <c r="Q15" s="209"/>
      <c r="R15" s="209"/>
      <c r="S15" s="209"/>
      <c r="T15" s="209"/>
      <c r="U15" s="209"/>
      <c r="V15" s="209"/>
      <c r="W15" s="209"/>
      <c r="X15" s="209"/>
      <c r="Y15" s="209"/>
      <c r="Z15" s="209"/>
      <c r="AA15" s="209"/>
      <c r="AB15" s="209"/>
      <c r="AC15" s="209"/>
      <c r="AD15" s="209"/>
      <c r="AE15" s="209"/>
    </row>
    <row r="16" spans="1:31" s="58" customFormat="1" ht="18" customHeight="1">
      <c r="A16" s="30">
        <f t="shared" si="1"/>
        <v>10</v>
      </c>
      <c r="B16" s="34">
        <v>45126</v>
      </c>
      <c r="C16" s="33" t="s">
        <v>534</v>
      </c>
      <c r="D16" s="33" t="s">
        <v>1752</v>
      </c>
      <c r="E16" s="174">
        <v>10</v>
      </c>
      <c r="F16" s="174">
        <f t="shared" si="2"/>
        <v>90</v>
      </c>
      <c r="G16" s="175" t="s">
        <v>506</v>
      </c>
      <c r="H16" s="33"/>
      <c r="I16" s="209"/>
      <c r="J16" s="209"/>
      <c r="K16" s="209"/>
      <c r="L16" s="209"/>
      <c r="M16" s="209"/>
      <c r="N16" s="209"/>
      <c r="O16" s="209"/>
      <c r="P16" s="209"/>
      <c r="Q16" s="209"/>
      <c r="R16" s="209"/>
      <c r="S16" s="209"/>
      <c r="T16" s="209"/>
      <c r="U16" s="209"/>
      <c r="V16" s="209"/>
      <c r="W16" s="209"/>
      <c r="X16" s="209"/>
      <c r="Y16" s="209"/>
      <c r="Z16" s="209"/>
      <c r="AA16" s="209"/>
      <c r="AB16" s="209"/>
      <c r="AC16" s="209"/>
      <c r="AD16" s="209"/>
      <c r="AE16" s="209"/>
    </row>
    <row r="17" spans="1:31" s="58" customFormat="1" ht="18" customHeight="1">
      <c r="A17" s="30">
        <f t="shared" si="1"/>
        <v>11</v>
      </c>
      <c r="B17" s="34">
        <v>45126</v>
      </c>
      <c r="C17" s="33" t="s">
        <v>497</v>
      </c>
      <c r="D17" s="33" t="s">
        <v>1753</v>
      </c>
      <c r="E17" s="174">
        <v>5</v>
      </c>
      <c r="F17" s="174">
        <f t="shared" si="2"/>
        <v>95</v>
      </c>
      <c r="G17" s="175" t="s">
        <v>506</v>
      </c>
      <c r="H17" s="33"/>
      <c r="I17" s="209"/>
      <c r="J17" s="209"/>
      <c r="K17" s="209"/>
      <c r="L17" s="209"/>
      <c r="M17" s="209"/>
      <c r="N17" s="209"/>
      <c r="O17" s="209"/>
      <c r="P17" s="209"/>
      <c r="Q17" s="209"/>
      <c r="R17" s="209"/>
      <c r="S17" s="209"/>
      <c r="T17" s="209"/>
      <c r="U17" s="209"/>
      <c r="V17" s="209"/>
      <c r="W17" s="209"/>
      <c r="X17" s="209"/>
      <c r="Y17" s="209"/>
      <c r="Z17" s="209"/>
      <c r="AA17" s="209"/>
      <c r="AB17" s="209"/>
      <c r="AC17" s="209"/>
      <c r="AD17" s="209"/>
      <c r="AE17" s="209"/>
    </row>
    <row r="18" spans="1:31" s="58" customFormat="1" ht="18" customHeight="1">
      <c r="A18" s="30">
        <f t="shared" si="1"/>
        <v>12</v>
      </c>
      <c r="B18" s="34">
        <v>45126</v>
      </c>
      <c r="C18" s="33" t="s">
        <v>497</v>
      </c>
      <c r="D18" s="33" t="s">
        <v>1754</v>
      </c>
      <c r="E18" s="174">
        <v>5</v>
      </c>
      <c r="F18" s="174">
        <f t="shared" si="2"/>
        <v>100</v>
      </c>
      <c r="G18" s="175" t="s">
        <v>506</v>
      </c>
      <c r="H18" s="33"/>
      <c r="I18" s="209"/>
      <c r="J18" s="209"/>
      <c r="K18" s="209"/>
      <c r="L18" s="209"/>
      <c r="M18" s="209"/>
      <c r="N18" s="209"/>
      <c r="O18" s="209"/>
      <c r="P18" s="209"/>
      <c r="Q18" s="209"/>
      <c r="R18" s="209"/>
      <c r="S18" s="209"/>
      <c r="T18" s="209"/>
      <c r="U18" s="209"/>
      <c r="V18" s="209"/>
      <c r="W18" s="209"/>
      <c r="X18" s="209"/>
      <c r="Y18" s="209"/>
      <c r="Z18" s="209"/>
      <c r="AA18" s="209"/>
      <c r="AB18" s="209"/>
      <c r="AC18" s="209"/>
      <c r="AD18" s="209"/>
      <c r="AE18" s="209"/>
    </row>
    <row r="19" spans="1:31" s="58" customFormat="1" ht="18" customHeight="1">
      <c r="A19" s="30">
        <f t="shared" si="1"/>
        <v>13</v>
      </c>
      <c r="B19" s="34">
        <v>45126</v>
      </c>
      <c r="C19" s="33" t="s">
        <v>497</v>
      </c>
      <c r="D19" s="33" t="s">
        <v>1755</v>
      </c>
      <c r="E19" s="174">
        <v>5</v>
      </c>
      <c r="F19" s="174">
        <f t="shared" si="2"/>
        <v>105</v>
      </c>
      <c r="G19" s="175" t="s">
        <v>506</v>
      </c>
      <c r="H19" s="33"/>
      <c r="I19" s="209"/>
      <c r="J19" s="209"/>
      <c r="K19" s="209"/>
      <c r="L19" s="209"/>
      <c r="M19" s="209"/>
      <c r="N19" s="209"/>
      <c r="O19" s="209"/>
      <c r="P19" s="209"/>
      <c r="Q19" s="209"/>
      <c r="R19" s="209"/>
      <c r="S19" s="209"/>
      <c r="T19" s="209"/>
      <c r="U19" s="209"/>
      <c r="V19" s="209"/>
      <c r="W19" s="209"/>
      <c r="X19" s="209"/>
      <c r="Y19" s="209"/>
      <c r="Z19" s="209"/>
      <c r="AA19" s="209"/>
      <c r="AB19" s="209"/>
      <c r="AC19" s="209"/>
      <c r="AD19" s="209"/>
      <c r="AE19" s="209"/>
    </row>
    <row r="20" spans="1:31" s="58" customFormat="1" ht="18" customHeight="1">
      <c r="A20" s="30">
        <f t="shared" si="1"/>
        <v>14</v>
      </c>
      <c r="B20" s="34">
        <v>45126</v>
      </c>
      <c r="C20" s="33" t="s">
        <v>497</v>
      </c>
      <c r="D20" s="33" t="s">
        <v>1756</v>
      </c>
      <c r="E20" s="174">
        <v>5</v>
      </c>
      <c r="F20" s="174">
        <f t="shared" si="2"/>
        <v>110</v>
      </c>
      <c r="G20" s="175" t="s">
        <v>506</v>
      </c>
      <c r="H20" s="33"/>
      <c r="I20" s="209"/>
      <c r="J20" s="209"/>
      <c r="K20" s="209"/>
      <c r="L20" s="209"/>
      <c r="M20" s="209"/>
      <c r="N20" s="209"/>
      <c r="O20" s="209"/>
      <c r="P20" s="209"/>
      <c r="Q20" s="209"/>
      <c r="R20" s="209"/>
      <c r="S20" s="209"/>
      <c r="T20" s="209"/>
      <c r="U20" s="209"/>
      <c r="V20" s="209"/>
      <c r="W20" s="209"/>
      <c r="X20" s="209"/>
      <c r="Y20" s="209"/>
      <c r="Z20" s="209"/>
      <c r="AA20" s="209"/>
      <c r="AB20" s="209"/>
      <c r="AC20" s="209"/>
      <c r="AD20" s="209"/>
      <c r="AE20" s="209"/>
    </row>
    <row r="21" spans="1:31" s="58" customFormat="1" ht="18" customHeight="1">
      <c r="A21" s="30">
        <f t="shared" si="1"/>
        <v>15</v>
      </c>
      <c r="B21" s="34">
        <v>45126</v>
      </c>
      <c r="C21" s="33" t="s">
        <v>497</v>
      </c>
      <c r="D21" s="33" t="s">
        <v>1757</v>
      </c>
      <c r="E21" s="174">
        <v>15</v>
      </c>
      <c r="F21" s="174">
        <f t="shared" si="2"/>
        <v>125</v>
      </c>
      <c r="G21" s="175" t="s">
        <v>506</v>
      </c>
      <c r="H21" s="33"/>
      <c r="I21" s="209"/>
      <c r="J21" s="209"/>
      <c r="K21" s="209"/>
      <c r="L21" s="209"/>
      <c r="M21" s="209"/>
      <c r="N21" s="209"/>
      <c r="O21" s="209"/>
      <c r="P21" s="209"/>
      <c r="Q21" s="209"/>
      <c r="R21" s="209"/>
      <c r="S21" s="209"/>
      <c r="T21" s="209"/>
      <c r="U21" s="209"/>
      <c r="V21" s="209"/>
      <c r="W21" s="209"/>
      <c r="X21" s="209"/>
      <c r="Y21" s="209"/>
      <c r="Z21" s="209"/>
      <c r="AA21" s="209"/>
      <c r="AB21" s="209"/>
      <c r="AC21" s="209"/>
      <c r="AD21" s="209"/>
      <c r="AE21" s="209"/>
    </row>
    <row r="22" spans="1:31" s="58" customFormat="1" ht="18" customHeight="1">
      <c r="A22" s="30">
        <f t="shared" si="1"/>
        <v>16</v>
      </c>
      <c r="B22" s="34">
        <v>45127</v>
      </c>
      <c r="C22" s="33" t="s">
        <v>497</v>
      </c>
      <c r="D22" s="33" t="s">
        <v>1722</v>
      </c>
      <c r="E22" s="174">
        <v>5</v>
      </c>
      <c r="F22" s="174">
        <f t="shared" si="2"/>
        <v>130</v>
      </c>
      <c r="G22" s="175" t="s">
        <v>1696</v>
      </c>
      <c r="H22" s="33"/>
      <c r="I22" s="209"/>
      <c r="J22" s="209"/>
      <c r="K22" s="209"/>
      <c r="L22" s="209"/>
      <c r="M22" s="209"/>
      <c r="N22" s="209"/>
      <c r="O22" s="209"/>
      <c r="P22" s="209"/>
      <c r="Q22" s="209"/>
      <c r="R22" s="209"/>
      <c r="S22" s="209"/>
      <c r="T22" s="209"/>
      <c r="U22" s="209"/>
      <c r="V22" s="209"/>
      <c r="W22" s="209"/>
      <c r="X22" s="209"/>
      <c r="Y22" s="209"/>
      <c r="Z22" s="209"/>
      <c r="AA22" s="209"/>
      <c r="AB22" s="209"/>
      <c r="AC22" s="209"/>
      <c r="AD22" s="209"/>
      <c r="AE22" s="209"/>
    </row>
    <row r="23" spans="1:31" s="58" customFormat="1" ht="18" customHeight="1">
      <c r="A23" s="30">
        <f t="shared" si="1"/>
        <v>17</v>
      </c>
      <c r="B23" s="34">
        <v>45127</v>
      </c>
      <c r="C23" s="33" t="s">
        <v>497</v>
      </c>
      <c r="D23" s="33" t="s">
        <v>1728</v>
      </c>
      <c r="E23" s="174">
        <v>5</v>
      </c>
      <c r="F23" s="174">
        <f t="shared" si="2"/>
        <v>135</v>
      </c>
      <c r="G23" s="175" t="s">
        <v>506</v>
      </c>
      <c r="H23" s="33"/>
      <c r="I23" s="209"/>
      <c r="J23" s="209"/>
      <c r="K23" s="209"/>
      <c r="L23" s="209"/>
      <c r="M23" s="209"/>
      <c r="N23" s="209"/>
      <c r="O23" s="209"/>
      <c r="P23" s="209"/>
      <c r="Q23" s="209"/>
      <c r="R23" s="209"/>
      <c r="S23" s="209"/>
      <c r="T23" s="209"/>
      <c r="U23" s="209"/>
      <c r="V23" s="209"/>
      <c r="W23" s="209"/>
      <c r="X23" s="209"/>
      <c r="Y23" s="209"/>
      <c r="Z23" s="209"/>
      <c r="AA23" s="209"/>
      <c r="AB23" s="209"/>
      <c r="AC23" s="209"/>
      <c r="AD23" s="209"/>
      <c r="AE23" s="209"/>
    </row>
    <row r="24" spans="1:31" s="58" customFormat="1" ht="18" customHeight="1">
      <c r="A24" s="30">
        <f t="shared" si="1"/>
        <v>18</v>
      </c>
      <c r="B24" s="34">
        <v>45127</v>
      </c>
      <c r="C24" s="33" t="s">
        <v>497</v>
      </c>
      <c r="D24" s="33" t="s">
        <v>1729</v>
      </c>
      <c r="E24" s="174">
        <v>10</v>
      </c>
      <c r="F24" s="174">
        <f t="shared" si="2"/>
        <v>145</v>
      </c>
      <c r="G24" s="175" t="s">
        <v>506</v>
      </c>
      <c r="H24" s="33"/>
      <c r="I24" s="209"/>
      <c r="J24" s="209"/>
      <c r="K24" s="209"/>
      <c r="L24" s="209"/>
      <c r="M24" s="209"/>
      <c r="N24" s="209"/>
      <c r="O24" s="209"/>
      <c r="P24" s="209"/>
      <c r="Q24" s="209"/>
      <c r="R24" s="209"/>
      <c r="S24" s="209"/>
      <c r="T24" s="209"/>
      <c r="U24" s="209"/>
      <c r="V24" s="209"/>
      <c r="W24" s="209"/>
      <c r="X24" s="209"/>
      <c r="Y24" s="209"/>
      <c r="Z24" s="209"/>
      <c r="AA24" s="209"/>
      <c r="AB24" s="209"/>
      <c r="AC24" s="209"/>
      <c r="AD24" s="209"/>
      <c r="AE24" s="209"/>
    </row>
    <row r="25" spans="1:31" s="58" customFormat="1" ht="18" customHeight="1">
      <c r="A25" s="30">
        <f t="shared" si="1"/>
        <v>19</v>
      </c>
      <c r="B25" s="34">
        <v>45127</v>
      </c>
      <c r="C25" s="33" t="s">
        <v>500</v>
      </c>
      <c r="D25" s="33" t="s">
        <v>660</v>
      </c>
      <c r="E25" s="174">
        <v>10</v>
      </c>
      <c r="F25" s="174">
        <f t="shared" si="2"/>
        <v>155</v>
      </c>
      <c r="G25" s="175" t="s">
        <v>506</v>
      </c>
      <c r="H25" s="33"/>
      <c r="I25" s="209"/>
      <c r="J25" s="209"/>
      <c r="K25" s="209"/>
      <c r="L25" s="209"/>
      <c r="M25" s="209"/>
      <c r="N25" s="209"/>
      <c r="O25" s="209"/>
      <c r="P25" s="209"/>
      <c r="Q25" s="209"/>
      <c r="R25" s="209"/>
      <c r="S25" s="209"/>
      <c r="T25" s="209"/>
      <c r="U25" s="209"/>
      <c r="V25" s="209"/>
      <c r="W25" s="209"/>
      <c r="X25" s="209"/>
      <c r="Y25" s="209"/>
      <c r="Z25" s="209"/>
      <c r="AA25" s="209"/>
      <c r="AB25" s="209"/>
      <c r="AC25" s="209"/>
      <c r="AD25" s="209"/>
      <c r="AE25" s="209"/>
    </row>
    <row r="26" spans="1:31" s="58" customFormat="1" ht="18" customHeight="1">
      <c r="A26" s="30">
        <f t="shared" si="1"/>
        <v>20</v>
      </c>
      <c r="B26" s="34">
        <v>45127</v>
      </c>
      <c r="C26" s="33" t="s">
        <v>497</v>
      </c>
      <c r="D26" s="33" t="s">
        <v>1730</v>
      </c>
      <c r="E26" s="174">
        <v>5</v>
      </c>
      <c r="F26" s="174">
        <f t="shared" si="2"/>
        <v>160</v>
      </c>
      <c r="G26" s="175" t="s">
        <v>506</v>
      </c>
      <c r="H26" s="33"/>
      <c r="I26" s="209"/>
      <c r="J26" s="209"/>
      <c r="K26" s="209"/>
      <c r="L26" s="209"/>
      <c r="M26" s="209"/>
      <c r="N26" s="209"/>
      <c r="O26" s="209"/>
      <c r="P26" s="209"/>
      <c r="Q26" s="209"/>
      <c r="R26" s="209"/>
      <c r="S26" s="209"/>
      <c r="T26" s="209"/>
      <c r="U26" s="209"/>
      <c r="V26" s="209"/>
      <c r="W26" s="209"/>
      <c r="X26" s="209"/>
      <c r="Y26" s="209"/>
      <c r="Z26" s="209"/>
      <c r="AA26" s="209"/>
      <c r="AB26" s="209"/>
      <c r="AC26" s="209"/>
      <c r="AD26" s="209"/>
      <c r="AE26" s="209"/>
    </row>
    <row r="27" spans="1:31" s="58" customFormat="1" ht="18" customHeight="1">
      <c r="A27" s="30">
        <f t="shared" si="1"/>
        <v>21</v>
      </c>
      <c r="B27" s="34">
        <v>45127</v>
      </c>
      <c r="C27" s="33" t="s">
        <v>504</v>
      </c>
      <c r="D27" s="33" t="s">
        <v>505</v>
      </c>
      <c r="E27" s="174">
        <v>20</v>
      </c>
      <c r="F27" s="174">
        <f t="shared" si="2"/>
        <v>180</v>
      </c>
      <c r="G27" s="175" t="s">
        <v>506</v>
      </c>
      <c r="H27" s="33"/>
      <c r="I27" s="209"/>
      <c r="J27" s="209"/>
      <c r="K27" s="209"/>
      <c r="L27" s="209"/>
      <c r="M27" s="209"/>
      <c r="N27" s="209"/>
      <c r="O27" s="209"/>
      <c r="P27" s="209"/>
      <c r="Q27" s="209"/>
      <c r="R27" s="209"/>
      <c r="S27" s="209"/>
      <c r="T27" s="209"/>
      <c r="U27" s="209"/>
      <c r="V27" s="209"/>
      <c r="W27" s="209"/>
      <c r="X27" s="209"/>
      <c r="Y27" s="209"/>
      <c r="Z27" s="209"/>
      <c r="AA27" s="209"/>
      <c r="AB27" s="209"/>
      <c r="AC27" s="209"/>
      <c r="AD27" s="209"/>
      <c r="AE27" s="209"/>
    </row>
    <row r="28" spans="1:31" s="58" customFormat="1" ht="18" customHeight="1">
      <c r="A28" s="30">
        <f t="shared" si="1"/>
        <v>22</v>
      </c>
      <c r="B28" s="34">
        <v>45127</v>
      </c>
      <c r="C28" s="33" t="s">
        <v>497</v>
      </c>
      <c r="D28" s="33" t="s">
        <v>1731</v>
      </c>
      <c r="E28" s="174">
        <v>5</v>
      </c>
      <c r="F28" s="174">
        <f t="shared" si="2"/>
        <v>185</v>
      </c>
      <c r="G28" s="175" t="s">
        <v>506</v>
      </c>
      <c r="H28" s="33"/>
      <c r="I28" s="209"/>
      <c r="J28" s="209"/>
      <c r="K28" s="209"/>
      <c r="L28" s="209"/>
      <c r="M28" s="209"/>
      <c r="N28" s="209"/>
      <c r="O28" s="209"/>
      <c r="P28" s="209"/>
      <c r="Q28" s="209"/>
      <c r="R28" s="209"/>
      <c r="S28" s="209"/>
      <c r="T28" s="209"/>
      <c r="U28" s="209"/>
      <c r="V28" s="209"/>
      <c r="W28" s="209"/>
      <c r="X28" s="209"/>
      <c r="Y28" s="209"/>
      <c r="Z28" s="209"/>
      <c r="AA28" s="209"/>
      <c r="AB28" s="209"/>
      <c r="AC28" s="209"/>
      <c r="AD28" s="209"/>
      <c r="AE28" s="209"/>
    </row>
    <row r="29" spans="1:31" s="58" customFormat="1" ht="18" customHeight="1">
      <c r="A29" s="30">
        <f t="shared" si="1"/>
        <v>23</v>
      </c>
      <c r="B29" s="34">
        <v>45127</v>
      </c>
      <c r="C29" s="33" t="s">
        <v>497</v>
      </c>
      <c r="D29" s="33" t="s">
        <v>791</v>
      </c>
      <c r="E29" s="174">
        <v>5</v>
      </c>
      <c r="F29" s="174">
        <f t="shared" si="2"/>
        <v>190</v>
      </c>
      <c r="G29" s="175" t="s">
        <v>506</v>
      </c>
      <c r="H29" s="33"/>
      <c r="I29" s="209"/>
      <c r="J29" s="209"/>
      <c r="K29" s="209"/>
      <c r="L29" s="209"/>
      <c r="M29" s="209"/>
      <c r="N29" s="209"/>
      <c r="O29" s="209"/>
      <c r="P29" s="209"/>
      <c r="Q29" s="209"/>
      <c r="R29" s="209"/>
      <c r="S29" s="209"/>
      <c r="T29" s="209"/>
      <c r="U29" s="209"/>
      <c r="V29" s="209"/>
      <c r="W29" s="209"/>
      <c r="X29" s="209"/>
      <c r="Y29" s="209"/>
      <c r="Z29" s="209"/>
      <c r="AA29" s="209"/>
      <c r="AB29" s="209"/>
      <c r="AC29" s="209"/>
      <c r="AD29" s="209"/>
      <c r="AE29" s="209"/>
    </row>
    <row r="30" spans="1:31" s="58" customFormat="1" ht="18" customHeight="1">
      <c r="A30" s="30">
        <f t="shared" si="1"/>
        <v>24</v>
      </c>
      <c r="B30" s="34">
        <v>45127</v>
      </c>
      <c r="C30" s="33" t="s">
        <v>497</v>
      </c>
      <c r="D30" s="33" t="s">
        <v>1732</v>
      </c>
      <c r="E30" s="174">
        <v>5</v>
      </c>
      <c r="F30" s="174">
        <f t="shared" si="2"/>
        <v>195</v>
      </c>
      <c r="G30" s="175" t="s">
        <v>506</v>
      </c>
      <c r="H30" s="33"/>
      <c r="I30" s="209"/>
      <c r="J30" s="209"/>
      <c r="K30" s="209"/>
      <c r="L30" s="209"/>
      <c r="M30" s="209"/>
      <c r="N30" s="209"/>
      <c r="O30" s="209"/>
      <c r="P30" s="209"/>
      <c r="Q30" s="209"/>
      <c r="R30" s="209"/>
      <c r="S30" s="209"/>
      <c r="T30" s="209"/>
      <c r="U30" s="209"/>
      <c r="V30" s="209"/>
      <c r="W30" s="209"/>
      <c r="X30" s="209"/>
      <c r="Y30" s="209"/>
      <c r="Z30" s="209"/>
      <c r="AA30" s="209"/>
      <c r="AB30" s="209"/>
      <c r="AC30" s="209"/>
      <c r="AD30" s="209"/>
      <c r="AE30" s="209"/>
    </row>
    <row r="31" spans="1:31" s="58" customFormat="1" ht="18" customHeight="1">
      <c r="A31" s="30">
        <f t="shared" si="1"/>
        <v>25</v>
      </c>
      <c r="B31" s="34">
        <v>45127</v>
      </c>
      <c r="C31" s="33" t="s">
        <v>497</v>
      </c>
      <c r="D31" s="33" t="s">
        <v>1733</v>
      </c>
      <c r="E31" s="174">
        <v>10</v>
      </c>
      <c r="F31" s="174">
        <f t="shared" si="2"/>
        <v>205</v>
      </c>
      <c r="G31" s="175" t="s">
        <v>506</v>
      </c>
      <c r="H31" s="33"/>
      <c r="I31" s="209"/>
      <c r="J31" s="209"/>
      <c r="K31" s="209"/>
      <c r="L31" s="209"/>
      <c r="M31" s="209"/>
      <c r="N31" s="209"/>
      <c r="O31" s="209"/>
      <c r="P31" s="209"/>
      <c r="Q31" s="209"/>
      <c r="R31" s="209"/>
      <c r="S31" s="209"/>
      <c r="T31" s="209"/>
      <c r="U31" s="209"/>
      <c r="V31" s="209"/>
      <c r="W31" s="209"/>
      <c r="X31" s="209"/>
      <c r="Y31" s="209"/>
      <c r="Z31" s="209"/>
      <c r="AA31" s="209"/>
      <c r="AB31" s="209"/>
      <c r="AC31" s="209"/>
      <c r="AD31" s="209"/>
      <c r="AE31" s="209"/>
    </row>
    <row r="32" spans="1:31" s="58" customFormat="1" ht="18" customHeight="1">
      <c r="A32" s="30">
        <f t="shared" si="1"/>
        <v>26</v>
      </c>
      <c r="B32" s="34">
        <v>45127</v>
      </c>
      <c r="C32" s="33" t="s">
        <v>497</v>
      </c>
      <c r="D32" s="33" t="s">
        <v>1734</v>
      </c>
      <c r="E32" s="174">
        <v>10</v>
      </c>
      <c r="F32" s="174">
        <f t="shared" si="2"/>
        <v>215</v>
      </c>
      <c r="G32" s="175" t="s">
        <v>506</v>
      </c>
      <c r="H32" s="33"/>
      <c r="I32" s="209"/>
      <c r="J32" s="209"/>
      <c r="K32" s="209"/>
      <c r="L32" s="209"/>
      <c r="M32" s="209"/>
      <c r="N32" s="209"/>
      <c r="O32" s="209"/>
      <c r="P32" s="209"/>
      <c r="Q32" s="209"/>
      <c r="R32" s="209"/>
      <c r="S32" s="209"/>
      <c r="T32" s="209"/>
      <c r="U32" s="209"/>
      <c r="V32" s="209"/>
      <c r="W32" s="209"/>
      <c r="X32" s="209"/>
      <c r="Y32" s="209"/>
      <c r="Z32" s="209"/>
      <c r="AA32" s="209"/>
      <c r="AB32" s="209"/>
      <c r="AC32" s="209"/>
      <c r="AD32" s="209"/>
      <c r="AE32" s="209"/>
    </row>
    <row r="33" spans="1:31" s="58" customFormat="1" ht="18" customHeight="1">
      <c r="A33" s="30">
        <f t="shared" si="1"/>
        <v>27</v>
      </c>
      <c r="B33" s="34">
        <v>45127</v>
      </c>
      <c r="C33" s="33" t="s">
        <v>497</v>
      </c>
      <c r="D33" s="33" t="s">
        <v>1735</v>
      </c>
      <c r="E33" s="174">
        <v>5</v>
      </c>
      <c r="F33" s="174">
        <f t="shared" si="2"/>
        <v>220</v>
      </c>
      <c r="G33" s="175" t="s">
        <v>506</v>
      </c>
      <c r="H33" s="33"/>
      <c r="I33" s="209"/>
      <c r="J33" s="209"/>
      <c r="K33" s="209"/>
      <c r="L33" s="209"/>
      <c r="M33" s="209"/>
      <c r="N33" s="209"/>
      <c r="O33" s="209"/>
      <c r="P33" s="209"/>
      <c r="Q33" s="209"/>
      <c r="R33" s="209"/>
      <c r="S33" s="209"/>
      <c r="T33" s="209"/>
      <c r="U33" s="209"/>
      <c r="V33" s="209"/>
      <c r="W33" s="209"/>
      <c r="X33" s="209"/>
      <c r="Y33" s="209"/>
      <c r="Z33" s="209"/>
      <c r="AA33" s="209"/>
      <c r="AB33" s="209"/>
      <c r="AC33" s="209"/>
      <c r="AD33" s="209"/>
      <c r="AE33" s="209"/>
    </row>
    <row r="34" spans="1:31" s="58" customFormat="1" ht="18" customHeight="1">
      <c r="A34" s="30">
        <f t="shared" si="1"/>
        <v>28</v>
      </c>
      <c r="B34" s="34">
        <v>45127</v>
      </c>
      <c r="C34" s="33" t="s">
        <v>497</v>
      </c>
      <c r="D34" s="33" t="s">
        <v>1736</v>
      </c>
      <c r="E34" s="174">
        <v>5</v>
      </c>
      <c r="F34" s="174">
        <f t="shared" si="2"/>
        <v>225</v>
      </c>
      <c r="G34" s="175" t="s">
        <v>506</v>
      </c>
      <c r="H34" s="33"/>
      <c r="I34" s="209"/>
      <c r="J34" s="209"/>
      <c r="K34" s="209"/>
      <c r="L34" s="209"/>
      <c r="M34" s="209"/>
      <c r="N34" s="209"/>
      <c r="O34" s="209"/>
      <c r="P34" s="209"/>
      <c r="Q34" s="209"/>
      <c r="R34" s="209"/>
      <c r="S34" s="209"/>
      <c r="T34" s="209"/>
      <c r="U34" s="209"/>
      <c r="V34" s="209"/>
      <c r="W34" s="209"/>
      <c r="X34" s="209"/>
      <c r="Y34" s="209"/>
      <c r="Z34" s="209"/>
      <c r="AA34" s="209"/>
      <c r="AB34" s="209"/>
      <c r="AC34" s="209"/>
      <c r="AD34" s="209"/>
      <c r="AE34" s="209"/>
    </row>
    <row r="35" spans="1:31" s="58" customFormat="1" ht="18" customHeight="1">
      <c r="A35" s="30">
        <f t="shared" si="1"/>
        <v>29</v>
      </c>
      <c r="B35" s="34">
        <v>45127</v>
      </c>
      <c r="C35" s="33" t="s">
        <v>497</v>
      </c>
      <c r="D35" s="33" t="s">
        <v>1737</v>
      </c>
      <c r="E35" s="174">
        <v>10</v>
      </c>
      <c r="F35" s="174">
        <f t="shared" si="2"/>
        <v>235</v>
      </c>
      <c r="G35" s="175" t="s">
        <v>506</v>
      </c>
      <c r="H35" s="33"/>
      <c r="I35" s="209"/>
      <c r="J35" s="209"/>
      <c r="K35" s="209"/>
      <c r="L35" s="209"/>
      <c r="M35" s="209"/>
      <c r="N35" s="209"/>
      <c r="O35" s="209"/>
      <c r="P35" s="209"/>
      <c r="Q35" s="209"/>
      <c r="R35" s="209"/>
      <c r="S35" s="209"/>
      <c r="T35" s="209"/>
      <c r="U35" s="209"/>
      <c r="V35" s="209"/>
      <c r="W35" s="209"/>
      <c r="X35" s="209"/>
      <c r="Y35" s="209"/>
      <c r="Z35" s="209"/>
      <c r="AA35" s="209"/>
      <c r="AB35" s="209"/>
      <c r="AC35" s="209"/>
      <c r="AD35" s="209"/>
      <c r="AE35" s="209"/>
    </row>
    <row r="36" spans="1:31" s="58" customFormat="1" ht="18" customHeight="1">
      <c r="A36" s="30">
        <f t="shared" si="1"/>
        <v>30</v>
      </c>
      <c r="B36" s="34">
        <v>45127</v>
      </c>
      <c r="C36" s="33" t="s">
        <v>497</v>
      </c>
      <c r="D36" s="33" t="s">
        <v>1738</v>
      </c>
      <c r="E36" s="174">
        <v>5</v>
      </c>
      <c r="F36" s="174">
        <f t="shared" si="2"/>
        <v>240</v>
      </c>
      <c r="G36" s="175" t="s">
        <v>506</v>
      </c>
      <c r="H36" s="33"/>
      <c r="I36" s="209"/>
      <c r="J36" s="209"/>
      <c r="K36" s="209"/>
      <c r="L36" s="209"/>
      <c r="M36" s="209"/>
      <c r="N36" s="209"/>
      <c r="O36" s="209"/>
      <c r="P36" s="209"/>
      <c r="Q36" s="209"/>
      <c r="R36" s="209"/>
      <c r="S36" s="209"/>
      <c r="T36" s="209"/>
      <c r="U36" s="209"/>
      <c r="V36" s="209"/>
      <c r="W36" s="209"/>
      <c r="X36" s="209"/>
      <c r="Y36" s="209"/>
      <c r="Z36" s="209"/>
      <c r="AA36" s="209"/>
      <c r="AB36" s="209"/>
      <c r="AC36" s="209"/>
      <c r="AD36" s="209"/>
      <c r="AE36" s="209"/>
    </row>
    <row r="37" spans="1:31" s="58" customFormat="1" ht="18" customHeight="1">
      <c r="A37" s="30">
        <f t="shared" si="1"/>
        <v>31</v>
      </c>
      <c r="B37" s="34">
        <v>45127</v>
      </c>
      <c r="C37" s="33" t="s">
        <v>497</v>
      </c>
      <c r="D37" s="33" t="s">
        <v>549</v>
      </c>
      <c r="E37" s="174">
        <v>10</v>
      </c>
      <c r="F37" s="174">
        <f t="shared" si="2"/>
        <v>250</v>
      </c>
      <c r="G37" s="175" t="s">
        <v>506</v>
      </c>
      <c r="H37" s="33"/>
      <c r="I37" s="209"/>
      <c r="J37" s="209"/>
      <c r="K37" s="209"/>
      <c r="L37" s="209"/>
      <c r="M37" s="209"/>
      <c r="N37" s="209"/>
      <c r="O37" s="209"/>
      <c r="P37" s="209"/>
      <c r="Q37" s="209"/>
      <c r="R37" s="209"/>
      <c r="S37" s="209"/>
      <c r="T37" s="209"/>
      <c r="U37" s="209"/>
      <c r="V37" s="209"/>
      <c r="W37" s="209"/>
      <c r="X37" s="209"/>
      <c r="Y37" s="209"/>
      <c r="Z37" s="209"/>
      <c r="AA37" s="209"/>
      <c r="AB37" s="209"/>
      <c r="AC37" s="209"/>
      <c r="AD37" s="209"/>
      <c r="AE37" s="209"/>
    </row>
    <row r="38" spans="1:31" s="58" customFormat="1" ht="18" customHeight="1">
      <c r="A38" s="30">
        <f t="shared" si="1"/>
        <v>32</v>
      </c>
      <c r="B38" s="34">
        <v>45127</v>
      </c>
      <c r="C38" s="33" t="s">
        <v>497</v>
      </c>
      <c r="D38" s="33" t="s">
        <v>1739</v>
      </c>
      <c r="E38" s="174">
        <v>5</v>
      </c>
      <c r="F38" s="174">
        <f t="shared" si="2"/>
        <v>255</v>
      </c>
      <c r="G38" s="175" t="s">
        <v>506</v>
      </c>
      <c r="H38" s="33"/>
      <c r="I38" s="209"/>
      <c r="J38" s="209"/>
      <c r="K38" s="209"/>
      <c r="L38" s="209"/>
      <c r="M38" s="209"/>
      <c r="N38" s="209"/>
      <c r="O38" s="209"/>
      <c r="P38" s="209"/>
      <c r="Q38" s="209"/>
      <c r="R38" s="209"/>
      <c r="S38" s="209"/>
      <c r="T38" s="209"/>
      <c r="U38" s="209"/>
      <c r="V38" s="209"/>
      <c r="W38" s="209"/>
      <c r="X38" s="209"/>
      <c r="Y38" s="209"/>
      <c r="Z38" s="209"/>
      <c r="AA38" s="209"/>
      <c r="AB38" s="209"/>
      <c r="AC38" s="209"/>
      <c r="AD38" s="209"/>
      <c r="AE38" s="209"/>
    </row>
    <row r="39" spans="1:31" ht="18" customHeight="1">
      <c r="A39" s="30">
        <f t="shared" si="1"/>
        <v>33</v>
      </c>
      <c r="B39" s="34">
        <v>45127</v>
      </c>
      <c r="C39" s="33" t="s">
        <v>497</v>
      </c>
      <c r="D39" s="33" t="s">
        <v>1740</v>
      </c>
      <c r="E39" s="174">
        <v>10</v>
      </c>
      <c r="F39" s="174">
        <f t="shared" si="2"/>
        <v>265</v>
      </c>
      <c r="G39" s="175" t="s">
        <v>506</v>
      </c>
      <c r="H39" s="33"/>
      <c r="I39" s="208"/>
      <c r="J39" s="208"/>
      <c r="K39" s="208"/>
      <c r="L39" s="208"/>
      <c r="M39" s="208"/>
      <c r="N39" s="208"/>
      <c r="O39" s="208"/>
      <c r="P39" s="208"/>
      <c r="Q39" s="208"/>
      <c r="R39" s="208"/>
      <c r="S39" s="208"/>
      <c r="T39" s="208"/>
      <c r="U39" s="208"/>
      <c r="V39" s="208"/>
      <c r="W39" s="208"/>
      <c r="X39" s="208"/>
      <c r="Y39" s="208"/>
      <c r="Z39" s="208"/>
      <c r="AA39" s="208"/>
      <c r="AB39" s="208"/>
      <c r="AC39" s="208"/>
      <c r="AD39" s="208"/>
      <c r="AE39" s="208"/>
    </row>
    <row r="40" spans="1:31" ht="18" customHeight="1">
      <c r="A40" s="30">
        <f t="shared" si="1"/>
        <v>34</v>
      </c>
      <c r="B40" s="34">
        <v>45127</v>
      </c>
      <c r="C40" s="33" t="s">
        <v>497</v>
      </c>
      <c r="D40" s="33" t="s">
        <v>1741</v>
      </c>
      <c r="E40" s="174">
        <v>5</v>
      </c>
      <c r="F40" s="174">
        <f t="shared" si="2"/>
        <v>270</v>
      </c>
      <c r="G40" s="175" t="s">
        <v>506</v>
      </c>
      <c r="H40" s="33"/>
      <c r="I40" s="208"/>
      <c r="J40" s="208"/>
      <c r="K40" s="208"/>
      <c r="L40" s="208"/>
      <c r="M40" s="208"/>
      <c r="N40" s="208"/>
      <c r="O40" s="208"/>
      <c r="P40" s="208"/>
      <c r="Q40" s="208"/>
      <c r="R40" s="208"/>
      <c r="S40" s="208"/>
      <c r="T40" s="208"/>
      <c r="U40" s="208"/>
      <c r="V40" s="208"/>
      <c r="W40" s="208"/>
      <c r="X40" s="208"/>
      <c r="Y40" s="208"/>
      <c r="Z40" s="208"/>
      <c r="AA40" s="208"/>
      <c r="AB40" s="208"/>
      <c r="AC40" s="208"/>
      <c r="AD40" s="208"/>
      <c r="AE40" s="208"/>
    </row>
    <row r="41" spans="1:31" ht="18" customHeight="1">
      <c r="A41" s="30">
        <f t="shared" si="1"/>
        <v>35</v>
      </c>
      <c r="B41" s="34">
        <v>45127</v>
      </c>
      <c r="C41" s="33" t="s">
        <v>497</v>
      </c>
      <c r="D41" s="33" t="s">
        <v>1742</v>
      </c>
      <c r="E41" s="174">
        <v>5</v>
      </c>
      <c r="F41" s="174">
        <f t="shared" si="2"/>
        <v>275</v>
      </c>
      <c r="G41" s="175" t="s">
        <v>506</v>
      </c>
      <c r="H41" s="33"/>
      <c r="I41" s="208"/>
      <c r="J41" s="208"/>
      <c r="K41" s="208"/>
      <c r="L41" s="208"/>
      <c r="M41" s="208"/>
      <c r="N41" s="208"/>
      <c r="O41" s="208"/>
      <c r="P41" s="208"/>
      <c r="Q41" s="208"/>
      <c r="R41" s="208"/>
      <c r="S41" s="208"/>
      <c r="T41" s="208"/>
      <c r="U41" s="208"/>
      <c r="V41" s="208"/>
      <c r="W41" s="208"/>
      <c r="X41" s="208"/>
      <c r="Y41" s="208"/>
      <c r="Z41" s="208"/>
      <c r="AA41" s="208"/>
      <c r="AB41" s="208"/>
      <c r="AC41" s="208"/>
      <c r="AD41" s="208"/>
      <c r="AE41" s="208"/>
    </row>
    <row r="42" spans="1:31" ht="18" customHeight="1">
      <c r="A42" s="30">
        <f t="shared" si="1"/>
        <v>36</v>
      </c>
      <c r="B42" s="34">
        <v>45127</v>
      </c>
      <c r="C42" s="33" t="s">
        <v>497</v>
      </c>
      <c r="D42" s="33" t="s">
        <v>1743</v>
      </c>
      <c r="E42" s="174">
        <v>5</v>
      </c>
      <c r="F42" s="174">
        <f t="shared" si="2"/>
        <v>280</v>
      </c>
      <c r="G42" s="175" t="s">
        <v>506</v>
      </c>
      <c r="H42" s="33"/>
      <c r="I42" s="208"/>
      <c r="J42" s="208"/>
      <c r="K42" s="208"/>
      <c r="L42" s="208"/>
      <c r="M42" s="208"/>
      <c r="N42" s="208"/>
      <c r="O42" s="208"/>
      <c r="P42" s="208"/>
      <c r="Q42" s="208"/>
      <c r="R42" s="208"/>
      <c r="S42" s="208"/>
      <c r="T42" s="208"/>
      <c r="U42" s="208"/>
      <c r="V42" s="208"/>
      <c r="W42" s="208"/>
      <c r="X42" s="208"/>
      <c r="Y42" s="208"/>
      <c r="Z42" s="208"/>
      <c r="AA42" s="208"/>
      <c r="AB42" s="208"/>
      <c r="AC42" s="208"/>
      <c r="AD42" s="208"/>
      <c r="AE42" s="208"/>
    </row>
    <row r="43" spans="1:31" ht="18" customHeight="1">
      <c r="A43" s="30">
        <f t="shared" si="1"/>
        <v>37</v>
      </c>
      <c r="B43" s="34">
        <v>45127</v>
      </c>
      <c r="C43" s="33" t="s">
        <v>497</v>
      </c>
      <c r="D43" s="33" t="s">
        <v>1744</v>
      </c>
      <c r="E43" s="174">
        <v>5</v>
      </c>
      <c r="F43" s="174">
        <f t="shared" si="2"/>
        <v>285</v>
      </c>
      <c r="G43" s="175" t="s">
        <v>506</v>
      </c>
      <c r="H43" s="33"/>
      <c r="I43" s="208"/>
      <c r="J43" s="208"/>
      <c r="K43" s="208"/>
      <c r="L43" s="208"/>
      <c r="M43" s="208"/>
      <c r="N43" s="208"/>
      <c r="O43" s="208"/>
      <c r="P43" s="208"/>
      <c r="Q43" s="208"/>
      <c r="R43" s="208"/>
      <c r="S43" s="208"/>
      <c r="T43" s="208"/>
      <c r="U43" s="208"/>
      <c r="V43" s="208"/>
      <c r="W43" s="208"/>
      <c r="X43" s="208"/>
      <c r="Y43" s="208"/>
      <c r="Z43" s="208"/>
      <c r="AA43" s="208"/>
      <c r="AB43" s="208"/>
      <c r="AC43" s="208"/>
      <c r="AD43" s="208"/>
      <c r="AE43" s="208"/>
    </row>
    <row r="44" spans="1:31" ht="18" customHeight="1">
      <c r="A44" s="30">
        <f t="shared" si="1"/>
        <v>38</v>
      </c>
      <c r="B44" s="34">
        <v>45127</v>
      </c>
      <c r="C44" s="33" t="s">
        <v>497</v>
      </c>
      <c r="D44" s="33" t="s">
        <v>522</v>
      </c>
      <c r="E44" s="174">
        <v>5</v>
      </c>
      <c r="F44" s="174">
        <f t="shared" si="2"/>
        <v>290</v>
      </c>
      <c r="G44" s="175" t="s">
        <v>506</v>
      </c>
      <c r="H44" s="33"/>
      <c r="I44" s="208"/>
      <c r="J44" s="208"/>
      <c r="K44" s="208"/>
      <c r="L44" s="208"/>
      <c r="M44" s="208"/>
      <c r="N44" s="208"/>
      <c r="O44" s="208"/>
      <c r="P44" s="208"/>
      <c r="Q44" s="208"/>
      <c r="R44" s="208"/>
      <c r="S44" s="208"/>
      <c r="T44" s="208"/>
      <c r="U44" s="208"/>
      <c r="V44" s="208"/>
      <c r="W44" s="208"/>
      <c r="X44" s="208"/>
      <c r="Y44" s="208"/>
      <c r="Z44" s="208"/>
      <c r="AA44" s="208"/>
      <c r="AB44" s="208"/>
      <c r="AC44" s="208"/>
      <c r="AD44" s="208"/>
      <c r="AE44" s="208"/>
    </row>
    <row r="45" spans="1:31" ht="18" customHeight="1">
      <c r="A45" s="30">
        <f t="shared" si="1"/>
        <v>39</v>
      </c>
      <c r="B45" s="34">
        <v>45127</v>
      </c>
      <c r="C45" s="33" t="s">
        <v>497</v>
      </c>
      <c r="D45" s="33" t="s">
        <v>1745</v>
      </c>
      <c r="E45" s="174">
        <v>10</v>
      </c>
      <c r="F45" s="174">
        <f t="shared" si="2"/>
        <v>300</v>
      </c>
      <c r="G45" s="175" t="s">
        <v>506</v>
      </c>
      <c r="H45" s="33"/>
      <c r="I45" s="208"/>
      <c r="J45" s="208"/>
      <c r="K45" s="208"/>
      <c r="L45" s="208"/>
      <c r="M45" s="208"/>
      <c r="N45" s="208"/>
      <c r="O45" s="208"/>
      <c r="P45" s="208"/>
      <c r="Q45" s="208"/>
      <c r="R45" s="208"/>
      <c r="S45" s="208"/>
      <c r="T45" s="208"/>
      <c r="U45" s="208"/>
      <c r="V45" s="208"/>
      <c r="W45" s="208"/>
      <c r="X45" s="208"/>
      <c r="Y45" s="208"/>
      <c r="Z45" s="208"/>
      <c r="AA45" s="208"/>
      <c r="AB45" s="208"/>
      <c r="AC45" s="208"/>
      <c r="AD45" s="208"/>
      <c r="AE45" s="208"/>
    </row>
    <row r="46" spans="1:31" ht="18" customHeight="1">
      <c r="A46" s="30">
        <f t="shared" si="1"/>
        <v>40</v>
      </c>
      <c r="B46" s="34">
        <v>45127</v>
      </c>
      <c r="C46" s="33" t="s">
        <v>497</v>
      </c>
      <c r="D46" s="33" t="s">
        <v>1746</v>
      </c>
      <c r="E46" s="174">
        <v>10</v>
      </c>
      <c r="F46" s="174">
        <f t="shared" si="2"/>
        <v>310</v>
      </c>
      <c r="G46" s="175" t="s">
        <v>506</v>
      </c>
      <c r="H46" s="33"/>
      <c r="I46" s="208"/>
      <c r="J46" s="208"/>
      <c r="K46" s="208"/>
      <c r="L46" s="208"/>
      <c r="M46" s="208"/>
      <c r="N46" s="208"/>
      <c r="O46" s="208"/>
      <c r="P46" s="208"/>
      <c r="Q46" s="208"/>
      <c r="R46" s="208"/>
      <c r="S46" s="208"/>
      <c r="T46" s="208"/>
      <c r="U46" s="208"/>
      <c r="V46" s="208"/>
      <c r="W46" s="208"/>
      <c r="X46" s="208"/>
      <c r="Y46" s="208"/>
      <c r="Z46" s="208"/>
      <c r="AA46" s="208"/>
      <c r="AB46" s="208"/>
      <c r="AC46" s="208"/>
      <c r="AD46" s="208"/>
      <c r="AE46" s="208"/>
    </row>
    <row r="47" spans="1:31" ht="18" customHeight="1">
      <c r="A47" s="30">
        <f t="shared" si="1"/>
        <v>41</v>
      </c>
      <c r="B47" s="34">
        <v>45127</v>
      </c>
      <c r="C47" s="33" t="s">
        <v>497</v>
      </c>
      <c r="D47" s="33" t="s">
        <v>641</v>
      </c>
      <c r="E47" s="174">
        <v>10</v>
      </c>
      <c r="F47" s="174">
        <f t="shared" si="2"/>
        <v>320</v>
      </c>
      <c r="G47" s="175" t="s">
        <v>506</v>
      </c>
      <c r="H47" s="33"/>
      <c r="I47" s="208"/>
      <c r="J47" s="208"/>
      <c r="K47" s="208"/>
      <c r="L47" s="208"/>
      <c r="M47" s="208"/>
      <c r="N47" s="208"/>
      <c r="O47" s="208"/>
      <c r="P47" s="208"/>
      <c r="Q47" s="208"/>
      <c r="R47" s="208"/>
      <c r="S47" s="208"/>
      <c r="T47" s="208"/>
      <c r="U47" s="208"/>
      <c r="V47" s="208"/>
      <c r="W47" s="208"/>
      <c r="X47" s="208"/>
      <c r="Y47" s="208"/>
      <c r="Z47" s="208"/>
      <c r="AA47" s="208"/>
      <c r="AB47" s="208"/>
      <c r="AC47" s="208"/>
      <c r="AD47" s="208"/>
      <c r="AE47" s="208"/>
    </row>
    <row r="48" spans="1:31" ht="18" customHeight="1">
      <c r="A48" s="30">
        <f t="shared" si="1"/>
        <v>42</v>
      </c>
      <c r="B48" s="34">
        <v>45127</v>
      </c>
      <c r="C48" s="33" t="s">
        <v>497</v>
      </c>
      <c r="D48" s="33" t="s">
        <v>509</v>
      </c>
      <c r="E48" s="174">
        <v>10</v>
      </c>
      <c r="F48" s="174">
        <f t="shared" si="2"/>
        <v>330</v>
      </c>
      <c r="G48" s="175" t="s">
        <v>506</v>
      </c>
      <c r="H48" s="33"/>
      <c r="I48" s="208"/>
      <c r="J48" s="208"/>
      <c r="K48" s="208"/>
      <c r="L48" s="208"/>
      <c r="M48" s="208"/>
      <c r="N48" s="208"/>
      <c r="O48" s="208"/>
      <c r="P48" s="208"/>
      <c r="Q48" s="208"/>
      <c r="R48" s="208"/>
      <c r="S48" s="208"/>
      <c r="T48" s="208"/>
      <c r="U48" s="208"/>
      <c r="V48" s="208"/>
      <c r="W48" s="208"/>
      <c r="X48" s="208"/>
      <c r="Y48" s="208"/>
      <c r="Z48" s="208"/>
      <c r="AA48" s="208"/>
      <c r="AB48" s="208"/>
      <c r="AC48" s="208"/>
      <c r="AD48" s="208"/>
      <c r="AE48" s="208"/>
    </row>
    <row r="49" spans="1:31" ht="18" customHeight="1">
      <c r="A49" s="30">
        <f t="shared" si="1"/>
        <v>43</v>
      </c>
      <c r="B49" s="34">
        <v>45127</v>
      </c>
      <c r="C49" s="33" t="s">
        <v>497</v>
      </c>
      <c r="D49" s="33" t="s">
        <v>524</v>
      </c>
      <c r="E49" s="174">
        <v>10</v>
      </c>
      <c r="F49" s="174">
        <f t="shared" si="2"/>
        <v>340</v>
      </c>
      <c r="G49" s="175" t="s">
        <v>506</v>
      </c>
      <c r="H49" s="33"/>
      <c r="I49" s="208"/>
      <c r="J49" s="208"/>
      <c r="K49" s="208"/>
      <c r="L49" s="208"/>
      <c r="M49" s="208"/>
      <c r="N49" s="208"/>
      <c r="O49" s="208"/>
      <c r="P49" s="208"/>
      <c r="Q49" s="208"/>
      <c r="R49" s="208"/>
      <c r="S49" s="208"/>
      <c r="T49" s="208"/>
      <c r="U49" s="208"/>
      <c r="V49" s="208"/>
      <c r="W49" s="208"/>
      <c r="X49" s="208"/>
      <c r="Y49" s="208"/>
      <c r="Z49" s="208"/>
      <c r="AA49" s="208"/>
      <c r="AB49" s="208"/>
      <c r="AC49" s="208"/>
      <c r="AD49" s="208"/>
      <c r="AE49" s="208"/>
    </row>
    <row r="50" spans="1:31" ht="18" customHeight="1">
      <c r="A50" s="30">
        <f t="shared" si="1"/>
        <v>44</v>
      </c>
      <c r="B50" s="34">
        <v>45127</v>
      </c>
      <c r="C50" s="33" t="s">
        <v>497</v>
      </c>
      <c r="D50" s="33" t="s">
        <v>640</v>
      </c>
      <c r="E50" s="174">
        <v>5</v>
      </c>
      <c r="F50" s="174">
        <f t="shared" si="2"/>
        <v>345</v>
      </c>
      <c r="G50" s="175" t="s">
        <v>506</v>
      </c>
      <c r="H50" s="33"/>
      <c r="I50" s="208"/>
      <c r="J50" s="208"/>
      <c r="K50" s="208"/>
      <c r="L50" s="208"/>
      <c r="M50" s="208"/>
      <c r="N50" s="208"/>
      <c r="O50" s="208"/>
      <c r="P50" s="208"/>
      <c r="Q50" s="208"/>
      <c r="R50" s="208"/>
      <c r="S50" s="208"/>
      <c r="T50" s="208"/>
      <c r="U50" s="208"/>
      <c r="V50" s="208"/>
      <c r="W50" s="208"/>
      <c r="X50" s="208"/>
      <c r="Y50" s="208"/>
      <c r="Z50" s="208"/>
      <c r="AA50" s="208"/>
      <c r="AB50" s="208"/>
      <c r="AC50" s="208"/>
      <c r="AD50" s="208"/>
      <c r="AE50" s="208"/>
    </row>
    <row r="51" spans="1:31" ht="18" customHeight="1">
      <c r="A51" s="30">
        <f t="shared" si="1"/>
        <v>45</v>
      </c>
      <c r="B51" s="34">
        <v>45128</v>
      </c>
      <c r="C51" s="33" t="s">
        <v>534</v>
      </c>
      <c r="D51" s="33" t="s">
        <v>1697</v>
      </c>
      <c r="E51" s="174">
        <v>5</v>
      </c>
      <c r="F51" s="174">
        <f t="shared" si="2"/>
        <v>350</v>
      </c>
      <c r="G51" s="175" t="s">
        <v>502</v>
      </c>
      <c r="H51" s="33"/>
      <c r="I51" s="208"/>
      <c r="J51" s="208"/>
      <c r="K51" s="208"/>
      <c r="L51" s="208"/>
      <c r="M51" s="208"/>
      <c r="N51" s="208"/>
      <c r="O51" s="208"/>
      <c r="P51" s="208"/>
      <c r="Q51" s="208"/>
      <c r="R51" s="208"/>
      <c r="S51" s="208"/>
      <c r="T51" s="208"/>
      <c r="U51" s="208"/>
      <c r="V51" s="208"/>
      <c r="W51" s="208"/>
      <c r="X51" s="208"/>
      <c r="Y51" s="208"/>
      <c r="Z51" s="208"/>
      <c r="AA51" s="208"/>
      <c r="AB51" s="208"/>
      <c r="AC51" s="208"/>
      <c r="AD51" s="208"/>
      <c r="AE51" s="208"/>
    </row>
    <row r="52" spans="1:31" ht="18" customHeight="1">
      <c r="A52" s="30">
        <f t="shared" si="1"/>
        <v>46</v>
      </c>
      <c r="B52" s="34">
        <v>45128</v>
      </c>
      <c r="C52" s="33" t="s">
        <v>497</v>
      </c>
      <c r="D52" s="33" t="s">
        <v>1698</v>
      </c>
      <c r="E52" s="174">
        <v>10</v>
      </c>
      <c r="F52" s="174">
        <f t="shared" si="2"/>
        <v>360</v>
      </c>
      <c r="G52" s="175" t="s">
        <v>502</v>
      </c>
      <c r="H52" s="33"/>
      <c r="I52" s="208"/>
      <c r="J52" s="208"/>
      <c r="K52" s="208"/>
      <c r="L52" s="208"/>
      <c r="M52" s="208"/>
      <c r="N52" s="208"/>
      <c r="O52" s="208"/>
      <c r="P52" s="208"/>
      <c r="Q52" s="208"/>
      <c r="R52" s="208"/>
      <c r="S52" s="208"/>
      <c r="T52" s="208"/>
      <c r="U52" s="208"/>
      <c r="V52" s="208"/>
      <c r="W52" s="208"/>
      <c r="X52" s="208"/>
      <c r="Y52" s="208"/>
      <c r="Z52" s="208"/>
      <c r="AA52" s="208"/>
      <c r="AB52" s="208"/>
      <c r="AC52" s="208"/>
      <c r="AD52" s="208"/>
      <c r="AE52" s="208"/>
    </row>
    <row r="53" spans="1:31" ht="18" customHeight="1">
      <c r="A53" s="30">
        <f t="shared" si="1"/>
        <v>47</v>
      </c>
      <c r="B53" s="34">
        <v>45128</v>
      </c>
      <c r="C53" s="33" t="s">
        <v>497</v>
      </c>
      <c r="D53" s="33" t="s">
        <v>1699</v>
      </c>
      <c r="E53" s="174">
        <v>5</v>
      </c>
      <c r="F53" s="174">
        <f t="shared" si="2"/>
        <v>365</v>
      </c>
      <c r="G53" s="175" t="s">
        <v>502</v>
      </c>
      <c r="H53" s="33"/>
      <c r="I53" s="208"/>
      <c r="J53" s="208"/>
      <c r="K53" s="208"/>
      <c r="L53" s="208"/>
      <c r="M53" s="208"/>
      <c r="N53" s="208"/>
      <c r="O53" s="208"/>
      <c r="P53" s="208"/>
      <c r="Q53" s="208"/>
      <c r="R53" s="208"/>
      <c r="S53" s="208"/>
      <c r="T53" s="208"/>
      <c r="U53" s="208"/>
      <c r="V53" s="208"/>
      <c r="W53" s="208"/>
      <c r="X53" s="208"/>
      <c r="Y53" s="208"/>
      <c r="Z53" s="208"/>
      <c r="AA53" s="208"/>
      <c r="AB53" s="208"/>
      <c r="AC53" s="208"/>
      <c r="AD53" s="208"/>
      <c r="AE53" s="208"/>
    </row>
    <row r="54" spans="1:31" ht="18" customHeight="1">
      <c r="A54" s="30">
        <f t="shared" si="1"/>
        <v>48</v>
      </c>
      <c r="B54" s="34">
        <v>45128</v>
      </c>
      <c r="C54" s="33" t="s">
        <v>497</v>
      </c>
      <c r="D54" s="33" t="s">
        <v>202</v>
      </c>
      <c r="E54" s="174">
        <v>10</v>
      </c>
      <c r="F54" s="174">
        <f t="shared" si="2"/>
        <v>375</v>
      </c>
      <c r="G54" s="175" t="s">
        <v>502</v>
      </c>
      <c r="H54" s="33"/>
      <c r="I54" s="208"/>
      <c r="J54" s="208"/>
      <c r="K54" s="208"/>
      <c r="L54" s="208"/>
      <c r="M54" s="208"/>
      <c r="N54" s="208"/>
      <c r="O54" s="208"/>
      <c r="P54" s="208"/>
      <c r="Q54" s="208"/>
      <c r="R54" s="208"/>
      <c r="S54" s="208"/>
      <c r="T54" s="208"/>
      <c r="U54" s="208"/>
      <c r="V54" s="208"/>
      <c r="W54" s="208"/>
      <c r="X54" s="208"/>
      <c r="Y54" s="208"/>
      <c r="Z54" s="208"/>
      <c r="AA54" s="208"/>
      <c r="AB54" s="208"/>
      <c r="AC54" s="208"/>
      <c r="AD54" s="208"/>
      <c r="AE54" s="208"/>
    </row>
    <row r="55" spans="1:31" ht="18" customHeight="1">
      <c r="A55" s="30">
        <f t="shared" si="1"/>
        <v>49</v>
      </c>
      <c r="B55" s="34">
        <v>45128</v>
      </c>
      <c r="C55" s="33" t="s">
        <v>497</v>
      </c>
      <c r="D55" s="33" t="s">
        <v>1700</v>
      </c>
      <c r="E55" s="174">
        <v>10</v>
      </c>
      <c r="F55" s="174">
        <f t="shared" si="2"/>
        <v>385</v>
      </c>
      <c r="G55" s="175" t="s">
        <v>502</v>
      </c>
      <c r="H55" s="33"/>
      <c r="I55" s="208"/>
      <c r="J55" s="208"/>
      <c r="K55" s="208"/>
      <c r="L55" s="208"/>
      <c r="M55" s="208"/>
      <c r="N55" s="208"/>
      <c r="O55" s="208"/>
      <c r="P55" s="208"/>
      <c r="Q55" s="208"/>
      <c r="R55" s="208"/>
      <c r="S55" s="208"/>
      <c r="T55" s="208"/>
      <c r="U55" s="208"/>
      <c r="V55" s="208"/>
      <c r="W55" s="208"/>
      <c r="X55" s="208"/>
      <c r="Y55" s="208"/>
      <c r="Z55" s="208"/>
      <c r="AA55" s="208"/>
      <c r="AB55" s="208"/>
      <c r="AC55" s="208"/>
      <c r="AD55" s="208"/>
      <c r="AE55" s="208"/>
    </row>
    <row r="56" spans="1:31" ht="18" customHeight="1">
      <c r="A56" s="30">
        <f t="shared" si="1"/>
        <v>50</v>
      </c>
      <c r="B56" s="34">
        <v>45128</v>
      </c>
      <c r="C56" s="33" t="s">
        <v>497</v>
      </c>
      <c r="D56" s="33" t="s">
        <v>166</v>
      </c>
      <c r="E56" s="174">
        <v>10</v>
      </c>
      <c r="F56" s="174">
        <f t="shared" si="2"/>
        <v>395</v>
      </c>
      <c r="G56" s="175" t="s">
        <v>502</v>
      </c>
      <c r="H56" s="33" t="s">
        <v>1788</v>
      </c>
      <c r="I56" s="208"/>
      <c r="J56" s="208"/>
      <c r="K56" s="208"/>
      <c r="L56" s="208"/>
      <c r="M56" s="208"/>
      <c r="N56" s="208"/>
      <c r="O56" s="208"/>
      <c r="P56" s="208"/>
      <c r="Q56" s="208"/>
      <c r="R56" s="208"/>
      <c r="S56" s="208"/>
      <c r="T56" s="208"/>
      <c r="U56" s="208"/>
      <c r="V56" s="208"/>
      <c r="W56" s="208"/>
      <c r="X56" s="208"/>
      <c r="Y56" s="208"/>
      <c r="Z56" s="208"/>
      <c r="AA56" s="208"/>
      <c r="AB56" s="208"/>
      <c r="AC56" s="208"/>
      <c r="AD56" s="208"/>
      <c r="AE56" s="208"/>
    </row>
    <row r="57" spans="1:31" ht="18" customHeight="1">
      <c r="A57" s="30">
        <f t="shared" si="1"/>
        <v>51</v>
      </c>
      <c r="B57" s="34">
        <v>45128</v>
      </c>
      <c r="C57" s="33" t="s">
        <v>497</v>
      </c>
      <c r="D57" s="33" t="s">
        <v>1701</v>
      </c>
      <c r="E57" s="174">
        <v>5</v>
      </c>
      <c r="F57" s="174">
        <f t="shared" si="2"/>
        <v>400</v>
      </c>
      <c r="G57" s="175" t="s">
        <v>502</v>
      </c>
      <c r="H57" s="33"/>
      <c r="I57" s="208"/>
      <c r="J57" s="208"/>
      <c r="K57" s="208"/>
      <c r="L57" s="208"/>
      <c r="M57" s="208"/>
      <c r="N57" s="208"/>
      <c r="O57" s="208"/>
      <c r="P57" s="208"/>
      <c r="Q57" s="208"/>
      <c r="R57" s="208"/>
      <c r="S57" s="208"/>
      <c r="T57" s="208"/>
      <c r="U57" s="208"/>
      <c r="V57" s="208"/>
      <c r="W57" s="208"/>
      <c r="X57" s="208"/>
      <c r="Y57" s="208"/>
      <c r="Z57" s="208"/>
      <c r="AA57" s="208"/>
      <c r="AB57" s="208"/>
      <c r="AC57" s="208"/>
      <c r="AD57" s="208"/>
      <c r="AE57" s="208"/>
    </row>
    <row r="58" spans="1:31" ht="18" customHeight="1">
      <c r="A58" s="30">
        <f t="shared" si="1"/>
        <v>52</v>
      </c>
      <c r="B58" s="34">
        <v>45128</v>
      </c>
      <c r="C58" s="33" t="s">
        <v>497</v>
      </c>
      <c r="D58" s="33" t="s">
        <v>793</v>
      </c>
      <c r="E58" s="174">
        <v>5</v>
      </c>
      <c r="F58" s="174">
        <f t="shared" si="2"/>
        <v>405</v>
      </c>
      <c r="G58" s="175" t="s">
        <v>502</v>
      </c>
      <c r="H58" s="33"/>
      <c r="I58" s="208"/>
      <c r="J58" s="208"/>
      <c r="K58" s="208"/>
      <c r="L58" s="208"/>
      <c r="M58" s="208"/>
      <c r="N58" s="208"/>
      <c r="O58" s="208"/>
      <c r="P58" s="208"/>
      <c r="Q58" s="208"/>
      <c r="R58" s="208"/>
      <c r="S58" s="208"/>
      <c r="T58" s="208"/>
      <c r="U58" s="208"/>
      <c r="V58" s="208"/>
      <c r="W58" s="208"/>
      <c r="X58" s="208"/>
      <c r="Y58" s="208"/>
      <c r="Z58" s="208"/>
      <c r="AA58" s="208"/>
      <c r="AB58" s="208"/>
      <c r="AC58" s="208"/>
      <c r="AD58" s="208"/>
      <c r="AE58" s="208"/>
    </row>
    <row r="59" spans="1:31" ht="18" customHeight="1">
      <c r="A59" s="30">
        <f t="shared" si="1"/>
        <v>53</v>
      </c>
      <c r="B59" s="34">
        <v>45128</v>
      </c>
      <c r="C59" s="33" t="s">
        <v>497</v>
      </c>
      <c r="D59" s="33" t="s">
        <v>1702</v>
      </c>
      <c r="E59" s="174">
        <v>5</v>
      </c>
      <c r="F59" s="174">
        <f t="shared" si="2"/>
        <v>410</v>
      </c>
      <c r="G59" s="175" t="s">
        <v>502</v>
      </c>
      <c r="H59" s="33"/>
      <c r="I59" s="208"/>
      <c r="J59" s="208"/>
      <c r="K59" s="208"/>
      <c r="L59" s="208"/>
      <c r="M59" s="208"/>
      <c r="N59" s="208"/>
      <c r="O59" s="208"/>
      <c r="P59" s="208"/>
      <c r="Q59" s="208"/>
      <c r="R59" s="208"/>
      <c r="S59" s="208"/>
      <c r="T59" s="208"/>
      <c r="U59" s="208"/>
      <c r="V59" s="208"/>
      <c r="W59" s="208"/>
      <c r="X59" s="208"/>
      <c r="Y59" s="208"/>
      <c r="Z59" s="208"/>
      <c r="AA59" s="208"/>
      <c r="AB59" s="208"/>
      <c r="AC59" s="208"/>
      <c r="AD59" s="208"/>
      <c r="AE59" s="208"/>
    </row>
    <row r="60" spans="1:31" ht="18" customHeight="1">
      <c r="A60" s="30">
        <f t="shared" si="1"/>
        <v>54</v>
      </c>
      <c r="B60" s="34">
        <v>45128</v>
      </c>
      <c r="C60" s="33" t="s">
        <v>497</v>
      </c>
      <c r="D60" s="33" t="s">
        <v>1703</v>
      </c>
      <c r="E60" s="174">
        <v>5</v>
      </c>
      <c r="F60" s="174">
        <f t="shared" si="2"/>
        <v>415</v>
      </c>
      <c r="G60" s="175" t="s">
        <v>502</v>
      </c>
      <c r="H60" s="33"/>
      <c r="I60" s="208"/>
      <c r="J60" s="208"/>
      <c r="K60" s="208"/>
      <c r="L60" s="208"/>
      <c r="M60" s="208"/>
      <c r="N60" s="208"/>
      <c r="O60" s="208"/>
      <c r="P60" s="208"/>
      <c r="Q60" s="208"/>
      <c r="R60" s="208"/>
      <c r="S60" s="208"/>
      <c r="T60" s="208"/>
      <c r="U60" s="208"/>
      <c r="V60" s="208"/>
      <c r="W60" s="208"/>
      <c r="X60" s="208"/>
      <c r="Y60" s="208"/>
      <c r="Z60" s="208"/>
      <c r="AA60" s="208"/>
      <c r="AB60" s="208"/>
      <c r="AC60" s="208"/>
      <c r="AD60" s="208"/>
      <c r="AE60" s="208"/>
    </row>
    <row r="61" spans="1:31" ht="18" customHeight="1">
      <c r="A61" s="30">
        <f t="shared" si="1"/>
        <v>55</v>
      </c>
      <c r="B61" s="34">
        <v>45128</v>
      </c>
      <c r="C61" s="33" t="s">
        <v>497</v>
      </c>
      <c r="D61" s="33" t="s">
        <v>1704</v>
      </c>
      <c r="E61" s="174">
        <v>10</v>
      </c>
      <c r="F61" s="174">
        <f t="shared" si="2"/>
        <v>425</v>
      </c>
      <c r="G61" s="175" t="s">
        <v>502</v>
      </c>
      <c r="H61" s="33"/>
      <c r="I61" s="208"/>
      <c r="J61" s="208"/>
      <c r="K61" s="208"/>
      <c r="L61" s="208"/>
      <c r="M61" s="208"/>
      <c r="N61" s="208"/>
      <c r="O61" s="208"/>
      <c r="P61" s="208"/>
      <c r="Q61" s="208"/>
      <c r="R61" s="208"/>
      <c r="S61" s="208"/>
      <c r="T61" s="208"/>
      <c r="U61" s="208"/>
      <c r="V61" s="208"/>
      <c r="W61" s="208"/>
      <c r="X61" s="208"/>
      <c r="Y61" s="208"/>
      <c r="Z61" s="208"/>
      <c r="AA61" s="208"/>
      <c r="AB61" s="208"/>
      <c r="AC61" s="208"/>
      <c r="AD61" s="208"/>
      <c r="AE61" s="208"/>
    </row>
    <row r="62" spans="1:31" ht="18" customHeight="1">
      <c r="A62" s="30">
        <f t="shared" si="1"/>
        <v>56</v>
      </c>
      <c r="B62" s="34">
        <v>45128</v>
      </c>
      <c r="C62" s="33" t="s">
        <v>500</v>
      </c>
      <c r="D62" s="33" t="s">
        <v>678</v>
      </c>
      <c r="E62" s="174">
        <v>10</v>
      </c>
      <c r="F62" s="174">
        <f t="shared" si="2"/>
        <v>435</v>
      </c>
      <c r="G62" s="175" t="s">
        <v>502</v>
      </c>
      <c r="H62" s="33" t="s">
        <v>1788</v>
      </c>
      <c r="I62" s="208"/>
      <c r="J62" s="208"/>
      <c r="K62" s="208"/>
      <c r="L62" s="208"/>
      <c r="M62" s="208"/>
      <c r="N62" s="208"/>
      <c r="O62" s="208"/>
      <c r="P62" s="208"/>
      <c r="Q62" s="208"/>
      <c r="R62" s="208"/>
      <c r="S62" s="208"/>
      <c r="T62" s="208"/>
      <c r="U62" s="208"/>
      <c r="V62" s="208"/>
      <c r="W62" s="208"/>
      <c r="X62" s="208"/>
      <c r="Y62" s="208"/>
      <c r="Z62" s="208"/>
      <c r="AA62" s="208"/>
      <c r="AB62" s="208"/>
      <c r="AC62" s="208"/>
      <c r="AD62" s="208"/>
      <c r="AE62" s="208"/>
    </row>
    <row r="63" spans="1:31" ht="18" customHeight="1">
      <c r="A63" s="30">
        <f t="shared" si="1"/>
        <v>57</v>
      </c>
      <c r="B63" s="34">
        <v>45128</v>
      </c>
      <c r="C63" s="33" t="s">
        <v>1721</v>
      </c>
      <c r="D63" s="33" t="s">
        <v>488</v>
      </c>
      <c r="E63" s="174">
        <v>20</v>
      </c>
      <c r="F63" s="174">
        <f t="shared" si="2"/>
        <v>455</v>
      </c>
      <c r="G63" s="175" t="s">
        <v>502</v>
      </c>
      <c r="H63" s="33" t="s">
        <v>1788</v>
      </c>
      <c r="I63" s="208"/>
      <c r="J63" s="208"/>
      <c r="K63" s="208"/>
      <c r="L63" s="208"/>
      <c r="M63" s="208"/>
      <c r="N63" s="208"/>
      <c r="O63" s="208"/>
      <c r="P63" s="208"/>
      <c r="Q63" s="208"/>
      <c r="R63" s="208"/>
      <c r="S63" s="208"/>
      <c r="T63" s="208"/>
      <c r="U63" s="208"/>
      <c r="V63" s="208"/>
      <c r="W63" s="208"/>
      <c r="X63" s="208"/>
      <c r="Y63" s="208"/>
      <c r="Z63" s="208"/>
      <c r="AA63" s="208"/>
      <c r="AB63" s="208"/>
      <c r="AC63" s="208"/>
      <c r="AD63" s="208"/>
      <c r="AE63" s="208"/>
    </row>
    <row r="64" spans="1:31" ht="18" customHeight="1">
      <c r="A64" s="30">
        <f t="shared" si="1"/>
        <v>58</v>
      </c>
      <c r="B64" s="34">
        <v>45128</v>
      </c>
      <c r="C64" s="33" t="s">
        <v>500</v>
      </c>
      <c r="D64" s="33" t="s">
        <v>756</v>
      </c>
      <c r="E64" s="174">
        <v>20</v>
      </c>
      <c r="F64" s="174">
        <f t="shared" si="2"/>
        <v>475</v>
      </c>
      <c r="G64" s="175" t="s">
        <v>502</v>
      </c>
      <c r="H64" s="33" t="s">
        <v>1788</v>
      </c>
      <c r="I64" s="208"/>
      <c r="J64" s="208"/>
      <c r="K64" s="208"/>
      <c r="L64" s="208"/>
      <c r="M64" s="208"/>
      <c r="N64" s="208"/>
      <c r="O64" s="208"/>
      <c r="P64" s="208"/>
      <c r="Q64" s="208"/>
      <c r="R64" s="208"/>
      <c r="S64" s="208"/>
      <c r="T64" s="208"/>
      <c r="U64" s="208"/>
      <c r="V64" s="208"/>
      <c r="W64" s="208"/>
      <c r="X64" s="208"/>
      <c r="Y64" s="208"/>
      <c r="Z64" s="208"/>
      <c r="AA64" s="208"/>
      <c r="AB64" s="208"/>
      <c r="AC64" s="208"/>
      <c r="AD64" s="208"/>
      <c r="AE64" s="208"/>
    </row>
    <row r="65" spans="1:31" ht="18" customHeight="1">
      <c r="A65" s="30">
        <f t="shared" si="1"/>
        <v>59</v>
      </c>
      <c r="B65" s="34">
        <v>45128</v>
      </c>
      <c r="C65" s="33" t="s">
        <v>497</v>
      </c>
      <c r="D65" s="33" t="s">
        <v>1705</v>
      </c>
      <c r="E65" s="174">
        <v>10</v>
      </c>
      <c r="F65" s="174">
        <f t="shared" si="2"/>
        <v>485</v>
      </c>
      <c r="G65" s="175" t="s">
        <v>502</v>
      </c>
      <c r="H65" s="33" t="s">
        <v>1788</v>
      </c>
      <c r="I65" s="208"/>
      <c r="J65" s="208"/>
      <c r="K65" s="208"/>
      <c r="L65" s="208"/>
      <c r="M65" s="208"/>
      <c r="N65" s="208"/>
      <c r="O65" s="208"/>
      <c r="P65" s="208"/>
      <c r="Q65" s="208"/>
      <c r="R65" s="208"/>
      <c r="S65" s="208"/>
      <c r="T65" s="208"/>
      <c r="U65" s="208"/>
      <c r="V65" s="208"/>
      <c r="W65" s="208"/>
      <c r="X65" s="208"/>
      <c r="Y65" s="208"/>
      <c r="Z65" s="208"/>
      <c r="AA65" s="208"/>
      <c r="AB65" s="208"/>
      <c r="AC65" s="208"/>
      <c r="AD65" s="208"/>
      <c r="AE65" s="208"/>
    </row>
    <row r="66" spans="1:31" ht="18" customHeight="1">
      <c r="A66" s="30">
        <f t="shared" si="1"/>
        <v>60</v>
      </c>
      <c r="B66" s="34">
        <v>45128</v>
      </c>
      <c r="C66" s="33" t="s">
        <v>497</v>
      </c>
      <c r="D66" s="33" t="s">
        <v>1706</v>
      </c>
      <c r="E66" s="174">
        <v>5</v>
      </c>
      <c r="F66" s="174">
        <f t="shared" si="2"/>
        <v>490</v>
      </c>
      <c r="G66" s="175" t="s">
        <v>502</v>
      </c>
      <c r="H66" s="33" t="s">
        <v>1788</v>
      </c>
      <c r="I66" s="208"/>
      <c r="J66" s="208"/>
      <c r="K66" s="208"/>
      <c r="L66" s="208"/>
      <c r="M66" s="208"/>
      <c r="N66" s="208"/>
      <c r="O66" s="208"/>
      <c r="P66" s="208"/>
      <c r="Q66" s="208"/>
      <c r="R66" s="208"/>
      <c r="S66" s="208"/>
      <c r="T66" s="208"/>
      <c r="U66" s="208"/>
      <c r="V66" s="208"/>
      <c r="W66" s="208"/>
      <c r="X66" s="208"/>
      <c r="Y66" s="208"/>
      <c r="Z66" s="208"/>
      <c r="AA66" s="208"/>
      <c r="AB66" s="208"/>
      <c r="AC66" s="208"/>
      <c r="AD66" s="208"/>
      <c r="AE66" s="208"/>
    </row>
    <row r="67" spans="1:31" ht="18" customHeight="1">
      <c r="A67" s="30">
        <f t="shared" si="1"/>
        <v>61</v>
      </c>
      <c r="B67" s="34">
        <v>45128</v>
      </c>
      <c r="C67" s="33" t="s">
        <v>518</v>
      </c>
      <c r="D67" s="33" t="s">
        <v>1707</v>
      </c>
      <c r="E67" s="174">
        <v>10</v>
      </c>
      <c r="F67" s="174">
        <f t="shared" si="2"/>
        <v>500</v>
      </c>
      <c r="G67" s="175" t="s">
        <v>502</v>
      </c>
      <c r="H67" s="33"/>
      <c r="I67" s="208"/>
      <c r="J67" s="208"/>
      <c r="K67" s="208"/>
      <c r="L67" s="208"/>
      <c r="M67" s="208"/>
      <c r="N67" s="208"/>
      <c r="O67" s="208"/>
      <c r="P67" s="208"/>
      <c r="Q67" s="208"/>
      <c r="R67" s="208"/>
      <c r="S67" s="208"/>
      <c r="T67" s="208"/>
      <c r="U67" s="208"/>
      <c r="V67" s="208"/>
      <c r="W67" s="208"/>
      <c r="X67" s="208"/>
      <c r="Y67" s="208"/>
      <c r="Z67" s="208"/>
      <c r="AA67" s="208"/>
      <c r="AB67" s="208"/>
      <c r="AC67" s="208"/>
      <c r="AD67" s="208"/>
      <c r="AE67" s="208"/>
    </row>
    <row r="68" spans="1:31" ht="18" customHeight="1">
      <c r="A68" s="30">
        <f t="shared" si="1"/>
        <v>62</v>
      </c>
      <c r="B68" s="34">
        <v>45128</v>
      </c>
      <c r="C68" s="33" t="s">
        <v>497</v>
      </c>
      <c r="D68" s="33" t="s">
        <v>1708</v>
      </c>
      <c r="E68" s="174">
        <v>10</v>
      </c>
      <c r="F68" s="174">
        <f t="shared" si="2"/>
        <v>510</v>
      </c>
      <c r="G68" s="175" t="s">
        <v>502</v>
      </c>
      <c r="H68" s="33"/>
      <c r="I68" s="208"/>
      <c r="J68" s="208"/>
      <c r="K68" s="208"/>
      <c r="L68" s="208"/>
      <c r="M68" s="208"/>
      <c r="N68" s="208"/>
      <c r="O68" s="208"/>
      <c r="P68" s="208"/>
      <c r="Q68" s="208"/>
      <c r="R68" s="208"/>
      <c r="S68" s="208"/>
      <c r="T68" s="208"/>
      <c r="U68" s="208"/>
      <c r="V68" s="208"/>
      <c r="W68" s="208"/>
      <c r="X68" s="208"/>
      <c r="Y68" s="208"/>
      <c r="Z68" s="208"/>
      <c r="AA68" s="208"/>
      <c r="AB68" s="208"/>
      <c r="AC68" s="208"/>
      <c r="AD68" s="208"/>
      <c r="AE68" s="208"/>
    </row>
    <row r="69" spans="1:31" ht="18" customHeight="1">
      <c r="A69" s="30">
        <f t="shared" si="1"/>
        <v>63</v>
      </c>
      <c r="B69" s="34">
        <v>45128</v>
      </c>
      <c r="C69" s="33" t="s">
        <v>518</v>
      </c>
      <c r="D69" s="33" t="s">
        <v>585</v>
      </c>
      <c r="E69" s="174">
        <v>10</v>
      </c>
      <c r="F69" s="174">
        <f t="shared" si="2"/>
        <v>520</v>
      </c>
      <c r="G69" s="175" t="s">
        <v>502</v>
      </c>
      <c r="H69" s="33"/>
      <c r="I69" s="208"/>
      <c r="J69" s="208"/>
      <c r="K69" s="208"/>
      <c r="L69" s="208"/>
      <c r="M69" s="208"/>
      <c r="N69" s="208"/>
      <c r="O69" s="208"/>
      <c r="P69" s="208"/>
      <c r="Q69" s="208"/>
      <c r="R69" s="208"/>
      <c r="S69" s="208"/>
      <c r="T69" s="208"/>
      <c r="U69" s="208"/>
      <c r="V69" s="208"/>
      <c r="W69" s="208"/>
      <c r="X69" s="208"/>
      <c r="Y69" s="208"/>
      <c r="Z69" s="208"/>
      <c r="AA69" s="208"/>
      <c r="AB69" s="208"/>
      <c r="AC69" s="208"/>
      <c r="AD69" s="208"/>
      <c r="AE69" s="208"/>
    </row>
    <row r="70" spans="1:31" ht="18" customHeight="1">
      <c r="A70" s="30">
        <f t="shared" si="1"/>
        <v>64</v>
      </c>
      <c r="B70" s="34">
        <v>45128</v>
      </c>
      <c r="C70" s="33" t="s">
        <v>497</v>
      </c>
      <c r="D70" s="33" t="s">
        <v>1709</v>
      </c>
      <c r="E70" s="174">
        <v>10</v>
      </c>
      <c r="F70" s="174">
        <f t="shared" si="2"/>
        <v>530</v>
      </c>
      <c r="G70" s="175" t="s">
        <v>502</v>
      </c>
      <c r="H70" s="33" t="s">
        <v>1788</v>
      </c>
      <c r="I70" s="208"/>
      <c r="J70" s="208"/>
      <c r="K70" s="208"/>
      <c r="L70" s="208"/>
      <c r="M70" s="208"/>
      <c r="N70" s="208"/>
      <c r="O70" s="208"/>
      <c r="P70" s="208"/>
      <c r="Q70" s="208"/>
      <c r="R70" s="208"/>
      <c r="S70" s="208"/>
      <c r="T70" s="208"/>
      <c r="U70" s="208"/>
      <c r="V70" s="208"/>
      <c r="W70" s="208"/>
      <c r="X70" s="208"/>
      <c r="Y70" s="208"/>
      <c r="Z70" s="208"/>
      <c r="AA70" s="208"/>
      <c r="AB70" s="208"/>
      <c r="AC70" s="208"/>
      <c r="AD70" s="208"/>
      <c r="AE70" s="208"/>
    </row>
    <row r="71" spans="1:31" ht="18" customHeight="1">
      <c r="A71" s="30">
        <f t="shared" si="1"/>
        <v>65</v>
      </c>
      <c r="B71" s="34">
        <v>45128</v>
      </c>
      <c r="C71" s="33" t="s">
        <v>518</v>
      </c>
      <c r="D71" s="33" t="s">
        <v>757</v>
      </c>
      <c r="E71" s="174">
        <v>10</v>
      </c>
      <c r="F71" s="174">
        <f t="shared" si="2"/>
        <v>540</v>
      </c>
      <c r="G71" s="175" t="s">
        <v>502</v>
      </c>
      <c r="H71" s="33" t="s">
        <v>1788</v>
      </c>
      <c r="I71" s="208"/>
      <c r="J71" s="208"/>
      <c r="K71" s="208"/>
      <c r="L71" s="208"/>
      <c r="M71" s="208"/>
      <c r="N71" s="208"/>
      <c r="O71" s="208"/>
      <c r="P71" s="208"/>
      <c r="Q71" s="208"/>
      <c r="R71" s="208"/>
      <c r="S71" s="208"/>
      <c r="T71" s="208"/>
      <c r="U71" s="208"/>
      <c r="V71" s="208"/>
      <c r="W71" s="208"/>
      <c r="X71" s="208"/>
      <c r="Y71" s="208"/>
      <c r="Z71" s="208"/>
      <c r="AA71" s="208"/>
      <c r="AB71" s="208"/>
      <c r="AC71" s="208"/>
      <c r="AD71" s="208"/>
      <c r="AE71" s="208"/>
    </row>
    <row r="72" spans="1:31" ht="18" customHeight="1">
      <c r="A72" s="30">
        <f t="shared" ref="A72:A111" si="3">ROW()-6</f>
        <v>66</v>
      </c>
      <c r="B72" s="34">
        <v>45128</v>
      </c>
      <c r="C72" s="33" t="s">
        <v>497</v>
      </c>
      <c r="D72" s="33" t="s">
        <v>659</v>
      </c>
      <c r="E72" s="174">
        <v>10</v>
      </c>
      <c r="F72" s="174">
        <f t="shared" si="2"/>
        <v>550</v>
      </c>
      <c r="G72" s="175" t="s">
        <v>502</v>
      </c>
      <c r="H72" s="33" t="s">
        <v>1788</v>
      </c>
      <c r="I72" s="208"/>
      <c r="J72" s="208"/>
      <c r="K72" s="208"/>
      <c r="L72" s="208"/>
      <c r="M72" s="208"/>
      <c r="N72" s="208"/>
      <c r="O72" s="208"/>
      <c r="P72" s="208"/>
      <c r="Q72" s="208"/>
      <c r="R72" s="208"/>
      <c r="S72" s="208"/>
      <c r="T72" s="208"/>
      <c r="U72" s="208"/>
      <c r="V72" s="208"/>
      <c r="W72" s="208"/>
      <c r="X72" s="208"/>
      <c r="Y72" s="208"/>
      <c r="Z72" s="208"/>
      <c r="AA72" s="208"/>
      <c r="AB72" s="208"/>
      <c r="AC72" s="208"/>
      <c r="AD72" s="208"/>
      <c r="AE72" s="208"/>
    </row>
    <row r="73" spans="1:31" ht="18" customHeight="1">
      <c r="A73" s="30">
        <f t="shared" si="3"/>
        <v>67</v>
      </c>
      <c r="B73" s="34">
        <v>45128</v>
      </c>
      <c r="C73" s="33" t="s">
        <v>518</v>
      </c>
      <c r="D73" s="33" t="s">
        <v>520</v>
      </c>
      <c r="E73" s="174">
        <v>10</v>
      </c>
      <c r="F73" s="174">
        <f t="shared" ref="F73:F111" si="4">F72+E73</f>
        <v>560</v>
      </c>
      <c r="G73" s="175" t="s">
        <v>502</v>
      </c>
      <c r="H73" s="33" t="s">
        <v>1788</v>
      </c>
      <c r="I73" s="208"/>
      <c r="J73" s="208"/>
      <c r="K73" s="208"/>
      <c r="L73" s="208"/>
      <c r="M73" s="208"/>
      <c r="N73" s="208"/>
      <c r="O73" s="208"/>
      <c r="P73" s="208"/>
      <c r="Q73" s="208"/>
      <c r="R73" s="208"/>
      <c r="S73" s="208"/>
      <c r="T73" s="208"/>
      <c r="U73" s="208"/>
      <c r="V73" s="208"/>
      <c r="W73" s="208"/>
      <c r="X73" s="208"/>
      <c r="Y73" s="208"/>
      <c r="Z73" s="208"/>
      <c r="AA73" s="208"/>
      <c r="AB73" s="208"/>
      <c r="AC73" s="208"/>
      <c r="AD73" s="208"/>
      <c r="AE73" s="208"/>
    </row>
    <row r="74" spans="1:31" ht="18" customHeight="1">
      <c r="A74" s="30">
        <f t="shared" si="3"/>
        <v>68</v>
      </c>
      <c r="B74" s="34">
        <v>45128</v>
      </c>
      <c r="C74" s="33" t="s">
        <v>497</v>
      </c>
      <c r="D74" s="33" t="s">
        <v>1710</v>
      </c>
      <c r="E74" s="174">
        <v>10</v>
      </c>
      <c r="F74" s="174">
        <f t="shared" si="4"/>
        <v>570</v>
      </c>
      <c r="G74" s="175" t="s">
        <v>502</v>
      </c>
      <c r="H74" s="33" t="s">
        <v>1788</v>
      </c>
      <c r="I74" s="208"/>
      <c r="J74" s="208"/>
      <c r="K74" s="208"/>
      <c r="L74" s="208"/>
      <c r="M74" s="208"/>
      <c r="N74" s="208"/>
      <c r="O74" s="208"/>
      <c r="P74" s="208"/>
      <c r="Q74" s="208"/>
      <c r="R74" s="208"/>
      <c r="S74" s="208"/>
      <c r="T74" s="208"/>
      <c r="U74" s="208"/>
      <c r="V74" s="208"/>
      <c r="W74" s="208"/>
      <c r="X74" s="208"/>
      <c r="Y74" s="208"/>
      <c r="Z74" s="208"/>
      <c r="AA74" s="208"/>
      <c r="AB74" s="208"/>
      <c r="AC74" s="208"/>
      <c r="AD74" s="208"/>
      <c r="AE74" s="208"/>
    </row>
    <row r="75" spans="1:31" ht="18" customHeight="1">
      <c r="A75" s="30">
        <f t="shared" si="3"/>
        <v>69</v>
      </c>
      <c r="B75" s="34">
        <v>45128</v>
      </c>
      <c r="C75" s="33" t="s">
        <v>497</v>
      </c>
      <c r="D75" s="33" t="s">
        <v>1711</v>
      </c>
      <c r="E75" s="174">
        <v>10</v>
      </c>
      <c r="F75" s="174">
        <f t="shared" si="4"/>
        <v>580</v>
      </c>
      <c r="G75" s="175" t="s">
        <v>502</v>
      </c>
      <c r="H75" s="33"/>
      <c r="I75" s="208"/>
      <c r="J75" s="208"/>
      <c r="K75" s="208"/>
      <c r="L75" s="208"/>
      <c r="M75" s="208"/>
      <c r="N75" s="208"/>
      <c r="O75" s="208"/>
      <c r="P75" s="208"/>
      <c r="Q75" s="208"/>
      <c r="R75" s="208"/>
      <c r="S75" s="208"/>
      <c r="T75" s="208"/>
      <c r="U75" s="208"/>
      <c r="V75" s="208"/>
      <c r="W75" s="208"/>
      <c r="X75" s="208"/>
      <c r="Y75" s="208"/>
      <c r="Z75" s="208"/>
      <c r="AA75" s="208"/>
      <c r="AB75" s="208"/>
      <c r="AC75" s="208"/>
      <c r="AD75" s="208"/>
      <c r="AE75" s="208"/>
    </row>
    <row r="76" spans="1:31" ht="18" customHeight="1">
      <c r="A76" s="30">
        <f t="shared" si="3"/>
        <v>70</v>
      </c>
      <c r="B76" s="34">
        <v>45128</v>
      </c>
      <c r="C76" s="33" t="s">
        <v>500</v>
      </c>
      <c r="D76" s="33" t="s">
        <v>1712</v>
      </c>
      <c r="E76" s="174">
        <v>5</v>
      </c>
      <c r="F76" s="174">
        <f t="shared" si="4"/>
        <v>585</v>
      </c>
      <c r="G76" s="175" t="s">
        <v>502</v>
      </c>
      <c r="H76" s="33"/>
      <c r="I76" s="208"/>
      <c r="J76" s="208"/>
      <c r="K76" s="208"/>
      <c r="L76" s="208"/>
      <c r="M76" s="208"/>
      <c r="N76" s="208"/>
      <c r="O76" s="208"/>
      <c r="P76" s="208"/>
      <c r="Q76" s="208"/>
      <c r="R76" s="208"/>
      <c r="S76" s="208"/>
      <c r="T76" s="208"/>
      <c r="U76" s="208"/>
      <c r="V76" s="208"/>
      <c r="W76" s="208"/>
      <c r="X76" s="208"/>
      <c r="Y76" s="208"/>
      <c r="Z76" s="208"/>
      <c r="AA76" s="208"/>
      <c r="AB76" s="208"/>
      <c r="AC76" s="208"/>
      <c r="AD76" s="208"/>
      <c r="AE76" s="208"/>
    </row>
    <row r="77" spans="1:31" ht="18" customHeight="1">
      <c r="A77" s="30">
        <f t="shared" si="3"/>
        <v>71</v>
      </c>
      <c r="B77" s="34">
        <v>45128</v>
      </c>
      <c r="C77" s="33" t="s">
        <v>497</v>
      </c>
      <c r="D77" s="33" t="s">
        <v>1713</v>
      </c>
      <c r="E77" s="174">
        <v>10</v>
      </c>
      <c r="F77" s="174">
        <f t="shared" si="4"/>
        <v>595</v>
      </c>
      <c r="G77" s="175" t="s">
        <v>502</v>
      </c>
      <c r="H77" s="33"/>
      <c r="I77" s="208"/>
      <c r="J77" s="208"/>
      <c r="K77" s="208"/>
      <c r="L77" s="208"/>
      <c r="M77" s="208"/>
      <c r="N77" s="208"/>
      <c r="O77" s="208"/>
      <c r="P77" s="208"/>
      <c r="Q77" s="208"/>
      <c r="R77" s="208"/>
      <c r="S77" s="208"/>
      <c r="T77" s="208"/>
      <c r="U77" s="208"/>
      <c r="V77" s="208"/>
      <c r="W77" s="208"/>
      <c r="X77" s="208"/>
      <c r="Y77" s="208"/>
      <c r="Z77" s="208"/>
      <c r="AA77" s="208"/>
      <c r="AB77" s="208"/>
      <c r="AC77" s="208"/>
      <c r="AD77" s="208"/>
      <c r="AE77" s="208"/>
    </row>
    <row r="78" spans="1:31" ht="18" customHeight="1">
      <c r="A78" s="30">
        <f t="shared" si="3"/>
        <v>72</v>
      </c>
      <c r="B78" s="34">
        <v>45128</v>
      </c>
      <c r="C78" s="33" t="s">
        <v>497</v>
      </c>
      <c r="D78" s="33" t="s">
        <v>1714</v>
      </c>
      <c r="E78" s="174">
        <v>10</v>
      </c>
      <c r="F78" s="174">
        <f t="shared" si="4"/>
        <v>605</v>
      </c>
      <c r="G78" s="175" t="s">
        <v>502</v>
      </c>
      <c r="H78" s="33" t="s">
        <v>1788</v>
      </c>
      <c r="I78" s="208"/>
      <c r="J78" s="208"/>
      <c r="K78" s="208"/>
      <c r="L78" s="208"/>
      <c r="M78" s="208"/>
      <c r="N78" s="208"/>
      <c r="O78" s="208"/>
      <c r="P78" s="208"/>
      <c r="Q78" s="208"/>
      <c r="R78" s="208"/>
      <c r="S78" s="208"/>
      <c r="T78" s="208"/>
      <c r="U78" s="208"/>
      <c r="V78" s="208"/>
      <c r="W78" s="208"/>
      <c r="X78" s="208"/>
      <c r="Y78" s="208"/>
      <c r="Z78" s="208"/>
      <c r="AA78" s="208"/>
      <c r="AB78" s="208"/>
      <c r="AC78" s="208"/>
      <c r="AD78" s="208"/>
      <c r="AE78" s="208"/>
    </row>
    <row r="79" spans="1:31" ht="18" customHeight="1">
      <c r="A79" s="30">
        <f t="shared" si="3"/>
        <v>73</v>
      </c>
      <c r="B79" s="34">
        <v>45128</v>
      </c>
      <c r="C79" s="33" t="s">
        <v>497</v>
      </c>
      <c r="D79" s="33" t="s">
        <v>800</v>
      </c>
      <c r="E79" s="174">
        <v>10</v>
      </c>
      <c r="F79" s="174">
        <f t="shared" si="4"/>
        <v>615</v>
      </c>
      <c r="G79" s="175" t="s">
        <v>502</v>
      </c>
      <c r="H79" s="33"/>
      <c r="I79" s="208"/>
      <c r="J79" s="208"/>
      <c r="K79" s="208"/>
      <c r="L79" s="208"/>
      <c r="M79" s="208"/>
      <c r="N79" s="208"/>
      <c r="O79" s="208"/>
      <c r="P79" s="208"/>
      <c r="Q79" s="208"/>
      <c r="R79" s="208"/>
      <c r="S79" s="208"/>
      <c r="T79" s="208"/>
      <c r="U79" s="208"/>
      <c r="V79" s="208"/>
      <c r="W79" s="208"/>
      <c r="X79" s="208"/>
      <c r="Y79" s="208"/>
      <c r="Z79" s="208"/>
      <c r="AA79" s="208"/>
      <c r="AB79" s="208"/>
      <c r="AC79" s="208"/>
      <c r="AD79" s="208"/>
      <c r="AE79" s="208"/>
    </row>
    <row r="80" spans="1:31" ht="18" customHeight="1">
      <c r="A80" s="30">
        <f t="shared" si="3"/>
        <v>74</v>
      </c>
      <c r="B80" s="34">
        <v>45128</v>
      </c>
      <c r="C80" s="33" t="s">
        <v>497</v>
      </c>
      <c r="D80" s="33" t="s">
        <v>173</v>
      </c>
      <c r="E80" s="174">
        <v>10</v>
      </c>
      <c r="F80" s="174">
        <f t="shared" si="4"/>
        <v>625</v>
      </c>
      <c r="G80" s="175" t="s">
        <v>502</v>
      </c>
      <c r="H80" s="33"/>
      <c r="I80" s="208"/>
      <c r="J80" s="208"/>
      <c r="K80" s="208"/>
      <c r="L80" s="208"/>
      <c r="M80" s="208"/>
      <c r="N80" s="208"/>
      <c r="O80" s="208"/>
      <c r="P80" s="208"/>
      <c r="Q80" s="208"/>
      <c r="R80" s="208"/>
      <c r="S80" s="208"/>
      <c r="T80" s="208"/>
      <c r="U80" s="208"/>
      <c r="V80" s="208"/>
      <c r="W80" s="208"/>
      <c r="X80" s="208"/>
      <c r="Y80" s="208"/>
      <c r="Z80" s="208"/>
      <c r="AA80" s="208"/>
      <c r="AB80" s="208"/>
      <c r="AC80" s="208"/>
      <c r="AD80" s="208"/>
      <c r="AE80" s="208"/>
    </row>
    <row r="81" spans="1:31" ht="18" customHeight="1">
      <c r="A81" s="30">
        <f t="shared" si="3"/>
        <v>75</v>
      </c>
      <c r="B81" s="34">
        <v>45128</v>
      </c>
      <c r="C81" s="33" t="s">
        <v>497</v>
      </c>
      <c r="D81" s="33" t="s">
        <v>1715</v>
      </c>
      <c r="E81" s="174">
        <v>10</v>
      </c>
      <c r="F81" s="174">
        <f t="shared" si="4"/>
        <v>635</v>
      </c>
      <c r="G81" s="175" t="s">
        <v>502</v>
      </c>
      <c r="H81" s="33"/>
      <c r="I81" s="208"/>
      <c r="J81" s="208"/>
      <c r="K81" s="208"/>
      <c r="L81" s="208"/>
      <c r="M81" s="208"/>
      <c r="N81" s="208"/>
      <c r="O81" s="208"/>
      <c r="P81" s="208"/>
      <c r="Q81" s="208"/>
      <c r="R81" s="208"/>
      <c r="S81" s="208"/>
      <c r="T81" s="208"/>
      <c r="U81" s="208"/>
      <c r="V81" s="208"/>
      <c r="W81" s="208"/>
      <c r="X81" s="208"/>
      <c r="Y81" s="208"/>
      <c r="Z81" s="208"/>
      <c r="AA81" s="208"/>
      <c r="AB81" s="208"/>
      <c r="AC81" s="208"/>
      <c r="AD81" s="208"/>
      <c r="AE81" s="208"/>
    </row>
    <row r="82" spans="1:31" ht="18" customHeight="1">
      <c r="A82" s="30">
        <f t="shared" si="3"/>
        <v>76</v>
      </c>
      <c r="B82" s="34">
        <v>45128</v>
      </c>
      <c r="C82" s="33" t="s">
        <v>497</v>
      </c>
      <c r="D82" s="33" t="s">
        <v>1716</v>
      </c>
      <c r="E82" s="174">
        <v>10</v>
      </c>
      <c r="F82" s="174">
        <f t="shared" si="4"/>
        <v>645</v>
      </c>
      <c r="G82" s="175" t="s">
        <v>502</v>
      </c>
      <c r="H82" s="33"/>
      <c r="I82" s="208"/>
      <c r="J82" s="208"/>
      <c r="K82" s="208"/>
      <c r="L82" s="208"/>
      <c r="M82" s="208"/>
      <c r="N82" s="208"/>
      <c r="O82" s="208"/>
      <c r="P82" s="208"/>
      <c r="Q82" s="208"/>
      <c r="R82" s="208"/>
      <c r="S82" s="208"/>
      <c r="T82" s="208"/>
      <c r="U82" s="208"/>
      <c r="V82" s="208"/>
      <c r="W82" s="208"/>
      <c r="X82" s="208"/>
      <c r="Y82" s="208"/>
      <c r="Z82" s="208"/>
      <c r="AA82" s="208"/>
      <c r="AB82" s="208"/>
      <c r="AC82" s="208"/>
      <c r="AD82" s="208"/>
      <c r="AE82" s="208"/>
    </row>
    <row r="83" spans="1:31" ht="18" customHeight="1">
      <c r="A83" s="30">
        <f t="shared" si="3"/>
        <v>77</v>
      </c>
      <c r="B83" s="34">
        <v>45128</v>
      </c>
      <c r="C83" s="33" t="s">
        <v>500</v>
      </c>
      <c r="D83" s="33" t="s">
        <v>746</v>
      </c>
      <c r="E83" s="174">
        <v>10</v>
      </c>
      <c r="F83" s="174">
        <f t="shared" si="4"/>
        <v>655</v>
      </c>
      <c r="G83" s="175" t="s">
        <v>502</v>
      </c>
      <c r="H83" s="33" t="s">
        <v>1788</v>
      </c>
      <c r="I83" s="208"/>
      <c r="J83" s="208"/>
      <c r="K83" s="208"/>
      <c r="L83" s="208"/>
      <c r="M83" s="208"/>
      <c r="N83" s="208"/>
      <c r="O83" s="208"/>
      <c r="P83" s="208"/>
      <c r="Q83" s="208"/>
      <c r="R83" s="208"/>
      <c r="S83" s="208"/>
      <c r="T83" s="208"/>
      <c r="U83" s="208"/>
      <c r="V83" s="208"/>
      <c r="W83" s="208"/>
      <c r="X83" s="208"/>
      <c r="Y83" s="208"/>
      <c r="Z83" s="208"/>
      <c r="AA83" s="208"/>
      <c r="AB83" s="208"/>
      <c r="AC83" s="208"/>
      <c r="AD83" s="208"/>
      <c r="AE83" s="208"/>
    </row>
    <row r="84" spans="1:31" ht="18" customHeight="1">
      <c r="A84" s="30">
        <f t="shared" si="3"/>
        <v>78</v>
      </c>
      <c r="B84" s="34">
        <v>45128</v>
      </c>
      <c r="C84" s="33" t="s">
        <v>1721</v>
      </c>
      <c r="D84" s="33" t="s">
        <v>485</v>
      </c>
      <c r="E84" s="174">
        <v>100</v>
      </c>
      <c r="F84" s="174">
        <f t="shared" si="4"/>
        <v>755</v>
      </c>
      <c r="G84" s="175" t="s">
        <v>502</v>
      </c>
      <c r="H84" s="33" t="s">
        <v>1788</v>
      </c>
      <c r="I84" s="208"/>
      <c r="J84" s="208"/>
      <c r="K84" s="208"/>
      <c r="L84" s="208"/>
      <c r="M84" s="208"/>
      <c r="N84" s="208"/>
      <c r="O84" s="208"/>
      <c r="P84" s="208"/>
      <c r="Q84" s="208"/>
      <c r="R84" s="208"/>
      <c r="S84" s="208"/>
      <c r="T84" s="208"/>
      <c r="U84" s="208"/>
      <c r="V84" s="208"/>
      <c r="W84" s="208"/>
      <c r="X84" s="208"/>
      <c r="Y84" s="208"/>
      <c r="Z84" s="208"/>
      <c r="AA84" s="208"/>
      <c r="AB84" s="208"/>
      <c r="AC84" s="208"/>
      <c r="AD84" s="208"/>
      <c r="AE84" s="208"/>
    </row>
    <row r="85" spans="1:31" ht="18" customHeight="1">
      <c r="A85" s="30">
        <f t="shared" si="3"/>
        <v>79</v>
      </c>
      <c r="B85" s="34">
        <v>45128</v>
      </c>
      <c r="C85" s="33" t="s">
        <v>518</v>
      </c>
      <c r="D85" s="33" t="s">
        <v>671</v>
      </c>
      <c r="E85" s="174">
        <v>10</v>
      </c>
      <c r="F85" s="174">
        <f t="shared" si="4"/>
        <v>765</v>
      </c>
      <c r="G85" s="175" t="s">
        <v>502</v>
      </c>
      <c r="H85" s="33" t="s">
        <v>1788</v>
      </c>
      <c r="I85" s="208"/>
      <c r="J85" s="208"/>
      <c r="K85" s="208"/>
      <c r="L85" s="208"/>
      <c r="M85" s="208"/>
      <c r="N85" s="208"/>
      <c r="O85" s="208"/>
      <c r="P85" s="208"/>
      <c r="Q85" s="208"/>
      <c r="R85" s="208"/>
      <c r="S85" s="208"/>
      <c r="T85" s="208"/>
      <c r="U85" s="208"/>
      <c r="V85" s="208"/>
      <c r="W85" s="208"/>
      <c r="X85" s="208"/>
      <c r="Y85" s="208"/>
      <c r="Z85" s="208"/>
      <c r="AA85" s="208"/>
      <c r="AB85" s="208"/>
      <c r="AC85" s="208"/>
      <c r="AD85" s="208"/>
      <c r="AE85" s="208"/>
    </row>
    <row r="86" spans="1:31" ht="18" customHeight="1">
      <c r="A86" s="30">
        <f t="shared" si="3"/>
        <v>80</v>
      </c>
      <c r="B86" s="34">
        <v>45128</v>
      </c>
      <c r="C86" s="33" t="s">
        <v>518</v>
      </c>
      <c r="D86" s="33" t="s">
        <v>519</v>
      </c>
      <c r="E86" s="174">
        <v>10</v>
      </c>
      <c r="F86" s="174">
        <f t="shared" si="4"/>
        <v>775</v>
      </c>
      <c r="G86" s="175" t="s">
        <v>502</v>
      </c>
      <c r="H86" s="33" t="s">
        <v>1788</v>
      </c>
      <c r="I86" s="208"/>
      <c r="J86" s="208"/>
      <c r="K86" s="208"/>
      <c r="L86" s="208"/>
      <c r="M86" s="208"/>
      <c r="N86" s="208"/>
      <c r="O86" s="208"/>
      <c r="P86" s="208"/>
      <c r="Q86" s="208"/>
      <c r="R86" s="208"/>
      <c r="S86" s="208"/>
      <c r="T86" s="208"/>
      <c r="U86" s="208"/>
      <c r="V86" s="208"/>
      <c r="W86" s="208"/>
      <c r="X86" s="208"/>
      <c r="Y86" s="208"/>
      <c r="Z86" s="208"/>
      <c r="AA86" s="208"/>
      <c r="AB86" s="208"/>
      <c r="AC86" s="208"/>
      <c r="AD86" s="208"/>
      <c r="AE86" s="208"/>
    </row>
    <row r="87" spans="1:31" ht="18" customHeight="1">
      <c r="A87" s="30">
        <f t="shared" si="3"/>
        <v>81</v>
      </c>
      <c r="B87" s="34">
        <v>45128</v>
      </c>
      <c r="C87" s="33" t="s">
        <v>518</v>
      </c>
      <c r="D87" s="33" t="s">
        <v>547</v>
      </c>
      <c r="E87" s="174">
        <v>10</v>
      </c>
      <c r="F87" s="174">
        <f t="shared" si="4"/>
        <v>785</v>
      </c>
      <c r="G87" s="175" t="s">
        <v>502</v>
      </c>
      <c r="H87" s="33" t="s">
        <v>1788</v>
      </c>
      <c r="I87" s="208"/>
      <c r="J87" s="208"/>
      <c r="K87" s="208"/>
      <c r="L87" s="208"/>
      <c r="M87" s="208"/>
      <c r="N87" s="208"/>
      <c r="O87" s="208"/>
      <c r="P87" s="208"/>
      <c r="Q87" s="208"/>
      <c r="R87" s="208"/>
      <c r="S87" s="208"/>
      <c r="T87" s="208"/>
      <c r="U87" s="208"/>
      <c r="V87" s="208"/>
      <c r="W87" s="208"/>
      <c r="X87" s="208"/>
      <c r="Y87" s="208"/>
      <c r="Z87" s="208"/>
      <c r="AA87" s="208"/>
      <c r="AB87" s="208"/>
      <c r="AC87" s="208"/>
      <c r="AD87" s="208"/>
      <c r="AE87" s="208"/>
    </row>
    <row r="88" spans="1:31" ht="18" customHeight="1">
      <c r="A88" s="30">
        <f t="shared" si="3"/>
        <v>82</v>
      </c>
      <c r="B88" s="34">
        <v>45128</v>
      </c>
      <c r="C88" s="33" t="s">
        <v>518</v>
      </c>
      <c r="D88" s="33" t="s">
        <v>575</v>
      </c>
      <c r="E88" s="174">
        <v>10</v>
      </c>
      <c r="F88" s="174">
        <f t="shared" si="4"/>
        <v>795</v>
      </c>
      <c r="G88" s="175" t="s">
        <v>502</v>
      </c>
      <c r="H88" s="33" t="s">
        <v>1788</v>
      </c>
      <c r="I88" s="208"/>
      <c r="J88" s="208"/>
      <c r="K88" s="208"/>
      <c r="L88" s="208"/>
      <c r="M88" s="208"/>
      <c r="N88" s="208"/>
      <c r="O88" s="208"/>
      <c r="P88" s="208"/>
      <c r="Q88" s="208"/>
      <c r="R88" s="208"/>
      <c r="S88" s="208"/>
      <c r="T88" s="208"/>
      <c r="U88" s="208"/>
      <c r="V88" s="208"/>
      <c r="W88" s="208"/>
      <c r="X88" s="208"/>
      <c r="Y88" s="208"/>
      <c r="Z88" s="208"/>
      <c r="AA88" s="208"/>
      <c r="AB88" s="208"/>
      <c r="AC88" s="208"/>
      <c r="AD88" s="208"/>
      <c r="AE88" s="208"/>
    </row>
    <row r="89" spans="1:31" ht="18" customHeight="1">
      <c r="A89" s="30">
        <f t="shared" si="3"/>
        <v>83</v>
      </c>
      <c r="B89" s="34">
        <v>45128</v>
      </c>
      <c r="C89" s="33" t="s">
        <v>518</v>
      </c>
      <c r="D89" s="33" t="s">
        <v>576</v>
      </c>
      <c r="E89" s="174">
        <v>5</v>
      </c>
      <c r="F89" s="174">
        <f t="shared" si="4"/>
        <v>800</v>
      </c>
      <c r="G89" s="175" t="s">
        <v>502</v>
      </c>
      <c r="H89" s="33"/>
      <c r="I89" s="208"/>
      <c r="J89" s="208"/>
      <c r="K89" s="208"/>
      <c r="L89" s="208"/>
      <c r="M89" s="208"/>
      <c r="N89" s="208"/>
      <c r="O89" s="208"/>
      <c r="P89" s="208"/>
      <c r="Q89" s="208"/>
      <c r="R89" s="208"/>
      <c r="S89" s="208"/>
      <c r="T89" s="208"/>
      <c r="U89" s="208"/>
      <c r="V89" s="208"/>
      <c r="W89" s="208"/>
      <c r="X89" s="208"/>
      <c r="Y89" s="208"/>
      <c r="Z89" s="208"/>
      <c r="AA89" s="208"/>
      <c r="AB89" s="208"/>
      <c r="AC89" s="208"/>
      <c r="AD89" s="208"/>
      <c r="AE89" s="208"/>
    </row>
    <row r="90" spans="1:31" ht="18" customHeight="1">
      <c r="A90" s="30">
        <f t="shared" si="3"/>
        <v>84</v>
      </c>
      <c r="B90" s="34">
        <v>45128</v>
      </c>
      <c r="C90" s="33" t="s">
        <v>1721</v>
      </c>
      <c r="D90" s="33" t="s">
        <v>470</v>
      </c>
      <c r="E90" s="174">
        <v>20</v>
      </c>
      <c r="F90" s="174">
        <f t="shared" si="4"/>
        <v>820</v>
      </c>
      <c r="G90" s="175" t="s">
        <v>502</v>
      </c>
      <c r="H90" s="33"/>
      <c r="I90" s="208"/>
      <c r="J90" s="208"/>
      <c r="K90" s="208"/>
      <c r="L90" s="208"/>
      <c r="M90" s="208"/>
      <c r="N90" s="208"/>
      <c r="O90" s="208"/>
      <c r="P90" s="208"/>
      <c r="Q90" s="208"/>
      <c r="R90" s="208"/>
      <c r="S90" s="208"/>
      <c r="T90" s="208"/>
      <c r="U90" s="208"/>
      <c r="V90" s="208"/>
      <c r="W90" s="208"/>
      <c r="X90" s="208"/>
      <c r="Y90" s="208"/>
      <c r="Z90" s="208"/>
      <c r="AA90" s="208"/>
      <c r="AB90" s="208"/>
      <c r="AC90" s="208"/>
      <c r="AD90" s="208"/>
      <c r="AE90" s="208"/>
    </row>
    <row r="91" spans="1:31" ht="18" customHeight="1">
      <c r="A91" s="30">
        <f t="shared" si="3"/>
        <v>85</v>
      </c>
      <c r="B91" s="34">
        <v>45128</v>
      </c>
      <c r="C91" s="33" t="s">
        <v>500</v>
      </c>
      <c r="D91" s="33" t="s">
        <v>679</v>
      </c>
      <c r="E91" s="174">
        <v>10</v>
      </c>
      <c r="F91" s="174">
        <f t="shared" si="4"/>
        <v>830</v>
      </c>
      <c r="G91" s="175" t="s">
        <v>502</v>
      </c>
      <c r="H91" s="33" t="s">
        <v>1788</v>
      </c>
      <c r="I91" s="208"/>
      <c r="J91" s="208"/>
      <c r="K91" s="208"/>
      <c r="L91" s="208"/>
      <c r="M91" s="208"/>
      <c r="N91" s="208"/>
      <c r="O91" s="208"/>
      <c r="P91" s="208"/>
      <c r="Q91" s="208"/>
      <c r="R91" s="208"/>
      <c r="S91" s="208"/>
      <c r="T91" s="208"/>
      <c r="U91" s="208"/>
      <c r="V91" s="208"/>
      <c r="W91" s="208"/>
      <c r="X91" s="208"/>
      <c r="Y91" s="208"/>
      <c r="Z91" s="208"/>
      <c r="AA91" s="208"/>
      <c r="AB91" s="208"/>
      <c r="AC91" s="208"/>
      <c r="AD91" s="208"/>
      <c r="AE91" s="208"/>
    </row>
    <row r="92" spans="1:31" ht="18" customHeight="1">
      <c r="A92" s="30">
        <f t="shared" si="3"/>
        <v>86</v>
      </c>
      <c r="B92" s="34">
        <v>45128</v>
      </c>
      <c r="C92" s="33" t="s">
        <v>518</v>
      </c>
      <c r="D92" s="33" t="s">
        <v>559</v>
      </c>
      <c r="E92" s="174">
        <v>20</v>
      </c>
      <c r="F92" s="174">
        <f t="shared" si="4"/>
        <v>850</v>
      </c>
      <c r="G92" s="175" t="s">
        <v>502</v>
      </c>
      <c r="H92" s="33"/>
      <c r="I92" s="208"/>
      <c r="J92" s="208"/>
      <c r="K92" s="208"/>
      <c r="L92" s="208"/>
      <c r="M92" s="208"/>
      <c r="N92" s="208"/>
      <c r="O92" s="208"/>
      <c r="P92" s="208"/>
      <c r="Q92" s="208"/>
      <c r="R92" s="208"/>
      <c r="S92" s="208"/>
      <c r="T92" s="208"/>
      <c r="U92" s="208"/>
      <c r="V92" s="208"/>
      <c r="W92" s="208"/>
      <c r="X92" s="208"/>
      <c r="Y92" s="208"/>
      <c r="Z92" s="208"/>
      <c r="AA92" s="208"/>
      <c r="AB92" s="208"/>
      <c r="AC92" s="208"/>
      <c r="AD92" s="208"/>
      <c r="AE92" s="208"/>
    </row>
    <row r="93" spans="1:31" ht="18" customHeight="1">
      <c r="A93" s="30">
        <f t="shared" si="3"/>
        <v>87</v>
      </c>
      <c r="B93" s="34">
        <v>45128</v>
      </c>
      <c r="C93" s="33" t="s">
        <v>500</v>
      </c>
      <c r="D93" s="33" t="s">
        <v>1717</v>
      </c>
      <c r="E93" s="174">
        <v>10</v>
      </c>
      <c r="F93" s="174">
        <f t="shared" si="4"/>
        <v>860</v>
      </c>
      <c r="G93" s="175" t="s">
        <v>502</v>
      </c>
      <c r="H93" s="33" t="s">
        <v>1788</v>
      </c>
      <c r="I93" s="208"/>
      <c r="J93" s="208"/>
      <c r="K93" s="208"/>
      <c r="L93" s="208"/>
      <c r="M93" s="208"/>
      <c r="N93" s="208"/>
      <c r="O93" s="208"/>
      <c r="P93" s="208"/>
      <c r="Q93" s="208"/>
      <c r="R93" s="208"/>
      <c r="S93" s="208"/>
      <c r="T93" s="208"/>
      <c r="U93" s="208"/>
      <c r="V93" s="208"/>
      <c r="W93" s="208"/>
      <c r="X93" s="208"/>
      <c r="Y93" s="208"/>
      <c r="Z93" s="208"/>
      <c r="AA93" s="208"/>
      <c r="AB93" s="208"/>
      <c r="AC93" s="208"/>
      <c r="AD93" s="208"/>
      <c r="AE93" s="208"/>
    </row>
    <row r="94" spans="1:31" ht="18" customHeight="1">
      <c r="A94" s="30">
        <f t="shared" si="3"/>
        <v>88</v>
      </c>
      <c r="B94" s="34">
        <v>45128</v>
      </c>
      <c r="C94" s="33" t="s">
        <v>518</v>
      </c>
      <c r="D94" s="33" t="s">
        <v>755</v>
      </c>
      <c r="E94" s="174">
        <v>5</v>
      </c>
      <c r="F94" s="174">
        <f t="shared" si="4"/>
        <v>865</v>
      </c>
      <c r="G94" s="175" t="s">
        <v>502</v>
      </c>
      <c r="H94" s="33"/>
      <c r="I94" s="208"/>
      <c r="J94" s="208"/>
      <c r="K94" s="208"/>
      <c r="L94" s="208"/>
      <c r="M94" s="208"/>
      <c r="N94" s="208"/>
      <c r="O94" s="208"/>
      <c r="P94" s="208"/>
      <c r="Q94" s="208"/>
      <c r="R94" s="208"/>
      <c r="S94" s="208"/>
      <c r="T94" s="208"/>
      <c r="U94" s="208"/>
      <c r="V94" s="208"/>
      <c r="W94" s="208"/>
      <c r="X94" s="208"/>
      <c r="Y94" s="208"/>
      <c r="Z94" s="208"/>
      <c r="AA94" s="208"/>
      <c r="AB94" s="208"/>
      <c r="AC94" s="208"/>
      <c r="AD94" s="208"/>
      <c r="AE94" s="208"/>
    </row>
    <row r="95" spans="1:31" ht="18" customHeight="1">
      <c r="A95" s="30">
        <f t="shared" si="3"/>
        <v>89</v>
      </c>
      <c r="B95" s="34">
        <v>45128</v>
      </c>
      <c r="C95" s="33" t="s">
        <v>518</v>
      </c>
      <c r="D95" s="33" t="s">
        <v>530</v>
      </c>
      <c r="E95" s="174">
        <v>20</v>
      </c>
      <c r="F95" s="174">
        <f t="shared" si="4"/>
        <v>885</v>
      </c>
      <c r="G95" s="175" t="s">
        <v>502</v>
      </c>
      <c r="H95" s="33" t="s">
        <v>1788</v>
      </c>
      <c r="I95" s="208"/>
      <c r="J95" s="208"/>
      <c r="K95" s="208"/>
      <c r="L95" s="208"/>
      <c r="M95" s="208"/>
      <c r="N95" s="208"/>
      <c r="O95" s="208"/>
      <c r="P95" s="208"/>
      <c r="Q95" s="208"/>
      <c r="R95" s="208"/>
      <c r="S95" s="208"/>
      <c r="T95" s="208"/>
      <c r="U95" s="208"/>
      <c r="V95" s="208"/>
      <c r="W95" s="208"/>
      <c r="X95" s="208"/>
      <c r="Y95" s="208"/>
      <c r="Z95" s="208"/>
      <c r="AA95" s="208"/>
      <c r="AB95" s="208"/>
      <c r="AC95" s="208"/>
      <c r="AD95" s="208"/>
      <c r="AE95" s="208"/>
    </row>
    <row r="96" spans="1:31" ht="18" customHeight="1">
      <c r="A96" s="30">
        <f t="shared" si="3"/>
        <v>90</v>
      </c>
      <c r="B96" s="34">
        <v>45128</v>
      </c>
      <c r="C96" s="33" t="s">
        <v>500</v>
      </c>
      <c r="D96" s="33" t="s">
        <v>1718</v>
      </c>
      <c r="E96" s="174">
        <v>25</v>
      </c>
      <c r="F96" s="174">
        <f t="shared" si="4"/>
        <v>910</v>
      </c>
      <c r="G96" s="175" t="s">
        <v>502</v>
      </c>
      <c r="H96" s="33" t="s">
        <v>1788</v>
      </c>
      <c r="I96" s="208"/>
      <c r="J96" s="208"/>
      <c r="K96" s="208"/>
      <c r="L96" s="208"/>
      <c r="M96" s="208"/>
      <c r="N96" s="208"/>
      <c r="O96" s="208"/>
      <c r="P96" s="208"/>
      <c r="Q96" s="208"/>
      <c r="R96" s="208"/>
      <c r="S96" s="208"/>
      <c r="T96" s="208"/>
      <c r="U96" s="208"/>
      <c r="V96" s="208"/>
      <c r="W96" s="208"/>
      <c r="X96" s="208"/>
      <c r="Y96" s="208"/>
      <c r="Z96" s="208"/>
      <c r="AA96" s="208"/>
      <c r="AB96" s="208"/>
      <c r="AC96" s="208"/>
      <c r="AD96" s="208"/>
      <c r="AE96" s="208"/>
    </row>
    <row r="97" spans="1:31" ht="18" customHeight="1">
      <c r="A97" s="30">
        <f t="shared" si="3"/>
        <v>91</v>
      </c>
      <c r="B97" s="34">
        <v>45128</v>
      </c>
      <c r="C97" s="33" t="s">
        <v>500</v>
      </c>
      <c r="D97" s="33" t="s">
        <v>797</v>
      </c>
      <c r="E97" s="174">
        <v>25</v>
      </c>
      <c r="F97" s="174">
        <f t="shared" si="4"/>
        <v>935</v>
      </c>
      <c r="G97" s="175" t="s">
        <v>502</v>
      </c>
      <c r="H97" s="33" t="s">
        <v>1788</v>
      </c>
      <c r="I97" s="208"/>
      <c r="J97" s="208"/>
      <c r="K97" s="208"/>
      <c r="L97" s="208"/>
      <c r="M97" s="208"/>
      <c r="N97" s="208"/>
      <c r="O97" s="208"/>
      <c r="P97" s="208"/>
      <c r="Q97" s="208"/>
      <c r="R97" s="208"/>
      <c r="S97" s="208"/>
      <c r="T97" s="208"/>
      <c r="U97" s="208"/>
      <c r="V97" s="208"/>
      <c r="W97" s="208"/>
      <c r="X97" s="208"/>
      <c r="Y97" s="208"/>
      <c r="Z97" s="208"/>
      <c r="AA97" s="208"/>
      <c r="AB97" s="208"/>
      <c r="AC97" s="208"/>
      <c r="AD97" s="208"/>
      <c r="AE97" s="208"/>
    </row>
    <row r="98" spans="1:31" ht="18" customHeight="1">
      <c r="A98" s="30">
        <f t="shared" si="3"/>
        <v>92</v>
      </c>
      <c r="B98" s="34">
        <v>45128</v>
      </c>
      <c r="C98" s="33" t="s">
        <v>500</v>
      </c>
      <c r="D98" s="33" t="s">
        <v>1719</v>
      </c>
      <c r="E98" s="174">
        <v>25</v>
      </c>
      <c r="F98" s="174">
        <f t="shared" si="4"/>
        <v>960</v>
      </c>
      <c r="G98" s="175" t="s">
        <v>502</v>
      </c>
      <c r="H98" s="33"/>
      <c r="I98" s="208"/>
      <c r="J98" s="208"/>
      <c r="K98" s="208"/>
      <c r="L98" s="208"/>
      <c r="M98" s="208"/>
      <c r="N98" s="208"/>
      <c r="O98" s="208"/>
      <c r="P98" s="208"/>
      <c r="Q98" s="208"/>
      <c r="R98" s="208"/>
      <c r="S98" s="208"/>
      <c r="T98" s="208"/>
      <c r="U98" s="208"/>
      <c r="V98" s="208"/>
      <c r="W98" s="208"/>
      <c r="X98" s="208"/>
      <c r="Y98" s="208"/>
      <c r="Z98" s="208"/>
      <c r="AA98" s="208"/>
      <c r="AB98" s="208"/>
      <c r="AC98" s="208"/>
      <c r="AD98" s="208"/>
      <c r="AE98" s="208"/>
    </row>
    <row r="99" spans="1:31" ht="18" customHeight="1">
      <c r="A99" s="30">
        <f t="shared" si="3"/>
        <v>93</v>
      </c>
      <c r="B99" s="34">
        <v>45128</v>
      </c>
      <c r="C99" s="33" t="s">
        <v>500</v>
      </c>
      <c r="D99" s="33" t="s">
        <v>808</v>
      </c>
      <c r="E99" s="174">
        <v>10</v>
      </c>
      <c r="F99" s="174">
        <f t="shared" si="4"/>
        <v>970</v>
      </c>
      <c r="G99" s="175" t="s">
        <v>502</v>
      </c>
      <c r="H99" s="33" t="s">
        <v>1788</v>
      </c>
      <c r="I99" s="208"/>
      <c r="J99" s="208"/>
      <c r="K99" s="208"/>
      <c r="L99" s="208"/>
      <c r="M99" s="208"/>
      <c r="N99" s="208"/>
      <c r="O99" s="208"/>
      <c r="P99" s="208"/>
      <c r="Q99" s="208"/>
      <c r="R99" s="208"/>
      <c r="S99" s="208"/>
      <c r="T99" s="208"/>
      <c r="U99" s="208"/>
      <c r="V99" s="208"/>
      <c r="W99" s="208"/>
      <c r="X99" s="208"/>
      <c r="Y99" s="208"/>
      <c r="Z99" s="208"/>
      <c r="AA99" s="208"/>
      <c r="AB99" s="208"/>
      <c r="AC99" s="208"/>
      <c r="AD99" s="208"/>
      <c r="AE99" s="208"/>
    </row>
    <row r="100" spans="1:31" ht="18" customHeight="1">
      <c r="A100" s="30">
        <f t="shared" si="3"/>
        <v>94</v>
      </c>
      <c r="B100" s="34">
        <v>45128</v>
      </c>
      <c r="C100" s="33" t="s">
        <v>500</v>
      </c>
      <c r="D100" s="33" t="s">
        <v>537</v>
      </c>
      <c r="E100" s="174">
        <v>20</v>
      </c>
      <c r="F100" s="174">
        <f t="shared" si="4"/>
        <v>990</v>
      </c>
      <c r="G100" s="175" t="s">
        <v>502</v>
      </c>
      <c r="H100" s="33" t="s">
        <v>1788</v>
      </c>
      <c r="I100" s="208"/>
      <c r="J100" s="208"/>
      <c r="K100" s="208"/>
      <c r="L100" s="208"/>
      <c r="M100" s="208"/>
      <c r="N100" s="208"/>
      <c r="O100" s="208"/>
      <c r="P100" s="208"/>
      <c r="Q100" s="208"/>
      <c r="R100" s="208"/>
      <c r="S100" s="208"/>
      <c r="T100" s="208"/>
      <c r="U100" s="208"/>
      <c r="V100" s="208"/>
      <c r="W100" s="208"/>
      <c r="X100" s="208"/>
      <c r="Y100" s="208"/>
      <c r="Z100" s="208"/>
      <c r="AA100" s="208"/>
      <c r="AB100" s="208"/>
      <c r="AC100" s="208"/>
      <c r="AD100" s="208"/>
      <c r="AE100" s="208"/>
    </row>
    <row r="101" spans="1:31" ht="18" customHeight="1">
      <c r="A101" s="30">
        <f t="shared" si="3"/>
        <v>95</v>
      </c>
      <c r="B101" s="34">
        <v>45128</v>
      </c>
      <c r="C101" s="33" t="s">
        <v>500</v>
      </c>
      <c r="D101" s="33" t="s">
        <v>1720</v>
      </c>
      <c r="E101" s="174">
        <v>5</v>
      </c>
      <c r="F101" s="174">
        <f t="shared" si="4"/>
        <v>995</v>
      </c>
      <c r="G101" s="175" t="s">
        <v>502</v>
      </c>
      <c r="H101" s="33"/>
      <c r="I101" s="208"/>
      <c r="J101" s="208"/>
      <c r="K101" s="208"/>
      <c r="L101" s="208"/>
      <c r="M101" s="208"/>
      <c r="N101" s="208"/>
      <c r="O101" s="208"/>
      <c r="P101" s="208"/>
      <c r="Q101" s="208"/>
      <c r="R101" s="208"/>
      <c r="S101" s="208"/>
      <c r="T101" s="208"/>
      <c r="U101" s="208"/>
      <c r="V101" s="208"/>
      <c r="W101" s="208"/>
      <c r="X101" s="208"/>
      <c r="Y101" s="208"/>
      <c r="Z101" s="208"/>
      <c r="AA101" s="208"/>
      <c r="AB101" s="208"/>
      <c r="AC101" s="208"/>
      <c r="AD101" s="208"/>
      <c r="AE101" s="208"/>
    </row>
    <row r="102" spans="1:31" ht="18" customHeight="1">
      <c r="A102" s="30">
        <f t="shared" si="3"/>
        <v>96</v>
      </c>
      <c r="B102" s="34">
        <v>45128</v>
      </c>
      <c r="C102" s="33" t="s">
        <v>497</v>
      </c>
      <c r="D102" s="33" t="s">
        <v>555</v>
      </c>
      <c r="E102" s="174">
        <v>5</v>
      </c>
      <c r="F102" s="174">
        <f t="shared" si="4"/>
        <v>1000</v>
      </c>
      <c r="G102" s="175" t="s">
        <v>506</v>
      </c>
      <c r="H102" s="33"/>
      <c r="I102" s="208"/>
      <c r="J102" s="208"/>
      <c r="K102" s="208"/>
      <c r="L102" s="208"/>
      <c r="M102" s="208"/>
      <c r="N102" s="208"/>
      <c r="O102" s="208"/>
      <c r="P102" s="208"/>
      <c r="Q102" s="208"/>
      <c r="R102" s="208"/>
      <c r="S102" s="208"/>
      <c r="T102" s="208"/>
      <c r="U102" s="208"/>
      <c r="V102" s="208"/>
      <c r="W102" s="208"/>
      <c r="X102" s="208"/>
      <c r="Y102" s="208"/>
      <c r="Z102" s="208"/>
      <c r="AA102" s="208"/>
      <c r="AB102" s="208"/>
      <c r="AC102" s="208"/>
      <c r="AD102" s="208"/>
      <c r="AE102" s="208"/>
    </row>
    <row r="103" spans="1:31" ht="18" customHeight="1">
      <c r="A103" s="30">
        <f t="shared" si="3"/>
        <v>97</v>
      </c>
      <c r="B103" s="34">
        <v>45128</v>
      </c>
      <c r="C103" s="33" t="s">
        <v>497</v>
      </c>
      <c r="D103" s="33" t="s">
        <v>552</v>
      </c>
      <c r="E103" s="174">
        <v>5</v>
      </c>
      <c r="F103" s="174">
        <f t="shared" si="4"/>
        <v>1005</v>
      </c>
      <c r="G103" s="175" t="s">
        <v>506</v>
      </c>
      <c r="H103" s="33"/>
      <c r="I103" s="208"/>
      <c r="J103" s="208"/>
      <c r="K103" s="208"/>
      <c r="L103" s="208"/>
      <c r="M103" s="208"/>
      <c r="N103" s="208"/>
      <c r="O103" s="208"/>
      <c r="P103" s="208"/>
      <c r="Q103" s="208"/>
      <c r="R103" s="208"/>
      <c r="S103" s="208"/>
      <c r="T103" s="208"/>
      <c r="U103" s="208"/>
      <c r="V103" s="208"/>
      <c r="W103" s="208"/>
      <c r="X103" s="208"/>
      <c r="Y103" s="208"/>
      <c r="Z103" s="208"/>
      <c r="AA103" s="208"/>
      <c r="AB103" s="208"/>
      <c r="AC103" s="208"/>
      <c r="AD103" s="208"/>
      <c r="AE103" s="208"/>
    </row>
    <row r="104" spans="1:31" ht="18" customHeight="1">
      <c r="A104" s="30">
        <f t="shared" si="3"/>
        <v>98</v>
      </c>
      <c r="B104" s="34">
        <v>45128</v>
      </c>
      <c r="C104" s="33" t="s">
        <v>500</v>
      </c>
      <c r="D104" s="33" t="s">
        <v>582</v>
      </c>
      <c r="E104" s="174">
        <v>5</v>
      </c>
      <c r="F104" s="174">
        <f t="shared" si="4"/>
        <v>1010</v>
      </c>
      <c r="G104" s="175" t="s">
        <v>506</v>
      </c>
      <c r="H104" s="33"/>
      <c r="I104" s="208"/>
      <c r="J104" s="208"/>
      <c r="K104" s="208"/>
      <c r="L104" s="208"/>
      <c r="M104" s="208"/>
      <c r="N104" s="208"/>
      <c r="O104" s="208"/>
      <c r="P104" s="208"/>
      <c r="Q104" s="208"/>
      <c r="R104" s="208"/>
      <c r="S104" s="208"/>
      <c r="T104" s="208"/>
      <c r="U104" s="208"/>
      <c r="V104" s="208"/>
      <c r="W104" s="208"/>
      <c r="X104" s="208"/>
      <c r="Y104" s="208"/>
      <c r="Z104" s="208"/>
      <c r="AA104" s="208"/>
      <c r="AB104" s="208"/>
      <c r="AC104" s="208"/>
      <c r="AD104" s="208"/>
      <c r="AE104" s="208"/>
    </row>
    <row r="105" spans="1:31" ht="18" customHeight="1">
      <c r="A105" s="30">
        <f t="shared" si="3"/>
        <v>99</v>
      </c>
      <c r="B105" s="34">
        <v>45128</v>
      </c>
      <c r="C105" s="33" t="s">
        <v>497</v>
      </c>
      <c r="D105" s="33" t="s">
        <v>1725</v>
      </c>
      <c r="E105" s="174">
        <v>10</v>
      </c>
      <c r="F105" s="174">
        <f t="shared" si="4"/>
        <v>1020</v>
      </c>
      <c r="G105" s="175" t="s">
        <v>506</v>
      </c>
      <c r="H105" s="33"/>
      <c r="I105" s="208"/>
      <c r="J105" s="208"/>
      <c r="K105" s="208"/>
      <c r="L105" s="208"/>
      <c r="M105" s="208"/>
      <c r="N105" s="208"/>
      <c r="O105" s="208"/>
      <c r="P105" s="208"/>
      <c r="Q105" s="208"/>
      <c r="R105" s="208"/>
      <c r="S105" s="208"/>
      <c r="T105" s="208"/>
      <c r="U105" s="208"/>
      <c r="V105" s="208"/>
      <c r="W105" s="208"/>
      <c r="X105" s="208"/>
      <c r="Y105" s="208"/>
      <c r="Z105" s="208"/>
      <c r="AA105" s="208"/>
      <c r="AB105" s="208"/>
      <c r="AC105" s="208"/>
      <c r="AD105" s="208"/>
      <c r="AE105" s="208"/>
    </row>
    <row r="106" spans="1:31" ht="18" customHeight="1">
      <c r="A106" s="30">
        <f t="shared" si="3"/>
        <v>100</v>
      </c>
      <c r="B106" s="34">
        <v>45128</v>
      </c>
      <c r="C106" s="33" t="s">
        <v>497</v>
      </c>
      <c r="D106" s="33" t="s">
        <v>1726</v>
      </c>
      <c r="E106" s="174">
        <v>5</v>
      </c>
      <c r="F106" s="174">
        <f t="shared" si="4"/>
        <v>1025</v>
      </c>
      <c r="G106" s="175" t="s">
        <v>506</v>
      </c>
      <c r="H106" s="33"/>
      <c r="I106" s="208"/>
      <c r="J106" s="208"/>
      <c r="K106" s="208"/>
      <c r="L106" s="208"/>
      <c r="M106" s="208"/>
      <c r="N106" s="208"/>
      <c r="O106" s="208"/>
      <c r="P106" s="208"/>
      <c r="Q106" s="208"/>
      <c r="R106" s="208"/>
      <c r="S106" s="208"/>
      <c r="T106" s="208"/>
      <c r="U106" s="208"/>
      <c r="V106" s="208"/>
      <c r="W106" s="208"/>
      <c r="X106" s="208"/>
      <c r="Y106" s="208"/>
      <c r="Z106" s="208"/>
      <c r="AA106" s="208"/>
      <c r="AB106" s="208"/>
      <c r="AC106" s="208"/>
      <c r="AD106" s="208"/>
      <c r="AE106" s="208"/>
    </row>
    <row r="107" spans="1:31" ht="18" customHeight="1">
      <c r="A107" s="30">
        <f t="shared" si="3"/>
        <v>101</v>
      </c>
      <c r="B107" s="34">
        <v>45128</v>
      </c>
      <c r="C107" s="33" t="s">
        <v>497</v>
      </c>
      <c r="D107" s="33" t="s">
        <v>1727</v>
      </c>
      <c r="E107" s="174">
        <v>3</v>
      </c>
      <c r="F107" s="174">
        <f t="shared" si="4"/>
        <v>1028</v>
      </c>
      <c r="G107" s="175" t="s">
        <v>506</v>
      </c>
      <c r="H107" s="33"/>
      <c r="I107" s="208"/>
      <c r="J107" s="208"/>
      <c r="K107" s="208"/>
      <c r="L107" s="208"/>
      <c r="M107" s="208"/>
      <c r="N107" s="208"/>
      <c r="O107" s="208"/>
      <c r="P107" s="208"/>
      <c r="Q107" s="208"/>
      <c r="R107" s="208"/>
      <c r="S107" s="208"/>
      <c r="T107" s="208"/>
      <c r="U107" s="208"/>
      <c r="V107" s="208"/>
      <c r="W107" s="208"/>
      <c r="X107" s="208"/>
      <c r="Y107" s="208"/>
      <c r="Z107" s="208"/>
      <c r="AA107" s="208"/>
      <c r="AB107" s="208"/>
      <c r="AC107" s="208"/>
      <c r="AD107" s="208"/>
      <c r="AE107" s="208"/>
    </row>
    <row r="108" spans="1:31" ht="18" customHeight="1">
      <c r="A108" s="30">
        <f t="shared" si="3"/>
        <v>102</v>
      </c>
      <c r="B108" s="34">
        <v>45129</v>
      </c>
      <c r="C108" s="33" t="s">
        <v>497</v>
      </c>
      <c r="D108" s="33" t="s">
        <v>514</v>
      </c>
      <c r="E108" s="174">
        <v>10</v>
      </c>
      <c r="F108" s="174">
        <f t="shared" si="4"/>
        <v>1038</v>
      </c>
      <c r="G108" s="175" t="s">
        <v>1696</v>
      </c>
      <c r="H108" s="33"/>
      <c r="I108" s="208"/>
      <c r="J108" s="208"/>
      <c r="K108" s="208"/>
      <c r="L108" s="208"/>
      <c r="M108" s="208"/>
      <c r="N108" s="208"/>
      <c r="O108" s="208"/>
      <c r="P108" s="208"/>
      <c r="Q108" s="208"/>
      <c r="R108" s="208"/>
      <c r="S108" s="208"/>
      <c r="T108" s="208"/>
      <c r="U108" s="208"/>
      <c r="V108" s="208"/>
      <c r="W108" s="208"/>
      <c r="X108" s="208"/>
      <c r="Y108" s="208"/>
      <c r="Z108" s="208"/>
      <c r="AA108" s="208"/>
      <c r="AB108" s="208"/>
      <c r="AC108" s="208"/>
      <c r="AD108" s="208"/>
      <c r="AE108" s="208"/>
    </row>
    <row r="109" spans="1:31" ht="18" customHeight="1">
      <c r="A109" s="30">
        <f t="shared" si="3"/>
        <v>103</v>
      </c>
      <c r="B109" s="34">
        <v>45130</v>
      </c>
      <c r="C109" s="33" t="s">
        <v>534</v>
      </c>
      <c r="D109" s="33" t="s">
        <v>1724</v>
      </c>
      <c r="E109" s="174">
        <v>5</v>
      </c>
      <c r="F109" s="174">
        <f t="shared" si="4"/>
        <v>1043</v>
      </c>
      <c r="G109" s="175" t="s">
        <v>506</v>
      </c>
      <c r="H109" s="33"/>
      <c r="I109" s="208"/>
      <c r="J109" s="208"/>
      <c r="K109" s="208"/>
      <c r="L109" s="208"/>
      <c r="M109" s="208"/>
      <c r="N109" s="208"/>
      <c r="O109" s="208"/>
      <c r="P109" s="208"/>
      <c r="Q109" s="208"/>
      <c r="R109" s="208"/>
      <c r="S109" s="208"/>
      <c r="T109" s="208"/>
      <c r="U109" s="208"/>
      <c r="V109" s="208"/>
      <c r="W109" s="208"/>
      <c r="X109" s="208"/>
      <c r="Y109" s="208"/>
      <c r="Z109" s="208"/>
      <c r="AA109" s="208"/>
      <c r="AB109" s="208"/>
      <c r="AC109" s="208"/>
      <c r="AD109" s="208"/>
      <c r="AE109" s="208"/>
    </row>
    <row r="110" spans="1:31" ht="18" customHeight="1">
      <c r="A110" s="30">
        <f t="shared" si="3"/>
        <v>104</v>
      </c>
      <c r="B110" s="34">
        <v>45131</v>
      </c>
      <c r="C110" s="33" t="s">
        <v>518</v>
      </c>
      <c r="D110" s="33" t="s">
        <v>753</v>
      </c>
      <c r="E110" s="174">
        <v>5</v>
      </c>
      <c r="F110" s="174">
        <f t="shared" si="4"/>
        <v>1048</v>
      </c>
      <c r="G110" s="175" t="s">
        <v>506</v>
      </c>
      <c r="H110" s="33"/>
      <c r="I110" s="208"/>
      <c r="J110" s="208"/>
      <c r="K110" s="208"/>
      <c r="L110" s="208"/>
      <c r="M110" s="208"/>
      <c r="N110" s="208"/>
      <c r="O110" s="208"/>
      <c r="P110" s="208"/>
      <c r="Q110" s="208"/>
      <c r="R110" s="208"/>
      <c r="S110" s="208"/>
      <c r="T110" s="208"/>
      <c r="U110" s="208"/>
      <c r="V110" s="208"/>
      <c r="W110" s="208"/>
      <c r="X110" s="208"/>
      <c r="Y110" s="208"/>
      <c r="Z110" s="208"/>
      <c r="AA110" s="208"/>
      <c r="AB110" s="208"/>
      <c r="AC110" s="208"/>
      <c r="AD110" s="208"/>
      <c r="AE110" s="208"/>
    </row>
    <row r="111" spans="1:31" ht="18" customHeight="1">
      <c r="A111" s="30">
        <f t="shared" si="3"/>
        <v>105</v>
      </c>
      <c r="B111" s="34">
        <v>45131</v>
      </c>
      <c r="C111" s="33" t="s">
        <v>497</v>
      </c>
      <c r="D111" s="33" t="s">
        <v>1723</v>
      </c>
      <c r="E111" s="174">
        <v>5</v>
      </c>
      <c r="F111" s="174">
        <f t="shared" si="4"/>
        <v>1053</v>
      </c>
      <c r="G111" s="175" t="s">
        <v>506</v>
      </c>
      <c r="H111" s="33"/>
      <c r="I111" s="208"/>
      <c r="J111" s="208"/>
      <c r="K111" s="208"/>
      <c r="L111" s="208"/>
      <c r="M111" s="208"/>
      <c r="N111" s="208"/>
      <c r="O111" s="208"/>
      <c r="P111" s="208"/>
      <c r="Q111" s="208"/>
      <c r="R111" s="208"/>
      <c r="S111" s="208"/>
      <c r="T111" s="208"/>
      <c r="U111" s="208"/>
      <c r="V111" s="208"/>
      <c r="W111" s="208"/>
      <c r="X111" s="208"/>
      <c r="Y111" s="208"/>
      <c r="Z111" s="208"/>
      <c r="AA111" s="208"/>
      <c r="AB111" s="208"/>
      <c r="AC111" s="208"/>
      <c r="AD111" s="208"/>
      <c r="AE111" s="208"/>
    </row>
    <row r="112" spans="1:31">
      <c r="A112" s="210"/>
      <c r="B112" s="211"/>
      <c r="C112" s="211"/>
      <c r="D112" s="209"/>
      <c r="E112" s="212"/>
      <c r="F112" s="212"/>
      <c r="G112" s="213"/>
      <c r="H112" s="214"/>
      <c r="I112" s="208"/>
      <c r="J112" s="208"/>
      <c r="K112" s="208"/>
      <c r="L112" s="208"/>
      <c r="M112" s="208"/>
      <c r="N112" s="208"/>
      <c r="O112" s="208"/>
      <c r="P112" s="208"/>
      <c r="Q112" s="208"/>
      <c r="R112" s="208"/>
      <c r="S112" s="208"/>
      <c r="T112" s="208"/>
      <c r="U112" s="208"/>
      <c r="V112" s="208"/>
      <c r="W112" s="208"/>
      <c r="X112" s="208"/>
      <c r="Y112" s="208"/>
      <c r="Z112" s="208"/>
      <c r="AA112" s="208"/>
      <c r="AB112" s="208"/>
      <c r="AC112" s="208"/>
      <c r="AD112" s="208"/>
      <c r="AE112" s="208"/>
    </row>
    <row r="113" spans="1:31">
      <c r="A113" s="210"/>
      <c r="B113" s="211"/>
      <c r="C113" s="211"/>
      <c r="D113" s="209"/>
      <c r="E113" s="212"/>
      <c r="F113" s="212"/>
      <c r="G113" s="213"/>
      <c r="H113" s="214"/>
      <c r="I113" s="208"/>
      <c r="J113" s="208"/>
      <c r="K113" s="208"/>
      <c r="L113" s="208"/>
      <c r="M113" s="208"/>
      <c r="N113" s="208"/>
      <c r="O113" s="208"/>
      <c r="P113" s="208"/>
      <c r="Q113" s="208"/>
      <c r="R113" s="208"/>
      <c r="S113" s="208"/>
      <c r="T113" s="208"/>
      <c r="U113" s="208"/>
      <c r="V113" s="208"/>
      <c r="W113" s="208"/>
      <c r="X113" s="208"/>
      <c r="Y113" s="208"/>
      <c r="Z113" s="208"/>
      <c r="AA113" s="208"/>
      <c r="AB113" s="208"/>
      <c r="AC113" s="208"/>
      <c r="AD113" s="208"/>
      <c r="AE113" s="208"/>
    </row>
    <row r="114" spans="1:31">
      <c r="A114" s="210"/>
      <c r="B114" s="211"/>
      <c r="C114" s="211"/>
      <c r="D114" s="209"/>
      <c r="E114" s="212"/>
      <c r="F114" s="212"/>
      <c r="G114" s="213"/>
      <c r="H114" s="214"/>
      <c r="I114" s="208"/>
      <c r="J114" s="208"/>
      <c r="K114" s="208"/>
      <c r="L114" s="208"/>
      <c r="M114" s="208"/>
      <c r="N114" s="208"/>
      <c r="O114" s="208"/>
      <c r="P114" s="208"/>
      <c r="Q114" s="208"/>
      <c r="R114" s="208"/>
      <c r="S114" s="208"/>
      <c r="T114" s="208"/>
      <c r="U114" s="208"/>
      <c r="V114" s="208"/>
      <c r="W114" s="208"/>
      <c r="X114" s="208"/>
      <c r="Y114" s="208"/>
      <c r="Z114" s="208"/>
      <c r="AA114" s="208"/>
      <c r="AB114" s="208"/>
      <c r="AC114" s="208"/>
      <c r="AD114" s="208"/>
      <c r="AE114" s="208"/>
    </row>
    <row r="115" spans="1:31">
      <c r="A115" s="210"/>
      <c r="B115" s="211"/>
      <c r="C115" s="211"/>
      <c r="D115" s="209"/>
      <c r="E115" s="212"/>
      <c r="F115" s="212"/>
      <c r="G115" s="213"/>
      <c r="H115" s="214"/>
      <c r="I115" s="208"/>
      <c r="J115" s="208"/>
      <c r="K115" s="208"/>
      <c r="L115" s="208"/>
      <c r="M115" s="208"/>
      <c r="N115" s="208"/>
      <c r="O115" s="208"/>
      <c r="P115" s="208"/>
      <c r="Q115" s="208"/>
      <c r="R115" s="208"/>
      <c r="S115" s="208"/>
      <c r="T115" s="208"/>
      <c r="U115" s="208"/>
      <c r="V115" s="208"/>
      <c r="W115" s="208"/>
      <c r="X115" s="208"/>
      <c r="Y115" s="208"/>
      <c r="Z115" s="208"/>
      <c r="AA115" s="208"/>
      <c r="AB115" s="208"/>
      <c r="AC115" s="208"/>
      <c r="AD115" s="208"/>
      <c r="AE115" s="208"/>
    </row>
    <row r="116" spans="1:31">
      <c r="A116" s="210"/>
      <c r="B116" s="211"/>
      <c r="C116" s="211"/>
      <c r="D116" s="209"/>
      <c r="E116" s="212"/>
      <c r="F116" s="212"/>
      <c r="G116" s="213"/>
      <c r="H116" s="214"/>
      <c r="I116" s="208"/>
      <c r="J116" s="208"/>
      <c r="K116" s="208"/>
      <c r="L116" s="208"/>
      <c r="M116" s="208"/>
      <c r="N116" s="208"/>
      <c r="O116" s="208"/>
      <c r="P116" s="208"/>
      <c r="Q116" s="208"/>
      <c r="R116" s="208"/>
      <c r="S116" s="208"/>
      <c r="T116" s="208"/>
      <c r="U116" s="208"/>
      <c r="V116" s="208"/>
      <c r="W116" s="208"/>
      <c r="X116" s="208"/>
      <c r="Y116" s="208"/>
      <c r="Z116" s="208"/>
      <c r="AA116" s="208"/>
      <c r="AB116" s="208"/>
      <c r="AC116" s="208"/>
      <c r="AD116" s="208"/>
      <c r="AE116" s="208"/>
    </row>
    <row r="117" spans="1:31">
      <c r="A117" s="210"/>
      <c r="B117" s="211"/>
      <c r="C117" s="211"/>
      <c r="D117" s="209"/>
      <c r="E117" s="212"/>
      <c r="F117" s="212"/>
      <c r="G117" s="213"/>
      <c r="H117" s="214"/>
      <c r="I117" s="208"/>
      <c r="J117" s="208"/>
      <c r="K117" s="208"/>
      <c r="L117" s="208"/>
      <c r="M117" s="208"/>
      <c r="N117" s="208"/>
      <c r="O117" s="208"/>
      <c r="P117" s="208"/>
      <c r="Q117" s="208"/>
      <c r="R117" s="208"/>
      <c r="S117" s="208"/>
      <c r="T117" s="208"/>
      <c r="U117" s="208"/>
      <c r="V117" s="208"/>
      <c r="W117" s="208"/>
      <c r="X117" s="208"/>
      <c r="Y117" s="208"/>
      <c r="Z117" s="208"/>
      <c r="AA117" s="208"/>
      <c r="AB117" s="208"/>
      <c r="AC117" s="208"/>
      <c r="AD117" s="208"/>
      <c r="AE117" s="208"/>
    </row>
    <row r="118" spans="1:31">
      <c r="A118" s="210"/>
      <c r="B118" s="211"/>
      <c r="C118" s="211"/>
      <c r="D118" s="209"/>
      <c r="E118" s="212"/>
      <c r="F118" s="212"/>
      <c r="G118" s="213"/>
      <c r="H118" s="214"/>
      <c r="I118" s="208"/>
      <c r="J118" s="208"/>
      <c r="K118" s="208"/>
      <c r="L118" s="208"/>
      <c r="M118" s="208"/>
      <c r="N118" s="208"/>
      <c r="O118" s="208"/>
      <c r="P118" s="208"/>
      <c r="Q118" s="208"/>
      <c r="R118" s="208"/>
      <c r="S118" s="208"/>
      <c r="T118" s="208"/>
      <c r="U118" s="208"/>
      <c r="V118" s="208"/>
      <c r="W118" s="208"/>
      <c r="X118" s="208"/>
      <c r="Y118" s="208"/>
      <c r="Z118" s="208"/>
      <c r="AA118" s="208"/>
      <c r="AB118" s="208"/>
      <c r="AC118" s="208"/>
      <c r="AD118" s="208"/>
      <c r="AE118" s="208"/>
    </row>
    <row r="119" spans="1:31">
      <c r="A119" s="210"/>
      <c r="B119" s="211"/>
      <c r="C119" s="211"/>
      <c r="D119" s="209"/>
      <c r="E119" s="212"/>
      <c r="F119" s="212"/>
      <c r="G119" s="213"/>
      <c r="H119" s="214"/>
      <c r="I119" s="208"/>
      <c r="J119" s="208"/>
      <c r="K119" s="208"/>
      <c r="L119" s="208"/>
      <c r="M119" s="208"/>
      <c r="N119" s="208"/>
      <c r="O119" s="208"/>
      <c r="P119" s="208"/>
      <c r="Q119" s="208"/>
      <c r="R119" s="208"/>
      <c r="S119" s="208"/>
      <c r="T119" s="208"/>
      <c r="U119" s="208"/>
      <c r="V119" s="208"/>
      <c r="W119" s="208"/>
      <c r="X119" s="208"/>
      <c r="Y119" s="208"/>
      <c r="Z119" s="208"/>
      <c r="AA119" s="208"/>
      <c r="AB119" s="208"/>
      <c r="AC119" s="208"/>
      <c r="AD119" s="208"/>
      <c r="AE119" s="208"/>
    </row>
    <row r="120" spans="1:31">
      <c r="A120" s="210"/>
      <c r="B120" s="211"/>
      <c r="C120" s="211"/>
      <c r="D120" s="209"/>
      <c r="E120" s="212"/>
      <c r="F120" s="212"/>
      <c r="G120" s="213"/>
      <c r="H120" s="214"/>
      <c r="I120" s="208"/>
      <c r="J120" s="208"/>
      <c r="K120" s="208"/>
      <c r="L120" s="208"/>
      <c r="M120" s="208"/>
      <c r="N120" s="208"/>
      <c r="O120" s="208"/>
      <c r="P120" s="208"/>
      <c r="Q120" s="208"/>
      <c r="R120" s="208"/>
      <c r="S120" s="208"/>
      <c r="T120" s="208"/>
      <c r="U120" s="208"/>
      <c r="V120" s="208"/>
      <c r="W120" s="208"/>
      <c r="X120" s="208"/>
      <c r="Y120" s="208"/>
      <c r="Z120" s="208"/>
      <c r="AA120" s="208"/>
      <c r="AB120" s="208"/>
      <c r="AC120" s="208"/>
      <c r="AD120" s="208"/>
      <c r="AE120" s="208"/>
    </row>
    <row r="121" spans="1:31">
      <c r="A121" s="210"/>
      <c r="B121" s="211"/>
      <c r="C121" s="211"/>
      <c r="D121" s="209"/>
      <c r="E121" s="212"/>
      <c r="F121" s="212"/>
      <c r="G121" s="213"/>
      <c r="H121" s="214"/>
      <c r="I121" s="208"/>
      <c r="J121" s="208"/>
      <c r="K121" s="208"/>
      <c r="L121" s="208"/>
      <c r="M121" s="208"/>
      <c r="N121" s="208"/>
      <c r="O121" s="208"/>
      <c r="P121" s="208"/>
      <c r="Q121" s="208"/>
      <c r="R121" s="208"/>
      <c r="S121" s="208"/>
      <c r="T121" s="208"/>
      <c r="U121" s="208"/>
      <c r="V121" s="208"/>
      <c r="W121" s="208"/>
      <c r="X121" s="208"/>
      <c r="Y121" s="208"/>
      <c r="Z121" s="208"/>
      <c r="AA121" s="208"/>
      <c r="AB121" s="208"/>
      <c r="AC121" s="208"/>
      <c r="AD121" s="208"/>
      <c r="AE121" s="208"/>
    </row>
    <row r="122" spans="1:31">
      <c r="A122" s="210"/>
      <c r="B122" s="211"/>
      <c r="C122" s="211"/>
      <c r="D122" s="209"/>
      <c r="E122" s="212"/>
      <c r="F122" s="212"/>
      <c r="G122" s="213"/>
      <c r="H122" s="214"/>
      <c r="I122" s="208"/>
      <c r="J122" s="208"/>
      <c r="K122" s="208"/>
      <c r="L122" s="208"/>
      <c r="M122" s="208"/>
      <c r="N122" s="208"/>
      <c r="O122" s="208"/>
      <c r="P122" s="208"/>
      <c r="Q122" s="208"/>
      <c r="R122" s="208"/>
      <c r="S122" s="208"/>
      <c r="T122" s="208"/>
      <c r="U122" s="208"/>
      <c r="V122" s="208"/>
      <c r="W122" s="208"/>
      <c r="X122" s="208"/>
      <c r="Y122" s="208"/>
      <c r="Z122" s="208"/>
      <c r="AA122" s="208"/>
      <c r="AB122" s="208"/>
      <c r="AC122" s="208"/>
      <c r="AD122" s="208"/>
      <c r="AE122" s="208"/>
    </row>
    <row r="123" spans="1:31">
      <c r="A123" s="210"/>
      <c r="B123" s="211"/>
      <c r="C123" s="211"/>
      <c r="D123" s="209"/>
      <c r="E123" s="212"/>
      <c r="F123" s="212"/>
      <c r="G123" s="213"/>
      <c r="H123" s="214"/>
      <c r="I123" s="208"/>
      <c r="J123" s="208"/>
      <c r="K123" s="208"/>
      <c r="L123" s="208"/>
      <c r="M123" s="208"/>
      <c r="N123" s="208"/>
      <c r="O123" s="208"/>
      <c r="P123" s="208"/>
      <c r="Q123" s="208"/>
      <c r="R123" s="208"/>
      <c r="S123" s="208"/>
      <c r="T123" s="208"/>
      <c r="U123" s="208"/>
      <c r="V123" s="208"/>
      <c r="W123" s="208"/>
      <c r="X123" s="208"/>
      <c r="Y123" s="208"/>
      <c r="Z123" s="208"/>
      <c r="AA123" s="208"/>
      <c r="AB123" s="208"/>
      <c r="AC123" s="208"/>
      <c r="AD123" s="208"/>
      <c r="AE123" s="208"/>
    </row>
    <row r="124" spans="1:31">
      <c r="A124" s="210"/>
      <c r="B124" s="211"/>
      <c r="C124" s="211"/>
      <c r="D124" s="209"/>
      <c r="E124" s="212"/>
      <c r="F124" s="212"/>
      <c r="G124" s="213"/>
      <c r="H124" s="214"/>
      <c r="I124" s="208"/>
      <c r="J124" s="208"/>
      <c r="K124" s="208"/>
      <c r="L124" s="208"/>
      <c r="M124" s="208"/>
      <c r="N124" s="208"/>
      <c r="O124" s="208"/>
      <c r="P124" s="208"/>
      <c r="Q124" s="208"/>
      <c r="R124" s="208"/>
      <c r="S124" s="208"/>
      <c r="T124" s="208"/>
      <c r="U124" s="208"/>
      <c r="V124" s="208"/>
      <c r="W124" s="208"/>
      <c r="X124" s="208"/>
      <c r="Y124" s="208"/>
      <c r="Z124" s="208"/>
      <c r="AA124" s="208"/>
      <c r="AB124" s="208"/>
      <c r="AC124" s="208"/>
      <c r="AD124" s="208"/>
      <c r="AE124" s="208"/>
    </row>
    <row r="125" spans="1:31">
      <c r="A125" s="210"/>
      <c r="B125" s="211"/>
      <c r="C125" s="211"/>
      <c r="D125" s="209"/>
      <c r="E125" s="212"/>
      <c r="F125" s="212"/>
      <c r="G125" s="213"/>
      <c r="H125" s="214"/>
      <c r="I125" s="208"/>
      <c r="J125" s="208"/>
      <c r="K125" s="208"/>
      <c r="L125" s="208"/>
      <c r="M125" s="208"/>
      <c r="N125" s="208"/>
      <c r="O125" s="208"/>
      <c r="P125" s="208"/>
      <c r="Q125" s="208"/>
      <c r="R125" s="208"/>
      <c r="S125" s="208"/>
      <c r="T125" s="208"/>
      <c r="U125" s="208"/>
      <c r="V125" s="208"/>
      <c r="W125" s="208"/>
      <c r="X125" s="208"/>
      <c r="Y125" s="208"/>
      <c r="Z125" s="208"/>
      <c r="AA125" s="208"/>
      <c r="AB125" s="208"/>
      <c r="AC125" s="208"/>
      <c r="AD125" s="208"/>
      <c r="AE125" s="208"/>
    </row>
    <row r="126" spans="1:31">
      <c r="A126" s="210"/>
      <c r="B126" s="211"/>
      <c r="C126" s="211"/>
      <c r="D126" s="209"/>
      <c r="E126" s="212"/>
      <c r="F126" s="212"/>
      <c r="G126" s="213"/>
      <c r="H126" s="214"/>
      <c r="I126" s="208"/>
      <c r="J126" s="208"/>
      <c r="K126" s="208"/>
      <c r="L126" s="208"/>
      <c r="M126" s="208"/>
      <c r="N126" s="208"/>
      <c r="O126" s="208"/>
      <c r="P126" s="208"/>
      <c r="Q126" s="208"/>
      <c r="R126" s="208"/>
      <c r="S126" s="208"/>
      <c r="T126" s="208"/>
      <c r="U126" s="208"/>
      <c r="V126" s="208"/>
      <c r="W126" s="208"/>
      <c r="X126" s="208"/>
      <c r="Y126" s="208"/>
      <c r="Z126" s="208"/>
      <c r="AA126" s="208"/>
      <c r="AB126" s="208"/>
      <c r="AC126" s="208"/>
      <c r="AD126" s="208"/>
      <c r="AE126" s="208"/>
    </row>
    <row r="127" spans="1:31">
      <c r="A127" s="210"/>
      <c r="B127" s="211"/>
      <c r="C127" s="211"/>
      <c r="D127" s="209"/>
      <c r="E127" s="212"/>
      <c r="F127" s="212"/>
      <c r="G127" s="213"/>
      <c r="H127" s="214"/>
      <c r="I127" s="208"/>
      <c r="J127" s="208"/>
      <c r="K127" s="208"/>
      <c r="L127" s="208"/>
      <c r="M127" s="208"/>
      <c r="N127" s="208"/>
      <c r="O127" s="208"/>
      <c r="P127" s="208"/>
      <c r="Q127" s="208"/>
      <c r="R127" s="208"/>
      <c r="S127" s="208"/>
      <c r="T127" s="208"/>
      <c r="U127" s="208"/>
      <c r="V127" s="208"/>
      <c r="W127" s="208"/>
      <c r="X127" s="208"/>
      <c r="Y127" s="208"/>
      <c r="Z127" s="208"/>
      <c r="AA127" s="208"/>
      <c r="AB127" s="208"/>
      <c r="AC127" s="208"/>
      <c r="AD127" s="208"/>
      <c r="AE127" s="208"/>
    </row>
    <row r="128" spans="1:31">
      <c r="A128" s="210"/>
      <c r="B128" s="211"/>
      <c r="C128" s="211"/>
      <c r="D128" s="209"/>
      <c r="E128" s="212"/>
      <c r="F128" s="212"/>
      <c r="G128" s="213"/>
      <c r="H128" s="214"/>
      <c r="I128" s="208"/>
      <c r="J128" s="208"/>
      <c r="K128" s="208"/>
      <c r="L128" s="208"/>
      <c r="M128" s="208"/>
      <c r="N128" s="208"/>
      <c r="O128" s="208"/>
      <c r="P128" s="208"/>
      <c r="Q128" s="208"/>
      <c r="R128" s="208"/>
      <c r="S128" s="208"/>
      <c r="T128" s="208"/>
      <c r="U128" s="208"/>
      <c r="V128" s="208"/>
      <c r="W128" s="208"/>
      <c r="X128" s="208"/>
      <c r="Y128" s="208"/>
      <c r="Z128" s="208"/>
      <c r="AA128" s="208"/>
      <c r="AB128" s="208"/>
      <c r="AC128" s="208"/>
      <c r="AD128" s="208"/>
      <c r="AE128" s="208"/>
    </row>
    <row r="129" spans="1:31">
      <c r="A129" s="210"/>
      <c r="B129" s="211"/>
      <c r="C129" s="211"/>
      <c r="D129" s="209"/>
      <c r="E129" s="212"/>
      <c r="F129" s="212"/>
      <c r="G129" s="213"/>
      <c r="H129" s="214"/>
      <c r="I129" s="208"/>
      <c r="J129" s="208"/>
      <c r="K129" s="208"/>
      <c r="L129" s="208"/>
      <c r="M129" s="208"/>
      <c r="N129" s="208"/>
      <c r="O129" s="208"/>
      <c r="P129" s="208"/>
      <c r="Q129" s="208"/>
      <c r="R129" s="208"/>
      <c r="S129" s="208"/>
      <c r="T129" s="208"/>
      <c r="U129" s="208"/>
      <c r="V129" s="208"/>
      <c r="W129" s="208"/>
      <c r="X129" s="208"/>
      <c r="Y129" s="208"/>
      <c r="Z129" s="208"/>
      <c r="AA129" s="208"/>
      <c r="AB129" s="208"/>
      <c r="AC129" s="208"/>
      <c r="AD129" s="208"/>
      <c r="AE129" s="208"/>
    </row>
    <row r="130" spans="1:31">
      <c r="A130" s="210"/>
      <c r="B130" s="211"/>
      <c r="C130" s="211"/>
      <c r="D130" s="209"/>
      <c r="E130" s="212"/>
      <c r="F130" s="212"/>
      <c r="G130" s="213"/>
      <c r="H130" s="214"/>
      <c r="I130" s="208"/>
      <c r="J130" s="208"/>
      <c r="K130" s="208"/>
      <c r="L130" s="208"/>
      <c r="M130" s="208"/>
      <c r="N130" s="208"/>
      <c r="O130" s="208"/>
      <c r="P130" s="208"/>
      <c r="Q130" s="208"/>
      <c r="R130" s="208"/>
      <c r="S130" s="208"/>
      <c r="T130" s="208"/>
      <c r="U130" s="208"/>
      <c r="V130" s="208"/>
      <c r="W130" s="208"/>
      <c r="X130" s="208"/>
      <c r="Y130" s="208"/>
      <c r="Z130" s="208"/>
      <c r="AA130" s="208"/>
      <c r="AB130" s="208"/>
      <c r="AC130" s="208"/>
      <c r="AD130" s="208"/>
      <c r="AE130" s="208"/>
    </row>
    <row r="131" spans="1:31">
      <c r="A131" s="210"/>
      <c r="B131" s="211"/>
      <c r="C131" s="211"/>
      <c r="D131" s="209"/>
      <c r="E131" s="212"/>
      <c r="F131" s="212"/>
      <c r="G131" s="213"/>
      <c r="H131" s="214"/>
      <c r="I131" s="208"/>
      <c r="J131" s="208"/>
      <c r="K131" s="208"/>
      <c r="L131" s="208"/>
      <c r="M131" s="208"/>
      <c r="N131" s="208"/>
      <c r="O131" s="208"/>
      <c r="P131" s="208"/>
      <c r="Q131" s="208"/>
      <c r="R131" s="208"/>
      <c r="S131" s="208"/>
      <c r="T131" s="208"/>
      <c r="U131" s="208"/>
      <c r="V131" s="208"/>
      <c r="W131" s="208"/>
      <c r="X131" s="208"/>
      <c r="Y131" s="208"/>
      <c r="Z131" s="208"/>
      <c r="AA131" s="208"/>
      <c r="AB131" s="208"/>
      <c r="AC131" s="208"/>
      <c r="AD131" s="208"/>
      <c r="AE131" s="208"/>
    </row>
    <row r="132" spans="1:31">
      <c r="A132" s="210"/>
      <c r="B132" s="211"/>
      <c r="C132" s="211"/>
      <c r="D132" s="209"/>
      <c r="E132" s="212"/>
      <c r="F132" s="212"/>
      <c r="G132" s="213"/>
      <c r="H132" s="214"/>
      <c r="I132" s="208"/>
      <c r="J132" s="208"/>
      <c r="K132" s="208"/>
      <c r="L132" s="208"/>
      <c r="M132" s="208"/>
      <c r="N132" s="208"/>
      <c r="O132" s="208"/>
      <c r="P132" s="208"/>
      <c r="Q132" s="208"/>
      <c r="R132" s="208"/>
      <c r="S132" s="208"/>
      <c r="T132" s="208"/>
      <c r="U132" s="208"/>
      <c r="V132" s="208"/>
      <c r="W132" s="208"/>
      <c r="X132" s="208"/>
      <c r="Y132" s="208"/>
      <c r="Z132" s="208"/>
      <c r="AA132" s="208"/>
      <c r="AB132" s="208"/>
      <c r="AC132" s="208"/>
      <c r="AD132" s="208"/>
      <c r="AE132" s="208"/>
    </row>
    <row r="133" spans="1:31">
      <c r="A133" s="210"/>
      <c r="B133" s="211"/>
      <c r="C133" s="211"/>
      <c r="D133" s="209"/>
      <c r="E133" s="212"/>
      <c r="F133" s="212"/>
      <c r="G133" s="213"/>
      <c r="H133" s="214"/>
      <c r="I133" s="208"/>
      <c r="J133" s="208"/>
      <c r="K133" s="208"/>
      <c r="L133" s="208"/>
      <c r="M133" s="208"/>
      <c r="N133" s="208"/>
      <c r="O133" s="208"/>
      <c r="P133" s="208"/>
      <c r="Q133" s="208"/>
      <c r="R133" s="208"/>
      <c r="S133" s="208"/>
      <c r="T133" s="208"/>
      <c r="U133" s="208"/>
      <c r="V133" s="208"/>
      <c r="W133" s="208"/>
      <c r="X133" s="208"/>
      <c r="Y133" s="208"/>
      <c r="Z133" s="208"/>
      <c r="AA133" s="208"/>
      <c r="AB133" s="208"/>
      <c r="AC133" s="208"/>
      <c r="AD133" s="208"/>
      <c r="AE133" s="208"/>
    </row>
    <row r="134" spans="1:31">
      <c r="A134" s="210"/>
      <c r="B134" s="211"/>
      <c r="C134" s="211"/>
      <c r="D134" s="209"/>
      <c r="E134" s="212"/>
      <c r="F134" s="212"/>
      <c r="G134" s="213"/>
      <c r="H134" s="214"/>
      <c r="I134" s="208"/>
      <c r="J134" s="208"/>
      <c r="K134" s="208"/>
      <c r="L134" s="208"/>
      <c r="M134" s="208"/>
      <c r="N134" s="208"/>
      <c r="O134" s="208"/>
      <c r="P134" s="208"/>
      <c r="Q134" s="208"/>
      <c r="R134" s="208"/>
      <c r="S134" s="208"/>
      <c r="T134" s="208"/>
      <c r="U134" s="208"/>
      <c r="V134" s="208"/>
      <c r="W134" s="208"/>
      <c r="X134" s="208"/>
      <c r="Y134" s="208"/>
      <c r="Z134" s="208"/>
      <c r="AA134" s="208"/>
      <c r="AB134" s="208"/>
      <c r="AC134" s="208"/>
      <c r="AD134" s="208"/>
      <c r="AE134" s="208"/>
    </row>
    <row r="135" spans="1:31">
      <c r="A135" s="210"/>
      <c r="B135" s="211"/>
      <c r="C135" s="211"/>
      <c r="D135" s="209"/>
      <c r="E135" s="212"/>
      <c r="F135" s="212"/>
      <c r="G135" s="213"/>
      <c r="H135" s="214"/>
      <c r="I135" s="208"/>
      <c r="J135" s="208"/>
      <c r="K135" s="208"/>
      <c r="L135" s="208"/>
      <c r="M135" s="208"/>
      <c r="N135" s="208"/>
      <c r="O135" s="208"/>
      <c r="P135" s="208"/>
      <c r="Q135" s="208"/>
      <c r="R135" s="208"/>
      <c r="S135" s="208"/>
      <c r="T135" s="208"/>
      <c r="U135" s="208"/>
      <c r="V135" s="208"/>
      <c r="W135" s="208"/>
      <c r="X135" s="208"/>
      <c r="Y135" s="208"/>
      <c r="Z135" s="208"/>
      <c r="AA135" s="208"/>
      <c r="AB135" s="208"/>
      <c r="AC135" s="208"/>
      <c r="AD135" s="208"/>
      <c r="AE135" s="208"/>
    </row>
    <row r="136" spans="1:31">
      <c r="A136" s="210"/>
      <c r="B136" s="211"/>
      <c r="C136" s="211"/>
      <c r="D136" s="209"/>
      <c r="E136" s="212"/>
      <c r="F136" s="212"/>
      <c r="G136" s="213"/>
      <c r="H136" s="214"/>
      <c r="I136" s="208"/>
      <c r="J136" s="208"/>
      <c r="K136" s="208"/>
      <c r="L136" s="208"/>
      <c r="M136" s="208"/>
      <c r="N136" s="208"/>
      <c r="O136" s="208"/>
      <c r="P136" s="208"/>
      <c r="Q136" s="208"/>
      <c r="R136" s="208"/>
      <c r="S136" s="208"/>
      <c r="T136" s="208"/>
      <c r="U136" s="208"/>
      <c r="V136" s="208"/>
      <c r="W136" s="208"/>
      <c r="X136" s="208"/>
      <c r="Y136" s="208"/>
      <c r="Z136" s="208"/>
      <c r="AA136" s="208"/>
      <c r="AB136" s="208"/>
      <c r="AC136" s="208"/>
      <c r="AD136" s="208"/>
      <c r="AE136" s="208"/>
    </row>
    <row r="137" spans="1:31">
      <c r="A137" s="210"/>
      <c r="B137" s="211"/>
      <c r="C137" s="211"/>
      <c r="D137" s="209"/>
      <c r="E137" s="212"/>
      <c r="F137" s="212"/>
      <c r="G137" s="213"/>
      <c r="H137" s="214"/>
      <c r="I137" s="208"/>
      <c r="J137" s="208"/>
      <c r="K137" s="208"/>
      <c r="L137" s="208"/>
      <c r="M137" s="208"/>
      <c r="N137" s="208"/>
      <c r="O137" s="208"/>
      <c r="P137" s="208"/>
      <c r="Q137" s="208"/>
      <c r="R137" s="208"/>
      <c r="S137" s="208"/>
      <c r="T137" s="208"/>
      <c r="U137" s="208"/>
      <c r="V137" s="208"/>
      <c r="W137" s="208"/>
      <c r="X137" s="208"/>
      <c r="Y137" s="208"/>
      <c r="Z137" s="208"/>
      <c r="AA137" s="208"/>
      <c r="AB137" s="208"/>
      <c r="AC137" s="208"/>
      <c r="AD137" s="208"/>
      <c r="AE137" s="208"/>
    </row>
    <row r="138" spans="1:31">
      <c r="A138" s="210"/>
      <c r="B138" s="211"/>
      <c r="C138" s="211"/>
      <c r="D138" s="209"/>
      <c r="E138" s="212"/>
      <c r="F138" s="212"/>
      <c r="G138" s="213"/>
      <c r="H138" s="214"/>
      <c r="I138" s="208"/>
      <c r="J138" s="208"/>
      <c r="K138" s="208"/>
      <c r="L138" s="208"/>
      <c r="M138" s="208"/>
      <c r="N138" s="208"/>
      <c r="O138" s="208"/>
      <c r="P138" s="208"/>
      <c r="Q138" s="208"/>
      <c r="R138" s="208"/>
      <c r="S138" s="208"/>
      <c r="T138" s="208"/>
      <c r="U138" s="208"/>
      <c r="V138" s="208"/>
      <c r="W138" s="208"/>
      <c r="X138" s="208"/>
      <c r="Y138" s="208"/>
      <c r="Z138" s="208"/>
      <c r="AA138" s="208"/>
      <c r="AB138" s="208"/>
      <c r="AC138" s="208"/>
      <c r="AD138" s="208"/>
      <c r="AE138" s="208"/>
    </row>
    <row r="139" spans="1:31">
      <c r="A139" s="210"/>
      <c r="B139" s="211"/>
      <c r="C139" s="211"/>
      <c r="D139" s="209"/>
      <c r="E139" s="212"/>
      <c r="F139" s="212"/>
      <c r="G139" s="213"/>
      <c r="H139" s="214"/>
      <c r="I139" s="208"/>
      <c r="J139" s="208"/>
      <c r="K139" s="208"/>
      <c r="L139" s="208"/>
      <c r="M139" s="208"/>
      <c r="N139" s="208"/>
      <c r="O139" s="208"/>
      <c r="P139" s="208"/>
      <c r="Q139" s="208"/>
      <c r="R139" s="208"/>
      <c r="S139" s="208"/>
      <c r="T139" s="208"/>
      <c r="U139" s="208"/>
      <c r="V139" s="208"/>
      <c r="W139" s="208"/>
      <c r="X139" s="208"/>
      <c r="Y139" s="208"/>
      <c r="Z139" s="208"/>
      <c r="AA139" s="208"/>
      <c r="AB139" s="208"/>
      <c r="AC139" s="208"/>
      <c r="AD139" s="208"/>
      <c r="AE139" s="208"/>
    </row>
    <row r="140" spans="1:31">
      <c r="A140" s="210"/>
      <c r="B140" s="211"/>
      <c r="C140" s="211"/>
      <c r="D140" s="209"/>
      <c r="E140" s="212"/>
      <c r="F140" s="212"/>
      <c r="G140" s="213"/>
      <c r="H140" s="214"/>
      <c r="I140" s="208"/>
      <c r="J140" s="208"/>
      <c r="K140" s="208"/>
      <c r="L140" s="208"/>
      <c r="M140" s="208"/>
      <c r="N140" s="208"/>
      <c r="O140" s="208"/>
      <c r="P140" s="208"/>
      <c r="Q140" s="208"/>
      <c r="R140" s="208"/>
      <c r="S140" s="208"/>
      <c r="T140" s="208"/>
      <c r="U140" s="208"/>
      <c r="V140" s="208"/>
      <c r="W140" s="208"/>
      <c r="X140" s="208"/>
      <c r="Y140" s="208"/>
      <c r="Z140" s="208"/>
      <c r="AA140" s="208"/>
      <c r="AB140" s="208"/>
      <c r="AC140" s="208"/>
      <c r="AD140" s="208"/>
      <c r="AE140" s="208"/>
    </row>
    <row r="141" spans="1:31">
      <c r="A141" s="210"/>
      <c r="B141" s="211"/>
      <c r="C141" s="211"/>
      <c r="D141" s="209"/>
      <c r="E141" s="212"/>
      <c r="F141" s="212"/>
      <c r="G141" s="213"/>
      <c r="H141" s="214"/>
      <c r="I141" s="208"/>
      <c r="J141" s="208"/>
      <c r="K141" s="208"/>
      <c r="L141" s="208"/>
      <c r="M141" s="208"/>
      <c r="N141" s="208"/>
      <c r="O141" s="208"/>
      <c r="P141" s="208"/>
      <c r="Q141" s="208"/>
      <c r="R141" s="208"/>
      <c r="S141" s="208"/>
      <c r="T141" s="208"/>
      <c r="U141" s="208"/>
      <c r="V141" s="208"/>
      <c r="W141" s="208"/>
      <c r="X141" s="208"/>
      <c r="Y141" s="208"/>
      <c r="Z141" s="208"/>
      <c r="AA141" s="208"/>
      <c r="AB141" s="208"/>
      <c r="AC141" s="208"/>
      <c r="AD141" s="208"/>
      <c r="AE141" s="208"/>
    </row>
    <row r="142" spans="1:31">
      <c r="A142" s="210"/>
      <c r="B142" s="211"/>
      <c r="C142" s="211"/>
      <c r="D142" s="209"/>
      <c r="E142" s="212"/>
      <c r="F142" s="212"/>
      <c r="G142" s="213"/>
      <c r="H142" s="214"/>
      <c r="I142" s="208"/>
      <c r="J142" s="208"/>
      <c r="K142" s="208"/>
      <c r="L142" s="208"/>
      <c r="M142" s="208"/>
      <c r="N142" s="208"/>
      <c r="O142" s="208"/>
      <c r="P142" s="208"/>
      <c r="Q142" s="208"/>
      <c r="R142" s="208"/>
      <c r="S142" s="208"/>
      <c r="T142" s="208"/>
      <c r="U142" s="208"/>
      <c r="V142" s="208"/>
      <c r="W142" s="208"/>
      <c r="X142" s="208"/>
      <c r="Y142" s="208"/>
      <c r="Z142" s="208"/>
      <c r="AA142" s="208"/>
      <c r="AB142" s="208"/>
      <c r="AC142" s="208"/>
      <c r="AD142" s="208"/>
      <c r="AE142" s="208"/>
    </row>
    <row r="143" spans="1:31">
      <c r="A143" s="210"/>
      <c r="B143" s="211"/>
      <c r="C143" s="211"/>
      <c r="D143" s="209"/>
      <c r="E143" s="212"/>
      <c r="F143" s="212"/>
      <c r="G143" s="213"/>
      <c r="H143" s="214"/>
      <c r="I143" s="208"/>
      <c r="J143" s="208"/>
      <c r="K143" s="208"/>
      <c r="L143" s="208"/>
      <c r="M143" s="208"/>
      <c r="N143" s="208"/>
      <c r="O143" s="208"/>
      <c r="P143" s="208"/>
      <c r="Q143" s="208"/>
      <c r="R143" s="208"/>
      <c r="S143" s="208"/>
      <c r="T143" s="208"/>
      <c r="U143" s="208"/>
      <c r="V143" s="208"/>
      <c r="W143" s="208"/>
      <c r="X143" s="208"/>
      <c r="Y143" s="208"/>
      <c r="Z143" s="208"/>
      <c r="AA143" s="208"/>
      <c r="AB143" s="208"/>
      <c r="AC143" s="208"/>
      <c r="AD143" s="208"/>
      <c r="AE143" s="208"/>
    </row>
    <row r="144" spans="1:31">
      <c r="A144" s="210"/>
      <c r="B144" s="211"/>
      <c r="C144" s="211"/>
      <c r="D144" s="209"/>
      <c r="E144" s="212"/>
      <c r="F144" s="212"/>
      <c r="G144" s="213"/>
      <c r="H144" s="214"/>
      <c r="I144" s="208"/>
      <c r="J144" s="208"/>
      <c r="K144" s="208"/>
      <c r="L144" s="208"/>
      <c r="M144" s="208"/>
      <c r="N144" s="208"/>
      <c r="O144" s="208"/>
      <c r="P144" s="208"/>
      <c r="Q144" s="208"/>
      <c r="R144" s="208"/>
      <c r="S144" s="208"/>
      <c r="T144" s="208"/>
      <c r="U144" s="208"/>
      <c r="V144" s="208"/>
      <c r="W144" s="208"/>
      <c r="X144" s="208"/>
      <c r="Y144" s="208"/>
      <c r="Z144" s="208"/>
      <c r="AA144" s="208"/>
      <c r="AB144" s="208"/>
      <c r="AC144" s="208"/>
      <c r="AD144" s="208"/>
      <c r="AE144" s="208"/>
    </row>
    <row r="145" spans="1:31">
      <c r="A145" s="210"/>
      <c r="B145" s="211"/>
      <c r="C145" s="211"/>
      <c r="D145" s="209"/>
      <c r="E145" s="212"/>
      <c r="F145" s="212"/>
      <c r="G145" s="213"/>
      <c r="H145" s="214"/>
      <c r="I145" s="208"/>
      <c r="J145" s="208"/>
      <c r="K145" s="208"/>
      <c r="L145" s="208"/>
      <c r="M145" s="208"/>
      <c r="N145" s="208"/>
      <c r="O145" s="208"/>
      <c r="P145" s="208"/>
      <c r="Q145" s="208"/>
      <c r="R145" s="208"/>
      <c r="S145" s="208"/>
      <c r="T145" s="208"/>
      <c r="U145" s="208"/>
      <c r="V145" s="208"/>
      <c r="W145" s="208"/>
      <c r="X145" s="208"/>
      <c r="Y145" s="208"/>
      <c r="Z145" s="208"/>
      <c r="AA145" s="208"/>
      <c r="AB145" s="208"/>
      <c r="AC145" s="208"/>
      <c r="AD145" s="208"/>
      <c r="AE145" s="208"/>
    </row>
    <row r="146" spans="1:31">
      <c r="A146" s="210"/>
      <c r="B146" s="211"/>
      <c r="C146" s="211"/>
      <c r="D146" s="209"/>
      <c r="E146" s="212"/>
      <c r="F146" s="212"/>
      <c r="G146" s="213"/>
      <c r="H146" s="214"/>
      <c r="I146" s="208"/>
      <c r="J146" s="208"/>
      <c r="K146" s="208"/>
      <c r="L146" s="208"/>
      <c r="M146" s="208"/>
      <c r="N146" s="208"/>
      <c r="O146" s="208"/>
      <c r="P146" s="208"/>
      <c r="Q146" s="208"/>
      <c r="R146" s="208"/>
      <c r="S146" s="208"/>
      <c r="T146" s="208"/>
      <c r="U146" s="208"/>
      <c r="V146" s="208"/>
      <c r="W146" s="208"/>
      <c r="X146" s="208"/>
      <c r="Y146" s="208"/>
      <c r="Z146" s="208"/>
      <c r="AA146" s="208"/>
      <c r="AB146" s="208"/>
      <c r="AC146" s="208"/>
      <c r="AD146" s="208"/>
      <c r="AE146" s="208"/>
    </row>
    <row r="147" spans="1:31">
      <c r="A147" s="210"/>
      <c r="B147" s="211"/>
      <c r="C147" s="211"/>
      <c r="D147" s="209"/>
      <c r="E147" s="212"/>
      <c r="F147" s="212"/>
      <c r="G147" s="213"/>
      <c r="H147" s="214"/>
      <c r="I147" s="208"/>
      <c r="J147" s="208"/>
      <c r="K147" s="208"/>
      <c r="L147" s="208"/>
      <c r="M147" s="208"/>
      <c r="N147" s="208"/>
      <c r="O147" s="208"/>
      <c r="P147" s="208"/>
      <c r="Q147" s="208"/>
      <c r="R147" s="208"/>
      <c r="S147" s="208"/>
      <c r="T147" s="208"/>
      <c r="U147" s="208"/>
      <c r="V147" s="208"/>
      <c r="W147" s="208"/>
      <c r="X147" s="208"/>
      <c r="Y147" s="208"/>
      <c r="Z147" s="208"/>
      <c r="AA147" s="208"/>
      <c r="AB147" s="208"/>
      <c r="AC147" s="208"/>
      <c r="AD147" s="208"/>
      <c r="AE147" s="208"/>
    </row>
    <row r="148" spans="1:31">
      <c r="A148" s="210"/>
      <c r="B148" s="211"/>
      <c r="C148" s="211"/>
      <c r="D148" s="209"/>
      <c r="E148" s="212"/>
      <c r="F148" s="212"/>
      <c r="G148" s="213"/>
      <c r="H148" s="214"/>
      <c r="I148" s="208"/>
      <c r="J148" s="208"/>
      <c r="K148" s="208"/>
      <c r="L148" s="208"/>
      <c r="M148" s="208"/>
      <c r="N148" s="208"/>
      <c r="O148" s="208"/>
      <c r="P148" s="208"/>
      <c r="Q148" s="208"/>
      <c r="R148" s="208"/>
      <c r="S148" s="208"/>
      <c r="T148" s="208"/>
      <c r="U148" s="208"/>
      <c r="V148" s="208"/>
      <c r="W148" s="208"/>
      <c r="X148" s="208"/>
      <c r="Y148" s="208"/>
      <c r="Z148" s="208"/>
      <c r="AA148" s="208"/>
      <c r="AB148" s="208"/>
      <c r="AC148" s="208"/>
      <c r="AD148" s="208"/>
      <c r="AE148" s="208"/>
    </row>
    <row r="149" spans="1:31">
      <c r="A149" s="210"/>
      <c r="B149" s="211"/>
      <c r="C149" s="211"/>
      <c r="D149" s="209"/>
      <c r="E149" s="212"/>
      <c r="F149" s="212"/>
      <c r="G149" s="213"/>
      <c r="H149" s="214"/>
      <c r="I149" s="208"/>
      <c r="J149" s="208"/>
      <c r="K149" s="208"/>
      <c r="L149" s="208"/>
      <c r="M149" s="208"/>
      <c r="N149" s="208"/>
      <c r="O149" s="208"/>
      <c r="P149" s="208"/>
      <c r="Q149" s="208"/>
      <c r="R149" s="208"/>
      <c r="S149" s="208"/>
      <c r="T149" s="208"/>
      <c r="U149" s="208"/>
      <c r="V149" s="208"/>
      <c r="W149" s="208"/>
      <c r="X149" s="208"/>
      <c r="Y149" s="208"/>
      <c r="Z149" s="208"/>
      <c r="AA149" s="208"/>
      <c r="AB149" s="208"/>
      <c r="AC149" s="208"/>
      <c r="AD149" s="208"/>
      <c r="AE149" s="208"/>
    </row>
    <row r="150" spans="1:31">
      <c r="A150" s="210"/>
      <c r="B150" s="211"/>
      <c r="C150" s="211"/>
      <c r="D150" s="209"/>
      <c r="E150" s="212"/>
      <c r="F150" s="212"/>
      <c r="G150" s="213"/>
      <c r="H150" s="214"/>
      <c r="I150" s="208"/>
      <c r="J150" s="208"/>
      <c r="K150" s="208"/>
      <c r="L150" s="208"/>
      <c r="M150" s="208"/>
      <c r="N150" s="208"/>
      <c r="O150" s="208"/>
      <c r="P150" s="208"/>
      <c r="Q150" s="208"/>
      <c r="R150" s="208"/>
      <c r="S150" s="208"/>
      <c r="T150" s="208"/>
      <c r="U150" s="208"/>
      <c r="V150" s="208"/>
      <c r="W150" s="208"/>
      <c r="X150" s="208"/>
      <c r="Y150" s="208"/>
      <c r="Z150" s="208"/>
      <c r="AA150" s="208"/>
      <c r="AB150" s="208"/>
      <c r="AC150" s="208"/>
      <c r="AD150" s="208"/>
      <c r="AE150" s="208"/>
    </row>
    <row r="151" spans="1:31">
      <c r="A151" s="210"/>
      <c r="B151" s="211"/>
      <c r="C151" s="211"/>
      <c r="D151" s="209"/>
      <c r="E151" s="212"/>
      <c r="F151" s="212"/>
      <c r="G151" s="213"/>
      <c r="H151" s="214"/>
      <c r="I151" s="208"/>
      <c r="J151" s="208"/>
      <c r="K151" s="208"/>
      <c r="L151" s="208"/>
      <c r="M151" s="208"/>
      <c r="N151" s="208"/>
      <c r="O151" s="208"/>
      <c r="P151" s="208"/>
      <c r="Q151" s="208"/>
      <c r="R151" s="208"/>
      <c r="S151" s="208"/>
      <c r="T151" s="208"/>
      <c r="U151" s="208"/>
      <c r="V151" s="208"/>
      <c r="W151" s="208"/>
      <c r="X151" s="208"/>
      <c r="Y151" s="208"/>
      <c r="Z151" s="208"/>
      <c r="AA151" s="208"/>
      <c r="AB151" s="208"/>
      <c r="AC151" s="208"/>
      <c r="AD151" s="208"/>
      <c r="AE151" s="208"/>
    </row>
    <row r="152" spans="1:31">
      <c r="A152" s="210"/>
      <c r="B152" s="211"/>
      <c r="C152" s="211"/>
      <c r="D152" s="209"/>
      <c r="E152" s="212"/>
      <c r="F152" s="212"/>
      <c r="G152" s="213"/>
      <c r="H152" s="214"/>
      <c r="I152" s="208"/>
      <c r="J152" s="208"/>
      <c r="K152" s="208"/>
      <c r="L152" s="208"/>
      <c r="M152" s="208"/>
      <c r="N152" s="208"/>
      <c r="O152" s="208"/>
      <c r="P152" s="208"/>
      <c r="Q152" s="208"/>
      <c r="R152" s="208"/>
      <c r="S152" s="208"/>
      <c r="T152" s="208"/>
      <c r="U152" s="208"/>
      <c r="V152" s="208"/>
      <c r="W152" s="208"/>
      <c r="X152" s="208"/>
      <c r="Y152" s="208"/>
      <c r="Z152" s="208"/>
      <c r="AA152" s="208"/>
      <c r="AB152" s="208"/>
      <c r="AC152" s="208"/>
      <c r="AD152" s="208"/>
      <c r="AE152" s="208"/>
    </row>
    <row r="153" spans="1:31">
      <c r="A153" s="210"/>
      <c r="B153" s="211"/>
      <c r="C153" s="211"/>
      <c r="D153" s="209"/>
      <c r="E153" s="212"/>
      <c r="F153" s="212"/>
      <c r="G153" s="213"/>
      <c r="H153" s="214"/>
      <c r="I153" s="208"/>
      <c r="J153" s="208"/>
      <c r="K153" s="208"/>
      <c r="L153" s="208"/>
      <c r="M153" s="208"/>
      <c r="N153" s="208"/>
      <c r="O153" s="208"/>
      <c r="P153" s="208"/>
      <c r="Q153" s="208"/>
      <c r="R153" s="208"/>
      <c r="S153" s="208"/>
      <c r="T153" s="208"/>
      <c r="U153" s="208"/>
      <c r="V153" s="208"/>
      <c r="W153" s="208"/>
      <c r="X153" s="208"/>
      <c r="Y153" s="208"/>
      <c r="Z153" s="208"/>
      <c r="AA153" s="208"/>
      <c r="AB153" s="208"/>
      <c r="AC153" s="208"/>
      <c r="AD153" s="208"/>
      <c r="AE153" s="208"/>
    </row>
    <row r="154" spans="1:31">
      <c r="A154" s="210"/>
      <c r="B154" s="211"/>
      <c r="C154" s="211"/>
      <c r="D154" s="209"/>
      <c r="E154" s="212"/>
      <c r="F154" s="212"/>
      <c r="G154" s="213"/>
      <c r="H154" s="214"/>
      <c r="I154" s="208"/>
      <c r="J154" s="208"/>
      <c r="K154" s="208"/>
      <c r="L154" s="208"/>
      <c r="M154" s="208"/>
      <c r="N154" s="208"/>
      <c r="O154" s="208"/>
      <c r="P154" s="208"/>
      <c r="Q154" s="208"/>
      <c r="R154" s="208"/>
      <c r="S154" s="208"/>
      <c r="T154" s="208"/>
      <c r="U154" s="208"/>
      <c r="V154" s="208"/>
      <c r="W154" s="208"/>
      <c r="X154" s="208"/>
      <c r="Y154" s="208"/>
      <c r="Z154" s="208"/>
      <c r="AA154" s="208"/>
      <c r="AB154" s="208"/>
      <c r="AC154" s="208"/>
      <c r="AD154" s="208"/>
      <c r="AE154" s="208"/>
    </row>
    <row r="155" spans="1:31">
      <c r="A155" s="210"/>
      <c r="B155" s="211"/>
      <c r="C155" s="211"/>
      <c r="D155" s="209"/>
      <c r="E155" s="212"/>
      <c r="F155" s="212"/>
      <c r="G155" s="213"/>
      <c r="H155" s="214"/>
      <c r="I155" s="208"/>
      <c r="J155" s="208"/>
      <c r="K155" s="208"/>
      <c r="L155" s="208"/>
      <c r="M155" s="208"/>
      <c r="N155" s="208"/>
      <c r="O155" s="208"/>
      <c r="P155" s="208"/>
      <c r="Q155" s="208"/>
      <c r="R155" s="208"/>
      <c r="S155" s="208"/>
      <c r="T155" s="208"/>
      <c r="U155" s="208"/>
      <c r="V155" s="208"/>
      <c r="W155" s="208"/>
      <c r="X155" s="208"/>
      <c r="Y155" s="208"/>
      <c r="Z155" s="208"/>
      <c r="AA155" s="208"/>
      <c r="AB155" s="208"/>
      <c r="AC155" s="208"/>
      <c r="AD155" s="208"/>
      <c r="AE155" s="208"/>
    </row>
    <row r="156" spans="1:31">
      <c r="A156" s="210"/>
      <c r="B156" s="211"/>
      <c r="C156" s="211"/>
      <c r="D156" s="209"/>
      <c r="E156" s="212"/>
      <c r="F156" s="212"/>
      <c r="G156" s="213"/>
      <c r="H156" s="214"/>
      <c r="I156" s="208"/>
      <c r="J156" s="208"/>
      <c r="K156" s="208"/>
      <c r="L156" s="208"/>
      <c r="M156" s="208"/>
      <c r="N156" s="208"/>
      <c r="O156" s="208"/>
      <c r="P156" s="208"/>
      <c r="Q156" s="208"/>
      <c r="R156" s="208"/>
      <c r="S156" s="208"/>
      <c r="T156" s="208"/>
      <c r="U156" s="208"/>
      <c r="V156" s="208"/>
      <c r="W156" s="208"/>
      <c r="X156" s="208"/>
      <c r="Y156" s="208"/>
      <c r="Z156" s="208"/>
      <c r="AA156" s="208"/>
      <c r="AB156" s="208"/>
      <c r="AC156" s="208"/>
      <c r="AD156" s="208"/>
      <c r="AE156" s="208"/>
    </row>
    <row r="157" spans="1:31">
      <c r="A157" s="210"/>
      <c r="B157" s="211"/>
      <c r="C157" s="211"/>
      <c r="D157" s="209"/>
      <c r="E157" s="212"/>
      <c r="F157" s="212"/>
      <c r="G157" s="213"/>
      <c r="H157" s="214"/>
      <c r="I157" s="208"/>
      <c r="J157" s="208"/>
      <c r="K157" s="208"/>
      <c r="L157" s="208"/>
      <c r="M157" s="208"/>
      <c r="N157" s="208"/>
      <c r="O157" s="208"/>
      <c r="P157" s="208"/>
      <c r="Q157" s="208"/>
      <c r="R157" s="208"/>
      <c r="S157" s="208"/>
      <c r="T157" s="208"/>
      <c r="U157" s="208"/>
      <c r="V157" s="208"/>
      <c r="W157" s="208"/>
      <c r="X157" s="208"/>
      <c r="Y157" s="208"/>
      <c r="Z157" s="208"/>
      <c r="AA157" s="208"/>
      <c r="AB157" s="208"/>
      <c r="AC157" s="208"/>
      <c r="AD157" s="208"/>
      <c r="AE157" s="208"/>
    </row>
    <row r="158" spans="1:31">
      <c r="A158" s="210"/>
      <c r="B158" s="211"/>
      <c r="C158" s="211"/>
      <c r="D158" s="209"/>
      <c r="E158" s="212"/>
      <c r="F158" s="212"/>
      <c r="G158" s="213"/>
      <c r="H158" s="214"/>
      <c r="I158" s="208"/>
      <c r="J158" s="208"/>
      <c r="K158" s="208"/>
      <c r="L158" s="208"/>
      <c r="M158" s="208"/>
      <c r="N158" s="208"/>
      <c r="O158" s="208"/>
      <c r="P158" s="208"/>
      <c r="Q158" s="208"/>
      <c r="R158" s="208"/>
      <c r="S158" s="208"/>
      <c r="T158" s="208"/>
      <c r="U158" s="208"/>
      <c r="V158" s="208"/>
      <c r="W158" s="208"/>
      <c r="X158" s="208"/>
      <c r="Y158" s="208"/>
      <c r="Z158" s="208"/>
      <c r="AA158" s="208"/>
      <c r="AB158" s="208"/>
      <c r="AC158" s="208"/>
      <c r="AD158" s="208"/>
      <c r="AE158" s="208"/>
    </row>
    <row r="159" spans="1:31">
      <c r="A159" s="210"/>
      <c r="B159" s="211"/>
      <c r="C159" s="211"/>
      <c r="D159" s="209"/>
      <c r="E159" s="212"/>
      <c r="F159" s="212"/>
      <c r="G159" s="213"/>
      <c r="H159" s="214"/>
      <c r="I159" s="208"/>
      <c r="J159" s="208"/>
      <c r="K159" s="208"/>
      <c r="L159" s="208"/>
      <c r="M159" s="208"/>
      <c r="N159" s="208"/>
      <c r="O159" s="208"/>
      <c r="P159" s="208"/>
      <c r="Q159" s="208"/>
      <c r="R159" s="208"/>
      <c r="S159" s="208"/>
      <c r="T159" s="208"/>
      <c r="U159" s="208"/>
      <c r="V159" s="208"/>
      <c r="W159" s="208"/>
      <c r="X159" s="208"/>
      <c r="Y159" s="208"/>
      <c r="Z159" s="208"/>
      <c r="AA159" s="208"/>
      <c r="AB159" s="208"/>
      <c r="AC159" s="208"/>
      <c r="AD159" s="208"/>
      <c r="AE159" s="208"/>
    </row>
    <row r="160" spans="1:31">
      <c r="A160" s="210"/>
      <c r="B160" s="211"/>
      <c r="C160" s="211"/>
      <c r="D160" s="209"/>
      <c r="E160" s="212"/>
      <c r="F160" s="212"/>
      <c r="G160" s="213"/>
      <c r="H160" s="214"/>
      <c r="I160" s="208"/>
      <c r="J160" s="208"/>
      <c r="K160" s="208"/>
      <c r="L160" s="208"/>
      <c r="M160" s="208"/>
      <c r="N160" s="208"/>
      <c r="O160" s="208"/>
      <c r="P160" s="208"/>
      <c r="Q160" s="208"/>
      <c r="R160" s="208"/>
      <c r="S160" s="208"/>
      <c r="T160" s="208"/>
      <c r="U160" s="208"/>
      <c r="V160" s="208"/>
      <c r="W160" s="208"/>
      <c r="X160" s="208"/>
      <c r="Y160" s="208"/>
      <c r="Z160" s="208"/>
      <c r="AA160" s="208"/>
      <c r="AB160" s="208"/>
      <c r="AC160" s="208"/>
      <c r="AD160" s="208"/>
      <c r="AE160" s="208"/>
    </row>
    <row r="161" spans="1:31">
      <c r="A161" s="210"/>
      <c r="B161" s="211"/>
      <c r="C161" s="211"/>
      <c r="D161" s="209"/>
      <c r="E161" s="212"/>
      <c r="F161" s="212"/>
      <c r="G161" s="213"/>
      <c r="H161" s="214"/>
      <c r="I161" s="208"/>
      <c r="J161" s="208"/>
      <c r="K161" s="208"/>
      <c r="L161" s="208"/>
      <c r="M161" s="208"/>
      <c r="N161" s="208"/>
      <c r="O161" s="208"/>
      <c r="P161" s="208"/>
      <c r="Q161" s="208"/>
      <c r="R161" s="208"/>
      <c r="S161" s="208"/>
      <c r="T161" s="208"/>
      <c r="U161" s="208"/>
      <c r="V161" s="208"/>
      <c r="W161" s="208"/>
      <c r="X161" s="208"/>
      <c r="Y161" s="208"/>
      <c r="Z161" s="208"/>
      <c r="AA161" s="208"/>
      <c r="AB161" s="208"/>
      <c r="AC161" s="208"/>
      <c r="AD161" s="208"/>
      <c r="AE161" s="208"/>
    </row>
    <row r="162" spans="1:31">
      <c r="A162" s="210"/>
      <c r="B162" s="211"/>
      <c r="C162" s="211"/>
      <c r="D162" s="209"/>
      <c r="E162" s="212"/>
      <c r="F162" s="212"/>
      <c r="G162" s="213"/>
      <c r="H162" s="214"/>
      <c r="I162" s="208"/>
      <c r="J162" s="208"/>
      <c r="K162" s="208"/>
      <c r="L162" s="208"/>
      <c r="M162" s="208"/>
      <c r="N162" s="208"/>
      <c r="O162" s="208"/>
      <c r="P162" s="208"/>
      <c r="Q162" s="208"/>
      <c r="R162" s="208"/>
      <c r="S162" s="208"/>
      <c r="T162" s="208"/>
      <c r="U162" s="208"/>
      <c r="V162" s="208"/>
      <c r="W162" s="208"/>
      <c r="X162" s="208"/>
      <c r="Y162" s="208"/>
      <c r="Z162" s="208"/>
      <c r="AA162" s="208"/>
      <c r="AB162" s="208"/>
      <c r="AC162" s="208"/>
      <c r="AD162" s="208"/>
      <c r="AE162" s="208"/>
    </row>
    <row r="163" spans="1:31">
      <c r="A163" s="210"/>
      <c r="B163" s="211"/>
      <c r="C163" s="211"/>
      <c r="D163" s="209"/>
      <c r="E163" s="212"/>
      <c r="F163" s="212"/>
      <c r="G163" s="213"/>
      <c r="H163" s="214"/>
      <c r="I163" s="208"/>
      <c r="J163" s="208"/>
      <c r="K163" s="208"/>
      <c r="L163" s="208"/>
      <c r="M163" s="208"/>
      <c r="N163" s="208"/>
      <c r="O163" s="208"/>
      <c r="P163" s="208"/>
      <c r="Q163" s="208"/>
      <c r="R163" s="208"/>
      <c r="S163" s="208"/>
      <c r="T163" s="208"/>
      <c r="U163" s="208"/>
      <c r="V163" s="208"/>
      <c r="W163" s="208"/>
      <c r="X163" s="208"/>
      <c r="Y163" s="208"/>
      <c r="Z163" s="208"/>
      <c r="AA163" s="208"/>
      <c r="AB163" s="208"/>
      <c r="AC163" s="208"/>
      <c r="AD163" s="208"/>
      <c r="AE163" s="208"/>
    </row>
    <row r="164" spans="1:31">
      <c r="A164" s="210"/>
      <c r="B164" s="211"/>
      <c r="C164" s="211"/>
      <c r="D164" s="209"/>
      <c r="E164" s="212"/>
      <c r="F164" s="212"/>
      <c r="G164" s="213"/>
      <c r="H164" s="214"/>
      <c r="I164" s="208"/>
      <c r="J164" s="208"/>
      <c r="K164" s="208"/>
      <c r="L164" s="208"/>
      <c r="M164" s="208"/>
      <c r="N164" s="208"/>
      <c r="O164" s="208"/>
      <c r="P164" s="208"/>
      <c r="Q164" s="208"/>
      <c r="R164" s="208"/>
      <c r="S164" s="208"/>
      <c r="T164" s="208"/>
      <c r="U164" s="208"/>
      <c r="V164" s="208"/>
      <c r="W164" s="208"/>
      <c r="X164" s="208"/>
      <c r="Y164" s="208"/>
      <c r="Z164" s="208"/>
      <c r="AA164" s="208"/>
      <c r="AB164" s="208"/>
      <c r="AC164" s="208"/>
      <c r="AD164" s="208"/>
      <c r="AE164" s="208"/>
    </row>
    <row r="165" spans="1:31">
      <c r="A165" s="210"/>
      <c r="B165" s="211"/>
      <c r="C165" s="211"/>
      <c r="D165" s="209"/>
      <c r="E165" s="212"/>
      <c r="F165" s="212"/>
      <c r="G165" s="213"/>
      <c r="H165" s="214"/>
      <c r="I165" s="208"/>
      <c r="J165" s="208"/>
      <c r="K165" s="208"/>
      <c r="L165" s="208"/>
      <c r="M165" s="208"/>
      <c r="N165" s="208"/>
      <c r="O165" s="208"/>
      <c r="P165" s="208"/>
      <c r="Q165" s="208"/>
      <c r="R165" s="208"/>
      <c r="S165" s="208"/>
      <c r="T165" s="208"/>
      <c r="U165" s="208"/>
      <c r="V165" s="208"/>
      <c r="W165" s="208"/>
      <c r="X165" s="208"/>
      <c r="Y165" s="208"/>
      <c r="Z165" s="208"/>
      <c r="AA165" s="208"/>
      <c r="AB165" s="208"/>
      <c r="AC165" s="208"/>
      <c r="AD165" s="208"/>
      <c r="AE165" s="208"/>
    </row>
    <row r="166" spans="1:31">
      <c r="A166" s="210"/>
      <c r="B166" s="211"/>
      <c r="C166" s="211"/>
      <c r="D166" s="209"/>
      <c r="E166" s="212"/>
      <c r="F166" s="212"/>
      <c r="G166" s="213"/>
      <c r="H166" s="214"/>
      <c r="I166" s="208"/>
      <c r="J166" s="208"/>
      <c r="K166" s="208"/>
      <c r="L166" s="208"/>
      <c r="M166" s="208"/>
      <c r="N166" s="208"/>
      <c r="O166" s="208"/>
      <c r="P166" s="208"/>
      <c r="Q166" s="208"/>
      <c r="R166" s="208"/>
      <c r="S166" s="208"/>
      <c r="T166" s="208"/>
      <c r="U166" s="208"/>
      <c r="V166" s="208"/>
      <c r="W166" s="208"/>
      <c r="X166" s="208"/>
      <c r="Y166" s="208"/>
      <c r="Z166" s="208"/>
      <c r="AA166" s="208"/>
      <c r="AB166" s="208"/>
      <c r="AC166" s="208"/>
      <c r="AD166" s="208"/>
      <c r="AE166" s="208"/>
    </row>
    <row r="167" spans="1:31">
      <c r="A167" s="210"/>
      <c r="B167" s="211"/>
      <c r="C167" s="211"/>
      <c r="D167" s="209"/>
      <c r="E167" s="212"/>
      <c r="F167" s="212"/>
      <c r="G167" s="213"/>
      <c r="H167" s="214"/>
      <c r="I167" s="208"/>
      <c r="J167" s="208"/>
      <c r="K167" s="208"/>
      <c r="L167" s="208"/>
      <c r="M167" s="208"/>
      <c r="N167" s="208"/>
      <c r="O167" s="208"/>
      <c r="P167" s="208"/>
      <c r="Q167" s="208"/>
      <c r="R167" s="208"/>
      <c r="S167" s="208"/>
      <c r="T167" s="208"/>
      <c r="U167" s="208"/>
      <c r="V167" s="208"/>
      <c r="W167" s="208"/>
      <c r="X167" s="208"/>
      <c r="Y167" s="208"/>
      <c r="Z167" s="208"/>
      <c r="AA167" s="208"/>
      <c r="AB167" s="208"/>
      <c r="AC167" s="208"/>
      <c r="AD167" s="208"/>
      <c r="AE167" s="208"/>
    </row>
    <row r="168" spans="1:31">
      <c r="A168" s="210"/>
      <c r="B168" s="211"/>
      <c r="C168" s="211"/>
      <c r="D168" s="209"/>
      <c r="E168" s="212"/>
      <c r="F168" s="212"/>
      <c r="G168" s="213"/>
      <c r="H168" s="214"/>
      <c r="I168" s="208"/>
      <c r="J168" s="208"/>
      <c r="K168" s="208"/>
      <c r="L168" s="208"/>
      <c r="M168" s="208"/>
      <c r="N168" s="208"/>
      <c r="O168" s="208"/>
      <c r="P168" s="208"/>
      <c r="Q168" s="208"/>
      <c r="R168" s="208"/>
      <c r="S168" s="208"/>
      <c r="T168" s="208"/>
      <c r="U168" s="208"/>
      <c r="V168" s="208"/>
      <c r="W168" s="208"/>
      <c r="X168" s="208"/>
      <c r="Y168" s="208"/>
      <c r="Z168" s="208"/>
      <c r="AA168" s="208"/>
      <c r="AB168" s="208"/>
      <c r="AC168" s="208"/>
      <c r="AD168" s="208"/>
      <c r="AE168" s="208"/>
    </row>
    <row r="169" spans="1:31">
      <c r="A169" s="210"/>
      <c r="B169" s="211"/>
      <c r="C169" s="211"/>
      <c r="D169" s="209"/>
      <c r="E169" s="212"/>
      <c r="F169" s="212"/>
      <c r="G169" s="213"/>
      <c r="H169" s="214"/>
      <c r="I169" s="208"/>
      <c r="J169" s="208"/>
      <c r="K169" s="208"/>
      <c r="L169" s="208"/>
      <c r="M169" s="208"/>
      <c r="N169" s="208"/>
      <c r="O169" s="208"/>
      <c r="P169" s="208"/>
      <c r="Q169" s="208"/>
      <c r="R169" s="208"/>
      <c r="S169" s="208"/>
      <c r="T169" s="208"/>
      <c r="U169" s="208"/>
      <c r="V169" s="208"/>
      <c r="W169" s="208"/>
      <c r="X169" s="208"/>
      <c r="Y169" s="208"/>
      <c r="Z169" s="208"/>
      <c r="AA169" s="208"/>
      <c r="AB169" s="208"/>
      <c r="AC169" s="208"/>
      <c r="AD169" s="208"/>
      <c r="AE169" s="208"/>
    </row>
    <row r="170" spans="1:31">
      <c r="A170" s="210"/>
      <c r="B170" s="211"/>
      <c r="C170" s="211"/>
      <c r="D170" s="209"/>
      <c r="E170" s="212"/>
      <c r="F170" s="212"/>
      <c r="G170" s="213"/>
      <c r="H170" s="214"/>
      <c r="I170" s="208"/>
      <c r="J170" s="208"/>
      <c r="K170" s="208"/>
      <c r="L170" s="208"/>
      <c r="M170" s="208"/>
      <c r="N170" s="208"/>
      <c r="O170" s="208"/>
      <c r="P170" s="208"/>
      <c r="Q170" s="208"/>
      <c r="R170" s="208"/>
      <c r="S170" s="208"/>
      <c r="T170" s="208"/>
      <c r="U170" s="208"/>
      <c r="V170" s="208"/>
      <c r="W170" s="208"/>
      <c r="X170" s="208"/>
      <c r="Y170" s="208"/>
      <c r="Z170" s="208"/>
      <c r="AA170" s="208"/>
      <c r="AB170" s="208"/>
      <c r="AC170" s="208"/>
      <c r="AD170" s="208"/>
      <c r="AE170" s="208"/>
    </row>
    <row r="171" spans="1:31">
      <c r="A171" s="210"/>
      <c r="B171" s="211"/>
      <c r="C171" s="211"/>
      <c r="D171" s="209"/>
      <c r="E171" s="212"/>
      <c r="F171" s="212"/>
      <c r="G171" s="213"/>
      <c r="H171" s="214"/>
      <c r="I171" s="208"/>
      <c r="J171" s="208"/>
      <c r="K171" s="208"/>
      <c r="L171" s="208"/>
      <c r="M171" s="208"/>
      <c r="N171" s="208"/>
      <c r="O171" s="208"/>
      <c r="P171" s="208"/>
      <c r="Q171" s="208"/>
      <c r="R171" s="208"/>
      <c r="S171" s="208"/>
      <c r="T171" s="208"/>
      <c r="U171" s="208"/>
      <c r="V171" s="208"/>
      <c r="W171" s="208"/>
      <c r="X171" s="208"/>
      <c r="Y171" s="208"/>
      <c r="Z171" s="208"/>
      <c r="AA171" s="208"/>
      <c r="AB171" s="208"/>
      <c r="AC171" s="208"/>
      <c r="AD171" s="208"/>
      <c r="AE171" s="208"/>
    </row>
    <row r="172" spans="1:31">
      <c r="A172" s="210"/>
      <c r="B172" s="211"/>
      <c r="C172" s="211"/>
      <c r="D172" s="209"/>
      <c r="E172" s="212"/>
      <c r="F172" s="212"/>
      <c r="G172" s="213"/>
      <c r="H172" s="214"/>
      <c r="I172" s="208"/>
      <c r="J172" s="208"/>
      <c r="K172" s="208"/>
      <c r="L172" s="208"/>
      <c r="M172" s="208"/>
      <c r="N172" s="208"/>
      <c r="O172" s="208"/>
      <c r="P172" s="208"/>
      <c r="Q172" s="208"/>
      <c r="R172" s="208"/>
      <c r="S172" s="208"/>
      <c r="T172" s="208"/>
      <c r="U172" s="208"/>
      <c r="V172" s="208"/>
      <c r="W172" s="208"/>
      <c r="X172" s="208"/>
      <c r="Y172" s="208"/>
      <c r="Z172" s="208"/>
      <c r="AA172" s="208"/>
      <c r="AB172" s="208"/>
      <c r="AC172" s="208"/>
      <c r="AD172" s="208"/>
      <c r="AE172" s="208"/>
    </row>
    <row r="173" spans="1:31">
      <c r="A173" s="210"/>
      <c r="B173" s="211"/>
      <c r="C173" s="211"/>
      <c r="D173" s="209"/>
      <c r="E173" s="212"/>
      <c r="F173" s="212"/>
      <c r="G173" s="213"/>
      <c r="H173" s="214"/>
      <c r="I173" s="208"/>
      <c r="J173" s="208"/>
      <c r="K173" s="208"/>
      <c r="L173" s="208"/>
      <c r="M173" s="208"/>
      <c r="N173" s="208"/>
      <c r="O173" s="208"/>
      <c r="P173" s="208"/>
      <c r="Q173" s="208"/>
      <c r="R173" s="208"/>
      <c r="S173" s="208"/>
      <c r="T173" s="208"/>
      <c r="U173" s="208"/>
      <c r="V173" s="208"/>
      <c r="W173" s="208"/>
      <c r="X173" s="208"/>
      <c r="Y173" s="208"/>
      <c r="Z173" s="208"/>
      <c r="AA173" s="208"/>
      <c r="AB173" s="208"/>
      <c r="AC173" s="208"/>
      <c r="AD173" s="208"/>
      <c r="AE173" s="208"/>
    </row>
    <row r="174" spans="1:31">
      <c r="A174" s="210"/>
      <c r="B174" s="211"/>
      <c r="C174" s="211"/>
      <c r="D174" s="209"/>
      <c r="E174" s="212"/>
      <c r="F174" s="212"/>
      <c r="G174" s="213"/>
      <c r="H174" s="214"/>
      <c r="I174" s="208"/>
      <c r="J174" s="208"/>
      <c r="K174" s="208"/>
      <c r="L174" s="208"/>
      <c r="M174" s="208"/>
      <c r="N174" s="208"/>
      <c r="O174" s="208"/>
      <c r="P174" s="208"/>
      <c r="Q174" s="208"/>
      <c r="R174" s="208"/>
      <c r="S174" s="208"/>
      <c r="T174" s="208"/>
      <c r="U174" s="208"/>
      <c r="V174" s="208"/>
      <c r="W174" s="208"/>
      <c r="X174" s="208"/>
      <c r="Y174" s="208"/>
      <c r="Z174" s="208"/>
      <c r="AA174" s="208"/>
      <c r="AB174" s="208"/>
      <c r="AC174" s="208"/>
      <c r="AD174" s="208"/>
      <c r="AE174" s="208"/>
    </row>
    <row r="175" spans="1:31">
      <c r="A175" s="210"/>
      <c r="B175" s="211"/>
      <c r="C175" s="211"/>
      <c r="D175" s="209"/>
      <c r="E175" s="212"/>
      <c r="F175" s="212"/>
      <c r="G175" s="213"/>
      <c r="H175" s="214"/>
      <c r="I175" s="208"/>
      <c r="J175" s="208"/>
      <c r="K175" s="208"/>
      <c r="L175" s="208"/>
      <c r="M175" s="208"/>
      <c r="N175" s="208"/>
      <c r="O175" s="208"/>
      <c r="P175" s="208"/>
      <c r="Q175" s="208"/>
      <c r="R175" s="208"/>
      <c r="S175" s="208"/>
      <c r="T175" s="208"/>
      <c r="U175" s="208"/>
      <c r="V175" s="208"/>
      <c r="W175" s="208"/>
      <c r="X175" s="208"/>
      <c r="Y175" s="208"/>
      <c r="Z175" s="208"/>
      <c r="AA175" s="208"/>
      <c r="AB175" s="208"/>
      <c r="AC175" s="208"/>
      <c r="AD175" s="208"/>
      <c r="AE175" s="208"/>
    </row>
    <row r="176" spans="1:31">
      <c r="A176" s="210"/>
      <c r="B176" s="211"/>
      <c r="C176" s="211"/>
      <c r="D176" s="209"/>
      <c r="E176" s="212"/>
      <c r="F176" s="212"/>
      <c r="G176" s="213"/>
      <c r="H176" s="214"/>
      <c r="I176" s="208"/>
      <c r="J176" s="208"/>
      <c r="K176" s="208"/>
      <c r="L176" s="208"/>
      <c r="M176" s="208"/>
      <c r="N176" s="208"/>
      <c r="O176" s="208"/>
      <c r="P176" s="208"/>
      <c r="Q176" s="208"/>
      <c r="R176" s="208"/>
      <c r="S176" s="208"/>
      <c r="T176" s="208"/>
      <c r="U176" s="208"/>
      <c r="V176" s="208"/>
      <c r="W176" s="208"/>
      <c r="X176" s="208"/>
      <c r="Y176" s="208"/>
      <c r="Z176" s="208"/>
      <c r="AA176" s="208"/>
      <c r="AB176" s="208"/>
      <c r="AC176" s="208"/>
      <c r="AD176" s="208"/>
      <c r="AE176" s="208"/>
    </row>
    <row r="177" spans="1:31">
      <c r="A177" s="210"/>
      <c r="B177" s="211"/>
      <c r="C177" s="211"/>
      <c r="D177" s="209"/>
      <c r="E177" s="212"/>
      <c r="F177" s="212"/>
      <c r="G177" s="213"/>
      <c r="H177" s="214"/>
      <c r="I177" s="208"/>
      <c r="J177" s="208"/>
      <c r="K177" s="208"/>
      <c r="L177" s="208"/>
      <c r="M177" s="208"/>
      <c r="N177" s="208"/>
      <c r="O177" s="208"/>
      <c r="P177" s="208"/>
      <c r="Q177" s="208"/>
      <c r="R177" s="208"/>
      <c r="S177" s="208"/>
      <c r="T177" s="208"/>
      <c r="U177" s="208"/>
      <c r="V177" s="208"/>
      <c r="W177" s="208"/>
      <c r="X177" s="208"/>
      <c r="Y177" s="208"/>
      <c r="Z177" s="208"/>
      <c r="AA177" s="208"/>
      <c r="AB177" s="208"/>
      <c r="AC177" s="208"/>
      <c r="AD177" s="208"/>
      <c r="AE177" s="208"/>
    </row>
    <row r="178" spans="1:31">
      <c r="A178" s="210"/>
      <c r="B178" s="211"/>
      <c r="C178" s="211"/>
      <c r="D178" s="209"/>
      <c r="E178" s="212"/>
      <c r="F178" s="212"/>
      <c r="G178" s="213"/>
      <c r="H178" s="214"/>
      <c r="I178" s="208"/>
      <c r="J178" s="208"/>
      <c r="K178" s="208"/>
      <c r="L178" s="208"/>
      <c r="M178" s="208"/>
      <c r="N178" s="208"/>
      <c r="O178" s="208"/>
      <c r="P178" s="208"/>
      <c r="Q178" s="208"/>
      <c r="R178" s="208"/>
      <c r="S178" s="208"/>
      <c r="T178" s="208"/>
      <c r="U178" s="208"/>
      <c r="V178" s="208"/>
      <c r="W178" s="208"/>
      <c r="X178" s="208"/>
      <c r="Y178" s="208"/>
      <c r="Z178" s="208"/>
      <c r="AA178" s="208"/>
      <c r="AB178" s="208"/>
      <c r="AC178" s="208"/>
      <c r="AD178" s="208"/>
      <c r="AE178" s="208"/>
    </row>
    <row r="179" spans="1:31">
      <c r="A179" s="210"/>
      <c r="B179" s="211"/>
      <c r="C179" s="211"/>
      <c r="D179" s="209"/>
      <c r="E179" s="212"/>
      <c r="F179" s="212"/>
      <c r="G179" s="213"/>
      <c r="H179" s="214"/>
      <c r="I179" s="208"/>
      <c r="J179" s="208"/>
      <c r="K179" s="208"/>
      <c r="L179" s="208"/>
      <c r="M179" s="208"/>
      <c r="N179" s="208"/>
      <c r="O179" s="208"/>
      <c r="P179" s="208"/>
      <c r="Q179" s="208"/>
      <c r="R179" s="208"/>
      <c r="S179" s="208"/>
      <c r="T179" s="208"/>
      <c r="U179" s="208"/>
      <c r="V179" s="208"/>
      <c r="W179" s="208"/>
      <c r="X179" s="208"/>
      <c r="Y179" s="208"/>
      <c r="Z179" s="208"/>
      <c r="AA179" s="208"/>
      <c r="AB179" s="208"/>
      <c r="AC179" s="208"/>
      <c r="AD179" s="208"/>
      <c r="AE179" s="208"/>
    </row>
    <row r="180" spans="1:31">
      <c r="A180" s="210"/>
      <c r="B180" s="211"/>
      <c r="C180" s="211"/>
      <c r="D180" s="209"/>
      <c r="E180" s="212"/>
      <c r="F180" s="212"/>
      <c r="G180" s="213"/>
      <c r="H180" s="214"/>
      <c r="I180" s="208"/>
      <c r="J180" s="208"/>
      <c r="K180" s="208"/>
      <c r="L180" s="208"/>
      <c r="M180" s="208"/>
      <c r="N180" s="208"/>
      <c r="O180" s="208"/>
      <c r="P180" s="208"/>
      <c r="Q180" s="208"/>
      <c r="R180" s="208"/>
      <c r="S180" s="208"/>
      <c r="T180" s="208"/>
      <c r="U180" s="208"/>
      <c r="V180" s="208"/>
      <c r="W180" s="208"/>
      <c r="X180" s="208"/>
      <c r="Y180" s="208"/>
      <c r="Z180" s="208"/>
      <c r="AA180" s="208"/>
      <c r="AB180" s="208"/>
      <c r="AC180" s="208"/>
      <c r="AD180" s="208"/>
      <c r="AE180" s="208"/>
    </row>
    <row r="181" spans="1:31">
      <c r="A181" s="210"/>
      <c r="B181" s="211"/>
      <c r="C181" s="211"/>
      <c r="D181" s="209"/>
      <c r="E181" s="212"/>
      <c r="F181" s="212"/>
      <c r="G181" s="213"/>
      <c r="H181" s="214"/>
      <c r="I181" s="208"/>
      <c r="J181" s="208"/>
      <c r="K181" s="208"/>
      <c r="L181" s="208"/>
      <c r="M181" s="208"/>
      <c r="N181" s="208"/>
      <c r="O181" s="208"/>
      <c r="P181" s="208"/>
      <c r="Q181" s="208"/>
      <c r="R181" s="208"/>
      <c r="S181" s="208"/>
      <c r="T181" s="208"/>
      <c r="U181" s="208"/>
      <c r="V181" s="208"/>
      <c r="W181" s="208"/>
      <c r="X181" s="208"/>
      <c r="Y181" s="208"/>
      <c r="Z181" s="208"/>
      <c r="AA181" s="208"/>
      <c r="AB181" s="208"/>
      <c r="AC181" s="208"/>
      <c r="AD181" s="208"/>
      <c r="AE181" s="208"/>
    </row>
    <row r="182" spans="1:31">
      <c r="A182" s="210"/>
      <c r="B182" s="211"/>
      <c r="C182" s="211"/>
      <c r="D182" s="209"/>
      <c r="E182" s="212"/>
      <c r="F182" s="212"/>
      <c r="G182" s="213"/>
      <c r="H182" s="214"/>
      <c r="I182" s="208"/>
      <c r="J182" s="208"/>
      <c r="K182" s="208"/>
      <c r="L182" s="208"/>
      <c r="M182" s="208"/>
      <c r="N182" s="208"/>
      <c r="O182" s="208"/>
      <c r="P182" s="208"/>
      <c r="Q182" s="208"/>
      <c r="R182" s="208"/>
      <c r="S182" s="208"/>
      <c r="T182" s="208"/>
      <c r="U182" s="208"/>
      <c r="V182" s="208"/>
      <c r="W182" s="208"/>
      <c r="X182" s="208"/>
      <c r="Y182" s="208"/>
      <c r="Z182" s="208"/>
      <c r="AA182" s="208"/>
      <c r="AB182" s="208"/>
      <c r="AC182" s="208"/>
      <c r="AD182" s="208"/>
      <c r="AE182" s="208"/>
    </row>
    <row r="183" spans="1:31">
      <c r="A183" s="210"/>
      <c r="B183" s="211"/>
      <c r="C183" s="211"/>
      <c r="D183" s="209"/>
      <c r="E183" s="212"/>
      <c r="F183" s="212"/>
      <c r="G183" s="213"/>
      <c r="H183" s="214"/>
      <c r="I183" s="208"/>
      <c r="J183" s="208"/>
      <c r="K183" s="208"/>
      <c r="L183" s="208"/>
      <c r="M183" s="208"/>
      <c r="N183" s="208"/>
      <c r="O183" s="208"/>
      <c r="P183" s="208"/>
      <c r="Q183" s="208"/>
      <c r="R183" s="208"/>
      <c r="S183" s="208"/>
      <c r="T183" s="208"/>
      <c r="U183" s="208"/>
      <c r="V183" s="208"/>
      <c r="W183" s="208"/>
      <c r="X183" s="208"/>
      <c r="Y183" s="208"/>
      <c r="Z183" s="208"/>
      <c r="AA183" s="208"/>
      <c r="AB183" s="208"/>
      <c r="AC183" s="208"/>
      <c r="AD183" s="208"/>
      <c r="AE183" s="208"/>
    </row>
    <row r="184" spans="1:31">
      <c r="A184" s="210"/>
      <c r="B184" s="211"/>
      <c r="C184" s="211"/>
      <c r="D184" s="209"/>
      <c r="E184" s="212"/>
      <c r="F184" s="212"/>
      <c r="G184" s="213"/>
      <c r="H184" s="214"/>
      <c r="I184" s="208"/>
      <c r="J184" s="208"/>
      <c r="K184" s="208"/>
      <c r="L184" s="208"/>
      <c r="M184" s="208"/>
      <c r="N184" s="208"/>
      <c r="O184" s="208"/>
      <c r="P184" s="208"/>
      <c r="Q184" s="208"/>
      <c r="R184" s="208"/>
      <c r="S184" s="208"/>
      <c r="T184" s="208"/>
      <c r="U184" s="208"/>
      <c r="V184" s="208"/>
      <c r="W184" s="208"/>
      <c r="X184" s="208"/>
      <c r="Y184" s="208"/>
      <c r="Z184" s="208"/>
      <c r="AA184" s="208"/>
      <c r="AB184" s="208"/>
      <c r="AC184" s="208"/>
      <c r="AD184" s="208"/>
      <c r="AE184" s="208"/>
    </row>
    <row r="185" spans="1:31">
      <c r="A185" s="210"/>
      <c r="B185" s="211"/>
      <c r="C185" s="211"/>
      <c r="D185" s="209"/>
      <c r="E185" s="212"/>
      <c r="F185" s="212"/>
      <c r="G185" s="213"/>
      <c r="H185" s="214"/>
      <c r="I185" s="208"/>
      <c r="J185" s="208"/>
      <c r="K185" s="208"/>
      <c r="L185" s="208"/>
      <c r="M185" s="208"/>
      <c r="N185" s="208"/>
      <c r="O185" s="208"/>
      <c r="P185" s="208"/>
      <c r="Q185" s="208"/>
      <c r="R185" s="208"/>
      <c r="S185" s="208"/>
      <c r="T185" s="208"/>
      <c r="U185" s="208"/>
      <c r="V185" s="208"/>
      <c r="W185" s="208"/>
      <c r="X185" s="208"/>
      <c r="Y185" s="208"/>
      <c r="Z185" s="208"/>
      <c r="AA185" s="208"/>
      <c r="AB185" s="208"/>
      <c r="AC185" s="208"/>
      <c r="AD185" s="208"/>
      <c r="AE185" s="208"/>
    </row>
    <row r="186" spans="1:31">
      <c r="A186" s="210"/>
      <c r="B186" s="211"/>
      <c r="C186" s="211"/>
      <c r="D186" s="209"/>
      <c r="E186" s="212"/>
      <c r="F186" s="212"/>
      <c r="G186" s="213"/>
      <c r="H186" s="214"/>
      <c r="I186" s="208"/>
      <c r="J186" s="208"/>
      <c r="K186" s="208"/>
      <c r="L186" s="208"/>
      <c r="M186" s="208"/>
      <c r="N186" s="208"/>
      <c r="O186" s="208"/>
      <c r="P186" s="208"/>
      <c r="Q186" s="208"/>
      <c r="R186" s="208"/>
      <c r="S186" s="208"/>
      <c r="T186" s="208"/>
      <c r="U186" s="208"/>
      <c r="V186" s="208"/>
      <c r="W186" s="208"/>
      <c r="X186" s="208"/>
      <c r="Y186" s="208"/>
      <c r="Z186" s="208"/>
      <c r="AA186" s="208"/>
      <c r="AB186" s="208"/>
      <c r="AC186" s="208"/>
      <c r="AD186" s="208"/>
      <c r="AE186" s="208"/>
    </row>
    <row r="187" spans="1:31">
      <c r="A187" s="210"/>
      <c r="B187" s="211"/>
      <c r="C187" s="211"/>
      <c r="D187" s="209"/>
      <c r="E187" s="212"/>
      <c r="F187" s="212"/>
      <c r="G187" s="213"/>
      <c r="H187" s="214"/>
      <c r="I187" s="208"/>
      <c r="J187" s="208"/>
      <c r="K187" s="208"/>
      <c r="L187" s="208"/>
      <c r="M187" s="208"/>
      <c r="N187" s="208"/>
      <c r="O187" s="208"/>
      <c r="P187" s="208"/>
      <c r="Q187" s="208"/>
      <c r="R187" s="208"/>
      <c r="S187" s="208"/>
      <c r="T187" s="208"/>
      <c r="U187" s="208"/>
      <c r="V187" s="208"/>
      <c r="W187" s="208"/>
      <c r="X187" s="208"/>
      <c r="Y187" s="208"/>
      <c r="Z187" s="208"/>
      <c r="AA187" s="208"/>
      <c r="AB187" s="208"/>
      <c r="AC187" s="208"/>
      <c r="AD187" s="208"/>
      <c r="AE187" s="208"/>
    </row>
    <row r="188" spans="1:31">
      <c r="A188" s="210"/>
      <c r="B188" s="211"/>
      <c r="C188" s="211"/>
      <c r="D188" s="209"/>
      <c r="E188" s="212"/>
      <c r="F188" s="212"/>
      <c r="G188" s="213"/>
      <c r="H188" s="214"/>
      <c r="I188" s="208"/>
      <c r="J188" s="208"/>
      <c r="K188" s="208"/>
      <c r="L188" s="208"/>
      <c r="M188" s="208"/>
      <c r="N188" s="208"/>
      <c r="O188" s="208"/>
      <c r="P188" s="208"/>
      <c r="Q188" s="208"/>
      <c r="R188" s="208"/>
      <c r="S188" s="208"/>
      <c r="T188" s="208"/>
      <c r="U188" s="208"/>
      <c r="V188" s="208"/>
      <c r="W188" s="208"/>
      <c r="X188" s="208"/>
      <c r="Y188" s="208"/>
      <c r="Z188" s="208"/>
      <c r="AA188" s="208"/>
      <c r="AB188" s="208"/>
      <c r="AC188" s="208"/>
      <c r="AD188" s="208"/>
      <c r="AE188" s="208"/>
    </row>
    <row r="189" spans="1:31">
      <c r="A189" s="210"/>
      <c r="B189" s="211"/>
      <c r="C189" s="211"/>
      <c r="D189" s="209"/>
      <c r="E189" s="212"/>
      <c r="F189" s="212"/>
      <c r="G189" s="213"/>
      <c r="H189" s="214"/>
      <c r="I189" s="208"/>
      <c r="J189" s="208"/>
      <c r="K189" s="208"/>
      <c r="L189" s="208"/>
      <c r="M189" s="208"/>
      <c r="N189" s="208"/>
      <c r="O189" s="208"/>
      <c r="P189" s="208"/>
      <c r="Q189" s="208"/>
      <c r="R189" s="208"/>
      <c r="S189" s="208"/>
      <c r="T189" s="208"/>
      <c r="U189" s="208"/>
      <c r="V189" s="208"/>
      <c r="W189" s="208"/>
      <c r="X189" s="208"/>
      <c r="Y189" s="208"/>
      <c r="Z189" s="208"/>
      <c r="AA189" s="208"/>
      <c r="AB189" s="208"/>
      <c r="AC189" s="208"/>
      <c r="AD189" s="208"/>
      <c r="AE189" s="208"/>
    </row>
    <row r="190" spans="1:31">
      <c r="A190" s="210"/>
      <c r="B190" s="211"/>
      <c r="C190" s="211"/>
      <c r="D190" s="209"/>
      <c r="E190" s="212"/>
      <c r="F190" s="212"/>
      <c r="G190" s="213"/>
      <c r="H190" s="214"/>
      <c r="I190" s="208"/>
      <c r="J190" s="208"/>
      <c r="K190" s="208"/>
      <c r="L190" s="208"/>
      <c r="M190" s="208"/>
      <c r="N190" s="208"/>
      <c r="O190" s="208"/>
      <c r="P190" s="208"/>
      <c r="Q190" s="208"/>
      <c r="R190" s="208"/>
      <c r="S190" s="208"/>
      <c r="T190" s="208"/>
      <c r="U190" s="208"/>
      <c r="V190" s="208"/>
      <c r="W190" s="208"/>
      <c r="X190" s="208"/>
      <c r="Y190" s="208"/>
      <c r="Z190" s="208"/>
      <c r="AA190" s="208"/>
      <c r="AB190" s="208"/>
      <c r="AC190" s="208"/>
      <c r="AD190" s="208"/>
      <c r="AE190" s="208"/>
    </row>
    <row r="191" spans="1:31">
      <c r="A191" s="210"/>
      <c r="B191" s="211"/>
      <c r="C191" s="211"/>
      <c r="D191" s="209"/>
      <c r="E191" s="212"/>
      <c r="F191" s="212"/>
      <c r="G191" s="213"/>
      <c r="H191" s="214"/>
      <c r="I191" s="208"/>
      <c r="J191" s="208"/>
      <c r="K191" s="208"/>
      <c r="L191" s="208"/>
      <c r="M191" s="208"/>
      <c r="N191" s="208"/>
      <c r="O191" s="208"/>
      <c r="P191" s="208"/>
      <c r="Q191" s="208"/>
      <c r="R191" s="208"/>
      <c r="S191" s="208"/>
      <c r="T191" s="208"/>
      <c r="U191" s="208"/>
      <c r="V191" s="208"/>
      <c r="W191" s="208"/>
      <c r="X191" s="208"/>
      <c r="Y191" s="208"/>
      <c r="Z191" s="208"/>
      <c r="AA191" s="208"/>
      <c r="AB191" s="208"/>
      <c r="AC191" s="208"/>
      <c r="AD191" s="208"/>
      <c r="AE191" s="208"/>
    </row>
    <row r="192" spans="1:31">
      <c r="A192" s="210"/>
      <c r="B192" s="211"/>
      <c r="C192" s="211"/>
      <c r="D192" s="209"/>
      <c r="E192" s="212"/>
      <c r="F192" s="212"/>
      <c r="G192" s="213"/>
      <c r="H192" s="214"/>
      <c r="I192" s="208"/>
      <c r="J192" s="208"/>
      <c r="K192" s="208"/>
      <c r="L192" s="208"/>
      <c r="M192" s="208"/>
      <c r="N192" s="208"/>
      <c r="O192" s="208"/>
      <c r="P192" s="208"/>
      <c r="Q192" s="208"/>
      <c r="R192" s="208"/>
      <c r="S192" s="208"/>
      <c r="T192" s="208"/>
      <c r="U192" s="208"/>
      <c r="V192" s="208"/>
      <c r="W192" s="208"/>
      <c r="X192" s="208"/>
      <c r="Y192" s="208"/>
      <c r="Z192" s="208"/>
      <c r="AA192" s="208"/>
      <c r="AB192" s="208"/>
      <c r="AC192" s="208"/>
      <c r="AD192" s="208"/>
      <c r="AE192" s="208"/>
    </row>
    <row r="193" spans="1:31">
      <c r="A193" s="210"/>
      <c r="B193" s="211"/>
      <c r="C193" s="211"/>
      <c r="D193" s="209"/>
      <c r="E193" s="212"/>
      <c r="F193" s="212"/>
      <c r="G193" s="213"/>
      <c r="H193" s="214"/>
      <c r="I193" s="208"/>
      <c r="J193" s="208"/>
      <c r="K193" s="208"/>
      <c r="L193" s="208"/>
      <c r="M193" s="208"/>
      <c r="N193" s="208"/>
      <c r="O193" s="208"/>
      <c r="P193" s="208"/>
      <c r="Q193" s="208"/>
      <c r="R193" s="208"/>
      <c r="S193" s="208"/>
      <c r="T193" s="208"/>
      <c r="U193" s="208"/>
      <c r="V193" s="208"/>
      <c r="W193" s="208"/>
      <c r="X193" s="208"/>
      <c r="Y193" s="208"/>
      <c r="Z193" s="208"/>
      <c r="AA193" s="208"/>
      <c r="AB193" s="208"/>
      <c r="AC193" s="208"/>
      <c r="AD193" s="208"/>
      <c r="AE193" s="208"/>
    </row>
    <row r="194" spans="1:31">
      <c r="A194" s="210"/>
      <c r="B194" s="211"/>
      <c r="C194" s="211"/>
      <c r="D194" s="209"/>
      <c r="E194" s="212"/>
      <c r="F194" s="212"/>
      <c r="G194" s="213"/>
      <c r="H194" s="214"/>
      <c r="I194" s="208"/>
      <c r="J194" s="208"/>
      <c r="K194" s="208"/>
      <c r="L194" s="208"/>
      <c r="M194" s="208"/>
      <c r="N194" s="208"/>
      <c r="O194" s="208"/>
      <c r="P194" s="208"/>
      <c r="Q194" s="208"/>
      <c r="R194" s="208"/>
      <c r="S194" s="208"/>
      <c r="T194" s="208"/>
      <c r="U194" s="208"/>
      <c r="V194" s="208"/>
      <c r="W194" s="208"/>
      <c r="X194" s="208"/>
      <c r="Y194" s="208"/>
      <c r="Z194" s="208"/>
      <c r="AA194" s="208"/>
      <c r="AB194" s="208"/>
      <c r="AC194" s="208"/>
      <c r="AD194" s="208"/>
      <c r="AE194" s="208"/>
    </row>
    <row r="195" spans="1:31">
      <c r="A195" s="210"/>
      <c r="B195" s="211"/>
      <c r="C195" s="211"/>
      <c r="D195" s="209"/>
      <c r="E195" s="212"/>
      <c r="F195" s="212"/>
      <c r="G195" s="213"/>
      <c r="H195" s="214"/>
      <c r="I195" s="208"/>
      <c r="J195" s="208"/>
      <c r="K195" s="208"/>
      <c r="L195" s="208"/>
      <c r="M195" s="208"/>
      <c r="N195" s="208"/>
      <c r="O195" s="208"/>
      <c r="P195" s="208"/>
      <c r="Q195" s="208"/>
      <c r="R195" s="208"/>
      <c r="S195" s="208"/>
      <c r="T195" s="208"/>
      <c r="U195" s="208"/>
      <c r="V195" s="208"/>
      <c r="W195" s="208"/>
      <c r="X195" s="208"/>
      <c r="Y195" s="208"/>
      <c r="Z195" s="208"/>
      <c r="AA195" s="208"/>
      <c r="AB195" s="208"/>
      <c r="AC195" s="208"/>
      <c r="AD195" s="208"/>
      <c r="AE195" s="208"/>
    </row>
    <row r="196" spans="1:31">
      <c r="A196" s="210"/>
      <c r="B196" s="211"/>
      <c r="C196" s="211"/>
      <c r="D196" s="209"/>
      <c r="E196" s="212"/>
      <c r="F196" s="212"/>
      <c r="G196" s="213"/>
      <c r="H196" s="214"/>
      <c r="I196" s="208"/>
      <c r="J196" s="208"/>
      <c r="K196" s="208"/>
      <c r="L196" s="208"/>
      <c r="M196" s="208"/>
      <c r="N196" s="208"/>
      <c r="O196" s="208"/>
      <c r="P196" s="208"/>
      <c r="Q196" s="208"/>
      <c r="R196" s="208"/>
      <c r="S196" s="208"/>
      <c r="T196" s="208"/>
      <c r="U196" s="208"/>
      <c r="V196" s="208"/>
      <c r="W196" s="208"/>
      <c r="X196" s="208"/>
      <c r="Y196" s="208"/>
      <c r="Z196" s="208"/>
      <c r="AA196" s="208"/>
      <c r="AB196" s="208"/>
      <c r="AC196" s="208"/>
      <c r="AD196" s="208"/>
      <c r="AE196" s="208"/>
    </row>
    <row r="197" spans="1:31">
      <c r="A197" s="210"/>
      <c r="B197" s="211"/>
      <c r="C197" s="211"/>
      <c r="D197" s="209"/>
      <c r="E197" s="212"/>
      <c r="F197" s="212"/>
      <c r="G197" s="213"/>
      <c r="H197" s="214"/>
      <c r="I197" s="208"/>
      <c r="J197" s="208"/>
      <c r="K197" s="208"/>
      <c r="L197" s="208"/>
      <c r="M197" s="208"/>
      <c r="N197" s="208"/>
      <c r="O197" s="208"/>
      <c r="P197" s="208"/>
      <c r="Q197" s="208"/>
      <c r="R197" s="208"/>
      <c r="S197" s="208"/>
      <c r="T197" s="208"/>
      <c r="U197" s="208"/>
      <c r="V197" s="208"/>
      <c r="W197" s="208"/>
      <c r="X197" s="208"/>
      <c r="Y197" s="208"/>
      <c r="Z197" s="208"/>
      <c r="AA197" s="208"/>
      <c r="AB197" s="208"/>
      <c r="AC197" s="208"/>
      <c r="AD197" s="208"/>
      <c r="AE197" s="208"/>
    </row>
    <row r="198" spans="1:31">
      <c r="A198" s="210"/>
      <c r="B198" s="211"/>
      <c r="C198" s="211"/>
      <c r="D198" s="209"/>
      <c r="E198" s="212"/>
      <c r="F198" s="212"/>
      <c r="G198" s="213"/>
      <c r="H198" s="214"/>
      <c r="I198" s="208"/>
      <c r="J198" s="208"/>
      <c r="K198" s="208"/>
      <c r="L198" s="208"/>
      <c r="M198" s="208"/>
      <c r="N198" s="208"/>
      <c r="O198" s="208"/>
      <c r="P198" s="208"/>
      <c r="Q198" s="208"/>
      <c r="R198" s="208"/>
      <c r="S198" s="208"/>
      <c r="T198" s="208"/>
      <c r="U198" s="208"/>
      <c r="V198" s="208"/>
      <c r="W198" s="208"/>
      <c r="X198" s="208"/>
      <c r="Y198" s="208"/>
      <c r="Z198" s="208"/>
      <c r="AA198" s="208"/>
      <c r="AB198" s="208"/>
      <c r="AC198" s="208"/>
      <c r="AD198" s="208"/>
      <c r="AE198" s="208"/>
    </row>
    <row r="199" spans="1:31">
      <c r="A199" s="210"/>
      <c r="B199" s="211"/>
      <c r="C199" s="211"/>
      <c r="D199" s="209"/>
      <c r="E199" s="212"/>
      <c r="F199" s="212"/>
      <c r="G199" s="213"/>
      <c r="H199" s="214"/>
      <c r="I199" s="208"/>
      <c r="J199" s="208"/>
      <c r="K199" s="208"/>
      <c r="L199" s="208"/>
      <c r="M199" s="208"/>
      <c r="N199" s="208"/>
      <c r="O199" s="208"/>
      <c r="P199" s="208"/>
      <c r="Q199" s="208"/>
      <c r="R199" s="208"/>
      <c r="S199" s="208"/>
      <c r="T199" s="208"/>
      <c r="U199" s="208"/>
      <c r="V199" s="208"/>
      <c r="W199" s="208"/>
      <c r="X199" s="208"/>
      <c r="Y199" s="208"/>
      <c r="Z199" s="208"/>
      <c r="AA199" s="208"/>
      <c r="AB199" s="208"/>
      <c r="AC199" s="208"/>
      <c r="AD199" s="208"/>
      <c r="AE199" s="208"/>
    </row>
    <row r="200" spans="1:31">
      <c r="A200" s="210"/>
      <c r="B200" s="211"/>
      <c r="C200" s="211"/>
      <c r="D200" s="209"/>
      <c r="E200" s="212"/>
      <c r="F200" s="212"/>
      <c r="G200" s="213"/>
      <c r="H200" s="214"/>
      <c r="I200" s="208"/>
      <c r="J200" s="208"/>
      <c r="K200" s="208"/>
      <c r="L200" s="208"/>
      <c r="M200" s="208"/>
      <c r="N200" s="208"/>
      <c r="O200" s="208"/>
      <c r="P200" s="208"/>
      <c r="Q200" s="208"/>
      <c r="R200" s="208"/>
      <c r="S200" s="208"/>
      <c r="T200" s="208"/>
      <c r="U200" s="208"/>
      <c r="V200" s="208"/>
      <c r="W200" s="208"/>
      <c r="X200" s="208"/>
      <c r="Y200" s="208"/>
      <c r="Z200" s="208"/>
      <c r="AA200" s="208"/>
      <c r="AB200" s="208"/>
      <c r="AC200" s="208"/>
      <c r="AD200" s="208"/>
      <c r="AE200" s="208"/>
    </row>
    <row r="201" spans="1:31">
      <c r="A201" s="210"/>
      <c r="B201" s="211"/>
      <c r="C201" s="211"/>
      <c r="D201" s="209"/>
      <c r="E201" s="212"/>
      <c r="F201" s="212"/>
      <c r="G201" s="213"/>
      <c r="H201" s="214"/>
      <c r="I201" s="208"/>
      <c r="J201" s="208"/>
      <c r="K201" s="208"/>
      <c r="L201" s="208"/>
      <c r="M201" s="208"/>
      <c r="N201" s="208"/>
      <c r="O201" s="208"/>
      <c r="P201" s="208"/>
      <c r="Q201" s="208"/>
      <c r="R201" s="208"/>
      <c r="S201" s="208"/>
      <c r="T201" s="208"/>
      <c r="U201" s="208"/>
      <c r="V201" s="208"/>
      <c r="W201" s="208"/>
      <c r="X201" s="208"/>
      <c r="Y201" s="208"/>
      <c r="Z201" s="208"/>
      <c r="AA201" s="208"/>
      <c r="AB201" s="208"/>
      <c r="AC201" s="208"/>
      <c r="AD201" s="208"/>
      <c r="AE201" s="208"/>
    </row>
    <row r="202" spans="1:31">
      <c r="A202" s="210"/>
      <c r="B202" s="211"/>
      <c r="C202" s="211"/>
      <c r="D202" s="209"/>
      <c r="E202" s="212"/>
      <c r="F202" s="212"/>
      <c r="G202" s="213"/>
      <c r="H202" s="214"/>
      <c r="I202" s="208"/>
      <c r="J202" s="208"/>
      <c r="K202" s="208"/>
      <c r="L202" s="208"/>
      <c r="M202" s="208"/>
      <c r="N202" s="208"/>
      <c r="O202" s="208"/>
      <c r="P202" s="208"/>
      <c r="Q202" s="208"/>
      <c r="R202" s="208"/>
      <c r="S202" s="208"/>
      <c r="T202" s="208"/>
      <c r="U202" s="208"/>
      <c r="V202" s="208"/>
      <c r="W202" s="208"/>
      <c r="X202" s="208"/>
      <c r="Y202" s="208"/>
      <c r="Z202" s="208"/>
      <c r="AA202" s="208"/>
      <c r="AB202" s="208"/>
      <c r="AC202" s="208"/>
      <c r="AD202" s="208"/>
      <c r="AE202" s="208"/>
    </row>
    <row r="203" spans="1:31">
      <c r="A203" s="210"/>
      <c r="B203" s="211"/>
      <c r="C203" s="211"/>
      <c r="D203" s="209"/>
      <c r="E203" s="212"/>
      <c r="F203" s="212"/>
      <c r="G203" s="213"/>
      <c r="H203" s="214"/>
      <c r="I203" s="208"/>
      <c r="J203" s="208"/>
      <c r="K203" s="208"/>
      <c r="L203" s="208"/>
      <c r="M203" s="208"/>
      <c r="N203" s="208"/>
      <c r="O203" s="208"/>
      <c r="P203" s="208"/>
      <c r="Q203" s="208"/>
      <c r="R203" s="208"/>
      <c r="S203" s="208"/>
      <c r="T203" s="208"/>
      <c r="U203" s="208"/>
      <c r="V203" s="208"/>
      <c r="W203" s="208"/>
      <c r="X203" s="208"/>
      <c r="Y203" s="208"/>
      <c r="Z203" s="208"/>
      <c r="AA203" s="208"/>
      <c r="AB203" s="208"/>
      <c r="AC203" s="208"/>
      <c r="AD203" s="208"/>
      <c r="AE203" s="208"/>
    </row>
    <row r="204" spans="1:31">
      <c r="A204" s="210"/>
      <c r="B204" s="211"/>
      <c r="C204" s="211"/>
      <c r="D204" s="209"/>
      <c r="E204" s="212"/>
      <c r="F204" s="212"/>
      <c r="G204" s="213"/>
      <c r="H204" s="214"/>
      <c r="I204" s="208"/>
      <c r="J204" s="208"/>
      <c r="K204" s="208"/>
      <c r="L204" s="208"/>
      <c r="M204" s="208"/>
      <c r="N204" s="208"/>
      <c r="O204" s="208"/>
      <c r="P204" s="208"/>
      <c r="Q204" s="208"/>
      <c r="R204" s="208"/>
      <c r="S204" s="208"/>
      <c r="T204" s="208"/>
      <c r="U204" s="208"/>
      <c r="V204" s="208"/>
      <c r="W204" s="208"/>
      <c r="X204" s="208"/>
      <c r="Y204" s="208"/>
      <c r="Z204" s="208"/>
      <c r="AA204" s="208"/>
      <c r="AB204" s="208"/>
      <c r="AC204" s="208"/>
      <c r="AD204" s="208"/>
      <c r="AE204" s="208"/>
    </row>
    <row r="205" spans="1:31">
      <c r="A205" s="210"/>
      <c r="B205" s="211"/>
      <c r="C205" s="211"/>
      <c r="D205" s="209"/>
      <c r="E205" s="212"/>
      <c r="F205" s="212"/>
      <c r="G205" s="213"/>
      <c r="H205" s="214"/>
      <c r="I205" s="208"/>
      <c r="J205" s="208"/>
      <c r="K205" s="208"/>
      <c r="L205" s="208"/>
      <c r="M205" s="208"/>
      <c r="N205" s="208"/>
      <c r="O205" s="208"/>
      <c r="P205" s="208"/>
      <c r="Q205" s="208"/>
      <c r="R205" s="208"/>
      <c r="S205" s="208"/>
      <c r="T205" s="208"/>
      <c r="U205" s="208"/>
      <c r="V205" s="208"/>
      <c r="W205" s="208"/>
      <c r="X205" s="208"/>
      <c r="Y205" s="208"/>
      <c r="Z205" s="208"/>
      <c r="AA205" s="208"/>
      <c r="AB205" s="208"/>
      <c r="AC205" s="208"/>
      <c r="AD205" s="208"/>
      <c r="AE205" s="208"/>
    </row>
    <row r="206" spans="1:31">
      <c r="A206" s="210"/>
      <c r="B206" s="211"/>
      <c r="C206" s="211"/>
      <c r="D206" s="209"/>
      <c r="E206" s="212"/>
      <c r="F206" s="212"/>
      <c r="G206" s="213"/>
      <c r="H206" s="214"/>
      <c r="I206" s="208"/>
      <c r="J206" s="208"/>
      <c r="K206" s="208"/>
      <c r="L206" s="208"/>
      <c r="M206" s="208"/>
      <c r="N206" s="208"/>
      <c r="O206" s="208"/>
      <c r="P206" s="208"/>
      <c r="Q206" s="208"/>
      <c r="R206" s="208"/>
      <c r="S206" s="208"/>
      <c r="T206" s="208"/>
      <c r="U206" s="208"/>
      <c r="V206" s="208"/>
      <c r="W206" s="208"/>
      <c r="X206" s="208"/>
      <c r="Y206" s="208"/>
      <c r="Z206" s="208"/>
      <c r="AA206" s="208"/>
      <c r="AB206" s="208"/>
      <c r="AC206" s="208"/>
      <c r="AD206" s="208"/>
      <c r="AE206" s="208"/>
    </row>
    <row r="207" spans="1:31">
      <c r="A207" s="210"/>
      <c r="B207" s="211"/>
      <c r="C207" s="211"/>
      <c r="D207" s="209"/>
      <c r="E207" s="212"/>
      <c r="F207" s="212"/>
      <c r="G207" s="213"/>
      <c r="H207" s="214"/>
      <c r="I207" s="208"/>
      <c r="J207" s="208"/>
      <c r="K207" s="208"/>
      <c r="L207" s="208"/>
      <c r="M207" s="208"/>
      <c r="N207" s="208"/>
      <c r="O207" s="208"/>
      <c r="P207" s="208"/>
      <c r="Q207" s="208"/>
      <c r="R207" s="208"/>
      <c r="S207" s="208"/>
      <c r="T207" s="208"/>
      <c r="U207" s="208"/>
      <c r="V207" s="208"/>
      <c r="W207" s="208"/>
      <c r="X207" s="208"/>
      <c r="Y207" s="208"/>
      <c r="Z207" s="208"/>
      <c r="AA207" s="208"/>
      <c r="AB207" s="208"/>
      <c r="AC207" s="208"/>
      <c r="AD207" s="208"/>
      <c r="AE207" s="208"/>
    </row>
    <row r="208" spans="1:31">
      <c r="A208" s="210"/>
      <c r="B208" s="211"/>
      <c r="C208" s="211"/>
      <c r="D208" s="209"/>
      <c r="E208" s="212"/>
      <c r="F208" s="212"/>
      <c r="G208" s="213"/>
      <c r="H208" s="214"/>
      <c r="I208" s="208"/>
      <c r="J208" s="208"/>
      <c r="K208" s="208"/>
      <c r="L208" s="208"/>
      <c r="M208" s="208"/>
      <c r="N208" s="208"/>
      <c r="O208" s="208"/>
      <c r="P208" s="208"/>
      <c r="Q208" s="208"/>
      <c r="R208" s="208"/>
      <c r="S208" s="208"/>
      <c r="T208" s="208"/>
      <c r="U208" s="208"/>
      <c r="V208" s="208"/>
      <c r="W208" s="208"/>
      <c r="X208" s="208"/>
      <c r="Y208" s="208"/>
      <c r="Z208" s="208"/>
      <c r="AA208" s="208"/>
      <c r="AB208" s="208"/>
      <c r="AC208" s="208"/>
      <c r="AD208" s="208"/>
      <c r="AE208" s="208"/>
    </row>
    <row r="209" spans="1:31">
      <c r="A209" s="210"/>
      <c r="B209" s="211"/>
      <c r="C209" s="211"/>
      <c r="D209" s="209"/>
      <c r="E209" s="212"/>
      <c r="F209" s="212"/>
      <c r="G209" s="213"/>
      <c r="H209" s="214"/>
      <c r="I209" s="208"/>
      <c r="J209" s="208"/>
      <c r="K209" s="208"/>
      <c r="L209" s="208"/>
      <c r="M209" s="208"/>
      <c r="N209" s="208"/>
      <c r="O209" s="208"/>
      <c r="P209" s="208"/>
      <c r="Q209" s="208"/>
      <c r="R209" s="208"/>
      <c r="S209" s="208"/>
      <c r="T209" s="208"/>
      <c r="U209" s="208"/>
      <c r="V209" s="208"/>
      <c r="W209" s="208"/>
      <c r="X209" s="208"/>
      <c r="Y209" s="208"/>
      <c r="Z209" s="208"/>
      <c r="AA209" s="208"/>
      <c r="AB209" s="208"/>
      <c r="AC209" s="208"/>
      <c r="AD209" s="208"/>
      <c r="AE209" s="208"/>
    </row>
    <row r="210" spans="1:31">
      <c r="A210" s="210"/>
      <c r="B210" s="211"/>
      <c r="C210" s="211"/>
      <c r="D210" s="209"/>
      <c r="E210" s="212"/>
      <c r="F210" s="212"/>
      <c r="G210" s="213"/>
      <c r="H210" s="214"/>
      <c r="I210" s="208"/>
      <c r="J210" s="208"/>
      <c r="K210" s="208"/>
      <c r="L210" s="208"/>
      <c r="M210" s="208"/>
      <c r="N210" s="208"/>
      <c r="O210" s="208"/>
      <c r="P210" s="208"/>
      <c r="Q210" s="208"/>
      <c r="R210" s="208"/>
      <c r="S210" s="208"/>
      <c r="T210" s="208"/>
      <c r="U210" s="208"/>
      <c r="V210" s="208"/>
      <c r="W210" s="208"/>
      <c r="X210" s="208"/>
      <c r="Y210" s="208"/>
      <c r="Z210" s="208"/>
      <c r="AA210" s="208"/>
      <c r="AB210" s="208"/>
      <c r="AC210" s="208"/>
      <c r="AD210" s="208"/>
      <c r="AE210" s="208"/>
    </row>
    <row r="211" spans="1:31">
      <c r="A211" s="210"/>
      <c r="B211" s="211"/>
      <c r="C211" s="211"/>
      <c r="D211" s="209"/>
      <c r="E211" s="212"/>
      <c r="F211" s="212"/>
      <c r="G211" s="213"/>
      <c r="H211" s="214"/>
      <c r="I211" s="208"/>
      <c r="J211" s="208"/>
      <c r="K211" s="208"/>
      <c r="L211" s="208"/>
      <c r="M211" s="208"/>
      <c r="N211" s="208"/>
      <c r="O211" s="208"/>
      <c r="P211" s="208"/>
      <c r="Q211" s="208"/>
      <c r="R211" s="208"/>
      <c r="S211" s="208"/>
      <c r="T211" s="208"/>
      <c r="U211" s="208"/>
      <c r="V211" s="208"/>
      <c r="W211" s="208"/>
      <c r="X211" s="208"/>
      <c r="Y211" s="208"/>
      <c r="Z211" s="208"/>
      <c r="AA211" s="208"/>
      <c r="AB211" s="208"/>
      <c r="AC211" s="208"/>
      <c r="AD211" s="208"/>
      <c r="AE211" s="208"/>
    </row>
  </sheetData>
  <autoFilter ref="A6:L111" xr:uid="{04DE594A-3DD2-49BC-8421-D2C55076B90A}"/>
  <mergeCells count="1">
    <mergeCell ref="A1:H1"/>
  </mergeCells>
  <phoneticPr fontId="5" type="noConversion"/>
  <pageMargins left="0.7" right="0.7" top="0.75" bottom="0.75" header="0.3" footer="0.3"/>
  <pageSetup paperSize="9" scale="63" orientation="portrait" r:id="rId1"/>
  <headerFooter>
    <oddHeader>&amp;R&amp;"Aptos"&amp;13&amp;K000000 [ RESTRICTED ]&amp;1#_x000D_</oddHeader>
    <oddFooter>&amp;R_x000D_&amp;1#&amp;"Aptos"&amp;5&amp;K000000 [Secure Minds, Secure Finds] 본 문서는 현대건설㈜의 정보자산이므로 무단 전제 및 복제할 수 없으며, 이를 위반할 시에는 당사 사규 및 관련 법규에 의해 제지를 받을 수 있습니다.</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1DE48B-A9BE-4F46-AE43-0A0CC7843D7D}">
  <sheetPr>
    <pageSetUpPr fitToPage="1"/>
  </sheetPr>
  <dimension ref="A1:AS38"/>
  <sheetViews>
    <sheetView showGridLines="0" view="pageBreakPreview" zoomScale="70" zoomScaleNormal="40" zoomScaleSheetLayoutView="70" workbookViewId="0">
      <selection activeCell="O14" sqref="O14"/>
    </sheetView>
  </sheetViews>
  <sheetFormatPr defaultColWidth="9" defaultRowHeight="13.5"/>
  <cols>
    <col min="1" max="1" width="10.5" style="447" customWidth="1"/>
    <col min="2" max="2" width="2.875" style="447" customWidth="1"/>
    <col min="3" max="3" width="17.25" style="447" customWidth="1"/>
    <col min="4" max="11" width="7.75" style="448" customWidth="1"/>
    <col min="12" max="12" width="8" style="448" bestFit="1" customWidth="1"/>
    <col min="13" max="27" width="7.75" style="448" customWidth="1"/>
    <col min="28" max="28" width="6.875" style="448" bestFit="1" customWidth="1"/>
    <col min="29" max="29" width="6.25" style="448" bestFit="1" customWidth="1"/>
    <col min="30" max="31" width="15.125" style="448" bestFit="1" customWidth="1"/>
    <col min="32" max="32" width="14.375" style="448" customWidth="1"/>
    <col min="33" max="37" width="11.5" style="448" customWidth="1"/>
    <col min="38" max="45" width="9" style="448"/>
    <col min="46" max="16384" width="9" style="447"/>
  </cols>
  <sheetData>
    <row r="1" spans="1:36" s="448" customFormat="1" ht="30.75">
      <c r="A1" s="446" t="s">
        <v>2894</v>
      </c>
      <c r="B1" s="447"/>
      <c r="C1" s="447"/>
      <c r="AD1" s="448" t="s">
        <v>2864</v>
      </c>
    </row>
    <row r="2" spans="1:36">
      <c r="AB2" s="474">
        <v>2027</v>
      </c>
      <c r="AC2" s="448" t="s">
        <v>13</v>
      </c>
      <c r="AD2" s="448" t="s">
        <v>3090</v>
      </c>
      <c r="AE2" s="448">
        <f t="shared" ref="AE2:AE3" si="0">AF2*12</f>
        <v>164782728</v>
      </c>
      <c r="AF2" s="448">
        <f>SUM(AG2:AJ2)</f>
        <v>13731894</v>
      </c>
      <c r="AG2" s="448">
        <v>1200000</v>
      </c>
      <c r="AH2" s="448">
        <v>871000</v>
      </c>
      <c r="AI2" s="448">
        <v>2292000</v>
      </c>
      <c r="AJ2" s="448">
        <v>9368894</v>
      </c>
    </row>
    <row r="3" spans="1:36">
      <c r="AB3" s="474">
        <v>2027</v>
      </c>
      <c r="AC3" s="448" t="s">
        <v>13</v>
      </c>
      <c r="AD3" s="448" t="s">
        <v>3091</v>
      </c>
      <c r="AE3" s="448">
        <f t="shared" si="0"/>
        <v>150382728</v>
      </c>
      <c r="AF3" s="448">
        <f>SUM(AG3:AJ3)</f>
        <v>12531894</v>
      </c>
      <c r="AG3" s="448">
        <v>0</v>
      </c>
      <c r="AH3" s="448">
        <v>871000</v>
      </c>
      <c r="AI3" s="448">
        <v>2292000</v>
      </c>
      <c r="AJ3" s="448">
        <v>9368894</v>
      </c>
    </row>
    <row r="4" spans="1:36" s="448" customFormat="1" ht="27" customHeight="1">
      <c r="A4" s="447"/>
      <c r="B4" s="447"/>
      <c r="C4" s="447"/>
      <c r="AA4" s="449" t="s">
        <v>2895</v>
      </c>
      <c r="AB4" s="474">
        <v>2028</v>
      </c>
      <c r="AC4" s="448" t="s">
        <v>13</v>
      </c>
      <c r="AD4" s="448" t="s">
        <v>3090</v>
      </c>
      <c r="AE4" s="448">
        <f t="shared" ref="AE4:AE5" si="1">AF4*12</f>
        <v>172862808</v>
      </c>
      <c r="AF4" s="448">
        <f>SUM(AG4:AJ4)</f>
        <v>14405234</v>
      </c>
      <c r="AG4" s="448">
        <v>1200000</v>
      </c>
      <c r="AH4" s="448">
        <v>871000</v>
      </c>
      <c r="AI4" s="448">
        <v>2436000</v>
      </c>
      <c r="AJ4" s="448">
        <v>9898234</v>
      </c>
    </row>
    <row r="5" spans="1:36" s="448" customFormat="1" ht="44.25" customHeight="1">
      <c r="A5" s="524" t="s">
        <v>154</v>
      </c>
      <c r="B5" s="525"/>
      <c r="C5" s="526"/>
      <c r="D5" s="533" t="s">
        <v>2896</v>
      </c>
      <c r="E5" s="534"/>
      <c r="F5" s="535" t="s">
        <v>2897</v>
      </c>
      <c r="G5" s="536"/>
      <c r="H5" s="537" t="s">
        <v>2898</v>
      </c>
      <c r="I5" s="540" t="s">
        <v>2856</v>
      </c>
      <c r="J5" s="541"/>
      <c r="K5" s="541"/>
      <c r="L5" s="541"/>
      <c r="M5" s="541"/>
      <c r="N5" s="541"/>
      <c r="O5" s="541"/>
      <c r="P5" s="541"/>
      <c r="Q5" s="541"/>
      <c r="R5" s="541"/>
      <c r="S5" s="541"/>
      <c r="T5" s="541"/>
      <c r="U5" s="541"/>
      <c r="V5" s="541"/>
      <c r="W5" s="541"/>
      <c r="X5" s="541"/>
      <c r="Y5" s="541"/>
      <c r="Z5" s="541"/>
      <c r="AA5" s="542"/>
      <c r="AB5" s="474">
        <v>2028</v>
      </c>
      <c r="AC5" s="448" t="s">
        <v>13</v>
      </c>
      <c r="AD5" s="448" t="s">
        <v>3091</v>
      </c>
      <c r="AE5" s="448">
        <f t="shared" si="1"/>
        <v>158462808</v>
      </c>
      <c r="AF5" s="448">
        <f>SUM(AG5:AJ5)</f>
        <v>13205234</v>
      </c>
      <c r="AG5" s="448">
        <v>0</v>
      </c>
      <c r="AH5" s="448">
        <v>871000</v>
      </c>
      <c r="AI5" s="448">
        <v>2436000</v>
      </c>
      <c r="AJ5" s="448">
        <v>9898234</v>
      </c>
    </row>
    <row r="6" spans="1:36" s="448" customFormat="1" ht="19.5" customHeight="1">
      <c r="A6" s="527"/>
      <c r="B6" s="528"/>
      <c r="C6" s="529"/>
      <c r="D6" s="543" t="s">
        <v>2899</v>
      </c>
      <c r="E6" s="544"/>
      <c r="F6" s="545" t="s">
        <v>2900</v>
      </c>
      <c r="G6" s="547" t="s">
        <v>2901</v>
      </c>
      <c r="H6" s="538"/>
      <c r="I6" s="549" t="s">
        <v>2902</v>
      </c>
      <c r="J6" s="550"/>
      <c r="K6" s="550"/>
      <c r="L6" s="541"/>
      <c r="M6" s="550"/>
      <c r="N6" s="550"/>
      <c r="O6" s="550"/>
      <c r="P6" s="550"/>
      <c r="Q6" s="550"/>
      <c r="R6" s="551"/>
      <c r="S6" s="549" t="s">
        <v>2903</v>
      </c>
      <c r="T6" s="550"/>
      <c r="U6" s="550"/>
      <c r="V6" s="550"/>
      <c r="W6" s="550"/>
      <c r="X6" s="550"/>
      <c r="Y6" s="550"/>
      <c r="Z6" s="550"/>
      <c r="AA6" s="551"/>
    </row>
    <row r="7" spans="1:36" s="448" customFormat="1" ht="19.5" customHeight="1">
      <c r="A7" s="530"/>
      <c r="B7" s="531"/>
      <c r="C7" s="532"/>
      <c r="D7" s="450" t="s">
        <v>2902</v>
      </c>
      <c r="E7" s="451" t="s">
        <v>2903</v>
      </c>
      <c r="F7" s="546"/>
      <c r="G7" s="548"/>
      <c r="H7" s="539"/>
      <c r="I7" s="452" t="s">
        <v>2904</v>
      </c>
      <c r="J7" s="450" t="s">
        <v>2905</v>
      </c>
      <c r="K7" s="453" t="s">
        <v>2906</v>
      </c>
      <c r="L7" s="453" t="s">
        <v>2907</v>
      </c>
      <c r="M7" s="454" t="s">
        <v>2908</v>
      </c>
      <c r="N7" s="450" t="s">
        <v>2909</v>
      </c>
      <c r="O7" s="450" t="s">
        <v>2910</v>
      </c>
      <c r="P7" s="450" t="s">
        <v>2911</v>
      </c>
      <c r="Q7" s="450" t="s">
        <v>2912</v>
      </c>
      <c r="R7" s="451" t="s">
        <v>2913</v>
      </c>
      <c r="S7" s="455" t="s">
        <v>2890</v>
      </c>
      <c r="T7" s="450" t="s">
        <v>2892</v>
      </c>
      <c r="U7" s="450" t="s">
        <v>2891</v>
      </c>
      <c r="V7" s="450" t="s">
        <v>2889</v>
      </c>
      <c r="W7" s="450" t="s">
        <v>2914</v>
      </c>
      <c r="X7" s="450" t="s">
        <v>2915</v>
      </c>
      <c r="Y7" s="450" t="s">
        <v>2893</v>
      </c>
      <c r="Z7" s="450" t="s">
        <v>2916</v>
      </c>
      <c r="AA7" s="451" t="s">
        <v>2917</v>
      </c>
    </row>
    <row r="8" spans="1:36" s="448" customFormat="1" ht="26.25" customHeight="1">
      <c r="A8" s="560" t="s">
        <v>2918</v>
      </c>
      <c r="B8" s="563" t="s">
        <v>2919</v>
      </c>
      <c r="C8" s="564"/>
      <c r="D8" s="565" t="s">
        <v>2</v>
      </c>
      <c r="E8" s="568" t="s">
        <v>2</v>
      </c>
      <c r="F8" s="571">
        <v>1200</v>
      </c>
      <c r="G8" s="574">
        <v>1400</v>
      </c>
      <c r="H8" s="587">
        <v>3648</v>
      </c>
      <c r="I8" s="590">
        <v>5432</v>
      </c>
      <c r="J8" s="552">
        <v>4826</v>
      </c>
      <c r="K8" s="554">
        <v>4341</v>
      </c>
      <c r="L8" s="556">
        <f>(K8-M8)/1.8+M8</f>
        <v>4123.666666666667</v>
      </c>
      <c r="M8" s="558">
        <v>3852</v>
      </c>
      <c r="N8" s="552">
        <v>3594</v>
      </c>
      <c r="O8" s="552">
        <v>3378</v>
      </c>
      <c r="P8" s="552">
        <v>2998</v>
      </c>
      <c r="Q8" s="552">
        <v>2917</v>
      </c>
      <c r="R8" s="577">
        <v>2843</v>
      </c>
      <c r="S8" s="558">
        <v>4332</v>
      </c>
      <c r="T8" s="552">
        <v>3726</v>
      </c>
      <c r="U8" s="552">
        <v>3241</v>
      </c>
      <c r="V8" s="552">
        <v>2852</v>
      </c>
      <c r="W8" s="552">
        <v>2594</v>
      </c>
      <c r="X8" s="552">
        <v>2378</v>
      </c>
      <c r="Y8" s="552">
        <v>2198</v>
      </c>
      <c r="Z8" s="552">
        <v>2117</v>
      </c>
      <c r="AA8" s="577">
        <v>2043</v>
      </c>
    </row>
    <row r="9" spans="1:36" s="448" customFormat="1" ht="26.25" customHeight="1">
      <c r="A9" s="561"/>
      <c r="B9" s="579" t="s">
        <v>2920</v>
      </c>
      <c r="C9" s="580"/>
      <c r="D9" s="566"/>
      <c r="E9" s="569"/>
      <c r="F9" s="572"/>
      <c r="G9" s="575"/>
      <c r="H9" s="588"/>
      <c r="I9" s="581"/>
      <c r="J9" s="553"/>
      <c r="K9" s="555"/>
      <c r="L9" s="557"/>
      <c r="M9" s="559"/>
      <c r="N9" s="553"/>
      <c r="O9" s="553"/>
      <c r="P9" s="553"/>
      <c r="Q9" s="553"/>
      <c r="R9" s="578"/>
      <c r="S9" s="559"/>
      <c r="T9" s="553"/>
      <c r="U9" s="553"/>
      <c r="V9" s="553"/>
      <c r="W9" s="553"/>
      <c r="X9" s="553"/>
      <c r="Y9" s="553"/>
      <c r="Z9" s="553"/>
      <c r="AA9" s="578"/>
    </row>
    <row r="10" spans="1:36" s="448" customFormat="1" ht="26.25" customHeight="1">
      <c r="A10" s="561"/>
      <c r="B10" s="579" t="s">
        <v>2921</v>
      </c>
      <c r="C10" s="580"/>
      <c r="D10" s="566"/>
      <c r="E10" s="569"/>
      <c r="F10" s="572"/>
      <c r="G10" s="575"/>
      <c r="H10" s="588"/>
      <c r="I10" s="581">
        <v>5132</v>
      </c>
      <c r="J10" s="553">
        <v>4526</v>
      </c>
      <c r="K10" s="555">
        <v>4041</v>
      </c>
      <c r="L10" s="557">
        <f>(K10-M10)/1.8+M10</f>
        <v>3823.6666666666665</v>
      </c>
      <c r="M10" s="559">
        <v>3552</v>
      </c>
      <c r="N10" s="553">
        <v>3294</v>
      </c>
      <c r="O10" s="553">
        <v>3078</v>
      </c>
      <c r="P10" s="553">
        <v>2698</v>
      </c>
      <c r="Q10" s="553">
        <v>2617</v>
      </c>
      <c r="R10" s="578">
        <v>2543</v>
      </c>
      <c r="S10" s="559">
        <v>4032</v>
      </c>
      <c r="T10" s="553">
        <v>3426</v>
      </c>
      <c r="U10" s="553">
        <v>2941</v>
      </c>
      <c r="V10" s="553">
        <v>2552</v>
      </c>
      <c r="W10" s="553">
        <v>2294</v>
      </c>
      <c r="X10" s="553">
        <v>2078</v>
      </c>
      <c r="Y10" s="553">
        <v>1898</v>
      </c>
      <c r="Z10" s="553">
        <v>1817</v>
      </c>
      <c r="AA10" s="578">
        <v>1743</v>
      </c>
    </row>
    <row r="11" spans="1:36" s="448" customFormat="1" ht="26.25" customHeight="1">
      <c r="A11" s="562"/>
      <c r="B11" s="592" t="s">
        <v>2922</v>
      </c>
      <c r="C11" s="593"/>
      <c r="D11" s="567"/>
      <c r="E11" s="570"/>
      <c r="F11" s="573"/>
      <c r="G11" s="576"/>
      <c r="H11" s="589"/>
      <c r="I11" s="582"/>
      <c r="J11" s="583"/>
      <c r="K11" s="584"/>
      <c r="L11" s="585"/>
      <c r="M11" s="586"/>
      <c r="N11" s="583"/>
      <c r="O11" s="583"/>
      <c r="P11" s="583"/>
      <c r="Q11" s="583"/>
      <c r="R11" s="591"/>
      <c r="S11" s="586"/>
      <c r="T11" s="583"/>
      <c r="U11" s="583"/>
      <c r="V11" s="583"/>
      <c r="W11" s="583"/>
      <c r="X11" s="583"/>
      <c r="Y11" s="583"/>
      <c r="Z11" s="583"/>
      <c r="AA11" s="591"/>
    </row>
    <row r="12" spans="1:36" s="448" customFormat="1" ht="26.25" customHeight="1">
      <c r="A12" s="560" t="s">
        <v>2923</v>
      </c>
      <c r="B12" s="563" t="s">
        <v>2924</v>
      </c>
      <c r="C12" s="564"/>
      <c r="D12" s="552" t="s">
        <v>2925</v>
      </c>
      <c r="E12" s="577" t="s">
        <v>2926</v>
      </c>
      <c r="F12" s="590">
        <v>1200</v>
      </c>
      <c r="G12" s="577">
        <v>1700</v>
      </c>
      <c r="H12" s="594">
        <v>3318</v>
      </c>
      <c r="I12" s="456">
        <v>3011</v>
      </c>
      <c r="J12" s="457">
        <v>2405</v>
      </c>
      <c r="K12" s="458">
        <v>1920</v>
      </c>
      <c r="L12" s="459">
        <v>1560</v>
      </c>
      <c r="M12" s="460">
        <v>1431</v>
      </c>
      <c r="N12" s="457">
        <v>1173</v>
      </c>
      <c r="O12" s="457">
        <v>957</v>
      </c>
      <c r="P12" s="457">
        <v>577</v>
      </c>
      <c r="Q12" s="457">
        <v>496</v>
      </c>
      <c r="R12" s="461">
        <v>421</v>
      </c>
      <c r="S12" s="460">
        <v>2759</v>
      </c>
      <c r="T12" s="457">
        <v>2153</v>
      </c>
      <c r="U12" s="457">
        <v>1668</v>
      </c>
      <c r="V12" s="457">
        <v>1279</v>
      </c>
      <c r="W12" s="457">
        <v>1021</v>
      </c>
      <c r="X12" s="457">
        <v>805</v>
      </c>
      <c r="Y12" s="457">
        <v>625</v>
      </c>
      <c r="Z12" s="457">
        <v>544</v>
      </c>
      <c r="AA12" s="461">
        <v>469</v>
      </c>
    </row>
    <row r="13" spans="1:36" s="448" customFormat="1" ht="26.25" customHeight="1">
      <c r="A13" s="561"/>
      <c r="B13" s="579" t="s">
        <v>2927</v>
      </c>
      <c r="C13" s="580"/>
      <c r="D13" s="553"/>
      <c r="E13" s="578"/>
      <c r="F13" s="581"/>
      <c r="G13" s="578"/>
      <c r="H13" s="595"/>
      <c r="I13" s="462">
        <v>2765</v>
      </c>
      <c r="J13" s="463">
        <v>2208</v>
      </c>
      <c r="K13" s="464">
        <v>1763</v>
      </c>
      <c r="L13" s="465">
        <f t="shared" ref="L13:L15" si="2">(K13-M13)/1.8+M13</f>
        <v>1559.8888888888889</v>
      </c>
      <c r="M13" s="466">
        <v>1306</v>
      </c>
      <c r="N13" s="463">
        <v>1069</v>
      </c>
      <c r="O13" s="463">
        <v>871</v>
      </c>
      <c r="P13" s="463">
        <v>506</v>
      </c>
      <c r="Q13" s="463">
        <v>431</v>
      </c>
      <c r="R13" s="467">
        <v>363</v>
      </c>
      <c r="S13" s="466">
        <v>2444</v>
      </c>
      <c r="T13" s="463">
        <v>1887</v>
      </c>
      <c r="U13" s="463">
        <v>1442</v>
      </c>
      <c r="V13" s="463">
        <v>1085</v>
      </c>
      <c r="W13" s="463">
        <v>848</v>
      </c>
      <c r="X13" s="463">
        <v>650</v>
      </c>
      <c r="Y13" s="463">
        <v>485</v>
      </c>
      <c r="Z13" s="463">
        <v>410</v>
      </c>
      <c r="AA13" s="467">
        <v>342</v>
      </c>
    </row>
    <row r="14" spans="1:36" s="448" customFormat="1" ht="26.25" customHeight="1">
      <c r="A14" s="561"/>
      <c r="B14" s="579" t="s">
        <v>2928</v>
      </c>
      <c r="C14" s="580"/>
      <c r="D14" s="553"/>
      <c r="E14" s="578"/>
      <c r="F14" s="462">
        <v>1150</v>
      </c>
      <c r="G14" s="467">
        <v>1550</v>
      </c>
      <c r="H14" s="468">
        <v>2934</v>
      </c>
      <c r="I14" s="462">
        <v>2211</v>
      </c>
      <c r="J14" s="463">
        <v>1783</v>
      </c>
      <c r="K14" s="464">
        <v>1439</v>
      </c>
      <c r="L14" s="465">
        <f t="shared" si="2"/>
        <v>1272.7777777777778</v>
      </c>
      <c r="M14" s="466">
        <v>1065</v>
      </c>
      <c r="N14" s="463">
        <v>882</v>
      </c>
      <c r="O14" s="463">
        <v>729</v>
      </c>
      <c r="P14" s="463">
        <v>402</v>
      </c>
      <c r="Q14" s="463">
        <v>345</v>
      </c>
      <c r="R14" s="467">
        <v>292</v>
      </c>
      <c r="S14" s="466">
        <v>1711</v>
      </c>
      <c r="T14" s="463">
        <v>1283</v>
      </c>
      <c r="U14" s="463">
        <v>939</v>
      </c>
      <c r="V14" s="463">
        <v>665</v>
      </c>
      <c r="W14" s="463">
        <v>482</v>
      </c>
      <c r="X14" s="463">
        <v>329</v>
      </c>
      <c r="Y14" s="463">
        <v>202</v>
      </c>
      <c r="Z14" s="463">
        <v>145</v>
      </c>
      <c r="AA14" s="467">
        <v>123</v>
      </c>
    </row>
    <row r="15" spans="1:36" s="448" customFormat="1" ht="26.25" customHeight="1">
      <c r="A15" s="561"/>
      <c r="B15" s="579" t="s">
        <v>2929</v>
      </c>
      <c r="C15" s="580"/>
      <c r="D15" s="553"/>
      <c r="E15" s="578"/>
      <c r="F15" s="598">
        <v>1100</v>
      </c>
      <c r="G15" s="596">
        <v>1400</v>
      </c>
      <c r="H15" s="468">
        <v>2549</v>
      </c>
      <c r="I15" s="462">
        <v>1948</v>
      </c>
      <c r="J15" s="463">
        <v>1584</v>
      </c>
      <c r="K15" s="464">
        <v>1293</v>
      </c>
      <c r="L15" s="465">
        <f t="shared" si="2"/>
        <v>1145</v>
      </c>
      <c r="M15" s="466">
        <v>960</v>
      </c>
      <c r="N15" s="463">
        <v>804</v>
      </c>
      <c r="O15" s="463">
        <v>675</v>
      </c>
      <c r="P15" s="463">
        <v>367</v>
      </c>
      <c r="Q15" s="463">
        <v>318</v>
      </c>
      <c r="R15" s="467">
        <v>273</v>
      </c>
      <c r="S15" s="466">
        <v>1358</v>
      </c>
      <c r="T15" s="463">
        <v>994</v>
      </c>
      <c r="U15" s="463">
        <v>703</v>
      </c>
      <c r="V15" s="463">
        <v>470</v>
      </c>
      <c r="W15" s="463">
        <v>314</v>
      </c>
      <c r="X15" s="463">
        <v>185</v>
      </c>
      <c r="Y15" s="599">
        <v>100</v>
      </c>
      <c r="Z15" s="599">
        <v>100</v>
      </c>
      <c r="AA15" s="596">
        <v>100</v>
      </c>
    </row>
    <row r="16" spans="1:36" s="448" customFormat="1" ht="26.25" customHeight="1">
      <c r="A16" s="561"/>
      <c r="B16" s="579" t="s">
        <v>2930</v>
      </c>
      <c r="C16" s="580"/>
      <c r="D16" s="553"/>
      <c r="E16" s="578"/>
      <c r="F16" s="572"/>
      <c r="G16" s="575"/>
      <c r="H16" s="597">
        <v>1626</v>
      </c>
      <c r="I16" s="598">
        <v>1282</v>
      </c>
      <c r="J16" s="599">
        <v>1083</v>
      </c>
      <c r="K16" s="601">
        <v>923</v>
      </c>
      <c r="L16" s="603">
        <v>822</v>
      </c>
      <c r="M16" s="605">
        <v>695</v>
      </c>
      <c r="N16" s="599">
        <v>610</v>
      </c>
      <c r="O16" s="599">
        <v>539</v>
      </c>
      <c r="P16" s="599">
        <v>280</v>
      </c>
      <c r="Q16" s="599">
        <v>254</v>
      </c>
      <c r="R16" s="596">
        <v>229</v>
      </c>
      <c r="S16" s="598">
        <v>476</v>
      </c>
      <c r="T16" s="599">
        <v>277</v>
      </c>
      <c r="U16" s="599">
        <v>117</v>
      </c>
      <c r="V16" s="599">
        <v>100</v>
      </c>
      <c r="W16" s="599">
        <v>100</v>
      </c>
      <c r="X16" s="599">
        <v>100</v>
      </c>
      <c r="Y16" s="607"/>
      <c r="Z16" s="607"/>
      <c r="AA16" s="575"/>
    </row>
    <row r="17" spans="1:27" s="448" customFormat="1" ht="26.25" customHeight="1">
      <c r="A17" s="562"/>
      <c r="B17" s="592" t="s">
        <v>2931</v>
      </c>
      <c r="C17" s="593"/>
      <c r="D17" s="583"/>
      <c r="E17" s="591"/>
      <c r="F17" s="573"/>
      <c r="G17" s="576"/>
      <c r="H17" s="589"/>
      <c r="I17" s="573"/>
      <c r="J17" s="600"/>
      <c r="K17" s="602"/>
      <c r="L17" s="604"/>
      <c r="M17" s="606"/>
      <c r="N17" s="600"/>
      <c r="O17" s="600"/>
      <c r="P17" s="600"/>
      <c r="Q17" s="600"/>
      <c r="R17" s="576"/>
      <c r="S17" s="573"/>
      <c r="T17" s="600"/>
      <c r="U17" s="600"/>
      <c r="V17" s="600"/>
      <c r="W17" s="600"/>
      <c r="X17" s="600"/>
      <c r="Y17" s="600"/>
      <c r="Z17" s="600"/>
      <c r="AA17" s="576"/>
    </row>
    <row r="18" spans="1:27" s="448" customFormat="1" ht="26.25" customHeight="1">
      <c r="A18" s="560" t="s">
        <v>2932</v>
      </c>
      <c r="B18" s="563" t="s">
        <v>2933</v>
      </c>
      <c r="C18" s="564"/>
      <c r="D18" s="552" t="s">
        <v>2925</v>
      </c>
      <c r="E18" s="577" t="s">
        <v>2926</v>
      </c>
      <c r="F18" s="571">
        <v>1200</v>
      </c>
      <c r="G18" s="574">
        <v>1700</v>
      </c>
      <c r="H18" s="587">
        <v>3318</v>
      </c>
      <c r="I18" s="456">
        <v>3011</v>
      </c>
      <c r="J18" s="457">
        <v>2405</v>
      </c>
      <c r="K18" s="458">
        <v>1920</v>
      </c>
      <c r="L18" s="459">
        <v>1560</v>
      </c>
      <c r="M18" s="460">
        <v>1431</v>
      </c>
      <c r="N18" s="457">
        <v>1173</v>
      </c>
      <c r="O18" s="457">
        <v>957</v>
      </c>
      <c r="P18" s="457">
        <v>577</v>
      </c>
      <c r="Q18" s="457">
        <v>496</v>
      </c>
      <c r="R18" s="461">
        <v>421</v>
      </c>
      <c r="S18" s="460">
        <v>2759</v>
      </c>
      <c r="T18" s="457">
        <v>2153</v>
      </c>
      <c r="U18" s="457">
        <v>1668</v>
      </c>
      <c r="V18" s="457">
        <v>1279</v>
      </c>
      <c r="W18" s="457">
        <v>1021</v>
      </c>
      <c r="X18" s="457">
        <v>805</v>
      </c>
      <c r="Y18" s="457">
        <v>625</v>
      </c>
      <c r="Z18" s="457">
        <v>544</v>
      </c>
      <c r="AA18" s="461">
        <v>469</v>
      </c>
    </row>
    <row r="19" spans="1:27" s="448" customFormat="1" ht="26.25" customHeight="1">
      <c r="A19" s="561"/>
      <c r="B19" s="609" t="s">
        <v>2934</v>
      </c>
      <c r="C19" s="610"/>
      <c r="D19" s="553"/>
      <c r="E19" s="578"/>
      <c r="F19" s="572"/>
      <c r="G19" s="575"/>
      <c r="H19" s="588"/>
      <c r="I19" s="462">
        <v>2765</v>
      </c>
      <c r="J19" s="463">
        <v>2208</v>
      </c>
      <c r="K19" s="464">
        <v>1763</v>
      </c>
      <c r="L19" s="465">
        <v>1560</v>
      </c>
      <c r="M19" s="466">
        <v>1306</v>
      </c>
      <c r="N19" s="463">
        <v>1069</v>
      </c>
      <c r="O19" s="463">
        <v>871</v>
      </c>
      <c r="P19" s="463">
        <v>506</v>
      </c>
      <c r="Q19" s="463">
        <v>431</v>
      </c>
      <c r="R19" s="467">
        <v>363</v>
      </c>
      <c r="S19" s="466">
        <v>2444</v>
      </c>
      <c r="T19" s="463">
        <v>1887</v>
      </c>
      <c r="U19" s="463">
        <v>1442</v>
      </c>
      <c r="V19" s="463">
        <v>1085</v>
      </c>
      <c r="W19" s="463">
        <v>848</v>
      </c>
      <c r="X19" s="463">
        <v>650</v>
      </c>
      <c r="Y19" s="463">
        <v>485</v>
      </c>
      <c r="Z19" s="463">
        <v>410</v>
      </c>
      <c r="AA19" s="467">
        <v>342</v>
      </c>
    </row>
    <row r="20" spans="1:27" s="448" customFormat="1" ht="26.25" customHeight="1">
      <c r="A20" s="561"/>
      <c r="B20" s="609" t="s">
        <v>2935</v>
      </c>
      <c r="C20" s="610"/>
      <c r="D20" s="553"/>
      <c r="E20" s="578"/>
      <c r="F20" s="611"/>
      <c r="G20" s="612"/>
      <c r="H20" s="608"/>
      <c r="I20" s="462">
        <v>2519</v>
      </c>
      <c r="J20" s="463">
        <v>2016</v>
      </c>
      <c r="K20" s="464">
        <v>1614</v>
      </c>
      <c r="L20" s="465">
        <v>1426</v>
      </c>
      <c r="M20" s="466">
        <v>1192</v>
      </c>
      <c r="N20" s="463">
        <v>978</v>
      </c>
      <c r="O20" s="463">
        <v>799</v>
      </c>
      <c r="P20" s="463">
        <v>450</v>
      </c>
      <c r="Q20" s="463">
        <v>383</v>
      </c>
      <c r="R20" s="467">
        <v>321</v>
      </c>
      <c r="S20" s="466">
        <v>2122</v>
      </c>
      <c r="T20" s="463">
        <v>1619</v>
      </c>
      <c r="U20" s="463">
        <v>1217</v>
      </c>
      <c r="V20" s="463">
        <v>895</v>
      </c>
      <c r="W20" s="463">
        <v>681</v>
      </c>
      <c r="X20" s="463">
        <v>502</v>
      </c>
      <c r="Y20" s="463">
        <v>353</v>
      </c>
      <c r="Z20" s="463">
        <v>286</v>
      </c>
      <c r="AA20" s="467">
        <v>224</v>
      </c>
    </row>
    <row r="21" spans="1:27" s="448" customFormat="1" ht="26.25" customHeight="1">
      <c r="A21" s="561"/>
      <c r="B21" s="609" t="s">
        <v>2936</v>
      </c>
      <c r="C21" s="610"/>
      <c r="D21" s="553"/>
      <c r="E21" s="578"/>
      <c r="F21" s="462">
        <v>1150</v>
      </c>
      <c r="G21" s="467">
        <v>1550</v>
      </c>
      <c r="H21" s="468">
        <v>2934</v>
      </c>
      <c r="I21" s="462">
        <v>2211</v>
      </c>
      <c r="J21" s="463">
        <v>1783</v>
      </c>
      <c r="K21" s="464">
        <v>1439</v>
      </c>
      <c r="L21" s="465">
        <v>1273</v>
      </c>
      <c r="M21" s="466">
        <v>1065</v>
      </c>
      <c r="N21" s="463">
        <v>882</v>
      </c>
      <c r="O21" s="463">
        <v>729</v>
      </c>
      <c r="P21" s="463">
        <v>402</v>
      </c>
      <c r="Q21" s="463">
        <v>345</v>
      </c>
      <c r="R21" s="467">
        <v>292</v>
      </c>
      <c r="S21" s="466">
        <v>1711</v>
      </c>
      <c r="T21" s="463">
        <v>1283</v>
      </c>
      <c r="U21" s="463">
        <v>939</v>
      </c>
      <c r="V21" s="463">
        <v>665</v>
      </c>
      <c r="W21" s="463">
        <v>482</v>
      </c>
      <c r="X21" s="463">
        <v>329</v>
      </c>
      <c r="Y21" s="463">
        <v>202</v>
      </c>
      <c r="Z21" s="463">
        <v>145</v>
      </c>
      <c r="AA21" s="467">
        <v>123</v>
      </c>
    </row>
    <row r="22" spans="1:27" s="448" customFormat="1" ht="26.25" customHeight="1">
      <c r="A22" s="561"/>
      <c r="B22" s="609" t="s">
        <v>2937</v>
      </c>
      <c r="C22" s="610"/>
      <c r="D22" s="553"/>
      <c r="E22" s="578"/>
      <c r="F22" s="598">
        <v>1100</v>
      </c>
      <c r="G22" s="596">
        <v>1400</v>
      </c>
      <c r="H22" s="597">
        <v>2549</v>
      </c>
      <c r="I22" s="462">
        <v>1948</v>
      </c>
      <c r="J22" s="463">
        <v>1584</v>
      </c>
      <c r="K22" s="464">
        <v>1293</v>
      </c>
      <c r="L22" s="465">
        <v>1145</v>
      </c>
      <c r="M22" s="466">
        <v>960</v>
      </c>
      <c r="N22" s="463">
        <v>804</v>
      </c>
      <c r="O22" s="463">
        <v>675</v>
      </c>
      <c r="P22" s="463">
        <v>367</v>
      </c>
      <c r="Q22" s="463">
        <v>318</v>
      </c>
      <c r="R22" s="467">
        <v>273</v>
      </c>
      <c r="S22" s="466">
        <v>1358</v>
      </c>
      <c r="T22" s="463">
        <v>994</v>
      </c>
      <c r="U22" s="463">
        <v>703</v>
      </c>
      <c r="V22" s="463">
        <v>470</v>
      </c>
      <c r="W22" s="463">
        <v>314</v>
      </c>
      <c r="X22" s="463">
        <v>185</v>
      </c>
      <c r="Y22" s="599">
        <v>100</v>
      </c>
      <c r="Z22" s="599">
        <v>100</v>
      </c>
      <c r="AA22" s="596">
        <v>100</v>
      </c>
    </row>
    <row r="23" spans="1:27" s="448" customFormat="1" ht="26.25" customHeight="1">
      <c r="A23" s="561"/>
      <c r="B23" s="609" t="s">
        <v>2938</v>
      </c>
      <c r="C23" s="610"/>
      <c r="D23" s="553"/>
      <c r="E23" s="578"/>
      <c r="F23" s="572"/>
      <c r="G23" s="575"/>
      <c r="H23" s="608"/>
      <c r="I23" s="462">
        <v>1615</v>
      </c>
      <c r="J23" s="463">
        <v>1332</v>
      </c>
      <c r="K23" s="464">
        <v>1105</v>
      </c>
      <c r="L23" s="465">
        <v>980</v>
      </c>
      <c r="M23" s="466">
        <v>824</v>
      </c>
      <c r="N23" s="463">
        <v>703</v>
      </c>
      <c r="O23" s="463">
        <v>602</v>
      </c>
      <c r="P23" s="463">
        <v>318</v>
      </c>
      <c r="Q23" s="463">
        <v>280</v>
      </c>
      <c r="R23" s="467">
        <v>245</v>
      </c>
      <c r="S23" s="466">
        <v>917</v>
      </c>
      <c r="T23" s="463">
        <v>634</v>
      </c>
      <c r="U23" s="463">
        <v>407</v>
      </c>
      <c r="V23" s="463">
        <v>226</v>
      </c>
      <c r="W23" s="463">
        <v>105</v>
      </c>
      <c r="X23" s="599">
        <v>100</v>
      </c>
      <c r="Y23" s="607"/>
      <c r="Z23" s="607"/>
      <c r="AA23" s="575"/>
    </row>
    <row r="24" spans="1:27" s="448" customFormat="1" ht="26.25" customHeight="1">
      <c r="A24" s="561"/>
      <c r="B24" s="613" t="s">
        <v>2939</v>
      </c>
      <c r="C24" s="614"/>
      <c r="D24" s="553"/>
      <c r="E24" s="578"/>
      <c r="F24" s="572"/>
      <c r="G24" s="575"/>
      <c r="H24" s="597">
        <v>1626</v>
      </c>
      <c r="I24" s="598">
        <v>1282</v>
      </c>
      <c r="J24" s="599">
        <v>1083</v>
      </c>
      <c r="K24" s="601">
        <v>923</v>
      </c>
      <c r="L24" s="603">
        <v>822</v>
      </c>
      <c r="M24" s="605">
        <v>695</v>
      </c>
      <c r="N24" s="599">
        <v>610</v>
      </c>
      <c r="O24" s="599">
        <v>539</v>
      </c>
      <c r="P24" s="599">
        <v>280</v>
      </c>
      <c r="Q24" s="599">
        <v>254</v>
      </c>
      <c r="R24" s="596">
        <v>229</v>
      </c>
      <c r="S24" s="605">
        <v>476</v>
      </c>
      <c r="T24" s="599">
        <v>277</v>
      </c>
      <c r="U24" s="599">
        <v>117</v>
      </c>
      <c r="V24" s="599">
        <v>100</v>
      </c>
      <c r="W24" s="599">
        <v>100</v>
      </c>
      <c r="X24" s="607"/>
      <c r="Y24" s="607"/>
      <c r="Z24" s="607"/>
      <c r="AA24" s="575"/>
    </row>
    <row r="25" spans="1:27" s="448" customFormat="1" ht="26.25" customHeight="1">
      <c r="A25" s="562"/>
      <c r="B25" s="615"/>
      <c r="C25" s="616"/>
      <c r="D25" s="583"/>
      <c r="E25" s="591"/>
      <c r="F25" s="573"/>
      <c r="G25" s="576"/>
      <c r="H25" s="589"/>
      <c r="I25" s="573"/>
      <c r="J25" s="600"/>
      <c r="K25" s="602">
        <v>923</v>
      </c>
      <c r="L25" s="604"/>
      <c r="M25" s="606">
        <v>695</v>
      </c>
      <c r="N25" s="600">
        <v>610</v>
      </c>
      <c r="O25" s="600">
        <v>539</v>
      </c>
      <c r="P25" s="600">
        <v>280</v>
      </c>
      <c r="Q25" s="600">
        <v>254</v>
      </c>
      <c r="R25" s="576">
        <v>229</v>
      </c>
      <c r="S25" s="606">
        <v>476</v>
      </c>
      <c r="T25" s="600">
        <v>277</v>
      </c>
      <c r="U25" s="600">
        <v>117</v>
      </c>
      <c r="V25" s="600">
        <v>100</v>
      </c>
      <c r="W25" s="600">
        <v>100</v>
      </c>
      <c r="X25" s="600"/>
      <c r="Y25" s="600"/>
      <c r="Z25" s="600"/>
      <c r="AA25" s="576"/>
    </row>
    <row r="26" spans="1:27" s="448" customFormat="1" ht="26.25" customHeight="1">
      <c r="A26" s="560" t="s">
        <v>2940</v>
      </c>
      <c r="B26" s="563" t="s">
        <v>2941</v>
      </c>
      <c r="C26" s="564"/>
      <c r="D26" s="552" t="s">
        <v>2925</v>
      </c>
      <c r="E26" s="577" t="s">
        <v>2926</v>
      </c>
      <c r="F26" s="456">
        <v>1200</v>
      </c>
      <c r="G26" s="461">
        <v>1700</v>
      </c>
      <c r="H26" s="469">
        <v>3318</v>
      </c>
      <c r="I26" s="456">
        <v>1763</v>
      </c>
      <c r="J26" s="457">
        <v>1426</v>
      </c>
      <c r="K26" s="457">
        <v>1157</v>
      </c>
      <c r="L26" s="457">
        <f>(K26-M26)/1.8+M26</f>
        <v>1016.5555555555555</v>
      </c>
      <c r="M26" s="460">
        <v>841</v>
      </c>
      <c r="N26" s="457">
        <v>697</v>
      </c>
      <c r="O26" s="457">
        <v>578</v>
      </c>
      <c r="P26" s="457">
        <v>278</v>
      </c>
      <c r="Q26" s="457">
        <v>233</v>
      </c>
      <c r="R26" s="461">
        <v>191</v>
      </c>
      <c r="S26" s="617" t="s">
        <v>2</v>
      </c>
      <c r="T26" s="565" t="s">
        <v>2</v>
      </c>
      <c r="U26" s="565" t="s">
        <v>2</v>
      </c>
      <c r="V26" s="565" t="s">
        <v>2</v>
      </c>
      <c r="W26" s="565" t="s">
        <v>2</v>
      </c>
      <c r="X26" s="565" t="s">
        <v>2</v>
      </c>
      <c r="Y26" s="565" t="s">
        <v>2</v>
      </c>
      <c r="Z26" s="565" t="s">
        <v>2</v>
      </c>
      <c r="AA26" s="568" t="s">
        <v>2</v>
      </c>
    </row>
    <row r="27" spans="1:27" s="448" customFormat="1" ht="26.25" customHeight="1">
      <c r="A27" s="561"/>
      <c r="B27" s="579" t="s">
        <v>2942</v>
      </c>
      <c r="C27" s="580"/>
      <c r="D27" s="553"/>
      <c r="E27" s="578"/>
      <c r="F27" s="462">
        <v>1150</v>
      </c>
      <c r="G27" s="467">
        <v>1550</v>
      </c>
      <c r="H27" s="468">
        <v>2934</v>
      </c>
      <c r="I27" s="462">
        <v>1471</v>
      </c>
      <c r="J27" s="463">
        <v>1208</v>
      </c>
      <c r="K27" s="463">
        <v>997</v>
      </c>
      <c r="L27" s="463">
        <v>878</v>
      </c>
      <c r="M27" s="466">
        <v>729</v>
      </c>
      <c r="N27" s="463">
        <v>616</v>
      </c>
      <c r="O27" s="463">
        <v>527</v>
      </c>
      <c r="P27" s="463">
        <v>235</v>
      </c>
      <c r="Q27" s="463">
        <v>194</v>
      </c>
      <c r="R27" s="467">
        <v>155</v>
      </c>
      <c r="S27" s="618"/>
      <c r="T27" s="566"/>
      <c r="U27" s="566"/>
      <c r="V27" s="566"/>
      <c r="W27" s="566"/>
      <c r="X27" s="566"/>
      <c r="Y27" s="566"/>
      <c r="Z27" s="566"/>
      <c r="AA27" s="569"/>
    </row>
    <row r="28" spans="1:27" s="448" customFormat="1" ht="26.25" customHeight="1">
      <c r="A28" s="561"/>
      <c r="B28" s="579" t="s">
        <v>2943</v>
      </c>
      <c r="C28" s="580"/>
      <c r="D28" s="553"/>
      <c r="E28" s="578"/>
      <c r="F28" s="598">
        <v>1100</v>
      </c>
      <c r="G28" s="596">
        <v>1400</v>
      </c>
      <c r="H28" s="468">
        <v>2549</v>
      </c>
      <c r="I28" s="462">
        <v>1407</v>
      </c>
      <c r="J28" s="463">
        <v>1175</v>
      </c>
      <c r="K28" s="463">
        <v>990</v>
      </c>
      <c r="L28" s="463">
        <v>866</v>
      </c>
      <c r="M28" s="466">
        <v>712</v>
      </c>
      <c r="N28" s="463">
        <v>612</v>
      </c>
      <c r="O28" s="463">
        <v>509</v>
      </c>
      <c r="P28" s="463">
        <v>220</v>
      </c>
      <c r="Q28" s="463">
        <v>180</v>
      </c>
      <c r="R28" s="467">
        <v>143</v>
      </c>
      <c r="S28" s="618"/>
      <c r="T28" s="566"/>
      <c r="U28" s="566"/>
      <c r="V28" s="566"/>
      <c r="W28" s="566"/>
      <c r="X28" s="566"/>
      <c r="Y28" s="566"/>
      <c r="Z28" s="566"/>
      <c r="AA28" s="569"/>
    </row>
    <row r="29" spans="1:27" s="448" customFormat="1" ht="26.25" customHeight="1">
      <c r="A29" s="561"/>
      <c r="B29" s="579" t="s">
        <v>2944</v>
      </c>
      <c r="C29" s="580"/>
      <c r="D29" s="553"/>
      <c r="E29" s="578"/>
      <c r="F29" s="572"/>
      <c r="G29" s="575"/>
      <c r="H29" s="597">
        <v>1626</v>
      </c>
      <c r="I29" s="598">
        <v>1028</v>
      </c>
      <c r="J29" s="599">
        <v>887</v>
      </c>
      <c r="K29" s="599">
        <v>774</v>
      </c>
      <c r="L29" s="599">
        <v>691</v>
      </c>
      <c r="M29" s="605">
        <v>587</v>
      </c>
      <c r="N29" s="599">
        <v>528</v>
      </c>
      <c r="O29" s="599">
        <v>407</v>
      </c>
      <c r="P29" s="599">
        <v>169</v>
      </c>
      <c r="Q29" s="599">
        <v>145</v>
      </c>
      <c r="R29" s="596">
        <v>121</v>
      </c>
      <c r="S29" s="618"/>
      <c r="T29" s="566"/>
      <c r="U29" s="566"/>
      <c r="V29" s="566"/>
      <c r="W29" s="566"/>
      <c r="X29" s="566"/>
      <c r="Y29" s="566"/>
      <c r="Z29" s="566"/>
      <c r="AA29" s="569"/>
    </row>
    <row r="30" spans="1:27" s="448" customFormat="1" ht="26.25" customHeight="1">
      <c r="A30" s="562"/>
      <c r="B30" s="592" t="s">
        <v>2945</v>
      </c>
      <c r="C30" s="593"/>
      <c r="D30" s="583"/>
      <c r="E30" s="591"/>
      <c r="F30" s="573"/>
      <c r="G30" s="576"/>
      <c r="H30" s="589"/>
      <c r="I30" s="573"/>
      <c r="J30" s="600"/>
      <c r="K30" s="600"/>
      <c r="L30" s="600"/>
      <c r="M30" s="606"/>
      <c r="N30" s="600"/>
      <c r="O30" s="600"/>
      <c r="P30" s="600"/>
      <c r="Q30" s="600"/>
      <c r="R30" s="576"/>
      <c r="S30" s="619"/>
      <c r="T30" s="567"/>
      <c r="U30" s="567"/>
      <c r="V30" s="567"/>
      <c r="W30" s="567"/>
      <c r="X30" s="567"/>
      <c r="Y30" s="567"/>
      <c r="Z30" s="567"/>
      <c r="AA30" s="570"/>
    </row>
    <row r="31" spans="1:27" s="448" customFormat="1" ht="26.25" customHeight="1">
      <c r="A31" s="560" t="s">
        <v>2946</v>
      </c>
      <c r="B31" s="563" t="s">
        <v>2947</v>
      </c>
      <c r="C31" s="564"/>
      <c r="D31" s="552" t="s">
        <v>2925</v>
      </c>
      <c r="E31" s="577" t="s">
        <v>2926</v>
      </c>
      <c r="F31" s="571">
        <v>1200</v>
      </c>
      <c r="G31" s="574">
        <v>1700</v>
      </c>
      <c r="H31" s="587">
        <v>3318</v>
      </c>
      <c r="I31" s="456">
        <v>1982</v>
      </c>
      <c r="J31" s="457">
        <v>1604.9999999999995</v>
      </c>
      <c r="K31" s="457">
        <v>1305</v>
      </c>
      <c r="L31" s="457">
        <v>1017</v>
      </c>
      <c r="M31" s="460">
        <v>963.00000000000011</v>
      </c>
      <c r="N31" s="457">
        <v>803.00000000000011</v>
      </c>
      <c r="O31" s="457">
        <v>671.00000000000011</v>
      </c>
      <c r="P31" s="457">
        <v>358.99999999999989</v>
      </c>
      <c r="Q31" s="457">
        <v>308.99999999999989</v>
      </c>
      <c r="R31" s="461">
        <v>261.99999999999989</v>
      </c>
      <c r="S31" s="617" t="s">
        <v>2</v>
      </c>
      <c r="T31" s="565" t="s">
        <v>2</v>
      </c>
      <c r="U31" s="565" t="s">
        <v>2</v>
      </c>
      <c r="V31" s="565" t="s">
        <v>2</v>
      </c>
      <c r="W31" s="565" t="s">
        <v>2</v>
      </c>
      <c r="X31" s="565" t="s">
        <v>2</v>
      </c>
      <c r="Y31" s="565" t="s">
        <v>2</v>
      </c>
      <c r="Z31" s="565" t="s">
        <v>2</v>
      </c>
      <c r="AA31" s="568" t="s">
        <v>2</v>
      </c>
    </row>
    <row r="32" spans="1:27" s="448" customFormat="1" ht="26.25" customHeight="1">
      <c r="A32" s="561"/>
      <c r="B32" s="609" t="s">
        <v>2948</v>
      </c>
      <c r="C32" s="610"/>
      <c r="D32" s="553"/>
      <c r="E32" s="578"/>
      <c r="F32" s="572"/>
      <c r="G32" s="575"/>
      <c r="H32" s="588"/>
      <c r="I32" s="462">
        <v>1763</v>
      </c>
      <c r="J32" s="463">
        <v>1426</v>
      </c>
      <c r="K32" s="463">
        <v>1157</v>
      </c>
      <c r="L32" s="463">
        <f>(K32-M32)/1.8+M32</f>
        <v>1016.5555555555555</v>
      </c>
      <c r="M32" s="466">
        <v>841</v>
      </c>
      <c r="N32" s="463">
        <v>697</v>
      </c>
      <c r="O32" s="463">
        <v>578</v>
      </c>
      <c r="P32" s="463">
        <v>278</v>
      </c>
      <c r="Q32" s="463">
        <v>233</v>
      </c>
      <c r="R32" s="467">
        <v>191</v>
      </c>
      <c r="S32" s="618"/>
      <c r="T32" s="566"/>
      <c r="U32" s="566"/>
      <c r="V32" s="566"/>
      <c r="W32" s="566"/>
      <c r="X32" s="566"/>
      <c r="Y32" s="566"/>
      <c r="Z32" s="566"/>
      <c r="AA32" s="569"/>
    </row>
    <row r="33" spans="1:27" s="448" customFormat="1" ht="26.25" customHeight="1">
      <c r="A33" s="561"/>
      <c r="B33" s="609" t="s">
        <v>2949</v>
      </c>
      <c r="C33" s="610"/>
      <c r="D33" s="553"/>
      <c r="E33" s="578"/>
      <c r="F33" s="611"/>
      <c r="G33" s="612"/>
      <c r="H33" s="608"/>
      <c r="I33" s="462">
        <v>1578</v>
      </c>
      <c r="J33" s="463">
        <v>1277</v>
      </c>
      <c r="K33" s="463">
        <v>1037</v>
      </c>
      <c r="L33" s="463">
        <f t="shared" ref="L33:L36" si="3">(K33-M33)/1.8+M33</f>
        <v>907.22222222222217</v>
      </c>
      <c r="M33" s="466">
        <v>745</v>
      </c>
      <c r="N33" s="463">
        <v>655</v>
      </c>
      <c r="O33" s="463">
        <v>544</v>
      </c>
      <c r="P33" s="463">
        <v>249</v>
      </c>
      <c r="Q33" s="463">
        <v>207</v>
      </c>
      <c r="R33" s="467">
        <v>167</v>
      </c>
      <c r="S33" s="618"/>
      <c r="T33" s="566"/>
      <c r="U33" s="566"/>
      <c r="V33" s="566"/>
      <c r="W33" s="566"/>
      <c r="X33" s="566"/>
      <c r="Y33" s="566"/>
      <c r="Z33" s="566"/>
      <c r="AA33" s="569"/>
    </row>
    <row r="34" spans="1:27" s="448" customFormat="1" ht="26.25" customHeight="1">
      <c r="A34" s="561"/>
      <c r="B34" s="609" t="s">
        <v>2950</v>
      </c>
      <c r="C34" s="610"/>
      <c r="D34" s="553"/>
      <c r="E34" s="578"/>
      <c r="F34" s="462">
        <v>1150</v>
      </c>
      <c r="G34" s="467">
        <v>1550</v>
      </c>
      <c r="H34" s="468">
        <v>2934</v>
      </c>
      <c r="I34" s="462">
        <v>1471</v>
      </c>
      <c r="J34" s="463">
        <v>1208</v>
      </c>
      <c r="K34" s="463">
        <v>997</v>
      </c>
      <c r="L34" s="463">
        <f t="shared" si="3"/>
        <v>877.88888888888891</v>
      </c>
      <c r="M34" s="466">
        <v>729</v>
      </c>
      <c r="N34" s="463">
        <v>616</v>
      </c>
      <c r="O34" s="463">
        <v>527</v>
      </c>
      <c r="P34" s="463">
        <v>235</v>
      </c>
      <c r="Q34" s="463">
        <v>194</v>
      </c>
      <c r="R34" s="467">
        <v>155</v>
      </c>
      <c r="S34" s="618"/>
      <c r="T34" s="566"/>
      <c r="U34" s="566"/>
      <c r="V34" s="566"/>
      <c r="W34" s="566"/>
      <c r="X34" s="566"/>
      <c r="Y34" s="566"/>
      <c r="Z34" s="566"/>
      <c r="AA34" s="569"/>
    </row>
    <row r="35" spans="1:27" s="448" customFormat="1" ht="26.25" customHeight="1">
      <c r="A35" s="561"/>
      <c r="B35" s="609" t="s">
        <v>2951</v>
      </c>
      <c r="C35" s="610"/>
      <c r="D35" s="553"/>
      <c r="E35" s="578"/>
      <c r="F35" s="598">
        <v>1100</v>
      </c>
      <c r="G35" s="596">
        <v>1400</v>
      </c>
      <c r="H35" s="597">
        <v>2549</v>
      </c>
      <c r="I35" s="462">
        <v>1407</v>
      </c>
      <c r="J35" s="463">
        <v>1175</v>
      </c>
      <c r="K35" s="463">
        <v>990</v>
      </c>
      <c r="L35" s="463">
        <f t="shared" si="3"/>
        <v>866.44444444444446</v>
      </c>
      <c r="M35" s="466">
        <v>712</v>
      </c>
      <c r="N35" s="463">
        <v>612</v>
      </c>
      <c r="O35" s="463">
        <v>509</v>
      </c>
      <c r="P35" s="463">
        <v>220</v>
      </c>
      <c r="Q35" s="463">
        <v>180</v>
      </c>
      <c r="R35" s="467">
        <v>143</v>
      </c>
      <c r="S35" s="618"/>
      <c r="T35" s="566"/>
      <c r="U35" s="566"/>
      <c r="V35" s="566"/>
      <c r="W35" s="566"/>
      <c r="X35" s="566"/>
      <c r="Y35" s="566"/>
      <c r="Z35" s="566"/>
      <c r="AA35" s="569"/>
    </row>
    <row r="36" spans="1:27" s="448" customFormat="1" ht="26.25" customHeight="1">
      <c r="A36" s="561"/>
      <c r="B36" s="609" t="s">
        <v>2952</v>
      </c>
      <c r="C36" s="610"/>
      <c r="D36" s="553"/>
      <c r="E36" s="578"/>
      <c r="F36" s="572"/>
      <c r="G36" s="575"/>
      <c r="H36" s="608"/>
      <c r="I36" s="462">
        <v>1295</v>
      </c>
      <c r="J36" s="463">
        <v>1090</v>
      </c>
      <c r="K36" s="463">
        <v>926</v>
      </c>
      <c r="L36" s="463">
        <f t="shared" si="3"/>
        <v>823.33333333333337</v>
      </c>
      <c r="M36" s="466">
        <v>695</v>
      </c>
      <c r="N36" s="463">
        <v>608</v>
      </c>
      <c r="O36" s="463">
        <v>454</v>
      </c>
      <c r="P36" s="463">
        <v>191</v>
      </c>
      <c r="Q36" s="463">
        <v>159</v>
      </c>
      <c r="R36" s="467">
        <v>129</v>
      </c>
      <c r="S36" s="618"/>
      <c r="T36" s="566"/>
      <c r="U36" s="566"/>
      <c r="V36" s="566"/>
      <c r="W36" s="566"/>
      <c r="X36" s="566"/>
      <c r="Y36" s="566"/>
      <c r="Z36" s="566"/>
      <c r="AA36" s="569"/>
    </row>
    <row r="37" spans="1:27" s="448" customFormat="1" ht="26.25" customHeight="1">
      <c r="A37" s="561"/>
      <c r="B37" s="613" t="s">
        <v>2953</v>
      </c>
      <c r="C37" s="614"/>
      <c r="D37" s="553"/>
      <c r="E37" s="578"/>
      <c r="F37" s="572"/>
      <c r="G37" s="575"/>
      <c r="H37" s="597">
        <v>1626</v>
      </c>
      <c r="I37" s="598">
        <v>1028</v>
      </c>
      <c r="J37" s="599">
        <v>887</v>
      </c>
      <c r="K37" s="599">
        <v>774</v>
      </c>
      <c r="L37" s="599">
        <v>691</v>
      </c>
      <c r="M37" s="605">
        <v>587</v>
      </c>
      <c r="N37" s="599">
        <v>528</v>
      </c>
      <c r="O37" s="599">
        <v>407</v>
      </c>
      <c r="P37" s="599">
        <v>169</v>
      </c>
      <c r="Q37" s="599">
        <v>145</v>
      </c>
      <c r="R37" s="596">
        <v>121</v>
      </c>
      <c r="S37" s="618"/>
      <c r="T37" s="566"/>
      <c r="U37" s="566"/>
      <c r="V37" s="566"/>
      <c r="W37" s="566"/>
      <c r="X37" s="566"/>
      <c r="Y37" s="566"/>
      <c r="Z37" s="566"/>
      <c r="AA37" s="569"/>
    </row>
    <row r="38" spans="1:27" s="448" customFormat="1" ht="26.25" customHeight="1">
      <c r="A38" s="562"/>
      <c r="B38" s="615"/>
      <c r="C38" s="616"/>
      <c r="D38" s="583"/>
      <c r="E38" s="591"/>
      <c r="F38" s="573"/>
      <c r="G38" s="576"/>
      <c r="H38" s="589"/>
      <c r="I38" s="573"/>
      <c r="J38" s="600"/>
      <c r="K38" s="600"/>
      <c r="L38" s="600"/>
      <c r="M38" s="606"/>
      <c r="N38" s="600"/>
      <c r="O38" s="600"/>
      <c r="P38" s="600"/>
      <c r="Q38" s="600"/>
      <c r="R38" s="576"/>
      <c r="S38" s="619"/>
      <c r="T38" s="567"/>
      <c r="U38" s="567"/>
      <c r="V38" s="567"/>
      <c r="W38" s="567"/>
      <c r="X38" s="567"/>
      <c r="Y38" s="567"/>
      <c r="Z38" s="567"/>
      <c r="AA38" s="570"/>
    </row>
  </sheetData>
  <mergeCells count="194">
    <mergeCell ref="X31:X38"/>
    <mergeCell ref="Y31:Y38"/>
    <mergeCell ref="Z31:Z38"/>
    <mergeCell ref="AA31:AA38"/>
    <mergeCell ref="B32:C32"/>
    <mergeCell ref="B33:C33"/>
    <mergeCell ref="B34:C34"/>
    <mergeCell ref="B35:C35"/>
    <mergeCell ref="F35:F38"/>
    <mergeCell ref="G35:G38"/>
    <mergeCell ref="H31:H33"/>
    <mergeCell ref="S31:S38"/>
    <mergeCell ref="T31:T38"/>
    <mergeCell ref="U31:U38"/>
    <mergeCell ref="V31:V38"/>
    <mergeCell ref="W31:W38"/>
    <mergeCell ref="H35:H36"/>
    <mergeCell ref="L37:L38"/>
    <mergeCell ref="M37:M38"/>
    <mergeCell ref="N37:N38"/>
    <mergeCell ref="O37:O38"/>
    <mergeCell ref="P37:P38"/>
    <mergeCell ref="Q37:Q38"/>
    <mergeCell ref="R37:R38"/>
    <mergeCell ref="P29:P30"/>
    <mergeCell ref="Q29:Q30"/>
    <mergeCell ref="R29:R30"/>
    <mergeCell ref="B30:C30"/>
    <mergeCell ref="A31:A38"/>
    <mergeCell ref="B31:C31"/>
    <mergeCell ref="D31:D38"/>
    <mergeCell ref="E31:E38"/>
    <mergeCell ref="F31:F33"/>
    <mergeCell ref="G31:G33"/>
    <mergeCell ref="A26:A30"/>
    <mergeCell ref="O29:O30"/>
    <mergeCell ref="B36:C36"/>
    <mergeCell ref="B37:C38"/>
    <mergeCell ref="H37:H38"/>
    <mergeCell ref="I37:I38"/>
    <mergeCell ref="J37:J38"/>
    <mergeCell ref="K37:K38"/>
    <mergeCell ref="AA26:AA30"/>
    <mergeCell ref="B27:C27"/>
    <mergeCell ref="B28:C28"/>
    <mergeCell ref="F28:F30"/>
    <mergeCell ref="G28:G30"/>
    <mergeCell ref="B29:C29"/>
    <mergeCell ref="H29:H30"/>
    <mergeCell ref="I29:I30"/>
    <mergeCell ref="J29:J30"/>
    <mergeCell ref="K29:K30"/>
    <mergeCell ref="U26:U30"/>
    <mergeCell ref="V26:V30"/>
    <mergeCell ref="W26:W30"/>
    <mergeCell ref="X26:X30"/>
    <mergeCell ref="Y26:Y30"/>
    <mergeCell ref="Z26:Z30"/>
    <mergeCell ref="B26:C26"/>
    <mergeCell ref="D26:D30"/>
    <mergeCell ref="E26:E30"/>
    <mergeCell ref="S26:S30"/>
    <mergeCell ref="T26:T30"/>
    <mergeCell ref="L29:L30"/>
    <mergeCell ref="M29:M30"/>
    <mergeCell ref="N29:N30"/>
    <mergeCell ref="Y22:Y25"/>
    <mergeCell ref="Z22:Z25"/>
    <mergeCell ref="AA22:AA25"/>
    <mergeCell ref="B23:C23"/>
    <mergeCell ref="X23:X25"/>
    <mergeCell ref="B24:C25"/>
    <mergeCell ref="H24:H25"/>
    <mergeCell ref="I24:I25"/>
    <mergeCell ref="J24:J25"/>
    <mergeCell ref="K24:K25"/>
    <mergeCell ref="R24:R25"/>
    <mergeCell ref="S24:S25"/>
    <mergeCell ref="T24:T25"/>
    <mergeCell ref="U24:U25"/>
    <mergeCell ref="V24:V25"/>
    <mergeCell ref="W24:W25"/>
    <mergeCell ref="L24:L25"/>
    <mergeCell ref="M24:M25"/>
    <mergeCell ref="N24:N25"/>
    <mergeCell ref="O24:O25"/>
    <mergeCell ref="P24:P25"/>
    <mergeCell ref="Q24:Q25"/>
    <mergeCell ref="H18:H20"/>
    <mergeCell ref="B19:C19"/>
    <mergeCell ref="B20:C20"/>
    <mergeCell ref="B21:C21"/>
    <mergeCell ref="B22:C22"/>
    <mergeCell ref="F22:F25"/>
    <mergeCell ref="G22:G25"/>
    <mergeCell ref="H22:H23"/>
    <mergeCell ref="A18:A25"/>
    <mergeCell ref="B18:C18"/>
    <mergeCell ref="D18:D25"/>
    <mergeCell ref="E18:E25"/>
    <mergeCell ref="F18:F20"/>
    <mergeCell ref="G18:G20"/>
    <mergeCell ref="B17:C17"/>
    <mergeCell ref="AA15:AA17"/>
    <mergeCell ref="B16:C16"/>
    <mergeCell ref="H16:H17"/>
    <mergeCell ref="I16:I17"/>
    <mergeCell ref="J16:J17"/>
    <mergeCell ref="K16:K17"/>
    <mergeCell ref="L16:L17"/>
    <mergeCell ref="M16:M17"/>
    <mergeCell ref="N16:N17"/>
    <mergeCell ref="O16:O17"/>
    <mergeCell ref="F15:F17"/>
    <mergeCell ref="G15:G17"/>
    <mergeCell ref="Y15:Y17"/>
    <mergeCell ref="Z15:Z17"/>
    <mergeCell ref="P16:P17"/>
    <mergeCell ref="Q16:Q17"/>
    <mergeCell ref="R16:R17"/>
    <mergeCell ref="S16:S17"/>
    <mergeCell ref="T16:T17"/>
    <mergeCell ref="U16:U17"/>
    <mergeCell ref="V16:V17"/>
    <mergeCell ref="W16:W17"/>
    <mergeCell ref="X16:X17"/>
    <mergeCell ref="AA10:AA11"/>
    <mergeCell ref="B11:C11"/>
    <mergeCell ref="A12:A17"/>
    <mergeCell ref="B12:C12"/>
    <mergeCell ref="D12:D17"/>
    <mergeCell ref="E12:E17"/>
    <mergeCell ref="F12:F13"/>
    <mergeCell ref="G12:G13"/>
    <mergeCell ref="H12:H13"/>
    <mergeCell ref="B13:C13"/>
    <mergeCell ref="U10:U11"/>
    <mergeCell ref="V10:V11"/>
    <mergeCell ref="W10:W11"/>
    <mergeCell ref="X10:X11"/>
    <mergeCell ref="Y10:Y11"/>
    <mergeCell ref="Z10:Z11"/>
    <mergeCell ref="O10:O11"/>
    <mergeCell ref="P10:P11"/>
    <mergeCell ref="Q10:Q11"/>
    <mergeCell ref="R10:R11"/>
    <mergeCell ref="S10:S11"/>
    <mergeCell ref="T10:T11"/>
    <mergeCell ref="B14:C14"/>
    <mergeCell ref="B15:C15"/>
    <mergeCell ref="Z8:Z9"/>
    <mergeCell ref="AA8:AA9"/>
    <mergeCell ref="B9:C9"/>
    <mergeCell ref="B10:C10"/>
    <mergeCell ref="I10:I11"/>
    <mergeCell ref="J10:J11"/>
    <mergeCell ref="K10:K11"/>
    <mergeCell ref="L10:L11"/>
    <mergeCell ref="M10:M11"/>
    <mergeCell ref="N10:N11"/>
    <mergeCell ref="T8:T9"/>
    <mergeCell ref="U8:U9"/>
    <mergeCell ref="V8:V9"/>
    <mergeCell ref="W8:W9"/>
    <mergeCell ref="X8:X9"/>
    <mergeCell ref="Y8:Y9"/>
    <mergeCell ref="N8:N9"/>
    <mergeCell ref="O8:O9"/>
    <mergeCell ref="P8:P9"/>
    <mergeCell ref="Q8:Q9"/>
    <mergeCell ref="R8:R9"/>
    <mergeCell ref="S8:S9"/>
    <mergeCell ref="H8:H11"/>
    <mergeCell ref="I8:I9"/>
    <mergeCell ref="J8:J9"/>
    <mergeCell ref="K8:K9"/>
    <mergeCell ref="L8:L9"/>
    <mergeCell ref="M8:M9"/>
    <mergeCell ref="A8:A11"/>
    <mergeCell ref="B8:C8"/>
    <mergeCell ref="D8:D11"/>
    <mergeCell ref="E8:E11"/>
    <mergeCell ref="F8:F11"/>
    <mergeCell ref="G8:G11"/>
    <mergeCell ref="A5:C7"/>
    <mergeCell ref="D5:E5"/>
    <mergeCell ref="F5:G5"/>
    <mergeCell ref="H5:H7"/>
    <mergeCell ref="I5:AA5"/>
    <mergeCell ref="D6:E6"/>
    <mergeCell ref="F6:F7"/>
    <mergeCell ref="G6:G7"/>
    <mergeCell ref="I6:R6"/>
    <mergeCell ref="S6:AA6"/>
  </mergeCells>
  <phoneticPr fontId="5" type="noConversion"/>
  <pageMargins left="0.19685039370078741" right="0.19685039370078741" top="0.19685039370078741" bottom="0.19685039370078741" header="0.31496062992125984" footer="0.31496062992125984"/>
  <pageSetup paperSize="9" scale="56" orientation="landscape" r:id="rId1"/>
  <headerFooter>
    <oddHeader>&amp;R&amp;"Aptos"&amp;13&amp;K000000 [ RESTRICTED ]&amp;1#_x000D_</oddHeader>
    <oddFooter>&amp;R_x000D_&amp;1#&amp;"Aptos"&amp;5&amp;K000000 [Secure Minds, Secure Finds] 본 문서는 현대건설㈜의 정보자산이므로 무단 전제 및 복제할 수 없으며, 이를 위반할 시에는 당사 사규 및 관련 법규에 의해 제지를 받을 수 있습니다.</oddFooter>
  </headerFooter>
  <colBreaks count="1" manualBreakCount="1">
    <brk id="27" max="1048575" man="1"/>
  </colBreaks>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A92B44-7A8E-453D-B94D-3231F159F903}">
  <sheetPr>
    <pageSetUpPr fitToPage="1"/>
  </sheetPr>
  <dimension ref="C1:R79"/>
  <sheetViews>
    <sheetView view="pageBreakPreview" zoomScaleNormal="100" zoomScaleSheetLayoutView="100" workbookViewId="0">
      <pane xSplit="4" ySplit="4" topLeftCell="E26" activePane="bottomRight" state="frozen"/>
      <selection activeCell="E8" sqref="E8"/>
      <selection pane="topRight" activeCell="E8" sqref="E8"/>
      <selection pane="bottomLeft" activeCell="E8" sqref="E8"/>
      <selection pane="bottomRight" activeCell="K5" sqref="K5"/>
    </sheetView>
  </sheetViews>
  <sheetFormatPr defaultColWidth="9" defaultRowHeight="16.5" customHeight="1"/>
  <cols>
    <col min="1" max="1" width="2.625" style="363" customWidth="1"/>
    <col min="2" max="2" width="0.875" style="363" customWidth="1"/>
    <col min="3" max="3" width="15.625" style="400" customWidth="1"/>
    <col min="4" max="4" width="8.625" style="363" customWidth="1"/>
    <col min="5" max="7" width="10.625" style="363" customWidth="1"/>
    <col min="8" max="8" width="12.875" style="363" customWidth="1"/>
    <col min="9" max="14" width="10.625" style="363" customWidth="1"/>
    <col min="15" max="15" width="0.875" style="363" customWidth="1"/>
    <col min="16" max="17" width="9" style="363"/>
    <col min="18" max="18" width="16.625" style="363" bestFit="1" customWidth="1"/>
    <col min="19" max="19" width="12.5" style="363" bestFit="1" customWidth="1"/>
    <col min="20" max="16384" width="9" style="363"/>
  </cols>
  <sheetData>
    <row r="1" spans="3:18" s="348" customFormat="1" ht="16.5" customHeight="1"/>
    <row r="2" spans="3:18" s="349" customFormat="1" ht="24.95" customHeight="1">
      <c r="C2" s="620" t="s">
        <v>2823</v>
      </c>
      <c r="D2" s="620"/>
      <c r="E2" s="620"/>
      <c r="F2" s="620"/>
      <c r="G2" s="620"/>
      <c r="H2" s="620"/>
      <c r="I2" s="620"/>
      <c r="J2" s="620"/>
      <c r="K2" s="620"/>
      <c r="L2" s="620"/>
      <c r="M2" s="620"/>
      <c r="N2" s="620"/>
      <c r="Q2" s="350" t="s">
        <v>2872</v>
      </c>
      <c r="R2" s="351">
        <f>L46+L47+1150000</f>
        <v>5521000</v>
      </c>
    </row>
    <row r="3" spans="3:18" s="348" customFormat="1" ht="16.5" customHeight="1" thickBot="1">
      <c r="C3" s="352" t="s">
        <v>2824</v>
      </c>
      <c r="Q3" s="350" t="s">
        <v>2873</v>
      </c>
      <c r="R3" s="351">
        <f>L67+L68</f>
        <v>2505000</v>
      </c>
    </row>
    <row r="4" spans="3:18" s="348" customFormat="1" ht="20.100000000000001" customHeight="1" thickBot="1">
      <c r="C4" s="353" t="s">
        <v>2825</v>
      </c>
      <c r="D4" s="354" t="s">
        <v>1905</v>
      </c>
      <c r="E4" s="355" t="s">
        <v>1917</v>
      </c>
      <c r="F4" s="356" t="s">
        <v>2077</v>
      </c>
      <c r="G4" s="356" t="s">
        <v>2826</v>
      </c>
      <c r="H4" s="356" t="s">
        <v>2827</v>
      </c>
      <c r="I4" s="356" t="s">
        <v>2828</v>
      </c>
      <c r="J4" s="356" t="s">
        <v>2829</v>
      </c>
      <c r="K4" s="356" t="s">
        <v>2830</v>
      </c>
      <c r="L4" s="356" t="s">
        <v>2831</v>
      </c>
      <c r="M4" s="356" t="s">
        <v>2832</v>
      </c>
      <c r="N4" s="357" t="s">
        <v>2833</v>
      </c>
    </row>
    <row r="5" spans="3:18" ht="16.5" customHeight="1">
      <c r="C5" s="358" t="s">
        <v>2834</v>
      </c>
      <c r="D5" s="359">
        <v>2016</v>
      </c>
      <c r="E5" s="360">
        <v>30875000</v>
      </c>
      <c r="F5" s="361">
        <v>21612500</v>
      </c>
      <c r="G5" s="361">
        <v>18703125</v>
      </c>
      <c r="H5" s="361">
        <v>15793750</v>
      </c>
      <c r="I5" s="361">
        <v>7867720</v>
      </c>
      <c r="J5" s="361">
        <v>7210560</v>
      </c>
      <c r="K5" s="361">
        <v>6512940</v>
      </c>
      <c r="L5" s="361">
        <v>5660760</v>
      </c>
      <c r="M5" s="361">
        <v>4821180</v>
      </c>
      <c r="N5" s="362">
        <v>3815840</v>
      </c>
    </row>
    <row r="6" spans="3:18" ht="16.5" customHeight="1">
      <c r="C6" s="364"/>
      <c r="D6" s="365">
        <v>2017</v>
      </c>
      <c r="E6" s="366">
        <f t="shared" ref="E6:N14" si="0">E5*(1+$D$77)</f>
        <v>32264374.999999996</v>
      </c>
      <c r="F6" s="367">
        <f t="shared" si="0"/>
        <v>22585062.5</v>
      </c>
      <c r="G6" s="367">
        <f t="shared" si="0"/>
        <v>19544765.625</v>
      </c>
      <c r="H6" s="367">
        <f t="shared" si="0"/>
        <v>16504468.749999998</v>
      </c>
      <c r="I6" s="367">
        <f t="shared" si="0"/>
        <v>8221767.3999999994</v>
      </c>
      <c r="J6" s="367">
        <f t="shared" si="0"/>
        <v>7535035.1999999993</v>
      </c>
      <c r="K6" s="367">
        <f t="shared" si="0"/>
        <v>6806022.2999999998</v>
      </c>
      <c r="L6" s="367">
        <f t="shared" si="0"/>
        <v>5915494.1999999993</v>
      </c>
      <c r="M6" s="367">
        <f t="shared" si="0"/>
        <v>5038133.0999999996</v>
      </c>
      <c r="N6" s="368">
        <f t="shared" si="0"/>
        <v>3987552.8</v>
      </c>
    </row>
    <row r="7" spans="3:18" ht="16.5" customHeight="1">
      <c r="C7" s="364"/>
      <c r="D7" s="365">
        <v>2018</v>
      </c>
      <c r="E7" s="366">
        <f t="shared" si="0"/>
        <v>33716271.874999993</v>
      </c>
      <c r="F7" s="367">
        <f t="shared" si="0"/>
        <v>23601390.3125</v>
      </c>
      <c r="G7" s="367">
        <f t="shared" si="0"/>
        <v>20424280.078125</v>
      </c>
      <c r="H7" s="367">
        <f t="shared" si="0"/>
        <v>17247169.843749996</v>
      </c>
      <c r="I7" s="367">
        <f t="shared" si="0"/>
        <v>8591746.9329999983</v>
      </c>
      <c r="J7" s="367">
        <f t="shared" si="0"/>
        <v>7874111.7839999991</v>
      </c>
      <c r="K7" s="367">
        <f t="shared" si="0"/>
        <v>7112293.3034999995</v>
      </c>
      <c r="L7" s="367">
        <f t="shared" si="0"/>
        <v>6181691.4389999984</v>
      </c>
      <c r="M7" s="367">
        <f t="shared" si="0"/>
        <v>5264849.0894999988</v>
      </c>
      <c r="N7" s="368">
        <f t="shared" si="0"/>
        <v>4166992.6759999995</v>
      </c>
    </row>
    <row r="8" spans="3:18" ht="16.5" customHeight="1">
      <c r="C8" s="364"/>
      <c r="D8" s="365">
        <v>2019</v>
      </c>
      <c r="E8" s="366">
        <f t="shared" si="0"/>
        <v>35233504.109374993</v>
      </c>
      <c r="F8" s="367">
        <f t="shared" si="0"/>
        <v>24663452.876562499</v>
      </c>
      <c r="G8" s="367">
        <f t="shared" si="0"/>
        <v>21343372.681640625</v>
      </c>
      <c r="H8" s="367">
        <f t="shared" si="0"/>
        <v>18023292.486718744</v>
      </c>
      <c r="I8" s="367">
        <f t="shared" si="0"/>
        <v>8978375.5449849982</v>
      </c>
      <c r="J8" s="367">
        <f t="shared" si="0"/>
        <v>8228446.8142799987</v>
      </c>
      <c r="K8" s="367">
        <f t="shared" si="0"/>
        <v>7432346.5021574991</v>
      </c>
      <c r="L8" s="367">
        <f t="shared" si="0"/>
        <v>6459867.5537549974</v>
      </c>
      <c r="M8" s="367">
        <f t="shared" si="0"/>
        <v>5501767.2985274987</v>
      </c>
      <c r="N8" s="368">
        <f t="shared" si="0"/>
        <v>4354507.3464199994</v>
      </c>
    </row>
    <row r="9" spans="3:18" ht="16.5" customHeight="1">
      <c r="C9" s="364"/>
      <c r="D9" s="365">
        <v>2020</v>
      </c>
      <c r="E9" s="366">
        <f t="shared" si="0"/>
        <v>36819011.794296868</v>
      </c>
      <c r="F9" s="367">
        <f t="shared" si="0"/>
        <v>25773308.256007809</v>
      </c>
      <c r="G9" s="367">
        <f t="shared" si="0"/>
        <v>22303824.452314451</v>
      </c>
      <c r="H9" s="367">
        <f t="shared" si="0"/>
        <v>18834340.648621086</v>
      </c>
      <c r="I9" s="367">
        <f t="shared" si="0"/>
        <v>9382402.4445093218</v>
      </c>
      <c r="J9" s="367">
        <f t="shared" si="0"/>
        <v>8598726.9209225979</v>
      </c>
      <c r="K9" s="367">
        <f t="shared" si="0"/>
        <v>7766802.094754586</v>
      </c>
      <c r="L9" s="367">
        <f t="shared" si="0"/>
        <v>6750561.5936739715</v>
      </c>
      <c r="M9" s="367">
        <f t="shared" si="0"/>
        <v>5749346.8269612361</v>
      </c>
      <c r="N9" s="368">
        <f t="shared" si="0"/>
        <v>4550460.1770088989</v>
      </c>
    </row>
    <row r="10" spans="3:18" ht="16.5" customHeight="1">
      <c r="C10" s="364"/>
      <c r="D10" s="365">
        <v>2021</v>
      </c>
      <c r="E10" s="366">
        <f t="shared" si="0"/>
        <v>38475867.325040221</v>
      </c>
      <c r="F10" s="367">
        <f t="shared" si="0"/>
        <v>26933107.127528157</v>
      </c>
      <c r="G10" s="367">
        <f t="shared" si="0"/>
        <v>23307496.552668601</v>
      </c>
      <c r="H10" s="367">
        <f t="shared" si="0"/>
        <v>19681885.977809034</v>
      </c>
      <c r="I10" s="367">
        <f t="shared" si="0"/>
        <v>9804610.55451224</v>
      </c>
      <c r="J10" s="367">
        <f t="shared" si="0"/>
        <v>8985669.6323641147</v>
      </c>
      <c r="K10" s="367">
        <f t="shared" si="0"/>
        <v>8116308.1890185419</v>
      </c>
      <c r="L10" s="367">
        <f t="shared" si="0"/>
        <v>7054336.8653892996</v>
      </c>
      <c r="M10" s="367">
        <f t="shared" si="0"/>
        <v>6008067.4341744911</v>
      </c>
      <c r="N10" s="368">
        <f t="shared" si="0"/>
        <v>4755230.884974299</v>
      </c>
    </row>
    <row r="11" spans="3:18" ht="16.5" customHeight="1">
      <c r="C11" s="364"/>
      <c r="D11" s="365">
        <v>2022</v>
      </c>
      <c r="E11" s="366">
        <f t="shared" si="0"/>
        <v>40207281.35466703</v>
      </c>
      <c r="F11" s="367">
        <f t="shared" si="0"/>
        <v>28145096.948266923</v>
      </c>
      <c r="G11" s="367">
        <f t="shared" si="0"/>
        <v>24356333.897538688</v>
      </c>
      <c r="H11" s="367">
        <f t="shared" si="0"/>
        <v>20567570.846810438</v>
      </c>
      <c r="I11" s="367">
        <f t="shared" si="0"/>
        <v>10245818.02946529</v>
      </c>
      <c r="J11" s="367">
        <f t="shared" si="0"/>
        <v>9390024.7658204995</v>
      </c>
      <c r="K11" s="367">
        <f t="shared" si="0"/>
        <v>8481542.0575243756</v>
      </c>
      <c r="L11" s="367">
        <f t="shared" si="0"/>
        <v>7371782.0243318174</v>
      </c>
      <c r="M11" s="367">
        <f t="shared" si="0"/>
        <v>6278430.4687123429</v>
      </c>
      <c r="N11" s="368">
        <f t="shared" si="0"/>
        <v>4969216.2747981418</v>
      </c>
    </row>
    <row r="12" spans="3:18" ht="16.5" customHeight="1">
      <c r="C12" s="364"/>
      <c r="D12" s="365">
        <v>2023</v>
      </c>
      <c r="E12" s="366">
        <f t="shared" si="0"/>
        <v>42016609.015627041</v>
      </c>
      <c r="F12" s="367">
        <f t="shared" si="0"/>
        <v>29411626.310938932</v>
      </c>
      <c r="G12" s="367">
        <f t="shared" si="0"/>
        <v>25452368.922927927</v>
      </c>
      <c r="H12" s="367">
        <f t="shared" si="0"/>
        <v>21493111.534916908</v>
      </c>
      <c r="I12" s="367">
        <f t="shared" si="0"/>
        <v>10706879.840791227</v>
      </c>
      <c r="J12" s="367">
        <f t="shared" si="0"/>
        <v>9812575.8802824207</v>
      </c>
      <c r="K12" s="367">
        <f t="shared" si="0"/>
        <v>8863211.4501129724</v>
      </c>
      <c r="L12" s="367">
        <f t="shared" si="0"/>
        <v>7703512.2154267486</v>
      </c>
      <c r="M12" s="367">
        <f t="shared" si="0"/>
        <v>6560959.8398043979</v>
      </c>
      <c r="N12" s="368">
        <f t="shared" si="0"/>
        <v>5192831.0071640583</v>
      </c>
    </row>
    <row r="13" spans="3:18" ht="16.5" customHeight="1">
      <c r="C13" s="364"/>
      <c r="D13" s="365">
        <v>2024</v>
      </c>
      <c r="E13" s="366">
        <f t="shared" si="0"/>
        <v>43907356.421330258</v>
      </c>
      <c r="F13" s="367">
        <f t="shared" si="0"/>
        <v>30735149.49493118</v>
      </c>
      <c r="G13" s="367">
        <f t="shared" si="0"/>
        <v>26597725.524459682</v>
      </c>
      <c r="H13" s="367">
        <f t="shared" si="0"/>
        <v>22460301.553988166</v>
      </c>
      <c r="I13" s="367">
        <f t="shared" si="0"/>
        <v>11188689.433626832</v>
      </c>
      <c r="J13" s="367">
        <f t="shared" si="0"/>
        <v>10254141.794895129</v>
      </c>
      <c r="K13" s="367">
        <f t="shared" si="0"/>
        <v>9262055.9653680548</v>
      </c>
      <c r="L13" s="367">
        <f t="shared" si="0"/>
        <v>8050170.2651209515</v>
      </c>
      <c r="M13" s="367">
        <f t="shared" si="0"/>
        <v>6856203.0325955953</v>
      </c>
      <c r="N13" s="368">
        <f t="shared" si="0"/>
        <v>5426508.4024864407</v>
      </c>
    </row>
    <row r="14" spans="3:18" ht="16.5" customHeight="1">
      <c r="C14" s="369"/>
      <c r="D14" s="370">
        <v>2025</v>
      </c>
      <c r="E14" s="371">
        <f t="shared" si="0"/>
        <v>45883187.460290119</v>
      </c>
      <c r="F14" s="372">
        <f t="shared" si="0"/>
        <v>32118231.22220308</v>
      </c>
      <c r="G14" s="372">
        <f t="shared" si="0"/>
        <v>27794623.173060365</v>
      </c>
      <c r="H14" s="372">
        <f t="shared" si="0"/>
        <v>23471015.123917632</v>
      </c>
      <c r="I14" s="372">
        <f t="shared" si="0"/>
        <v>11692180.45814004</v>
      </c>
      <c r="J14" s="372">
        <f t="shared" si="0"/>
        <v>10715578.17566541</v>
      </c>
      <c r="K14" s="372">
        <f t="shared" si="0"/>
        <v>9678848.4838096164</v>
      </c>
      <c r="L14" s="372">
        <f t="shared" si="0"/>
        <v>8412427.9270513933</v>
      </c>
      <c r="M14" s="372">
        <f t="shared" si="0"/>
        <v>7164732.1690623965</v>
      </c>
      <c r="N14" s="373">
        <f t="shared" si="0"/>
        <v>5670701.2805983303</v>
      </c>
    </row>
    <row r="15" spans="3:18" ht="16.5" customHeight="1">
      <c r="C15" s="374" t="s">
        <v>68</v>
      </c>
      <c r="D15" s="621" t="s">
        <v>2835</v>
      </c>
      <c r="E15" s="375"/>
      <c r="F15" s="376"/>
      <c r="G15" s="376"/>
      <c r="H15" s="376"/>
      <c r="I15" s="376">
        <v>100000</v>
      </c>
      <c r="J15" s="376">
        <v>100000</v>
      </c>
      <c r="K15" s="376">
        <v>80000</v>
      </c>
      <c r="L15" s="376">
        <v>80000</v>
      </c>
      <c r="M15" s="376">
        <v>70000</v>
      </c>
      <c r="N15" s="377">
        <v>70000</v>
      </c>
    </row>
    <row r="16" spans="3:18" ht="16.5" customHeight="1">
      <c r="C16" s="378" t="s">
        <v>2836</v>
      </c>
      <c r="D16" s="622"/>
      <c r="E16" s="366"/>
      <c r="F16" s="367"/>
      <c r="G16" s="367"/>
      <c r="H16" s="367"/>
      <c r="I16" s="367">
        <v>100000</v>
      </c>
      <c r="J16" s="367">
        <v>100000</v>
      </c>
      <c r="K16" s="367">
        <v>100000</v>
      </c>
      <c r="L16" s="367">
        <v>100000</v>
      </c>
      <c r="M16" s="367">
        <v>100000</v>
      </c>
      <c r="N16" s="368">
        <v>30000</v>
      </c>
    </row>
    <row r="17" spans="3:17" ht="16.5" customHeight="1">
      <c r="C17" s="378" t="s">
        <v>2837</v>
      </c>
      <c r="D17" s="622"/>
      <c r="E17" s="366"/>
      <c r="F17" s="367"/>
      <c r="G17" s="367"/>
      <c r="H17" s="367"/>
      <c r="I17" s="367">
        <v>25000</v>
      </c>
      <c r="J17" s="367">
        <v>25000</v>
      </c>
      <c r="K17" s="367">
        <v>25000</v>
      </c>
      <c r="L17" s="367">
        <v>25000</v>
      </c>
      <c r="M17" s="367">
        <v>25000</v>
      </c>
      <c r="N17" s="368">
        <v>25000</v>
      </c>
    </row>
    <row r="18" spans="3:17" ht="16.5" customHeight="1">
      <c r="C18" s="378" t="s">
        <v>2838</v>
      </c>
      <c r="D18" s="622"/>
      <c r="E18" s="366"/>
      <c r="F18" s="367"/>
      <c r="G18" s="367"/>
      <c r="H18" s="367"/>
      <c r="I18" s="367"/>
      <c r="J18" s="367"/>
      <c r="K18" s="367"/>
      <c r="L18" s="367"/>
      <c r="M18" s="367"/>
      <c r="N18" s="368"/>
    </row>
    <row r="19" spans="3:17" ht="16.5" customHeight="1">
      <c r="C19" s="379" t="s">
        <v>2839</v>
      </c>
      <c r="D19" s="623"/>
      <c r="E19" s="380"/>
      <c r="F19" s="381"/>
      <c r="G19" s="381"/>
      <c r="H19" s="381"/>
      <c r="I19" s="381"/>
      <c r="J19" s="381"/>
      <c r="K19" s="381"/>
      <c r="L19" s="381"/>
      <c r="M19" s="381"/>
      <c r="N19" s="382"/>
    </row>
    <row r="20" spans="3:17" ht="16.5" customHeight="1">
      <c r="C20" s="383" t="s">
        <v>2840</v>
      </c>
      <c r="D20" s="384">
        <v>2016</v>
      </c>
      <c r="E20" s="385">
        <f>E5+SUM(E$15:E$19)</f>
        <v>30875000</v>
      </c>
      <c r="F20" s="386">
        <f t="shared" ref="F20:N20" si="1">F5+SUM(F$15:F$19)</f>
        <v>21612500</v>
      </c>
      <c r="G20" s="386">
        <f t="shared" si="1"/>
        <v>18703125</v>
      </c>
      <c r="H20" s="386">
        <f t="shared" si="1"/>
        <v>15793750</v>
      </c>
      <c r="I20" s="386">
        <f t="shared" si="1"/>
        <v>8092720</v>
      </c>
      <c r="J20" s="386">
        <f t="shared" si="1"/>
        <v>7435560</v>
      </c>
      <c r="K20" s="386">
        <f t="shared" si="1"/>
        <v>6717940</v>
      </c>
      <c r="L20" s="386">
        <f t="shared" si="1"/>
        <v>5865760</v>
      </c>
      <c r="M20" s="386">
        <f t="shared" si="1"/>
        <v>5016180</v>
      </c>
      <c r="N20" s="387">
        <f t="shared" si="1"/>
        <v>3940840</v>
      </c>
      <c r="Q20" s="388"/>
    </row>
    <row r="21" spans="3:17" ht="16.5" customHeight="1">
      <c r="C21" s="389"/>
      <c r="D21" s="390">
        <v>2017</v>
      </c>
      <c r="E21" s="391">
        <f t="shared" ref="E21:N29" si="2">E6+SUM(E$15:E$19)</f>
        <v>32264374.999999996</v>
      </c>
      <c r="F21" s="392">
        <f t="shared" si="2"/>
        <v>22585062.5</v>
      </c>
      <c r="G21" s="392">
        <f t="shared" si="2"/>
        <v>19544765.625</v>
      </c>
      <c r="H21" s="392">
        <f t="shared" si="2"/>
        <v>16504468.749999998</v>
      </c>
      <c r="I21" s="392">
        <f t="shared" si="2"/>
        <v>8446767.3999999985</v>
      </c>
      <c r="J21" s="392">
        <f t="shared" si="2"/>
        <v>7760035.1999999993</v>
      </c>
      <c r="K21" s="392">
        <f t="shared" si="2"/>
        <v>7011022.2999999998</v>
      </c>
      <c r="L21" s="392">
        <f t="shared" si="2"/>
        <v>6120494.1999999993</v>
      </c>
      <c r="M21" s="392">
        <f t="shared" si="2"/>
        <v>5233133.0999999996</v>
      </c>
      <c r="N21" s="393">
        <f t="shared" si="2"/>
        <v>4112552.8</v>
      </c>
    </row>
    <row r="22" spans="3:17" ht="16.5" customHeight="1">
      <c r="C22" s="389"/>
      <c r="D22" s="390">
        <v>2018</v>
      </c>
      <c r="E22" s="391">
        <f t="shared" si="2"/>
        <v>33716271.874999993</v>
      </c>
      <c r="F22" s="392">
        <f t="shared" si="2"/>
        <v>23601390.3125</v>
      </c>
      <c r="G22" s="392">
        <f t="shared" si="2"/>
        <v>20424280.078125</v>
      </c>
      <c r="H22" s="392">
        <f t="shared" si="2"/>
        <v>17247169.843749996</v>
      </c>
      <c r="I22" s="392">
        <f t="shared" si="2"/>
        <v>8816746.9329999983</v>
      </c>
      <c r="J22" s="392">
        <f t="shared" si="2"/>
        <v>8099111.7839999991</v>
      </c>
      <c r="K22" s="392">
        <f t="shared" si="2"/>
        <v>7317293.3034999995</v>
      </c>
      <c r="L22" s="392">
        <f t="shared" si="2"/>
        <v>6386691.4389999984</v>
      </c>
      <c r="M22" s="392">
        <f t="shared" si="2"/>
        <v>5459849.0894999988</v>
      </c>
      <c r="N22" s="393">
        <f t="shared" si="2"/>
        <v>4291992.675999999</v>
      </c>
    </row>
    <row r="23" spans="3:17" ht="16.5" customHeight="1">
      <c r="C23" s="389"/>
      <c r="D23" s="390">
        <v>2019</v>
      </c>
      <c r="E23" s="391">
        <f t="shared" si="2"/>
        <v>35233504.109374993</v>
      </c>
      <c r="F23" s="392">
        <f t="shared" si="2"/>
        <v>24663452.876562499</v>
      </c>
      <c r="G23" s="392">
        <f t="shared" si="2"/>
        <v>21343372.681640625</v>
      </c>
      <c r="H23" s="392">
        <f t="shared" si="2"/>
        <v>18023292.486718744</v>
      </c>
      <c r="I23" s="392">
        <f t="shared" si="2"/>
        <v>9203375.5449849982</v>
      </c>
      <c r="J23" s="392">
        <f t="shared" si="2"/>
        <v>8453446.8142799996</v>
      </c>
      <c r="K23" s="392">
        <f t="shared" si="2"/>
        <v>7637346.5021574991</v>
      </c>
      <c r="L23" s="392">
        <f t="shared" si="2"/>
        <v>6664867.5537549974</v>
      </c>
      <c r="M23" s="392">
        <f t="shared" si="2"/>
        <v>5696767.2985274987</v>
      </c>
      <c r="N23" s="393">
        <f t="shared" si="2"/>
        <v>4479507.3464199994</v>
      </c>
    </row>
    <row r="24" spans="3:17" ht="16.5" customHeight="1">
      <c r="C24" s="389"/>
      <c r="D24" s="390">
        <v>2020</v>
      </c>
      <c r="E24" s="391">
        <f t="shared" si="2"/>
        <v>36819011.794296868</v>
      </c>
      <c r="F24" s="392">
        <f t="shared" si="2"/>
        <v>25773308.256007809</v>
      </c>
      <c r="G24" s="392">
        <f t="shared" si="2"/>
        <v>22303824.452314451</v>
      </c>
      <c r="H24" s="392">
        <f t="shared" si="2"/>
        <v>18834340.648621086</v>
      </c>
      <c r="I24" s="392">
        <f t="shared" si="2"/>
        <v>9607402.4445093218</v>
      </c>
      <c r="J24" s="392">
        <f t="shared" si="2"/>
        <v>8823726.9209225979</v>
      </c>
      <c r="K24" s="392">
        <f t="shared" si="2"/>
        <v>7971802.094754586</v>
      </c>
      <c r="L24" s="392">
        <f t="shared" si="2"/>
        <v>6955561.5936739715</v>
      </c>
      <c r="M24" s="392">
        <f t="shared" si="2"/>
        <v>5944346.8269612361</v>
      </c>
      <c r="N24" s="393">
        <f t="shared" si="2"/>
        <v>4675460.1770088989</v>
      </c>
    </row>
    <row r="25" spans="3:17" ht="16.5" customHeight="1">
      <c r="C25" s="389"/>
      <c r="D25" s="390">
        <v>2021</v>
      </c>
      <c r="E25" s="391">
        <f t="shared" si="2"/>
        <v>38475867.325040221</v>
      </c>
      <c r="F25" s="392">
        <f t="shared" si="2"/>
        <v>26933107.127528157</v>
      </c>
      <c r="G25" s="392">
        <f t="shared" si="2"/>
        <v>23307496.552668601</v>
      </c>
      <c r="H25" s="392">
        <f t="shared" si="2"/>
        <v>19681885.977809034</v>
      </c>
      <c r="I25" s="392">
        <f t="shared" si="2"/>
        <v>10029610.55451224</v>
      </c>
      <c r="J25" s="392">
        <f t="shared" si="2"/>
        <v>9210669.6323641147</v>
      </c>
      <c r="K25" s="392">
        <f t="shared" si="2"/>
        <v>8321308.1890185419</v>
      </c>
      <c r="L25" s="392">
        <f t="shared" si="2"/>
        <v>7259336.8653892996</v>
      </c>
      <c r="M25" s="392">
        <f t="shared" si="2"/>
        <v>6203067.4341744911</v>
      </c>
      <c r="N25" s="393">
        <f t="shared" si="2"/>
        <v>4880230.884974299</v>
      </c>
    </row>
    <row r="26" spans="3:17" ht="16.5" customHeight="1">
      <c r="C26" s="394"/>
      <c r="D26" s="390">
        <v>2022</v>
      </c>
      <c r="E26" s="391">
        <f t="shared" si="2"/>
        <v>40207281.35466703</v>
      </c>
      <c r="F26" s="392">
        <f t="shared" si="2"/>
        <v>28145096.948266923</v>
      </c>
      <c r="G26" s="392">
        <f t="shared" si="2"/>
        <v>24356333.897538688</v>
      </c>
      <c r="H26" s="392">
        <f t="shared" si="2"/>
        <v>20567570.846810438</v>
      </c>
      <c r="I26" s="392">
        <f t="shared" si="2"/>
        <v>10470818.02946529</v>
      </c>
      <c r="J26" s="392">
        <f t="shared" si="2"/>
        <v>9615024.7658204995</v>
      </c>
      <c r="K26" s="392">
        <f t="shared" si="2"/>
        <v>8686542.0575243756</v>
      </c>
      <c r="L26" s="392">
        <f t="shared" si="2"/>
        <v>7576782.0243318174</v>
      </c>
      <c r="M26" s="392">
        <f t="shared" si="2"/>
        <v>6473430.4687123429</v>
      </c>
      <c r="N26" s="393">
        <f t="shared" si="2"/>
        <v>5094216.2747981418</v>
      </c>
    </row>
    <row r="27" spans="3:17" ht="16.5" customHeight="1">
      <c r="C27" s="394"/>
      <c r="D27" s="390">
        <v>2023</v>
      </c>
      <c r="E27" s="391">
        <f t="shared" si="2"/>
        <v>42016609.015627041</v>
      </c>
      <c r="F27" s="392">
        <f t="shared" si="2"/>
        <v>29411626.310938932</v>
      </c>
      <c r="G27" s="392">
        <f t="shared" si="2"/>
        <v>25452368.922927927</v>
      </c>
      <c r="H27" s="392">
        <f t="shared" si="2"/>
        <v>21493111.534916908</v>
      </c>
      <c r="I27" s="392">
        <f t="shared" si="2"/>
        <v>10931879.840791227</v>
      </c>
      <c r="J27" s="392">
        <f t="shared" si="2"/>
        <v>10037575.880282421</v>
      </c>
      <c r="K27" s="392">
        <f t="shared" si="2"/>
        <v>9068211.4501129724</v>
      </c>
      <c r="L27" s="392">
        <f t="shared" si="2"/>
        <v>7908512.2154267486</v>
      </c>
      <c r="M27" s="392">
        <f t="shared" si="2"/>
        <v>6755959.8398043979</v>
      </c>
      <c r="N27" s="393">
        <f t="shared" si="2"/>
        <v>5317831.0071640583</v>
      </c>
    </row>
    <row r="28" spans="3:17" ht="16.5" customHeight="1">
      <c r="C28" s="394"/>
      <c r="D28" s="390">
        <v>2024</v>
      </c>
      <c r="E28" s="391">
        <f t="shared" si="2"/>
        <v>43907356.421330258</v>
      </c>
      <c r="F28" s="392">
        <f t="shared" si="2"/>
        <v>30735149.49493118</v>
      </c>
      <c r="G28" s="392">
        <f t="shared" si="2"/>
        <v>26597725.524459682</v>
      </c>
      <c r="H28" s="392">
        <f t="shared" si="2"/>
        <v>22460301.553988166</v>
      </c>
      <c r="I28" s="392">
        <f t="shared" si="2"/>
        <v>11413689.433626832</v>
      </c>
      <c r="J28" s="392">
        <f t="shared" si="2"/>
        <v>10479141.794895129</v>
      </c>
      <c r="K28" s="392">
        <f t="shared" si="2"/>
        <v>9467055.9653680548</v>
      </c>
      <c r="L28" s="392">
        <f t="shared" si="2"/>
        <v>8255170.2651209515</v>
      </c>
      <c r="M28" s="392">
        <f t="shared" si="2"/>
        <v>7051203.0325955953</v>
      </c>
      <c r="N28" s="393">
        <f t="shared" si="2"/>
        <v>5551508.4024864407</v>
      </c>
    </row>
    <row r="29" spans="3:17" ht="16.5" customHeight="1" thickBot="1">
      <c r="C29" s="395"/>
      <c r="D29" s="396">
        <v>2025</v>
      </c>
      <c r="E29" s="397">
        <f t="shared" si="2"/>
        <v>45883187.460290119</v>
      </c>
      <c r="F29" s="398">
        <f t="shared" si="2"/>
        <v>32118231.22220308</v>
      </c>
      <c r="G29" s="398">
        <f t="shared" si="2"/>
        <v>27794623.173060365</v>
      </c>
      <c r="H29" s="398">
        <f t="shared" si="2"/>
        <v>23471015.123917632</v>
      </c>
      <c r="I29" s="398">
        <f t="shared" si="2"/>
        <v>11917180.45814004</v>
      </c>
      <c r="J29" s="398">
        <f t="shared" si="2"/>
        <v>10940578.17566541</v>
      </c>
      <c r="K29" s="398">
        <f t="shared" si="2"/>
        <v>9883848.4838096164</v>
      </c>
      <c r="L29" s="398">
        <f t="shared" si="2"/>
        <v>8617427.9270513933</v>
      </c>
      <c r="M29" s="398">
        <f t="shared" si="2"/>
        <v>7359732.1690623965</v>
      </c>
      <c r="N29" s="399">
        <f t="shared" si="2"/>
        <v>5795701.2805983303</v>
      </c>
    </row>
    <row r="30" spans="3:17" ht="9.9499999999999993" customHeight="1"/>
    <row r="31" spans="3:17" ht="16.5" customHeight="1" thickBot="1">
      <c r="C31" s="352" t="s">
        <v>2841</v>
      </c>
    </row>
    <row r="32" spans="3:17" s="348" customFormat="1" ht="20.100000000000001" customHeight="1">
      <c r="C32" s="401" t="s">
        <v>2825</v>
      </c>
      <c r="D32" s="402" t="s">
        <v>1905</v>
      </c>
      <c r="E32" s="403" t="s">
        <v>1917</v>
      </c>
      <c r="F32" s="404" t="s">
        <v>2077</v>
      </c>
      <c r="G32" s="404" t="s">
        <v>2826</v>
      </c>
      <c r="H32" s="404" t="s">
        <v>2827</v>
      </c>
      <c r="I32" s="404" t="s">
        <v>2828</v>
      </c>
      <c r="J32" s="404" t="s">
        <v>2829</v>
      </c>
      <c r="K32" s="404" t="s">
        <v>2830</v>
      </c>
      <c r="L32" s="404" t="s">
        <v>2831</v>
      </c>
      <c r="M32" s="404" t="s">
        <v>2832</v>
      </c>
      <c r="N32" s="405" t="s">
        <v>2833</v>
      </c>
      <c r="Q32" s="406"/>
    </row>
    <row r="33" spans="3:14" ht="16.5" customHeight="1">
      <c r="C33" s="407" t="s">
        <v>2842</v>
      </c>
      <c r="D33" s="408">
        <v>2016</v>
      </c>
      <c r="E33" s="409">
        <f t="shared" ref="E33:N42" si="3">E5*$D$76</f>
        <v>4813412.5</v>
      </c>
      <c r="F33" s="410">
        <f t="shared" si="3"/>
        <v>3369388.7500000005</v>
      </c>
      <c r="G33" s="410">
        <f t="shared" si="3"/>
        <v>2915817.1875</v>
      </c>
      <c r="H33" s="410">
        <f t="shared" si="3"/>
        <v>2462245.625</v>
      </c>
      <c r="I33" s="410">
        <f t="shared" si="3"/>
        <v>1226577.5480000002</v>
      </c>
      <c r="J33" s="410">
        <f t="shared" si="3"/>
        <v>1124126.304</v>
      </c>
      <c r="K33" s="410">
        <f t="shared" si="3"/>
        <v>1015367.346</v>
      </c>
      <c r="L33" s="410">
        <f t="shared" si="3"/>
        <v>882512.48400000005</v>
      </c>
      <c r="M33" s="410">
        <f t="shared" si="3"/>
        <v>751621.96200000006</v>
      </c>
      <c r="N33" s="411">
        <f t="shared" si="3"/>
        <v>594889.45600000001</v>
      </c>
    </row>
    <row r="34" spans="3:14" ht="16.5" customHeight="1">
      <c r="C34" s="389"/>
      <c r="D34" s="390">
        <v>2017</v>
      </c>
      <c r="E34" s="391">
        <f t="shared" si="3"/>
        <v>5030016.0625</v>
      </c>
      <c r="F34" s="392">
        <f t="shared" si="3"/>
        <v>3521011.2437500004</v>
      </c>
      <c r="G34" s="392">
        <f t="shared" si="3"/>
        <v>3047028.9609375</v>
      </c>
      <c r="H34" s="392">
        <f t="shared" si="3"/>
        <v>2573046.6781250001</v>
      </c>
      <c r="I34" s="392">
        <f t="shared" si="3"/>
        <v>1281773.5376599999</v>
      </c>
      <c r="J34" s="392">
        <f t="shared" si="3"/>
        <v>1174711.98768</v>
      </c>
      <c r="K34" s="392">
        <f t="shared" si="3"/>
        <v>1061058.8765700001</v>
      </c>
      <c r="L34" s="392">
        <f t="shared" si="3"/>
        <v>922225.54577999993</v>
      </c>
      <c r="M34" s="392">
        <f t="shared" si="3"/>
        <v>785444.95028999995</v>
      </c>
      <c r="N34" s="393">
        <f t="shared" si="3"/>
        <v>621659.48152000003</v>
      </c>
    </row>
    <row r="35" spans="3:14" ht="16.5" customHeight="1">
      <c r="C35" s="389"/>
      <c r="D35" s="390">
        <v>2018</v>
      </c>
      <c r="E35" s="391">
        <f t="shared" si="3"/>
        <v>5256366.7853124989</v>
      </c>
      <c r="F35" s="392">
        <f t="shared" si="3"/>
        <v>3679456.7497187504</v>
      </c>
      <c r="G35" s="392">
        <f t="shared" si="3"/>
        <v>3184145.2641796879</v>
      </c>
      <c r="H35" s="392">
        <f t="shared" si="3"/>
        <v>2688833.7786406246</v>
      </c>
      <c r="I35" s="392">
        <f t="shared" si="3"/>
        <v>1339453.3468546998</v>
      </c>
      <c r="J35" s="392">
        <f t="shared" si="3"/>
        <v>1227574.0271256</v>
      </c>
      <c r="K35" s="392">
        <f t="shared" si="3"/>
        <v>1108806.52601565</v>
      </c>
      <c r="L35" s="392">
        <f t="shared" si="3"/>
        <v>963725.69534009986</v>
      </c>
      <c r="M35" s="392">
        <f t="shared" si="3"/>
        <v>820789.97305304988</v>
      </c>
      <c r="N35" s="393">
        <f t="shared" si="3"/>
        <v>649634.15818839998</v>
      </c>
    </row>
    <row r="36" spans="3:14" ht="16.5" customHeight="1">
      <c r="C36" s="389"/>
      <c r="D36" s="390">
        <v>2019</v>
      </c>
      <c r="E36" s="391">
        <f t="shared" si="3"/>
        <v>5492903.2906515617</v>
      </c>
      <c r="F36" s="392">
        <f t="shared" si="3"/>
        <v>3845032.3034560937</v>
      </c>
      <c r="G36" s="392">
        <f t="shared" si="3"/>
        <v>3327431.8010677737</v>
      </c>
      <c r="H36" s="392">
        <f t="shared" si="3"/>
        <v>2809831.2986794524</v>
      </c>
      <c r="I36" s="392">
        <f t="shared" si="3"/>
        <v>1399728.7474631614</v>
      </c>
      <c r="J36" s="392">
        <f t="shared" si="3"/>
        <v>1282814.8583462518</v>
      </c>
      <c r="K36" s="392">
        <f t="shared" si="3"/>
        <v>1158702.8196863541</v>
      </c>
      <c r="L36" s="392">
        <f t="shared" si="3"/>
        <v>1007093.3516304041</v>
      </c>
      <c r="M36" s="392">
        <f t="shared" si="3"/>
        <v>857725.52184043708</v>
      </c>
      <c r="N36" s="393">
        <f t="shared" si="3"/>
        <v>678867.69530687795</v>
      </c>
    </row>
    <row r="37" spans="3:14" ht="16.5" customHeight="1">
      <c r="C37" s="389"/>
      <c r="D37" s="390">
        <v>2020</v>
      </c>
      <c r="E37" s="391">
        <f t="shared" si="3"/>
        <v>5740083.9387308825</v>
      </c>
      <c r="F37" s="392">
        <f t="shared" si="3"/>
        <v>4018058.7571116178</v>
      </c>
      <c r="G37" s="392">
        <f t="shared" si="3"/>
        <v>3477166.2321158233</v>
      </c>
      <c r="H37" s="392">
        <f t="shared" si="3"/>
        <v>2936273.7071200274</v>
      </c>
      <c r="I37" s="392">
        <f t="shared" si="3"/>
        <v>1462716.5410990033</v>
      </c>
      <c r="J37" s="392">
        <f t="shared" si="3"/>
        <v>1340541.5269718331</v>
      </c>
      <c r="K37" s="392">
        <f t="shared" si="3"/>
        <v>1210844.44657224</v>
      </c>
      <c r="L37" s="392">
        <f t="shared" si="3"/>
        <v>1052412.5524537722</v>
      </c>
      <c r="M37" s="392">
        <f t="shared" si="3"/>
        <v>896323.17032325675</v>
      </c>
      <c r="N37" s="393">
        <f t="shared" si="3"/>
        <v>709416.74159568734</v>
      </c>
    </row>
    <row r="38" spans="3:14" ht="16.5" customHeight="1">
      <c r="C38" s="389"/>
      <c r="D38" s="390">
        <v>2021</v>
      </c>
      <c r="E38" s="391">
        <f t="shared" si="3"/>
        <v>5998387.7159737712</v>
      </c>
      <c r="F38" s="392">
        <f t="shared" si="3"/>
        <v>4198871.4011816401</v>
      </c>
      <c r="G38" s="392">
        <f t="shared" si="3"/>
        <v>3633638.7125610351</v>
      </c>
      <c r="H38" s="392">
        <f t="shared" si="3"/>
        <v>3068406.0239404286</v>
      </c>
      <c r="I38" s="392">
        <f t="shared" si="3"/>
        <v>1528538.7854484583</v>
      </c>
      <c r="J38" s="392">
        <f t="shared" si="3"/>
        <v>1400865.8956855657</v>
      </c>
      <c r="K38" s="392">
        <f t="shared" si="3"/>
        <v>1265332.4466679909</v>
      </c>
      <c r="L38" s="392">
        <f t="shared" si="3"/>
        <v>1099771.1173141918</v>
      </c>
      <c r="M38" s="392">
        <f t="shared" si="3"/>
        <v>936657.71298780327</v>
      </c>
      <c r="N38" s="393">
        <f t="shared" si="3"/>
        <v>741340.49496749323</v>
      </c>
    </row>
    <row r="39" spans="3:14" ht="16.5" customHeight="1">
      <c r="C39" s="394"/>
      <c r="D39" s="390">
        <v>2022</v>
      </c>
      <c r="E39" s="391">
        <f t="shared" si="3"/>
        <v>6268315.1631925907</v>
      </c>
      <c r="F39" s="392">
        <f t="shared" si="3"/>
        <v>4387820.6142348135</v>
      </c>
      <c r="G39" s="392">
        <f t="shared" si="3"/>
        <v>3797152.4546262817</v>
      </c>
      <c r="H39" s="392">
        <f t="shared" si="3"/>
        <v>3206484.2950177477</v>
      </c>
      <c r="I39" s="392">
        <f t="shared" si="3"/>
        <v>1597323.0307936389</v>
      </c>
      <c r="J39" s="392">
        <f t="shared" si="3"/>
        <v>1463904.860991416</v>
      </c>
      <c r="K39" s="392">
        <f t="shared" si="3"/>
        <v>1322272.4067680503</v>
      </c>
      <c r="L39" s="392">
        <f t="shared" si="3"/>
        <v>1149260.8175933305</v>
      </c>
      <c r="M39" s="392">
        <f t="shared" si="3"/>
        <v>978807.31007225427</v>
      </c>
      <c r="N39" s="393">
        <f t="shared" si="3"/>
        <v>774700.8172410304</v>
      </c>
    </row>
    <row r="40" spans="3:14" ht="16.5" customHeight="1">
      <c r="C40" s="394"/>
      <c r="D40" s="390">
        <v>2023</v>
      </c>
      <c r="E40" s="391">
        <f t="shared" si="3"/>
        <v>6550389.3455362562</v>
      </c>
      <c r="F40" s="392">
        <f t="shared" si="3"/>
        <v>4585272.5418753801</v>
      </c>
      <c r="G40" s="392">
        <f t="shared" si="3"/>
        <v>3968024.3150844639</v>
      </c>
      <c r="H40" s="392">
        <f t="shared" si="3"/>
        <v>3350776.0882935463</v>
      </c>
      <c r="I40" s="392">
        <f t="shared" si="3"/>
        <v>1669202.5671793525</v>
      </c>
      <c r="J40" s="392">
        <f t="shared" si="3"/>
        <v>1529780.5797360295</v>
      </c>
      <c r="K40" s="392">
        <f t="shared" si="3"/>
        <v>1381774.6650726125</v>
      </c>
      <c r="L40" s="392">
        <f t="shared" si="3"/>
        <v>1200977.5543850302</v>
      </c>
      <c r="M40" s="392">
        <f t="shared" si="3"/>
        <v>1022853.6390255057</v>
      </c>
      <c r="N40" s="393">
        <f t="shared" si="3"/>
        <v>809562.35401687678</v>
      </c>
    </row>
    <row r="41" spans="3:14" ht="16.5" customHeight="1">
      <c r="C41" s="394"/>
      <c r="D41" s="390">
        <v>2024</v>
      </c>
      <c r="E41" s="391">
        <f t="shared" si="3"/>
        <v>6845156.8660853878</v>
      </c>
      <c r="F41" s="392">
        <f t="shared" si="3"/>
        <v>4791609.8062597709</v>
      </c>
      <c r="G41" s="392">
        <f t="shared" si="3"/>
        <v>4146585.4092632649</v>
      </c>
      <c r="H41" s="392">
        <f t="shared" si="3"/>
        <v>3501561.0122667556</v>
      </c>
      <c r="I41" s="392">
        <f t="shared" si="3"/>
        <v>1744316.6827024233</v>
      </c>
      <c r="J41" s="392">
        <f t="shared" si="3"/>
        <v>1598620.7058241507</v>
      </c>
      <c r="K41" s="392">
        <f t="shared" si="3"/>
        <v>1443954.5250008798</v>
      </c>
      <c r="L41" s="392">
        <f t="shared" si="3"/>
        <v>1255021.5443323564</v>
      </c>
      <c r="M41" s="392">
        <f t="shared" si="3"/>
        <v>1068882.0527816534</v>
      </c>
      <c r="N41" s="393">
        <f t="shared" si="3"/>
        <v>845992.65994763619</v>
      </c>
    </row>
    <row r="42" spans="3:14" ht="16.5" customHeight="1" thickBot="1">
      <c r="C42" s="395"/>
      <c r="D42" s="396">
        <v>2025</v>
      </c>
      <c r="E42" s="397">
        <f t="shared" si="3"/>
        <v>7153188.9250592301</v>
      </c>
      <c r="F42" s="398">
        <f t="shared" si="3"/>
        <v>5007232.2475414602</v>
      </c>
      <c r="G42" s="398">
        <f t="shared" si="3"/>
        <v>4333181.7526801107</v>
      </c>
      <c r="H42" s="398">
        <f t="shared" si="3"/>
        <v>3659131.257818759</v>
      </c>
      <c r="I42" s="398">
        <f t="shared" si="3"/>
        <v>1822810.9334240323</v>
      </c>
      <c r="J42" s="398">
        <f t="shared" si="3"/>
        <v>1670558.6375862376</v>
      </c>
      <c r="K42" s="398">
        <f t="shared" si="3"/>
        <v>1508932.4786259192</v>
      </c>
      <c r="L42" s="398">
        <f t="shared" si="3"/>
        <v>1311497.5138273123</v>
      </c>
      <c r="M42" s="398">
        <f t="shared" si="3"/>
        <v>1116981.7451568276</v>
      </c>
      <c r="N42" s="399">
        <f t="shared" si="3"/>
        <v>884062.32964527979</v>
      </c>
    </row>
    <row r="43" spans="3:14" ht="9.9499999999999993" customHeight="1"/>
    <row r="44" spans="3:14" s="412" customFormat="1" ht="16.5" customHeight="1" thickBot="1">
      <c r="C44" s="352" t="s">
        <v>2843</v>
      </c>
    </row>
    <row r="45" spans="3:14" s="348" customFormat="1" ht="20.100000000000001" customHeight="1">
      <c r="C45" s="413" t="s">
        <v>2825</v>
      </c>
      <c r="D45" s="414" t="s">
        <v>2844</v>
      </c>
      <c r="E45" s="415" t="s">
        <v>2845</v>
      </c>
      <c r="F45" s="416" t="s">
        <v>2846</v>
      </c>
      <c r="G45" s="416" t="s">
        <v>2847</v>
      </c>
      <c r="H45" s="416" t="s">
        <v>2848</v>
      </c>
      <c r="I45" s="416" t="s">
        <v>2849</v>
      </c>
      <c r="J45" s="416" t="s">
        <v>2850</v>
      </c>
      <c r="K45" s="416" t="s">
        <v>2851</v>
      </c>
      <c r="L45" s="416" t="s">
        <v>2852</v>
      </c>
      <c r="M45" s="416" t="s">
        <v>2853</v>
      </c>
      <c r="N45" s="417" t="s">
        <v>2854</v>
      </c>
    </row>
    <row r="46" spans="3:14" ht="16.5" customHeight="1">
      <c r="C46" s="418" t="s">
        <v>2855</v>
      </c>
      <c r="D46" s="365"/>
      <c r="E46" s="366"/>
      <c r="F46" s="367"/>
      <c r="G46" s="367"/>
      <c r="H46" s="367"/>
      <c r="I46" s="367">
        <v>1684000</v>
      </c>
      <c r="J46" s="367">
        <v>1506000</v>
      </c>
      <c r="K46" s="367">
        <v>1334000</v>
      </c>
      <c r="L46" s="367">
        <v>1127000</v>
      </c>
      <c r="M46" s="367">
        <v>952000</v>
      </c>
      <c r="N46" s="368">
        <v>744000</v>
      </c>
    </row>
    <row r="47" spans="3:14" ht="16.5" customHeight="1" thickBot="1">
      <c r="C47" s="419" t="s">
        <v>2856</v>
      </c>
      <c r="D47" s="370"/>
      <c r="E47" s="371">
        <v>6032000</v>
      </c>
      <c r="F47" s="372">
        <v>6032000</v>
      </c>
      <c r="G47" s="372">
        <v>5732000</v>
      </c>
      <c r="H47" s="372">
        <v>5732000</v>
      </c>
      <c r="I47" s="372">
        <v>4132000</v>
      </c>
      <c r="J47" s="372">
        <v>3884000</v>
      </c>
      <c r="K47" s="372">
        <v>3613000</v>
      </c>
      <c r="L47" s="372">
        <v>3244000</v>
      </c>
      <c r="M47" s="372">
        <v>2921000</v>
      </c>
      <c r="N47" s="373">
        <v>2517000</v>
      </c>
    </row>
    <row r="48" spans="3:14" s="412" customFormat="1" ht="16.5" customHeight="1" thickTop="1">
      <c r="C48" s="420" t="s">
        <v>2857</v>
      </c>
      <c r="D48" s="421" t="s">
        <v>2858</v>
      </c>
      <c r="E48" s="422">
        <f>SUM(E46:E47)</f>
        <v>6032000</v>
      </c>
      <c r="F48" s="423">
        <f t="shared" ref="F48:N48" si="4">SUM(F46:F47)</f>
        <v>6032000</v>
      </c>
      <c r="G48" s="423">
        <f t="shared" si="4"/>
        <v>5732000</v>
      </c>
      <c r="H48" s="423">
        <f t="shared" si="4"/>
        <v>5732000</v>
      </c>
      <c r="I48" s="423">
        <f t="shared" si="4"/>
        <v>5816000</v>
      </c>
      <c r="J48" s="423">
        <f t="shared" si="4"/>
        <v>5390000</v>
      </c>
      <c r="K48" s="423">
        <f t="shared" si="4"/>
        <v>4947000</v>
      </c>
      <c r="L48" s="423">
        <f t="shared" si="4"/>
        <v>4371000</v>
      </c>
      <c r="M48" s="423">
        <f t="shared" si="4"/>
        <v>3873000</v>
      </c>
      <c r="N48" s="424">
        <f t="shared" si="4"/>
        <v>3261000</v>
      </c>
    </row>
    <row r="49" spans="3:14" ht="16.5" customHeight="1">
      <c r="C49" s="425" t="s">
        <v>2855</v>
      </c>
      <c r="D49" s="426"/>
      <c r="E49" s="375"/>
      <c r="F49" s="376"/>
      <c r="G49" s="376"/>
      <c r="H49" s="376"/>
      <c r="I49" s="376">
        <v>1684000</v>
      </c>
      <c r="J49" s="376">
        <v>1506000</v>
      </c>
      <c r="K49" s="376">
        <v>1334000</v>
      </c>
      <c r="L49" s="376">
        <v>1127000</v>
      </c>
      <c r="M49" s="376">
        <v>952000</v>
      </c>
      <c r="N49" s="377">
        <v>744000</v>
      </c>
    </row>
    <row r="50" spans="3:14" ht="16.5" customHeight="1" thickBot="1">
      <c r="C50" s="427" t="s">
        <v>2856</v>
      </c>
      <c r="D50" s="428"/>
      <c r="E50" s="429">
        <v>5426000</v>
      </c>
      <c r="F50" s="430">
        <v>5426000</v>
      </c>
      <c r="G50" s="430">
        <v>5126000</v>
      </c>
      <c r="H50" s="430">
        <v>5126000</v>
      </c>
      <c r="I50" s="430">
        <v>3526000</v>
      </c>
      <c r="J50" s="430">
        <v>3327000</v>
      </c>
      <c r="K50" s="430">
        <v>3110000</v>
      </c>
      <c r="L50" s="430">
        <v>2816000</v>
      </c>
      <c r="M50" s="430">
        <v>2557000</v>
      </c>
      <c r="N50" s="431">
        <v>2234000</v>
      </c>
    </row>
    <row r="51" spans="3:14" s="412" customFormat="1" ht="16.5" customHeight="1" thickTop="1">
      <c r="C51" s="432" t="s">
        <v>2857</v>
      </c>
      <c r="D51" s="433" t="s">
        <v>2859</v>
      </c>
      <c r="E51" s="434">
        <f>SUM(E49:E50)</f>
        <v>5426000</v>
      </c>
      <c r="F51" s="435">
        <f t="shared" ref="F51:N51" si="5">SUM(F49:F50)</f>
        <v>5426000</v>
      </c>
      <c r="G51" s="435">
        <f t="shared" si="5"/>
        <v>5126000</v>
      </c>
      <c r="H51" s="435">
        <f t="shared" si="5"/>
        <v>5126000</v>
      </c>
      <c r="I51" s="435">
        <f t="shared" si="5"/>
        <v>5210000</v>
      </c>
      <c r="J51" s="435">
        <f t="shared" si="5"/>
        <v>4833000</v>
      </c>
      <c r="K51" s="435">
        <f t="shared" si="5"/>
        <v>4444000</v>
      </c>
      <c r="L51" s="435">
        <f t="shared" si="5"/>
        <v>3943000</v>
      </c>
      <c r="M51" s="435">
        <f t="shared" si="5"/>
        <v>3509000</v>
      </c>
      <c r="N51" s="436">
        <f t="shared" si="5"/>
        <v>2978000</v>
      </c>
    </row>
    <row r="52" spans="3:14" ht="16.5" customHeight="1">
      <c r="C52" s="437" t="s">
        <v>2855</v>
      </c>
      <c r="D52" s="359"/>
      <c r="E52" s="360"/>
      <c r="F52" s="361"/>
      <c r="G52" s="361"/>
      <c r="H52" s="361"/>
      <c r="I52" s="361">
        <v>1684000</v>
      </c>
      <c r="J52" s="361">
        <v>1506000</v>
      </c>
      <c r="K52" s="361">
        <v>1334000</v>
      </c>
      <c r="L52" s="361">
        <v>1127000</v>
      </c>
      <c r="M52" s="361">
        <v>952000</v>
      </c>
      <c r="N52" s="362">
        <v>744000</v>
      </c>
    </row>
    <row r="53" spans="3:14" ht="16.5" customHeight="1" thickBot="1">
      <c r="C53" s="419" t="s">
        <v>2856</v>
      </c>
      <c r="D53" s="370"/>
      <c r="E53" s="371">
        <v>4941000</v>
      </c>
      <c r="F53" s="372">
        <v>4941000</v>
      </c>
      <c r="G53" s="372">
        <v>4641000</v>
      </c>
      <c r="H53" s="372">
        <v>4641000</v>
      </c>
      <c r="I53" s="372">
        <v>3041000</v>
      </c>
      <c r="J53" s="372">
        <v>2882000</v>
      </c>
      <c r="K53" s="372">
        <v>2708000</v>
      </c>
      <c r="L53" s="372">
        <v>2472000</v>
      </c>
      <c r="M53" s="372">
        <v>2266000</v>
      </c>
      <c r="N53" s="373">
        <v>2007000</v>
      </c>
    </row>
    <row r="54" spans="3:14" s="412" customFormat="1" ht="16.5" customHeight="1" thickTop="1">
      <c r="C54" s="420" t="s">
        <v>2857</v>
      </c>
      <c r="D54" s="421" t="s">
        <v>2860</v>
      </c>
      <c r="E54" s="422">
        <f>SUM(E52:E53)</f>
        <v>4941000</v>
      </c>
      <c r="F54" s="423">
        <f t="shared" ref="F54:N54" si="6">SUM(F52:F53)</f>
        <v>4941000</v>
      </c>
      <c r="G54" s="423">
        <f t="shared" si="6"/>
        <v>4641000</v>
      </c>
      <c r="H54" s="423">
        <f t="shared" si="6"/>
        <v>4641000</v>
      </c>
      <c r="I54" s="423">
        <f t="shared" si="6"/>
        <v>4725000</v>
      </c>
      <c r="J54" s="423">
        <f t="shared" si="6"/>
        <v>4388000</v>
      </c>
      <c r="K54" s="423">
        <f t="shared" si="6"/>
        <v>4042000</v>
      </c>
      <c r="L54" s="423">
        <f t="shared" si="6"/>
        <v>3599000</v>
      </c>
      <c r="M54" s="423">
        <f t="shared" si="6"/>
        <v>3218000</v>
      </c>
      <c r="N54" s="424">
        <f t="shared" si="6"/>
        <v>2751000</v>
      </c>
    </row>
    <row r="55" spans="3:14" ht="16.5" customHeight="1">
      <c r="C55" s="425" t="s">
        <v>2855</v>
      </c>
      <c r="D55" s="426"/>
      <c r="E55" s="375"/>
      <c r="F55" s="376"/>
      <c r="G55" s="376"/>
      <c r="H55" s="376"/>
      <c r="I55" s="376">
        <v>1684000</v>
      </c>
      <c r="J55" s="376">
        <v>1506000</v>
      </c>
      <c r="K55" s="376">
        <v>1334000</v>
      </c>
      <c r="L55" s="376">
        <v>1127000</v>
      </c>
      <c r="M55" s="376">
        <v>952000</v>
      </c>
      <c r="N55" s="377">
        <v>744000</v>
      </c>
    </row>
    <row r="56" spans="3:14" ht="16.5" customHeight="1" thickBot="1">
      <c r="C56" s="427" t="s">
        <v>2856</v>
      </c>
      <c r="D56" s="428"/>
      <c r="E56" s="429">
        <v>4452000</v>
      </c>
      <c r="F56" s="430">
        <v>4452000</v>
      </c>
      <c r="G56" s="430">
        <v>4152000</v>
      </c>
      <c r="H56" s="430">
        <v>4152000</v>
      </c>
      <c r="I56" s="430">
        <v>2552000</v>
      </c>
      <c r="J56" s="430">
        <v>2425000</v>
      </c>
      <c r="K56" s="430">
        <v>2286000</v>
      </c>
      <c r="L56" s="430">
        <v>2098000</v>
      </c>
      <c r="M56" s="430">
        <v>1933000</v>
      </c>
      <c r="N56" s="431">
        <v>1726000</v>
      </c>
    </row>
    <row r="57" spans="3:14" s="412" customFormat="1" ht="16.5" customHeight="1" thickTop="1">
      <c r="C57" s="432" t="s">
        <v>2857</v>
      </c>
      <c r="D57" s="433" t="s">
        <v>2861</v>
      </c>
      <c r="E57" s="434">
        <f>SUM(E55:E56)</f>
        <v>4452000</v>
      </c>
      <c r="F57" s="435">
        <f t="shared" ref="F57:N57" si="7">SUM(F55:F56)</f>
        <v>4452000</v>
      </c>
      <c r="G57" s="435">
        <f t="shared" si="7"/>
        <v>4152000</v>
      </c>
      <c r="H57" s="435">
        <f t="shared" si="7"/>
        <v>4152000</v>
      </c>
      <c r="I57" s="435">
        <f t="shared" si="7"/>
        <v>4236000</v>
      </c>
      <c r="J57" s="435">
        <f t="shared" si="7"/>
        <v>3931000</v>
      </c>
      <c r="K57" s="435">
        <f t="shared" si="7"/>
        <v>3620000</v>
      </c>
      <c r="L57" s="435">
        <f t="shared" si="7"/>
        <v>3225000</v>
      </c>
      <c r="M57" s="435">
        <f t="shared" si="7"/>
        <v>2885000</v>
      </c>
      <c r="N57" s="436">
        <f t="shared" si="7"/>
        <v>2470000</v>
      </c>
    </row>
    <row r="58" spans="3:14" ht="16.5" customHeight="1">
      <c r="C58" s="437" t="s">
        <v>2855</v>
      </c>
      <c r="D58" s="359"/>
      <c r="E58" s="360"/>
      <c r="F58" s="361"/>
      <c r="G58" s="361"/>
      <c r="H58" s="361"/>
      <c r="I58" s="361">
        <v>1684000</v>
      </c>
      <c r="J58" s="361">
        <v>1506000</v>
      </c>
      <c r="K58" s="361">
        <v>1334000</v>
      </c>
      <c r="L58" s="361">
        <v>1127000</v>
      </c>
      <c r="M58" s="361">
        <v>952000</v>
      </c>
      <c r="N58" s="362">
        <v>744000</v>
      </c>
    </row>
    <row r="59" spans="3:14" ht="16.5" customHeight="1" thickBot="1">
      <c r="C59" s="419" t="s">
        <v>2856</v>
      </c>
      <c r="D59" s="370"/>
      <c r="E59" s="371">
        <v>4194000</v>
      </c>
      <c r="F59" s="372">
        <v>4194000</v>
      </c>
      <c r="G59" s="372">
        <v>3894000</v>
      </c>
      <c r="H59" s="372">
        <v>3894000</v>
      </c>
      <c r="I59" s="372">
        <v>2294000</v>
      </c>
      <c r="J59" s="372">
        <v>2188000</v>
      </c>
      <c r="K59" s="372">
        <v>2072000</v>
      </c>
      <c r="L59" s="372">
        <v>1915000</v>
      </c>
      <c r="M59" s="372">
        <v>1777000</v>
      </c>
      <c r="N59" s="373">
        <v>1605000</v>
      </c>
    </row>
    <row r="60" spans="3:14" s="412" customFormat="1" ht="16.5" customHeight="1" thickTop="1">
      <c r="C60" s="420" t="s">
        <v>2857</v>
      </c>
      <c r="D60" s="421" t="s">
        <v>2862</v>
      </c>
      <c r="E60" s="422">
        <f>SUM(E58:E59)</f>
        <v>4194000</v>
      </c>
      <c r="F60" s="423">
        <f t="shared" ref="F60:N60" si="8">SUM(F58:F59)</f>
        <v>4194000</v>
      </c>
      <c r="G60" s="423">
        <f t="shared" si="8"/>
        <v>3894000</v>
      </c>
      <c r="H60" s="423">
        <f t="shared" si="8"/>
        <v>3894000</v>
      </c>
      <c r="I60" s="423">
        <f t="shared" si="8"/>
        <v>3978000</v>
      </c>
      <c r="J60" s="423">
        <f t="shared" si="8"/>
        <v>3694000</v>
      </c>
      <c r="K60" s="423">
        <f t="shared" si="8"/>
        <v>3406000</v>
      </c>
      <c r="L60" s="423">
        <f t="shared" si="8"/>
        <v>3042000</v>
      </c>
      <c r="M60" s="423">
        <f t="shared" si="8"/>
        <v>2729000</v>
      </c>
      <c r="N60" s="424">
        <f t="shared" si="8"/>
        <v>2349000</v>
      </c>
    </row>
    <row r="61" spans="3:14" ht="16.5" customHeight="1">
      <c r="C61" s="425" t="s">
        <v>2855</v>
      </c>
      <c r="D61" s="426"/>
      <c r="E61" s="375"/>
      <c r="F61" s="376"/>
      <c r="G61" s="376"/>
      <c r="H61" s="376"/>
      <c r="I61" s="376">
        <v>1684000</v>
      </c>
      <c r="J61" s="376">
        <v>1506000</v>
      </c>
      <c r="K61" s="376">
        <v>1334000</v>
      </c>
      <c r="L61" s="376">
        <v>1127000</v>
      </c>
      <c r="M61" s="376">
        <v>952000</v>
      </c>
      <c r="N61" s="377">
        <v>744000</v>
      </c>
    </row>
    <row r="62" spans="3:14" ht="16.5" customHeight="1" thickBot="1">
      <c r="C62" s="427" t="s">
        <v>2856</v>
      </c>
      <c r="D62" s="428"/>
      <c r="E62" s="429">
        <v>3978000</v>
      </c>
      <c r="F62" s="430">
        <v>3978000</v>
      </c>
      <c r="G62" s="430">
        <v>3678000</v>
      </c>
      <c r="H62" s="430">
        <v>3678000</v>
      </c>
      <c r="I62" s="430">
        <v>2078000</v>
      </c>
      <c r="J62" s="430">
        <v>1990000</v>
      </c>
      <c r="K62" s="430">
        <v>1893000</v>
      </c>
      <c r="L62" s="430">
        <v>1762000</v>
      </c>
      <c r="M62" s="430">
        <v>1648000</v>
      </c>
      <c r="N62" s="431">
        <v>1504000</v>
      </c>
    </row>
    <row r="63" spans="3:14" s="412" customFormat="1" ht="16.5" customHeight="1" thickTop="1">
      <c r="C63" s="432" t="s">
        <v>2857</v>
      </c>
      <c r="D63" s="433" t="s">
        <v>2863</v>
      </c>
      <c r="E63" s="434">
        <f>SUM(E61:E62)</f>
        <v>3978000</v>
      </c>
      <c r="F63" s="435">
        <f t="shared" ref="F63:N63" si="9">SUM(F61:F62)</f>
        <v>3978000</v>
      </c>
      <c r="G63" s="435">
        <f t="shared" si="9"/>
        <v>3678000</v>
      </c>
      <c r="H63" s="435">
        <f t="shared" si="9"/>
        <v>3678000</v>
      </c>
      <c r="I63" s="435">
        <f t="shared" si="9"/>
        <v>3762000</v>
      </c>
      <c r="J63" s="435">
        <f t="shared" si="9"/>
        <v>3496000</v>
      </c>
      <c r="K63" s="435">
        <f t="shared" si="9"/>
        <v>3227000</v>
      </c>
      <c r="L63" s="435">
        <f t="shared" si="9"/>
        <v>2889000</v>
      </c>
      <c r="M63" s="435">
        <f t="shared" si="9"/>
        <v>2600000</v>
      </c>
      <c r="N63" s="436">
        <f t="shared" si="9"/>
        <v>2248000</v>
      </c>
    </row>
    <row r="64" spans="3:14" ht="16.5" customHeight="1">
      <c r="C64" s="437" t="s">
        <v>2855</v>
      </c>
      <c r="D64" s="359"/>
      <c r="E64" s="360"/>
      <c r="F64" s="361"/>
      <c r="G64" s="361"/>
      <c r="H64" s="361"/>
      <c r="I64" s="361">
        <v>1684000</v>
      </c>
      <c r="J64" s="361">
        <v>1506000</v>
      </c>
      <c r="K64" s="361">
        <v>1334000</v>
      </c>
      <c r="L64" s="361">
        <v>1127000</v>
      </c>
      <c r="M64" s="361">
        <v>952000</v>
      </c>
      <c r="N64" s="362">
        <v>744000</v>
      </c>
    </row>
    <row r="65" spans="3:14" ht="16.5" customHeight="1" thickBot="1">
      <c r="C65" s="419" t="s">
        <v>2856</v>
      </c>
      <c r="D65" s="370"/>
      <c r="E65" s="371">
        <v>3598000</v>
      </c>
      <c r="F65" s="372">
        <v>3598000</v>
      </c>
      <c r="G65" s="372">
        <v>3298000</v>
      </c>
      <c r="H65" s="372">
        <v>3298000</v>
      </c>
      <c r="I65" s="372">
        <v>1698000</v>
      </c>
      <c r="J65" s="372">
        <v>1625000</v>
      </c>
      <c r="K65" s="372">
        <v>1544000</v>
      </c>
      <c r="L65" s="372">
        <v>1435000</v>
      </c>
      <c r="M65" s="372">
        <v>1340000</v>
      </c>
      <c r="N65" s="373">
        <v>1220000</v>
      </c>
    </row>
    <row r="66" spans="3:14" s="412" customFormat="1" ht="16.5" customHeight="1" thickTop="1">
      <c r="C66" s="420" t="s">
        <v>2857</v>
      </c>
      <c r="D66" s="421" t="s">
        <v>2864</v>
      </c>
      <c r="E66" s="422">
        <f>SUM(E64:E65)</f>
        <v>3598000</v>
      </c>
      <c r="F66" s="423">
        <f t="shared" ref="F66:N66" si="10">SUM(F64:F65)</f>
        <v>3598000</v>
      </c>
      <c r="G66" s="423">
        <f t="shared" si="10"/>
        <v>3298000</v>
      </c>
      <c r="H66" s="423">
        <f t="shared" si="10"/>
        <v>3298000</v>
      </c>
      <c r="I66" s="423">
        <f t="shared" si="10"/>
        <v>3382000</v>
      </c>
      <c r="J66" s="423">
        <f t="shared" si="10"/>
        <v>3131000</v>
      </c>
      <c r="K66" s="423">
        <f t="shared" si="10"/>
        <v>2878000</v>
      </c>
      <c r="L66" s="423">
        <f t="shared" si="10"/>
        <v>2562000</v>
      </c>
      <c r="M66" s="423">
        <f t="shared" si="10"/>
        <v>2292000</v>
      </c>
      <c r="N66" s="424">
        <f t="shared" si="10"/>
        <v>1964000</v>
      </c>
    </row>
    <row r="67" spans="3:14" ht="16.5" customHeight="1">
      <c r="C67" s="425" t="s">
        <v>2855</v>
      </c>
      <c r="D67" s="426"/>
      <c r="E67" s="375"/>
      <c r="F67" s="376"/>
      <c r="G67" s="376"/>
      <c r="H67" s="376"/>
      <c r="I67" s="376">
        <v>1684000</v>
      </c>
      <c r="J67" s="376">
        <v>1506000</v>
      </c>
      <c r="K67" s="376">
        <v>1334000</v>
      </c>
      <c r="L67" s="376">
        <v>1127000</v>
      </c>
      <c r="M67" s="376">
        <v>952000</v>
      </c>
      <c r="N67" s="377">
        <v>744000</v>
      </c>
    </row>
    <row r="68" spans="3:14" ht="16.5" customHeight="1" thickBot="1">
      <c r="C68" s="427" t="s">
        <v>2856</v>
      </c>
      <c r="D68" s="428"/>
      <c r="E68" s="429">
        <v>3517000</v>
      </c>
      <c r="F68" s="430">
        <v>3517000</v>
      </c>
      <c r="G68" s="430">
        <v>3217000</v>
      </c>
      <c r="H68" s="430">
        <v>3217000</v>
      </c>
      <c r="I68" s="430">
        <v>1617000</v>
      </c>
      <c r="J68" s="430">
        <v>1550000</v>
      </c>
      <c r="K68" s="430">
        <v>1477000</v>
      </c>
      <c r="L68" s="430">
        <v>1378000</v>
      </c>
      <c r="M68" s="430">
        <v>1291000</v>
      </c>
      <c r="N68" s="431">
        <v>1182000</v>
      </c>
    </row>
    <row r="69" spans="3:14" s="412" customFormat="1" ht="16.5" customHeight="1" thickTop="1">
      <c r="C69" s="432" t="s">
        <v>2857</v>
      </c>
      <c r="D69" s="433" t="s">
        <v>2865</v>
      </c>
      <c r="E69" s="434">
        <f>SUM(E67:E68)</f>
        <v>3517000</v>
      </c>
      <c r="F69" s="435">
        <f t="shared" ref="F69:N69" si="11">SUM(F67:F68)</f>
        <v>3517000</v>
      </c>
      <c r="G69" s="435">
        <f t="shared" si="11"/>
        <v>3217000</v>
      </c>
      <c r="H69" s="435">
        <f t="shared" si="11"/>
        <v>3217000</v>
      </c>
      <c r="I69" s="435">
        <f t="shared" si="11"/>
        <v>3301000</v>
      </c>
      <c r="J69" s="435">
        <f t="shared" si="11"/>
        <v>3056000</v>
      </c>
      <c r="K69" s="435">
        <f t="shared" si="11"/>
        <v>2811000</v>
      </c>
      <c r="L69" s="435">
        <f t="shared" si="11"/>
        <v>2505000</v>
      </c>
      <c r="M69" s="435">
        <f t="shared" si="11"/>
        <v>2243000</v>
      </c>
      <c r="N69" s="436">
        <f t="shared" si="11"/>
        <v>1926000</v>
      </c>
    </row>
    <row r="70" spans="3:14" ht="16.5" customHeight="1">
      <c r="C70" s="437" t="s">
        <v>2855</v>
      </c>
      <c r="D70" s="359"/>
      <c r="E70" s="360"/>
      <c r="F70" s="361"/>
      <c r="G70" s="361"/>
      <c r="H70" s="361"/>
      <c r="I70" s="361">
        <v>1684000</v>
      </c>
      <c r="J70" s="361">
        <v>1506000</v>
      </c>
      <c r="K70" s="361">
        <v>1334000</v>
      </c>
      <c r="L70" s="361">
        <v>1127000</v>
      </c>
      <c r="M70" s="361">
        <v>952000</v>
      </c>
      <c r="N70" s="362">
        <v>744000</v>
      </c>
    </row>
    <row r="71" spans="3:14" ht="16.5" customHeight="1" thickBot="1">
      <c r="C71" s="419" t="s">
        <v>2856</v>
      </c>
      <c r="D71" s="370"/>
      <c r="E71" s="371">
        <v>3443000</v>
      </c>
      <c r="F71" s="372">
        <v>3443000</v>
      </c>
      <c r="G71" s="372">
        <v>3143000</v>
      </c>
      <c r="H71" s="372">
        <v>3143000</v>
      </c>
      <c r="I71" s="372">
        <v>1542000</v>
      </c>
      <c r="J71" s="372">
        <v>1482000</v>
      </c>
      <c r="K71" s="372">
        <v>1415000</v>
      </c>
      <c r="L71" s="372">
        <v>1325000</v>
      </c>
      <c r="M71" s="372">
        <v>1246000</v>
      </c>
      <c r="N71" s="373">
        <v>1147000</v>
      </c>
    </row>
    <row r="72" spans="3:14" s="412" customFormat="1" ht="16.5" customHeight="1" thickTop="1" thickBot="1">
      <c r="C72" s="438" t="s">
        <v>2857</v>
      </c>
      <c r="D72" s="439" t="s">
        <v>2866</v>
      </c>
      <c r="E72" s="440">
        <f>SUM(E70:E71)</f>
        <v>3443000</v>
      </c>
      <c r="F72" s="441">
        <f t="shared" ref="F72:N72" si="12">SUM(F70:F71)</f>
        <v>3443000</v>
      </c>
      <c r="G72" s="441">
        <f t="shared" si="12"/>
        <v>3143000</v>
      </c>
      <c r="H72" s="441">
        <f t="shared" si="12"/>
        <v>3143000</v>
      </c>
      <c r="I72" s="441">
        <f t="shared" si="12"/>
        <v>3226000</v>
      </c>
      <c r="J72" s="441">
        <f t="shared" si="12"/>
        <v>2988000</v>
      </c>
      <c r="K72" s="441">
        <f t="shared" si="12"/>
        <v>2749000</v>
      </c>
      <c r="L72" s="441">
        <f t="shared" si="12"/>
        <v>2452000</v>
      </c>
      <c r="M72" s="441">
        <f t="shared" si="12"/>
        <v>2198000</v>
      </c>
      <c r="N72" s="442">
        <f t="shared" si="12"/>
        <v>1891000</v>
      </c>
    </row>
    <row r="74" spans="3:14" ht="16.5" customHeight="1">
      <c r="C74" s="443" t="s">
        <v>2867</v>
      </c>
    </row>
    <row r="75" spans="3:14" ht="16.5" customHeight="1">
      <c r="C75" s="444" t="s">
        <v>2868</v>
      </c>
      <c r="D75" s="363">
        <v>1100</v>
      </c>
      <c r="E75" s="444" t="s">
        <v>2869</v>
      </c>
    </row>
    <row r="76" spans="3:14" ht="16.5" customHeight="1">
      <c r="C76" s="444" t="s">
        <v>2870</v>
      </c>
      <c r="D76" s="445">
        <v>0.15590000000000001</v>
      </c>
      <c r="E76" s="444"/>
    </row>
    <row r="77" spans="3:14" ht="16.5" customHeight="1">
      <c r="C77" s="444" t="s">
        <v>2871</v>
      </c>
      <c r="D77" s="445">
        <v>4.4999999999999998E-2</v>
      </c>
      <c r="E77" s="444"/>
    </row>
    <row r="78" spans="3:14" ht="16.5" customHeight="1">
      <c r="C78" s="444"/>
    </row>
    <row r="79" spans="3:14" ht="16.5" customHeight="1">
      <c r="C79" s="444"/>
    </row>
  </sheetData>
  <mergeCells count="2">
    <mergeCell ref="C2:N2"/>
    <mergeCell ref="D15:D19"/>
  </mergeCells>
  <phoneticPr fontId="5" type="noConversion"/>
  <printOptions horizontalCentered="1"/>
  <pageMargins left="0.39370078740157483" right="0.39370078740157483" top="0.39370078740157483" bottom="0.39370078740157483" header="0.31496062992125984" footer="0.31496062992125984"/>
  <pageSetup paperSize="9" scale="65" fitToHeight="0" orientation="portrait" r:id="rId1"/>
  <headerFooter>
    <oddHeader>&amp;R&amp;"Aptos"&amp;13&amp;K000000 [ RESTRICTED ]&amp;1#_x000D_</oddHeader>
    <oddFooter>&amp;R_x000D_&amp;1#&amp;"Aptos"&amp;5&amp;K000000 [Secure Minds, Secure Finds] 본 문서는 현대건설㈜의 정보자산이므로 무단 전제 및 복제할 수 없으며, 이를 위반할 시에는 당사 사규 및 관련 법규에 의해 제지를 받을 수 있습니다.</oddFooter>
  </headerFooter>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40A998-43C7-4D66-BB48-8914C2C22C64}">
  <dimension ref="A1:AF56"/>
  <sheetViews>
    <sheetView topLeftCell="O13" zoomScale="70" zoomScaleNormal="70" workbookViewId="0">
      <selection activeCell="Y31" sqref="Y31"/>
    </sheetView>
  </sheetViews>
  <sheetFormatPr defaultColWidth="8.75" defaultRowHeight="18" customHeight="1"/>
  <cols>
    <col min="1" max="1" width="7.875" style="241" customWidth="1"/>
    <col min="2" max="2" width="6.25" style="293" customWidth="1"/>
    <col min="3" max="4" width="10.875" style="241" customWidth="1"/>
    <col min="5" max="5" width="11.75" style="241" customWidth="1"/>
    <col min="6" max="6" width="7.875" style="241" customWidth="1"/>
    <col min="7" max="7" width="6.25" style="293" customWidth="1"/>
    <col min="8" max="8" width="10.875" style="241" customWidth="1"/>
    <col min="9" max="9" width="12.75" style="241" customWidth="1"/>
    <col min="10" max="10" width="11.75" style="241" customWidth="1"/>
    <col min="11" max="11" width="7.875" style="241" customWidth="1"/>
    <col min="12" max="12" width="16.125" style="241" customWidth="1"/>
    <col min="13" max="15" width="7.875" style="241" customWidth="1"/>
    <col min="16" max="22" width="7.125" style="293" customWidth="1"/>
    <col min="23" max="24" width="8.75" style="241" customWidth="1"/>
    <col min="25" max="26" width="13" style="241" customWidth="1"/>
    <col min="27" max="28" width="11.75" style="241" customWidth="1"/>
    <col min="29" max="29" width="11.75" style="250" customWidth="1"/>
    <col min="30" max="31" width="11.75" style="241" customWidth="1"/>
    <col min="32" max="32" width="11.75" style="250" customWidth="1"/>
    <col min="33" max="16384" width="8.75" style="241"/>
  </cols>
  <sheetData>
    <row r="1" spans="1:32" ht="18" customHeight="1">
      <c r="C1" s="241">
        <v>6416000</v>
      </c>
      <c r="D1" s="241">
        <v>2393000</v>
      </c>
      <c r="E1" s="241">
        <f>105708000*1.045</f>
        <v>110464859.99999999</v>
      </c>
      <c r="H1" s="241">
        <v>7704000</v>
      </c>
      <c r="I1" s="241">
        <f>119755200*1.06</f>
        <v>126940512</v>
      </c>
      <c r="J1" s="241">
        <f>I1-H1*12</f>
        <v>34492512</v>
      </c>
      <c r="L1" s="241" t="s">
        <v>3089</v>
      </c>
      <c r="W1" s="626" t="s">
        <v>1953</v>
      </c>
      <c r="X1" s="626"/>
      <c r="Y1" s="626"/>
      <c r="Z1" s="626"/>
      <c r="AA1" s="626" t="s">
        <v>1954</v>
      </c>
      <c r="AB1" s="626"/>
      <c r="AC1" s="626"/>
      <c r="AD1" s="626" t="s">
        <v>1957</v>
      </c>
      <c r="AE1" s="626"/>
      <c r="AF1" s="626"/>
    </row>
    <row r="2" spans="1:32" ht="18" customHeight="1">
      <c r="C2" s="241">
        <v>6705000</v>
      </c>
      <c r="D2" s="241">
        <f>E1-C2*12</f>
        <v>30004859.999999985</v>
      </c>
      <c r="E2" s="241">
        <f>D2/12</f>
        <v>2500404.9999999986</v>
      </c>
      <c r="H2" s="244"/>
      <c r="J2" s="241">
        <f>J1/12</f>
        <v>2874376</v>
      </c>
      <c r="M2" s="293" t="s">
        <v>1973</v>
      </c>
      <c r="N2" s="293" t="s">
        <v>1974</v>
      </c>
      <c r="O2" s="293" t="s">
        <v>1975</v>
      </c>
      <c r="Q2" s="293" t="s">
        <v>1959</v>
      </c>
      <c r="R2" s="293" t="s">
        <v>1960</v>
      </c>
      <c r="S2" s="293" t="s">
        <v>1063</v>
      </c>
      <c r="T2" s="293" t="s">
        <v>1961</v>
      </c>
      <c r="U2" s="293" t="s">
        <v>3644</v>
      </c>
      <c r="V2" s="293" t="s">
        <v>1962</v>
      </c>
      <c r="W2" s="626"/>
      <c r="X2" s="626"/>
      <c r="Y2" s="626"/>
      <c r="Z2" s="626"/>
      <c r="AA2" s="293" t="s">
        <v>1955</v>
      </c>
      <c r="AB2" s="293" t="s">
        <v>1956</v>
      </c>
      <c r="AC2" s="242" t="s">
        <v>1958</v>
      </c>
      <c r="AD2" s="293" t="s">
        <v>1955</v>
      </c>
      <c r="AE2" s="293" t="s">
        <v>1956</v>
      </c>
      <c r="AF2" s="242" t="s">
        <v>1958</v>
      </c>
    </row>
    <row r="3" spans="1:32" ht="18" customHeight="1">
      <c r="I3" s="241">
        <v>92842000</v>
      </c>
      <c r="J3" s="241">
        <v>95349000</v>
      </c>
      <c r="M3" s="624"/>
      <c r="N3" s="624"/>
      <c r="O3" s="624"/>
      <c r="P3" s="243">
        <v>1997</v>
      </c>
      <c r="Q3" s="244"/>
      <c r="R3" s="244"/>
      <c r="S3" s="244"/>
      <c r="T3" s="244"/>
      <c r="U3" s="244"/>
      <c r="V3" s="244"/>
      <c r="AA3" s="241">
        <v>9160122</v>
      </c>
      <c r="AB3" s="241">
        <v>677248</v>
      </c>
      <c r="AC3" s="244">
        <f>IF(AA3="","",AB3/AA3)</f>
        <v>7.393438646341173E-2</v>
      </c>
      <c r="AD3" s="241">
        <v>5607426</v>
      </c>
      <c r="AE3" s="241">
        <v>464870</v>
      </c>
      <c r="AF3" s="244">
        <f t="shared" ref="AF3:AF38" si="0">IF(AD3="","",AE3/AD3)</f>
        <v>8.2902565276831111E-2</v>
      </c>
    </row>
    <row r="4" spans="1:32" ht="18" customHeight="1">
      <c r="C4" s="241">
        <v>6431090</v>
      </c>
      <c r="D4" s="241">
        <v>6720489</v>
      </c>
      <c r="E4" s="244">
        <f>D4/C4</f>
        <v>1.0449999922252682</v>
      </c>
      <c r="G4" s="470"/>
      <c r="I4" s="241">
        <v>5787000</v>
      </c>
      <c r="J4" s="241">
        <v>2158750</v>
      </c>
      <c r="L4" s="241">
        <f>J14-J10</f>
        <v>13476000</v>
      </c>
      <c r="M4" s="624"/>
      <c r="N4" s="624"/>
      <c r="O4" s="624"/>
      <c r="P4" s="243">
        <v>1998</v>
      </c>
      <c r="Q4" s="244"/>
      <c r="R4" s="244"/>
      <c r="S4" s="244"/>
      <c r="T4" s="244"/>
      <c r="U4" s="244"/>
      <c r="V4" s="244"/>
      <c r="AA4" s="241">
        <v>5844379</v>
      </c>
      <c r="AB4" s="241">
        <v>503364</v>
      </c>
      <c r="AC4" s="244">
        <f t="shared" ref="AC4:AC38" si="1">IF(AA4="","",AB4/AA4)</f>
        <v>8.6127884587909168E-2</v>
      </c>
      <c r="AD4" s="241">
        <v>5826349</v>
      </c>
      <c r="AE4" s="241">
        <v>500219</v>
      </c>
      <c r="AF4" s="244">
        <f t="shared" si="0"/>
        <v>8.5854623538686059E-2</v>
      </c>
    </row>
    <row r="5" spans="1:32" ht="18" customHeight="1">
      <c r="C5" s="241">
        <v>6720489</v>
      </c>
      <c r="D5" s="241">
        <f>C5*E5</f>
        <v>7325333.0100000007</v>
      </c>
      <c r="E5" s="244">
        <v>1.0900000000000001</v>
      </c>
      <c r="G5" s="470"/>
      <c r="M5" s="624"/>
      <c r="N5" s="624"/>
      <c r="O5" s="624"/>
      <c r="P5" s="243">
        <v>1999</v>
      </c>
      <c r="Q5" s="244"/>
      <c r="R5" s="244"/>
      <c r="S5" s="244"/>
      <c r="T5" s="244"/>
      <c r="U5" s="244"/>
      <c r="V5" s="244"/>
      <c r="AA5" s="241">
        <v>5785177</v>
      </c>
      <c r="AB5" s="241">
        <v>320961</v>
      </c>
      <c r="AC5" s="244">
        <f t="shared" si="1"/>
        <v>5.5479892836468099E-2</v>
      </c>
      <c r="AD5" s="241">
        <v>5726956</v>
      </c>
      <c r="AE5" s="241">
        <v>313890</v>
      </c>
      <c r="AF5" s="244">
        <f t="shared" si="0"/>
        <v>5.4809221513138918E-2</v>
      </c>
    </row>
    <row r="6" spans="1:32" ht="18" customHeight="1">
      <c r="M6" s="624"/>
      <c r="N6" s="624"/>
      <c r="O6" s="624"/>
      <c r="P6" s="243">
        <v>2000</v>
      </c>
      <c r="Q6" s="244"/>
      <c r="R6" s="244"/>
      <c r="S6" s="244"/>
      <c r="T6" s="244"/>
      <c r="U6" s="244"/>
      <c r="V6" s="244"/>
      <c r="AA6" s="241">
        <v>6392246</v>
      </c>
      <c r="AB6" s="241">
        <v>22900</v>
      </c>
      <c r="AC6" s="244">
        <f t="shared" si="1"/>
        <v>3.5824653807128197E-3</v>
      </c>
      <c r="AD6" s="241">
        <v>6384858</v>
      </c>
      <c r="AE6" s="241">
        <v>24313</v>
      </c>
      <c r="AF6" s="244">
        <f t="shared" si="0"/>
        <v>3.8079155401733286E-3</v>
      </c>
    </row>
    <row r="7" spans="1:32" ht="18" customHeight="1">
      <c r="B7" s="625" t="s">
        <v>1992</v>
      </c>
      <c r="C7" s="625"/>
      <c r="D7" s="625"/>
      <c r="E7" s="625"/>
      <c r="F7" s="625"/>
      <c r="G7" s="625" t="s">
        <v>1993</v>
      </c>
      <c r="H7" s="625"/>
      <c r="I7" s="625"/>
      <c r="J7" s="625"/>
      <c r="K7" s="625"/>
      <c r="M7" s="624"/>
      <c r="N7" s="624"/>
      <c r="O7" s="624"/>
      <c r="P7" s="243">
        <v>2001</v>
      </c>
      <c r="Q7" s="244"/>
      <c r="R7" s="244"/>
      <c r="S7" s="244"/>
      <c r="T7" s="244"/>
      <c r="U7" s="244"/>
      <c r="V7" s="244"/>
      <c r="AA7" s="241">
        <v>6353361</v>
      </c>
      <c r="AB7" s="241">
        <v>-386012</v>
      </c>
      <c r="AC7" s="244">
        <f t="shared" si="1"/>
        <v>-6.0757133114268183E-2</v>
      </c>
      <c r="AD7" s="241">
        <v>6297303</v>
      </c>
      <c r="AE7" s="241">
        <v>-382616</v>
      </c>
      <c r="AF7" s="244">
        <f t="shared" si="0"/>
        <v>-6.0758708926662734E-2</v>
      </c>
    </row>
    <row r="8" spans="1:32" ht="18" customHeight="1">
      <c r="A8" s="471">
        <v>2023</v>
      </c>
      <c r="B8" s="293" t="s">
        <v>12</v>
      </c>
      <c r="C8" s="251">
        <v>4683000</v>
      </c>
      <c r="D8" s="251">
        <v>1748090</v>
      </c>
      <c r="E8" s="251">
        <f>12*SUM(C8:D8)</f>
        <v>77173080</v>
      </c>
      <c r="F8" s="472" t="s">
        <v>1984</v>
      </c>
      <c r="G8" s="293" t="s">
        <v>12</v>
      </c>
      <c r="H8" s="251">
        <v>4683000</v>
      </c>
      <c r="I8" s="251">
        <v>1748090</v>
      </c>
      <c r="J8" s="251">
        <f>12*SUM(H8:I8)</f>
        <v>77173080</v>
      </c>
      <c r="K8" s="472" t="s">
        <v>1984</v>
      </c>
      <c r="M8" s="624"/>
      <c r="N8" s="624"/>
      <c r="O8" s="624"/>
      <c r="P8" s="243">
        <v>2002</v>
      </c>
      <c r="Q8" s="244"/>
      <c r="R8" s="244"/>
      <c r="S8" s="244"/>
      <c r="T8" s="244"/>
      <c r="U8" s="244"/>
      <c r="V8" s="244"/>
      <c r="AA8" s="241">
        <v>5478998</v>
      </c>
      <c r="AB8" s="241">
        <v>175327</v>
      </c>
      <c r="AC8" s="244">
        <f t="shared" si="1"/>
        <v>3.1999829165843825E-2</v>
      </c>
      <c r="AD8" s="241">
        <v>5443359</v>
      </c>
      <c r="AE8" s="241">
        <v>195421</v>
      </c>
      <c r="AF8" s="244">
        <f t="shared" si="0"/>
        <v>3.5900810510568933E-2</v>
      </c>
    </row>
    <row r="9" spans="1:32" ht="18" customHeight="1">
      <c r="A9" s="471">
        <v>2024</v>
      </c>
      <c r="B9" s="473">
        <v>3.3000000000000002E-2</v>
      </c>
      <c r="C9" s="251">
        <v>4837000</v>
      </c>
      <c r="D9" s="251">
        <v>1806340</v>
      </c>
      <c r="E9" s="251">
        <f t="shared" ref="E9:E11" si="2">12*SUM(C9:D9)</f>
        <v>79720080</v>
      </c>
      <c r="F9" s="472" t="s">
        <v>1984</v>
      </c>
      <c r="G9" s="473">
        <v>3.3000000000000002E-2</v>
      </c>
      <c r="H9" s="251">
        <v>4837000</v>
      </c>
      <c r="I9" s="251">
        <v>1806340</v>
      </c>
      <c r="J9" s="251">
        <f t="shared" ref="J9:J11" si="3">12*SUM(H9:I9)</f>
        <v>79720080</v>
      </c>
      <c r="K9" s="472" t="s">
        <v>1984</v>
      </c>
      <c r="M9" s="624"/>
      <c r="N9" s="624"/>
      <c r="O9" s="624"/>
      <c r="P9" s="243">
        <v>2003</v>
      </c>
      <c r="Q9" s="244"/>
      <c r="R9" s="244"/>
      <c r="S9" s="244"/>
      <c r="T9" s="244"/>
      <c r="U9" s="244"/>
      <c r="V9" s="244"/>
      <c r="W9" s="245"/>
      <c r="X9" s="245"/>
      <c r="AA9" s="241">
        <v>5348327</v>
      </c>
      <c r="AB9" s="241">
        <v>318102</v>
      </c>
      <c r="AC9" s="244">
        <f t="shared" si="1"/>
        <v>5.9476916800337752E-2</v>
      </c>
      <c r="AD9" s="241">
        <v>5152272</v>
      </c>
      <c r="AE9" s="241">
        <v>307125</v>
      </c>
      <c r="AF9" s="244">
        <f t="shared" si="0"/>
        <v>5.9609624647145955E-2</v>
      </c>
    </row>
    <row r="10" spans="1:32" ht="18" customHeight="1">
      <c r="A10" s="471">
        <v>2025</v>
      </c>
      <c r="B10" s="473">
        <v>2.7E-2</v>
      </c>
      <c r="C10" s="251">
        <v>4968000</v>
      </c>
      <c r="D10" s="251">
        <v>1854750</v>
      </c>
      <c r="E10" s="251">
        <f t="shared" si="2"/>
        <v>81873000</v>
      </c>
      <c r="F10" s="471" t="s">
        <v>3343</v>
      </c>
      <c r="G10" s="473">
        <v>2.7E-2</v>
      </c>
      <c r="H10" s="251">
        <v>4968000</v>
      </c>
      <c r="I10" s="251">
        <v>1854750</v>
      </c>
      <c r="J10" s="251">
        <f t="shared" si="3"/>
        <v>81873000</v>
      </c>
      <c r="K10" s="472" t="s">
        <v>3343</v>
      </c>
      <c r="L10" s="293" t="s">
        <v>3344</v>
      </c>
      <c r="M10" s="624"/>
      <c r="N10" s="624"/>
      <c r="O10" s="624"/>
      <c r="P10" s="243">
        <v>2004</v>
      </c>
      <c r="Q10" s="244"/>
      <c r="R10" s="244"/>
      <c r="S10" s="244"/>
      <c r="T10" s="244"/>
      <c r="U10" s="244"/>
      <c r="V10" s="244"/>
      <c r="AA10" s="241">
        <v>4854095</v>
      </c>
      <c r="AB10" s="241">
        <v>329329</v>
      </c>
      <c r="AC10" s="244">
        <f t="shared" si="1"/>
        <v>6.7845602527350612E-2</v>
      </c>
      <c r="AD10" s="241">
        <v>4646116</v>
      </c>
      <c r="AE10" s="241">
        <v>316074</v>
      </c>
      <c r="AF10" s="244">
        <f t="shared" si="0"/>
        <v>6.8029726334856905E-2</v>
      </c>
    </row>
    <row r="11" spans="1:32" ht="18" customHeight="1">
      <c r="A11" s="471">
        <v>2026</v>
      </c>
      <c r="B11" s="473">
        <v>0.06</v>
      </c>
      <c r="C11" s="251">
        <v>5077000</v>
      </c>
      <c r="D11" s="251">
        <v>1895750</v>
      </c>
      <c r="E11" s="251">
        <f t="shared" si="2"/>
        <v>83673000</v>
      </c>
      <c r="F11" s="471"/>
      <c r="G11" s="473">
        <v>0.06</v>
      </c>
      <c r="H11" s="251">
        <v>5382000</v>
      </c>
      <c r="I11" s="251">
        <v>2009170</v>
      </c>
      <c r="J11" s="251">
        <f t="shared" si="3"/>
        <v>88694040</v>
      </c>
      <c r="K11" s="471" t="s">
        <v>1985</v>
      </c>
      <c r="M11" s="624"/>
      <c r="N11" s="624"/>
      <c r="O11" s="624"/>
      <c r="P11" s="243">
        <v>2005</v>
      </c>
      <c r="Q11" s="244"/>
      <c r="R11" s="244"/>
      <c r="S11" s="244"/>
      <c r="T11" s="244"/>
      <c r="U11" s="244"/>
      <c r="V11" s="244"/>
      <c r="AA11" s="241">
        <v>4547182</v>
      </c>
      <c r="AB11" s="241">
        <v>451490</v>
      </c>
      <c r="AC11" s="244">
        <f t="shared" si="1"/>
        <v>9.9290065803392086E-2</v>
      </c>
      <c r="AD11" s="241">
        <v>4285136</v>
      </c>
      <c r="AE11" s="241">
        <v>436220</v>
      </c>
      <c r="AF11" s="244">
        <f t="shared" si="0"/>
        <v>0.10179840266446619</v>
      </c>
    </row>
    <row r="12" spans="1:32" ht="18" customHeight="1">
      <c r="A12" s="510">
        <v>2023</v>
      </c>
      <c r="B12" s="511" t="s">
        <v>13</v>
      </c>
      <c r="C12" s="512">
        <v>5459000</v>
      </c>
      <c r="D12" s="512">
        <v>2037920</v>
      </c>
      <c r="E12" s="512">
        <f>12*SUM(C12:D12)</f>
        <v>89963040</v>
      </c>
      <c r="F12" s="510"/>
      <c r="G12" s="511" t="s">
        <v>13</v>
      </c>
      <c r="H12" s="512">
        <v>5459000</v>
      </c>
      <c r="I12" s="512">
        <v>2037920</v>
      </c>
      <c r="J12" s="512">
        <f>12*SUM(H12:I12)</f>
        <v>89963040</v>
      </c>
      <c r="K12" s="510"/>
      <c r="L12" s="513"/>
      <c r="M12" s="624"/>
      <c r="N12" s="624"/>
      <c r="O12" s="624"/>
      <c r="P12" s="243">
        <v>2006</v>
      </c>
      <c r="Q12" s="244"/>
      <c r="R12" s="244"/>
      <c r="S12" s="244"/>
      <c r="T12" s="244"/>
      <c r="U12" s="244"/>
      <c r="V12" s="244"/>
      <c r="AA12" s="241">
        <v>5449871</v>
      </c>
      <c r="AB12" s="241">
        <v>419123</v>
      </c>
      <c r="AC12" s="244">
        <f t="shared" si="1"/>
        <v>7.6905123075390228E-2</v>
      </c>
      <c r="AD12" s="241">
        <v>5084898</v>
      </c>
      <c r="AE12" s="241">
        <v>394386</v>
      </c>
      <c r="AF12" s="244">
        <f t="shared" si="0"/>
        <v>7.7560257845880096E-2</v>
      </c>
    </row>
    <row r="13" spans="1:32" ht="18" customHeight="1">
      <c r="A13" s="471">
        <v>2024</v>
      </c>
      <c r="B13" s="473">
        <v>3.2000000000000001E-2</v>
      </c>
      <c r="C13" s="251">
        <v>5634000</v>
      </c>
      <c r="D13" s="251">
        <v>2102840</v>
      </c>
      <c r="E13" s="251">
        <f t="shared" ref="E13:E23" si="4">12*SUM(C13:D13)</f>
        <v>92842080</v>
      </c>
      <c r="F13" s="471"/>
      <c r="G13" s="473">
        <v>3.2000000000000001E-2</v>
      </c>
      <c r="H13" s="251">
        <v>5634000</v>
      </c>
      <c r="I13" s="251">
        <v>2102840</v>
      </c>
      <c r="J13" s="251">
        <f t="shared" ref="J13:J23" si="5">12*SUM(H13:I13)</f>
        <v>92842080</v>
      </c>
      <c r="K13" s="471"/>
      <c r="M13" s="624"/>
      <c r="N13" s="624"/>
      <c r="O13" s="624"/>
      <c r="P13" s="243">
        <v>2007</v>
      </c>
      <c r="Q13" s="244"/>
      <c r="R13" s="244"/>
      <c r="S13" s="244"/>
      <c r="T13" s="244"/>
      <c r="U13" s="244"/>
      <c r="V13" s="244"/>
      <c r="W13" s="245"/>
      <c r="X13" s="245"/>
      <c r="AA13" s="241">
        <v>6076052</v>
      </c>
      <c r="AB13" s="241">
        <v>398289</v>
      </c>
      <c r="AC13" s="244">
        <f t="shared" si="1"/>
        <v>6.5550623990709753E-2</v>
      </c>
      <c r="AD13" s="241">
        <v>5649098</v>
      </c>
      <c r="AE13" s="241">
        <v>362055</v>
      </c>
      <c r="AF13" s="244">
        <f t="shared" si="0"/>
        <v>6.4090762808505009E-2</v>
      </c>
    </row>
    <row r="14" spans="1:32" ht="18" customHeight="1">
      <c r="A14" s="471">
        <v>2025</v>
      </c>
      <c r="B14" s="473">
        <v>2.7E-2</v>
      </c>
      <c r="C14" s="251">
        <v>5786000</v>
      </c>
      <c r="D14" s="251">
        <v>2159750</v>
      </c>
      <c r="E14" s="251">
        <f t="shared" si="4"/>
        <v>95349000</v>
      </c>
      <c r="F14" s="471"/>
      <c r="G14" s="473">
        <v>2.7E-2</v>
      </c>
      <c r="H14" s="251">
        <v>5786000</v>
      </c>
      <c r="I14" s="251">
        <v>2159750</v>
      </c>
      <c r="J14" s="251">
        <f t="shared" si="5"/>
        <v>95349000</v>
      </c>
      <c r="K14" s="471"/>
      <c r="M14" s="624"/>
      <c r="N14" s="624"/>
      <c r="O14" s="624"/>
      <c r="P14" s="243">
        <v>2008</v>
      </c>
      <c r="Q14" s="244"/>
      <c r="R14" s="244"/>
      <c r="S14" s="244"/>
      <c r="T14" s="244"/>
      <c r="U14" s="244"/>
      <c r="V14" s="244"/>
      <c r="W14" s="245"/>
      <c r="X14" s="245"/>
      <c r="AA14" s="241">
        <v>8036494</v>
      </c>
      <c r="AB14" s="241">
        <v>566903</v>
      </c>
      <c r="AC14" s="244">
        <f t="shared" si="1"/>
        <v>7.0541084209109095E-2</v>
      </c>
      <c r="AD14" s="241">
        <v>7271097</v>
      </c>
      <c r="AE14" s="241">
        <v>480206</v>
      </c>
      <c r="AF14" s="244">
        <f t="shared" si="0"/>
        <v>6.6043129392992561E-2</v>
      </c>
    </row>
    <row r="15" spans="1:32" ht="18" customHeight="1">
      <c r="A15" s="471">
        <v>2026</v>
      </c>
      <c r="B15" s="242"/>
      <c r="E15" s="241">
        <f t="shared" si="4"/>
        <v>0</v>
      </c>
      <c r="F15" s="471"/>
      <c r="G15" s="473">
        <v>0.04</v>
      </c>
      <c r="H15" s="251">
        <v>6017000</v>
      </c>
      <c r="I15" s="251">
        <v>2246590</v>
      </c>
      <c r="J15" s="251">
        <f t="shared" si="5"/>
        <v>99163080</v>
      </c>
      <c r="K15" s="471"/>
      <c r="M15" s="624"/>
      <c r="N15" s="624"/>
      <c r="O15" s="624"/>
      <c r="P15" s="243">
        <v>2009</v>
      </c>
      <c r="Q15" s="244"/>
      <c r="R15" s="244"/>
      <c r="S15" s="244"/>
      <c r="T15" s="244"/>
      <c r="U15" s="244"/>
      <c r="V15" s="244"/>
      <c r="W15" s="245"/>
      <c r="X15" s="245"/>
      <c r="AA15" s="241">
        <v>10390595</v>
      </c>
      <c r="AB15" s="241">
        <v>581041</v>
      </c>
      <c r="AC15" s="244">
        <f t="shared" si="1"/>
        <v>5.5919896791280961E-2</v>
      </c>
      <c r="AD15" s="241">
        <v>9278579</v>
      </c>
      <c r="AE15" s="241">
        <v>418861</v>
      </c>
      <c r="AF15" s="244">
        <f t="shared" si="0"/>
        <v>4.5142796111344204E-2</v>
      </c>
    </row>
    <row r="16" spans="1:32" ht="18" customHeight="1" thickBot="1">
      <c r="A16" s="471">
        <v>2027</v>
      </c>
      <c r="B16" s="242"/>
      <c r="E16" s="241">
        <f t="shared" si="4"/>
        <v>0</v>
      </c>
      <c r="F16" s="471"/>
      <c r="G16" s="242">
        <v>0.03</v>
      </c>
      <c r="H16" s="241">
        <v>6140000</v>
      </c>
      <c r="I16" s="241">
        <v>2289660</v>
      </c>
      <c r="J16" s="241">
        <f t="shared" si="5"/>
        <v>101155920</v>
      </c>
      <c r="K16" s="471" t="s">
        <v>3343</v>
      </c>
      <c r="L16" s="293" t="s">
        <v>3344</v>
      </c>
      <c r="M16" s="624"/>
      <c r="N16" s="624"/>
      <c r="O16" s="624"/>
      <c r="P16" s="246">
        <v>2010</v>
      </c>
      <c r="Q16" s="247"/>
      <c r="R16" s="247"/>
      <c r="S16" s="247"/>
      <c r="T16" s="247"/>
      <c r="U16" s="247"/>
      <c r="V16" s="247"/>
      <c r="W16" s="248"/>
      <c r="X16" s="248"/>
      <c r="Y16" s="249"/>
      <c r="Z16" s="249"/>
      <c r="AA16" s="249">
        <v>11217013</v>
      </c>
      <c r="AB16" s="249">
        <v>755302</v>
      </c>
      <c r="AC16" s="247">
        <f t="shared" si="1"/>
        <v>6.7335394904151399E-2</v>
      </c>
      <c r="AD16" s="249">
        <v>10004558</v>
      </c>
      <c r="AE16" s="249">
        <v>584269</v>
      </c>
      <c r="AF16" s="247">
        <f t="shared" si="0"/>
        <v>5.8400281151850988E-2</v>
      </c>
    </row>
    <row r="17" spans="1:32" ht="18" customHeight="1">
      <c r="A17" s="471">
        <v>2028</v>
      </c>
      <c r="B17" s="242"/>
      <c r="C17" s="241">
        <v>6249000</v>
      </c>
      <c r="D17" s="241">
        <v>2330660</v>
      </c>
      <c r="E17" s="241">
        <f t="shared" si="4"/>
        <v>102955920</v>
      </c>
      <c r="F17" s="471"/>
      <c r="G17" s="242">
        <v>4.4999999999999998E-2</v>
      </c>
      <c r="H17" s="241">
        <f>6416000+109000</f>
        <v>6525000</v>
      </c>
      <c r="I17" s="241">
        <f>2393000+41000</f>
        <v>2434000</v>
      </c>
      <c r="J17" s="241">
        <f t="shared" si="5"/>
        <v>107508000</v>
      </c>
      <c r="K17" s="471" t="s">
        <v>3343</v>
      </c>
      <c r="L17" s="293" t="s">
        <v>3344</v>
      </c>
      <c r="M17" s="624"/>
      <c r="N17" s="624"/>
      <c r="O17" s="624"/>
      <c r="P17" s="243">
        <v>2011</v>
      </c>
      <c r="Q17" s="244"/>
      <c r="R17" s="244"/>
      <c r="S17" s="244"/>
      <c r="T17" s="244"/>
      <c r="U17" s="244"/>
      <c r="V17" s="244"/>
      <c r="W17" s="245"/>
      <c r="X17" s="245"/>
      <c r="AA17" s="241">
        <v>11920167</v>
      </c>
      <c r="AB17" s="241">
        <v>735596</v>
      </c>
      <c r="AC17" s="244">
        <f t="shared" si="1"/>
        <v>6.171020926132998E-2</v>
      </c>
      <c r="AD17" s="241">
        <v>10104552</v>
      </c>
      <c r="AE17" s="241">
        <v>496979</v>
      </c>
      <c r="AF17" s="244">
        <f t="shared" si="0"/>
        <v>4.9183674842783728E-2</v>
      </c>
    </row>
    <row r="18" spans="1:32" ht="18" customHeight="1">
      <c r="A18" s="471">
        <v>2029</v>
      </c>
      <c r="B18" s="242"/>
      <c r="C18" s="241">
        <v>6634000</v>
      </c>
      <c r="D18" s="241">
        <v>2475000</v>
      </c>
      <c r="E18" s="241">
        <f t="shared" si="4"/>
        <v>109308000</v>
      </c>
      <c r="F18" s="471"/>
      <c r="G18" s="242">
        <v>4.4999999999999998E-2</v>
      </c>
      <c r="H18" s="241">
        <f>6819000+109000</f>
        <v>6928000</v>
      </c>
      <c r="I18" s="241">
        <f>2543160+41000</f>
        <v>2584160</v>
      </c>
      <c r="J18" s="241">
        <f t="shared" si="5"/>
        <v>114145920</v>
      </c>
      <c r="K18" s="471" t="s">
        <v>3439</v>
      </c>
      <c r="L18" s="293" t="s">
        <v>3447</v>
      </c>
      <c r="M18" s="624"/>
      <c r="N18" s="624"/>
      <c r="O18" s="624"/>
      <c r="P18" s="243">
        <v>2012</v>
      </c>
      <c r="Q18" s="244"/>
      <c r="R18" s="244"/>
      <c r="S18" s="244"/>
      <c r="T18" s="244"/>
      <c r="U18" s="244"/>
      <c r="V18" s="244"/>
      <c r="W18" s="245"/>
      <c r="X18" s="245"/>
      <c r="AA18" s="241">
        <v>13324821</v>
      </c>
      <c r="AB18" s="241">
        <v>760408</v>
      </c>
      <c r="AC18" s="244">
        <f t="shared" si="1"/>
        <v>5.706703302055615E-2</v>
      </c>
      <c r="AD18" s="241">
        <v>10433442</v>
      </c>
      <c r="AE18" s="241">
        <v>415634</v>
      </c>
      <c r="AF18" s="244">
        <f t="shared" si="0"/>
        <v>3.9836709687943825E-2</v>
      </c>
    </row>
    <row r="19" spans="1:32" ht="18" customHeight="1">
      <c r="A19" s="471">
        <v>2030</v>
      </c>
      <c r="B19" s="242"/>
      <c r="C19" s="241">
        <f>6928000+91000</f>
        <v>7019000</v>
      </c>
      <c r="D19" s="241">
        <f>2584160+34000</f>
        <v>2618160</v>
      </c>
      <c r="E19" s="241">
        <f t="shared" si="4"/>
        <v>115645920</v>
      </c>
      <c r="F19" s="471"/>
      <c r="G19" s="242">
        <v>3.5999999999999997E-2</v>
      </c>
      <c r="H19" s="241">
        <f>7177000+91000</f>
        <v>7268000</v>
      </c>
      <c r="I19" s="241">
        <f>2677600+34000</f>
        <v>2711600</v>
      </c>
      <c r="J19" s="241">
        <f t="shared" si="5"/>
        <v>119755200</v>
      </c>
      <c r="K19" s="471" t="s">
        <v>1985</v>
      </c>
      <c r="L19" s="241" t="s">
        <v>3448</v>
      </c>
      <c r="M19" s="624"/>
      <c r="N19" s="624"/>
      <c r="O19" s="624"/>
      <c r="P19" s="243">
        <v>2013</v>
      </c>
      <c r="Q19" s="244"/>
      <c r="R19" s="244"/>
      <c r="S19" s="244"/>
      <c r="T19" s="244"/>
      <c r="U19" s="244"/>
      <c r="V19" s="244"/>
      <c r="W19" s="245"/>
      <c r="X19" s="245"/>
      <c r="AA19" s="241">
        <v>13852042</v>
      </c>
      <c r="AB19" s="241">
        <v>704097</v>
      </c>
      <c r="AC19" s="244">
        <f t="shared" si="1"/>
        <v>5.0829834330562956E-2</v>
      </c>
      <c r="AD19" s="241">
        <v>10538677</v>
      </c>
      <c r="AE19" s="241">
        <v>423978</v>
      </c>
      <c r="AF19" s="244">
        <f t="shared" si="0"/>
        <v>4.0230666524839885E-2</v>
      </c>
    </row>
    <row r="20" spans="1:32" ht="18" customHeight="1">
      <c r="A20" s="471">
        <v>2031</v>
      </c>
      <c r="C20" s="241">
        <f>7268000+127000</f>
        <v>7395000</v>
      </c>
      <c r="D20" s="241">
        <f>2711600+48000</f>
        <v>2759600</v>
      </c>
      <c r="E20" s="241">
        <f t="shared" si="4"/>
        <v>121855200</v>
      </c>
      <c r="F20" s="471"/>
      <c r="G20" s="242">
        <v>0.06</v>
      </c>
      <c r="H20" s="241">
        <f>7704000+127000</f>
        <v>7831000</v>
      </c>
      <c r="I20" s="241">
        <f>2874380+48000</f>
        <v>2922380</v>
      </c>
      <c r="J20" s="241">
        <f t="shared" si="5"/>
        <v>129040560</v>
      </c>
      <c r="K20" s="471"/>
      <c r="M20" s="624">
        <v>2.3E-2</v>
      </c>
      <c r="N20" s="624"/>
      <c r="O20" s="624"/>
      <c r="P20" s="243">
        <v>2014</v>
      </c>
      <c r="Q20" s="244"/>
      <c r="R20" s="244"/>
      <c r="S20" s="244"/>
      <c r="T20" s="244"/>
      <c r="U20" s="244"/>
      <c r="V20" s="244"/>
      <c r="W20" s="245"/>
      <c r="X20" s="245"/>
      <c r="AA20" s="241">
        <v>17276480</v>
      </c>
      <c r="AB20" s="241">
        <v>829195</v>
      </c>
      <c r="AC20" s="244">
        <f t="shared" si="1"/>
        <v>4.79955986404638E-2</v>
      </c>
      <c r="AD20" s="241">
        <v>10667060</v>
      </c>
      <c r="AE20" s="241">
        <v>370242</v>
      </c>
      <c r="AF20" s="244">
        <f t="shared" si="0"/>
        <v>3.4708907609031919E-2</v>
      </c>
    </row>
    <row r="21" spans="1:32" ht="18" customHeight="1">
      <c r="A21" s="471">
        <v>2032</v>
      </c>
      <c r="E21" s="241">
        <f t="shared" si="4"/>
        <v>0</v>
      </c>
      <c r="F21" s="471"/>
      <c r="J21" s="241">
        <f t="shared" si="5"/>
        <v>0</v>
      </c>
      <c r="K21" s="471"/>
      <c r="M21" s="624">
        <v>0</v>
      </c>
      <c r="N21" s="624"/>
      <c r="O21" s="624"/>
      <c r="P21" s="243">
        <v>2015</v>
      </c>
      <c r="Q21" s="244"/>
      <c r="R21" s="244"/>
      <c r="S21" s="244"/>
      <c r="T21" s="244"/>
      <c r="U21" s="244"/>
      <c r="V21" s="244"/>
      <c r="W21" s="244">
        <f>Z21/Y21</f>
        <v>0.15090410185480341</v>
      </c>
      <c r="X21" s="244">
        <f>IF(Y21="","",Z21/Y21)</f>
        <v>0.15090410185480341</v>
      </c>
      <c r="Y21" s="241">
        <f>3701740*12</f>
        <v>44420880</v>
      </c>
      <c r="Z21" s="241">
        <v>6703293</v>
      </c>
      <c r="AA21" s="241">
        <v>19233180</v>
      </c>
      <c r="AB21" s="241">
        <v>1089328</v>
      </c>
      <c r="AC21" s="244">
        <f t="shared" si="1"/>
        <v>5.6637955865852657E-2</v>
      </c>
      <c r="AD21" s="241">
        <v>10716337</v>
      </c>
      <c r="AE21" s="241">
        <v>516166</v>
      </c>
      <c r="AF21" s="244">
        <f t="shared" si="0"/>
        <v>4.8166271740054459E-2</v>
      </c>
    </row>
    <row r="22" spans="1:32" ht="18" customHeight="1">
      <c r="A22" s="471">
        <v>2033</v>
      </c>
      <c r="E22" s="241">
        <f t="shared" si="4"/>
        <v>0</v>
      </c>
      <c r="F22" s="471"/>
      <c r="J22" s="241">
        <f t="shared" si="5"/>
        <v>0</v>
      </c>
      <c r="K22" s="471"/>
      <c r="M22" s="624">
        <v>0</v>
      </c>
      <c r="N22" s="624"/>
      <c r="O22" s="624"/>
      <c r="P22" s="243">
        <v>2016</v>
      </c>
      <c r="Q22" s="244"/>
      <c r="R22" s="244"/>
      <c r="S22" s="244"/>
      <c r="T22" s="244"/>
      <c r="U22" s="244"/>
      <c r="V22" s="244"/>
      <c r="W22" s="244">
        <f>Z22/Y22</f>
        <v>0.13437595112928874</v>
      </c>
      <c r="X22" s="244">
        <f t="shared" ref="X22:X32" si="6">IF(Y22="","",Z22/Y22)</f>
        <v>0.13437595112928874</v>
      </c>
      <c r="Y22" s="241">
        <f>3701740*12</f>
        <v>44420880</v>
      </c>
      <c r="Z22" s="241">
        <v>5969098</v>
      </c>
      <c r="AA22" s="241">
        <v>18825015</v>
      </c>
      <c r="AB22" s="241">
        <v>1158959</v>
      </c>
      <c r="AC22" s="244">
        <f t="shared" si="1"/>
        <v>6.1564838062546035E-2</v>
      </c>
      <c r="AD22" s="241">
        <v>11041077</v>
      </c>
      <c r="AE22" s="241">
        <v>589718</v>
      </c>
      <c r="AF22" s="244">
        <f t="shared" si="0"/>
        <v>5.341127500514669E-2</v>
      </c>
    </row>
    <row r="23" spans="1:32" ht="18" customHeight="1">
      <c r="A23" s="471">
        <v>2034</v>
      </c>
      <c r="E23" s="241">
        <f t="shared" si="4"/>
        <v>0</v>
      </c>
      <c r="F23" s="471"/>
      <c r="J23" s="241">
        <f t="shared" si="5"/>
        <v>0</v>
      </c>
      <c r="K23" s="471"/>
      <c r="M23" s="624">
        <v>0</v>
      </c>
      <c r="N23" s="624"/>
      <c r="O23" s="624"/>
      <c r="P23" s="243">
        <v>2017</v>
      </c>
      <c r="Q23" s="244"/>
      <c r="R23" s="244"/>
      <c r="S23" s="244"/>
      <c r="T23" s="244"/>
      <c r="U23" s="244"/>
      <c r="V23" s="244"/>
      <c r="W23" s="244">
        <f>Z23/Y23</f>
        <v>0.14589996866338534</v>
      </c>
      <c r="X23" s="244">
        <f t="shared" si="6"/>
        <v>0.14589996866338534</v>
      </c>
      <c r="Y23" s="241">
        <f>3701740*12</f>
        <v>44420880</v>
      </c>
      <c r="Z23" s="241">
        <v>6481005</v>
      </c>
      <c r="AA23" s="241">
        <v>16887090</v>
      </c>
      <c r="AB23" s="241">
        <v>986105</v>
      </c>
      <c r="AC23" s="244">
        <f t="shared" si="1"/>
        <v>5.839401578365485E-2</v>
      </c>
      <c r="AD23" s="241">
        <v>10167960</v>
      </c>
      <c r="AE23" s="241">
        <v>418815</v>
      </c>
      <c r="AF23" s="244">
        <f t="shared" si="0"/>
        <v>4.1189678165531728E-2</v>
      </c>
    </row>
    <row r="24" spans="1:32" ht="18" customHeight="1">
      <c r="M24" s="624">
        <v>0.02</v>
      </c>
      <c r="N24" s="624"/>
      <c r="O24" s="624"/>
      <c r="P24" s="243">
        <v>2018</v>
      </c>
      <c r="Q24" s="244"/>
      <c r="R24" s="244"/>
      <c r="S24" s="244"/>
      <c r="T24" s="244"/>
      <c r="U24" s="244"/>
      <c r="V24" s="244"/>
      <c r="W24" s="244">
        <v>0.16869999999999999</v>
      </c>
      <c r="X24" s="244">
        <f t="shared" si="6"/>
        <v>0.11519998976216222</v>
      </c>
      <c r="Y24" s="241">
        <f>4688490*12</f>
        <v>56261880</v>
      </c>
      <c r="Z24" s="241">
        <v>6481368</v>
      </c>
      <c r="AA24" s="241">
        <v>16730894</v>
      </c>
      <c r="AB24" s="241">
        <v>839989</v>
      </c>
      <c r="AC24" s="244">
        <f t="shared" si="1"/>
        <v>5.0205864671666676E-2</v>
      </c>
      <c r="AD24" s="241">
        <v>10016133</v>
      </c>
      <c r="AE24" s="241">
        <v>304923</v>
      </c>
      <c r="AF24" s="244">
        <f t="shared" si="0"/>
        <v>3.0443186008013271E-2</v>
      </c>
    </row>
    <row r="25" spans="1:32" ht="18" customHeight="1">
      <c r="M25" s="624">
        <v>1.4999999999999999E-2</v>
      </c>
      <c r="N25" s="624"/>
      <c r="O25" s="624"/>
      <c r="P25" s="243">
        <v>2019</v>
      </c>
      <c r="Q25" s="244"/>
      <c r="R25" s="244"/>
      <c r="S25" s="244"/>
      <c r="T25" s="244"/>
      <c r="U25" s="244"/>
      <c r="V25" s="244"/>
      <c r="W25" s="244">
        <v>0.1401</v>
      </c>
      <c r="X25" s="244">
        <f t="shared" si="6"/>
        <v>0.1119998090195734</v>
      </c>
      <c r="Y25" s="241">
        <f>4782340*12</f>
        <v>57388080</v>
      </c>
      <c r="Z25" s="241">
        <v>6427454</v>
      </c>
      <c r="AA25" s="241">
        <v>17278792</v>
      </c>
      <c r="AB25" s="241">
        <v>859667</v>
      </c>
      <c r="AC25" s="244">
        <f t="shared" si="1"/>
        <v>4.9752725769255164E-2</v>
      </c>
      <c r="AD25" s="241">
        <v>10014658</v>
      </c>
      <c r="AE25" s="241">
        <v>370564</v>
      </c>
      <c r="AF25" s="244">
        <f t="shared" si="0"/>
        <v>3.7002162230602383E-2</v>
      </c>
    </row>
    <row r="26" spans="1:32" ht="18" customHeight="1">
      <c r="H26" s="241">
        <f>H15*1.054</f>
        <v>6341918</v>
      </c>
      <c r="I26" s="241">
        <f>I15*1.054</f>
        <v>2367905.8600000003</v>
      </c>
      <c r="M26" s="624">
        <v>4.0000000000000001E-3</v>
      </c>
      <c r="N26" s="624"/>
      <c r="O26" s="624"/>
      <c r="P26" s="243">
        <v>2020</v>
      </c>
      <c r="Q26" s="244">
        <v>0.13600000000000001</v>
      </c>
      <c r="R26" s="244">
        <v>0.16400000000000001</v>
      </c>
      <c r="S26" s="244">
        <v>0.17699999999999999</v>
      </c>
      <c r="T26" s="244">
        <v>0.13800000000000001</v>
      </c>
      <c r="U26" s="244"/>
      <c r="V26" s="244">
        <v>0.154</v>
      </c>
      <c r="W26" s="244">
        <v>0.154</v>
      </c>
      <c r="X26" s="244">
        <f t="shared" si="6"/>
        <v>0.13808746850594036</v>
      </c>
      <c r="Y26" s="241">
        <f>4854090*12</f>
        <v>58249080</v>
      </c>
      <c r="Z26" s="241">
        <v>8043468</v>
      </c>
      <c r="AA26" s="241">
        <v>16970859</v>
      </c>
      <c r="AB26" s="241">
        <v>548972</v>
      </c>
      <c r="AC26" s="244">
        <f t="shared" si="1"/>
        <v>3.2347920632656249E-2</v>
      </c>
      <c r="AD26" s="241">
        <v>9320113</v>
      </c>
      <c r="AE26" s="241">
        <v>236363</v>
      </c>
      <c r="AF26" s="244">
        <f t="shared" si="0"/>
        <v>2.5360529427057375E-2</v>
      </c>
    </row>
    <row r="27" spans="1:32" ht="18" customHeight="1">
      <c r="H27" s="241">
        <v>6374000</v>
      </c>
      <c r="I27" s="241">
        <v>2378330</v>
      </c>
      <c r="M27" s="244">
        <v>2.3E-2</v>
      </c>
      <c r="N27" s="244">
        <v>2.1999999999999999E-2</v>
      </c>
      <c r="O27" s="244">
        <v>2.1000000000000001E-2</v>
      </c>
      <c r="P27" s="243">
        <v>2021</v>
      </c>
      <c r="Q27" s="244">
        <v>8.8999999999999996E-2</v>
      </c>
      <c r="R27" s="244">
        <v>0.11600000000000001</v>
      </c>
      <c r="S27" s="244">
        <v>0.122</v>
      </c>
      <c r="T27" s="244">
        <v>9.7000000000000003E-2</v>
      </c>
      <c r="U27" s="244"/>
      <c r="V27" s="244">
        <v>0.106</v>
      </c>
      <c r="W27" s="244">
        <v>0.106</v>
      </c>
      <c r="X27" s="244">
        <f t="shared" si="6"/>
        <v>0.106</v>
      </c>
      <c r="Y27" s="241">
        <f>4873500*12</f>
        <v>58482000</v>
      </c>
      <c r="Z27" s="241">
        <v>6199092</v>
      </c>
      <c r="AA27" s="241">
        <v>18065534</v>
      </c>
      <c r="AB27" s="241">
        <v>753504</v>
      </c>
      <c r="AC27" s="244">
        <f t="shared" si="1"/>
        <v>4.1709478391283646E-2</v>
      </c>
      <c r="AD27" s="241">
        <v>10246315</v>
      </c>
      <c r="AE27" s="241">
        <v>305119</v>
      </c>
      <c r="AF27" s="244">
        <f t="shared" si="0"/>
        <v>2.9778413019705133E-2</v>
      </c>
    </row>
    <row r="28" spans="1:32" ht="18" customHeight="1">
      <c r="M28" s="244">
        <v>4.9000000000000002E-2</v>
      </c>
      <c r="N28" s="244">
        <v>4.9000000000000002E-2</v>
      </c>
      <c r="O28" s="244">
        <v>4.7E-2</v>
      </c>
      <c r="P28" s="243">
        <v>2022</v>
      </c>
      <c r="Q28" s="244">
        <v>8.5000000000000006E-2</v>
      </c>
      <c r="R28" s="244">
        <v>0.13800000000000001</v>
      </c>
      <c r="S28" s="244">
        <v>0.158</v>
      </c>
      <c r="T28" s="244">
        <v>0.09</v>
      </c>
      <c r="U28" s="244"/>
      <c r="V28" s="244">
        <v>0.11799999999999999</v>
      </c>
      <c r="W28" s="244">
        <v>0.11799999999999999</v>
      </c>
      <c r="X28" s="244">
        <f t="shared" si="6"/>
        <v>0.11799992110722665</v>
      </c>
      <c r="Y28" s="241">
        <f>4985670*12</f>
        <v>59828040</v>
      </c>
      <c r="Z28" s="241">
        <v>7059704</v>
      </c>
      <c r="AA28" s="241">
        <v>21239082</v>
      </c>
      <c r="AB28" s="241">
        <v>574902</v>
      </c>
      <c r="AC28" s="244">
        <f t="shared" si="1"/>
        <v>2.7068119045823166E-2</v>
      </c>
      <c r="AD28" s="241">
        <v>11978479</v>
      </c>
      <c r="AE28" s="241">
        <v>346342</v>
      </c>
      <c r="AF28" s="244">
        <f t="shared" si="0"/>
        <v>2.8913687622610516E-2</v>
      </c>
    </row>
    <row r="29" spans="1:32" ht="18" customHeight="1">
      <c r="M29" s="244">
        <v>4.7E-2</v>
      </c>
      <c r="N29" s="244">
        <v>4.4999999999999998E-2</v>
      </c>
      <c r="O29" s="244">
        <v>4.2999999999999997E-2</v>
      </c>
      <c r="P29" s="243">
        <v>2023</v>
      </c>
      <c r="Q29" s="244">
        <v>7.1999999999999995E-2</v>
      </c>
      <c r="R29" s="244">
        <v>0.114</v>
      </c>
      <c r="S29" s="244">
        <v>0.13400000000000001</v>
      </c>
      <c r="T29" s="244">
        <v>7.9000000000000001E-2</v>
      </c>
      <c r="U29" s="244"/>
      <c r="V29" s="244">
        <v>0.10100000000000001</v>
      </c>
      <c r="W29" s="244">
        <v>0.10100000000000001</v>
      </c>
      <c r="X29" s="244">
        <f t="shared" si="6"/>
        <v>0.1009998905876688</v>
      </c>
      <c r="Y29" s="241">
        <f>6154090*12</f>
        <v>73849080</v>
      </c>
      <c r="Z29" s="241">
        <v>7458749</v>
      </c>
      <c r="AA29" s="241">
        <v>29651357</v>
      </c>
      <c r="AB29" s="241">
        <v>785430</v>
      </c>
      <c r="AC29" s="244">
        <f t="shared" si="1"/>
        <v>2.6488838268009116E-2</v>
      </c>
      <c r="AD29" s="253">
        <v>15778844</v>
      </c>
      <c r="AE29" s="253">
        <v>340527</v>
      </c>
      <c r="AF29" s="254">
        <f t="shared" si="0"/>
        <v>2.1581238777694994E-2</v>
      </c>
    </row>
    <row r="30" spans="1:32" ht="18" customHeight="1">
      <c r="B30" s="293" t="s">
        <v>12</v>
      </c>
      <c r="C30" s="241">
        <v>77</v>
      </c>
      <c r="D30" s="241">
        <v>21</v>
      </c>
      <c r="M30" s="244">
        <v>3.3000000000000002E-2</v>
      </c>
      <c r="N30" s="244">
        <v>3.3000000000000002E-2</v>
      </c>
      <c r="O30" s="244">
        <v>3.2000000000000001E-2</v>
      </c>
      <c r="P30" s="243">
        <v>2024</v>
      </c>
      <c r="Q30" s="244">
        <v>7.9000000000000001E-2</v>
      </c>
      <c r="R30" s="244">
        <v>9.9000000000000005E-2</v>
      </c>
      <c r="S30" s="244">
        <v>0.11600000000000001</v>
      </c>
      <c r="T30" s="244">
        <v>8.8999999999999996E-2</v>
      </c>
      <c r="U30" s="244"/>
      <c r="V30" s="244">
        <v>9.6000000000000002E-2</v>
      </c>
      <c r="W30" s="244">
        <v>9.6000000000000002E-2</v>
      </c>
      <c r="X30" s="244">
        <f t="shared" si="6"/>
        <v>9.2471144082884857E-2</v>
      </c>
      <c r="Y30" s="241">
        <f>6431090*12</f>
        <v>77173080</v>
      </c>
      <c r="Z30" s="241">
        <v>7136283</v>
      </c>
      <c r="AA30" s="253">
        <v>32670268</v>
      </c>
      <c r="AB30" s="253">
        <v>-1263420</v>
      </c>
      <c r="AC30" s="254">
        <f t="shared" si="1"/>
        <v>-3.8671859073822104E-2</v>
      </c>
      <c r="AD30" s="253">
        <v>16730103</v>
      </c>
      <c r="AE30" s="253">
        <v>-215525</v>
      </c>
      <c r="AF30" s="254">
        <f t="shared" si="0"/>
        <v>-1.2882467011709371E-2</v>
      </c>
    </row>
    <row r="31" spans="1:32" ht="18" customHeight="1">
      <c r="B31" s="293" t="s">
        <v>13</v>
      </c>
      <c r="C31" s="241">
        <v>90</v>
      </c>
      <c r="D31" s="241">
        <v>24</v>
      </c>
      <c r="M31" s="624">
        <v>2.7E-2</v>
      </c>
      <c r="N31" s="624"/>
      <c r="O31" s="624"/>
      <c r="P31" s="243">
        <v>2025</v>
      </c>
      <c r="Q31" s="244"/>
      <c r="R31" s="244"/>
      <c r="S31" s="244"/>
      <c r="T31" s="244"/>
      <c r="U31" s="244"/>
      <c r="V31" s="244"/>
      <c r="W31" s="245"/>
      <c r="X31" s="244">
        <f t="shared" si="6"/>
        <v>3.7631673224612923E-2</v>
      </c>
      <c r="Y31" s="241">
        <v>79720080</v>
      </c>
      <c r="Z31" s="241">
        <v>3000000</v>
      </c>
      <c r="AA31" s="253">
        <v>31100000</v>
      </c>
      <c r="AB31" s="253">
        <v>653000</v>
      </c>
      <c r="AC31" s="254">
        <f t="shared" si="1"/>
        <v>2.0996784565916398E-2</v>
      </c>
      <c r="AD31" s="253">
        <v>16500000</v>
      </c>
      <c r="AE31" s="253">
        <v>392600</v>
      </c>
      <c r="AF31" s="254">
        <f t="shared" si="0"/>
        <v>2.3793939393939395E-2</v>
      </c>
    </row>
    <row r="32" spans="1:32" ht="18" customHeight="1">
      <c r="M32" s="244"/>
      <c r="N32" s="244"/>
      <c r="O32" s="244"/>
      <c r="P32" s="243">
        <v>2026</v>
      </c>
      <c r="Q32" s="244">
        <v>7.3999999999999996E-2</v>
      </c>
      <c r="R32" s="244">
        <v>0.10100000000000001</v>
      </c>
      <c r="S32" s="244">
        <v>0.10100000000000001</v>
      </c>
      <c r="T32" s="244">
        <v>5.7000000000000002E-2</v>
      </c>
      <c r="U32" s="244">
        <v>7.8E-2</v>
      </c>
      <c r="V32" s="244">
        <v>7.8E-2</v>
      </c>
      <c r="W32" s="244">
        <v>7.1999999999999995E-2</v>
      </c>
      <c r="X32" s="244">
        <f t="shared" si="6"/>
        <v>5.3457537894055426E-2</v>
      </c>
      <c r="Y32" s="241">
        <v>81873000</v>
      </c>
      <c r="Z32" s="241">
        <v>4376729</v>
      </c>
      <c r="AA32" s="251">
        <v>27133100</v>
      </c>
      <c r="AB32" s="251">
        <v>828100</v>
      </c>
      <c r="AC32" s="252">
        <f t="shared" si="1"/>
        <v>3.0519918475957409E-2</v>
      </c>
      <c r="AD32" s="251">
        <v>15950800</v>
      </c>
      <c r="AE32" s="251">
        <v>473000</v>
      </c>
      <c r="AF32" s="252">
        <f t="shared" si="0"/>
        <v>2.9653685081626E-2</v>
      </c>
    </row>
    <row r="33" spans="2:32" ht="18" customHeight="1">
      <c r="B33" s="293" t="s">
        <v>2076</v>
      </c>
      <c r="C33" s="241">
        <v>325</v>
      </c>
      <c r="D33" s="241">
        <v>100</v>
      </c>
      <c r="M33" s="244"/>
      <c r="N33" s="244"/>
      <c r="O33" s="244"/>
      <c r="P33" s="243">
        <v>2027</v>
      </c>
      <c r="Q33" s="244"/>
      <c r="R33" s="244"/>
      <c r="S33" s="244"/>
      <c r="T33" s="244"/>
      <c r="U33" s="244"/>
      <c r="V33" s="244"/>
      <c r="W33" s="245"/>
      <c r="X33" s="244"/>
      <c r="AA33" s="251">
        <v>28593400</v>
      </c>
      <c r="AB33" s="251">
        <v>1118700</v>
      </c>
      <c r="AC33" s="252">
        <f t="shared" si="1"/>
        <v>3.9124413326152192E-2</v>
      </c>
      <c r="AD33" s="251">
        <v>17646300</v>
      </c>
      <c r="AE33" s="251">
        <v>708700</v>
      </c>
      <c r="AF33" s="252">
        <f t="shared" si="0"/>
        <v>4.0161393606591753E-2</v>
      </c>
    </row>
    <row r="34" spans="2:32" ht="18" customHeight="1">
      <c r="B34" s="293" t="s">
        <v>2077</v>
      </c>
      <c r="C34" s="241">
        <v>375</v>
      </c>
      <c r="D34" s="241">
        <v>100</v>
      </c>
      <c r="M34" s="244"/>
      <c r="N34" s="244"/>
      <c r="O34" s="244"/>
      <c r="P34" s="243">
        <v>2028</v>
      </c>
      <c r="Q34" s="244"/>
      <c r="R34" s="244"/>
      <c r="S34" s="244"/>
      <c r="T34" s="244"/>
      <c r="U34" s="244"/>
      <c r="V34" s="244"/>
      <c r="W34" s="245"/>
      <c r="X34" s="244"/>
      <c r="AA34" s="251">
        <v>30536900</v>
      </c>
      <c r="AB34" s="251">
        <v>1401400</v>
      </c>
      <c r="AC34" s="252">
        <f t="shared" si="1"/>
        <v>4.5892019163700309E-2</v>
      </c>
      <c r="AD34" s="251">
        <v>19371600</v>
      </c>
      <c r="AE34" s="251">
        <v>1245300</v>
      </c>
      <c r="AF34" s="252">
        <f t="shared" si="0"/>
        <v>6.4284829337793475E-2</v>
      </c>
    </row>
    <row r="35" spans="2:32" ht="18" customHeight="1">
      <c r="C35" s="241">
        <v>395</v>
      </c>
      <c r="D35" s="241">
        <v>100</v>
      </c>
      <c r="M35" s="244"/>
      <c r="N35" s="244"/>
      <c r="O35" s="244"/>
      <c r="P35" s="243">
        <v>2029</v>
      </c>
      <c r="Q35" s="244"/>
      <c r="R35" s="244"/>
      <c r="S35" s="244"/>
      <c r="T35" s="244"/>
      <c r="U35" s="244"/>
      <c r="V35" s="244"/>
      <c r="W35" s="245"/>
      <c r="X35" s="244"/>
      <c r="AC35" s="244" t="str">
        <f t="shared" si="1"/>
        <v/>
      </c>
      <c r="AF35" s="244" t="str">
        <f t="shared" si="0"/>
        <v/>
      </c>
    </row>
    <row r="36" spans="2:32" ht="18" customHeight="1">
      <c r="B36" s="293" t="s">
        <v>1917</v>
      </c>
      <c r="C36" s="241">
        <v>470</v>
      </c>
      <c r="D36" s="241">
        <v>100</v>
      </c>
      <c r="M36" s="244"/>
      <c r="N36" s="244"/>
      <c r="O36" s="244"/>
      <c r="P36" s="243">
        <v>2030</v>
      </c>
      <c r="Q36" s="244"/>
      <c r="R36" s="244"/>
      <c r="S36" s="244"/>
      <c r="T36" s="244"/>
      <c r="U36" s="244"/>
      <c r="V36" s="244"/>
      <c r="W36" s="245"/>
      <c r="X36" s="244"/>
      <c r="AC36" s="244" t="str">
        <f t="shared" si="1"/>
        <v/>
      </c>
      <c r="AF36" s="244" t="str">
        <f t="shared" si="0"/>
        <v/>
      </c>
    </row>
    <row r="37" spans="2:32" ht="18" customHeight="1">
      <c r="B37" s="293" t="s">
        <v>1918</v>
      </c>
      <c r="C37" s="241">
        <v>550</v>
      </c>
      <c r="D37" s="241">
        <v>200</v>
      </c>
      <c r="M37" s="244"/>
      <c r="N37" s="244"/>
      <c r="O37" s="244"/>
      <c r="P37" s="243">
        <v>2031</v>
      </c>
      <c r="Q37" s="244"/>
      <c r="R37" s="244"/>
      <c r="S37" s="244"/>
      <c r="T37" s="244"/>
      <c r="U37" s="244"/>
      <c r="V37" s="244"/>
      <c r="W37" s="245"/>
      <c r="X37" s="244"/>
      <c r="AC37" s="244" t="str">
        <f t="shared" si="1"/>
        <v/>
      </c>
      <c r="AF37" s="244" t="str">
        <f t="shared" si="0"/>
        <v/>
      </c>
    </row>
    <row r="38" spans="2:32" ht="18" customHeight="1">
      <c r="B38" s="293" t="s">
        <v>1937</v>
      </c>
      <c r="C38" s="241">
        <v>1012</v>
      </c>
      <c r="D38" s="241">
        <v>600</v>
      </c>
      <c r="P38" s="243">
        <v>2032</v>
      </c>
      <c r="Q38" s="244"/>
      <c r="R38" s="244"/>
      <c r="S38" s="244"/>
      <c r="T38" s="244"/>
      <c r="U38" s="244"/>
      <c r="V38" s="244"/>
      <c r="W38" s="245"/>
      <c r="X38" s="244"/>
      <c r="AC38" s="244" t="str">
        <f t="shared" si="1"/>
        <v/>
      </c>
      <c r="AF38" s="244" t="str">
        <f t="shared" si="0"/>
        <v/>
      </c>
    </row>
    <row r="39" spans="2:32" ht="18" customHeight="1">
      <c r="P39" s="243"/>
      <c r="Q39" s="243"/>
      <c r="R39" s="243"/>
      <c r="S39" s="243"/>
      <c r="T39" s="243"/>
      <c r="U39" s="243"/>
      <c r="V39" s="243"/>
      <c r="W39" s="245"/>
      <c r="X39" s="245"/>
      <c r="AC39" s="244"/>
      <c r="AF39" s="244"/>
    </row>
    <row r="40" spans="2:32" ht="18" customHeight="1">
      <c r="P40" s="243"/>
      <c r="Q40" s="243"/>
      <c r="R40" s="243"/>
      <c r="S40" s="243"/>
      <c r="T40" s="243"/>
      <c r="U40" s="243"/>
      <c r="V40" s="243"/>
      <c r="W40" s="245"/>
      <c r="X40" s="245"/>
      <c r="AC40" s="244"/>
      <c r="AF40" s="244"/>
    </row>
    <row r="41" spans="2:32" ht="18" customHeight="1">
      <c r="P41" s="243"/>
      <c r="Q41" s="243"/>
      <c r="R41" s="243"/>
      <c r="S41" s="243"/>
      <c r="T41" s="243"/>
      <c r="U41" s="243"/>
      <c r="V41" s="243"/>
      <c r="W41" s="245"/>
      <c r="X41" s="245"/>
      <c r="AC41" s="244"/>
      <c r="AF41" s="244"/>
    </row>
    <row r="42" spans="2:32" ht="18" customHeight="1">
      <c r="P42" s="243"/>
      <c r="Q42" s="243"/>
      <c r="R42" s="243"/>
      <c r="S42" s="243"/>
      <c r="T42" s="243"/>
      <c r="U42" s="243"/>
      <c r="V42" s="243"/>
      <c r="W42" s="245"/>
      <c r="X42" s="245"/>
      <c r="AC42" s="244"/>
      <c r="AF42" s="244"/>
    </row>
    <row r="43" spans="2:32" ht="18" customHeight="1">
      <c r="AC43" s="244"/>
      <c r="AF43" s="244"/>
    </row>
    <row r="44" spans="2:32" ht="18" customHeight="1">
      <c r="AC44" s="244"/>
      <c r="AF44" s="244"/>
    </row>
    <row r="45" spans="2:32" ht="18" customHeight="1">
      <c r="AC45" s="244"/>
      <c r="AF45" s="244"/>
    </row>
    <row r="46" spans="2:32" ht="18" customHeight="1">
      <c r="AC46" s="244"/>
      <c r="AF46" s="244"/>
    </row>
    <row r="47" spans="2:32" ht="18" customHeight="1">
      <c r="AC47" s="244"/>
      <c r="AF47" s="244"/>
    </row>
    <row r="48" spans="2:32" ht="18" customHeight="1">
      <c r="AC48" s="244"/>
      <c r="AF48" s="244"/>
    </row>
    <row r="49" spans="29:32" ht="18" customHeight="1">
      <c r="AC49" s="244"/>
      <c r="AF49" s="244"/>
    </row>
    <row r="50" spans="29:32" ht="18" customHeight="1">
      <c r="AC50" s="244"/>
      <c r="AF50" s="244"/>
    </row>
    <row r="51" spans="29:32" ht="18" customHeight="1">
      <c r="AC51" s="244"/>
      <c r="AF51" s="244"/>
    </row>
    <row r="52" spans="29:32" ht="18" customHeight="1">
      <c r="AC52" s="244"/>
      <c r="AF52" s="244"/>
    </row>
    <row r="53" spans="29:32" ht="18" customHeight="1">
      <c r="AC53" s="244"/>
      <c r="AF53" s="244"/>
    </row>
    <row r="54" spans="29:32" ht="18" customHeight="1">
      <c r="AC54" s="244"/>
      <c r="AF54" s="244"/>
    </row>
    <row r="55" spans="29:32" ht="18" customHeight="1">
      <c r="AC55" s="244"/>
      <c r="AF55" s="244"/>
    </row>
    <row r="56" spans="29:32" ht="18" customHeight="1">
      <c r="AC56" s="244"/>
      <c r="AF56" s="244"/>
    </row>
  </sheetData>
  <mergeCells count="30">
    <mergeCell ref="M31:O31"/>
    <mergeCell ref="AA1:AC1"/>
    <mergeCell ref="AD1:AF1"/>
    <mergeCell ref="W1:Z2"/>
    <mergeCell ref="M26:O26"/>
    <mergeCell ref="M25:O25"/>
    <mergeCell ref="M24:O24"/>
    <mergeCell ref="M20:O20"/>
    <mergeCell ref="M21:O21"/>
    <mergeCell ref="M22:O22"/>
    <mergeCell ref="M23:O23"/>
    <mergeCell ref="M3:O3"/>
    <mergeCell ref="M4:O4"/>
    <mergeCell ref="M5:O5"/>
    <mergeCell ref="M6:O6"/>
    <mergeCell ref="M7:O7"/>
    <mergeCell ref="M8:O8"/>
    <mergeCell ref="B7:F7"/>
    <mergeCell ref="G7:K7"/>
    <mergeCell ref="M19:O19"/>
    <mergeCell ref="M14:O14"/>
    <mergeCell ref="M15:O15"/>
    <mergeCell ref="M16:O16"/>
    <mergeCell ref="M17:O17"/>
    <mergeCell ref="M18:O18"/>
    <mergeCell ref="M9:O9"/>
    <mergeCell ref="M10:O10"/>
    <mergeCell ref="M11:O11"/>
    <mergeCell ref="M12:O12"/>
    <mergeCell ref="M13:O13"/>
  </mergeCells>
  <phoneticPr fontId="5" type="noConversion"/>
  <pageMargins left="0.7" right="0.7" top="0.75" bottom="0.75" header="0.3" footer="0.3"/>
  <pageSetup paperSize="9" orientation="portrait" r:id="rId1"/>
  <headerFooter>
    <oddHeader>&amp;R&amp;"Aptos"&amp;13&amp;K000000 [ RESTRICTED ]&amp;1#_x000D_</oddHeader>
    <oddFooter>&amp;R_x000D_&amp;1#&amp;"Aptos"&amp;5&amp;K000000 [Secure Minds, Secure Finds] 본 문서는 현대건설㈜의 정보자산이므로 무단 전제 및 복제할 수 없으며, 이를 위반할 시에는 당사 사규 및 관련 법규에 의해 제지를 받을 수 있습니다.</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7"/>
  <dimension ref="A1:BW306"/>
  <sheetViews>
    <sheetView topLeftCell="Q2" zoomScale="85" zoomScaleNormal="85" workbookViewId="0">
      <pane xSplit="4" ySplit="2" topLeftCell="U113" activePane="bottomRight" state="frozen"/>
      <selection activeCell="E8" sqref="E8"/>
      <selection pane="topRight" activeCell="E8" sqref="E8"/>
      <selection pane="bottomLeft" activeCell="E8" sqref="E8"/>
      <selection pane="bottomRight" activeCell="W126" sqref="R124:W126"/>
    </sheetView>
  </sheetViews>
  <sheetFormatPr defaultColWidth="8.75" defaultRowHeight="18" customHeight="1" outlineLevelRow="1"/>
  <cols>
    <col min="1" max="1" width="8.75" style="6"/>
    <col min="2" max="2" width="6.75" style="7" customWidth="1"/>
    <col min="3" max="3" width="4.75" style="8" customWidth="1"/>
    <col min="4" max="4" width="8.75" style="7"/>
    <col min="5" max="7" width="8.75" style="8"/>
    <col min="8" max="8" width="18.125" style="8" customWidth="1"/>
    <col min="9" max="9" width="8.75" style="8"/>
    <col min="10" max="14" width="8.75" style="5"/>
    <col min="15" max="16" width="8.75" style="4"/>
    <col min="17" max="17" width="6.75" style="4" customWidth="1"/>
    <col min="18" max="18" width="4.875" style="4" customWidth="1"/>
    <col min="19" max="19" width="6.875" style="4" customWidth="1"/>
    <col min="20" max="52" width="11.875" style="5" customWidth="1"/>
    <col min="53" max="53" width="2.75" style="5" customWidth="1"/>
    <col min="54" max="75" width="11.875" style="5" customWidth="1"/>
    <col min="76" max="16384" width="8.75" style="4"/>
  </cols>
  <sheetData>
    <row r="1" spans="1:75" ht="18" customHeight="1">
      <c r="K1" s="8">
        <v>2000</v>
      </c>
      <c r="L1" s="8">
        <f t="shared" ref="L1:L152" si="0">K1*12</f>
        <v>24000</v>
      </c>
      <c r="M1" s="8">
        <f t="shared" ref="M1:M152" si="1">L1*1.13</f>
        <v>27119.999999999996</v>
      </c>
      <c r="N1" s="8">
        <v>18055</v>
      </c>
      <c r="O1" s="9">
        <f t="shared" ref="O1:O152" si="2">N1/M1</f>
        <v>0.66574483775811222</v>
      </c>
    </row>
    <row r="2" spans="1:75" s="1" customFormat="1" ht="18" customHeight="1">
      <c r="A2" s="10"/>
      <c r="B2" s="11"/>
      <c r="C2" s="12"/>
      <c r="D2" s="11"/>
      <c r="E2" s="12"/>
      <c r="F2" s="12" t="s">
        <v>14</v>
      </c>
      <c r="G2" s="12" t="s">
        <v>15</v>
      </c>
      <c r="H2" s="12"/>
      <c r="I2" s="12"/>
      <c r="J2" s="3"/>
      <c r="K2" s="12">
        <v>2000</v>
      </c>
      <c r="L2" s="12">
        <f t="shared" si="0"/>
        <v>24000</v>
      </c>
      <c r="M2" s="12">
        <f t="shared" si="1"/>
        <v>27119.999999999996</v>
      </c>
      <c r="N2" s="12">
        <v>18055</v>
      </c>
      <c r="O2" s="13">
        <f t="shared" si="2"/>
        <v>0.66574483775811222</v>
      </c>
      <c r="Q2" s="3" t="s">
        <v>1640</v>
      </c>
      <c r="R2" s="3" t="s">
        <v>1641</v>
      </c>
      <c r="S2" s="3" t="s">
        <v>23</v>
      </c>
      <c r="T2" s="3" t="s">
        <v>24</v>
      </c>
      <c r="U2" s="3" t="s">
        <v>25</v>
      </c>
      <c r="V2" s="3" t="s">
        <v>26</v>
      </c>
      <c r="W2" s="3" t="s">
        <v>27</v>
      </c>
      <c r="X2" s="478" t="s">
        <v>3257</v>
      </c>
      <c r="Y2" s="17" t="s">
        <v>3478</v>
      </c>
      <c r="Z2" s="17" t="s">
        <v>3435</v>
      </c>
      <c r="AA2" s="17" t="s">
        <v>2856</v>
      </c>
      <c r="AB2" s="17" t="s">
        <v>2897</v>
      </c>
      <c r="AC2" s="3" t="s">
        <v>40</v>
      </c>
      <c r="AD2" s="3" t="s">
        <v>28</v>
      </c>
      <c r="AE2" s="3" t="s">
        <v>29</v>
      </c>
      <c r="AF2" s="3" t="s">
        <v>30</v>
      </c>
      <c r="AG2" s="517" t="s">
        <v>3529</v>
      </c>
      <c r="AH2" s="3" t="s">
        <v>31</v>
      </c>
      <c r="AI2" s="3" t="s">
        <v>32</v>
      </c>
      <c r="AJ2" s="3" t="s">
        <v>33</v>
      </c>
      <c r="AK2" s="3" t="s">
        <v>34</v>
      </c>
      <c r="AL2" s="3" t="s">
        <v>35</v>
      </c>
      <c r="AM2" s="17" t="s">
        <v>2798</v>
      </c>
      <c r="AN2" s="17" t="s">
        <v>68</v>
      </c>
      <c r="AO2" s="3" t="s">
        <v>36</v>
      </c>
      <c r="AP2" s="3" t="s">
        <v>37</v>
      </c>
      <c r="AQ2" s="3" t="s">
        <v>38</v>
      </c>
      <c r="AR2" s="3" t="s">
        <v>39</v>
      </c>
      <c r="AS2" s="17" t="s">
        <v>58</v>
      </c>
      <c r="AT2" s="17" t="s">
        <v>65</v>
      </c>
      <c r="AU2" s="17" t="s">
        <v>203</v>
      </c>
      <c r="AV2" s="17" t="s">
        <v>273</v>
      </c>
      <c r="AW2" s="17" t="s">
        <v>1976</v>
      </c>
      <c r="AX2" s="17" t="s">
        <v>1977</v>
      </c>
      <c r="AY2" s="17" t="s">
        <v>1978</v>
      </c>
      <c r="AZ2" s="17" t="s">
        <v>3258</v>
      </c>
      <c r="BA2" s="3"/>
      <c r="BB2" s="3" t="s">
        <v>41</v>
      </c>
      <c r="BC2" s="3" t="s">
        <v>42</v>
      </c>
      <c r="BD2" s="3" t="s">
        <v>43</v>
      </c>
      <c r="BE2" s="17" t="s">
        <v>3259</v>
      </c>
      <c r="BF2" s="3" t="s">
        <v>44</v>
      </c>
      <c r="BG2" s="17" t="s">
        <v>3260</v>
      </c>
      <c r="BH2" s="3" t="s">
        <v>45</v>
      </c>
      <c r="BI2" s="3" t="s">
        <v>46</v>
      </c>
      <c r="BJ2" s="3" t="s">
        <v>47</v>
      </c>
      <c r="BK2" s="3" t="s">
        <v>48</v>
      </c>
      <c r="BL2" s="17" t="s">
        <v>69</v>
      </c>
      <c r="BM2" s="3" t="s">
        <v>49</v>
      </c>
      <c r="BN2" s="3" t="s">
        <v>50</v>
      </c>
      <c r="BO2" s="3" t="s">
        <v>51</v>
      </c>
      <c r="BP2" s="3" t="s">
        <v>52</v>
      </c>
      <c r="BQ2" s="17" t="s">
        <v>59</v>
      </c>
      <c r="BR2" s="3" t="s">
        <v>53</v>
      </c>
      <c r="BS2" s="17" t="s">
        <v>64</v>
      </c>
      <c r="BT2" s="17" t="s">
        <v>57</v>
      </c>
      <c r="BU2" s="17" t="s">
        <v>203</v>
      </c>
      <c r="BV2" s="17" t="s">
        <v>1979</v>
      </c>
      <c r="BW2" s="17" t="s">
        <v>2465</v>
      </c>
    </row>
    <row r="3" spans="1:75" s="1" customFormat="1" ht="18" customHeight="1">
      <c r="A3" s="10"/>
      <c r="B3" s="11"/>
      <c r="C3" s="12"/>
      <c r="D3" s="11"/>
      <c r="E3" s="12"/>
      <c r="F3" s="12"/>
      <c r="G3" s="12"/>
      <c r="H3" s="12"/>
      <c r="I3" s="12"/>
      <c r="J3" s="3"/>
      <c r="K3" s="12"/>
      <c r="L3" s="12"/>
      <c r="M3" s="12"/>
      <c r="N3" s="12"/>
      <c r="O3" s="13"/>
      <c r="Q3" s="627" t="s">
        <v>60</v>
      </c>
      <c r="R3" s="627"/>
      <c r="S3" s="627"/>
      <c r="T3" s="24">
        <f t="shared" ref="T3:BW3" si="3">SUMIF($Q$130:$Q$787,"*TOTAL*",T$130:T$787)</f>
        <v>719838368</v>
      </c>
      <c r="U3" s="24">
        <f t="shared" si="3"/>
        <v>868819979</v>
      </c>
      <c r="V3" s="24">
        <f t="shared" si="3"/>
        <v>499594359</v>
      </c>
      <c r="W3" s="24">
        <f t="shared" si="3"/>
        <v>186578726</v>
      </c>
      <c r="X3" s="24">
        <f t="shared" si="3"/>
        <v>2705738</v>
      </c>
      <c r="Y3" s="24">
        <f t="shared" si="3"/>
        <v>0</v>
      </c>
      <c r="Z3" s="24">
        <f t="shared" si="3"/>
        <v>0</v>
      </c>
      <c r="AA3" s="24">
        <f t="shared" si="3"/>
        <v>0</v>
      </c>
      <c r="AB3" s="24">
        <f t="shared" si="3"/>
        <v>0</v>
      </c>
      <c r="AC3" s="24">
        <f t="shared" si="3"/>
        <v>4459100</v>
      </c>
      <c r="AD3" s="24">
        <f t="shared" si="3"/>
        <v>70959514</v>
      </c>
      <c r="AE3" s="24">
        <f t="shared" si="3"/>
        <v>13000000</v>
      </c>
      <c r="AF3" s="24">
        <f t="shared" si="3"/>
        <v>14734676</v>
      </c>
      <c r="AG3" s="24">
        <f t="shared" si="3"/>
        <v>0</v>
      </c>
      <c r="AH3" s="24">
        <f t="shared" si="3"/>
        <v>7687097</v>
      </c>
      <c r="AI3" s="24">
        <f t="shared" si="3"/>
        <v>29730000</v>
      </c>
      <c r="AJ3" s="24">
        <f t="shared" si="3"/>
        <v>6680000</v>
      </c>
      <c r="AK3" s="24">
        <f t="shared" si="3"/>
        <v>3600000</v>
      </c>
      <c r="AL3" s="24">
        <f t="shared" si="3"/>
        <v>8487097</v>
      </c>
      <c r="AM3" s="24">
        <f t="shared" si="3"/>
        <v>962904</v>
      </c>
      <c r="AN3" s="24">
        <f t="shared" si="3"/>
        <v>4104839</v>
      </c>
      <c r="AO3" s="24">
        <f t="shared" si="3"/>
        <v>3600000</v>
      </c>
      <c r="AP3" s="24">
        <f t="shared" si="3"/>
        <v>1650000</v>
      </c>
      <c r="AQ3" s="24">
        <f t="shared" si="3"/>
        <v>250000</v>
      </c>
      <c r="AR3" s="24">
        <f t="shared" si="3"/>
        <v>702765</v>
      </c>
      <c r="AS3" s="24">
        <f t="shared" si="3"/>
        <v>188688</v>
      </c>
      <c r="AT3" s="24">
        <f t="shared" si="3"/>
        <v>-22679</v>
      </c>
      <c r="AU3" s="24">
        <f t="shared" si="3"/>
        <v>935000</v>
      </c>
      <c r="AV3" s="24">
        <f t="shared" si="3"/>
        <v>5513000</v>
      </c>
      <c r="AW3" s="24">
        <f t="shared" si="3"/>
        <v>1887650</v>
      </c>
      <c r="AX3" s="24">
        <f t="shared" si="3"/>
        <v>300000</v>
      </c>
      <c r="AY3" s="24">
        <f t="shared" si="3"/>
        <v>474000</v>
      </c>
      <c r="AZ3" s="24">
        <f t="shared" si="3"/>
        <v>57505</v>
      </c>
      <c r="BA3" s="24">
        <f t="shared" si="3"/>
        <v>0</v>
      </c>
      <c r="BB3" s="24">
        <f t="shared" si="3"/>
        <v>148981611</v>
      </c>
      <c r="BC3" s="24">
        <f t="shared" si="3"/>
        <v>-9998720</v>
      </c>
      <c r="BD3" s="24">
        <f t="shared" si="3"/>
        <v>60678750</v>
      </c>
      <c r="BE3" s="24">
        <f t="shared" si="3"/>
        <v>11500</v>
      </c>
      <c r="BF3" s="24">
        <f t="shared" si="3"/>
        <v>6067140</v>
      </c>
      <c r="BG3" s="24">
        <f t="shared" si="3"/>
        <v>1150</v>
      </c>
      <c r="BH3" s="24">
        <f t="shared" si="3"/>
        <v>28207540</v>
      </c>
      <c r="BI3" s="24">
        <f t="shared" si="3"/>
        <v>30931710</v>
      </c>
      <c r="BJ3" s="24">
        <f t="shared" si="3"/>
        <v>6515147</v>
      </c>
      <c r="BK3" s="24">
        <f t="shared" si="3"/>
        <v>2320700</v>
      </c>
      <c r="BL3" s="24">
        <f t="shared" si="3"/>
        <v>8220000</v>
      </c>
      <c r="BM3" s="24">
        <f t="shared" si="3"/>
        <v>6680000</v>
      </c>
      <c r="BN3" s="24">
        <f t="shared" si="3"/>
        <v>3879700</v>
      </c>
      <c r="BO3" s="24">
        <f t="shared" si="3"/>
        <v>2425930</v>
      </c>
      <c r="BP3" s="24">
        <f t="shared" si="3"/>
        <v>51410</v>
      </c>
      <c r="BQ3" s="24">
        <f t="shared" si="3"/>
        <v>4</v>
      </c>
      <c r="BR3" s="24">
        <f t="shared" si="3"/>
        <v>60000</v>
      </c>
      <c r="BS3" s="24">
        <f t="shared" si="3"/>
        <v>8000</v>
      </c>
      <c r="BT3" s="24">
        <f t="shared" si="3"/>
        <v>134000</v>
      </c>
      <c r="BU3" s="24">
        <f t="shared" si="3"/>
        <v>900000</v>
      </c>
      <c r="BV3" s="24">
        <f t="shared" si="3"/>
        <v>1887650</v>
      </c>
      <c r="BW3" s="24">
        <f t="shared" si="3"/>
        <v>0</v>
      </c>
    </row>
    <row r="4" spans="1:75" s="1" customFormat="1" ht="18" customHeight="1">
      <c r="A4" s="10"/>
      <c r="B4" s="11"/>
      <c r="C4" s="12"/>
      <c r="D4" s="11"/>
      <c r="E4" s="12"/>
      <c r="F4" s="12"/>
      <c r="G4" s="12"/>
      <c r="H4" s="12"/>
      <c r="I4" s="12"/>
      <c r="J4" s="3"/>
      <c r="K4" s="12"/>
      <c r="L4" s="12"/>
      <c r="M4" s="12"/>
      <c r="N4" s="12"/>
      <c r="O4" s="13"/>
      <c r="Q4" s="628" t="s">
        <v>1988</v>
      </c>
      <c r="R4" s="628"/>
      <c r="S4" s="628"/>
      <c r="T4" s="23">
        <f t="shared" ref="T4:AZ4" si="4">SUMIF($Q$2:$Q$793,$Q5,T$2:T$793)</f>
        <v>0</v>
      </c>
      <c r="U4" s="23">
        <f t="shared" si="4"/>
        <v>0</v>
      </c>
      <c r="V4" s="23">
        <f t="shared" si="4"/>
        <v>0</v>
      </c>
      <c r="W4" s="23">
        <f t="shared" si="4"/>
        <v>0</v>
      </c>
      <c r="X4" s="23">
        <f t="shared" si="4"/>
        <v>0</v>
      </c>
      <c r="Y4" s="23">
        <f t="shared" si="4"/>
        <v>0</v>
      </c>
      <c r="Z4" s="23">
        <f t="shared" si="4"/>
        <v>0</v>
      </c>
      <c r="AA4" s="23">
        <f t="shared" si="4"/>
        <v>0</v>
      </c>
      <c r="AB4" s="23">
        <f t="shared" si="4"/>
        <v>0</v>
      </c>
      <c r="AC4" s="23">
        <f t="shared" si="4"/>
        <v>0</v>
      </c>
      <c r="AD4" s="23">
        <f t="shared" si="4"/>
        <v>0</v>
      </c>
      <c r="AE4" s="23">
        <f t="shared" si="4"/>
        <v>0</v>
      </c>
      <c r="AF4" s="23">
        <f t="shared" si="4"/>
        <v>0</v>
      </c>
      <c r="AG4" s="23">
        <f t="shared" si="4"/>
        <v>0</v>
      </c>
      <c r="AH4" s="23">
        <f t="shared" si="4"/>
        <v>0</v>
      </c>
      <c r="AI4" s="23">
        <f t="shared" si="4"/>
        <v>0</v>
      </c>
      <c r="AJ4" s="23">
        <f t="shared" si="4"/>
        <v>0</v>
      </c>
      <c r="AK4" s="23">
        <f t="shared" si="4"/>
        <v>0</v>
      </c>
      <c r="AL4" s="23">
        <f t="shared" si="4"/>
        <v>0</v>
      </c>
      <c r="AM4" s="23">
        <f t="shared" si="4"/>
        <v>0</v>
      </c>
      <c r="AN4" s="23">
        <f t="shared" si="4"/>
        <v>0</v>
      </c>
      <c r="AO4" s="23">
        <f t="shared" si="4"/>
        <v>0</v>
      </c>
      <c r="AP4" s="23">
        <f t="shared" si="4"/>
        <v>0</v>
      </c>
      <c r="AQ4" s="23">
        <f t="shared" si="4"/>
        <v>0</v>
      </c>
      <c r="AR4" s="23">
        <f t="shared" si="4"/>
        <v>0</v>
      </c>
      <c r="AS4" s="23">
        <f t="shared" si="4"/>
        <v>0</v>
      </c>
      <c r="AT4" s="23">
        <f t="shared" si="4"/>
        <v>0</v>
      </c>
      <c r="AU4" s="23">
        <f t="shared" si="4"/>
        <v>0</v>
      </c>
      <c r="AV4" s="23">
        <f t="shared" si="4"/>
        <v>0</v>
      </c>
      <c r="AW4" s="23">
        <f t="shared" si="4"/>
        <v>0</v>
      </c>
      <c r="AX4" s="23">
        <f t="shared" si="4"/>
        <v>0</v>
      </c>
      <c r="AY4" s="23">
        <f t="shared" si="4"/>
        <v>0</v>
      </c>
      <c r="AZ4" s="23">
        <f t="shared" si="4"/>
        <v>0</v>
      </c>
      <c r="BA4" s="23"/>
      <c r="BB4" s="23">
        <f t="shared" ref="BB4:BW4" si="5">SUMIF($Q$2:$Q$793,$Q5,BB$2:BB$793)</f>
        <v>0</v>
      </c>
      <c r="BC4" s="23">
        <f t="shared" si="5"/>
        <v>0</v>
      </c>
      <c r="BD4" s="23">
        <f t="shared" si="5"/>
        <v>0</v>
      </c>
      <c r="BE4" s="23">
        <f t="shared" si="5"/>
        <v>0</v>
      </c>
      <c r="BF4" s="23">
        <f t="shared" si="5"/>
        <v>0</v>
      </c>
      <c r="BG4" s="23">
        <f t="shared" si="5"/>
        <v>0</v>
      </c>
      <c r="BH4" s="23">
        <f t="shared" si="5"/>
        <v>0</v>
      </c>
      <c r="BI4" s="23">
        <f t="shared" si="5"/>
        <v>0</v>
      </c>
      <c r="BJ4" s="23">
        <f t="shared" si="5"/>
        <v>0</v>
      </c>
      <c r="BK4" s="23">
        <f t="shared" si="5"/>
        <v>0</v>
      </c>
      <c r="BL4" s="23">
        <f t="shared" si="5"/>
        <v>0</v>
      </c>
      <c r="BM4" s="23">
        <f t="shared" si="5"/>
        <v>0</v>
      </c>
      <c r="BN4" s="23">
        <f t="shared" si="5"/>
        <v>0</v>
      </c>
      <c r="BO4" s="23">
        <f t="shared" si="5"/>
        <v>0</v>
      </c>
      <c r="BP4" s="23">
        <f t="shared" si="5"/>
        <v>0</v>
      </c>
      <c r="BQ4" s="23">
        <f t="shared" si="5"/>
        <v>0</v>
      </c>
      <c r="BR4" s="23">
        <f t="shared" si="5"/>
        <v>0</v>
      </c>
      <c r="BS4" s="23">
        <f t="shared" si="5"/>
        <v>0</v>
      </c>
      <c r="BT4" s="23">
        <f t="shared" si="5"/>
        <v>0</v>
      </c>
      <c r="BU4" s="23">
        <f t="shared" si="5"/>
        <v>0</v>
      </c>
      <c r="BV4" s="23">
        <f t="shared" si="5"/>
        <v>0</v>
      </c>
      <c r="BW4" s="23">
        <f t="shared" si="5"/>
        <v>0</v>
      </c>
    </row>
    <row r="5" spans="1:75" ht="18" hidden="1" customHeight="1" outlineLevel="1">
      <c r="D5" s="7" t="s">
        <v>11</v>
      </c>
      <c r="F5" s="8">
        <v>4717</v>
      </c>
      <c r="G5" s="8">
        <v>5848</v>
      </c>
      <c r="K5" s="8">
        <v>2400</v>
      </c>
      <c r="L5" s="8">
        <f>K5*12</f>
        <v>28800</v>
      </c>
      <c r="M5" s="8">
        <f>L5*1.13</f>
        <v>32543.999999999996</v>
      </c>
      <c r="N5" s="8">
        <v>21014</v>
      </c>
      <c r="O5" s="9">
        <f>N5/M5</f>
        <v>0.64571042281219282</v>
      </c>
      <c r="Q5" s="5">
        <v>2034</v>
      </c>
      <c r="R5" s="5">
        <v>12</v>
      </c>
      <c r="S5" s="14" t="s">
        <v>54</v>
      </c>
      <c r="T5" s="15">
        <f t="shared" ref="T5:T17" si="6">IF(U5=U5-BB5,0,U5-BB5)</f>
        <v>0</v>
      </c>
      <c r="U5" s="15">
        <f t="shared" ref="U5:U17" si="7">SUM(V5:BA5)</f>
        <v>0</v>
      </c>
      <c r="V5" s="6"/>
      <c r="W5" s="6"/>
      <c r="X5" s="16"/>
      <c r="Y5" s="16"/>
      <c r="Z5" s="16"/>
      <c r="AA5" s="16"/>
      <c r="AB5" s="16"/>
      <c r="AC5" s="16"/>
      <c r="AD5" s="16"/>
      <c r="AE5" s="16"/>
      <c r="AF5" s="16"/>
      <c r="AG5" s="16"/>
      <c r="AH5" s="16"/>
      <c r="AI5" s="16"/>
      <c r="AJ5" s="16"/>
      <c r="AK5" s="16"/>
      <c r="AL5" s="16"/>
      <c r="AM5" s="16"/>
      <c r="AN5" s="16"/>
      <c r="AO5" s="16"/>
      <c r="AP5" s="16"/>
      <c r="AQ5" s="16"/>
      <c r="AR5" s="16"/>
      <c r="AS5" s="16"/>
      <c r="AT5" s="16"/>
      <c r="AU5" s="16"/>
      <c r="AV5" s="16"/>
      <c r="AW5" s="16"/>
      <c r="AX5" s="16"/>
      <c r="AY5" s="16"/>
      <c r="AZ5" s="16"/>
      <c r="BA5" s="16"/>
      <c r="BB5" s="15">
        <f t="shared" ref="BB5:BB17" si="8">SUM(BC5:BW5)</f>
        <v>0</v>
      </c>
      <c r="BC5" s="15"/>
      <c r="BD5" s="16"/>
      <c r="BE5" s="16"/>
      <c r="BF5" s="16"/>
      <c r="BG5" s="16"/>
      <c r="BH5" s="16"/>
      <c r="BI5" s="16"/>
      <c r="BJ5" s="16"/>
      <c r="BK5" s="16"/>
      <c r="BL5" s="16"/>
      <c r="BM5" s="16"/>
      <c r="BN5" s="16"/>
      <c r="BO5" s="16"/>
      <c r="BP5" s="16"/>
      <c r="BQ5" s="16"/>
      <c r="BR5" s="16"/>
      <c r="BS5" s="16"/>
      <c r="BT5" s="16"/>
      <c r="BU5" s="16"/>
      <c r="BV5" s="16"/>
      <c r="BW5" s="16"/>
    </row>
    <row r="6" spans="1:75" ht="18" hidden="1" customHeight="1" outlineLevel="1">
      <c r="D6" s="7" t="s">
        <v>11</v>
      </c>
      <c r="F6" s="8">
        <v>4717</v>
      </c>
      <c r="G6" s="8">
        <v>5848</v>
      </c>
      <c r="K6" s="8">
        <v>2400</v>
      </c>
      <c r="L6" s="8">
        <f>K6*12</f>
        <v>28800</v>
      </c>
      <c r="M6" s="8">
        <f>L6*1.13</f>
        <v>32543.999999999996</v>
      </c>
      <c r="N6" s="8">
        <v>21014</v>
      </c>
      <c r="O6" s="9">
        <f>N6/M6</f>
        <v>0.64571042281219282</v>
      </c>
      <c r="Q6" s="5">
        <v>2034</v>
      </c>
      <c r="R6" s="5">
        <v>11</v>
      </c>
      <c r="S6" s="14" t="s">
        <v>54</v>
      </c>
      <c r="T6" s="15">
        <f t="shared" si="6"/>
        <v>0</v>
      </c>
      <c r="U6" s="15">
        <f t="shared" si="7"/>
        <v>0</v>
      </c>
      <c r="V6" s="6"/>
      <c r="W6" s="6"/>
      <c r="X6" s="16"/>
      <c r="Y6" s="16"/>
      <c r="Z6" s="16"/>
      <c r="AA6" s="16"/>
      <c r="AB6" s="16"/>
      <c r="AC6" s="16"/>
      <c r="AD6" s="16"/>
      <c r="AE6" s="16"/>
      <c r="AF6" s="16"/>
      <c r="AG6" s="16"/>
      <c r="AH6" s="16"/>
      <c r="AI6" s="16"/>
      <c r="AJ6" s="16"/>
      <c r="AK6" s="16"/>
      <c r="AL6" s="16"/>
      <c r="AM6" s="16"/>
      <c r="AN6" s="16"/>
      <c r="AO6" s="16"/>
      <c r="AP6" s="16"/>
      <c r="AQ6" s="16"/>
      <c r="AR6" s="16"/>
      <c r="AS6" s="16"/>
      <c r="AT6" s="16"/>
      <c r="AU6" s="16"/>
      <c r="AV6" s="16"/>
      <c r="AW6" s="16"/>
      <c r="AX6" s="16"/>
      <c r="AY6" s="16"/>
      <c r="AZ6" s="16"/>
      <c r="BA6" s="16"/>
      <c r="BB6" s="15">
        <f t="shared" si="8"/>
        <v>0</v>
      </c>
      <c r="BC6" s="15"/>
      <c r="BD6" s="16"/>
      <c r="BE6" s="16"/>
      <c r="BF6" s="16"/>
      <c r="BG6" s="16"/>
      <c r="BH6" s="16"/>
      <c r="BI6" s="16"/>
      <c r="BJ6" s="16"/>
      <c r="BK6" s="16"/>
      <c r="BL6" s="16"/>
      <c r="BM6" s="16"/>
      <c r="BN6" s="16"/>
      <c r="BO6" s="16"/>
      <c r="BP6" s="16"/>
      <c r="BQ6" s="16"/>
      <c r="BR6" s="16"/>
      <c r="BS6" s="16"/>
      <c r="BT6" s="16"/>
      <c r="BU6" s="16"/>
      <c r="BV6" s="16"/>
      <c r="BW6" s="16"/>
    </row>
    <row r="7" spans="1:75" ht="18" hidden="1" customHeight="1" outlineLevel="1">
      <c r="D7" s="7" t="s">
        <v>11</v>
      </c>
      <c r="F7" s="8">
        <v>4717</v>
      </c>
      <c r="G7" s="8">
        <v>5848</v>
      </c>
      <c r="K7" s="8">
        <v>2400</v>
      </c>
      <c r="L7" s="8">
        <f t="shared" ref="L7:L10" si="9">K7*12</f>
        <v>28800</v>
      </c>
      <c r="M7" s="8">
        <f t="shared" ref="M7:M10" si="10">L7*1.13</f>
        <v>32543.999999999996</v>
      </c>
      <c r="N7" s="8">
        <v>21014</v>
      </c>
      <c r="O7" s="9">
        <f t="shared" ref="O7:O10" si="11">N7/M7</f>
        <v>0.64571042281219282</v>
      </c>
      <c r="Q7" s="5">
        <v>2034</v>
      </c>
      <c r="R7" s="5">
        <v>10</v>
      </c>
      <c r="S7" s="14" t="s">
        <v>54</v>
      </c>
      <c r="T7" s="15">
        <f t="shared" si="6"/>
        <v>0</v>
      </c>
      <c r="U7" s="15">
        <f t="shared" si="7"/>
        <v>0</v>
      </c>
      <c r="V7" s="6"/>
      <c r="W7" s="6"/>
      <c r="X7" s="16"/>
      <c r="Y7" s="16"/>
      <c r="Z7" s="16"/>
      <c r="AA7" s="16"/>
      <c r="AB7" s="16"/>
      <c r="AC7" s="16"/>
      <c r="AD7" s="16"/>
      <c r="AE7" s="16"/>
      <c r="AF7" s="16"/>
      <c r="AG7" s="16"/>
      <c r="AH7" s="16"/>
      <c r="AI7" s="16"/>
      <c r="AJ7" s="16"/>
      <c r="AK7" s="16"/>
      <c r="AL7" s="16"/>
      <c r="AM7" s="16"/>
      <c r="AN7" s="16"/>
      <c r="AO7" s="16"/>
      <c r="AP7" s="16"/>
      <c r="AQ7" s="16"/>
      <c r="AR7" s="16"/>
      <c r="AS7" s="16"/>
      <c r="AT7" s="16"/>
      <c r="AU7" s="16"/>
      <c r="AV7" s="16"/>
      <c r="AW7" s="16"/>
      <c r="AX7" s="16"/>
      <c r="AY7" s="16"/>
      <c r="AZ7" s="16"/>
      <c r="BA7" s="16"/>
      <c r="BB7" s="15">
        <f t="shared" si="8"/>
        <v>0</v>
      </c>
      <c r="BC7" s="15"/>
      <c r="BD7" s="16"/>
      <c r="BE7" s="16"/>
      <c r="BF7" s="16"/>
      <c r="BG7" s="16"/>
      <c r="BH7" s="16"/>
      <c r="BI7" s="16"/>
      <c r="BJ7" s="16"/>
      <c r="BK7" s="16"/>
      <c r="BL7" s="16"/>
      <c r="BM7" s="16"/>
      <c r="BN7" s="16"/>
      <c r="BO7" s="16"/>
      <c r="BP7" s="16"/>
      <c r="BQ7" s="16"/>
      <c r="BR7" s="16"/>
      <c r="BS7" s="16"/>
      <c r="BT7" s="16"/>
      <c r="BU7" s="16"/>
      <c r="BV7" s="16"/>
      <c r="BW7" s="16"/>
    </row>
    <row r="8" spans="1:75" ht="18" hidden="1" customHeight="1" outlineLevel="1">
      <c r="D8" s="7" t="s">
        <v>12</v>
      </c>
      <c r="F8" s="8">
        <v>6867</v>
      </c>
      <c r="G8" s="8">
        <v>6867</v>
      </c>
      <c r="K8" s="8">
        <v>2400</v>
      </c>
      <c r="L8" s="8">
        <f t="shared" si="9"/>
        <v>28800</v>
      </c>
      <c r="M8" s="8">
        <f t="shared" si="10"/>
        <v>32543.999999999996</v>
      </c>
      <c r="N8" s="8">
        <v>21014</v>
      </c>
      <c r="O8" s="9">
        <f t="shared" si="11"/>
        <v>0.64571042281219282</v>
      </c>
      <c r="Q8" s="5">
        <v>2034</v>
      </c>
      <c r="R8" s="5">
        <v>9</v>
      </c>
      <c r="S8" s="14" t="s">
        <v>54</v>
      </c>
      <c r="T8" s="15">
        <f t="shared" si="6"/>
        <v>0</v>
      </c>
      <c r="U8" s="15">
        <f t="shared" si="7"/>
        <v>0</v>
      </c>
      <c r="V8" s="6"/>
      <c r="W8" s="6"/>
      <c r="X8" s="16"/>
      <c r="Y8" s="16"/>
      <c r="Z8" s="16"/>
      <c r="AA8" s="16"/>
      <c r="AB8" s="16"/>
      <c r="AC8" s="16"/>
      <c r="AD8" s="16"/>
      <c r="AE8" s="16"/>
      <c r="AF8" s="16"/>
      <c r="AG8" s="16"/>
      <c r="AH8" s="16"/>
      <c r="AI8" s="16"/>
      <c r="AJ8" s="16"/>
      <c r="AK8" s="16"/>
      <c r="AL8" s="16"/>
      <c r="AM8" s="16"/>
      <c r="AN8" s="16"/>
      <c r="AO8" s="16"/>
      <c r="AP8" s="16"/>
      <c r="AQ8" s="16"/>
      <c r="AR8" s="16"/>
      <c r="AS8" s="16"/>
      <c r="AT8" s="16"/>
      <c r="AU8" s="16"/>
      <c r="AV8" s="16"/>
      <c r="AW8" s="16"/>
      <c r="AX8" s="16"/>
      <c r="AY8" s="16"/>
      <c r="AZ8" s="16"/>
      <c r="BA8" s="16"/>
      <c r="BB8" s="15">
        <f t="shared" si="8"/>
        <v>0</v>
      </c>
      <c r="BC8" s="15"/>
      <c r="BD8" s="16"/>
      <c r="BE8" s="16"/>
      <c r="BF8" s="16"/>
      <c r="BG8" s="16"/>
      <c r="BH8" s="16"/>
      <c r="BI8" s="16"/>
      <c r="BJ8" s="16"/>
      <c r="BK8" s="16"/>
      <c r="BL8" s="16"/>
      <c r="BM8" s="16"/>
      <c r="BN8" s="16"/>
      <c r="BO8" s="16"/>
      <c r="BP8" s="16"/>
      <c r="BQ8" s="16"/>
      <c r="BR8" s="16"/>
      <c r="BS8" s="16"/>
      <c r="BT8" s="16"/>
      <c r="BU8" s="16"/>
      <c r="BV8" s="16"/>
      <c r="BW8" s="16"/>
    </row>
    <row r="9" spans="1:75" ht="18" hidden="1" customHeight="1" outlineLevel="1">
      <c r="D9" s="7" t="s">
        <v>13</v>
      </c>
      <c r="F9" s="8">
        <v>7988</v>
      </c>
      <c r="G9" s="8" t="s">
        <v>2</v>
      </c>
      <c r="H9" s="8" t="s">
        <v>17</v>
      </c>
      <c r="I9" s="8">
        <v>171</v>
      </c>
      <c r="K9" s="8">
        <v>2400</v>
      </c>
      <c r="L9" s="8">
        <f t="shared" si="9"/>
        <v>28800</v>
      </c>
      <c r="M9" s="8">
        <f t="shared" si="10"/>
        <v>32543.999999999996</v>
      </c>
      <c r="N9" s="8">
        <v>21014</v>
      </c>
      <c r="O9" s="9">
        <f t="shared" si="11"/>
        <v>0.64571042281219282</v>
      </c>
      <c r="Q9" s="5">
        <v>2034</v>
      </c>
      <c r="R9" s="5">
        <v>8</v>
      </c>
      <c r="S9" s="14" t="s">
        <v>54</v>
      </c>
      <c r="T9" s="15">
        <f t="shared" si="6"/>
        <v>0</v>
      </c>
      <c r="U9" s="15">
        <f t="shared" si="7"/>
        <v>0</v>
      </c>
      <c r="V9" s="6"/>
      <c r="W9" s="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5">
        <f t="shared" si="8"/>
        <v>0</v>
      </c>
      <c r="BC9" s="15"/>
      <c r="BD9" s="16"/>
      <c r="BE9" s="16"/>
      <c r="BF9" s="16"/>
      <c r="BG9" s="16"/>
      <c r="BH9" s="16"/>
      <c r="BI9" s="16"/>
      <c r="BJ9" s="16"/>
      <c r="BK9" s="16"/>
      <c r="BL9" s="16"/>
      <c r="BM9" s="16"/>
      <c r="BN9" s="16"/>
      <c r="BO9" s="16"/>
      <c r="BP9" s="16"/>
      <c r="BQ9" s="16"/>
      <c r="BR9" s="16"/>
      <c r="BS9" s="16"/>
      <c r="BT9" s="16"/>
      <c r="BU9" s="16"/>
      <c r="BV9" s="16"/>
      <c r="BW9" s="16"/>
    </row>
    <row r="10" spans="1:75" ht="18" hidden="1" customHeight="1" outlineLevel="1">
      <c r="D10" s="7" t="s">
        <v>13</v>
      </c>
      <c r="F10" s="8">
        <v>7988</v>
      </c>
      <c r="G10" s="8" t="s">
        <v>2</v>
      </c>
      <c r="H10" s="8" t="s">
        <v>17</v>
      </c>
      <c r="I10" s="8">
        <v>171</v>
      </c>
      <c r="K10" s="8">
        <v>2400</v>
      </c>
      <c r="L10" s="8">
        <f t="shared" si="9"/>
        <v>28800</v>
      </c>
      <c r="M10" s="8">
        <f t="shared" si="10"/>
        <v>32543.999999999996</v>
      </c>
      <c r="N10" s="8">
        <v>21014</v>
      </c>
      <c r="O10" s="9">
        <f t="shared" si="11"/>
        <v>0.64571042281219282</v>
      </c>
      <c r="Q10" s="5">
        <v>2034</v>
      </c>
      <c r="R10" s="5">
        <v>7</v>
      </c>
      <c r="S10" s="14" t="s">
        <v>54</v>
      </c>
      <c r="T10" s="15">
        <f t="shared" si="6"/>
        <v>0</v>
      </c>
      <c r="U10" s="15">
        <f t="shared" si="7"/>
        <v>0</v>
      </c>
      <c r="V10" s="6"/>
      <c r="W10" s="6"/>
      <c r="X10" s="16"/>
      <c r="Y10" s="16"/>
      <c r="Z10" s="16"/>
      <c r="AA10" s="16"/>
      <c r="AB10" s="16"/>
      <c r="AC10" s="16"/>
      <c r="AD10" s="16"/>
      <c r="AE10" s="16"/>
      <c r="AF10" s="16"/>
      <c r="AG10" s="16"/>
      <c r="AH10" s="16"/>
      <c r="AI10" s="16"/>
      <c r="AJ10" s="16"/>
      <c r="AK10" s="16"/>
      <c r="AL10" s="16"/>
      <c r="AM10" s="16"/>
      <c r="AN10" s="16"/>
      <c r="AO10" s="16"/>
      <c r="AP10" s="16"/>
      <c r="AQ10" s="16"/>
      <c r="AR10" s="16"/>
      <c r="AS10" s="16"/>
      <c r="AT10" s="16"/>
      <c r="AU10" s="16"/>
      <c r="AV10" s="16"/>
      <c r="AW10" s="16"/>
      <c r="AX10" s="16"/>
      <c r="AY10" s="16"/>
      <c r="AZ10" s="16"/>
      <c r="BA10" s="16"/>
      <c r="BB10" s="15">
        <f t="shared" si="8"/>
        <v>0</v>
      </c>
      <c r="BC10" s="15"/>
      <c r="BD10" s="16"/>
      <c r="BE10" s="16"/>
      <c r="BF10" s="16"/>
      <c r="BG10" s="16"/>
      <c r="BH10" s="16"/>
      <c r="BI10" s="16"/>
      <c r="BJ10" s="16"/>
      <c r="BK10" s="16"/>
      <c r="BL10" s="16"/>
      <c r="BM10" s="16"/>
      <c r="BN10" s="16"/>
      <c r="BO10" s="16"/>
      <c r="BP10" s="16"/>
      <c r="BQ10" s="16"/>
      <c r="BR10" s="16"/>
      <c r="BS10" s="16"/>
      <c r="BT10" s="16"/>
      <c r="BU10" s="16"/>
      <c r="BV10" s="16"/>
      <c r="BW10" s="16"/>
    </row>
    <row r="11" spans="1:75" ht="18" hidden="1" customHeight="1" outlineLevel="1">
      <c r="H11" s="8" t="s">
        <v>18</v>
      </c>
      <c r="I11" s="8">
        <v>122</v>
      </c>
      <c r="J11" s="9"/>
      <c r="Q11" s="5">
        <v>2034</v>
      </c>
      <c r="R11" s="5">
        <v>6</v>
      </c>
      <c r="S11" s="14" t="s">
        <v>54</v>
      </c>
      <c r="T11" s="15">
        <f t="shared" si="6"/>
        <v>0</v>
      </c>
      <c r="U11" s="15">
        <f t="shared" si="7"/>
        <v>0</v>
      </c>
      <c r="V11" s="6"/>
      <c r="W11" s="6"/>
      <c r="X11" s="16"/>
      <c r="Y11" s="16"/>
      <c r="Z11" s="16"/>
      <c r="AA11" s="16"/>
      <c r="AB11" s="16"/>
      <c r="AC11" s="16"/>
      <c r="AD11" s="16"/>
      <c r="AE11" s="16"/>
      <c r="AF11" s="16"/>
      <c r="AG11" s="16"/>
      <c r="AH11" s="16"/>
      <c r="AI11" s="16"/>
      <c r="AJ11" s="16"/>
      <c r="AK11" s="16"/>
      <c r="AL11" s="16"/>
      <c r="AM11" s="16"/>
      <c r="AN11" s="16"/>
      <c r="AO11" s="16"/>
      <c r="AP11" s="16"/>
      <c r="AQ11" s="16"/>
      <c r="AR11" s="16"/>
      <c r="AS11" s="16"/>
      <c r="AT11" s="16"/>
      <c r="AU11" s="16"/>
      <c r="AV11" s="16"/>
      <c r="AW11" s="16"/>
      <c r="AX11" s="16"/>
      <c r="AY11" s="16"/>
      <c r="AZ11" s="16"/>
      <c r="BA11" s="16"/>
      <c r="BB11" s="15">
        <f t="shared" si="8"/>
        <v>0</v>
      </c>
      <c r="BC11" s="15"/>
      <c r="BD11" s="16"/>
      <c r="BE11" s="16"/>
      <c r="BF11" s="16"/>
      <c r="BG11" s="16"/>
      <c r="BH11" s="16"/>
      <c r="BI11" s="16"/>
      <c r="BJ11" s="16"/>
      <c r="BK11" s="16"/>
      <c r="BL11" s="16"/>
      <c r="BM11" s="16"/>
      <c r="BN11" s="16"/>
      <c r="BO11" s="16"/>
      <c r="BP11" s="16"/>
      <c r="BQ11" s="16"/>
      <c r="BR11" s="16"/>
      <c r="BS11" s="16"/>
      <c r="BT11" s="16"/>
      <c r="BU11" s="16"/>
      <c r="BV11" s="16"/>
      <c r="BW11" s="16"/>
    </row>
    <row r="12" spans="1:75" ht="18" hidden="1" customHeight="1" outlineLevel="1">
      <c r="J12" s="9"/>
      <c r="Q12" s="5">
        <v>2034</v>
      </c>
      <c r="R12" s="5">
        <v>5</v>
      </c>
      <c r="S12" s="14" t="s">
        <v>54</v>
      </c>
      <c r="T12" s="15">
        <f t="shared" si="6"/>
        <v>0</v>
      </c>
      <c r="U12" s="15">
        <f t="shared" si="7"/>
        <v>0</v>
      </c>
      <c r="V12" s="6"/>
      <c r="W12" s="6"/>
      <c r="X12" s="16"/>
      <c r="Y12" s="16"/>
      <c r="Z12" s="16"/>
      <c r="AA12" s="16"/>
      <c r="AB12" s="16"/>
      <c r="AC12" s="16"/>
      <c r="AD12" s="16"/>
      <c r="AE12" s="16"/>
      <c r="AF12" s="16"/>
      <c r="AG12" s="16"/>
      <c r="AH12" s="16"/>
      <c r="AI12" s="16"/>
      <c r="AJ12" s="16"/>
      <c r="AK12" s="16"/>
      <c r="AL12" s="16"/>
      <c r="AM12" s="16"/>
      <c r="AN12" s="16"/>
      <c r="AO12" s="16"/>
      <c r="AP12" s="16"/>
      <c r="AQ12" s="16"/>
      <c r="AR12" s="16"/>
      <c r="AS12" s="16"/>
      <c r="AT12" s="16"/>
      <c r="AU12" s="16"/>
      <c r="AV12" s="16"/>
      <c r="AW12" s="16"/>
      <c r="AX12" s="16"/>
      <c r="AY12" s="16"/>
      <c r="AZ12" s="16"/>
      <c r="BA12" s="16"/>
      <c r="BB12" s="15">
        <f t="shared" si="8"/>
        <v>0</v>
      </c>
      <c r="BC12" s="15"/>
      <c r="BD12" s="16"/>
      <c r="BE12" s="16"/>
      <c r="BF12" s="16"/>
      <c r="BG12" s="16"/>
      <c r="BH12" s="16"/>
      <c r="BI12" s="16"/>
      <c r="BJ12" s="16"/>
      <c r="BK12" s="16"/>
      <c r="BL12" s="16"/>
      <c r="BM12" s="16"/>
      <c r="BN12" s="16"/>
      <c r="BO12" s="16"/>
      <c r="BP12" s="16"/>
      <c r="BQ12" s="16"/>
      <c r="BR12" s="16"/>
      <c r="BS12" s="16"/>
      <c r="BT12" s="16"/>
      <c r="BU12" s="16"/>
      <c r="BV12" s="16"/>
      <c r="BW12" s="16"/>
    </row>
    <row r="13" spans="1:75" ht="18" hidden="1" customHeight="1" outlineLevel="1">
      <c r="B13" s="7">
        <v>2021</v>
      </c>
      <c r="C13" s="8" t="s">
        <v>12</v>
      </c>
      <c r="E13" s="8">
        <v>6867</v>
      </c>
      <c r="J13" s="9"/>
      <c r="Q13" s="5">
        <v>2034</v>
      </c>
      <c r="R13" s="5">
        <v>4</v>
      </c>
      <c r="S13" s="14" t="s">
        <v>54</v>
      </c>
      <c r="T13" s="15">
        <f t="shared" si="6"/>
        <v>0</v>
      </c>
      <c r="U13" s="15">
        <f t="shared" si="7"/>
        <v>0</v>
      </c>
      <c r="V13" s="6"/>
      <c r="W13" s="6"/>
      <c r="X13" s="16"/>
      <c r="Y13" s="16"/>
      <c r="Z13" s="16"/>
      <c r="AA13" s="16"/>
      <c r="AB13" s="16"/>
      <c r="AC13" s="16"/>
      <c r="AD13" s="16"/>
      <c r="AE13" s="16"/>
      <c r="AF13" s="16"/>
      <c r="AG13" s="16"/>
      <c r="AH13" s="16"/>
      <c r="AI13" s="16"/>
      <c r="AJ13" s="16"/>
      <c r="AK13" s="16"/>
      <c r="AL13" s="16"/>
      <c r="AM13" s="16"/>
      <c r="AN13" s="16"/>
      <c r="AO13" s="16"/>
      <c r="AP13" s="16"/>
      <c r="AQ13" s="16"/>
      <c r="AR13" s="16"/>
      <c r="AS13" s="16"/>
      <c r="AT13" s="16"/>
      <c r="AU13" s="16"/>
      <c r="AV13" s="16"/>
      <c r="AW13" s="16"/>
      <c r="AX13" s="16"/>
      <c r="AY13" s="16"/>
      <c r="AZ13" s="16"/>
      <c r="BA13" s="16"/>
      <c r="BB13" s="15">
        <f t="shared" si="8"/>
        <v>0</v>
      </c>
      <c r="BC13" s="15"/>
      <c r="BD13" s="16"/>
      <c r="BE13" s="16"/>
      <c r="BF13" s="16"/>
      <c r="BG13" s="16"/>
      <c r="BH13" s="16"/>
      <c r="BI13" s="16"/>
      <c r="BJ13" s="16"/>
      <c r="BK13" s="16"/>
      <c r="BL13" s="16"/>
      <c r="BM13" s="16"/>
      <c r="BN13" s="16"/>
      <c r="BO13" s="16"/>
      <c r="BP13" s="16"/>
      <c r="BQ13" s="16"/>
      <c r="BR13" s="16"/>
      <c r="BS13" s="16"/>
      <c r="BT13" s="16"/>
      <c r="BU13" s="16"/>
      <c r="BV13" s="16"/>
      <c r="BW13" s="16"/>
    </row>
    <row r="14" spans="1:75" ht="18" hidden="1" customHeight="1" outlineLevel="1">
      <c r="B14" s="7">
        <v>2021</v>
      </c>
      <c r="C14" s="8" t="s">
        <v>12</v>
      </c>
      <c r="E14" s="8">
        <v>6867</v>
      </c>
      <c r="J14" s="9"/>
      <c r="Q14" s="5">
        <v>2034</v>
      </c>
      <c r="R14" s="5">
        <v>4</v>
      </c>
      <c r="S14" s="14" t="s">
        <v>28</v>
      </c>
      <c r="T14" s="15">
        <f t="shared" si="6"/>
        <v>0</v>
      </c>
      <c r="U14" s="15">
        <f t="shared" si="7"/>
        <v>0</v>
      </c>
      <c r="V14" s="16"/>
      <c r="W14" s="16"/>
      <c r="X14" s="16"/>
      <c r="Y14" s="16"/>
      <c r="Z14" s="16"/>
      <c r="AA14" s="16"/>
      <c r="AB14" s="16"/>
      <c r="AC14" s="16"/>
      <c r="AD14" s="16"/>
      <c r="AE14" s="16"/>
      <c r="AF14" s="16"/>
      <c r="AG14" s="16"/>
      <c r="AH14" s="16"/>
      <c r="AI14" s="16"/>
      <c r="AJ14" s="16"/>
      <c r="AK14" s="16"/>
      <c r="AL14" s="16"/>
      <c r="AM14" s="16"/>
      <c r="AN14" s="16"/>
      <c r="AO14" s="16"/>
      <c r="AP14" s="16"/>
      <c r="AQ14" s="16"/>
      <c r="AR14" s="16"/>
      <c r="AS14" s="16"/>
      <c r="AT14" s="16"/>
      <c r="AU14" s="16"/>
      <c r="AV14" s="16"/>
      <c r="AW14" s="16"/>
      <c r="AX14" s="16"/>
      <c r="AY14" s="16"/>
      <c r="AZ14" s="16"/>
      <c r="BA14" s="16"/>
      <c r="BB14" s="15">
        <f t="shared" si="8"/>
        <v>0</v>
      </c>
      <c r="BC14" s="15"/>
      <c r="BD14" s="16"/>
      <c r="BE14" s="16"/>
      <c r="BF14" s="16"/>
      <c r="BG14" s="16"/>
      <c r="BH14" s="16"/>
      <c r="BI14" s="16"/>
      <c r="BJ14" s="16"/>
      <c r="BK14" s="16"/>
      <c r="BL14" s="16"/>
      <c r="BM14" s="16"/>
      <c r="BN14" s="16"/>
      <c r="BO14" s="16"/>
      <c r="BP14" s="16"/>
      <c r="BQ14" s="16"/>
      <c r="BR14" s="16"/>
      <c r="BS14" s="16"/>
      <c r="BT14" s="16"/>
      <c r="BU14" s="16"/>
      <c r="BV14" s="16"/>
      <c r="BW14" s="16"/>
    </row>
    <row r="15" spans="1:75" ht="18" hidden="1" customHeight="1" outlineLevel="1">
      <c r="B15" s="7">
        <v>2022</v>
      </c>
      <c r="C15" s="8" t="s">
        <v>12</v>
      </c>
      <c r="E15" s="8">
        <v>6867</v>
      </c>
      <c r="J15" s="9"/>
      <c r="Q15" s="5">
        <v>2034</v>
      </c>
      <c r="R15" s="5">
        <v>3</v>
      </c>
      <c r="S15" s="14" t="s">
        <v>54</v>
      </c>
      <c r="T15" s="15">
        <f t="shared" si="6"/>
        <v>0</v>
      </c>
      <c r="U15" s="15">
        <f t="shared" si="7"/>
        <v>0</v>
      </c>
      <c r="V15" s="6"/>
      <c r="W15" s="6"/>
      <c r="X15" s="16"/>
      <c r="Y15" s="16"/>
      <c r="Z15" s="16"/>
      <c r="AA15" s="16"/>
      <c r="AB15" s="16"/>
      <c r="AC15" s="16"/>
      <c r="AD15" s="16"/>
      <c r="AE15" s="16"/>
      <c r="AF15" s="16"/>
      <c r="AG15" s="16"/>
      <c r="AH15" s="16"/>
      <c r="AI15" s="16"/>
      <c r="AJ15" s="16"/>
      <c r="AK15" s="16"/>
      <c r="AL15" s="16"/>
      <c r="AM15" s="16"/>
      <c r="AN15" s="16"/>
      <c r="AO15" s="16"/>
      <c r="AP15" s="16"/>
      <c r="AQ15" s="16"/>
      <c r="AR15" s="16"/>
      <c r="AS15" s="16"/>
      <c r="AT15" s="16"/>
      <c r="AU15" s="16"/>
      <c r="AV15" s="16"/>
      <c r="AW15" s="16"/>
      <c r="AX15" s="16"/>
      <c r="AY15" s="16"/>
      <c r="AZ15" s="16"/>
      <c r="BA15" s="16"/>
      <c r="BB15" s="15">
        <f t="shared" si="8"/>
        <v>0</v>
      </c>
      <c r="BC15" s="15"/>
      <c r="BD15" s="16"/>
      <c r="BE15" s="16"/>
      <c r="BF15" s="16"/>
      <c r="BG15" s="16"/>
      <c r="BH15" s="16"/>
      <c r="BI15" s="16"/>
      <c r="BJ15" s="16"/>
      <c r="BK15" s="16"/>
      <c r="BL15" s="16"/>
      <c r="BM15" s="16"/>
      <c r="BN15" s="16"/>
      <c r="BO15" s="16"/>
      <c r="BP15" s="16"/>
      <c r="BQ15" s="16"/>
      <c r="BR15" s="16"/>
      <c r="BS15" s="16"/>
      <c r="BT15" s="16"/>
      <c r="BU15" s="16"/>
      <c r="BV15" s="16"/>
      <c r="BW15" s="16"/>
    </row>
    <row r="16" spans="1:75" ht="18" hidden="1" customHeight="1" outlineLevel="1">
      <c r="B16" s="7">
        <v>2023</v>
      </c>
      <c r="C16" s="8" t="s">
        <v>12</v>
      </c>
      <c r="E16" s="8">
        <v>6867</v>
      </c>
      <c r="J16" s="9"/>
      <c r="Q16" s="5">
        <v>2034</v>
      </c>
      <c r="R16" s="5">
        <v>2</v>
      </c>
      <c r="S16" s="14" t="s">
        <v>54</v>
      </c>
      <c r="T16" s="15">
        <f t="shared" si="6"/>
        <v>0</v>
      </c>
      <c r="U16" s="15">
        <f t="shared" si="7"/>
        <v>0</v>
      </c>
      <c r="V16" s="6"/>
      <c r="W16" s="6"/>
      <c r="X16" s="16"/>
      <c r="Y16" s="16"/>
      <c r="Z16" s="16"/>
      <c r="AA16" s="16"/>
      <c r="AB16" s="16"/>
      <c r="AC16" s="16"/>
      <c r="AD16" s="16"/>
      <c r="AE16" s="16"/>
      <c r="AF16" s="16"/>
      <c r="AG16" s="16"/>
      <c r="AH16" s="16"/>
      <c r="AI16" s="16"/>
      <c r="AJ16" s="16"/>
      <c r="AK16" s="16"/>
      <c r="AL16" s="16"/>
      <c r="AM16" s="16"/>
      <c r="AN16" s="16"/>
      <c r="AO16" s="16"/>
      <c r="AP16" s="16"/>
      <c r="AQ16" s="16"/>
      <c r="AR16" s="16"/>
      <c r="AS16" s="16"/>
      <c r="AT16" s="16"/>
      <c r="AU16" s="16"/>
      <c r="AV16" s="16"/>
      <c r="AW16" s="16"/>
      <c r="AX16" s="16"/>
      <c r="AY16" s="16"/>
      <c r="AZ16" s="16"/>
      <c r="BA16" s="16"/>
      <c r="BB16" s="15">
        <f t="shared" si="8"/>
        <v>0</v>
      </c>
      <c r="BC16" s="15"/>
      <c r="BD16" s="16"/>
      <c r="BE16" s="16"/>
      <c r="BF16" s="16"/>
      <c r="BG16" s="16"/>
      <c r="BH16" s="16"/>
      <c r="BI16" s="16"/>
      <c r="BJ16" s="16"/>
      <c r="BK16" s="16"/>
      <c r="BL16" s="16"/>
      <c r="BM16" s="16"/>
      <c r="BN16" s="16"/>
      <c r="BO16" s="16"/>
      <c r="BP16" s="16"/>
      <c r="BQ16" s="16"/>
      <c r="BR16" s="16"/>
      <c r="BS16" s="16"/>
      <c r="BT16" s="16"/>
      <c r="BU16" s="16"/>
      <c r="BV16" s="16"/>
      <c r="BW16" s="16"/>
    </row>
    <row r="17" spans="1:75" ht="18" hidden="1" customHeight="1" outlineLevel="1">
      <c r="B17" s="7">
        <v>2024</v>
      </c>
      <c r="C17" s="8" t="s">
        <v>12</v>
      </c>
      <c r="E17" s="8">
        <v>6867</v>
      </c>
      <c r="J17" s="9"/>
      <c r="Q17" s="5">
        <v>2034</v>
      </c>
      <c r="R17" s="5">
        <v>1</v>
      </c>
      <c r="S17" s="14" t="s">
        <v>54</v>
      </c>
      <c r="T17" s="15">
        <f t="shared" si="6"/>
        <v>0</v>
      </c>
      <c r="U17" s="15">
        <f t="shared" si="7"/>
        <v>0</v>
      </c>
      <c r="V17" s="6"/>
      <c r="W17" s="6"/>
      <c r="X17" s="16"/>
      <c r="Y17" s="16"/>
      <c r="Z17" s="16"/>
      <c r="AA17" s="16"/>
      <c r="AB17" s="16"/>
      <c r="AC17" s="16"/>
      <c r="AD17" s="16"/>
      <c r="AE17" s="16"/>
      <c r="AF17" s="16"/>
      <c r="AG17" s="16"/>
      <c r="AH17" s="16"/>
      <c r="AI17" s="16"/>
      <c r="AJ17" s="16"/>
      <c r="AK17" s="16"/>
      <c r="AL17" s="16"/>
      <c r="AM17" s="16"/>
      <c r="AN17" s="16"/>
      <c r="AO17" s="16"/>
      <c r="AP17" s="16"/>
      <c r="AQ17" s="16"/>
      <c r="AR17" s="16"/>
      <c r="AS17" s="16"/>
      <c r="AT17" s="16"/>
      <c r="AU17" s="16"/>
      <c r="AV17" s="16"/>
      <c r="AW17" s="16"/>
      <c r="AX17" s="16"/>
      <c r="AY17" s="16"/>
      <c r="AZ17" s="16"/>
      <c r="BA17" s="16"/>
      <c r="BB17" s="15">
        <f t="shared" si="8"/>
        <v>0</v>
      </c>
      <c r="BC17" s="15"/>
      <c r="BD17" s="16"/>
      <c r="BE17" s="16"/>
      <c r="BF17" s="16"/>
      <c r="BG17" s="16"/>
      <c r="BH17" s="16"/>
      <c r="BI17" s="16"/>
      <c r="BJ17" s="16"/>
      <c r="BK17" s="16"/>
      <c r="BL17" s="16"/>
      <c r="BM17" s="16"/>
      <c r="BN17" s="16"/>
      <c r="BO17" s="16"/>
      <c r="BP17" s="16"/>
      <c r="BQ17" s="16"/>
      <c r="BR17" s="16"/>
      <c r="BS17" s="16"/>
      <c r="BT17" s="16"/>
      <c r="BU17" s="16"/>
      <c r="BV17" s="16"/>
      <c r="BW17" s="16"/>
    </row>
    <row r="18" spans="1:75" s="1" customFormat="1" ht="18" customHeight="1" collapsed="1">
      <c r="A18" s="10"/>
      <c r="B18" s="11"/>
      <c r="C18" s="12"/>
      <c r="D18" s="11"/>
      <c r="E18" s="12"/>
      <c r="F18" s="12"/>
      <c r="G18" s="12"/>
      <c r="H18" s="12"/>
      <c r="I18" s="12"/>
      <c r="J18" s="3"/>
      <c r="K18" s="12"/>
      <c r="L18" s="12"/>
      <c r="M18" s="12"/>
      <c r="N18" s="12"/>
      <c r="O18" s="13"/>
      <c r="Q18" s="628" t="s">
        <v>1989</v>
      </c>
      <c r="R18" s="628"/>
      <c r="S18" s="628"/>
      <c r="T18" s="23">
        <f t="shared" ref="T18:AZ18" si="12">SUMIF($Q$2:$Q$793,$Q19,T$2:T$793)</f>
        <v>0</v>
      </c>
      <c r="U18" s="23">
        <f t="shared" si="12"/>
        <v>0</v>
      </c>
      <c r="V18" s="23">
        <f t="shared" si="12"/>
        <v>0</v>
      </c>
      <c r="W18" s="23">
        <f t="shared" si="12"/>
        <v>0</v>
      </c>
      <c r="X18" s="23">
        <f t="shared" si="12"/>
        <v>0</v>
      </c>
      <c r="Y18" s="23">
        <f t="shared" si="12"/>
        <v>0</v>
      </c>
      <c r="Z18" s="23">
        <f t="shared" si="12"/>
        <v>0</v>
      </c>
      <c r="AA18" s="23">
        <f t="shared" si="12"/>
        <v>0</v>
      </c>
      <c r="AB18" s="23">
        <f t="shared" si="12"/>
        <v>0</v>
      </c>
      <c r="AC18" s="23">
        <f t="shared" si="12"/>
        <v>0</v>
      </c>
      <c r="AD18" s="23">
        <f t="shared" si="12"/>
        <v>0</v>
      </c>
      <c r="AE18" s="23">
        <f t="shared" si="12"/>
        <v>0</v>
      </c>
      <c r="AF18" s="23">
        <f t="shared" si="12"/>
        <v>0</v>
      </c>
      <c r="AG18" s="23">
        <f t="shared" si="12"/>
        <v>0</v>
      </c>
      <c r="AH18" s="23">
        <f t="shared" si="12"/>
        <v>0</v>
      </c>
      <c r="AI18" s="23">
        <f t="shared" si="12"/>
        <v>0</v>
      </c>
      <c r="AJ18" s="23">
        <f t="shared" si="12"/>
        <v>0</v>
      </c>
      <c r="AK18" s="23">
        <f t="shared" si="12"/>
        <v>0</v>
      </c>
      <c r="AL18" s="23">
        <f t="shared" si="12"/>
        <v>0</v>
      </c>
      <c r="AM18" s="23">
        <f t="shared" si="12"/>
        <v>0</v>
      </c>
      <c r="AN18" s="23">
        <f t="shared" si="12"/>
        <v>0</v>
      </c>
      <c r="AO18" s="23">
        <f t="shared" si="12"/>
        <v>0</v>
      </c>
      <c r="AP18" s="23">
        <f t="shared" si="12"/>
        <v>0</v>
      </c>
      <c r="AQ18" s="23">
        <f t="shared" si="12"/>
        <v>0</v>
      </c>
      <c r="AR18" s="23">
        <f t="shared" si="12"/>
        <v>0</v>
      </c>
      <c r="AS18" s="23">
        <f t="shared" si="12"/>
        <v>0</v>
      </c>
      <c r="AT18" s="23">
        <f t="shared" si="12"/>
        <v>0</v>
      </c>
      <c r="AU18" s="23">
        <f t="shared" si="12"/>
        <v>0</v>
      </c>
      <c r="AV18" s="23">
        <f t="shared" si="12"/>
        <v>0</v>
      </c>
      <c r="AW18" s="23">
        <f t="shared" si="12"/>
        <v>0</v>
      </c>
      <c r="AX18" s="23">
        <f t="shared" si="12"/>
        <v>0</v>
      </c>
      <c r="AY18" s="23">
        <f t="shared" si="12"/>
        <v>0</v>
      </c>
      <c r="AZ18" s="23">
        <f t="shared" si="12"/>
        <v>0</v>
      </c>
      <c r="BA18" s="23"/>
      <c r="BB18" s="23">
        <f t="shared" ref="BB18:BW18" si="13">SUMIF($Q$2:$Q$793,$Q19,BB$2:BB$793)</f>
        <v>0</v>
      </c>
      <c r="BC18" s="23">
        <f t="shared" si="13"/>
        <v>0</v>
      </c>
      <c r="BD18" s="23">
        <f t="shared" si="13"/>
        <v>0</v>
      </c>
      <c r="BE18" s="23">
        <f t="shared" si="13"/>
        <v>0</v>
      </c>
      <c r="BF18" s="23">
        <f t="shared" si="13"/>
        <v>0</v>
      </c>
      <c r="BG18" s="23">
        <f t="shared" si="13"/>
        <v>0</v>
      </c>
      <c r="BH18" s="23">
        <f t="shared" si="13"/>
        <v>0</v>
      </c>
      <c r="BI18" s="23">
        <f t="shared" si="13"/>
        <v>0</v>
      </c>
      <c r="BJ18" s="23">
        <f t="shared" si="13"/>
        <v>0</v>
      </c>
      <c r="BK18" s="23">
        <f t="shared" si="13"/>
        <v>0</v>
      </c>
      <c r="BL18" s="23">
        <f t="shared" si="13"/>
        <v>0</v>
      </c>
      <c r="BM18" s="23">
        <f t="shared" si="13"/>
        <v>0</v>
      </c>
      <c r="BN18" s="23">
        <f t="shared" si="13"/>
        <v>0</v>
      </c>
      <c r="BO18" s="23">
        <f t="shared" si="13"/>
        <v>0</v>
      </c>
      <c r="BP18" s="23">
        <f t="shared" si="13"/>
        <v>0</v>
      </c>
      <c r="BQ18" s="23">
        <f t="shared" si="13"/>
        <v>0</v>
      </c>
      <c r="BR18" s="23">
        <f t="shared" si="13"/>
        <v>0</v>
      </c>
      <c r="BS18" s="23">
        <f t="shared" si="13"/>
        <v>0</v>
      </c>
      <c r="BT18" s="23">
        <f t="shared" si="13"/>
        <v>0</v>
      </c>
      <c r="BU18" s="23">
        <f t="shared" si="13"/>
        <v>0</v>
      </c>
      <c r="BV18" s="23">
        <f t="shared" si="13"/>
        <v>0</v>
      </c>
      <c r="BW18" s="23">
        <f t="shared" si="13"/>
        <v>0</v>
      </c>
    </row>
    <row r="19" spans="1:75" ht="18" hidden="1" customHeight="1" outlineLevel="1">
      <c r="D19" s="7" t="s">
        <v>11</v>
      </c>
      <c r="F19" s="8">
        <v>4717</v>
      </c>
      <c r="G19" s="8">
        <v>5848</v>
      </c>
      <c r="K19" s="8">
        <v>2400</v>
      </c>
      <c r="L19" s="8">
        <f>K19*12</f>
        <v>28800</v>
      </c>
      <c r="M19" s="8">
        <f>L19*1.13</f>
        <v>32543.999999999996</v>
      </c>
      <c r="N19" s="8">
        <v>21014</v>
      </c>
      <c r="O19" s="9">
        <f>N19/M19</f>
        <v>0.64571042281219282</v>
      </c>
      <c r="Q19" s="5">
        <v>2033</v>
      </c>
      <c r="R19" s="5">
        <v>12</v>
      </c>
      <c r="S19" s="14" t="s">
        <v>54</v>
      </c>
      <c r="T19" s="15">
        <f t="shared" ref="T19:T31" si="14">IF(U19=U19-BB19,0,U19-BB19)</f>
        <v>0</v>
      </c>
      <c r="U19" s="15">
        <f t="shared" ref="U19:U31" si="15">SUM(V19:BA19)</f>
        <v>0</v>
      </c>
      <c r="V19" s="6"/>
      <c r="W19" s="6"/>
      <c r="X19" s="16"/>
      <c r="Y19" s="16"/>
      <c r="Z19" s="16"/>
      <c r="AA19" s="16"/>
      <c r="AB19" s="16"/>
      <c r="AC19" s="16"/>
      <c r="AD19" s="16"/>
      <c r="AE19" s="16"/>
      <c r="AF19" s="16"/>
      <c r="AG19" s="16"/>
      <c r="AH19" s="16"/>
      <c r="AI19" s="16"/>
      <c r="AJ19" s="16"/>
      <c r="AK19" s="16"/>
      <c r="AL19" s="16"/>
      <c r="AM19" s="16"/>
      <c r="AN19" s="16"/>
      <c r="AO19" s="16"/>
      <c r="AP19" s="16"/>
      <c r="AQ19" s="16"/>
      <c r="AR19" s="16"/>
      <c r="AS19" s="16"/>
      <c r="AT19" s="16"/>
      <c r="AU19" s="16"/>
      <c r="AV19" s="16"/>
      <c r="AW19" s="16"/>
      <c r="AX19" s="16"/>
      <c r="AY19" s="16"/>
      <c r="AZ19" s="16"/>
      <c r="BA19" s="16"/>
      <c r="BB19" s="15">
        <f t="shared" ref="BB19:BB31" si="16">SUM(BC19:BW19)</f>
        <v>0</v>
      </c>
      <c r="BC19" s="15"/>
      <c r="BD19" s="16"/>
      <c r="BE19" s="16"/>
      <c r="BF19" s="16"/>
      <c r="BG19" s="16"/>
      <c r="BH19" s="16"/>
      <c r="BI19" s="16"/>
      <c r="BJ19" s="16"/>
      <c r="BK19" s="16"/>
      <c r="BL19" s="16"/>
      <c r="BM19" s="16"/>
      <c r="BN19" s="16"/>
      <c r="BO19" s="16"/>
      <c r="BP19" s="16"/>
      <c r="BQ19" s="16"/>
      <c r="BR19" s="16"/>
      <c r="BS19" s="16"/>
      <c r="BT19" s="16"/>
      <c r="BU19" s="16"/>
      <c r="BV19" s="16"/>
      <c r="BW19" s="16"/>
    </row>
    <row r="20" spans="1:75" ht="18" hidden="1" customHeight="1" outlineLevel="1">
      <c r="D20" s="7" t="s">
        <v>11</v>
      </c>
      <c r="F20" s="8">
        <v>4717</v>
      </c>
      <c r="G20" s="8">
        <v>5848</v>
      </c>
      <c r="K20" s="8">
        <v>2400</v>
      </c>
      <c r="L20" s="8">
        <f>K20*12</f>
        <v>28800</v>
      </c>
      <c r="M20" s="8">
        <f>L20*1.13</f>
        <v>32543.999999999996</v>
      </c>
      <c r="N20" s="8">
        <v>21014</v>
      </c>
      <c r="O20" s="9">
        <f>N20/M20</f>
        <v>0.64571042281219282</v>
      </c>
      <c r="Q20" s="5">
        <v>2033</v>
      </c>
      <c r="R20" s="5">
        <v>11</v>
      </c>
      <c r="S20" s="14" t="s">
        <v>54</v>
      </c>
      <c r="T20" s="15">
        <f t="shared" si="14"/>
        <v>0</v>
      </c>
      <c r="U20" s="15">
        <f t="shared" si="15"/>
        <v>0</v>
      </c>
      <c r="V20" s="6"/>
      <c r="W20" s="6"/>
      <c r="X20" s="16"/>
      <c r="Y20" s="16"/>
      <c r="Z20" s="16"/>
      <c r="AA20" s="16"/>
      <c r="AB20" s="16"/>
      <c r="AC20" s="16"/>
      <c r="AD20" s="16"/>
      <c r="AE20" s="16"/>
      <c r="AF20" s="16"/>
      <c r="AG20" s="16"/>
      <c r="AH20" s="16"/>
      <c r="AI20" s="16"/>
      <c r="AJ20" s="16"/>
      <c r="AK20" s="16"/>
      <c r="AL20" s="16"/>
      <c r="AM20" s="16"/>
      <c r="AN20" s="16"/>
      <c r="AO20" s="16"/>
      <c r="AP20" s="16"/>
      <c r="AQ20" s="16"/>
      <c r="AR20" s="16"/>
      <c r="AS20" s="16"/>
      <c r="AT20" s="16"/>
      <c r="AU20" s="16"/>
      <c r="AV20" s="16"/>
      <c r="AW20" s="16"/>
      <c r="AX20" s="16"/>
      <c r="AY20" s="16"/>
      <c r="AZ20" s="16"/>
      <c r="BA20" s="16"/>
      <c r="BB20" s="15">
        <f t="shared" si="16"/>
        <v>0</v>
      </c>
      <c r="BC20" s="15"/>
      <c r="BD20" s="16"/>
      <c r="BE20" s="16"/>
      <c r="BF20" s="16"/>
      <c r="BG20" s="16"/>
      <c r="BH20" s="16"/>
      <c r="BI20" s="16"/>
      <c r="BJ20" s="16"/>
      <c r="BK20" s="16"/>
      <c r="BL20" s="16"/>
      <c r="BM20" s="16"/>
      <c r="BN20" s="16"/>
      <c r="BO20" s="16"/>
      <c r="BP20" s="16"/>
      <c r="BQ20" s="16"/>
      <c r="BR20" s="16"/>
      <c r="BS20" s="16"/>
      <c r="BT20" s="16"/>
      <c r="BU20" s="16"/>
      <c r="BV20" s="16"/>
      <c r="BW20" s="16"/>
    </row>
    <row r="21" spans="1:75" ht="18" hidden="1" customHeight="1" outlineLevel="1">
      <c r="D21" s="7" t="s">
        <v>11</v>
      </c>
      <c r="F21" s="8">
        <v>4717</v>
      </c>
      <c r="G21" s="8">
        <v>5848</v>
      </c>
      <c r="K21" s="8">
        <v>2400</v>
      </c>
      <c r="L21" s="8">
        <f t="shared" ref="L21:L24" si="17">K21*12</f>
        <v>28800</v>
      </c>
      <c r="M21" s="8">
        <f t="shared" ref="M21:M24" si="18">L21*1.13</f>
        <v>32543.999999999996</v>
      </c>
      <c r="N21" s="8">
        <v>21014</v>
      </c>
      <c r="O21" s="9">
        <f t="shared" ref="O21:O24" si="19">N21/M21</f>
        <v>0.64571042281219282</v>
      </c>
      <c r="Q21" s="5">
        <v>2033</v>
      </c>
      <c r="R21" s="5">
        <v>10</v>
      </c>
      <c r="S21" s="14" t="s">
        <v>54</v>
      </c>
      <c r="T21" s="15">
        <f t="shared" si="14"/>
        <v>0</v>
      </c>
      <c r="U21" s="15">
        <f t="shared" si="15"/>
        <v>0</v>
      </c>
      <c r="V21" s="6"/>
      <c r="W21" s="6"/>
      <c r="X21" s="16"/>
      <c r="Y21" s="16"/>
      <c r="Z21" s="16"/>
      <c r="AA21" s="16"/>
      <c r="AB21" s="16"/>
      <c r="AC21" s="16"/>
      <c r="AD21" s="16"/>
      <c r="AE21" s="16"/>
      <c r="AF21" s="16"/>
      <c r="AG21" s="16"/>
      <c r="AH21" s="16"/>
      <c r="AI21" s="16"/>
      <c r="AJ21" s="16"/>
      <c r="AK21" s="16"/>
      <c r="AL21" s="16"/>
      <c r="AM21" s="16"/>
      <c r="AN21" s="16"/>
      <c r="AO21" s="16"/>
      <c r="AP21" s="16"/>
      <c r="AQ21" s="16"/>
      <c r="AR21" s="16"/>
      <c r="AS21" s="16"/>
      <c r="AT21" s="16"/>
      <c r="AU21" s="16"/>
      <c r="AV21" s="16"/>
      <c r="AW21" s="16"/>
      <c r="AX21" s="16"/>
      <c r="AY21" s="16"/>
      <c r="AZ21" s="16"/>
      <c r="BA21" s="16"/>
      <c r="BB21" s="15">
        <f t="shared" si="16"/>
        <v>0</v>
      </c>
      <c r="BC21" s="15"/>
      <c r="BD21" s="16"/>
      <c r="BE21" s="16"/>
      <c r="BF21" s="16"/>
      <c r="BG21" s="16"/>
      <c r="BH21" s="16"/>
      <c r="BI21" s="16"/>
      <c r="BJ21" s="16"/>
      <c r="BK21" s="16"/>
      <c r="BL21" s="16"/>
      <c r="BM21" s="16"/>
      <c r="BN21" s="16"/>
      <c r="BO21" s="16"/>
      <c r="BP21" s="16"/>
      <c r="BQ21" s="16"/>
      <c r="BR21" s="16"/>
      <c r="BS21" s="16"/>
      <c r="BT21" s="16"/>
      <c r="BU21" s="16"/>
      <c r="BV21" s="16"/>
      <c r="BW21" s="16"/>
    </row>
    <row r="22" spans="1:75" ht="18" hidden="1" customHeight="1" outlineLevel="1">
      <c r="D22" s="7" t="s">
        <v>12</v>
      </c>
      <c r="F22" s="8">
        <v>6867</v>
      </c>
      <c r="G22" s="8">
        <v>6867</v>
      </c>
      <c r="K22" s="8">
        <v>2400</v>
      </c>
      <c r="L22" s="8">
        <f t="shared" si="17"/>
        <v>28800</v>
      </c>
      <c r="M22" s="8">
        <f t="shared" si="18"/>
        <v>32543.999999999996</v>
      </c>
      <c r="N22" s="8">
        <v>21014</v>
      </c>
      <c r="O22" s="9">
        <f t="shared" si="19"/>
        <v>0.64571042281219282</v>
      </c>
      <c r="Q22" s="5">
        <v>2033</v>
      </c>
      <c r="R22" s="5">
        <v>9</v>
      </c>
      <c r="S22" s="14" t="s">
        <v>54</v>
      </c>
      <c r="T22" s="15">
        <f t="shared" si="14"/>
        <v>0</v>
      </c>
      <c r="U22" s="15">
        <f t="shared" si="15"/>
        <v>0</v>
      </c>
      <c r="V22" s="6"/>
      <c r="W22" s="6"/>
      <c r="X22" s="16"/>
      <c r="Y22" s="16"/>
      <c r="Z22" s="16"/>
      <c r="AA22" s="16"/>
      <c r="AB22" s="16"/>
      <c r="AC22" s="16"/>
      <c r="AD22" s="16"/>
      <c r="AE22" s="16"/>
      <c r="AF22" s="16"/>
      <c r="AG22" s="16"/>
      <c r="AH22" s="16"/>
      <c r="AI22" s="16"/>
      <c r="AJ22" s="16"/>
      <c r="AK22" s="16"/>
      <c r="AL22" s="16"/>
      <c r="AM22" s="16"/>
      <c r="AN22" s="16"/>
      <c r="AO22" s="16"/>
      <c r="AP22" s="16"/>
      <c r="AQ22" s="16"/>
      <c r="AR22" s="16"/>
      <c r="AS22" s="16"/>
      <c r="AT22" s="16"/>
      <c r="AU22" s="16"/>
      <c r="AV22" s="16"/>
      <c r="AW22" s="16"/>
      <c r="AX22" s="16"/>
      <c r="AY22" s="16"/>
      <c r="AZ22" s="16"/>
      <c r="BA22" s="16"/>
      <c r="BB22" s="15">
        <f t="shared" si="16"/>
        <v>0</v>
      </c>
      <c r="BC22" s="15"/>
      <c r="BD22" s="16"/>
      <c r="BE22" s="16"/>
      <c r="BF22" s="16"/>
      <c r="BG22" s="16"/>
      <c r="BH22" s="16"/>
      <c r="BI22" s="16"/>
      <c r="BJ22" s="16"/>
      <c r="BK22" s="16"/>
      <c r="BL22" s="16"/>
      <c r="BM22" s="16"/>
      <c r="BN22" s="16"/>
      <c r="BO22" s="16"/>
      <c r="BP22" s="16"/>
      <c r="BQ22" s="16"/>
      <c r="BR22" s="16"/>
      <c r="BS22" s="16"/>
      <c r="BT22" s="16"/>
      <c r="BU22" s="16"/>
      <c r="BV22" s="16"/>
      <c r="BW22" s="16"/>
    </row>
    <row r="23" spans="1:75" ht="18" hidden="1" customHeight="1" outlineLevel="1">
      <c r="D23" s="7" t="s">
        <v>13</v>
      </c>
      <c r="F23" s="8">
        <v>7988</v>
      </c>
      <c r="G23" s="8" t="s">
        <v>2</v>
      </c>
      <c r="H23" s="8" t="s">
        <v>17</v>
      </c>
      <c r="I23" s="8">
        <v>171</v>
      </c>
      <c r="K23" s="8">
        <v>2400</v>
      </c>
      <c r="L23" s="8">
        <f t="shared" si="17"/>
        <v>28800</v>
      </c>
      <c r="M23" s="8">
        <f t="shared" si="18"/>
        <v>32543.999999999996</v>
      </c>
      <c r="N23" s="8">
        <v>21014</v>
      </c>
      <c r="O23" s="9">
        <f t="shared" si="19"/>
        <v>0.64571042281219282</v>
      </c>
      <c r="Q23" s="5">
        <v>2033</v>
      </c>
      <c r="R23" s="5">
        <v>8</v>
      </c>
      <c r="S23" s="14" t="s">
        <v>54</v>
      </c>
      <c r="T23" s="15">
        <f t="shared" si="14"/>
        <v>0</v>
      </c>
      <c r="U23" s="15">
        <f t="shared" si="15"/>
        <v>0</v>
      </c>
      <c r="V23" s="6"/>
      <c r="W23" s="6"/>
      <c r="X23" s="16"/>
      <c r="Y23" s="16"/>
      <c r="Z23" s="16"/>
      <c r="AA23" s="16"/>
      <c r="AB23" s="16"/>
      <c r="AC23" s="16"/>
      <c r="AD23" s="16"/>
      <c r="AE23" s="16"/>
      <c r="AF23" s="16"/>
      <c r="AG23" s="16"/>
      <c r="AH23" s="16"/>
      <c r="AI23" s="16"/>
      <c r="AJ23" s="16"/>
      <c r="AK23" s="16"/>
      <c r="AL23" s="16"/>
      <c r="AM23" s="16"/>
      <c r="AN23" s="16"/>
      <c r="AO23" s="16"/>
      <c r="AP23" s="16"/>
      <c r="AQ23" s="16"/>
      <c r="AR23" s="16"/>
      <c r="AS23" s="16"/>
      <c r="AT23" s="16"/>
      <c r="AU23" s="16"/>
      <c r="AV23" s="16"/>
      <c r="AW23" s="16"/>
      <c r="AX23" s="16"/>
      <c r="AY23" s="16"/>
      <c r="AZ23" s="16"/>
      <c r="BA23" s="16"/>
      <c r="BB23" s="15">
        <f t="shared" si="16"/>
        <v>0</v>
      </c>
      <c r="BC23" s="15"/>
      <c r="BD23" s="16"/>
      <c r="BE23" s="16"/>
      <c r="BF23" s="16"/>
      <c r="BG23" s="16"/>
      <c r="BH23" s="16"/>
      <c r="BI23" s="16"/>
      <c r="BJ23" s="16"/>
      <c r="BK23" s="16"/>
      <c r="BL23" s="16"/>
      <c r="BM23" s="16"/>
      <c r="BN23" s="16"/>
      <c r="BO23" s="16"/>
      <c r="BP23" s="16"/>
      <c r="BQ23" s="16"/>
      <c r="BR23" s="16"/>
      <c r="BS23" s="16"/>
      <c r="BT23" s="16"/>
      <c r="BU23" s="16"/>
      <c r="BV23" s="16"/>
      <c r="BW23" s="16"/>
    </row>
    <row r="24" spans="1:75" ht="18" hidden="1" customHeight="1" outlineLevel="1">
      <c r="D24" s="7" t="s">
        <v>13</v>
      </c>
      <c r="F24" s="8">
        <v>7988</v>
      </c>
      <c r="G24" s="8" t="s">
        <v>2</v>
      </c>
      <c r="H24" s="8" t="s">
        <v>17</v>
      </c>
      <c r="I24" s="8">
        <v>171</v>
      </c>
      <c r="K24" s="8">
        <v>2400</v>
      </c>
      <c r="L24" s="8">
        <f t="shared" si="17"/>
        <v>28800</v>
      </c>
      <c r="M24" s="8">
        <f t="shared" si="18"/>
        <v>32543.999999999996</v>
      </c>
      <c r="N24" s="8">
        <v>21014</v>
      </c>
      <c r="O24" s="9">
        <f t="shared" si="19"/>
        <v>0.64571042281219282</v>
      </c>
      <c r="Q24" s="5">
        <v>2033</v>
      </c>
      <c r="R24" s="5">
        <v>7</v>
      </c>
      <c r="S24" s="14" t="s">
        <v>54</v>
      </c>
      <c r="T24" s="15">
        <f t="shared" si="14"/>
        <v>0</v>
      </c>
      <c r="U24" s="15">
        <f t="shared" si="15"/>
        <v>0</v>
      </c>
      <c r="V24" s="6"/>
      <c r="W24" s="6"/>
      <c r="X24" s="16"/>
      <c r="Y24" s="16"/>
      <c r="Z24" s="16"/>
      <c r="AA24" s="16"/>
      <c r="AB24" s="16"/>
      <c r="AC24" s="16"/>
      <c r="AD24" s="16"/>
      <c r="AE24" s="16"/>
      <c r="AF24" s="16"/>
      <c r="AG24" s="16"/>
      <c r="AH24" s="16"/>
      <c r="AI24" s="16"/>
      <c r="AJ24" s="16"/>
      <c r="AK24" s="16"/>
      <c r="AL24" s="16"/>
      <c r="AM24" s="16"/>
      <c r="AN24" s="16"/>
      <c r="AO24" s="16"/>
      <c r="AP24" s="16"/>
      <c r="AQ24" s="16"/>
      <c r="AR24" s="16"/>
      <c r="AS24" s="16"/>
      <c r="AT24" s="16"/>
      <c r="AU24" s="16"/>
      <c r="AV24" s="16"/>
      <c r="AW24" s="16"/>
      <c r="AX24" s="16"/>
      <c r="AY24" s="16"/>
      <c r="AZ24" s="16"/>
      <c r="BA24" s="16"/>
      <c r="BB24" s="15">
        <f t="shared" si="16"/>
        <v>0</v>
      </c>
      <c r="BC24" s="15"/>
      <c r="BD24" s="16"/>
      <c r="BE24" s="16"/>
      <c r="BF24" s="16"/>
      <c r="BG24" s="16"/>
      <c r="BH24" s="16"/>
      <c r="BI24" s="16"/>
      <c r="BJ24" s="16"/>
      <c r="BK24" s="16"/>
      <c r="BL24" s="16"/>
      <c r="BM24" s="16"/>
      <c r="BN24" s="16"/>
      <c r="BO24" s="16"/>
      <c r="BP24" s="16"/>
      <c r="BQ24" s="16"/>
      <c r="BR24" s="16"/>
      <c r="BS24" s="16"/>
      <c r="BT24" s="16"/>
      <c r="BU24" s="16"/>
      <c r="BV24" s="16"/>
      <c r="BW24" s="16"/>
    </row>
    <row r="25" spans="1:75" ht="18" hidden="1" customHeight="1" outlineLevel="1">
      <c r="H25" s="8" t="s">
        <v>18</v>
      </c>
      <c r="I25" s="8">
        <v>122</v>
      </c>
      <c r="J25" s="9"/>
      <c r="Q25" s="5">
        <v>2033</v>
      </c>
      <c r="R25" s="5">
        <v>6</v>
      </c>
      <c r="S25" s="14" t="s">
        <v>54</v>
      </c>
      <c r="T25" s="15">
        <f t="shared" si="14"/>
        <v>0</v>
      </c>
      <c r="U25" s="15">
        <f t="shared" si="15"/>
        <v>0</v>
      </c>
      <c r="V25" s="6"/>
      <c r="W25" s="6"/>
      <c r="X25" s="16"/>
      <c r="Y25" s="16"/>
      <c r="Z25" s="16"/>
      <c r="AA25" s="16"/>
      <c r="AB25" s="16"/>
      <c r="AC25" s="16"/>
      <c r="AD25" s="16"/>
      <c r="AE25" s="16"/>
      <c r="AF25" s="16"/>
      <c r="AG25" s="16"/>
      <c r="AH25" s="16"/>
      <c r="AI25" s="16"/>
      <c r="AJ25" s="16"/>
      <c r="AK25" s="16"/>
      <c r="AL25" s="16"/>
      <c r="AM25" s="16"/>
      <c r="AN25" s="16"/>
      <c r="AO25" s="16"/>
      <c r="AP25" s="16"/>
      <c r="AQ25" s="16"/>
      <c r="AR25" s="16"/>
      <c r="AS25" s="16"/>
      <c r="AT25" s="16"/>
      <c r="AU25" s="16"/>
      <c r="AV25" s="16"/>
      <c r="AW25" s="16"/>
      <c r="AX25" s="16"/>
      <c r="AY25" s="16"/>
      <c r="AZ25" s="16"/>
      <c r="BA25" s="16"/>
      <c r="BB25" s="15">
        <f t="shared" si="16"/>
        <v>0</v>
      </c>
      <c r="BC25" s="15"/>
      <c r="BD25" s="16"/>
      <c r="BE25" s="16"/>
      <c r="BF25" s="16"/>
      <c r="BG25" s="16"/>
      <c r="BH25" s="16"/>
      <c r="BI25" s="16"/>
      <c r="BJ25" s="16"/>
      <c r="BK25" s="16"/>
      <c r="BL25" s="16"/>
      <c r="BM25" s="16"/>
      <c r="BN25" s="16"/>
      <c r="BO25" s="16"/>
      <c r="BP25" s="16"/>
      <c r="BQ25" s="16"/>
      <c r="BR25" s="16"/>
      <c r="BS25" s="16"/>
      <c r="BT25" s="16"/>
      <c r="BU25" s="16"/>
      <c r="BV25" s="16"/>
      <c r="BW25" s="16"/>
    </row>
    <row r="26" spans="1:75" ht="18" hidden="1" customHeight="1" outlineLevel="1">
      <c r="J26" s="9"/>
      <c r="Q26" s="5">
        <v>2033</v>
      </c>
      <c r="R26" s="5">
        <v>5</v>
      </c>
      <c r="S26" s="14" t="s">
        <v>54</v>
      </c>
      <c r="T26" s="15">
        <f t="shared" si="14"/>
        <v>0</v>
      </c>
      <c r="U26" s="15">
        <f t="shared" si="15"/>
        <v>0</v>
      </c>
      <c r="V26" s="6"/>
      <c r="W26" s="6"/>
      <c r="X26" s="16"/>
      <c r="Y26" s="16"/>
      <c r="Z26" s="16"/>
      <c r="AA26" s="16"/>
      <c r="AB26" s="16"/>
      <c r="AC26" s="16"/>
      <c r="AD26" s="16"/>
      <c r="AE26" s="16"/>
      <c r="AF26" s="16"/>
      <c r="AG26" s="16"/>
      <c r="AH26" s="16"/>
      <c r="AI26" s="16"/>
      <c r="AJ26" s="16"/>
      <c r="AK26" s="16"/>
      <c r="AL26" s="16"/>
      <c r="AM26" s="16"/>
      <c r="AN26" s="16"/>
      <c r="AO26" s="16"/>
      <c r="AP26" s="16"/>
      <c r="AQ26" s="16"/>
      <c r="AR26" s="16"/>
      <c r="AS26" s="16"/>
      <c r="AT26" s="16"/>
      <c r="AU26" s="16"/>
      <c r="AV26" s="16"/>
      <c r="AW26" s="16"/>
      <c r="AX26" s="16"/>
      <c r="AY26" s="16"/>
      <c r="AZ26" s="16"/>
      <c r="BA26" s="16"/>
      <c r="BB26" s="15">
        <f t="shared" si="16"/>
        <v>0</v>
      </c>
      <c r="BC26" s="15"/>
      <c r="BD26" s="16"/>
      <c r="BE26" s="16"/>
      <c r="BF26" s="16"/>
      <c r="BG26" s="16"/>
      <c r="BH26" s="16"/>
      <c r="BI26" s="16"/>
      <c r="BJ26" s="16"/>
      <c r="BK26" s="16"/>
      <c r="BL26" s="16"/>
      <c r="BM26" s="16"/>
      <c r="BN26" s="16"/>
      <c r="BO26" s="16"/>
      <c r="BP26" s="16"/>
      <c r="BQ26" s="16"/>
      <c r="BR26" s="16"/>
      <c r="BS26" s="16"/>
      <c r="BT26" s="16"/>
      <c r="BU26" s="16"/>
      <c r="BV26" s="16"/>
      <c r="BW26" s="16"/>
    </row>
    <row r="27" spans="1:75" ht="18" hidden="1" customHeight="1" outlineLevel="1">
      <c r="B27" s="7">
        <v>2021</v>
      </c>
      <c r="C27" s="8" t="s">
        <v>12</v>
      </c>
      <c r="E27" s="8">
        <v>6867</v>
      </c>
      <c r="J27" s="9"/>
      <c r="Q27" s="5">
        <v>2033</v>
      </c>
      <c r="R27" s="5">
        <v>4</v>
      </c>
      <c r="S27" s="14" t="s">
        <v>54</v>
      </c>
      <c r="T27" s="15">
        <f t="shared" si="14"/>
        <v>0</v>
      </c>
      <c r="U27" s="15">
        <f t="shared" si="15"/>
        <v>0</v>
      </c>
      <c r="V27" s="6"/>
      <c r="W27" s="6"/>
      <c r="X27" s="16"/>
      <c r="Y27" s="16"/>
      <c r="Z27" s="16"/>
      <c r="AA27" s="16"/>
      <c r="AB27" s="16"/>
      <c r="AC27" s="16"/>
      <c r="AD27" s="16"/>
      <c r="AE27" s="16"/>
      <c r="AF27" s="16"/>
      <c r="AG27" s="16"/>
      <c r="AH27" s="16"/>
      <c r="AI27" s="16"/>
      <c r="AJ27" s="16"/>
      <c r="AK27" s="16"/>
      <c r="AL27" s="16"/>
      <c r="AM27" s="16"/>
      <c r="AN27" s="16"/>
      <c r="AO27" s="16"/>
      <c r="AP27" s="16"/>
      <c r="AQ27" s="16"/>
      <c r="AR27" s="16"/>
      <c r="AS27" s="16"/>
      <c r="AT27" s="16"/>
      <c r="AU27" s="16"/>
      <c r="AV27" s="16"/>
      <c r="AW27" s="16"/>
      <c r="AX27" s="16"/>
      <c r="AY27" s="16"/>
      <c r="AZ27" s="16"/>
      <c r="BA27" s="16"/>
      <c r="BB27" s="15">
        <f t="shared" si="16"/>
        <v>0</v>
      </c>
      <c r="BC27" s="15"/>
      <c r="BD27" s="16"/>
      <c r="BE27" s="16"/>
      <c r="BF27" s="16"/>
      <c r="BG27" s="16"/>
      <c r="BH27" s="16"/>
      <c r="BI27" s="16"/>
      <c r="BJ27" s="16"/>
      <c r="BK27" s="16"/>
      <c r="BL27" s="16"/>
      <c r="BM27" s="16"/>
      <c r="BN27" s="16"/>
      <c r="BO27" s="16"/>
      <c r="BP27" s="16"/>
      <c r="BQ27" s="16"/>
      <c r="BR27" s="16"/>
      <c r="BS27" s="16"/>
      <c r="BT27" s="16"/>
      <c r="BU27" s="16"/>
      <c r="BV27" s="16"/>
      <c r="BW27" s="16"/>
    </row>
    <row r="28" spans="1:75" ht="18" hidden="1" customHeight="1" outlineLevel="1">
      <c r="B28" s="7">
        <v>2021</v>
      </c>
      <c r="C28" s="8" t="s">
        <v>12</v>
      </c>
      <c r="E28" s="8">
        <v>6867</v>
      </c>
      <c r="J28" s="9"/>
      <c r="Q28" s="5">
        <v>2033</v>
      </c>
      <c r="R28" s="5">
        <v>4</v>
      </c>
      <c r="S28" s="14" t="s">
        <v>28</v>
      </c>
      <c r="T28" s="15">
        <f t="shared" si="14"/>
        <v>0</v>
      </c>
      <c r="U28" s="15">
        <f t="shared" si="15"/>
        <v>0</v>
      </c>
      <c r="V28" s="16"/>
      <c r="W28" s="16"/>
      <c r="X28" s="16"/>
      <c r="Y28" s="16"/>
      <c r="Z28" s="16"/>
      <c r="AA28" s="16"/>
      <c r="AB28" s="16"/>
      <c r="AC28" s="16"/>
      <c r="AD28" s="16"/>
      <c r="AE28" s="16"/>
      <c r="AF28" s="16"/>
      <c r="AG28" s="16"/>
      <c r="AH28" s="16"/>
      <c r="AI28" s="16"/>
      <c r="AJ28" s="16"/>
      <c r="AK28" s="16"/>
      <c r="AL28" s="16"/>
      <c r="AM28" s="16"/>
      <c r="AN28" s="16"/>
      <c r="AO28" s="16"/>
      <c r="AP28" s="16"/>
      <c r="AQ28" s="16"/>
      <c r="AR28" s="16"/>
      <c r="AS28" s="16"/>
      <c r="AT28" s="16"/>
      <c r="AU28" s="16"/>
      <c r="AV28" s="16"/>
      <c r="AW28" s="16"/>
      <c r="AX28" s="16"/>
      <c r="AY28" s="16"/>
      <c r="AZ28" s="16"/>
      <c r="BA28" s="16"/>
      <c r="BB28" s="15">
        <f t="shared" si="16"/>
        <v>0</v>
      </c>
      <c r="BC28" s="15"/>
      <c r="BD28" s="16"/>
      <c r="BE28" s="16"/>
      <c r="BF28" s="16"/>
      <c r="BG28" s="16"/>
      <c r="BH28" s="16"/>
      <c r="BI28" s="16"/>
      <c r="BJ28" s="16"/>
      <c r="BK28" s="16"/>
      <c r="BL28" s="16"/>
      <c r="BM28" s="16"/>
      <c r="BN28" s="16"/>
      <c r="BO28" s="16"/>
      <c r="BP28" s="16"/>
      <c r="BQ28" s="16"/>
      <c r="BR28" s="16"/>
      <c r="BS28" s="16"/>
      <c r="BT28" s="16"/>
      <c r="BU28" s="16"/>
      <c r="BV28" s="16"/>
      <c r="BW28" s="16"/>
    </row>
    <row r="29" spans="1:75" ht="18" hidden="1" customHeight="1" outlineLevel="1">
      <c r="B29" s="7">
        <v>2022</v>
      </c>
      <c r="C29" s="8" t="s">
        <v>12</v>
      </c>
      <c r="E29" s="8">
        <v>6867</v>
      </c>
      <c r="J29" s="9"/>
      <c r="Q29" s="5">
        <v>2033</v>
      </c>
      <c r="R29" s="5">
        <v>3</v>
      </c>
      <c r="S29" s="14" t="s">
        <v>54</v>
      </c>
      <c r="T29" s="15">
        <f t="shared" si="14"/>
        <v>0</v>
      </c>
      <c r="U29" s="15">
        <f t="shared" si="15"/>
        <v>0</v>
      </c>
      <c r="V29" s="6"/>
      <c r="W29" s="6"/>
      <c r="X29" s="16"/>
      <c r="Y29" s="16"/>
      <c r="Z29" s="16"/>
      <c r="AA29" s="16"/>
      <c r="AB29" s="16"/>
      <c r="AC29" s="16"/>
      <c r="AD29" s="16"/>
      <c r="AE29" s="16"/>
      <c r="AF29" s="16"/>
      <c r="AG29" s="16"/>
      <c r="AH29" s="16"/>
      <c r="AI29" s="16"/>
      <c r="AJ29" s="16"/>
      <c r="AK29" s="16"/>
      <c r="AL29" s="16"/>
      <c r="AM29" s="16"/>
      <c r="AN29" s="16"/>
      <c r="AO29" s="16"/>
      <c r="AP29" s="16"/>
      <c r="AQ29" s="16"/>
      <c r="AR29" s="16"/>
      <c r="AS29" s="16"/>
      <c r="AT29" s="16"/>
      <c r="AU29" s="16"/>
      <c r="AV29" s="16"/>
      <c r="AW29" s="16"/>
      <c r="AX29" s="16"/>
      <c r="AY29" s="16"/>
      <c r="AZ29" s="16"/>
      <c r="BA29" s="16"/>
      <c r="BB29" s="15">
        <f t="shared" si="16"/>
        <v>0</v>
      </c>
      <c r="BC29" s="15"/>
      <c r="BD29" s="16"/>
      <c r="BE29" s="16"/>
      <c r="BF29" s="16"/>
      <c r="BG29" s="16"/>
      <c r="BH29" s="16"/>
      <c r="BI29" s="16"/>
      <c r="BJ29" s="16"/>
      <c r="BK29" s="16"/>
      <c r="BL29" s="16"/>
      <c r="BM29" s="16"/>
      <c r="BN29" s="16"/>
      <c r="BO29" s="16"/>
      <c r="BP29" s="16"/>
      <c r="BQ29" s="16"/>
      <c r="BR29" s="16"/>
      <c r="BS29" s="16"/>
      <c r="BT29" s="16"/>
      <c r="BU29" s="16"/>
      <c r="BV29" s="16"/>
      <c r="BW29" s="16"/>
    </row>
    <row r="30" spans="1:75" ht="18" hidden="1" customHeight="1" outlineLevel="1">
      <c r="B30" s="7">
        <v>2023</v>
      </c>
      <c r="C30" s="8" t="s">
        <v>12</v>
      </c>
      <c r="E30" s="8">
        <v>6867</v>
      </c>
      <c r="J30" s="9"/>
      <c r="Q30" s="5">
        <v>2033</v>
      </c>
      <c r="R30" s="5">
        <v>2</v>
      </c>
      <c r="S30" s="14" t="s">
        <v>54</v>
      </c>
      <c r="T30" s="15">
        <f t="shared" si="14"/>
        <v>0</v>
      </c>
      <c r="U30" s="15">
        <f t="shared" si="15"/>
        <v>0</v>
      </c>
      <c r="V30" s="6"/>
      <c r="W30" s="6"/>
      <c r="X30" s="16"/>
      <c r="Y30" s="16"/>
      <c r="Z30" s="16"/>
      <c r="AA30" s="16"/>
      <c r="AB30" s="16"/>
      <c r="AC30" s="16"/>
      <c r="AD30" s="16"/>
      <c r="AE30" s="16"/>
      <c r="AF30" s="16"/>
      <c r="AG30" s="16"/>
      <c r="AH30" s="16"/>
      <c r="AI30" s="16"/>
      <c r="AJ30" s="16"/>
      <c r="AK30" s="16"/>
      <c r="AL30" s="16"/>
      <c r="AM30" s="16"/>
      <c r="AN30" s="16"/>
      <c r="AO30" s="16"/>
      <c r="AP30" s="16"/>
      <c r="AQ30" s="16"/>
      <c r="AR30" s="16"/>
      <c r="AS30" s="16"/>
      <c r="AT30" s="16"/>
      <c r="AU30" s="16"/>
      <c r="AV30" s="16"/>
      <c r="AW30" s="16"/>
      <c r="AX30" s="16"/>
      <c r="AY30" s="16"/>
      <c r="AZ30" s="16"/>
      <c r="BA30" s="16"/>
      <c r="BB30" s="15">
        <f t="shared" si="16"/>
        <v>0</v>
      </c>
      <c r="BC30" s="15"/>
      <c r="BD30" s="16"/>
      <c r="BE30" s="16"/>
      <c r="BF30" s="16"/>
      <c r="BG30" s="16"/>
      <c r="BH30" s="16"/>
      <c r="BI30" s="16"/>
      <c r="BJ30" s="16"/>
      <c r="BK30" s="16"/>
      <c r="BL30" s="16"/>
      <c r="BM30" s="16"/>
      <c r="BN30" s="16"/>
      <c r="BO30" s="16"/>
      <c r="BP30" s="16"/>
      <c r="BQ30" s="16"/>
      <c r="BR30" s="16"/>
      <c r="BS30" s="16"/>
      <c r="BT30" s="16"/>
      <c r="BU30" s="16"/>
      <c r="BV30" s="16"/>
      <c r="BW30" s="16"/>
    </row>
    <row r="31" spans="1:75" ht="18" hidden="1" customHeight="1" outlineLevel="1">
      <c r="B31" s="7">
        <v>2024</v>
      </c>
      <c r="C31" s="8" t="s">
        <v>12</v>
      </c>
      <c r="E31" s="8">
        <v>6867</v>
      </c>
      <c r="J31" s="9"/>
      <c r="Q31" s="5">
        <v>2033</v>
      </c>
      <c r="R31" s="5">
        <v>1</v>
      </c>
      <c r="S31" s="14" t="s">
        <v>54</v>
      </c>
      <c r="T31" s="15">
        <f t="shared" si="14"/>
        <v>0</v>
      </c>
      <c r="U31" s="15">
        <f t="shared" si="15"/>
        <v>0</v>
      </c>
      <c r="V31" s="6"/>
      <c r="W31" s="6"/>
      <c r="X31" s="16"/>
      <c r="Y31" s="16"/>
      <c r="Z31" s="16"/>
      <c r="AA31" s="16"/>
      <c r="AB31" s="16"/>
      <c r="AC31" s="16"/>
      <c r="AD31" s="16"/>
      <c r="AE31" s="16"/>
      <c r="AF31" s="16"/>
      <c r="AG31" s="16"/>
      <c r="AH31" s="16"/>
      <c r="AI31" s="16"/>
      <c r="AJ31" s="16"/>
      <c r="AK31" s="16"/>
      <c r="AL31" s="16"/>
      <c r="AM31" s="16"/>
      <c r="AN31" s="16"/>
      <c r="AO31" s="16"/>
      <c r="AP31" s="16"/>
      <c r="AQ31" s="16"/>
      <c r="AR31" s="16"/>
      <c r="AS31" s="16"/>
      <c r="AT31" s="16"/>
      <c r="AU31" s="16"/>
      <c r="AV31" s="16"/>
      <c r="AW31" s="16"/>
      <c r="AX31" s="16"/>
      <c r="AY31" s="16"/>
      <c r="AZ31" s="16"/>
      <c r="BA31" s="16"/>
      <c r="BB31" s="15">
        <f t="shared" si="16"/>
        <v>0</v>
      </c>
      <c r="BC31" s="15"/>
      <c r="BD31" s="16"/>
      <c r="BE31" s="16"/>
      <c r="BF31" s="16"/>
      <c r="BG31" s="16"/>
      <c r="BH31" s="16"/>
      <c r="BI31" s="16"/>
      <c r="BJ31" s="16"/>
      <c r="BK31" s="16"/>
      <c r="BL31" s="16"/>
      <c r="BM31" s="16"/>
      <c r="BN31" s="16"/>
      <c r="BO31" s="16"/>
      <c r="BP31" s="16"/>
      <c r="BQ31" s="16"/>
      <c r="BR31" s="16"/>
      <c r="BS31" s="16"/>
      <c r="BT31" s="16"/>
      <c r="BU31" s="16"/>
      <c r="BV31" s="16"/>
      <c r="BW31" s="16"/>
    </row>
    <row r="32" spans="1:75" s="1" customFormat="1" ht="18" customHeight="1" collapsed="1">
      <c r="A32" s="10"/>
      <c r="B32" s="11"/>
      <c r="C32" s="12"/>
      <c r="D32" s="11"/>
      <c r="E32" s="12"/>
      <c r="F32" s="12"/>
      <c r="G32" s="12"/>
      <c r="H32" s="12"/>
      <c r="I32" s="12"/>
      <c r="J32" s="3"/>
      <c r="K32" s="12"/>
      <c r="L32" s="12"/>
      <c r="M32" s="12"/>
      <c r="N32" s="12"/>
      <c r="O32" s="13"/>
      <c r="Q32" s="628" t="s">
        <v>1990</v>
      </c>
      <c r="R32" s="628"/>
      <c r="S32" s="628"/>
      <c r="T32" s="23">
        <f t="shared" ref="T32:AZ32" si="20">SUMIF($Q$2:$Q$793,$Q33,T$2:T$793)</f>
        <v>0</v>
      </c>
      <c r="U32" s="23">
        <f t="shared" si="20"/>
        <v>0</v>
      </c>
      <c r="V32" s="23">
        <f t="shared" si="20"/>
        <v>0</v>
      </c>
      <c r="W32" s="23">
        <f t="shared" si="20"/>
        <v>0</v>
      </c>
      <c r="X32" s="23">
        <f t="shared" si="20"/>
        <v>0</v>
      </c>
      <c r="Y32" s="23">
        <f t="shared" si="20"/>
        <v>0</v>
      </c>
      <c r="Z32" s="23">
        <f t="shared" si="20"/>
        <v>0</v>
      </c>
      <c r="AA32" s="23">
        <f t="shared" si="20"/>
        <v>0</v>
      </c>
      <c r="AB32" s="23">
        <f t="shared" si="20"/>
        <v>0</v>
      </c>
      <c r="AC32" s="23">
        <f t="shared" si="20"/>
        <v>0</v>
      </c>
      <c r="AD32" s="23">
        <f t="shared" si="20"/>
        <v>0</v>
      </c>
      <c r="AE32" s="23">
        <f t="shared" si="20"/>
        <v>0</v>
      </c>
      <c r="AF32" s="23">
        <f t="shared" si="20"/>
        <v>0</v>
      </c>
      <c r="AG32" s="23">
        <f t="shared" si="20"/>
        <v>0</v>
      </c>
      <c r="AH32" s="23">
        <f t="shared" si="20"/>
        <v>0</v>
      </c>
      <c r="AI32" s="23">
        <f t="shared" si="20"/>
        <v>0</v>
      </c>
      <c r="AJ32" s="23">
        <f t="shared" si="20"/>
        <v>0</v>
      </c>
      <c r="AK32" s="23">
        <f t="shared" si="20"/>
        <v>0</v>
      </c>
      <c r="AL32" s="23">
        <f t="shared" si="20"/>
        <v>0</v>
      </c>
      <c r="AM32" s="23">
        <f t="shared" si="20"/>
        <v>0</v>
      </c>
      <c r="AN32" s="23">
        <f t="shared" si="20"/>
        <v>0</v>
      </c>
      <c r="AO32" s="23">
        <f t="shared" si="20"/>
        <v>0</v>
      </c>
      <c r="AP32" s="23">
        <f t="shared" si="20"/>
        <v>0</v>
      </c>
      <c r="AQ32" s="23">
        <f t="shared" si="20"/>
        <v>0</v>
      </c>
      <c r="AR32" s="23">
        <f t="shared" si="20"/>
        <v>0</v>
      </c>
      <c r="AS32" s="23">
        <f t="shared" si="20"/>
        <v>0</v>
      </c>
      <c r="AT32" s="23">
        <f t="shared" si="20"/>
        <v>0</v>
      </c>
      <c r="AU32" s="23">
        <f t="shared" si="20"/>
        <v>0</v>
      </c>
      <c r="AV32" s="23">
        <f t="shared" si="20"/>
        <v>0</v>
      </c>
      <c r="AW32" s="23">
        <f t="shared" si="20"/>
        <v>0</v>
      </c>
      <c r="AX32" s="23">
        <f t="shared" si="20"/>
        <v>0</v>
      </c>
      <c r="AY32" s="23">
        <f t="shared" si="20"/>
        <v>0</v>
      </c>
      <c r="AZ32" s="23">
        <f t="shared" si="20"/>
        <v>0</v>
      </c>
      <c r="BA32" s="23"/>
      <c r="BB32" s="23">
        <f t="shared" ref="BB32:BW32" si="21">SUMIF($Q$2:$Q$793,$Q33,BB$2:BB$793)</f>
        <v>0</v>
      </c>
      <c r="BC32" s="23">
        <f t="shared" si="21"/>
        <v>0</v>
      </c>
      <c r="BD32" s="23">
        <f t="shared" si="21"/>
        <v>0</v>
      </c>
      <c r="BE32" s="23">
        <f t="shared" si="21"/>
        <v>0</v>
      </c>
      <c r="BF32" s="23">
        <f t="shared" si="21"/>
        <v>0</v>
      </c>
      <c r="BG32" s="23">
        <f t="shared" si="21"/>
        <v>0</v>
      </c>
      <c r="BH32" s="23">
        <f t="shared" si="21"/>
        <v>0</v>
      </c>
      <c r="BI32" s="23">
        <f t="shared" si="21"/>
        <v>0</v>
      </c>
      <c r="BJ32" s="23">
        <f t="shared" si="21"/>
        <v>0</v>
      </c>
      <c r="BK32" s="23">
        <f t="shared" si="21"/>
        <v>0</v>
      </c>
      <c r="BL32" s="23">
        <f t="shared" si="21"/>
        <v>0</v>
      </c>
      <c r="BM32" s="23">
        <f t="shared" si="21"/>
        <v>0</v>
      </c>
      <c r="BN32" s="23">
        <f t="shared" si="21"/>
        <v>0</v>
      </c>
      <c r="BO32" s="23">
        <f t="shared" si="21"/>
        <v>0</v>
      </c>
      <c r="BP32" s="23">
        <f t="shared" si="21"/>
        <v>0</v>
      </c>
      <c r="BQ32" s="23">
        <f t="shared" si="21"/>
        <v>0</v>
      </c>
      <c r="BR32" s="23">
        <f t="shared" si="21"/>
        <v>0</v>
      </c>
      <c r="BS32" s="23">
        <f t="shared" si="21"/>
        <v>0</v>
      </c>
      <c r="BT32" s="23">
        <f t="shared" si="21"/>
        <v>0</v>
      </c>
      <c r="BU32" s="23">
        <f t="shared" si="21"/>
        <v>0</v>
      </c>
      <c r="BV32" s="23">
        <f t="shared" si="21"/>
        <v>0</v>
      </c>
      <c r="BW32" s="23">
        <f t="shared" si="21"/>
        <v>0</v>
      </c>
    </row>
    <row r="33" spans="1:75" ht="18" hidden="1" customHeight="1" outlineLevel="1">
      <c r="D33" s="7" t="s">
        <v>11</v>
      </c>
      <c r="F33" s="8">
        <v>4717</v>
      </c>
      <c r="G33" s="8">
        <v>5848</v>
      </c>
      <c r="K33" s="8">
        <v>2400</v>
      </c>
      <c r="L33" s="8">
        <f>K33*12</f>
        <v>28800</v>
      </c>
      <c r="M33" s="8">
        <f>L33*1.13</f>
        <v>32543.999999999996</v>
      </c>
      <c r="N33" s="8">
        <v>21014</v>
      </c>
      <c r="O33" s="9">
        <f>N33/M33</f>
        <v>0.64571042281219282</v>
      </c>
      <c r="Q33" s="5">
        <v>2032</v>
      </c>
      <c r="R33" s="5">
        <v>12</v>
      </c>
      <c r="S33" s="14" t="s">
        <v>54</v>
      </c>
      <c r="T33" s="15">
        <f t="shared" ref="T33:T45" si="22">IF(U33=U33-BB33,0,U33-BB33)</f>
        <v>0</v>
      </c>
      <c r="U33" s="15">
        <f t="shared" ref="U33:U45" si="23">SUM(V33:BA33)</f>
        <v>0</v>
      </c>
      <c r="V33" s="6"/>
      <c r="W33" s="6"/>
      <c r="X33" s="16"/>
      <c r="Y33" s="16"/>
      <c r="Z33" s="16"/>
      <c r="AA33" s="16"/>
      <c r="AB33" s="16"/>
      <c r="AC33" s="16"/>
      <c r="AD33" s="16"/>
      <c r="AE33" s="16"/>
      <c r="AF33" s="16"/>
      <c r="AG33" s="16"/>
      <c r="AH33" s="16"/>
      <c r="AI33" s="16"/>
      <c r="AJ33" s="16"/>
      <c r="AK33" s="16"/>
      <c r="AL33" s="16"/>
      <c r="AM33" s="16"/>
      <c r="AN33" s="16"/>
      <c r="AO33" s="16"/>
      <c r="AP33" s="16"/>
      <c r="AQ33" s="16"/>
      <c r="AR33" s="16"/>
      <c r="AS33" s="16"/>
      <c r="AT33" s="16"/>
      <c r="AU33" s="16"/>
      <c r="AV33" s="16"/>
      <c r="AW33" s="16"/>
      <c r="AX33" s="16"/>
      <c r="AY33" s="16"/>
      <c r="AZ33" s="16"/>
      <c r="BA33" s="16"/>
      <c r="BB33" s="15">
        <f t="shared" ref="BB33:BB45" si="24">SUM(BC33:BW33)</f>
        <v>0</v>
      </c>
      <c r="BC33" s="15"/>
      <c r="BD33" s="16"/>
      <c r="BE33" s="16"/>
      <c r="BF33" s="16"/>
      <c r="BG33" s="16"/>
      <c r="BH33" s="16"/>
      <c r="BI33" s="16"/>
      <c r="BJ33" s="16"/>
      <c r="BK33" s="16"/>
      <c r="BL33" s="16"/>
      <c r="BM33" s="16"/>
      <c r="BN33" s="16"/>
      <c r="BO33" s="16"/>
      <c r="BP33" s="16"/>
      <c r="BQ33" s="16"/>
      <c r="BR33" s="16"/>
      <c r="BS33" s="16"/>
      <c r="BT33" s="16"/>
      <c r="BU33" s="16"/>
      <c r="BV33" s="16"/>
      <c r="BW33" s="16"/>
    </row>
    <row r="34" spans="1:75" ht="18" hidden="1" customHeight="1" outlineLevel="1">
      <c r="D34" s="7" t="s">
        <v>11</v>
      </c>
      <c r="F34" s="8">
        <v>4717</v>
      </c>
      <c r="G34" s="8">
        <v>5848</v>
      </c>
      <c r="K34" s="8">
        <v>2400</v>
      </c>
      <c r="L34" s="8">
        <f>K34*12</f>
        <v>28800</v>
      </c>
      <c r="M34" s="8">
        <f>L34*1.13</f>
        <v>32543.999999999996</v>
      </c>
      <c r="N34" s="8">
        <v>21014</v>
      </c>
      <c r="O34" s="9">
        <f>N34/M34</f>
        <v>0.64571042281219282</v>
      </c>
      <c r="Q34" s="5">
        <v>2032</v>
      </c>
      <c r="R34" s="5">
        <v>11</v>
      </c>
      <c r="S34" s="14" t="s">
        <v>54</v>
      </c>
      <c r="T34" s="15">
        <f t="shared" si="22"/>
        <v>0</v>
      </c>
      <c r="U34" s="15">
        <f t="shared" si="23"/>
        <v>0</v>
      </c>
      <c r="V34" s="6"/>
      <c r="W34" s="6"/>
      <c r="X34" s="16"/>
      <c r="Y34" s="16"/>
      <c r="Z34" s="16"/>
      <c r="AA34" s="16"/>
      <c r="AB34" s="16"/>
      <c r="AC34" s="16"/>
      <c r="AD34" s="16"/>
      <c r="AE34" s="16"/>
      <c r="AF34" s="16"/>
      <c r="AG34" s="16"/>
      <c r="AH34" s="16"/>
      <c r="AI34" s="16"/>
      <c r="AJ34" s="16"/>
      <c r="AK34" s="16"/>
      <c r="AL34" s="16"/>
      <c r="AM34" s="16"/>
      <c r="AN34" s="16"/>
      <c r="AO34" s="16"/>
      <c r="AP34" s="16"/>
      <c r="AQ34" s="16"/>
      <c r="AR34" s="16"/>
      <c r="AS34" s="16"/>
      <c r="AT34" s="16"/>
      <c r="AU34" s="16"/>
      <c r="AV34" s="16"/>
      <c r="AW34" s="16"/>
      <c r="AX34" s="16"/>
      <c r="AY34" s="16"/>
      <c r="AZ34" s="16"/>
      <c r="BA34" s="16"/>
      <c r="BB34" s="15">
        <f t="shared" si="24"/>
        <v>0</v>
      </c>
      <c r="BC34" s="15"/>
      <c r="BD34" s="16"/>
      <c r="BE34" s="16"/>
      <c r="BF34" s="16"/>
      <c r="BG34" s="16"/>
      <c r="BH34" s="16"/>
      <c r="BI34" s="16"/>
      <c r="BJ34" s="16"/>
      <c r="BK34" s="16"/>
      <c r="BL34" s="16"/>
      <c r="BM34" s="16"/>
      <c r="BN34" s="16"/>
      <c r="BO34" s="16"/>
      <c r="BP34" s="16"/>
      <c r="BQ34" s="16"/>
      <c r="BR34" s="16"/>
      <c r="BS34" s="16"/>
      <c r="BT34" s="16"/>
      <c r="BU34" s="16"/>
      <c r="BV34" s="16"/>
      <c r="BW34" s="16"/>
    </row>
    <row r="35" spans="1:75" ht="18" hidden="1" customHeight="1" outlineLevel="1">
      <c r="D35" s="7" t="s">
        <v>11</v>
      </c>
      <c r="F35" s="8">
        <v>4717</v>
      </c>
      <c r="G35" s="8">
        <v>5848</v>
      </c>
      <c r="K35" s="8">
        <v>2400</v>
      </c>
      <c r="L35" s="8">
        <f t="shared" ref="L35:L38" si="25">K35*12</f>
        <v>28800</v>
      </c>
      <c r="M35" s="8">
        <f t="shared" ref="M35:M38" si="26">L35*1.13</f>
        <v>32543.999999999996</v>
      </c>
      <c r="N35" s="8">
        <v>21014</v>
      </c>
      <c r="O35" s="9">
        <f t="shared" ref="O35:O38" si="27">N35/M35</f>
        <v>0.64571042281219282</v>
      </c>
      <c r="Q35" s="5">
        <v>2032</v>
      </c>
      <c r="R35" s="5">
        <v>10</v>
      </c>
      <c r="S35" s="14" t="s">
        <v>54</v>
      </c>
      <c r="T35" s="15">
        <f t="shared" si="22"/>
        <v>0</v>
      </c>
      <c r="U35" s="15">
        <f t="shared" si="23"/>
        <v>0</v>
      </c>
      <c r="V35" s="6"/>
      <c r="W35" s="6"/>
      <c r="X35" s="16"/>
      <c r="Y35" s="16"/>
      <c r="Z35" s="16"/>
      <c r="AA35" s="16"/>
      <c r="AB35" s="16"/>
      <c r="AC35" s="16"/>
      <c r="AD35" s="16"/>
      <c r="AE35" s="16"/>
      <c r="AF35" s="16"/>
      <c r="AG35" s="16"/>
      <c r="AH35" s="16"/>
      <c r="AI35" s="16"/>
      <c r="AJ35" s="16"/>
      <c r="AK35" s="16"/>
      <c r="AL35" s="16"/>
      <c r="AM35" s="16"/>
      <c r="AN35" s="16"/>
      <c r="AO35" s="16"/>
      <c r="AP35" s="16"/>
      <c r="AQ35" s="16"/>
      <c r="AR35" s="16"/>
      <c r="AS35" s="16"/>
      <c r="AT35" s="16"/>
      <c r="AU35" s="16"/>
      <c r="AV35" s="16"/>
      <c r="AW35" s="16"/>
      <c r="AX35" s="16"/>
      <c r="AY35" s="16"/>
      <c r="AZ35" s="16"/>
      <c r="BA35" s="16"/>
      <c r="BB35" s="15">
        <f t="shared" si="24"/>
        <v>0</v>
      </c>
      <c r="BC35" s="15"/>
      <c r="BD35" s="16"/>
      <c r="BE35" s="16"/>
      <c r="BF35" s="16"/>
      <c r="BG35" s="16"/>
      <c r="BH35" s="16"/>
      <c r="BI35" s="16"/>
      <c r="BJ35" s="16"/>
      <c r="BK35" s="16"/>
      <c r="BL35" s="16"/>
      <c r="BM35" s="16"/>
      <c r="BN35" s="16"/>
      <c r="BO35" s="16"/>
      <c r="BP35" s="16"/>
      <c r="BQ35" s="16"/>
      <c r="BR35" s="16"/>
      <c r="BS35" s="16"/>
      <c r="BT35" s="16"/>
      <c r="BU35" s="16"/>
      <c r="BV35" s="16"/>
      <c r="BW35" s="16"/>
    </row>
    <row r="36" spans="1:75" ht="18" hidden="1" customHeight="1" outlineLevel="1">
      <c r="D36" s="7" t="s">
        <v>12</v>
      </c>
      <c r="F36" s="8">
        <v>6867</v>
      </c>
      <c r="G36" s="8">
        <v>6867</v>
      </c>
      <c r="K36" s="8">
        <v>2400</v>
      </c>
      <c r="L36" s="8">
        <f t="shared" si="25"/>
        <v>28800</v>
      </c>
      <c r="M36" s="8">
        <f t="shared" si="26"/>
        <v>32543.999999999996</v>
      </c>
      <c r="N36" s="8">
        <v>21014</v>
      </c>
      <c r="O36" s="9">
        <f t="shared" si="27"/>
        <v>0.64571042281219282</v>
      </c>
      <c r="Q36" s="5">
        <v>2032</v>
      </c>
      <c r="R36" s="5">
        <v>9</v>
      </c>
      <c r="S36" s="14" t="s">
        <v>54</v>
      </c>
      <c r="T36" s="15">
        <f t="shared" si="22"/>
        <v>0</v>
      </c>
      <c r="U36" s="15">
        <f t="shared" si="23"/>
        <v>0</v>
      </c>
      <c r="V36" s="6"/>
      <c r="W36" s="6"/>
      <c r="X36" s="16"/>
      <c r="Y36" s="16"/>
      <c r="Z36" s="16"/>
      <c r="AA36" s="16"/>
      <c r="AB36" s="16"/>
      <c r="AC36" s="16"/>
      <c r="AD36" s="16"/>
      <c r="AE36" s="16"/>
      <c r="AF36" s="16"/>
      <c r="AG36" s="16"/>
      <c r="AH36" s="16"/>
      <c r="AI36" s="16"/>
      <c r="AJ36" s="16"/>
      <c r="AK36" s="16"/>
      <c r="AL36" s="16"/>
      <c r="AM36" s="16"/>
      <c r="AN36" s="16"/>
      <c r="AO36" s="16"/>
      <c r="AP36" s="16"/>
      <c r="AQ36" s="16"/>
      <c r="AR36" s="16"/>
      <c r="AS36" s="16"/>
      <c r="AT36" s="16"/>
      <c r="AU36" s="16"/>
      <c r="AV36" s="16"/>
      <c r="AW36" s="16"/>
      <c r="AX36" s="16"/>
      <c r="AY36" s="16"/>
      <c r="AZ36" s="16"/>
      <c r="BA36" s="16"/>
      <c r="BB36" s="15">
        <f t="shared" si="24"/>
        <v>0</v>
      </c>
      <c r="BC36" s="15"/>
      <c r="BD36" s="16"/>
      <c r="BE36" s="16"/>
      <c r="BF36" s="16"/>
      <c r="BG36" s="16"/>
      <c r="BH36" s="16"/>
      <c r="BI36" s="16"/>
      <c r="BJ36" s="16"/>
      <c r="BK36" s="16"/>
      <c r="BL36" s="16"/>
      <c r="BM36" s="16"/>
      <c r="BN36" s="16"/>
      <c r="BO36" s="16"/>
      <c r="BP36" s="16"/>
      <c r="BQ36" s="16"/>
      <c r="BR36" s="16"/>
      <c r="BS36" s="16"/>
      <c r="BT36" s="16"/>
      <c r="BU36" s="16"/>
      <c r="BV36" s="16"/>
      <c r="BW36" s="16"/>
    </row>
    <row r="37" spans="1:75" ht="18" hidden="1" customHeight="1" outlineLevel="1">
      <c r="D37" s="7" t="s">
        <v>13</v>
      </c>
      <c r="F37" s="8">
        <v>7988</v>
      </c>
      <c r="G37" s="8" t="s">
        <v>2</v>
      </c>
      <c r="H37" s="8" t="s">
        <v>17</v>
      </c>
      <c r="I37" s="8">
        <v>171</v>
      </c>
      <c r="K37" s="8">
        <v>2400</v>
      </c>
      <c r="L37" s="8">
        <f t="shared" si="25"/>
        <v>28800</v>
      </c>
      <c r="M37" s="8">
        <f t="shared" si="26"/>
        <v>32543.999999999996</v>
      </c>
      <c r="N37" s="8">
        <v>21014</v>
      </c>
      <c r="O37" s="9">
        <f t="shared" si="27"/>
        <v>0.64571042281219282</v>
      </c>
      <c r="Q37" s="5">
        <v>2032</v>
      </c>
      <c r="R37" s="5">
        <v>8</v>
      </c>
      <c r="S37" s="14" t="s">
        <v>54</v>
      </c>
      <c r="T37" s="15">
        <f t="shared" si="22"/>
        <v>0</v>
      </c>
      <c r="U37" s="15">
        <f t="shared" si="23"/>
        <v>0</v>
      </c>
      <c r="V37" s="6"/>
      <c r="W37" s="6"/>
      <c r="X37" s="16"/>
      <c r="Y37" s="16"/>
      <c r="Z37" s="16"/>
      <c r="AA37" s="16"/>
      <c r="AB37" s="16"/>
      <c r="AC37" s="16"/>
      <c r="AD37" s="16"/>
      <c r="AE37" s="16"/>
      <c r="AF37" s="16"/>
      <c r="AG37" s="16"/>
      <c r="AH37" s="16"/>
      <c r="AI37" s="16"/>
      <c r="AJ37" s="16"/>
      <c r="AK37" s="16"/>
      <c r="AL37" s="16"/>
      <c r="AM37" s="16"/>
      <c r="AN37" s="16"/>
      <c r="AO37" s="16"/>
      <c r="AP37" s="16"/>
      <c r="AQ37" s="16"/>
      <c r="AR37" s="16"/>
      <c r="AS37" s="16"/>
      <c r="AT37" s="16"/>
      <c r="AU37" s="16"/>
      <c r="AV37" s="16"/>
      <c r="AW37" s="16"/>
      <c r="AX37" s="16"/>
      <c r="AY37" s="16"/>
      <c r="AZ37" s="16"/>
      <c r="BA37" s="16"/>
      <c r="BB37" s="15">
        <f t="shared" si="24"/>
        <v>0</v>
      </c>
      <c r="BC37" s="15"/>
      <c r="BD37" s="16"/>
      <c r="BE37" s="16"/>
      <c r="BF37" s="16"/>
      <c r="BG37" s="16"/>
      <c r="BH37" s="16"/>
      <c r="BI37" s="16"/>
      <c r="BJ37" s="16"/>
      <c r="BK37" s="16"/>
      <c r="BL37" s="16"/>
      <c r="BM37" s="16"/>
      <c r="BN37" s="16"/>
      <c r="BO37" s="16"/>
      <c r="BP37" s="16"/>
      <c r="BQ37" s="16"/>
      <c r="BR37" s="16"/>
      <c r="BS37" s="16"/>
      <c r="BT37" s="16"/>
      <c r="BU37" s="16"/>
      <c r="BV37" s="16"/>
      <c r="BW37" s="16"/>
    </row>
    <row r="38" spans="1:75" ht="18" hidden="1" customHeight="1" outlineLevel="1">
      <c r="D38" s="7" t="s">
        <v>13</v>
      </c>
      <c r="F38" s="8">
        <v>7988</v>
      </c>
      <c r="G38" s="8" t="s">
        <v>2</v>
      </c>
      <c r="H38" s="8" t="s">
        <v>17</v>
      </c>
      <c r="I38" s="8">
        <v>171</v>
      </c>
      <c r="K38" s="8">
        <v>2400</v>
      </c>
      <c r="L38" s="8">
        <f t="shared" si="25"/>
        <v>28800</v>
      </c>
      <c r="M38" s="8">
        <f t="shared" si="26"/>
        <v>32543.999999999996</v>
      </c>
      <c r="N38" s="8">
        <v>21014</v>
      </c>
      <c r="O38" s="9">
        <f t="shared" si="27"/>
        <v>0.64571042281219282</v>
      </c>
      <c r="Q38" s="5">
        <v>2032</v>
      </c>
      <c r="R38" s="5">
        <v>7</v>
      </c>
      <c r="S38" s="14" t="s">
        <v>54</v>
      </c>
      <c r="T38" s="15">
        <f t="shared" si="22"/>
        <v>0</v>
      </c>
      <c r="U38" s="15">
        <f t="shared" si="23"/>
        <v>0</v>
      </c>
      <c r="V38" s="6"/>
      <c r="W38" s="6"/>
      <c r="X38" s="16"/>
      <c r="Y38" s="16"/>
      <c r="Z38" s="16"/>
      <c r="AA38" s="16"/>
      <c r="AB38" s="16"/>
      <c r="AC38" s="16"/>
      <c r="AD38" s="16"/>
      <c r="AE38" s="16"/>
      <c r="AF38" s="16"/>
      <c r="AG38" s="16"/>
      <c r="AH38" s="16"/>
      <c r="AI38" s="16"/>
      <c r="AJ38" s="16"/>
      <c r="AK38" s="16"/>
      <c r="AL38" s="16"/>
      <c r="AM38" s="16"/>
      <c r="AN38" s="16"/>
      <c r="AO38" s="16"/>
      <c r="AP38" s="16"/>
      <c r="AQ38" s="16"/>
      <c r="AR38" s="16"/>
      <c r="AS38" s="16"/>
      <c r="AT38" s="16"/>
      <c r="AU38" s="16"/>
      <c r="AV38" s="16"/>
      <c r="AW38" s="16"/>
      <c r="AX38" s="16"/>
      <c r="AY38" s="16"/>
      <c r="AZ38" s="16"/>
      <c r="BA38" s="16"/>
      <c r="BB38" s="15">
        <f t="shared" si="24"/>
        <v>0</v>
      </c>
      <c r="BC38" s="15"/>
      <c r="BD38" s="16"/>
      <c r="BE38" s="16"/>
      <c r="BF38" s="16"/>
      <c r="BG38" s="16"/>
      <c r="BH38" s="16"/>
      <c r="BI38" s="16"/>
      <c r="BJ38" s="16"/>
      <c r="BK38" s="16"/>
      <c r="BL38" s="16"/>
      <c r="BM38" s="16"/>
      <c r="BN38" s="16"/>
      <c r="BO38" s="16"/>
      <c r="BP38" s="16"/>
      <c r="BQ38" s="16"/>
      <c r="BR38" s="16"/>
      <c r="BS38" s="16"/>
      <c r="BT38" s="16"/>
      <c r="BU38" s="16"/>
      <c r="BV38" s="16"/>
      <c r="BW38" s="16"/>
    </row>
    <row r="39" spans="1:75" ht="18" hidden="1" customHeight="1" outlineLevel="1">
      <c r="H39" s="8" t="s">
        <v>18</v>
      </c>
      <c r="I39" s="8">
        <v>122</v>
      </c>
      <c r="J39" s="9"/>
      <c r="Q39" s="5">
        <v>2032</v>
      </c>
      <c r="R39" s="5">
        <v>6</v>
      </c>
      <c r="S39" s="14" t="s">
        <v>54</v>
      </c>
      <c r="T39" s="15">
        <f t="shared" si="22"/>
        <v>0</v>
      </c>
      <c r="U39" s="15">
        <f t="shared" si="23"/>
        <v>0</v>
      </c>
      <c r="V39" s="6"/>
      <c r="W39" s="6"/>
      <c r="X39" s="16"/>
      <c r="Y39" s="16"/>
      <c r="Z39" s="16"/>
      <c r="AA39" s="16"/>
      <c r="AB39" s="16"/>
      <c r="AC39" s="16"/>
      <c r="AD39" s="16"/>
      <c r="AE39" s="16"/>
      <c r="AF39" s="16"/>
      <c r="AG39" s="16"/>
      <c r="AH39" s="16"/>
      <c r="AI39" s="16"/>
      <c r="AJ39" s="16"/>
      <c r="AK39" s="16"/>
      <c r="AL39" s="16"/>
      <c r="AM39" s="16"/>
      <c r="AN39" s="16"/>
      <c r="AO39" s="16"/>
      <c r="AP39" s="16"/>
      <c r="AQ39" s="16"/>
      <c r="AR39" s="16"/>
      <c r="AS39" s="16"/>
      <c r="AT39" s="16"/>
      <c r="AU39" s="16"/>
      <c r="AV39" s="16"/>
      <c r="AW39" s="16"/>
      <c r="AX39" s="16"/>
      <c r="AY39" s="16"/>
      <c r="AZ39" s="16"/>
      <c r="BA39" s="16"/>
      <c r="BB39" s="15">
        <f t="shared" si="24"/>
        <v>0</v>
      </c>
      <c r="BC39" s="15"/>
      <c r="BD39" s="16"/>
      <c r="BE39" s="16"/>
      <c r="BF39" s="16"/>
      <c r="BG39" s="16"/>
      <c r="BH39" s="16"/>
      <c r="BI39" s="16"/>
      <c r="BJ39" s="16"/>
      <c r="BK39" s="16"/>
      <c r="BL39" s="16"/>
      <c r="BM39" s="16"/>
      <c r="BN39" s="16"/>
      <c r="BO39" s="16"/>
      <c r="BP39" s="16"/>
      <c r="BQ39" s="16"/>
      <c r="BR39" s="16"/>
      <c r="BS39" s="16"/>
      <c r="BT39" s="16"/>
      <c r="BU39" s="16"/>
      <c r="BV39" s="16"/>
      <c r="BW39" s="16"/>
    </row>
    <row r="40" spans="1:75" ht="18" hidden="1" customHeight="1" outlineLevel="1">
      <c r="J40" s="9"/>
      <c r="Q40" s="5">
        <v>2032</v>
      </c>
      <c r="R40" s="5">
        <v>5</v>
      </c>
      <c r="S40" s="14" t="s">
        <v>54</v>
      </c>
      <c r="T40" s="15">
        <f t="shared" si="22"/>
        <v>0</v>
      </c>
      <c r="U40" s="15">
        <f t="shared" si="23"/>
        <v>0</v>
      </c>
      <c r="V40" s="6"/>
      <c r="W40" s="6"/>
      <c r="X40" s="16"/>
      <c r="Y40" s="16"/>
      <c r="Z40" s="16"/>
      <c r="AA40" s="16"/>
      <c r="AB40" s="16"/>
      <c r="AC40" s="16"/>
      <c r="AD40" s="16"/>
      <c r="AE40" s="16"/>
      <c r="AF40" s="16"/>
      <c r="AG40" s="16"/>
      <c r="AH40" s="16"/>
      <c r="AI40" s="16"/>
      <c r="AJ40" s="16"/>
      <c r="AK40" s="16"/>
      <c r="AL40" s="16"/>
      <c r="AM40" s="16"/>
      <c r="AN40" s="16"/>
      <c r="AO40" s="16"/>
      <c r="AP40" s="16"/>
      <c r="AQ40" s="16"/>
      <c r="AR40" s="16"/>
      <c r="AS40" s="16"/>
      <c r="AT40" s="16"/>
      <c r="AU40" s="16"/>
      <c r="AV40" s="16"/>
      <c r="AW40" s="16"/>
      <c r="AX40" s="16"/>
      <c r="AY40" s="16"/>
      <c r="AZ40" s="16"/>
      <c r="BA40" s="16"/>
      <c r="BB40" s="15">
        <f t="shared" si="24"/>
        <v>0</v>
      </c>
      <c r="BC40" s="15"/>
      <c r="BD40" s="16"/>
      <c r="BE40" s="16"/>
      <c r="BF40" s="16"/>
      <c r="BG40" s="16"/>
      <c r="BH40" s="16"/>
      <c r="BI40" s="16"/>
      <c r="BJ40" s="16"/>
      <c r="BK40" s="16"/>
      <c r="BL40" s="16"/>
      <c r="BM40" s="16"/>
      <c r="BN40" s="16"/>
      <c r="BO40" s="16"/>
      <c r="BP40" s="16"/>
      <c r="BQ40" s="16"/>
      <c r="BR40" s="16"/>
      <c r="BS40" s="16"/>
      <c r="BT40" s="16"/>
      <c r="BU40" s="16"/>
      <c r="BV40" s="16"/>
      <c r="BW40" s="16"/>
    </row>
    <row r="41" spans="1:75" ht="18" hidden="1" customHeight="1" outlineLevel="1">
      <c r="B41" s="7">
        <v>2021</v>
      </c>
      <c r="C41" s="8" t="s">
        <v>12</v>
      </c>
      <c r="E41" s="8">
        <v>6867</v>
      </c>
      <c r="J41" s="9"/>
      <c r="Q41" s="5">
        <v>2032</v>
      </c>
      <c r="R41" s="5">
        <v>4</v>
      </c>
      <c r="S41" s="14" t="s">
        <v>54</v>
      </c>
      <c r="T41" s="15">
        <f t="shared" si="22"/>
        <v>0</v>
      </c>
      <c r="U41" s="15">
        <f t="shared" si="23"/>
        <v>0</v>
      </c>
      <c r="V41" s="6"/>
      <c r="W41" s="6"/>
      <c r="X41" s="16"/>
      <c r="Y41" s="16"/>
      <c r="Z41" s="16"/>
      <c r="AA41" s="16"/>
      <c r="AB41" s="16"/>
      <c r="AC41" s="16"/>
      <c r="AD41" s="16"/>
      <c r="AE41" s="16"/>
      <c r="AF41" s="16"/>
      <c r="AG41" s="16"/>
      <c r="AH41" s="16"/>
      <c r="AI41" s="16"/>
      <c r="AJ41" s="16"/>
      <c r="AK41" s="16"/>
      <c r="AL41" s="16"/>
      <c r="AM41" s="16"/>
      <c r="AN41" s="16"/>
      <c r="AO41" s="16"/>
      <c r="AP41" s="16"/>
      <c r="AQ41" s="16"/>
      <c r="AR41" s="16"/>
      <c r="AS41" s="16"/>
      <c r="AT41" s="16"/>
      <c r="AU41" s="16"/>
      <c r="AV41" s="16"/>
      <c r="AW41" s="16"/>
      <c r="AX41" s="16"/>
      <c r="AY41" s="16"/>
      <c r="AZ41" s="16"/>
      <c r="BA41" s="16"/>
      <c r="BB41" s="15">
        <f t="shared" si="24"/>
        <v>0</v>
      </c>
      <c r="BC41" s="15"/>
      <c r="BD41" s="16"/>
      <c r="BE41" s="16"/>
      <c r="BF41" s="16"/>
      <c r="BG41" s="16"/>
      <c r="BH41" s="16"/>
      <c r="BI41" s="16"/>
      <c r="BJ41" s="16"/>
      <c r="BK41" s="16"/>
      <c r="BL41" s="16"/>
      <c r="BM41" s="16"/>
      <c r="BN41" s="16"/>
      <c r="BO41" s="16"/>
      <c r="BP41" s="16"/>
      <c r="BQ41" s="16"/>
      <c r="BR41" s="16"/>
      <c r="BS41" s="16"/>
      <c r="BT41" s="16"/>
      <c r="BU41" s="16"/>
      <c r="BV41" s="16"/>
      <c r="BW41" s="16"/>
    </row>
    <row r="42" spans="1:75" ht="18" hidden="1" customHeight="1" outlineLevel="1">
      <c r="B42" s="7">
        <v>2021</v>
      </c>
      <c r="C42" s="8" t="s">
        <v>12</v>
      </c>
      <c r="E42" s="8">
        <v>6867</v>
      </c>
      <c r="J42" s="9"/>
      <c r="Q42" s="5">
        <v>2032</v>
      </c>
      <c r="R42" s="5">
        <v>4</v>
      </c>
      <c r="S42" s="14" t="s">
        <v>28</v>
      </c>
      <c r="T42" s="15">
        <f t="shared" si="22"/>
        <v>0</v>
      </c>
      <c r="U42" s="15">
        <f t="shared" si="23"/>
        <v>0</v>
      </c>
      <c r="V42" s="16"/>
      <c r="W42" s="16"/>
      <c r="X42" s="16"/>
      <c r="Y42" s="16"/>
      <c r="Z42" s="16"/>
      <c r="AA42" s="16"/>
      <c r="AB42" s="16"/>
      <c r="AC42" s="16"/>
      <c r="AD42" s="16"/>
      <c r="AE42" s="16"/>
      <c r="AF42" s="16"/>
      <c r="AG42" s="16"/>
      <c r="AH42" s="16"/>
      <c r="AI42" s="16"/>
      <c r="AJ42" s="16"/>
      <c r="AK42" s="16"/>
      <c r="AL42" s="16"/>
      <c r="AM42" s="16"/>
      <c r="AN42" s="16"/>
      <c r="AO42" s="16"/>
      <c r="AP42" s="16"/>
      <c r="AQ42" s="16"/>
      <c r="AR42" s="16"/>
      <c r="AS42" s="16"/>
      <c r="AT42" s="16"/>
      <c r="AU42" s="16"/>
      <c r="AV42" s="16"/>
      <c r="AW42" s="16"/>
      <c r="AX42" s="16"/>
      <c r="AY42" s="16"/>
      <c r="AZ42" s="16"/>
      <c r="BA42" s="16"/>
      <c r="BB42" s="15">
        <f t="shared" si="24"/>
        <v>0</v>
      </c>
      <c r="BC42" s="15"/>
      <c r="BD42" s="16"/>
      <c r="BE42" s="16"/>
      <c r="BF42" s="16"/>
      <c r="BG42" s="16"/>
      <c r="BH42" s="16"/>
      <c r="BI42" s="16"/>
      <c r="BJ42" s="16"/>
      <c r="BK42" s="16"/>
      <c r="BL42" s="16"/>
      <c r="BM42" s="16"/>
      <c r="BN42" s="16"/>
      <c r="BO42" s="16"/>
      <c r="BP42" s="16"/>
      <c r="BQ42" s="16"/>
      <c r="BR42" s="16"/>
      <c r="BS42" s="16"/>
      <c r="BT42" s="16"/>
      <c r="BU42" s="16"/>
      <c r="BV42" s="16"/>
      <c r="BW42" s="16"/>
    </row>
    <row r="43" spans="1:75" ht="18" hidden="1" customHeight="1" outlineLevel="1">
      <c r="B43" s="7">
        <v>2022</v>
      </c>
      <c r="C43" s="8" t="s">
        <v>12</v>
      </c>
      <c r="E43" s="8">
        <v>6867</v>
      </c>
      <c r="J43" s="9"/>
      <c r="Q43" s="5">
        <v>2032</v>
      </c>
      <c r="R43" s="5">
        <v>3</v>
      </c>
      <c r="S43" s="14" t="s">
        <v>54</v>
      </c>
      <c r="T43" s="15">
        <f t="shared" si="22"/>
        <v>0</v>
      </c>
      <c r="U43" s="15">
        <f t="shared" si="23"/>
        <v>0</v>
      </c>
      <c r="V43" s="6"/>
      <c r="W43" s="6"/>
      <c r="X43" s="16"/>
      <c r="Y43" s="16"/>
      <c r="Z43" s="16"/>
      <c r="AA43" s="16"/>
      <c r="AB43" s="16"/>
      <c r="AC43" s="16"/>
      <c r="AD43" s="16"/>
      <c r="AE43" s="16"/>
      <c r="AF43" s="16"/>
      <c r="AG43" s="16"/>
      <c r="AH43" s="16"/>
      <c r="AI43" s="16"/>
      <c r="AJ43" s="16"/>
      <c r="AK43" s="16"/>
      <c r="AL43" s="16"/>
      <c r="AM43" s="16"/>
      <c r="AN43" s="16"/>
      <c r="AO43" s="16"/>
      <c r="AP43" s="16"/>
      <c r="AQ43" s="16"/>
      <c r="AR43" s="16"/>
      <c r="AS43" s="16"/>
      <c r="AT43" s="16"/>
      <c r="AU43" s="16"/>
      <c r="AV43" s="16"/>
      <c r="AW43" s="16"/>
      <c r="AX43" s="16"/>
      <c r="AY43" s="16"/>
      <c r="AZ43" s="16"/>
      <c r="BA43" s="16"/>
      <c r="BB43" s="15">
        <f t="shared" si="24"/>
        <v>0</v>
      </c>
      <c r="BC43" s="15"/>
      <c r="BD43" s="16"/>
      <c r="BE43" s="16"/>
      <c r="BF43" s="16"/>
      <c r="BG43" s="16"/>
      <c r="BH43" s="16"/>
      <c r="BI43" s="16"/>
      <c r="BJ43" s="16"/>
      <c r="BK43" s="16"/>
      <c r="BL43" s="16"/>
      <c r="BM43" s="16"/>
      <c r="BN43" s="16"/>
      <c r="BO43" s="16"/>
      <c r="BP43" s="16"/>
      <c r="BQ43" s="16"/>
      <c r="BR43" s="16"/>
      <c r="BS43" s="16"/>
      <c r="BT43" s="16"/>
      <c r="BU43" s="16"/>
      <c r="BV43" s="16"/>
      <c r="BW43" s="16"/>
    </row>
    <row r="44" spans="1:75" ht="18" hidden="1" customHeight="1" outlineLevel="1">
      <c r="B44" s="7">
        <v>2023</v>
      </c>
      <c r="C44" s="8" t="s">
        <v>12</v>
      </c>
      <c r="E44" s="8">
        <v>6867</v>
      </c>
      <c r="J44" s="9"/>
      <c r="Q44" s="5">
        <v>2032</v>
      </c>
      <c r="R44" s="5">
        <v>2</v>
      </c>
      <c r="S44" s="14" t="s">
        <v>54</v>
      </c>
      <c r="T44" s="15">
        <f t="shared" si="22"/>
        <v>0</v>
      </c>
      <c r="U44" s="15">
        <f t="shared" si="23"/>
        <v>0</v>
      </c>
      <c r="V44" s="6"/>
      <c r="W44" s="6"/>
      <c r="X44" s="16"/>
      <c r="Y44" s="16"/>
      <c r="Z44" s="16"/>
      <c r="AA44" s="16"/>
      <c r="AB44" s="16"/>
      <c r="AC44" s="16"/>
      <c r="AD44" s="16"/>
      <c r="AE44" s="16"/>
      <c r="AF44" s="16"/>
      <c r="AG44" s="16"/>
      <c r="AH44" s="16"/>
      <c r="AI44" s="16"/>
      <c r="AJ44" s="16"/>
      <c r="AK44" s="16"/>
      <c r="AL44" s="16"/>
      <c r="AM44" s="16"/>
      <c r="AN44" s="16"/>
      <c r="AO44" s="16"/>
      <c r="AP44" s="16"/>
      <c r="AQ44" s="16"/>
      <c r="AR44" s="16"/>
      <c r="AS44" s="16"/>
      <c r="AT44" s="16"/>
      <c r="AU44" s="16"/>
      <c r="AV44" s="16"/>
      <c r="AW44" s="16"/>
      <c r="AX44" s="16"/>
      <c r="AY44" s="16"/>
      <c r="AZ44" s="16"/>
      <c r="BA44" s="16"/>
      <c r="BB44" s="15">
        <f t="shared" si="24"/>
        <v>0</v>
      </c>
      <c r="BC44" s="15"/>
      <c r="BD44" s="16"/>
      <c r="BE44" s="16"/>
      <c r="BF44" s="16"/>
      <c r="BG44" s="16"/>
      <c r="BH44" s="16"/>
      <c r="BI44" s="16"/>
      <c r="BJ44" s="16"/>
      <c r="BK44" s="16"/>
      <c r="BL44" s="16"/>
      <c r="BM44" s="16"/>
      <c r="BN44" s="16"/>
      <c r="BO44" s="16"/>
      <c r="BP44" s="16"/>
      <c r="BQ44" s="16"/>
      <c r="BR44" s="16"/>
      <c r="BS44" s="16"/>
      <c r="BT44" s="16"/>
      <c r="BU44" s="16"/>
      <c r="BV44" s="16"/>
      <c r="BW44" s="16"/>
    </row>
    <row r="45" spans="1:75" ht="18" hidden="1" customHeight="1" outlineLevel="1">
      <c r="B45" s="7">
        <v>2024</v>
      </c>
      <c r="C45" s="8" t="s">
        <v>12</v>
      </c>
      <c r="E45" s="8">
        <v>6867</v>
      </c>
      <c r="J45" s="9"/>
      <c r="Q45" s="5">
        <v>2032</v>
      </c>
      <c r="R45" s="5">
        <v>1</v>
      </c>
      <c r="S45" s="14" t="s">
        <v>54</v>
      </c>
      <c r="T45" s="15">
        <f t="shared" si="22"/>
        <v>0</v>
      </c>
      <c r="U45" s="15">
        <f t="shared" si="23"/>
        <v>0</v>
      </c>
      <c r="V45" s="6"/>
      <c r="W45" s="6"/>
      <c r="X45" s="16"/>
      <c r="Y45" s="16"/>
      <c r="Z45" s="16"/>
      <c r="AA45" s="16"/>
      <c r="AB45" s="16"/>
      <c r="AC45" s="16"/>
      <c r="AD45" s="16"/>
      <c r="AE45" s="16"/>
      <c r="AF45" s="16"/>
      <c r="AG45" s="16"/>
      <c r="AH45" s="16"/>
      <c r="AI45" s="16"/>
      <c r="AJ45" s="16"/>
      <c r="AK45" s="16"/>
      <c r="AL45" s="16"/>
      <c r="AM45" s="16"/>
      <c r="AN45" s="16"/>
      <c r="AO45" s="16"/>
      <c r="AP45" s="16"/>
      <c r="AQ45" s="16"/>
      <c r="AR45" s="16"/>
      <c r="AS45" s="16"/>
      <c r="AT45" s="16"/>
      <c r="AU45" s="16"/>
      <c r="AV45" s="16"/>
      <c r="AW45" s="16"/>
      <c r="AX45" s="16"/>
      <c r="AY45" s="16"/>
      <c r="AZ45" s="16"/>
      <c r="BA45" s="16"/>
      <c r="BB45" s="15">
        <f t="shared" si="24"/>
        <v>0</v>
      </c>
      <c r="BC45" s="15"/>
      <c r="BD45" s="16"/>
      <c r="BE45" s="16"/>
      <c r="BF45" s="16"/>
      <c r="BG45" s="16"/>
      <c r="BH45" s="16"/>
      <c r="BI45" s="16"/>
      <c r="BJ45" s="16"/>
      <c r="BK45" s="16"/>
      <c r="BL45" s="16"/>
      <c r="BM45" s="16"/>
      <c r="BN45" s="16"/>
      <c r="BO45" s="16"/>
      <c r="BP45" s="16"/>
      <c r="BQ45" s="16"/>
      <c r="BR45" s="16"/>
      <c r="BS45" s="16"/>
      <c r="BT45" s="16"/>
      <c r="BU45" s="16"/>
      <c r="BV45" s="16"/>
      <c r="BW45" s="16"/>
    </row>
    <row r="46" spans="1:75" s="1" customFormat="1" ht="18" customHeight="1" collapsed="1">
      <c r="A46" s="10"/>
      <c r="B46" s="11"/>
      <c r="C46" s="12"/>
      <c r="D46" s="11"/>
      <c r="E46" s="12"/>
      <c r="F46" s="12"/>
      <c r="G46" s="12"/>
      <c r="H46" s="12"/>
      <c r="I46" s="12"/>
      <c r="J46" s="3"/>
      <c r="K46" s="12"/>
      <c r="L46" s="12"/>
      <c r="M46" s="12"/>
      <c r="N46" s="12"/>
      <c r="O46" s="13"/>
      <c r="Q46" s="628" t="s">
        <v>1991</v>
      </c>
      <c r="R46" s="628"/>
      <c r="S46" s="628"/>
      <c r="T46" s="23">
        <f t="shared" ref="T46:AZ46" si="28">SUMIF($Q$2:$Q$793,$Q47,T$2:T$793)</f>
        <v>0</v>
      </c>
      <c r="U46" s="23">
        <f t="shared" si="28"/>
        <v>178772428</v>
      </c>
      <c r="V46" s="23">
        <f t="shared" si="28"/>
        <v>92664000</v>
      </c>
      <c r="W46" s="23">
        <f t="shared" si="28"/>
        <v>34580220</v>
      </c>
      <c r="X46" s="23">
        <f t="shared" si="28"/>
        <v>7053588</v>
      </c>
      <c r="Y46" s="23">
        <f t="shared" si="28"/>
        <v>9600000</v>
      </c>
      <c r="Z46" s="23">
        <f t="shared" si="28"/>
        <v>0</v>
      </c>
      <c r="AA46" s="23">
        <f t="shared" si="28"/>
        <v>0</v>
      </c>
      <c r="AB46" s="23">
        <f t="shared" si="28"/>
        <v>0</v>
      </c>
      <c r="AC46" s="23">
        <f t="shared" si="28"/>
        <v>1796340</v>
      </c>
      <c r="AD46" s="23">
        <f t="shared" si="28"/>
        <v>18278280</v>
      </c>
      <c r="AE46" s="23">
        <f t="shared" si="28"/>
        <v>1500000</v>
      </c>
      <c r="AF46" s="23">
        <f t="shared" si="28"/>
        <v>4200000</v>
      </c>
      <c r="AG46" s="23">
        <f t="shared" si="28"/>
        <v>1200000</v>
      </c>
      <c r="AH46" s="23">
        <f t="shared" si="28"/>
        <v>1200000</v>
      </c>
      <c r="AI46" s="23">
        <f t="shared" si="28"/>
        <v>3000000</v>
      </c>
      <c r="AJ46" s="23">
        <f t="shared" si="28"/>
        <v>400000</v>
      </c>
      <c r="AK46" s="23">
        <f t="shared" si="28"/>
        <v>300000</v>
      </c>
      <c r="AL46" s="23">
        <f t="shared" si="28"/>
        <v>0</v>
      </c>
      <c r="AM46" s="23">
        <f t="shared" si="28"/>
        <v>1800000</v>
      </c>
      <c r="AN46" s="23">
        <f t="shared" si="28"/>
        <v>1200000</v>
      </c>
      <c r="AO46" s="23">
        <f t="shared" si="28"/>
        <v>0</v>
      </c>
      <c r="AP46" s="23">
        <f t="shared" si="28"/>
        <v>0</v>
      </c>
      <c r="AQ46" s="23">
        <f t="shared" si="28"/>
        <v>0</v>
      </c>
      <c r="AR46" s="23">
        <f t="shared" si="28"/>
        <v>0</v>
      </c>
      <c r="AS46" s="23">
        <f t="shared" si="28"/>
        <v>0</v>
      </c>
      <c r="AT46" s="23">
        <f t="shared" si="28"/>
        <v>0</v>
      </c>
      <c r="AU46" s="23">
        <f t="shared" si="28"/>
        <v>0</v>
      </c>
      <c r="AV46" s="23">
        <f t="shared" si="28"/>
        <v>0</v>
      </c>
      <c r="AW46" s="23">
        <f t="shared" si="28"/>
        <v>0</v>
      </c>
      <c r="AX46" s="23">
        <f t="shared" si="28"/>
        <v>0</v>
      </c>
      <c r="AY46" s="23">
        <f t="shared" si="28"/>
        <v>0</v>
      </c>
      <c r="AZ46" s="23">
        <f t="shared" si="28"/>
        <v>0</v>
      </c>
      <c r="BA46" s="23"/>
      <c r="BB46" s="23">
        <f t="shared" ref="BB46:BW46" si="29">SUMIF($Q$2:$Q$793,$Q47,BB$2:BB$793)</f>
        <v>0</v>
      </c>
      <c r="BC46" s="23">
        <f t="shared" si="29"/>
        <v>0</v>
      </c>
      <c r="BD46" s="23">
        <f t="shared" si="29"/>
        <v>0</v>
      </c>
      <c r="BE46" s="23">
        <f t="shared" si="29"/>
        <v>0</v>
      </c>
      <c r="BF46" s="23">
        <f t="shared" si="29"/>
        <v>0</v>
      </c>
      <c r="BG46" s="23">
        <f t="shared" si="29"/>
        <v>0</v>
      </c>
      <c r="BH46" s="23">
        <f t="shared" si="29"/>
        <v>0</v>
      </c>
      <c r="BI46" s="23">
        <f t="shared" si="29"/>
        <v>0</v>
      </c>
      <c r="BJ46" s="23">
        <f t="shared" si="29"/>
        <v>0</v>
      </c>
      <c r="BK46" s="23">
        <f t="shared" si="29"/>
        <v>0</v>
      </c>
      <c r="BL46" s="23">
        <f t="shared" si="29"/>
        <v>0</v>
      </c>
      <c r="BM46" s="23">
        <f t="shared" si="29"/>
        <v>0</v>
      </c>
      <c r="BN46" s="23">
        <f t="shared" si="29"/>
        <v>0</v>
      </c>
      <c r="BO46" s="23">
        <f t="shared" si="29"/>
        <v>0</v>
      </c>
      <c r="BP46" s="23">
        <f t="shared" si="29"/>
        <v>0</v>
      </c>
      <c r="BQ46" s="23">
        <f t="shared" si="29"/>
        <v>0</v>
      </c>
      <c r="BR46" s="23">
        <f t="shared" si="29"/>
        <v>0</v>
      </c>
      <c r="BS46" s="23">
        <f t="shared" si="29"/>
        <v>0</v>
      </c>
      <c r="BT46" s="23">
        <f t="shared" si="29"/>
        <v>0</v>
      </c>
      <c r="BU46" s="23">
        <f t="shared" si="29"/>
        <v>0</v>
      </c>
      <c r="BV46" s="23">
        <f t="shared" si="29"/>
        <v>0</v>
      </c>
      <c r="BW46" s="23">
        <f t="shared" si="29"/>
        <v>0</v>
      </c>
    </row>
    <row r="47" spans="1:75" ht="18" hidden="1" customHeight="1" outlineLevel="1">
      <c r="D47" s="7" t="s">
        <v>11</v>
      </c>
      <c r="F47" s="8">
        <v>4717</v>
      </c>
      <c r="G47" s="8">
        <v>5848</v>
      </c>
      <c r="K47" s="8">
        <v>2400</v>
      </c>
      <c r="L47" s="8">
        <f>K47*12</f>
        <v>28800</v>
      </c>
      <c r="M47" s="8">
        <f>L47*1.13</f>
        <v>32543.999999999996</v>
      </c>
      <c r="N47" s="8">
        <v>21014</v>
      </c>
      <c r="O47" s="9">
        <f>N47/M47</f>
        <v>0.64571042281219282</v>
      </c>
      <c r="Q47" s="5">
        <v>2031</v>
      </c>
      <c r="R47" s="5">
        <v>12</v>
      </c>
      <c r="S47" s="14" t="s">
        <v>54</v>
      </c>
      <c r="T47" s="15">
        <f t="shared" ref="T47:T59" si="30">IF(U47=U47-BB47,0,U47-BB47)</f>
        <v>0</v>
      </c>
      <c r="U47" s="15">
        <f t="shared" ref="U47:U59" si="31">SUM(V47:BA47)</f>
        <v>13191179</v>
      </c>
      <c r="V47" s="6">
        <v>7831000</v>
      </c>
      <c r="W47" s="6">
        <v>2922380</v>
      </c>
      <c r="X47" s="16">
        <v>587799</v>
      </c>
      <c r="Y47" s="16">
        <v>800000</v>
      </c>
      <c r="Z47" s="16">
        <v>0</v>
      </c>
      <c r="AA47" s="16">
        <v>0</v>
      </c>
      <c r="AB47" s="16">
        <v>0</v>
      </c>
      <c r="AC47" s="16">
        <v>0</v>
      </c>
      <c r="AD47" s="16">
        <v>0</v>
      </c>
      <c r="AE47" s="16">
        <v>0</v>
      </c>
      <c r="AF47" s="16">
        <v>350000</v>
      </c>
      <c r="AG47" s="16">
        <v>100000</v>
      </c>
      <c r="AH47" s="16">
        <v>100000</v>
      </c>
      <c r="AI47" s="16">
        <v>250000</v>
      </c>
      <c r="AJ47" s="16">
        <v>0</v>
      </c>
      <c r="AK47" s="16">
        <v>0</v>
      </c>
      <c r="AL47" s="16">
        <v>0</v>
      </c>
      <c r="AM47" s="16">
        <v>150000</v>
      </c>
      <c r="AN47" s="16">
        <v>100000</v>
      </c>
      <c r="AO47" s="16">
        <v>0</v>
      </c>
      <c r="AP47" s="16">
        <v>0</v>
      </c>
      <c r="AQ47" s="16">
        <v>0</v>
      </c>
      <c r="AR47" s="16">
        <v>0</v>
      </c>
      <c r="AS47" s="16">
        <v>0</v>
      </c>
      <c r="AT47" s="16">
        <v>0</v>
      </c>
      <c r="AU47" s="16">
        <v>0</v>
      </c>
      <c r="AV47" s="16">
        <v>0</v>
      </c>
      <c r="AW47" s="16">
        <v>0</v>
      </c>
      <c r="AX47" s="16">
        <v>0</v>
      </c>
      <c r="AY47" s="16">
        <v>0</v>
      </c>
      <c r="AZ47" s="16">
        <v>0</v>
      </c>
      <c r="BA47" s="16"/>
      <c r="BB47" s="15">
        <f t="shared" ref="BB47:BB59" si="32">SUM(BC47:BW47)</f>
        <v>0</v>
      </c>
      <c r="BC47" s="15"/>
      <c r="BD47" s="16"/>
      <c r="BE47" s="16"/>
      <c r="BF47" s="16"/>
      <c r="BG47" s="16"/>
      <c r="BH47" s="16"/>
      <c r="BI47" s="16"/>
      <c r="BJ47" s="16"/>
      <c r="BK47" s="16"/>
      <c r="BL47" s="16"/>
      <c r="BM47" s="16"/>
      <c r="BN47" s="16"/>
      <c r="BO47" s="16"/>
      <c r="BP47" s="16"/>
      <c r="BQ47" s="16"/>
      <c r="BR47" s="16"/>
      <c r="BS47" s="16"/>
      <c r="BT47" s="16"/>
      <c r="BU47" s="16"/>
      <c r="BV47" s="16"/>
      <c r="BW47" s="16"/>
    </row>
    <row r="48" spans="1:75" ht="18" hidden="1" customHeight="1" outlineLevel="1">
      <c r="D48" s="7" t="s">
        <v>11</v>
      </c>
      <c r="F48" s="8">
        <v>4717</v>
      </c>
      <c r="G48" s="8">
        <v>5848</v>
      </c>
      <c r="K48" s="8">
        <v>2400</v>
      </c>
      <c r="L48" s="8">
        <f>K48*12</f>
        <v>28800</v>
      </c>
      <c r="M48" s="8">
        <f>L48*1.13</f>
        <v>32543.999999999996</v>
      </c>
      <c r="N48" s="8">
        <v>21014</v>
      </c>
      <c r="O48" s="9">
        <f>N48/M48</f>
        <v>0.64571042281219282</v>
      </c>
      <c r="Q48" s="5">
        <v>2031</v>
      </c>
      <c r="R48" s="5">
        <v>11</v>
      </c>
      <c r="S48" s="14" t="s">
        <v>54</v>
      </c>
      <c r="T48" s="15">
        <f t="shared" si="30"/>
        <v>0</v>
      </c>
      <c r="U48" s="15">
        <f t="shared" si="31"/>
        <v>13191179</v>
      </c>
      <c r="V48" s="6">
        <v>7831000</v>
      </c>
      <c r="W48" s="6">
        <v>2922380</v>
      </c>
      <c r="X48" s="16">
        <v>587799</v>
      </c>
      <c r="Y48" s="16">
        <v>800000</v>
      </c>
      <c r="Z48" s="16">
        <v>0</v>
      </c>
      <c r="AA48" s="16">
        <v>0</v>
      </c>
      <c r="AB48" s="16">
        <v>0</v>
      </c>
      <c r="AC48" s="16">
        <v>0</v>
      </c>
      <c r="AD48" s="16">
        <v>0</v>
      </c>
      <c r="AE48" s="16">
        <v>0</v>
      </c>
      <c r="AF48" s="16">
        <v>350000</v>
      </c>
      <c r="AG48" s="16">
        <v>100000</v>
      </c>
      <c r="AH48" s="16">
        <v>100000</v>
      </c>
      <c r="AI48" s="16">
        <v>250000</v>
      </c>
      <c r="AJ48" s="16">
        <v>0</v>
      </c>
      <c r="AK48" s="16">
        <v>0</v>
      </c>
      <c r="AL48" s="16">
        <v>0</v>
      </c>
      <c r="AM48" s="16">
        <v>150000</v>
      </c>
      <c r="AN48" s="16">
        <v>100000</v>
      </c>
      <c r="AO48" s="16">
        <v>0</v>
      </c>
      <c r="AP48" s="16">
        <v>0</v>
      </c>
      <c r="AQ48" s="16">
        <v>0</v>
      </c>
      <c r="AR48" s="16">
        <v>0</v>
      </c>
      <c r="AS48" s="16">
        <v>0</v>
      </c>
      <c r="AT48" s="16">
        <v>0</v>
      </c>
      <c r="AU48" s="16">
        <v>0</v>
      </c>
      <c r="AV48" s="16">
        <v>0</v>
      </c>
      <c r="AW48" s="16">
        <v>0</v>
      </c>
      <c r="AX48" s="16">
        <v>0</v>
      </c>
      <c r="AY48" s="16">
        <v>0</v>
      </c>
      <c r="AZ48" s="16">
        <v>0</v>
      </c>
      <c r="BA48" s="16"/>
      <c r="BB48" s="15">
        <f t="shared" si="32"/>
        <v>0</v>
      </c>
      <c r="BC48" s="15"/>
      <c r="BD48" s="16"/>
      <c r="BE48" s="16"/>
      <c r="BF48" s="16"/>
      <c r="BG48" s="16"/>
      <c r="BH48" s="16"/>
      <c r="BI48" s="16"/>
      <c r="BJ48" s="16"/>
      <c r="BK48" s="16"/>
      <c r="BL48" s="16"/>
      <c r="BM48" s="16"/>
      <c r="BN48" s="16"/>
      <c r="BO48" s="16"/>
      <c r="BP48" s="16"/>
      <c r="BQ48" s="16"/>
      <c r="BR48" s="16"/>
      <c r="BS48" s="16"/>
      <c r="BT48" s="16"/>
      <c r="BU48" s="16"/>
      <c r="BV48" s="16"/>
      <c r="BW48" s="16"/>
    </row>
    <row r="49" spans="1:75" ht="18" hidden="1" customHeight="1" outlineLevel="1">
      <c r="D49" s="7" t="s">
        <v>11</v>
      </c>
      <c r="F49" s="8">
        <v>4717</v>
      </c>
      <c r="G49" s="8">
        <v>5848</v>
      </c>
      <c r="K49" s="8">
        <v>2400</v>
      </c>
      <c r="L49" s="8">
        <f t="shared" ref="L49:L52" si="33">K49*12</f>
        <v>28800</v>
      </c>
      <c r="M49" s="8">
        <f t="shared" ref="M49:M52" si="34">L49*1.13</f>
        <v>32543.999999999996</v>
      </c>
      <c r="N49" s="8">
        <v>21014</v>
      </c>
      <c r="O49" s="9">
        <f t="shared" ref="O49:O52" si="35">N49/M49</f>
        <v>0.64571042281219282</v>
      </c>
      <c r="Q49" s="5">
        <v>2031</v>
      </c>
      <c r="R49" s="5">
        <v>10</v>
      </c>
      <c r="S49" s="14" t="s">
        <v>54</v>
      </c>
      <c r="T49" s="15">
        <f t="shared" si="30"/>
        <v>0</v>
      </c>
      <c r="U49" s="15">
        <f t="shared" si="31"/>
        <v>13191179</v>
      </c>
      <c r="V49" s="6">
        <v>7831000</v>
      </c>
      <c r="W49" s="6">
        <v>2922380</v>
      </c>
      <c r="X49" s="16">
        <v>587799</v>
      </c>
      <c r="Y49" s="16">
        <v>800000</v>
      </c>
      <c r="Z49" s="16">
        <v>0</v>
      </c>
      <c r="AA49" s="16">
        <v>0</v>
      </c>
      <c r="AB49" s="16">
        <v>0</v>
      </c>
      <c r="AC49" s="16">
        <v>0</v>
      </c>
      <c r="AD49" s="16">
        <v>0</v>
      </c>
      <c r="AE49" s="16">
        <v>0</v>
      </c>
      <c r="AF49" s="16">
        <v>350000</v>
      </c>
      <c r="AG49" s="16">
        <v>100000</v>
      </c>
      <c r="AH49" s="16">
        <v>100000</v>
      </c>
      <c r="AI49" s="16">
        <v>250000</v>
      </c>
      <c r="AJ49" s="16">
        <v>0</v>
      </c>
      <c r="AK49" s="16">
        <v>0</v>
      </c>
      <c r="AL49" s="16">
        <v>0</v>
      </c>
      <c r="AM49" s="16">
        <v>150000</v>
      </c>
      <c r="AN49" s="16">
        <v>100000</v>
      </c>
      <c r="AO49" s="16">
        <v>0</v>
      </c>
      <c r="AP49" s="16">
        <v>0</v>
      </c>
      <c r="AQ49" s="16">
        <v>0</v>
      </c>
      <c r="AR49" s="16">
        <v>0</v>
      </c>
      <c r="AS49" s="16">
        <v>0</v>
      </c>
      <c r="AT49" s="16">
        <v>0</v>
      </c>
      <c r="AU49" s="16">
        <v>0</v>
      </c>
      <c r="AV49" s="16">
        <v>0</v>
      </c>
      <c r="AW49" s="16">
        <v>0</v>
      </c>
      <c r="AX49" s="16">
        <v>0</v>
      </c>
      <c r="AY49" s="16">
        <v>0</v>
      </c>
      <c r="AZ49" s="16">
        <v>0</v>
      </c>
      <c r="BA49" s="16"/>
      <c r="BB49" s="15">
        <f t="shared" si="32"/>
        <v>0</v>
      </c>
      <c r="BC49" s="15"/>
      <c r="BD49" s="16"/>
      <c r="BE49" s="16"/>
      <c r="BF49" s="16"/>
      <c r="BG49" s="16"/>
      <c r="BH49" s="16"/>
      <c r="BI49" s="16"/>
      <c r="BJ49" s="16"/>
      <c r="BK49" s="16"/>
      <c r="BL49" s="16"/>
      <c r="BM49" s="16"/>
      <c r="BN49" s="16"/>
      <c r="BO49" s="16"/>
      <c r="BP49" s="16"/>
      <c r="BQ49" s="16"/>
      <c r="BR49" s="16"/>
      <c r="BS49" s="16"/>
      <c r="BT49" s="16"/>
      <c r="BU49" s="16"/>
      <c r="BV49" s="16"/>
      <c r="BW49" s="16"/>
    </row>
    <row r="50" spans="1:75" ht="18" hidden="1" customHeight="1" outlineLevel="1">
      <c r="D50" s="7" t="s">
        <v>12</v>
      </c>
      <c r="F50" s="8">
        <v>6867</v>
      </c>
      <c r="G50" s="8">
        <v>6867</v>
      </c>
      <c r="K50" s="8">
        <v>2400</v>
      </c>
      <c r="L50" s="8">
        <f t="shared" si="33"/>
        <v>28800</v>
      </c>
      <c r="M50" s="8">
        <f t="shared" si="34"/>
        <v>32543.999999999996</v>
      </c>
      <c r="N50" s="8">
        <v>21014</v>
      </c>
      <c r="O50" s="9">
        <f t="shared" si="35"/>
        <v>0.64571042281219282</v>
      </c>
      <c r="Q50" s="5">
        <v>2031</v>
      </c>
      <c r="R50" s="5">
        <v>9</v>
      </c>
      <c r="S50" s="14" t="s">
        <v>54</v>
      </c>
      <c r="T50" s="15">
        <f t="shared" si="30"/>
        <v>0</v>
      </c>
      <c r="U50" s="15">
        <f t="shared" si="31"/>
        <v>13391179</v>
      </c>
      <c r="V50" s="6">
        <v>7831000</v>
      </c>
      <c r="W50" s="6">
        <v>2922380</v>
      </c>
      <c r="X50" s="16">
        <v>587799</v>
      </c>
      <c r="Y50" s="16">
        <v>800000</v>
      </c>
      <c r="Z50" s="16">
        <v>0</v>
      </c>
      <c r="AA50" s="16">
        <v>0</v>
      </c>
      <c r="AB50" s="16">
        <v>0</v>
      </c>
      <c r="AC50" s="16">
        <v>0</v>
      </c>
      <c r="AD50" s="16">
        <v>0</v>
      </c>
      <c r="AE50" s="16">
        <v>0</v>
      </c>
      <c r="AF50" s="16">
        <v>350000</v>
      </c>
      <c r="AG50" s="16">
        <v>100000</v>
      </c>
      <c r="AH50" s="16">
        <v>100000</v>
      </c>
      <c r="AI50" s="16">
        <v>250000</v>
      </c>
      <c r="AJ50" s="16">
        <v>200000</v>
      </c>
      <c r="AK50" s="16">
        <v>0</v>
      </c>
      <c r="AL50" s="16">
        <v>0</v>
      </c>
      <c r="AM50" s="16">
        <v>150000</v>
      </c>
      <c r="AN50" s="16">
        <v>100000</v>
      </c>
      <c r="AO50" s="16">
        <v>0</v>
      </c>
      <c r="AP50" s="16">
        <v>0</v>
      </c>
      <c r="AQ50" s="16">
        <v>0</v>
      </c>
      <c r="AR50" s="16">
        <v>0</v>
      </c>
      <c r="AS50" s="16">
        <v>0</v>
      </c>
      <c r="AT50" s="16">
        <v>0</v>
      </c>
      <c r="AU50" s="16">
        <v>0</v>
      </c>
      <c r="AV50" s="16">
        <v>0</v>
      </c>
      <c r="AW50" s="16">
        <v>0</v>
      </c>
      <c r="AX50" s="16">
        <v>0</v>
      </c>
      <c r="AY50" s="16">
        <v>0</v>
      </c>
      <c r="AZ50" s="16">
        <v>0</v>
      </c>
      <c r="BA50" s="16"/>
      <c r="BB50" s="15">
        <f t="shared" si="32"/>
        <v>0</v>
      </c>
      <c r="BC50" s="15"/>
      <c r="BD50" s="16"/>
      <c r="BE50" s="16"/>
      <c r="BF50" s="16"/>
      <c r="BG50" s="16"/>
      <c r="BH50" s="16"/>
      <c r="BI50" s="16"/>
      <c r="BJ50" s="16"/>
      <c r="BK50" s="16"/>
      <c r="BL50" s="16"/>
      <c r="BM50" s="16"/>
      <c r="BN50" s="16"/>
      <c r="BO50" s="16"/>
      <c r="BP50" s="16"/>
      <c r="BQ50" s="16"/>
      <c r="BR50" s="16"/>
      <c r="BS50" s="16"/>
      <c r="BT50" s="16"/>
      <c r="BU50" s="16"/>
      <c r="BV50" s="16"/>
      <c r="BW50" s="16"/>
    </row>
    <row r="51" spans="1:75" ht="18" hidden="1" customHeight="1" outlineLevel="1">
      <c r="D51" s="7" t="s">
        <v>13</v>
      </c>
      <c r="F51" s="8">
        <v>7988</v>
      </c>
      <c r="G51" s="8" t="s">
        <v>2</v>
      </c>
      <c r="H51" s="8" t="s">
        <v>17</v>
      </c>
      <c r="I51" s="8">
        <v>171</v>
      </c>
      <c r="K51" s="8">
        <v>2400</v>
      </c>
      <c r="L51" s="8">
        <f t="shared" si="33"/>
        <v>28800</v>
      </c>
      <c r="M51" s="8">
        <f t="shared" si="34"/>
        <v>32543.999999999996</v>
      </c>
      <c r="N51" s="8">
        <v>21014</v>
      </c>
      <c r="O51" s="9">
        <f t="shared" si="35"/>
        <v>0.64571042281219282</v>
      </c>
      <c r="Q51" s="5">
        <v>2031</v>
      </c>
      <c r="R51" s="5">
        <v>8</v>
      </c>
      <c r="S51" s="14" t="s">
        <v>54</v>
      </c>
      <c r="T51" s="15">
        <f t="shared" si="30"/>
        <v>0</v>
      </c>
      <c r="U51" s="15">
        <f t="shared" si="31"/>
        <v>13191179</v>
      </c>
      <c r="V51" s="6">
        <v>7831000</v>
      </c>
      <c r="W51" s="6">
        <v>2922380</v>
      </c>
      <c r="X51" s="16">
        <v>587799</v>
      </c>
      <c r="Y51" s="16">
        <v>800000</v>
      </c>
      <c r="Z51" s="16">
        <v>0</v>
      </c>
      <c r="AA51" s="16">
        <v>0</v>
      </c>
      <c r="AB51" s="16">
        <v>0</v>
      </c>
      <c r="AC51" s="16">
        <v>0</v>
      </c>
      <c r="AD51" s="16">
        <v>0</v>
      </c>
      <c r="AE51" s="16">
        <v>0</v>
      </c>
      <c r="AF51" s="16">
        <v>350000</v>
      </c>
      <c r="AG51" s="16">
        <v>100000</v>
      </c>
      <c r="AH51" s="16">
        <v>100000</v>
      </c>
      <c r="AI51" s="16">
        <v>250000</v>
      </c>
      <c r="AJ51" s="16">
        <v>0</v>
      </c>
      <c r="AK51" s="16">
        <v>0</v>
      </c>
      <c r="AL51" s="16">
        <v>0</v>
      </c>
      <c r="AM51" s="16">
        <v>150000</v>
      </c>
      <c r="AN51" s="16">
        <v>100000</v>
      </c>
      <c r="AO51" s="16">
        <v>0</v>
      </c>
      <c r="AP51" s="16">
        <v>0</v>
      </c>
      <c r="AQ51" s="16">
        <v>0</v>
      </c>
      <c r="AR51" s="16">
        <v>0</v>
      </c>
      <c r="AS51" s="16">
        <v>0</v>
      </c>
      <c r="AT51" s="16">
        <v>0</v>
      </c>
      <c r="AU51" s="16">
        <v>0</v>
      </c>
      <c r="AV51" s="16">
        <v>0</v>
      </c>
      <c r="AW51" s="16">
        <v>0</v>
      </c>
      <c r="AX51" s="16">
        <v>0</v>
      </c>
      <c r="AY51" s="16">
        <v>0</v>
      </c>
      <c r="AZ51" s="16">
        <v>0</v>
      </c>
      <c r="BA51" s="16"/>
      <c r="BB51" s="15">
        <f t="shared" si="32"/>
        <v>0</v>
      </c>
      <c r="BC51" s="15"/>
      <c r="BD51" s="16"/>
      <c r="BE51" s="16"/>
      <c r="BF51" s="16"/>
      <c r="BG51" s="16"/>
      <c r="BH51" s="16"/>
      <c r="BI51" s="16"/>
      <c r="BJ51" s="16"/>
      <c r="BK51" s="16"/>
      <c r="BL51" s="16"/>
      <c r="BM51" s="16"/>
      <c r="BN51" s="16"/>
      <c r="BO51" s="16"/>
      <c r="BP51" s="16"/>
      <c r="BQ51" s="16"/>
      <c r="BR51" s="16"/>
      <c r="BS51" s="16"/>
      <c r="BT51" s="16"/>
      <c r="BU51" s="16"/>
      <c r="BV51" s="16"/>
      <c r="BW51" s="16"/>
    </row>
    <row r="52" spans="1:75" ht="18" hidden="1" customHeight="1" outlineLevel="1">
      <c r="D52" s="7" t="s">
        <v>13</v>
      </c>
      <c r="F52" s="8">
        <v>7988</v>
      </c>
      <c r="G52" s="8" t="s">
        <v>2</v>
      </c>
      <c r="H52" s="8" t="s">
        <v>17</v>
      </c>
      <c r="I52" s="8">
        <v>171</v>
      </c>
      <c r="K52" s="8">
        <v>2400</v>
      </c>
      <c r="L52" s="8">
        <f t="shared" si="33"/>
        <v>28800</v>
      </c>
      <c r="M52" s="8">
        <f t="shared" si="34"/>
        <v>32543.999999999996</v>
      </c>
      <c r="N52" s="8">
        <v>21014</v>
      </c>
      <c r="O52" s="9">
        <f t="shared" si="35"/>
        <v>0.64571042281219282</v>
      </c>
      <c r="Q52" s="5">
        <v>2031</v>
      </c>
      <c r="R52" s="5">
        <v>7</v>
      </c>
      <c r="S52" s="14" t="s">
        <v>54</v>
      </c>
      <c r="T52" s="15">
        <f t="shared" si="30"/>
        <v>0</v>
      </c>
      <c r="U52" s="15">
        <f t="shared" si="31"/>
        <v>13491179</v>
      </c>
      <c r="V52" s="6">
        <v>7831000</v>
      </c>
      <c r="W52" s="6">
        <v>2922380</v>
      </c>
      <c r="X52" s="16">
        <v>587799</v>
      </c>
      <c r="Y52" s="16">
        <v>800000</v>
      </c>
      <c r="Z52" s="16">
        <v>0</v>
      </c>
      <c r="AA52" s="16">
        <v>0</v>
      </c>
      <c r="AB52" s="16">
        <v>0</v>
      </c>
      <c r="AC52" s="16">
        <v>0</v>
      </c>
      <c r="AD52" s="16">
        <v>0</v>
      </c>
      <c r="AE52" s="16">
        <v>0</v>
      </c>
      <c r="AF52" s="16">
        <v>350000</v>
      </c>
      <c r="AG52" s="16">
        <v>100000</v>
      </c>
      <c r="AH52" s="16">
        <v>100000</v>
      </c>
      <c r="AI52" s="16">
        <v>250000</v>
      </c>
      <c r="AJ52" s="16">
        <v>0</v>
      </c>
      <c r="AK52" s="16">
        <v>300000</v>
      </c>
      <c r="AL52" s="16">
        <v>0</v>
      </c>
      <c r="AM52" s="16">
        <v>150000</v>
      </c>
      <c r="AN52" s="16">
        <v>100000</v>
      </c>
      <c r="AO52" s="16">
        <v>0</v>
      </c>
      <c r="AP52" s="16">
        <v>0</v>
      </c>
      <c r="AQ52" s="16">
        <v>0</v>
      </c>
      <c r="AR52" s="16">
        <v>0</v>
      </c>
      <c r="AS52" s="16">
        <v>0</v>
      </c>
      <c r="AT52" s="16">
        <v>0</v>
      </c>
      <c r="AU52" s="16">
        <v>0</v>
      </c>
      <c r="AV52" s="16">
        <v>0</v>
      </c>
      <c r="AW52" s="16">
        <v>0</v>
      </c>
      <c r="AX52" s="16">
        <v>0</v>
      </c>
      <c r="AY52" s="16">
        <v>0</v>
      </c>
      <c r="AZ52" s="16">
        <v>0</v>
      </c>
      <c r="BA52" s="16"/>
      <c r="BB52" s="15">
        <f t="shared" si="32"/>
        <v>0</v>
      </c>
      <c r="BC52" s="15"/>
      <c r="BD52" s="16"/>
      <c r="BE52" s="16"/>
      <c r="BF52" s="16"/>
      <c r="BG52" s="16"/>
      <c r="BH52" s="16"/>
      <c r="BI52" s="16"/>
      <c r="BJ52" s="16"/>
      <c r="BK52" s="16"/>
      <c r="BL52" s="16"/>
      <c r="BM52" s="16"/>
      <c r="BN52" s="16"/>
      <c r="BO52" s="16"/>
      <c r="BP52" s="16"/>
      <c r="BQ52" s="16"/>
      <c r="BR52" s="16"/>
      <c r="BS52" s="16"/>
      <c r="BT52" s="16"/>
      <c r="BU52" s="16"/>
      <c r="BV52" s="16"/>
      <c r="BW52" s="16"/>
    </row>
    <row r="53" spans="1:75" ht="18" hidden="1" customHeight="1" outlineLevel="1">
      <c r="H53" s="8" t="s">
        <v>18</v>
      </c>
      <c r="I53" s="8">
        <v>122</v>
      </c>
      <c r="J53" s="9"/>
      <c r="Q53" s="5">
        <v>2031</v>
      </c>
      <c r="R53" s="5">
        <v>6</v>
      </c>
      <c r="S53" s="14" t="s">
        <v>54</v>
      </c>
      <c r="T53" s="15">
        <f t="shared" si="30"/>
        <v>0</v>
      </c>
      <c r="U53" s="15">
        <f t="shared" si="31"/>
        <v>13191179</v>
      </c>
      <c r="V53" s="6">
        <v>7831000</v>
      </c>
      <c r="W53" s="6">
        <v>2922380</v>
      </c>
      <c r="X53" s="16">
        <v>587799</v>
      </c>
      <c r="Y53" s="16">
        <v>800000</v>
      </c>
      <c r="Z53" s="16">
        <v>0</v>
      </c>
      <c r="AA53" s="16">
        <v>0</v>
      </c>
      <c r="AB53" s="16">
        <v>0</v>
      </c>
      <c r="AC53" s="16">
        <v>0</v>
      </c>
      <c r="AD53" s="16">
        <v>0</v>
      </c>
      <c r="AE53" s="16">
        <v>0</v>
      </c>
      <c r="AF53" s="16">
        <v>350000</v>
      </c>
      <c r="AG53" s="16">
        <v>100000</v>
      </c>
      <c r="AH53" s="16">
        <v>100000</v>
      </c>
      <c r="AI53" s="16">
        <v>250000</v>
      </c>
      <c r="AJ53" s="16">
        <v>0</v>
      </c>
      <c r="AK53" s="16">
        <v>0</v>
      </c>
      <c r="AL53" s="16">
        <v>0</v>
      </c>
      <c r="AM53" s="16">
        <v>150000</v>
      </c>
      <c r="AN53" s="16">
        <v>100000</v>
      </c>
      <c r="AO53" s="16">
        <v>0</v>
      </c>
      <c r="AP53" s="16">
        <v>0</v>
      </c>
      <c r="AQ53" s="16">
        <v>0</v>
      </c>
      <c r="AR53" s="16">
        <v>0</v>
      </c>
      <c r="AS53" s="16">
        <v>0</v>
      </c>
      <c r="AT53" s="16">
        <v>0</v>
      </c>
      <c r="AU53" s="16">
        <v>0</v>
      </c>
      <c r="AV53" s="16">
        <v>0</v>
      </c>
      <c r="AW53" s="16">
        <v>0</v>
      </c>
      <c r="AX53" s="16">
        <v>0</v>
      </c>
      <c r="AY53" s="16">
        <v>0</v>
      </c>
      <c r="AZ53" s="16">
        <v>0</v>
      </c>
      <c r="BA53" s="16"/>
      <c r="BB53" s="15">
        <f t="shared" si="32"/>
        <v>0</v>
      </c>
      <c r="BC53" s="15"/>
      <c r="BD53" s="16"/>
      <c r="BE53" s="16"/>
      <c r="BF53" s="16"/>
      <c r="BG53" s="16"/>
      <c r="BH53" s="16"/>
      <c r="BI53" s="16"/>
      <c r="BJ53" s="16"/>
      <c r="BK53" s="16"/>
      <c r="BL53" s="16"/>
      <c r="BM53" s="16"/>
      <c r="BN53" s="16"/>
      <c r="BO53" s="16"/>
      <c r="BP53" s="16"/>
      <c r="BQ53" s="16"/>
      <c r="BR53" s="16"/>
      <c r="BS53" s="16"/>
      <c r="BT53" s="16"/>
      <c r="BU53" s="16"/>
      <c r="BV53" s="16"/>
      <c r="BW53" s="16"/>
    </row>
    <row r="54" spans="1:75" ht="18" hidden="1" customHeight="1" outlineLevel="1">
      <c r="J54" s="9"/>
      <c r="Q54" s="5">
        <v>2031</v>
      </c>
      <c r="R54" s="5">
        <v>5</v>
      </c>
      <c r="S54" s="14" t="s">
        <v>54</v>
      </c>
      <c r="T54" s="15">
        <f t="shared" si="30"/>
        <v>0</v>
      </c>
      <c r="U54" s="15">
        <f t="shared" si="31"/>
        <v>13391179</v>
      </c>
      <c r="V54" s="6">
        <v>7831000</v>
      </c>
      <c r="W54" s="6">
        <v>2922380</v>
      </c>
      <c r="X54" s="16">
        <v>587799</v>
      </c>
      <c r="Y54" s="16">
        <v>800000</v>
      </c>
      <c r="Z54" s="16">
        <v>0</v>
      </c>
      <c r="AA54" s="16">
        <v>0</v>
      </c>
      <c r="AB54" s="16">
        <v>0</v>
      </c>
      <c r="AC54" s="16">
        <v>0</v>
      </c>
      <c r="AD54" s="16">
        <v>0</v>
      </c>
      <c r="AE54" s="16">
        <v>0</v>
      </c>
      <c r="AF54" s="16">
        <v>350000</v>
      </c>
      <c r="AG54" s="16">
        <v>100000</v>
      </c>
      <c r="AH54" s="16">
        <v>100000</v>
      </c>
      <c r="AI54" s="16">
        <v>250000</v>
      </c>
      <c r="AJ54" s="16">
        <v>200000</v>
      </c>
      <c r="AK54" s="16">
        <v>0</v>
      </c>
      <c r="AL54" s="16">
        <v>0</v>
      </c>
      <c r="AM54" s="16">
        <v>150000</v>
      </c>
      <c r="AN54" s="16">
        <v>100000</v>
      </c>
      <c r="AO54" s="16">
        <v>0</v>
      </c>
      <c r="AP54" s="16">
        <v>0</v>
      </c>
      <c r="AQ54" s="16">
        <v>0</v>
      </c>
      <c r="AR54" s="16">
        <v>0</v>
      </c>
      <c r="AS54" s="16">
        <v>0</v>
      </c>
      <c r="AT54" s="16">
        <v>0</v>
      </c>
      <c r="AU54" s="16">
        <v>0</v>
      </c>
      <c r="AV54" s="16">
        <v>0</v>
      </c>
      <c r="AW54" s="16">
        <v>0</v>
      </c>
      <c r="AX54" s="16">
        <v>0</v>
      </c>
      <c r="AY54" s="16">
        <v>0</v>
      </c>
      <c r="AZ54" s="16">
        <v>0</v>
      </c>
      <c r="BA54" s="16"/>
      <c r="BB54" s="15">
        <f t="shared" si="32"/>
        <v>0</v>
      </c>
      <c r="BC54" s="15"/>
      <c r="BD54" s="16"/>
      <c r="BE54" s="16"/>
      <c r="BF54" s="16"/>
      <c r="BG54" s="16"/>
      <c r="BH54" s="16"/>
      <c r="BI54" s="16"/>
      <c r="BJ54" s="16"/>
      <c r="BK54" s="16"/>
      <c r="BL54" s="16"/>
      <c r="BM54" s="16"/>
      <c r="BN54" s="16"/>
      <c r="BO54" s="16"/>
      <c r="BP54" s="16"/>
      <c r="BQ54" s="16"/>
      <c r="BR54" s="16"/>
      <c r="BS54" s="16"/>
      <c r="BT54" s="16"/>
      <c r="BU54" s="16"/>
      <c r="BV54" s="16"/>
      <c r="BW54" s="16"/>
    </row>
    <row r="55" spans="1:75" ht="18" hidden="1" customHeight="1" outlineLevel="1">
      <c r="B55" s="7">
        <v>2021</v>
      </c>
      <c r="C55" s="8" t="s">
        <v>12</v>
      </c>
      <c r="E55" s="8">
        <v>6867</v>
      </c>
      <c r="J55" s="9"/>
      <c r="Q55" s="5">
        <v>2031</v>
      </c>
      <c r="R55" s="5">
        <v>4</v>
      </c>
      <c r="S55" s="14" t="s">
        <v>54</v>
      </c>
      <c r="T55" s="15">
        <f t="shared" si="30"/>
        <v>0</v>
      </c>
      <c r="U55" s="15">
        <f t="shared" si="31"/>
        <v>14987519</v>
      </c>
      <c r="V55" s="6">
        <v>7831000</v>
      </c>
      <c r="W55" s="6">
        <v>2922380</v>
      </c>
      <c r="X55" s="16">
        <v>587799</v>
      </c>
      <c r="Y55" s="16">
        <v>800000</v>
      </c>
      <c r="Z55" s="16">
        <v>0</v>
      </c>
      <c r="AA55" s="16">
        <v>0</v>
      </c>
      <c r="AB55" s="16">
        <v>0</v>
      </c>
      <c r="AC55" s="16">
        <f>3*(SUM(V55:W55)-SUM(V57:W57))</f>
        <v>1796340</v>
      </c>
      <c r="AD55" s="16">
        <v>0</v>
      </c>
      <c r="AE55" s="16">
        <v>0</v>
      </c>
      <c r="AF55" s="16">
        <v>350000</v>
      </c>
      <c r="AG55" s="16">
        <v>100000</v>
      </c>
      <c r="AH55" s="16">
        <v>100000</v>
      </c>
      <c r="AI55" s="16">
        <v>250000</v>
      </c>
      <c r="AJ55" s="16">
        <v>0</v>
      </c>
      <c r="AK55" s="16">
        <v>0</v>
      </c>
      <c r="AL55" s="16">
        <v>0</v>
      </c>
      <c r="AM55" s="16">
        <v>150000</v>
      </c>
      <c r="AN55" s="16">
        <v>100000</v>
      </c>
      <c r="AO55" s="16">
        <v>0</v>
      </c>
      <c r="AP55" s="16">
        <v>0</v>
      </c>
      <c r="AQ55" s="16">
        <v>0</v>
      </c>
      <c r="AR55" s="16">
        <v>0</v>
      </c>
      <c r="AS55" s="16">
        <v>0</v>
      </c>
      <c r="AT55" s="16">
        <v>0</v>
      </c>
      <c r="AU55" s="16">
        <v>0</v>
      </c>
      <c r="AV55" s="16">
        <v>0</v>
      </c>
      <c r="AW55" s="16">
        <v>0</v>
      </c>
      <c r="AX55" s="16">
        <v>0</v>
      </c>
      <c r="AY55" s="16">
        <v>0</v>
      </c>
      <c r="AZ55" s="16">
        <v>0</v>
      </c>
      <c r="BA55" s="16"/>
      <c r="BB55" s="15">
        <f t="shared" si="32"/>
        <v>0</v>
      </c>
      <c r="BC55" s="15"/>
      <c r="BD55" s="16"/>
      <c r="BE55" s="16"/>
      <c r="BF55" s="16"/>
      <c r="BG55" s="16"/>
      <c r="BH55" s="16"/>
      <c r="BI55" s="16"/>
      <c r="BJ55" s="16"/>
      <c r="BK55" s="16"/>
      <c r="BL55" s="16"/>
      <c r="BM55" s="16"/>
      <c r="BN55" s="16"/>
      <c r="BO55" s="16"/>
      <c r="BP55" s="16"/>
      <c r="BQ55" s="16"/>
      <c r="BR55" s="16"/>
      <c r="BS55" s="16"/>
      <c r="BT55" s="16"/>
      <c r="BU55" s="16"/>
      <c r="BV55" s="16"/>
      <c r="BW55" s="16"/>
    </row>
    <row r="56" spans="1:75" ht="18" hidden="1" customHeight="1" outlineLevel="1">
      <c r="B56" s="7">
        <v>2021</v>
      </c>
      <c r="C56" s="8" t="s">
        <v>12</v>
      </c>
      <c r="E56" s="8">
        <v>6867</v>
      </c>
      <c r="J56" s="9"/>
      <c r="Q56" s="5">
        <v>2031</v>
      </c>
      <c r="R56" s="5">
        <v>4</v>
      </c>
      <c r="S56" s="14" t="s">
        <v>28</v>
      </c>
      <c r="T56" s="15">
        <f t="shared" si="30"/>
        <v>0</v>
      </c>
      <c r="U56" s="15">
        <f t="shared" si="31"/>
        <v>19778280</v>
      </c>
      <c r="V56" s="16">
        <v>0</v>
      </c>
      <c r="W56" s="16">
        <v>0</v>
      </c>
      <c r="X56" s="16">
        <v>0</v>
      </c>
      <c r="Y56" s="16">
        <v>0</v>
      </c>
      <c r="Z56" s="16">
        <v>0</v>
      </c>
      <c r="AA56" s="16">
        <v>0</v>
      </c>
      <c r="AB56" s="16">
        <v>0</v>
      </c>
      <c r="AC56" s="16">
        <v>0</v>
      </c>
      <c r="AD56" s="16">
        <f>12*(V57+W57)*0.15</f>
        <v>18278280</v>
      </c>
      <c r="AE56" s="16">
        <v>1500000</v>
      </c>
      <c r="AF56" s="16">
        <v>0</v>
      </c>
      <c r="AG56" s="16">
        <v>0</v>
      </c>
      <c r="AH56" s="16">
        <v>0</v>
      </c>
      <c r="AI56" s="16">
        <v>0</v>
      </c>
      <c r="AJ56" s="16">
        <v>0</v>
      </c>
      <c r="AK56" s="16">
        <v>0</v>
      </c>
      <c r="AL56" s="16">
        <v>0</v>
      </c>
      <c r="AM56" s="16">
        <v>0</v>
      </c>
      <c r="AN56" s="16">
        <v>0</v>
      </c>
      <c r="AO56" s="16">
        <v>0</v>
      </c>
      <c r="AP56" s="16">
        <v>0</v>
      </c>
      <c r="AQ56" s="16">
        <v>0</v>
      </c>
      <c r="AR56" s="16">
        <v>0</v>
      </c>
      <c r="AS56" s="16">
        <v>0</v>
      </c>
      <c r="AT56" s="16">
        <v>0</v>
      </c>
      <c r="AU56" s="16">
        <v>0</v>
      </c>
      <c r="AV56" s="16">
        <v>0</v>
      </c>
      <c r="AW56" s="16">
        <v>0</v>
      </c>
      <c r="AX56" s="16">
        <v>0</v>
      </c>
      <c r="AY56" s="16">
        <v>0</v>
      </c>
      <c r="AZ56" s="16">
        <v>0</v>
      </c>
      <c r="BA56" s="16"/>
      <c r="BB56" s="15">
        <f t="shared" si="32"/>
        <v>0</v>
      </c>
      <c r="BC56" s="15"/>
      <c r="BD56" s="16"/>
      <c r="BE56" s="16"/>
      <c r="BF56" s="16"/>
      <c r="BG56" s="16"/>
      <c r="BH56" s="16"/>
      <c r="BI56" s="16"/>
      <c r="BJ56" s="16"/>
      <c r="BK56" s="16"/>
      <c r="BL56" s="16"/>
      <c r="BM56" s="16"/>
      <c r="BN56" s="16"/>
      <c r="BO56" s="16"/>
      <c r="BP56" s="16"/>
      <c r="BQ56" s="16"/>
      <c r="BR56" s="16"/>
      <c r="BS56" s="16"/>
      <c r="BT56" s="16"/>
      <c r="BU56" s="16"/>
      <c r="BV56" s="16"/>
      <c r="BW56" s="16"/>
    </row>
    <row r="57" spans="1:75" ht="18" hidden="1" customHeight="1" outlineLevel="1">
      <c r="B57" s="7">
        <v>2022</v>
      </c>
      <c r="C57" s="8" t="s">
        <v>12</v>
      </c>
      <c r="E57" s="8">
        <v>6867</v>
      </c>
      <c r="J57" s="9"/>
      <c r="Q57" s="5">
        <v>2031</v>
      </c>
      <c r="R57" s="5">
        <v>3</v>
      </c>
      <c r="S57" s="14" t="s">
        <v>54</v>
      </c>
      <c r="T57" s="15">
        <f t="shared" si="30"/>
        <v>0</v>
      </c>
      <c r="U57" s="15">
        <f t="shared" si="31"/>
        <v>12592399</v>
      </c>
      <c r="V57" s="6">
        <v>7395000</v>
      </c>
      <c r="W57" s="6">
        <v>2759600</v>
      </c>
      <c r="X57" s="16">
        <v>587799</v>
      </c>
      <c r="Y57" s="16">
        <v>800000</v>
      </c>
      <c r="Z57" s="16">
        <v>0</v>
      </c>
      <c r="AA57" s="16">
        <v>0</v>
      </c>
      <c r="AB57" s="16">
        <v>0</v>
      </c>
      <c r="AC57" s="16">
        <v>0</v>
      </c>
      <c r="AD57" s="16">
        <v>0</v>
      </c>
      <c r="AE57" s="16">
        <v>0</v>
      </c>
      <c r="AF57" s="16">
        <v>350000</v>
      </c>
      <c r="AG57" s="16">
        <v>100000</v>
      </c>
      <c r="AH57" s="16">
        <v>100000</v>
      </c>
      <c r="AI57" s="16">
        <v>250000</v>
      </c>
      <c r="AJ57" s="16">
        <v>0</v>
      </c>
      <c r="AK57" s="16">
        <v>0</v>
      </c>
      <c r="AL57" s="16">
        <v>0</v>
      </c>
      <c r="AM57" s="16">
        <v>150000</v>
      </c>
      <c r="AN57" s="16">
        <v>100000</v>
      </c>
      <c r="AO57" s="16">
        <v>0</v>
      </c>
      <c r="AP57" s="16">
        <v>0</v>
      </c>
      <c r="AQ57" s="16">
        <v>0</v>
      </c>
      <c r="AR57" s="16">
        <v>0</v>
      </c>
      <c r="AS57" s="16">
        <v>0</v>
      </c>
      <c r="AT57" s="16">
        <v>0</v>
      </c>
      <c r="AU57" s="16">
        <v>0</v>
      </c>
      <c r="AV57" s="16">
        <v>0</v>
      </c>
      <c r="AW57" s="16">
        <v>0</v>
      </c>
      <c r="AX57" s="16">
        <v>0</v>
      </c>
      <c r="AY57" s="16">
        <v>0</v>
      </c>
      <c r="AZ57" s="16">
        <v>0</v>
      </c>
      <c r="BA57" s="16"/>
      <c r="BB57" s="15">
        <f t="shared" si="32"/>
        <v>0</v>
      </c>
      <c r="BC57" s="15"/>
      <c r="BD57" s="16"/>
      <c r="BE57" s="16"/>
      <c r="BF57" s="16"/>
      <c r="BG57" s="16"/>
      <c r="BH57" s="16"/>
      <c r="BI57" s="16"/>
      <c r="BJ57" s="16"/>
      <c r="BK57" s="16"/>
      <c r="BL57" s="16"/>
      <c r="BM57" s="16"/>
      <c r="BN57" s="16"/>
      <c r="BO57" s="16"/>
      <c r="BP57" s="16"/>
      <c r="BQ57" s="16"/>
      <c r="BR57" s="16"/>
      <c r="BS57" s="16"/>
      <c r="BT57" s="16"/>
      <c r="BU57" s="16"/>
      <c r="BV57" s="16"/>
      <c r="BW57" s="16"/>
    </row>
    <row r="58" spans="1:75" ht="18" hidden="1" customHeight="1" outlineLevel="1">
      <c r="B58" s="7">
        <v>2023</v>
      </c>
      <c r="C58" s="8" t="s">
        <v>12</v>
      </c>
      <c r="E58" s="8">
        <v>6867</v>
      </c>
      <c r="J58" s="9"/>
      <c r="Q58" s="5">
        <v>2031</v>
      </c>
      <c r="R58" s="5">
        <v>2</v>
      </c>
      <c r="S58" s="14" t="s">
        <v>54</v>
      </c>
      <c r="T58" s="15">
        <f t="shared" si="30"/>
        <v>0</v>
      </c>
      <c r="U58" s="15">
        <f t="shared" si="31"/>
        <v>12592399</v>
      </c>
      <c r="V58" s="6">
        <v>7395000</v>
      </c>
      <c r="W58" s="6">
        <v>2759600</v>
      </c>
      <c r="X58" s="16">
        <v>587799</v>
      </c>
      <c r="Y58" s="16">
        <v>800000</v>
      </c>
      <c r="Z58" s="16">
        <v>0</v>
      </c>
      <c r="AA58" s="16">
        <v>0</v>
      </c>
      <c r="AB58" s="16">
        <v>0</v>
      </c>
      <c r="AC58" s="16">
        <v>0</v>
      </c>
      <c r="AD58" s="16">
        <v>0</v>
      </c>
      <c r="AE58" s="16">
        <v>0</v>
      </c>
      <c r="AF58" s="16">
        <v>350000</v>
      </c>
      <c r="AG58" s="16">
        <v>100000</v>
      </c>
      <c r="AH58" s="16">
        <v>100000</v>
      </c>
      <c r="AI58" s="16">
        <v>250000</v>
      </c>
      <c r="AJ58" s="16">
        <v>0</v>
      </c>
      <c r="AK58" s="16">
        <v>0</v>
      </c>
      <c r="AL58" s="16">
        <v>0</v>
      </c>
      <c r="AM58" s="16">
        <v>150000</v>
      </c>
      <c r="AN58" s="16">
        <v>100000</v>
      </c>
      <c r="AO58" s="16">
        <v>0</v>
      </c>
      <c r="AP58" s="16">
        <v>0</v>
      </c>
      <c r="AQ58" s="16">
        <v>0</v>
      </c>
      <c r="AR58" s="16">
        <v>0</v>
      </c>
      <c r="AS58" s="16">
        <v>0</v>
      </c>
      <c r="AT58" s="16">
        <v>0</v>
      </c>
      <c r="AU58" s="16">
        <v>0</v>
      </c>
      <c r="AV58" s="16">
        <v>0</v>
      </c>
      <c r="AW58" s="16">
        <v>0</v>
      </c>
      <c r="AX58" s="16">
        <v>0</v>
      </c>
      <c r="AY58" s="16">
        <v>0</v>
      </c>
      <c r="AZ58" s="16">
        <v>0</v>
      </c>
      <c r="BA58" s="16"/>
      <c r="BB58" s="15">
        <f t="shared" si="32"/>
        <v>0</v>
      </c>
      <c r="BC58" s="15"/>
      <c r="BD58" s="16"/>
      <c r="BE58" s="16"/>
      <c r="BF58" s="16"/>
      <c r="BG58" s="16"/>
      <c r="BH58" s="16"/>
      <c r="BI58" s="16"/>
      <c r="BJ58" s="16"/>
      <c r="BK58" s="16"/>
      <c r="BL58" s="16"/>
      <c r="BM58" s="16"/>
      <c r="BN58" s="16"/>
      <c r="BO58" s="16"/>
      <c r="BP58" s="16"/>
      <c r="BQ58" s="16"/>
      <c r="BR58" s="16"/>
      <c r="BS58" s="16"/>
      <c r="BT58" s="16"/>
      <c r="BU58" s="16"/>
      <c r="BV58" s="16"/>
      <c r="BW58" s="16"/>
    </row>
    <row r="59" spans="1:75" ht="18" hidden="1" customHeight="1" outlineLevel="1">
      <c r="B59" s="7">
        <v>2024</v>
      </c>
      <c r="C59" s="8" t="s">
        <v>12</v>
      </c>
      <c r="E59" s="8">
        <v>6867</v>
      </c>
      <c r="J59" s="9"/>
      <c r="Q59" s="5">
        <v>2031</v>
      </c>
      <c r="R59" s="5">
        <v>1</v>
      </c>
      <c r="S59" s="14" t="s">
        <v>54</v>
      </c>
      <c r="T59" s="15">
        <f t="shared" si="30"/>
        <v>0</v>
      </c>
      <c r="U59" s="15">
        <f t="shared" si="31"/>
        <v>12592399</v>
      </c>
      <c r="V59" s="6">
        <v>7395000</v>
      </c>
      <c r="W59" s="6">
        <v>2759600</v>
      </c>
      <c r="X59" s="16">
        <v>587799</v>
      </c>
      <c r="Y59" s="16">
        <v>800000</v>
      </c>
      <c r="Z59" s="16">
        <v>0</v>
      </c>
      <c r="AA59" s="16">
        <v>0</v>
      </c>
      <c r="AB59" s="16">
        <v>0</v>
      </c>
      <c r="AC59" s="16">
        <v>0</v>
      </c>
      <c r="AD59" s="16">
        <v>0</v>
      </c>
      <c r="AE59" s="16">
        <v>0</v>
      </c>
      <c r="AF59" s="16">
        <v>350000</v>
      </c>
      <c r="AG59" s="16">
        <v>100000</v>
      </c>
      <c r="AH59" s="16">
        <v>100000</v>
      </c>
      <c r="AI59" s="16">
        <v>250000</v>
      </c>
      <c r="AJ59" s="16">
        <v>0</v>
      </c>
      <c r="AK59" s="16">
        <v>0</v>
      </c>
      <c r="AL59" s="16">
        <v>0</v>
      </c>
      <c r="AM59" s="16">
        <v>150000</v>
      </c>
      <c r="AN59" s="16">
        <v>100000</v>
      </c>
      <c r="AO59" s="16">
        <v>0</v>
      </c>
      <c r="AP59" s="16">
        <v>0</v>
      </c>
      <c r="AQ59" s="16">
        <v>0</v>
      </c>
      <c r="AR59" s="16">
        <v>0</v>
      </c>
      <c r="AS59" s="16">
        <v>0</v>
      </c>
      <c r="AT59" s="16">
        <v>0</v>
      </c>
      <c r="AU59" s="16">
        <v>0</v>
      </c>
      <c r="AV59" s="16">
        <v>0</v>
      </c>
      <c r="AW59" s="16">
        <v>0</v>
      </c>
      <c r="AX59" s="16">
        <v>0</v>
      </c>
      <c r="AY59" s="16">
        <v>0</v>
      </c>
      <c r="AZ59" s="16">
        <v>0</v>
      </c>
      <c r="BA59" s="16"/>
      <c r="BB59" s="15">
        <f t="shared" si="32"/>
        <v>0</v>
      </c>
      <c r="BC59" s="15"/>
      <c r="BD59" s="16"/>
      <c r="BE59" s="16"/>
      <c r="BF59" s="16"/>
      <c r="BG59" s="16"/>
      <c r="BH59" s="16"/>
      <c r="BI59" s="16"/>
      <c r="BJ59" s="16"/>
      <c r="BK59" s="16"/>
      <c r="BL59" s="16"/>
      <c r="BM59" s="16"/>
      <c r="BN59" s="16"/>
      <c r="BO59" s="16"/>
      <c r="BP59" s="16"/>
      <c r="BQ59" s="16"/>
      <c r="BR59" s="16"/>
      <c r="BS59" s="16"/>
      <c r="BT59" s="16"/>
      <c r="BU59" s="16"/>
      <c r="BV59" s="16"/>
      <c r="BW59" s="16"/>
    </row>
    <row r="60" spans="1:75" s="1" customFormat="1" ht="18" customHeight="1" collapsed="1">
      <c r="A60" s="10"/>
      <c r="B60" s="11"/>
      <c r="C60" s="12"/>
      <c r="D60" s="11"/>
      <c r="E60" s="12"/>
      <c r="F60" s="12"/>
      <c r="G60" s="12"/>
      <c r="H60" s="12"/>
      <c r="I60" s="12"/>
      <c r="J60" s="3"/>
      <c r="K60" s="12"/>
      <c r="L60" s="12"/>
      <c r="M60" s="12"/>
      <c r="N60" s="12"/>
      <c r="O60" s="13"/>
      <c r="Q60" s="628" t="s">
        <v>1986</v>
      </c>
      <c r="R60" s="628"/>
      <c r="S60" s="628"/>
      <c r="T60" s="23">
        <f t="shared" ref="T60:AZ60" si="36">SUMIF($Q$2:$Q$793,$Q61,T$2:T$793)</f>
        <v>0</v>
      </c>
      <c r="U60" s="23">
        <f t="shared" si="36"/>
        <v>151036174</v>
      </c>
      <c r="V60" s="23">
        <f t="shared" si="36"/>
        <v>86469000</v>
      </c>
      <c r="W60" s="23">
        <f t="shared" si="36"/>
        <v>32258880</v>
      </c>
      <c r="X60" s="23">
        <f t="shared" si="36"/>
        <v>3470808</v>
      </c>
      <c r="Y60" s="23">
        <f t="shared" si="36"/>
        <v>0</v>
      </c>
      <c r="Z60" s="23">
        <f t="shared" si="36"/>
        <v>0</v>
      </c>
      <c r="AA60" s="23">
        <f t="shared" si="36"/>
        <v>0</v>
      </c>
      <c r="AB60" s="23">
        <f t="shared" si="36"/>
        <v>0</v>
      </c>
      <c r="AC60" s="23">
        <f t="shared" si="36"/>
        <v>1027320</v>
      </c>
      <c r="AD60" s="23">
        <f t="shared" si="36"/>
        <v>13010166</v>
      </c>
      <c r="AE60" s="23">
        <f t="shared" si="36"/>
        <v>1500000</v>
      </c>
      <c r="AF60" s="23">
        <f t="shared" si="36"/>
        <v>4200000</v>
      </c>
      <c r="AG60" s="23">
        <f t="shared" si="36"/>
        <v>1200000</v>
      </c>
      <c r="AH60" s="23">
        <f t="shared" si="36"/>
        <v>1200000</v>
      </c>
      <c r="AI60" s="23">
        <f t="shared" si="36"/>
        <v>3000000</v>
      </c>
      <c r="AJ60" s="23">
        <f t="shared" si="36"/>
        <v>400000</v>
      </c>
      <c r="AK60" s="23">
        <f t="shared" si="36"/>
        <v>300000</v>
      </c>
      <c r="AL60" s="23">
        <f t="shared" si="36"/>
        <v>0</v>
      </c>
      <c r="AM60" s="23">
        <f t="shared" si="36"/>
        <v>1800000</v>
      </c>
      <c r="AN60" s="23">
        <f t="shared" si="36"/>
        <v>1200000</v>
      </c>
      <c r="AO60" s="23">
        <f t="shared" si="36"/>
        <v>0</v>
      </c>
      <c r="AP60" s="23">
        <f t="shared" si="36"/>
        <v>0</v>
      </c>
      <c r="AQ60" s="23">
        <f t="shared" si="36"/>
        <v>0</v>
      </c>
      <c r="AR60" s="23">
        <f t="shared" si="36"/>
        <v>0</v>
      </c>
      <c r="AS60" s="23">
        <f t="shared" si="36"/>
        <v>0</v>
      </c>
      <c r="AT60" s="23">
        <f t="shared" si="36"/>
        <v>0</v>
      </c>
      <c r="AU60" s="23">
        <f t="shared" si="36"/>
        <v>0</v>
      </c>
      <c r="AV60" s="23">
        <f t="shared" si="36"/>
        <v>0</v>
      </c>
      <c r="AW60" s="23">
        <f t="shared" si="36"/>
        <v>0</v>
      </c>
      <c r="AX60" s="23">
        <f t="shared" si="36"/>
        <v>0</v>
      </c>
      <c r="AY60" s="23">
        <f t="shared" si="36"/>
        <v>0</v>
      </c>
      <c r="AZ60" s="23">
        <f t="shared" si="36"/>
        <v>0</v>
      </c>
      <c r="BA60" s="23"/>
      <c r="BB60" s="23">
        <f t="shared" ref="BB60:BW60" si="37">SUMIF($Q$2:$Q$793,$Q61,BB$2:BB$793)</f>
        <v>0</v>
      </c>
      <c r="BC60" s="23">
        <f t="shared" si="37"/>
        <v>0</v>
      </c>
      <c r="BD60" s="23">
        <f t="shared" si="37"/>
        <v>0</v>
      </c>
      <c r="BE60" s="23">
        <f t="shared" si="37"/>
        <v>0</v>
      </c>
      <c r="BF60" s="23">
        <f t="shared" si="37"/>
        <v>0</v>
      </c>
      <c r="BG60" s="23">
        <f t="shared" si="37"/>
        <v>0</v>
      </c>
      <c r="BH60" s="23">
        <f t="shared" si="37"/>
        <v>0</v>
      </c>
      <c r="BI60" s="23">
        <f t="shared" si="37"/>
        <v>0</v>
      </c>
      <c r="BJ60" s="23">
        <f t="shared" si="37"/>
        <v>0</v>
      </c>
      <c r="BK60" s="23">
        <f t="shared" si="37"/>
        <v>0</v>
      </c>
      <c r="BL60" s="23">
        <f t="shared" si="37"/>
        <v>0</v>
      </c>
      <c r="BM60" s="23">
        <f t="shared" si="37"/>
        <v>0</v>
      </c>
      <c r="BN60" s="23">
        <f t="shared" si="37"/>
        <v>0</v>
      </c>
      <c r="BO60" s="23">
        <f t="shared" si="37"/>
        <v>0</v>
      </c>
      <c r="BP60" s="23">
        <f t="shared" si="37"/>
        <v>0</v>
      </c>
      <c r="BQ60" s="23">
        <f t="shared" si="37"/>
        <v>0</v>
      </c>
      <c r="BR60" s="23">
        <f t="shared" si="37"/>
        <v>0</v>
      </c>
      <c r="BS60" s="23">
        <f t="shared" si="37"/>
        <v>0</v>
      </c>
      <c r="BT60" s="23">
        <f t="shared" si="37"/>
        <v>0</v>
      </c>
      <c r="BU60" s="23">
        <f t="shared" si="37"/>
        <v>0</v>
      </c>
      <c r="BV60" s="23">
        <f t="shared" si="37"/>
        <v>0</v>
      </c>
      <c r="BW60" s="23">
        <f t="shared" si="37"/>
        <v>0</v>
      </c>
    </row>
    <row r="61" spans="1:75" ht="18" hidden="1" customHeight="1" outlineLevel="1">
      <c r="D61" s="7" t="s">
        <v>11</v>
      </c>
      <c r="F61" s="8">
        <v>4717</v>
      </c>
      <c r="G61" s="8">
        <v>5848</v>
      </c>
      <c r="K61" s="8">
        <v>2400</v>
      </c>
      <c r="L61" s="8">
        <f>K61*12</f>
        <v>28800</v>
      </c>
      <c r="M61" s="8">
        <f>L61*1.13</f>
        <v>32543.999999999996</v>
      </c>
      <c r="N61" s="8">
        <v>21014</v>
      </c>
      <c r="O61" s="9">
        <f>N61/M61</f>
        <v>0.64571042281219282</v>
      </c>
      <c r="Q61" s="5">
        <v>2030</v>
      </c>
      <c r="R61" s="5">
        <v>12</v>
      </c>
      <c r="S61" s="14" t="s">
        <v>54</v>
      </c>
      <c r="T61" s="15">
        <f t="shared" ref="T61:T73" si="38">IF(U61=U61-BB61,0,U61-BB61)</f>
        <v>0</v>
      </c>
      <c r="U61" s="15">
        <f t="shared" ref="U61:U73" si="39">SUM(V61:BA61)</f>
        <v>11318834</v>
      </c>
      <c r="V61" s="6">
        <f t="shared" ref="V61:V68" si="40">7177000+91000</f>
        <v>7268000</v>
      </c>
      <c r="W61" s="6">
        <f t="shared" ref="W61:W68" si="41">2677600+34000</f>
        <v>2711600</v>
      </c>
      <c r="X61" s="16">
        <v>289234</v>
      </c>
      <c r="Y61" s="16">
        <v>0</v>
      </c>
      <c r="Z61" s="16">
        <v>0</v>
      </c>
      <c r="AA61" s="16">
        <v>0</v>
      </c>
      <c r="AB61" s="16">
        <v>0</v>
      </c>
      <c r="AC61" s="16">
        <v>0</v>
      </c>
      <c r="AD61" s="16">
        <v>0</v>
      </c>
      <c r="AE61" s="16">
        <v>0</v>
      </c>
      <c r="AF61" s="16">
        <v>350000</v>
      </c>
      <c r="AG61" s="16">
        <v>100000</v>
      </c>
      <c r="AH61" s="16">
        <v>100000</v>
      </c>
      <c r="AI61" s="16">
        <v>250000</v>
      </c>
      <c r="AJ61" s="16">
        <v>0</v>
      </c>
      <c r="AK61" s="16">
        <v>0</v>
      </c>
      <c r="AL61" s="16">
        <v>0</v>
      </c>
      <c r="AM61" s="16">
        <v>150000</v>
      </c>
      <c r="AN61" s="16">
        <v>100000</v>
      </c>
      <c r="AO61" s="16">
        <v>0</v>
      </c>
      <c r="AP61" s="16">
        <v>0</v>
      </c>
      <c r="AQ61" s="16">
        <v>0</v>
      </c>
      <c r="AR61" s="16">
        <v>0</v>
      </c>
      <c r="AS61" s="16">
        <v>0</v>
      </c>
      <c r="AT61" s="16">
        <v>0</v>
      </c>
      <c r="AU61" s="16">
        <v>0</v>
      </c>
      <c r="AV61" s="16">
        <v>0</v>
      </c>
      <c r="AW61" s="16">
        <v>0</v>
      </c>
      <c r="AX61" s="16">
        <v>0</v>
      </c>
      <c r="AY61" s="16">
        <v>0</v>
      </c>
      <c r="AZ61" s="16">
        <v>0</v>
      </c>
      <c r="BA61" s="16"/>
      <c r="BB61" s="15">
        <f t="shared" ref="BB61:BB73" si="42">SUM(BC61:BW61)</f>
        <v>0</v>
      </c>
      <c r="BC61" s="15"/>
      <c r="BD61" s="16"/>
      <c r="BE61" s="16"/>
      <c r="BF61" s="16"/>
      <c r="BG61" s="16"/>
      <c r="BH61" s="16"/>
      <c r="BI61" s="16"/>
      <c r="BJ61" s="16"/>
      <c r="BK61" s="16"/>
      <c r="BL61" s="16"/>
      <c r="BM61" s="16"/>
      <c r="BN61" s="16"/>
      <c r="BO61" s="16"/>
      <c r="BP61" s="16"/>
      <c r="BQ61" s="16"/>
      <c r="BR61" s="16"/>
      <c r="BS61" s="16"/>
      <c r="BT61" s="16"/>
      <c r="BU61" s="16"/>
      <c r="BV61" s="16"/>
      <c r="BW61" s="16"/>
    </row>
    <row r="62" spans="1:75" ht="18" hidden="1" customHeight="1" outlineLevel="1">
      <c r="D62" s="7" t="s">
        <v>11</v>
      </c>
      <c r="F62" s="8">
        <v>4717</v>
      </c>
      <c r="G62" s="8">
        <v>5848</v>
      </c>
      <c r="K62" s="8">
        <v>2400</v>
      </c>
      <c r="L62" s="8">
        <f>K62*12</f>
        <v>28800</v>
      </c>
      <c r="M62" s="8">
        <f>L62*1.13</f>
        <v>32543.999999999996</v>
      </c>
      <c r="N62" s="8">
        <v>21014</v>
      </c>
      <c r="O62" s="9">
        <f>N62/M62</f>
        <v>0.64571042281219282</v>
      </c>
      <c r="Q62" s="5">
        <v>2030</v>
      </c>
      <c r="R62" s="5">
        <v>11</v>
      </c>
      <c r="S62" s="14" t="s">
        <v>54</v>
      </c>
      <c r="T62" s="15">
        <f t="shared" si="38"/>
        <v>0</v>
      </c>
      <c r="U62" s="15">
        <f t="shared" si="39"/>
        <v>11318834</v>
      </c>
      <c r="V62" s="6">
        <f t="shared" si="40"/>
        <v>7268000</v>
      </c>
      <c r="W62" s="6">
        <f t="shared" si="41"/>
        <v>2711600</v>
      </c>
      <c r="X62" s="16">
        <v>289234</v>
      </c>
      <c r="Y62" s="16">
        <v>0</v>
      </c>
      <c r="Z62" s="16">
        <v>0</v>
      </c>
      <c r="AA62" s="16">
        <v>0</v>
      </c>
      <c r="AB62" s="16">
        <v>0</v>
      </c>
      <c r="AC62" s="16">
        <v>0</v>
      </c>
      <c r="AD62" s="16">
        <v>0</v>
      </c>
      <c r="AE62" s="16">
        <v>0</v>
      </c>
      <c r="AF62" s="16">
        <v>350000</v>
      </c>
      <c r="AG62" s="16">
        <v>100000</v>
      </c>
      <c r="AH62" s="16">
        <v>100000</v>
      </c>
      <c r="AI62" s="16">
        <v>250000</v>
      </c>
      <c r="AJ62" s="16">
        <v>0</v>
      </c>
      <c r="AK62" s="16">
        <v>0</v>
      </c>
      <c r="AL62" s="16">
        <v>0</v>
      </c>
      <c r="AM62" s="16">
        <v>150000</v>
      </c>
      <c r="AN62" s="16">
        <v>100000</v>
      </c>
      <c r="AO62" s="16">
        <v>0</v>
      </c>
      <c r="AP62" s="16">
        <v>0</v>
      </c>
      <c r="AQ62" s="16">
        <v>0</v>
      </c>
      <c r="AR62" s="16">
        <v>0</v>
      </c>
      <c r="AS62" s="16">
        <v>0</v>
      </c>
      <c r="AT62" s="16">
        <v>0</v>
      </c>
      <c r="AU62" s="16">
        <v>0</v>
      </c>
      <c r="AV62" s="16">
        <v>0</v>
      </c>
      <c r="AW62" s="16">
        <v>0</v>
      </c>
      <c r="AX62" s="16">
        <v>0</v>
      </c>
      <c r="AY62" s="16">
        <v>0</v>
      </c>
      <c r="AZ62" s="16">
        <v>0</v>
      </c>
      <c r="BA62" s="16"/>
      <c r="BB62" s="15">
        <f t="shared" si="42"/>
        <v>0</v>
      </c>
      <c r="BC62" s="15"/>
      <c r="BD62" s="16"/>
      <c r="BE62" s="16"/>
      <c r="BF62" s="16"/>
      <c r="BG62" s="16"/>
      <c r="BH62" s="16"/>
      <c r="BI62" s="16"/>
      <c r="BJ62" s="16"/>
      <c r="BK62" s="16"/>
      <c r="BL62" s="16"/>
      <c r="BM62" s="16"/>
      <c r="BN62" s="16"/>
      <c r="BO62" s="16"/>
      <c r="BP62" s="16"/>
      <c r="BQ62" s="16"/>
      <c r="BR62" s="16"/>
      <c r="BS62" s="16"/>
      <c r="BT62" s="16"/>
      <c r="BU62" s="16"/>
      <c r="BV62" s="16"/>
      <c r="BW62" s="16"/>
    </row>
    <row r="63" spans="1:75" ht="18" hidden="1" customHeight="1" outlineLevel="1">
      <c r="D63" s="7" t="s">
        <v>11</v>
      </c>
      <c r="F63" s="8">
        <v>4717</v>
      </c>
      <c r="G63" s="8">
        <v>5848</v>
      </c>
      <c r="K63" s="8">
        <v>2400</v>
      </c>
      <c r="L63" s="8">
        <f t="shared" ref="L63:L66" si="43">K63*12</f>
        <v>28800</v>
      </c>
      <c r="M63" s="8">
        <f t="shared" ref="M63:M66" si="44">L63*1.13</f>
        <v>32543.999999999996</v>
      </c>
      <c r="N63" s="8">
        <v>21014</v>
      </c>
      <c r="O63" s="9">
        <f t="shared" ref="O63:O66" si="45">N63/M63</f>
        <v>0.64571042281219282</v>
      </c>
      <c r="Q63" s="5">
        <v>2030</v>
      </c>
      <c r="R63" s="5">
        <v>10</v>
      </c>
      <c r="S63" s="14" t="s">
        <v>54</v>
      </c>
      <c r="T63" s="15">
        <f t="shared" si="38"/>
        <v>0</v>
      </c>
      <c r="U63" s="15">
        <f t="shared" si="39"/>
        <v>11318834</v>
      </c>
      <c r="V63" s="6">
        <f t="shared" si="40"/>
        <v>7268000</v>
      </c>
      <c r="W63" s="6">
        <f t="shared" si="41"/>
        <v>2711600</v>
      </c>
      <c r="X63" s="16">
        <v>289234</v>
      </c>
      <c r="Y63" s="16">
        <v>0</v>
      </c>
      <c r="Z63" s="16">
        <v>0</v>
      </c>
      <c r="AA63" s="16">
        <v>0</v>
      </c>
      <c r="AB63" s="16">
        <v>0</v>
      </c>
      <c r="AC63" s="16">
        <v>0</v>
      </c>
      <c r="AD63" s="16">
        <v>0</v>
      </c>
      <c r="AE63" s="16">
        <v>0</v>
      </c>
      <c r="AF63" s="16">
        <v>350000</v>
      </c>
      <c r="AG63" s="16">
        <v>100000</v>
      </c>
      <c r="AH63" s="16">
        <v>100000</v>
      </c>
      <c r="AI63" s="16">
        <v>250000</v>
      </c>
      <c r="AJ63" s="16">
        <v>0</v>
      </c>
      <c r="AK63" s="16">
        <v>0</v>
      </c>
      <c r="AL63" s="16">
        <v>0</v>
      </c>
      <c r="AM63" s="16">
        <v>150000</v>
      </c>
      <c r="AN63" s="16">
        <v>100000</v>
      </c>
      <c r="AO63" s="16">
        <v>0</v>
      </c>
      <c r="AP63" s="16">
        <v>0</v>
      </c>
      <c r="AQ63" s="16">
        <v>0</v>
      </c>
      <c r="AR63" s="16">
        <v>0</v>
      </c>
      <c r="AS63" s="16">
        <v>0</v>
      </c>
      <c r="AT63" s="16">
        <v>0</v>
      </c>
      <c r="AU63" s="16">
        <v>0</v>
      </c>
      <c r="AV63" s="16">
        <v>0</v>
      </c>
      <c r="AW63" s="16">
        <v>0</v>
      </c>
      <c r="AX63" s="16">
        <v>0</v>
      </c>
      <c r="AY63" s="16">
        <v>0</v>
      </c>
      <c r="AZ63" s="16">
        <v>0</v>
      </c>
      <c r="BA63" s="16"/>
      <c r="BB63" s="15">
        <f t="shared" si="42"/>
        <v>0</v>
      </c>
      <c r="BC63" s="15"/>
      <c r="BD63" s="16"/>
      <c r="BE63" s="16"/>
      <c r="BF63" s="16"/>
      <c r="BG63" s="16"/>
      <c r="BH63" s="16"/>
      <c r="BI63" s="16"/>
      <c r="BJ63" s="16"/>
      <c r="BK63" s="16"/>
      <c r="BL63" s="16"/>
      <c r="BM63" s="16"/>
      <c r="BN63" s="16"/>
      <c r="BO63" s="16"/>
      <c r="BP63" s="16"/>
      <c r="BQ63" s="16"/>
      <c r="BR63" s="16"/>
      <c r="BS63" s="16"/>
      <c r="BT63" s="16"/>
      <c r="BU63" s="16"/>
      <c r="BV63" s="16"/>
      <c r="BW63" s="16"/>
    </row>
    <row r="64" spans="1:75" ht="18" hidden="1" customHeight="1" outlineLevel="1">
      <c r="D64" s="7" t="s">
        <v>12</v>
      </c>
      <c r="F64" s="8">
        <v>6867</v>
      </c>
      <c r="G64" s="8">
        <v>6867</v>
      </c>
      <c r="K64" s="8">
        <v>2400</v>
      </c>
      <c r="L64" s="8">
        <f t="shared" si="43"/>
        <v>28800</v>
      </c>
      <c r="M64" s="8">
        <f t="shared" si="44"/>
        <v>32543.999999999996</v>
      </c>
      <c r="N64" s="8">
        <v>21014</v>
      </c>
      <c r="O64" s="9">
        <f t="shared" si="45"/>
        <v>0.64571042281219282</v>
      </c>
      <c r="Q64" s="5">
        <v>2030</v>
      </c>
      <c r="R64" s="5">
        <v>9</v>
      </c>
      <c r="S64" s="14" t="s">
        <v>54</v>
      </c>
      <c r="T64" s="15">
        <f t="shared" si="38"/>
        <v>0</v>
      </c>
      <c r="U64" s="15">
        <f t="shared" si="39"/>
        <v>11518834</v>
      </c>
      <c r="V64" s="6">
        <f t="shared" si="40"/>
        <v>7268000</v>
      </c>
      <c r="W64" s="6">
        <f t="shared" si="41"/>
        <v>2711600</v>
      </c>
      <c r="X64" s="16">
        <v>289234</v>
      </c>
      <c r="Y64" s="16">
        <v>0</v>
      </c>
      <c r="Z64" s="16">
        <v>0</v>
      </c>
      <c r="AA64" s="16">
        <v>0</v>
      </c>
      <c r="AB64" s="16">
        <v>0</v>
      </c>
      <c r="AC64" s="16">
        <v>0</v>
      </c>
      <c r="AD64" s="16">
        <v>0</v>
      </c>
      <c r="AE64" s="16">
        <v>0</v>
      </c>
      <c r="AF64" s="16">
        <v>350000</v>
      </c>
      <c r="AG64" s="16">
        <v>100000</v>
      </c>
      <c r="AH64" s="16">
        <v>100000</v>
      </c>
      <c r="AI64" s="16">
        <v>250000</v>
      </c>
      <c r="AJ64" s="16">
        <v>200000</v>
      </c>
      <c r="AK64" s="16">
        <v>0</v>
      </c>
      <c r="AL64" s="16">
        <v>0</v>
      </c>
      <c r="AM64" s="16">
        <v>150000</v>
      </c>
      <c r="AN64" s="16">
        <v>100000</v>
      </c>
      <c r="AO64" s="16">
        <v>0</v>
      </c>
      <c r="AP64" s="16">
        <v>0</v>
      </c>
      <c r="AQ64" s="16">
        <v>0</v>
      </c>
      <c r="AR64" s="16">
        <v>0</v>
      </c>
      <c r="AS64" s="16">
        <v>0</v>
      </c>
      <c r="AT64" s="16">
        <v>0</v>
      </c>
      <c r="AU64" s="16">
        <v>0</v>
      </c>
      <c r="AV64" s="16">
        <v>0</v>
      </c>
      <c r="AW64" s="16">
        <v>0</v>
      </c>
      <c r="AX64" s="16">
        <v>0</v>
      </c>
      <c r="AY64" s="16">
        <v>0</v>
      </c>
      <c r="AZ64" s="16">
        <v>0</v>
      </c>
      <c r="BA64" s="16"/>
      <c r="BB64" s="15">
        <f t="shared" si="42"/>
        <v>0</v>
      </c>
      <c r="BC64" s="15"/>
      <c r="BD64" s="16"/>
      <c r="BE64" s="16"/>
      <c r="BF64" s="16"/>
      <c r="BG64" s="16"/>
      <c r="BH64" s="16"/>
      <c r="BI64" s="16"/>
      <c r="BJ64" s="16"/>
      <c r="BK64" s="16"/>
      <c r="BL64" s="16"/>
      <c r="BM64" s="16"/>
      <c r="BN64" s="16"/>
      <c r="BO64" s="16"/>
      <c r="BP64" s="16"/>
      <c r="BQ64" s="16"/>
      <c r="BR64" s="16"/>
      <c r="BS64" s="16"/>
      <c r="BT64" s="16"/>
      <c r="BU64" s="16"/>
      <c r="BV64" s="16"/>
      <c r="BW64" s="16"/>
    </row>
    <row r="65" spans="1:75" ht="18" hidden="1" customHeight="1" outlineLevel="1">
      <c r="D65" s="7" t="s">
        <v>13</v>
      </c>
      <c r="F65" s="8">
        <v>7988</v>
      </c>
      <c r="G65" s="8" t="s">
        <v>2</v>
      </c>
      <c r="H65" s="8" t="s">
        <v>17</v>
      </c>
      <c r="I65" s="8">
        <v>171</v>
      </c>
      <c r="K65" s="8">
        <v>2400</v>
      </c>
      <c r="L65" s="8">
        <f t="shared" si="43"/>
        <v>28800</v>
      </c>
      <c r="M65" s="8">
        <f t="shared" si="44"/>
        <v>32543.999999999996</v>
      </c>
      <c r="N65" s="8">
        <v>21014</v>
      </c>
      <c r="O65" s="9">
        <f t="shared" si="45"/>
        <v>0.64571042281219282</v>
      </c>
      <c r="Q65" s="5">
        <v>2030</v>
      </c>
      <c r="R65" s="5">
        <v>8</v>
      </c>
      <c r="S65" s="14" t="s">
        <v>54</v>
      </c>
      <c r="T65" s="15">
        <f t="shared" si="38"/>
        <v>0</v>
      </c>
      <c r="U65" s="15">
        <f t="shared" si="39"/>
        <v>11318834</v>
      </c>
      <c r="V65" s="6">
        <f t="shared" si="40"/>
        <v>7268000</v>
      </c>
      <c r="W65" s="6">
        <f t="shared" si="41"/>
        <v>2711600</v>
      </c>
      <c r="X65" s="16">
        <v>289234</v>
      </c>
      <c r="Y65" s="16">
        <v>0</v>
      </c>
      <c r="Z65" s="16">
        <v>0</v>
      </c>
      <c r="AA65" s="16">
        <v>0</v>
      </c>
      <c r="AB65" s="16">
        <v>0</v>
      </c>
      <c r="AC65" s="16">
        <v>0</v>
      </c>
      <c r="AD65" s="16">
        <v>0</v>
      </c>
      <c r="AE65" s="16">
        <v>0</v>
      </c>
      <c r="AF65" s="16">
        <v>350000</v>
      </c>
      <c r="AG65" s="16">
        <v>100000</v>
      </c>
      <c r="AH65" s="16">
        <v>100000</v>
      </c>
      <c r="AI65" s="16">
        <v>250000</v>
      </c>
      <c r="AJ65" s="16">
        <v>0</v>
      </c>
      <c r="AK65" s="16">
        <v>0</v>
      </c>
      <c r="AL65" s="16">
        <v>0</v>
      </c>
      <c r="AM65" s="16">
        <v>150000</v>
      </c>
      <c r="AN65" s="16">
        <v>100000</v>
      </c>
      <c r="AO65" s="16">
        <v>0</v>
      </c>
      <c r="AP65" s="16">
        <v>0</v>
      </c>
      <c r="AQ65" s="16">
        <v>0</v>
      </c>
      <c r="AR65" s="16">
        <v>0</v>
      </c>
      <c r="AS65" s="16">
        <v>0</v>
      </c>
      <c r="AT65" s="16">
        <v>0</v>
      </c>
      <c r="AU65" s="16">
        <v>0</v>
      </c>
      <c r="AV65" s="16">
        <v>0</v>
      </c>
      <c r="AW65" s="16">
        <v>0</v>
      </c>
      <c r="AX65" s="16">
        <v>0</v>
      </c>
      <c r="AY65" s="16">
        <v>0</v>
      </c>
      <c r="AZ65" s="16">
        <v>0</v>
      </c>
      <c r="BA65" s="16"/>
      <c r="BB65" s="15">
        <f t="shared" si="42"/>
        <v>0</v>
      </c>
      <c r="BC65" s="15"/>
      <c r="BD65" s="16"/>
      <c r="BE65" s="16"/>
      <c r="BF65" s="16"/>
      <c r="BG65" s="16"/>
      <c r="BH65" s="16"/>
      <c r="BI65" s="16"/>
      <c r="BJ65" s="16"/>
      <c r="BK65" s="16"/>
      <c r="BL65" s="16"/>
      <c r="BM65" s="16"/>
      <c r="BN65" s="16"/>
      <c r="BO65" s="16"/>
      <c r="BP65" s="16"/>
      <c r="BQ65" s="16"/>
      <c r="BR65" s="16"/>
      <c r="BS65" s="16"/>
      <c r="BT65" s="16"/>
      <c r="BU65" s="16"/>
      <c r="BV65" s="16"/>
      <c r="BW65" s="16"/>
    </row>
    <row r="66" spans="1:75" ht="18" hidden="1" customHeight="1" outlineLevel="1">
      <c r="D66" s="7" t="s">
        <v>13</v>
      </c>
      <c r="F66" s="8">
        <v>7988</v>
      </c>
      <c r="G66" s="8" t="s">
        <v>2</v>
      </c>
      <c r="H66" s="8" t="s">
        <v>17</v>
      </c>
      <c r="I66" s="8">
        <v>171</v>
      </c>
      <c r="K66" s="8">
        <v>2400</v>
      </c>
      <c r="L66" s="8">
        <f t="shared" si="43"/>
        <v>28800</v>
      </c>
      <c r="M66" s="8">
        <f t="shared" si="44"/>
        <v>32543.999999999996</v>
      </c>
      <c r="N66" s="8">
        <v>21014</v>
      </c>
      <c r="O66" s="9">
        <f t="shared" si="45"/>
        <v>0.64571042281219282</v>
      </c>
      <c r="Q66" s="5">
        <v>2030</v>
      </c>
      <c r="R66" s="5">
        <v>7</v>
      </c>
      <c r="S66" s="14" t="s">
        <v>54</v>
      </c>
      <c r="T66" s="15">
        <f t="shared" si="38"/>
        <v>0</v>
      </c>
      <c r="U66" s="15">
        <f t="shared" si="39"/>
        <v>11618834</v>
      </c>
      <c r="V66" s="6">
        <f t="shared" si="40"/>
        <v>7268000</v>
      </c>
      <c r="W66" s="6">
        <f t="shared" si="41"/>
        <v>2711600</v>
      </c>
      <c r="X66" s="16">
        <v>289234</v>
      </c>
      <c r="Y66" s="16">
        <v>0</v>
      </c>
      <c r="Z66" s="16">
        <v>0</v>
      </c>
      <c r="AA66" s="16">
        <v>0</v>
      </c>
      <c r="AB66" s="16">
        <v>0</v>
      </c>
      <c r="AC66" s="16">
        <v>0</v>
      </c>
      <c r="AD66" s="16">
        <v>0</v>
      </c>
      <c r="AE66" s="16">
        <v>0</v>
      </c>
      <c r="AF66" s="16">
        <v>350000</v>
      </c>
      <c r="AG66" s="16">
        <v>100000</v>
      </c>
      <c r="AH66" s="16">
        <v>100000</v>
      </c>
      <c r="AI66" s="16">
        <v>250000</v>
      </c>
      <c r="AJ66" s="16">
        <v>0</v>
      </c>
      <c r="AK66" s="16">
        <v>300000</v>
      </c>
      <c r="AL66" s="16">
        <v>0</v>
      </c>
      <c r="AM66" s="16">
        <v>150000</v>
      </c>
      <c r="AN66" s="16">
        <v>100000</v>
      </c>
      <c r="AO66" s="16">
        <v>0</v>
      </c>
      <c r="AP66" s="16">
        <v>0</v>
      </c>
      <c r="AQ66" s="16">
        <v>0</v>
      </c>
      <c r="AR66" s="16">
        <v>0</v>
      </c>
      <c r="AS66" s="16">
        <v>0</v>
      </c>
      <c r="AT66" s="16">
        <v>0</v>
      </c>
      <c r="AU66" s="16">
        <v>0</v>
      </c>
      <c r="AV66" s="16">
        <v>0</v>
      </c>
      <c r="AW66" s="16">
        <v>0</v>
      </c>
      <c r="AX66" s="16">
        <v>0</v>
      </c>
      <c r="AY66" s="16">
        <v>0</v>
      </c>
      <c r="AZ66" s="16">
        <v>0</v>
      </c>
      <c r="BA66" s="16"/>
      <c r="BB66" s="15">
        <f t="shared" si="42"/>
        <v>0</v>
      </c>
      <c r="BC66" s="15"/>
      <c r="BD66" s="16"/>
      <c r="BE66" s="16"/>
      <c r="BF66" s="16"/>
      <c r="BG66" s="16"/>
      <c r="BH66" s="16"/>
      <c r="BI66" s="16"/>
      <c r="BJ66" s="16"/>
      <c r="BK66" s="16"/>
      <c r="BL66" s="16"/>
      <c r="BM66" s="16"/>
      <c r="BN66" s="16"/>
      <c r="BO66" s="16"/>
      <c r="BP66" s="16"/>
      <c r="BQ66" s="16"/>
      <c r="BR66" s="16"/>
      <c r="BS66" s="16"/>
      <c r="BT66" s="16"/>
      <c r="BU66" s="16"/>
      <c r="BV66" s="16"/>
      <c r="BW66" s="16"/>
    </row>
    <row r="67" spans="1:75" ht="18" hidden="1" customHeight="1" outlineLevel="1">
      <c r="H67" s="8" t="s">
        <v>18</v>
      </c>
      <c r="I67" s="8">
        <v>122</v>
      </c>
      <c r="J67" s="9"/>
      <c r="Q67" s="5">
        <v>2030</v>
      </c>
      <c r="R67" s="5">
        <v>6</v>
      </c>
      <c r="S67" s="14" t="s">
        <v>54</v>
      </c>
      <c r="T67" s="15">
        <f t="shared" si="38"/>
        <v>0</v>
      </c>
      <c r="U67" s="15">
        <f t="shared" si="39"/>
        <v>11318834</v>
      </c>
      <c r="V67" s="6">
        <f t="shared" si="40"/>
        <v>7268000</v>
      </c>
      <c r="W67" s="6">
        <f t="shared" si="41"/>
        <v>2711600</v>
      </c>
      <c r="X67" s="16">
        <v>289234</v>
      </c>
      <c r="Y67" s="16">
        <v>0</v>
      </c>
      <c r="Z67" s="16">
        <v>0</v>
      </c>
      <c r="AA67" s="16">
        <v>0</v>
      </c>
      <c r="AB67" s="16">
        <v>0</v>
      </c>
      <c r="AC67" s="16">
        <v>0</v>
      </c>
      <c r="AD67" s="16">
        <v>0</v>
      </c>
      <c r="AE67" s="16">
        <v>0</v>
      </c>
      <c r="AF67" s="16">
        <v>350000</v>
      </c>
      <c r="AG67" s="16">
        <v>100000</v>
      </c>
      <c r="AH67" s="16">
        <v>100000</v>
      </c>
      <c r="AI67" s="16">
        <v>250000</v>
      </c>
      <c r="AJ67" s="16">
        <v>0</v>
      </c>
      <c r="AK67" s="16">
        <v>0</v>
      </c>
      <c r="AL67" s="16">
        <v>0</v>
      </c>
      <c r="AM67" s="16">
        <v>150000</v>
      </c>
      <c r="AN67" s="16">
        <v>100000</v>
      </c>
      <c r="AO67" s="16">
        <v>0</v>
      </c>
      <c r="AP67" s="16">
        <v>0</v>
      </c>
      <c r="AQ67" s="16">
        <v>0</v>
      </c>
      <c r="AR67" s="16">
        <v>0</v>
      </c>
      <c r="AS67" s="16">
        <v>0</v>
      </c>
      <c r="AT67" s="16">
        <v>0</v>
      </c>
      <c r="AU67" s="16">
        <v>0</v>
      </c>
      <c r="AV67" s="16">
        <v>0</v>
      </c>
      <c r="AW67" s="16">
        <v>0</v>
      </c>
      <c r="AX67" s="16">
        <v>0</v>
      </c>
      <c r="AY67" s="16">
        <v>0</v>
      </c>
      <c r="AZ67" s="16">
        <v>0</v>
      </c>
      <c r="BA67" s="16"/>
      <c r="BB67" s="15">
        <f t="shared" si="42"/>
        <v>0</v>
      </c>
      <c r="BC67" s="15"/>
      <c r="BD67" s="16"/>
      <c r="BE67" s="16"/>
      <c r="BF67" s="16"/>
      <c r="BG67" s="16"/>
      <c r="BH67" s="16"/>
      <c r="BI67" s="16"/>
      <c r="BJ67" s="16"/>
      <c r="BK67" s="16"/>
      <c r="BL67" s="16"/>
      <c r="BM67" s="16"/>
      <c r="BN67" s="16"/>
      <c r="BO67" s="16"/>
      <c r="BP67" s="16"/>
      <c r="BQ67" s="16"/>
      <c r="BR67" s="16"/>
      <c r="BS67" s="16"/>
      <c r="BT67" s="16"/>
      <c r="BU67" s="16"/>
      <c r="BV67" s="16"/>
      <c r="BW67" s="16"/>
    </row>
    <row r="68" spans="1:75" ht="18" hidden="1" customHeight="1" outlineLevel="1">
      <c r="J68" s="9"/>
      <c r="Q68" s="5">
        <v>2030</v>
      </c>
      <c r="R68" s="5">
        <v>5</v>
      </c>
      <c r="S68" s="14" t="s">
        <v>54</v>
      </c>
      <c r="T68" s="15">
        <f t="shared" si="38"/>
        <v>0</v>
      </c>
      <c r="U68" s="15">
        <f t="shared" si="39"/>
        <v>11518834</v>
      </c>
      <c r="V68" s="6">
        <f t="shared" si="40"/>
        <v>7268000</v>
      </c>
      <c r="W68" s="6">
        <f t="shared" si="41"/>
        <v>2711600</v>
      </c>
      <c r="X68" s="16">
        <v>289234</v>
      </c>
      <c r="Y68" s="16">
        <v>0</v>
      </c>
      <c r="Z68" s="16">
        <v>0</v>
      </c>
      <c r="AA68" s="16">
        <v>0</v>
      </c>
      <c r="AB68" s="16">
        <v>0</v>
      </c>
      <c r="AC68" s="16">
        <v>0</v>
      </c>
      <c r="AD68" s="16">
        <v>0</v>
      </c>
      <c r="AE68" s="16">
        <v>0</v>
      </c>
      <c r="AF68" s="16">
        <v>350000</v>
      </c>
      <c r="AG68" s="16">
        <v>100000</v>
      </c>
      <c r="AH68" s="16">
        <v>100000</v>
      </c>
      <c r="AI68" s="16">
        <v>250000</v>
      </c>
      <c r="AJ68" s="16">
        <v>200000</v>
      </c>
      <c r="AK68" s="16">
        <v>0</v>
      </c>
      <c r="AL68" s="16">
        <v>0</v>
      </c>
      <c r="AM68" s="16">
        <v>150000</v>
      </c>
      <c r="AN68" s="16">
        <v>100000</v>
      </c>
      <c r="AO68" s="16">
        <v>0</v>
      </c>
      <c r="AP68" s="16">
        <v>0</v>
      </c>
      <c r="AQ68" s="16">
        <v>0</v>
      </c>
      <c r="AR68" s="16">
        <v>0</v>
      </c>
      <c r="AS68" s="16">
        <v>0</v>
      </c>
      <c r="AT68" s="16">
        <v>0</v>
      </c>
      <c r="AU68" s="16">
        <v>0</v>
      </c>
      <c r="AV68" s="16">
        <v>0</v>
      </c>
      <c r="AW68" s="16">
        <v>0</v>
      </c>
      <c r="AX68" s="16">
        <v>0</v>
      </c>
      <c r="AY68" s="16">
        <v>0</v>
      </c>
      <c r="AZ68" s="16">
        <v>0</v>
      </c>
      <c r="BA68" s="16"/>
      <c r="BB68" s="15">
        <f t="shared" si="42"/>
        <v>0</v>
      </c>
      <c r="BC68" s="15"/>
      <c r="BD68" s="16"/>
      <c r="BE68" s="16"/>
      <c r="BF68" s="16"/>
      <c r="BG68" s="16"/>
      <c r="BH68" s="16"/>
      <c r="BI68" s="16"/>
      <c r="BJ68" s="16"/>
      <c r="BK68" s="16"/>
      <c r="BL68" s="16"/>
      <c r="BM68" s="16"/>
      <c r="BN68" s="16"/>
      <c r="BO68" s="16"/>
      <c r="BP68" s="16"/>
      <c r="BQ68" s="16"/>
      <c r="BR68" s="16"/>
      <c r="BS68" s="16"/>
      <c r="BT68" s="16"/>
      <c r="BU68" s="16"/>
      <c r="BV68" s="16"/>
      <c r="BW68" s="16"/>
    </row>
    <row r="69" spans="1:75" ht="18" hidden="1" customHeight="1" outlineLevel="1">
      <c r="B69" s="7">
        <v>2021</v>
      </c>
      <c r="C69" s="8" t="s">
        <v>12</v>
      </c>
      <c r="E69" s="8">
        <v>6867</v>
      </c>
      <c r="J69" s="9"/>
      <c r="Q69" s="5">
        <v>2030</v>
      </c>
      <c r="R69" s="5">
        <v>4</v>
      </c>
      <c r="S69" s="14" t="s">
        <v>54</v>
      </c>
      <c r="T69" s="15">
        <f t="shared" si="38"/>
        <v>0</v>
      </c>
      <c r="U69" s="15">
        <f t="shared" si="39"/>
        <v>12346154</v>
      </c>
      <c r="V69" s="6">
        <f>7177000+91000</f>
        <v>7268000</v>
      </c>
      <c r="W69" s="6">
        <f>2677600+34000</f>
        <v>2711600</v>
      </c>
      <c r="X69" s="16">
        <v>289234</v>
      </c>
      <c r="Y69" s="16">
        <v>0</v>
      </c>
      <c r="Z69" s="16">
        <v>0</v>
      </c>
      <c r="AA69" s="16">
        <v>0</v>
      </c>
      <c r="AB69" s="16">
        <v>0</v>
      </c>
      <c r="AC69" s="16">
        <f>3*(SUM(V69:W69)-SUM(V71:W71))</f>
        <v>1027320</v>
      </c>
      <c r="AD69" s="16">
        <v>0</v>
      </c>
      <c r="AE69" s="16">
        <v>0</v>
      </c>
      <c r="AF69" s="16">
        <v>350000</v>
      </c>
      <c r="AG69" s="16">
        <v>100000</v>
      </c>
      <c r="AH69" s="16">
        <v>100000</v>
      </c>
      <c r="AI69" s="16">
        <v>250000</v>
      </c>
      <c r="AJ69" s="16">
        <v>0</v>
      </c>
      <c r="AK69" s="16">
        <v>0</v>
      </c>
      <c r="AL69" s="16">
        <v>0</v>
      </c>
      <c r="AM69" s="16">
        <v>150000</v>
      </c>
      <c r="AN69" s="16">
        <v>100000</v>
      </c>
      <c r="AO69" s="16">
        <v>0</v>
      </c>
      <c r="AP69" s="16">
        <v>0</v>
      </c>
      <c r="AQ69" s="16">
        <v>0</v>
      </c>
      <c r="AR69" s="16">
        <v>0</v>
      </c>
      <c r="AS69" s="16">
        <v>0</v>
      </c>
      <c r="AT69" s="16">
        <v>0</v>
      </c>
      <c r="AU69" s="16">
        <v>0</v>
      </c>
      <c r="AV69" s="16">
        <v>0</v>
      </c>
      <c r="AW69" s="16">
        <v>0</v>
      </c>
      <c r="AX69" s="16">
        <v>0</v>
      </c>
      <c r="AY69" s="16">
        <v>0</v>
      </c>
      <c r="AZ69" s="16">
        <v>0</v>
      </c>
      <c r="BA69" s="16"/>
      <c r="BB69" s="15">
        <f t="shared" si="42"/>
        <v>0</v>
      </c>
      <c r="BC69" s="15"/>
      <c r="BD69" s="16"/>
      <c r="BE69" s="16"/>
      <c r="BF69" s="16"/>
      <c r="BG69" s="16"/>
      <c r="BH69" s="16"/>
      <c r="BI69" s="16"/>
      <c r="BJ69" s="16"/>
      <c r="BK69" s="16"/>
      <c r="BL69" s="16"/>
      <c r="BM69" s="16"/>
      <c r="BN69" s="16"/>
      <c r="BO69" s="16"/>
      <c r="BP69" s="16"/>
      <c r="BQ69" s="16"/>
      <c r="BR69" s="16"/>
      <c r="BS69" s="16"/>
      <c r="BT69" s="16"/>
      <c r="BU69" s="16"/>
      <c r="BV69" s="16"/>
      <c r="BW69" s="16"/>
    </row>
    <row r="70" spans="1:75" ht="18" hidden="1" customHeight="1" outlineLevel="1">
      <c r="B70" s="7">
        <v>2021</v>
      </c>
      <c r="C70" s="8" t="s">
        <v>12</v>
      </c>
      <c r="E70" s="8">
        <v>6867</v>
      </c>
      <c r="J70" s="9"/>
      <c r="Q70" s="5">
        <v>2030</v>
      </c>
      <c r="R70" s="5">
        <v>4</v>
      </c>
      <c r="S70" s="14" t="s">
        <v>28</v>
      </c>
      <c r="T70" s="15">
        <f t="shared" si="38"/>
        <v>0</v>
      </c>
      <c r="U70" s="15">
        <f t="shared" si="39"/>
        <v>14510166</v>
      </c>
      <c r="V70" s="16">
        <v>0</v>
      </c>
      <c r="W70" s="16">
        <v>0</v>
      </c>
      <c r="X70" s="16">
        <v>0</v>
      </c>
      <c r="Y70" s="16">
        <v>0</v>
      </c>
      <c r="Z70" s="16">
        <v>0</v>
      </c>
      <c r="AA70" s="16">
        <v>0</v>
      </c>
      <c r="AB70" s="16">
        <v>0</v>
      </c>
      <c r="AC70" s="16">
        <v>0</v>
      </c>
      <c r="AD70" s="16">
        <f>12*(V71+W71)*0.1125</f>
        <v>13010166</v>
      </c>
      <c r="AE70" s="16">
        <v>1500000</v>
      </c>
      <c r="AF70" s="16">
        <v>0</v>
      </c>
      <c r="AG70" s="16">
        <v>0</v>
      </c>
      <c r="AH70" s="16">
        <v>0</v>
      </c>
      <c r="AI70" s="16">
        <v>0</v>
      </c>
      <c r="AJ70" s="16">
        <v>0</v>
      </c>
      <c r="AK70" s="16">
        <v>0</v>
      </c>
      <c r="AL70" s="16">
        <v>0</v>
      </c>
      <c r="AM70" s="16">
        <v>0</v>
      </c>
      <c r="AN70" s="16">
        <v>0</v>
      </c>
      <c r="AO70" s="16">
        <v>0</v>
      </c>
      <c r="AP70" s="16">
        <v>0</v>
      </c>
      <c r="AQ70" s="16">
        <v>0</v>
      </c>
      <c r="AR70" s="16">
        <v>0</v>
      </c>
      <c r="AS70" s="16">
        <v>0</v>
      </c>
      <c r="AT70" s="16">
        <v>0</v>
      </c>
      <c r="AU70" s="16">
        <v>0</v>
      </c>
      <c r="AV70" s="16">
        <v>0</v>
      </c>
      <c r="AW70" s="16">
        <v>0</v>
      </c>
      <c r="AX70" s="16">
        <v>0</v>
      </c>
      <c r="AY70" s="16">
        <v>0</v>
      </c>
      <c r="AZ70" s="16">
        <v>0</v>
      </c>
      <c r="BA70" s="16"/>
      <c r="BB70" s="15">
        <f t="shared" si="42"/>
        <v>0</v>
      </c>
      <c r="BC70" s="15"/>
      <c r="BD70" s="16"/>
      <c r="BE70" s="16"/>
      <c r="BF70" s="16"/>
      <c r="BG70" s="16"/>
      <c r="BH70" s="16"/>
      <c r="BI70" s="16"/>
      <c r="BJ70" s="16"/>
      <c r="BK70" s="16"/>
      <c r="BL70" s="16"/>
      <c r="BM70" s="16"/>
      <c r="BN70" s="16"/>
      <c r="BO70" s="16"/>
      <c r="BP70" s="16"/>
      <c r="BQ70" s="16"/>
      <c r="BR70" s="16"/>
      <c r="BS70" s="16"/>
      <c r="BT70" s="16"/>
      <c r="BU70" s="16"/>
      <c r="BV70" s="16"/>
      <c r="BW70" s="16"/>
    </row>
    <row r="71" spans="1:75" ht="18" hidden="1" customHeight="1" outlineLevel="1">
      <c r="B71" s="7">
        <v>2022</v>
      </c>
      <c r="C71" s="8" t="s">
        <v>12</v>
      </c>
      <c r="E71" s="8">
        <v>6867</v>
      </c>
      <c r="J71" s="9"/>
      <c r="Q71" s="5">
        <v>2030</v>
      </c>
      <c r="R71" s="5">
        <v>3</v>
      </c>
      <c r="S71" s="14" t="s">
        <v>54</v>
      </c>
      <c r="T71" s="15">
        <f t="shared" si="38"/>
        <v>0</v>
      </c>
      <c r="U71" s="15">
        <f t="shared" si="39"/>
        <v>10976394</v>
      </c>
      <c r="V71" s="6">
        <f t="shared" ref="V71:V72" si="46">6928000+91000</f>
        <v>7019000</v>
      </c>
      <c r="W71" s="6">
        <f t="shared" ref="W71:W72" si="47">2584160+34000</f>
        <v>2618160</v>
      </c>
      <c r="X71" s="16">
        <v>289234</v>
      </c>
      <c r="Y71" s="16">
        <v>0</v>
      </c>
      <c r="Z71" s="16">
        <v>0</v>
      </c>
      <c r="AA71" s="16">
        <v>0</v>
      </c>
      <c r="AB71" s="16">
        <v>0</v>
      </c>
      <c r="AC71" s="16">
        <v>0</v>
      </c>
      <c r="AD71" s="16">
        <v>0</v>
      </c>
      <c r="AE71" s="16">
        <v>0</v>
      </c>
      <c r="AF71" s="16">
        <v>350000</v>
      </c>
      <c r="AG71" s="16">
        <v>100000</v>
      </c>
      <c r="AH71" s="16">
        <v>100000</v>
      </c>
      <c r="AI71" s="16">
        <v>250000</v>
      </c>
      <c r="AJ71" s="16">
        <v>0</v>
      </c>
      <c r="AK71" s="16">
        <v>0</v>
      </c>
      <c r="AL71" s="16">
        <v>0</v>
      </c>
      <c r="AM71" s="16">
        <v>150000</v>
      </c>
      <c r="AN71" s="16">
        <v>100000</v>
      </c>
      <c r="AO71" s="16">
        <v>0</v>
      </c>
      <c r="AP71" s="16">
        <v>0</v>
      </c>
      <c r="AQ71" s="16">
        <v>0</v>
      </c>
      <c r="AR71" s="16">
        <v>0</v>
      </c>
      <c r="AS71" s="16">
        <v>0</v>
      </c>
      <c r="AT71" s="16">
        <v>0</v>
      </c>
      <c r="AU71" s="16">
        <v>0</v>
      </c>
      <c r="AV71" s="16">
        <v>0</v>
      </c>
      <c r="AW71" s="16">
        <v>0</v>
      </c>
      <c r="AX71" s="16">
        <v>0</v>
      </c>
      <c r="AY71" s="16">
        <v>0</v>
      </c>
      <c r="AZ71" s="16">
        <v>0</v>
      </c>
      <c r="BA71" s="16"/>
      <c r="BB71" s="15">
        <f t="shared" si="42"/>
        <v>0</v>
      </c>
      <c r="BC71" s="15"/>
      <c r="BD71" s="16"/>
      <c r="BE71" s="16"/>
      <c r="BF71" s="16"/>
      <c r="BG71" s="16"/>
      <c r="BH71" s="16"/>
      <c r="BI71" s="16"/>
      <c r="BJ71" s="16"/>
      <c r="BK71" s="16"/>
      <c r="BL71" s="16"/>
      <c r="BM71" s="16"/>
      <c r="BN71" s="16"/>
      <c r="BO71" s="16"/>
      <c r="BP71" s="16"/>
      <c r="BQ71" s="16"/>
      <c r="BR71" s="16"/>
      <c r="BS71" s="16"/>
      <c r="BT71" s="16"/>
      <c r="BU71" s="16"/>
      <c r="BV71" s="16"/>
      <c r="BW71" s="16"/>
    </row>
    <row r="72" spans="1:75" ht="18" hidden="1" customHeight="1" outlineLevel="1">
      <c r="B72" s="7">
        <v>2023</v>
      </c>
      <c r="C72" s="8" t="s">
        <v>12</v>
      </c>
      <c r="E72" s="8">
        <v>6867</v>
      </c>
      <c r="J72" s="9"/>
      <c r="Q72" s="5">
        <v>2030</v>
      </c>
      <c r="R72" s="5">
        <v>2</v>
      </c>
      <c r="S72" s="14" t="s">
        <v>54</v>
      </c>
      <c r="T72" s="15">
        <f t="shared" si="38"/>
        <v>0</v>
      </c>
      <c r="U72" s="15">
        <f t="shared" si="39"/>
        <v>10976394</v>
      </c>
      <c r="V72" s="6">
        <f t="shared" si="46"/>
        <v>7019000</v>
      </c>
      <c r="W72" s="6">
        <f t="shared" si="47"/>
        <v>2618160</v>
      </c>
      <c r="X72" s="16">
        <v>289234</v>
      </c>
      <c r="Y72" s="16">
        <v>0</v>
      </c>
      <c r="Z72" s="16">
        <v>0</v>
      </c>
      <c r="AA72" s="16">
        <v>0</v>
      </c>
      <c r="AB72" s="16">
        <v>0</v>
      </c>
      <c r="AC72" s="16">
        <v>0</v>
      </c>
      <c r="AD72" s="16">
        <v>0</v>
      </c>
      <c r="AE72" s="16">
        <v>0</v>
      </c>
      <c r="AF72" s="16">
        <v>350000</v>
      </c>
      <c r="AG72" s="16">
        <v>100000</v>
      </c>
      <c r="AH72" s="16">
        <v>100000</v>
      </c>
      <c r="AI72" s="16">
        <v>250000</v>
      </c>
      <c r="AJ72" s="16">
        <v>0</v>
      </c>
      <c r="AK72" s="16">
        <v>0</v>
      </c>
      <c r="AL72" s="16">
        <v>0</v>
      </c>
      <c r="AM72" s="16">
        <v>150000</v>
      </c>
      <c r="AN72" s="16">
        <v>100000</v>
      </c>
      <c r="AO72" s="16">
        <v>0</v>
      </c>
      <c r="AP72" s="16">
        <v>0</v>
      </c>
      <c r="AQ72" s="16">
        <v>0</v>
      </c>
      <c r="AR72" s="16">
        <v>0</v>
      </c>
      <c r="AS72" s="16">
        <v>0</v>
      </c>
      <c r="AT72" s="16">
        <v>0</v>
      </c>
      <c r="AU72" s="16">
        <v>0</v>
      </c>
      <c r="AV72" s="16">
        <v>0</v>
      </c>
      <c r="AW72" s="16">
        <v>0</v>
      </c>
      <c r="AX72" s="16">
        <v>0</v>
      </c>
      <c r="AY72" s="16">
        <v>0</v>
      </c>
      <c r="AZ72" s="16">
        <v>0</v>
      </c>
      <c r="BA72" s="16"/>
      <c r="BB72" s="15">
        <f t="shared" si="42"/>
        <v>0</v>
      </c>
      <c r="BC72" s="15"/>
      <c r="BD72" s="16"/>
      <c r="BE72" s="16"/>
      <c r="BF72" s="16"/>
      <c r="BG72" s="16"/>
      <c r="BH72" s="16"/>
      <c r="BI72" s="16"/>
      <c r="BJ72" s="16"/>
      <c r="BK72" s="16"/>
      <c r="BL72" s="16"/>
      <c r="BM72" s="16"/>
      <c r="BN72" s="16"/>
      <c r="BO72" s="16"/>
      <c r="BP72" s="16"/>
      <c r="BQ72" s="16"/>
      <c r="BR72" s="16"/>
      <c r="BS72" s="16"/>
      <c r="BT72" s="16"/>
      <c r="BU72" s="16"/>
      <c r="BV72" s="16"/>
      <c r="BW72" s="16"/>
    </row>
    <row r="73" spans="1:75" ht="18" hidden="1" customHeight="1" outlineLevel="1">
      <c r="B73" s="7">
        <v>2024</v>
      </c>
      <c r="C73" s="8" t="s">
        <v>12</v>
      </c>
      <c r="E73" s="8">
        <v>6867</v>
      </c>
      <c r="J73" s="9"/>
      <c r="Q73" s="5">
        <v>2030</v>
      </c>
      <c r="R73" s="5">
        <v>1</v>
      </c>
      <c r="S73" s="14" t="s">
        <v>54</v>
      </c>
      <c r="T73" s="15">
        <f t="shared" si="38"/>
        <v>0</v>
      </c>
      <c r="U73" s="15">
        <f t="shared" si="39"/>
        <v>10976394</v>
      </c>
      <c r="V73" s="6">
        <f>6928000+91000</f>
        <v>7019000</v>
      </c>
      <c r="W73" s="6">
        <f>2584160+34000</f>
        <v>2618160</v>
      </c>
      <c r="X73" s="16">
        <v>289234</v>
      </c>
      <c r="Y73" s="16">
        <v>0</v>
      </c>
      <c r="Z73" s="16">
        <v>0</v>
      </c>
      <c r="AA73" s="16">
        <v>0</v>
      </c>
      <c r="AB73" s="16">
        <v>0</v>
      </c>
      <c r="AC73" s="16">
        <v>0</v>
      </c>
      <c r="AD73" s="16">
        <v>0</v>
      </c>
      <c r="AE73" s="16">
        <v>0</v>
      </c>
      <c r="AF73" s="16">
        <v>350000</v>
      </c>
      <c r="AG73" s="16">
        <v>100000</v>
      </c>
      <c r="AH73" s="16">
        <v>100000</v>
      </c>
      <c r="AI73" s="16">
        <v>250000</v>
      </c>
      <c r="AJ73" s="16">
        <v>0</v>
      </c>
      <c r="AK73" s="16">
        <v>0</v>
      </c>
      <c r="AL73" s="16">
        <v>0</v>
      </c>
      <c r="AM73" s="16">
        <v>150000</v>
      </c>
      <c r="AN73" s="16">
        <v>100000</v>
      </c>
      <c r="AO73" s="16">
        <v>0</v>
      </c>
      <c r="AP73" s="16">
        <v>0</v>
      </c>
      <c r="AQ73" s="16">
        <v>0</v>
      </c>
      <c r="AR73" s="16">
        <v>0</v>
      </c>
      <c r="AS73" s="16">
        <v>0</v>
      </c>
      <c r="AT73" s="16">
        <v>0</v>
      </c>
      <c r="AU73" s="16">
        <v>0</v>
      </c>
      <c r="AV73" s="16">
        <v>0</v>
      </c>
      <c r="AW73" s="16">
        <v>0</v>
      </c>
      <c r="AX73" s="16">
        <v>0</v>
      </c>
      <c r="AY73" s="16">
        <v>0</v>
      </c>
      <c r="AZ73" s="16">
        <v>0</v>
      </c>
      <c r="BA73" s="16"/>
      <c r="BB73" s="15">
        <f t="shared" si="42"/>
        <v>0</v>
      </c>
      <c r="BC73" s="15"/>
      <c r="BD73" s="16"/>
      <c r="BE73" s="16"/>
      <c r="BF73" s="16"/>
      <c r="BG73" s="16"/>
      <c r="BH73" s="16"/>
      <c r="BI73" s="16"/>
      <c r="BJ73" s="16"/>
      <c r="BK73" s="16"/>
      <c r="BL73" s="16"/>
      <c r="BM73" s="16"/>
      <c r="BN73" s="16"/>
      <c r="BO73" s="16"/>
      <c r="BP73" s="16"/>
      <c r="BQ73" s="16"/>
      <c r="BR73" s="16"/>
      <c r="BS73" s="16"/>
      <c r="BT73" s="16"/>
      <c r="BU73" s="16"/>
      <c r="BV73" s="16"/>
      <c r="BW73" s="16"/>
    </row>
    <row r="74" spans="1:75" s="1" customFormat="1" ht="18" customHeight="1" collapsed="1">
      <c r="A74" s="10"/>
      <c r="B74" s="11"/>
      <c r="C74" s="12"/>
      <c r="D74" s="11"/>
      <c r="E74" s="12"/>
      <c r="F74" s="12"/>
      <c r="G74" s="12"/>
      <c r="H74" s="12"/>
      <c r="I74" s="12"/>
      <c r="J74" s="3"/>
      <c r="K74" s="12"/>
      <c r="L74" s="12"/>
      <c r="M74" s="12"/>
      <c r="N74" s="12"/>
      <c r="O74" s="13"/>
      <c r="Q74" s="628" t="s">
        <v>1987</v>
      </c>
      <c r="R74" s="628"/>
      <c r="S74" s="628"/>
      <c r="T74" s="23">
        <f t="shared" ref="T74:AZ74" si="48">SUMIF($Q$2:$Q$793,$Q75,T$2:T$793)</f>
        <v>0</v>
      </c>
      <c r="U74" s="23">
        <f t="shared" si="48"/>
        <v>164036536</v>
      </c>
      <c r="V74" s="23">
        <f t="shared" si="48"/>
        <v>82254000</v>
      </c>
      <c r="W74" s="23">
        <f t="shared" si="48"/>
        <v>30682440</v>
      </c>
      <c r="X74" s="23">
        <f t="shared" si="48"/>
        <v>2575116</v>
      </c>
      <c r="Y74" s="23">
        <f t="shared" si="48"/>
        <v>0</v>
      </c>
      <c r="Z74" s="23">
        <f t="shared" si="48"/>
        <v>16026000</v>
      </c>
      <c r="AA74" s="23">
        <f t="shared" si="48"/>
        <v>5226000</v>
      </c>
      <c r="AB74" s="23">
        <f t="shared" si="48"/>
        <v>0</v>
      </c>
      <c r="AC74" s="23">
        <f t="shared" si="48"/>
        <v>1209480</v>
      </c>
      <c r="AD74" s="23">
        <f t="shared" si="48"/>
        <v>13663500</v>
      </c>
      <c r="AE74" s="23">
        <f t="shared" si="48"/>
        <v>1500000</v>
      </c>
      <c r="AF74" s="23">
        <f t="shared" si="48"/>
        <v>4200000</v>
      </c>
      <c r="AG74" s="23">
        <f t="shared" si="48"/>
        <v>1200000</v>
      </c>
      <c r="AH74" s="23">
        <f t="shared" si="48"/>
        <v>1200000</v>
      </c>
      <c r="AI74" s="23">
        <f t="shared" si="48"/>
        <v>1500000</v>
      </c>
      <c r="AJ74" s="23">
        <f t="shared" si="48"/>
        <v>400000</v>
      </c>
      <c r="AK74" s="23">
        <f t="shared" si="48"/>
        <v>300000</v>
      </c>
      <c r="AL74" s="23">
        <f t="shared" si="48"/>
        <v>0</v>
      </c>
      <c r="AM74" s="23">
        <f t="shared" si="48"/>
        <v>900000</v>
      </c>
      <c r="AN74" s="23">
        <f t="shared" si="48"/>
        <v>1200000</v>
      </c>
      <c r="AO74" s="23">
        <f t="shared" si="48"/>
        <v>0</v>
      </c>
      <c r="AP74" s="23">
        <f t="shared" si="48"/>
        <v>0</v>
      </c>
      <c r="AQ74" s="23">
        <f t="shared" si="48"/>
        <v>0</v>
      </c>
      <c r="AR74" s="23">
        <f t="shared" si="48"/>
        <v>0</v>
      </c>
      <c r="AS74" s="23">
        <f t="shared" si="48"/>
        <v>0</v>
      </c>
      <c r="AT74" s="23">
        <f t="shared" si="48"/>
        <v>0</v>
      </c>
      <c r="AU74" s="23">
        <f t="shared" si="48"/>
        <v>0</v>
      </c>
      <c r="AV74" s="23">
        <f t="shared" si="48"/>
        <v>0</v>
      </c>
      <c r="AW74" s="23">
        <f t="shared" si="48"/>
        <v>0</v>
      </c>
      <c r="AX74" s="23">
        <f t="shared" si="48"/>
        <v>0</v>
      </c>
      <c r="AY74" s="23">
        <f t="shared" si="48"/>
        <v>0</v>
      </c>
      <c r="AZ74" s="23">
        <f t="shared" si="48"/>
        <v>0</v>
      </c>
      <c r="BA74" s="23"/>
      <c r="BB74" s="23">
        <f t="shared" ref="BB74:BW74" si="49">SUMIF($Q$2:$Q$793,$Q75,BB$2:BB$793)</f>
        <v>0</v>
      </c>
      <c r="BC74" s="23">
        <f t="shared" si="49"/>
        <v>0</v>
      </c>
      <c r="BD74" s="23">
        <f t="shared" si="49"/>
        <v>0</v>
      </c>
      <c r="BE74" s="23">
        <f t="shared" si="49"/>
        <v>0</v>
      </c>
      <c r="BF74" s="23">
        <f t="shared" si="49"/>
        <v>0</v>
      </c>
      <c r="BG74" s="23">
        <f t="shared" si="49"/>
        <v>0</v>
      </c>
      <c r="BH74" s="23">
        <f t="shared" si="49"/>
        <v>0</v>
      </c>
      <c r="BI74" s="23">
        <f t="shared" si="49"/>
        <v>0</v>
      </c>
      <c r="BJ74" s="23">
        <f t="shared" si="49"/>
        <v>0</v>
      </c>
      <c r="BK74" s="23">
        <f t="shared" si="49"/>
        <v>0</v>
      </c>
      <c r="BL74" s="23">
        <f t="shared" si="49"/>
        <v>0</v>
      </c>
      <c r="BM74" s="23">
        <f t="shared" si="49"/>
        <v>0</v>
      </c>
      <c r="BN74" s="23">
        <f t="shared" si="49"/>
        <v>0</v>
      </c>
      <c r="BO74" s="23">
        <f t="shared" si="49"/>
        <v>0</v>
      </c>
      <c r="BP74" s="23">
        <f t="shared" si="49"/>
        <v>0</v>
      </c>
      <c r="BQ74" s="23">
        <f t="shared" si="49"/>
        <v>0</v>
      </c>
      <c r="BR74" s="23">
        <f t="shared" si="49"/>
        <v>0</v>
      </c>
      <c r="BS74" s="23">
        <f t="shared" si="49"/>
        <v>0</v>
      </c>
      <c r="BT74" s="23">
        <f t="shared" si="49"/>
        <v>0</v>
      </c>
      <c r="BU74" s="23">
        <f t="shared" si="49"/>
        <v>0</v>
      </c>
      <c r="BV74" s="23">
        <f t="shared" si="49"/>
        <v>0</v>
      </c>
      <c r="BW74" s="23">
        <f t="shared" si="49"/>
        <v>0</v>
      </c>
    </row>
    <row r="75" spans="1:75" ht="18" hidden="1" customHeight="1" outlineLevel="1">
      <c r="D75" s="7" t="s">
        <v>11</v>
      </c>
      <c r="F75" s="8">
        <v>4717</v>
      </c>
      <c r="G75" s="8">
        <v>5848</v>
      </c>
      <c r="K75" s="8">
        <v>2400</v>
      </c>
      <c r="L75" s="8">
        <f>K75*12</f>
        <v>28800</v>
      </c>
      <c r="M75" s="8">
        <f>L75*1.13</f>
        <v>32543.999999999996</v>
      </c>
      <c r="N75" s="8">
        <v>21014</v>
      </c>
      <c r="O75" s="9">
        <f>N75/M75</f>
        <v>0.64571042281219282</v>
      </c>
      <c r="Q75" s="5">
        <v>2029</v>
      </c>
      <c r="R75" s="5">
        <v>12</v>
      </c>
      <c r="S75" s="14" t="s">
        <v>54</v>
      </c>
      <c r="T75" s="15">
        <f t="shared" ref="T75:T87" si="50">IF(U75=U75-BB75,0,U75-BB75)</f>
        <v>0</v>
      </c>
      <c r="U75" s="15">
        <f t="shared" ref="U75:U87" si="51">SUM(V75:BA75)</f>
        <v>10851394</v>
      </c>
      <c r="V75" s="16">
        <f t="shared" ref="V75:V82" si="52">6819000+109000</f>
        <v>6928000</v>
      </c>
      <c r="W75" s="16">
        <f t="shared" ref="W75:W82" si="53">2543160+41000</f>
        <v>2584160</v>
      </c>
      <c r="X75" s="16">
        <v>289234</v>
      </c>
      <c r="Y75" s="16">
        <v>0</v>
      </c>
      <c r="Z75" s="16">
        <v>0</v>
      </c>
      <c r="AA75" s="16">
        <v>0</v>
      </c>
      <c r="AB75" s="16">
        <v>0</v>
      </c>
      <c r="AC75" s="16">
        <v>0</v>
      </c>
      <c r="AD75" s="16">
        <v>0</v>
      </c>
      <c r="AE75" s="16">
        <v>0</v>
      </c>
      <c r="AF75" s="16">
        <v>350000</v>
      </c>
      <c r="AG75" s="16">
        <v>100000</v>
      </c>
      <c r="AH75" s="16">
        <v>100000</v>
      </c>
      <c r="AI75" s="16">
        <v>250000</v>
      </c>
      <c r="AJ75" s="16">
        <v>0</v>
      </c>
      <c r="AK75" s="16">
        <v>0</v>
      </c>
      <c r="AL75" s="16">
        <v>0</v>
      </c>
      <c r="AM75" s="16">
        <v>150000</v>
      </c>
      <c r="AN75" s="16">
        <v>100000</v>
      </c>
      <c r="AO75" s="16">
        <v>0</v>
      </c>
      <c r="AP75" s="16">
        <v>0</v>
      </c>
      <c r="AQ75" s="16">
        <v>0</v>
      </c>
      <c r="AR75" s="16">
        <v>0</v>
      </c>
      <c r="AS75" s="16">
        <v>0</v>
      </c>
      <c r="AT75" s="16">
        <v>0</v>
      </c>
      <c r="AU75" s="16">
        <v>0</v>
      </c>
      <c r="AV75" s="16">
        <v>0</v>
      </c>
      <c r="AW75" s="16">
        <v>0</v>
      </c>
      <c r="AX75" s="16">
        <v>0</v>
      </c>
      <c r="AY75" s="16">
        <v>0</v>
      </c>
      <c r="AZ75" s="16">
        <v>0</v>
      </c>
      <c r="BA75" s="16"/>
      <c r="BB75" s="15">
        <f t="shared" ref="BB75:BB87" si="54">SUM(BC75:BW75)</f>
        <v>0</v>
      </c>
      <c r="BC75" s="15"/>
      <c r="BD75" s="16"/>
      <c r="BE75" s="16"/>
      <c r="BF75" s="16"/>
      <c r="BG75" s="16"/>
      <c r="BH75" s="16"/>
      <c r="BI75" s="16"/>
      <c r="BJ75" s="16"/>
      <c r="BK75" s="16"/>
      <c r="BL75" s="16"/>
      <c r="BM75" s="16"/>
      <c r="BN75" s="16"/>
      <c r="BO75" s="16"/>
      <c r="BP75" s="16"/>
      <c r="BQ75" s="16"/>
      <c r="BR75" s="16"/>
      <c r="BS75" s="16"/>
      <c r="BT75" s="16"/>
      <c r="BU75" s="16"/>
      <c r="BV75" s="16"/>
      <c r="BW75" s="16"/>
    </row>
    <row r="76" spans="1:75" ht="18" hidden="1" customHeight="1" outlineLevel="1">
      <c r="D76" s="7" t="s">
        <v>11</v>
      </c>
      <c r="F76" s="8">
        <v>4717</v>
      </c>
      <c r="G76" s="8">
        <v>5848</v>
      </c>
      <c r="K76" s="8">
        <v>2400</v>
      </c>
      <c r="L76" s="8">
        <f>K76*12</f>
        <v>28800</v>
      </c>
      <c r="M76" s="8">
        <f>L76*1.13</f>
        <v>32543.999999999996</v>
      </c>
      <c r="N76" s="8">
        <v>21014</v>
      </c>
      <c r="O76" s="9">
        <f>N76/M76</f>
        <v>0.64571042281219282</v>
      </c>
      <c r="Q76" s="5">
        <v>2029</v>
      </c>
      <c r="R76" s="5">
        <v>11</v>
      </c>
      <c r="S76" s="14" t="s">
        <v>54</v>
      </c>
      <c r="T76" s="15">
        <f t="shared" si="50"/>
        <v>0</v>
      </c>
      <c r="U76" s="15">
        <f t="shared" si="51"/>
        <v>10851394</v>
      </c>
      <c r="V76" s="16">
        <f t="shared" si="52"/>
        <v>6928000</v>
      </c>
      <c r="W76" s="16">
        <f t="shared" si="53"/>
        <v>2584160</v>
      </c>
      <c r="X76" s="16">
        <v>289234</v>
      </c>
      <c r="Y76" s="16">
        <v>0</v>
      </c>
      <c r="Z76" s="16">
        <v>0</v>
      </c>
      <c r="AA76" s="16">
        <v>0</v>
      </c>
      <c r="AB76" s="16">
        <v>0</v>
      </c>
      <c r="AC76" s="16">
        <v>0</v>
      </c>
      <c r="AD76" s="16">
        <v>0</v>
      </c>
      <c r="AE76" s="16">
        <v>0</v>
      </c>
      <c r="AF76" s="16">
        <v>350000</v>
      </c>
      <c r="AG76" s="16">
        <v>100000</v>
      </c>
      <c r="AH76" s="16">
        <v>100000</v>
      </c>
      <c r="AI76" s="16">
        <v>250000</v>
      </c>
      <c r="AJ76" s="16">
        <v>0</v>
      </c>
      <c r="AK76" s="16">
        <v>0</v>
      </c>
      <c r="AL76" s="16">
        <v>0</v>
      </c>
      <c r="AM76" s="16">
        <v>150000</v>
      </c>
      <c r="AN76" s="16">
        <v>100000</v>
      </c>
      <c r="AO76" s="16">
        <v>0</v>
      </c>
      <c r="AP76" s="16">
        <v>0</v>
      </c>
      <c r="AQ76" s="16">
        <v>0</v>
      </c>
      <c r="AR76" s="16">
        <v>0</v>
      </c>
      <c r="AS76" s="16">
        <v>0</v>
      </c>
      <c r="AT76" s="16">
        <v>0</v>
      </c>
      <c r="AU76" s="16">
        <v>0</v>
      </c>
      <c r="AV76" s="16">
        <v>0</v>
      </c>
      <c r="AW76" s="16">
        <v>0</v>
      </c>
      <c r="AX76" s="16">
        <v>0</v>
      </c>
      <c r="AY76" s="16">
        <v>0</v>
      </c>
      <c r="AZ76" s="16">
        <v>0</v>
      </c>
      <c r="BA76" s="16"/>
      <c r="BB76" s="15">
        <f t="shared" si="54"/>
        <v>0</v>
      </c>
      <c r="BC76" s="15"/>
      <c r="BD76" s="16"/>
      <c r="BE76" s="16"/>
      <c r="BF76" s="16"/>
      <c r="BG76" s="16"/>
      <c r="BH76" s="16"/>
      <c r="BI76" s="16"/>
      <c r="BJ76" s="16"/>
      <c r="BK76" s="16"/>
      <c r="BL76" s="16"/>
      <c r="BM76" s="16"/>
      <c r="BN76" s="16"/>
      <c r="BO76" s="16"/>
      <c r="BP76" s="16"/>
      <c r="BQ76" s="16"/>
      <c r="BR76" s="16"/>
      <c r="BS76" s="16"/>
      <c r="BT76" s="16"/>
      <c r="BU76" s="16"/>
      <c r="BV76" s="16"/>
      <c r="BW76" s="16"/>
    </row>
    <row r="77" spans="1:75" ht="18" hidden="1" customHeight="1" outlineLevel="1">
      <c r="D77" s="7" t="s">
        <v>11</v>
      </c>
      <c r="F77" s="8">
        <v>4717</v>
      </c>
      <c r="G77" s="8">
        <v>5848</v>
      </c>
      <c r="K77" s="8">
        <v>2400</v>
      </c>
      <c r="L77" s="8">
        <f t="shared" ref="L77:L80" si="55">K77*12</f>
        <v>28800</v>
      </c>
      <c r="M77" s="8">
        <f t="shared" ref="M77:M80" si="56">L77*1.13</f>
        <v>32543.999999999996</v>
      </c>
      <c r="N77" s="8">
        <v>21014</v>
      </c>
      <c r="O77" s="9">
        <f t="shared" ref="O77:O80" si="57">N77/M77</f>
        <v>0.64571042281219282</v>
      </c>
      <c r="Q77" s="5">
        <v>2029</v>
      </c>
      <c r="R77" s="5">
        <v>10</v>
      </c>
      <c r="S77" s="14" t="s">
        <v>54</v>
      </c>
      <c r="T77" s="15">
        <f t="shared" si="50"/>
        <v>0</v>
      </c>
      <c r="U77" s="15">
        <f t="shared" si="51"/>
        <v>10851394</v>
      </c>
      <c r="V77" s="16">
        <f t="shared" si="52"/>
        <v>6928000</v>
      </c>
      <c r="W77" s="16">
        <f t="shared" si="53"/>
        <v>2584160</v>
      </c>
      <c r="X77" s="16">
        <v>289234</v>
      </c>
      <c r="Y77" s="16">
        <v>0</v>
      </c>
      <c r="Z77" s="16">
        <v>0</v>
      </c>
      <c r="AA77" s="16">
        <v>0</v>
      </c>
      <c r="AB77" s="16">
        <v>0</v>
      </c>
      <c r="AC77" s="16">
        <v>0</v>
      </c>
      <c r="AD77" s="16">
        <v>0</v>
      </c>
      <c r="AE77" s="16">
        <v>0</v>
      </c>
      <c r="AF77" s="16">
        <v>350000</v>
      </c>
      <c r="AG77" s="16">
        <v>100000</v>
      </c>
      <c r="AH77" s="16">
        <v>100000</v>
      </c>
      <c r="AI77" s="16">
        <v>250000</v>
      </c>
      <c r="AJ77" s="16">
        <v>0</v>
      </c>
      <c r="AK77" s="16">
        <v>0</v>
      </c>
      <c r="AL77" s="16">
        <v>0</v>
      </c>
      <c r="AM77" s="16">
        <v>150000</v>
      </c>
      <c r="AN77" s="16">
        <v>100000</v>
      </c>
      <c r="AO77" s="16">
        <v>0</v>
      </c>
      <c r="AP77" s="16">
        <v>0</v>
      </c>
      <c r="AQ77" s="16">
        <v>0</v>
      </c>
      <c r="AR77" s="16">
        <v>0</v>
      </c>
      <c r="AS77" s="16">
        <v>0</v>
      </c>
      <c r="AT77" s="16">
        <v>0</v>
      </c>
      <c r="AU77" s="16">
        <v>0</v>
      </c>
      <c r="AV77" s="16">
        <v>0</v>
      </c>
      <c r="AW77" s="16">
        <v>0</v>
      </c>
      <c r="AX77" s="16">
        <v>0</v>
      </c>
      <c r="AY77" s="16">
        <v>0</v>
      </c>
      <c r="AZ77" s="16">
        <v>0</v>
      </c>
      <c r="BA77" s="16"/>
      <c r="BB77" s="15">
        <f t="shared" si="54"/>
        <v>0</v>
      </c>
      <c r="BC77" s="15"/>
      <c r="BD77" s="16"/>
      <c r="BE77" s="16"/>
      <c r="BF77" s="16"/>
      <c r="BG77" s="16"/>
      <c r="BH77" s="16"/>
      <c r="BI77" s="16"/>
      <c r="BJ77" s="16"/>
      <c r="BK77" s="16"/>
      <c r="BL77" s="16"/>
      <c r="BM77" s="16"/>
      <c r="BN77" s="16"/>
      <c r="BO77" s="16"/>
      <c r="BP77" s="16"/>
      <c r="BQ77" s="16"/>
      <c r="BR77" s="16"/>
      <c r="BS77" s="16"/>
      <c r="BT77" s="16"/>
      <c r="BU77" s="16"/>
      <c r="BV77" s="16"/>
      <c r="BW77" s="16"/>
    </row>
    <row r="78" spans="1:75" ht="18" hidden="1" customHeight="1" outlineLevel="1">
      <c r="D78" s="7" t="s">
        <v>12</v>
      </c>
      <c r="F78" s="8">
        <v>6867</v>
      </c>
      <c r="G78" s="8">
        <v>6867</v>
      </c>
      <c r="K78" s="8">
        <v>2400</v>
      </c>
      <c r="L78" s="8">
        <f t="shared" si="55"/>
        <v>28800</v>
      </c>
      <c r="M78" s="8">
        <f t="shared" si="56"/>
        <v>32543.999999999996</v>
      </c>
      <c r="N78" s="8">
        <v>21014</v>
      </c>
      <c r="O78" s="9">
        <f t="shared" si="57"/>
        <v>0.64571042281219282</v>
      </c>
      <c r="Q78" s="5">
        <v>2029</v>
      </c>
      <c r="R78" s="5">
        <v>9</v>
      </c>
      <c r="S78" s="14" t="s">
        <v>54</v>
      </c>
      <c r="T78" s="15">
        <f t="shared" si="50"/>
        <v>0</v>
      </c>
      <c r="U78" s="15">
        <f t="shared" si="51"/>
        <v>11051394</v>
      </c>
      <c r="V78" s="16">
        <f t="shared" si="52"/>
        <v>6928000</v>
      </c>
      <c r="W78" s="16">
        <f t="shared" si="53"/>
        <v>2584160</v>
      </c>
      <c r="X78" s="16">
        <v>289234</v>
      </c>
      <c r="Y78" s="16">
        <v>0</v>
      </c>
      <c r="Z78" s="16">
        <v>0</v>
      </c>
      <c r="AA78" s="16">
        <v>0</v>
      </c>
      <c r="AB78" s="16">
        <v>0</v>
      </c>
      <c r="AC78" s="16">
        <v>0</v>
      </c>
      <c r="AD78" s="16">
        <v>0</v>
      </c>
      <c r="AE78" s="16">
        <v>0</v>
      </c>
      <c r="AF78" s="16">
        <v>350000</v>
      </c>
      <c r="AG78" s="16">
        <v>100000</v>
      </c>
      <c r="AH78" s="16">
        <v>100000</v>
      </c>
      <c r="AI78" s="16">
        <v>250000</v>
      </c>
      <c r="AJ78" s="16">
        <v>200000</v>
      </c>
      <c r="AK78" s="16">
        <v>0</v>
      </c>
      <c r="AL78" s="16">
        <v>0</v>
      </c>
      <c r="AM78" s="16">
        <v>150000</v>
      </c>
      <c r="AN78" s="16">
        <v>100000</v>
      </c>
      <c r="AO78" s="16">
        <v>0</v>
      </c>
      <c r="AP78" s="16">
        <v>0</v>
      </c>
      <c r="AQ78" s="16">
        <v>0</v>
      </c>
      <c r="AR78" s="16">
        <v>0</v>
      </c>
      <c r="AS78" s="16">
        <v>0</v>
      </c>
      <c r="AT78" s="16">
        <v>0</v>
      </c>
      <c r="AU78" s="16">
        <v>0</v>
      </c>
      <c r="AV78" s="16">
        <v>0</v>
      </c>
      <c r="AW78" s="16">
        <v>0</v>
      </c>
      <c r="AX78" s="16">
        <v>0</v>
      </c>
      <c r="AY78" s="16">
        <v>0</v>
      </c>
      <c r="AZ78" s="16">
        <v>0</v>
      </c>
      <c r="BA78" s="16"/>
      <c r="BB78" s="15">
        <f t="shared" si="54"/>
        <v>0</v>
      </c>
      <c r="BC78" s="15"/>
      <c r="BD78" s="16"/>
      <c r="BE78" s="16"/>
      <c r="BF78" s="16"/>
      <c r="BG78" s="16"/>
      <c r="BH78" s="16"/>
      <c r="BI78" s="16"/>
      <c r="BJ78" s="16"/>
      <c r="BK78" s="16"/>
      <c r="BL78" s="16"/>
      <c r="BM78" s="16"/>
      <c r="BN78" s="16"/>
      <c r="BO78" s="16"/>
      <c r="BP78" s="16"/>
      <c r="BQ78" s="16"/>
      <c r="BR78" s="16"/>
      <c r="BS78" s="16"/>
      <c r="BT78" s="16"/>
      <c r="BU78" s="16"/>
      <c r="BV78" s="16"/>
      <c r="BW78" s="16"/>
    </row>
    <row r="79" spans="1:75" ht="18" hidden="1" customHeight="1" outlineLevel="1">
      <c r="D79" s="7" t="s">
        <v>13</v>
      </c>
      <c r="F79" s="8">
        <v>7988</v>
      </c>
      <c r="G79" s="8" t="s">
        <v>2</v>
      </c>
      <c r="H79" s="8" t="s">
        <v>17</v>
      </c>
      <c r="I79" s="8">
        <v>171</v>
      </c>
      <c r="K79" s="8">
        <v>2400</v>
      </c>
      <c r="L79" s="8">
        <f t="shared" si="55"/>
        <v>28800</v>
      </c>
      <c r="M79" s="8">
        <f t="shared" si="56"/>
        <v>32543.999999999996</v>
      </c>
      <c r="N79" s="8">
        <v>21014</v>
      </c>
      <c r="O79" s="9">
        <f t="shared" si="57"/>
        <v>0.64571042281219282</v>
      </c>
      <c r="Q79" s="5">
        <v>2029</v>
      </c>
      <c r="R79" s="5">
        <v>8</v>
      </c>
      <c r="S79" s="14" t="s">
        <v>54</v>
      </c>
      <c r="T79" s="15">
        <f t="shared" si="50"/>
        <v>0</v>
      </c>
      <c r="U79" s="15">
        <f t="shared" si="51"/>
        <v>10851394</v>
      </c>
      <c r="V79" s="16">
        <f t="shared" si="52"/>
        <v>6928000</v>
      </c>
      <c r="W79" s="16">
        <f t="shared" si="53"/>
        <v>2584160</v>
      </c>
      <c r="X79" s="16">
        <v>289234</v>
      </c>
      <c r="Y79" s="16">
        <v>0</v>
      </c>
      <c r="Z79" s="16">
        <v>0</v>
      </c>
      <c r="AA79" s="16">
        <v>0</v>
      </c>
      <c r="AB79" s="16">
        <v>0</v>
      </c>
      <c r="AC79" s="16">
        <v>0</v>
      </c>
      <c r="AD79" s="16">
        <v>0</v>
      </c>
      <c r="AE79" s="16">
        <v>0</v>
      </c>
      <c r="AF79" s="16">
        <v>350000</v>
      </c>
      <c r="AG79" s="16">
        <v>100000</v>
      </c>
      <c r="AH79" s="16">
        <v>100000</v>
      </c>
      <c r="AI79" s="16">
        <v>250000</v>
      </c>
      <c r="AJ79" s="16">
        <v>0</v>
      </c>
      <c r="AK79" s="16">
        <v>0</v>
      </c>
      <c r="AL79" s="16">
        <v>0</v>
      </c>
      <c r="AM79" s="16">
        <v>150000</v>
      </c>
      <c r="AN79" s="16">
        <v>100000</v>
      </c>
      <c r="AO79" s="16">
        <v>0</v>
      </c>
      <c r="AP79" s="16">
        <v>0</v>
      </c>
      <c r="AQ79" s="16">
        <v>0</v>
      </c>
      <c r="AR79" s="16">
        <v>0</v>
      </c>
      <c r="AS79" s="16">
        <v>0</v>
      </c>
      <c r="AT79" s="16">
        <v>0</v>
      </c>
      <c r="AU79" s="16">
        <v>0</v>
      </c>
      <c r="AV79" s="16">
        <v>0</v>
      </c>
      <c r="AW79" s="16">
        <v>0</v>
      </c>
      <c r="AX79" s="16">
        <v>0</v>
      </c>
      <c r="AY79" s="16">
        <v>0</v>
      </c>
      <c r="AZ79" s="16">
        <v>0</v>
      </c>
      <c r="BA79" s="16"/>
      <c r="BB79" s="15">
        <f t="shared" si="54"/>
        <v>0</v>
      </c>
      <c r="BC79" s="15"/>
      <c r="BD79" s="16"/>
      <c r="BE79" s="16"/>
      <c r="BF79" s="16"/>
      <c r="BG79" s="16"/>
      <c r="BH79" s="16"/>
      <c r="BI79" s="16"/>
      <c r="BJ79" s="16"/>
      <c r="BK79" s="16"/>
      <c r="BL79" s="16"/>
      <c r="BM79" s="16"/>
      <c r="BN79" s="16"/>
      <c r="BO79" s="16"/>
      <c r="BP79" s="16"/>
      <c r="BQ79" s="16"/>
      <c r="BR79" s="16"/>
      <c r="BS79" s="16"/>
      <c r="BT79" s="16"/>
      <c r="BU79" s="16"/>
      <c r="BV79" s="16"/>
      <c r="BW79" s="16"/>
    </row>
    <row r="80" spans="1:75" ht="18" hidden="1" customHeight="1" outlineLevel="1">
      <c r="D80" s="7" t="s">
        <v>13</v>
      </c>
      <c r="F80" s="8">
        <v>7988</v>
      </c>
      <c r="G80" s="8" t="s">
        <v>2</v>
      </c>
      <c r="H80" s="8" t="s">
        <v>17</v>
      </c>
      <c r="I80" s="8">
        <v>171</v>
      </c>
      <c r="K80" s="8">
        <v>2400</v>
      </c>
      <c r="L80" s="8">
        <f t="shared" si="55"/>
        <v>28800</v>
      </c>
      <c r="M80" s="8">
        <f t="shared" si="56"/>
        <v>32543.999999999996</v>
      </c>
      <c r="N80" s="8">
        <v>21014</v>
      </c>
      <c r="O80" s="9">
        <f t="shared" si="57"/>
        <v>0.64571042281219282</v>
      </c>
      <c r="Q80" s="5">
        <v>2029</v>
      </c>
      <c r="R80" s="5">
        <v>7</v>
      </c>
      <c r="S80" s="14" t="s">
        <v>54</v>
      </c>
      <c r="T80" s="15">
        <f t="shared" si="50"/>
        <v>0</v>
      </c>
      <c r="U80" s="15">
        <f t="shared" si="51"/>
        <v>11151394</v>
      </c>
      <c r="V80" s="16">
        <f t="shared" si="52"/>
        <v>6928000</v>
      </c>
      <c r="W80" s="16">
        <f t="shared" si="53"/>
        <v>2584160</v>
      </c>
      <c r="X80" s="16">
        <v>289234</v>
      </c>
      <c r="Y80" s="16">
        <v>0</v>
      </c>
      <c r="Z80" s="16">
        <v>0</v>
      </c>
      <c r="AA80" s="16">
        <v>0</v>
      </c>
      <c r="AB80" s="16">
        <v>0</v>
      </c>
      <c r="AC80" s="16">
        <v>0</v>
      </c>
      <c r="AD80" s="16">
        <v>0</v>
      </c>
      <c r="AE80" s="16">
        <v>0</v>
      </c>
      <c r="AF80" s="16">
        <v>350000</v>
      </c>
      <c r="AG80" s="16">
        <v>100000</v>
      </c>
      <c r="AH80" s="16">
        <v>100000</v>
      </c>
      <c r="AI80" s="16">
        <v>250000</v>
      </c>
      <c r="AJ80" s="16">
        <v>0</v>
      </c>
      <c r="AK80" s="16">
        <v>300000</v>
      </c>
      <c r="AL80" s="16">
        <v>0</v>
      </c>
      <c r="AM80" s="16">
        <v>150000</v>
      </c>
      <c r="AN80" s="16">
        <v>100000</v>
      </c>
      <c r="AO80" s="16">
        <v>0</v>
      </c>
      <c r="AP80" s="16">
        <v>0</v>
      </c>
      <c r="AQ80" s="16">
        <v>0</v>
      </c>
      <c r="AR80" s="16">
        <v>0</v>
      </c>
      <c r="AS80" s="16">
        <v>0</v>
      </c>
      <c r="AT80" s="16">
        <v>0</v>
      </c>
      <c r="AU80" s="16">
        <v>0</v>
      </c>
      <c r="AV80" s="16">
        <v>0</v>
      </c>
      <c r="AW80" s="16">
        <v>0</v>
      </c>
      <c r="AX80" s="16">
        <v>0</v>
      </c>
      <c r="AY80" s="16">
        <v>0</v>
      </c>
      <c r="AZ80" s="16">
        <v>0</v>
      </c>
      <c r="BA80" s="16"/>
      <c r="BB80" s="15">
        <f t="shared" si="54"/>
        <v>0</v>
      </c>
      <c r="BC80" s="15"/>
      <c r="BD80" s="16"/>
      <c r="BE80" s="16"/>
      <c r="BF80" s="16"/>
      <c r="BG80" s="16"/>
      <c r="BH80" s="16"/>
      <c r="BI80" s="16"/>
      <c r="BJ80" s="16"/>
      <c r="BK80" s="16"/>
      <c r="BL80" s="16"/>
      <c r="BM80" s="16"/>
      <c r="BN80" s="16"/>
      <c r="BO80" s="16"/>
      <c r="BP80" s="16"/>
      <c r="BQ80" s="16"/>
      <c r="BR80" s="16"/>
      <c r="BS80" s="16"/>
      <c r="BT80" s="16"/>
      <c r="BU80" s="16"/>
      <c r="BV80" s="16"/>
      <c r="BW80" s="16"/>
    </row>
    <row r="81" spans="1:75" ht="18" hidden="1" customHeight="1" outlineLevel="1">
      <c r="H81" s="8" t="s">
        <v>18</v>
      </c>
      <c r="I81" s="8">
        <v>122</v>
      </c>
      <c r="J81" s="9"/>
      <c r="Q81" s="5">
        <v>2029</v>
      </c>
      <c r="R81" s="5">
        <v>6</v>
      </c>
      <c r="S81" s="14" t="s">
        <v>54</v>
      </c>
      <c r="T81" s="15">
        <f t="shared" si="50"/>
        <v>0</v>
      </c>
      <c r="U81" s="15">
        <f t="shared" si="51"/>
        <v>13899112</v>
      </c>
      <c r="V81" s="16">
        <f t="shared" si="52"/>
        <v>6928000</v>
      </c>
      <c r="W81" s="16">
        <f t="shared" si="53"/>
        <v>2584160</v>
      </c>
      <c r="X81" s="16">
        <v>139952</v>
      </c>
      <c r="Y81" s="16">
        <v>0</v>
      </c>
      <c r="Z81" s="16">
        <v>2726000</v>
      </c>
      <c r="AA81" s="16">
        <v>871000</v>
      </c>
      <c r="AB81" s="16">
        <v>0</v>
      </c>
      <c r="AC81" s="16">
        <v>0</v>
      </c>
      <c r="AD81" s="16">
        <v>0</v>
      </c>
      <c r="AE81" s="16">
        <v>0</v>
      </c>
      <c r="AF81" s="16">
        <v>350000</v>
      </c>
      <c r="AG81" s="16">
        <v>100000</v>
      </c>
      <c r="AH81" s="16">
        <v>100000</v>
      </c>
      <c r="AI81" s="16">
        <v>0</v>
      </c>
      <c r="AJ81" s="16">
        <v>0</v>
      </c>
      <c r="AK81" s="16">
        <v>0</v>
      </c>
      <c r="AL81" s="16">
        <v>0</v>
      </c>
      <c r="AM81" s="16">
        <v>0</v>
      </c>
      <c r="AN81" s="16">
        <v>100000</v>
      </c>
      <c r="AO81" s="16">
        <v>0</v>
      </c>
      <c r="AP81" s="16">
        <v>0</v>
      </c>
      <c r="AQ81" s="16">
        <v>0</v>
      </c>
      <c r="AR81" s="16">
        <v>0</v>
      </c>
      <c r="AS81" s="16">
        <v>0</v>
      </c>
      <c r="AT81" s="16">
        <v>0</v>
      </c>
      <c r="AU81" s="16">
        <v>0</v>
      </c>
      <c r="AV81" s="16">
        <v>0</v>
      </c>
      <c r="AW81" s="16">
        <v>0</v>
      </c>
      <c r="AX81" s="16">
        <v>0</v>
      </c>
      <c r="AY81" s="16">
        <v>0</v>
      </c>
      <c r="AZ81" s="16">
        <v>0</v>
      </c>
      <c r="BA81" s="16"/>
      <c r="BB81" s="15">
        <f t="shared" si="54"/>
        <v>0</v>
      </c>
      <c r="BC81" s="15"/>
      <c r="BD81" s="16"/>
      <c r="BE81" s="16"/>
      <c r="BF81" s="16"/>
      <c r="BG81" s="16"/>
      <c r="BH81" s="16"/>
      <c r="BI81" s="16"/>
      <c r="BJ81" s="16"/>
      <c r="BK81" s="16"/>
      <c r="BL81" s="16"/>
      <c r="BM81" s="16"/>
      <c r="BN81" s="16"/>
      <c r="BO81" s="16"/>
      <c r="BP81" s="16"/>
      <c r="BQ81" s="16"/>
      <c r="BR81" s="16"/>
      <c r="BS81" s="16"/>
      <c r="BT81" s="16"/>
      <c r="BU81" s="16"/>
      <c r="BV81" s="16"/>
      <c r="BW81" s="16"/>
    </row>
    <row r="82" spans="1:75" ht="18" hidden="1" customHeight="1" outlineLevel="1">
      <c r="J82" s="9"/>
      <c r="Q82" s="5">
        <v>2029</v>
      </c>
      <c r="R82" s="5">
        <v>5</v>
      </c>
      <c r="S82" s="14" t="s">
        <v>54</v>
      </c>
      <c r="T82" s="15">
        <f t="shared" si="50"/>
        <v>0</v>
      </c>
      <c r="U82" s="15">
        <f t="shared" si="51"/>
        <v>14099112</v>
      </c>
      <c r="V82" s="16">
        <f t="shared" si="52"/>
        <v>6928000</v>
      </c>
      <c r="W82" s="16">
        <f t="shared" si="53"/>
        <v>2584160</v>
      </c>
      <c r="X82" s="16">
        <v>139952</v>
      </c>
      <c r="Y82" s="16">
        <v>0</v>
      </c>
      <c r="Z82" s="16">
        <v>2726000</v>
      </c>
      <c r="AA82" s="16">
        <v>871000</v>
      </c>
      <c r="AB82" s="16">
        <v>0</v>
      </c>
      <c r="AC82" s="16">
        <v>0</v>
      </c>
      <c r="AD82" s="16">
        <v>0</v>
      </c>
      <c r="AE82" s="16">
        <v>0</v>
      </c>
      <c r="AF82" s="16">
        <v>350000</v>
      </c>
      <c r="AG82" s="16">
        <v>100000</v>
      </c>
      <c r="AH82" s="16">
        <v>100000</v>
      </c>
      <c r="AI82" s="16">
        <v>0</v>
      </c>
      <c r="AJ82" s="16">
        <v>200000</v>
      </c>
      <c r="AK82" s="16">
        <v>0</v>
      </c>
      <c r="AL82" s="16">
        <v>0</v>
      </c>
      <c r="AM82" s="16">
        <v>0</v>
      </c>
      <c r="AN82" s="16">
        <v>100000</v>
      </c>
      <c r="AO82" s="16">
        <v>0</v>
      </c>
      <c r="AP82" s="16">
        <v>0</v>
      </c>
      <c r="AQ82" s="16">
        <v>0</v>
      </c>
      <c r="AR82" s="16">
        <v>0</v>
      </c>
      <c r="AS82" s="16">
        <v>0</v>
      </c>
      <c r="AT82" s="16">
        <v>0</v>
      </c>
      <c r="AU82" s="16">
        <v>0</v>
      </c>
      <c r="AV82" s="16">
        <v>0</v>
      </c>
      <c r="AW82" s="16">
        <v>0</v>
      </c>
      <c r="AX82" s="16">
        <v>0</v>
      </c>
      <c r="AY82" s="16">
        <v>0</v>
      </c>
      <c r="AZ82" s="16">
        <v>0</v>
      </c>
      <c r="BA82" s="16"/>
      <c r="BB82" s="15">
        <f t="shared" si="54"/>
        <v>0</v>
      </c>
      <c r="BC82" s="15"/>
      <c r="BD82" s="16"/>
      <c r="BE82" s="16"/>
      <c r="BF82" s="16"/>
      <c r="BG82" s="16"/>
      <c r="BH82" s="16"/>
      <c r="BI82" s="16"/>
      <c r="BJ82" s="16"/>
      <c r="BK82" s="16"/>
      <c r="BL82" s="16"/>
      <c r="BM82" s="16"/>
      <c r="BN82" s="16"/>
      <c r="BO82" s="16"/>
      <c r="BP82" s="16"/>
      <c r="BQ82" s="16"/>
      <c r="BR82" s="16"/>
      <c r="BS82" s="16"/>
      <c r="BT82" s="16"/>
      <c r="BU82" s="16"/>
      <c r="BV82" s="16"/>
      <c r="BW82" s="16"/>
    </row>
    <row r="83" spans="1:75" ht="18" hidden="1" customHeight="1" outlineLevel="1">
      <c r="B83" s="7">
        <v>2021</v>
      </c>
      <c r="C83" s="8" t="s">
        <v>12</v>
      </c>
      <c r="E83" s="8">
        <v>6867</v>
      </c>
      <c r="J83" s="9"/>
      <c r="Q83" s="5">
        <v>2029</v>
      </c>
      <c r="R83" s="5">
        <v>4</v>
      </c>
      <c r="S83" s="14" t="s">
        <v>54</v>
      </c>
      <c r="T83" s="15">
        <f t="shared" si="50"/>
        <v>0</v>
      </c>
      <c r="U83" s="15">
        <f t="shared" si="51"/>
        <v>15108592</v>
      </c>
      <c r="V83" s="16">
        <f>6819000+109000</f>
        <v>6928000</v>
      </c>
      <c r="W83" s="16">
        <f>2543160+41000</f>
        <v>2584160</v>
      </c>
      <c r="X83" s="16">
        <v>139952</v>
      </c>
      <c r="Y83" s="16">
        <v>0</v>
      </c>
      <c r="Z83" s="16">
        <v>2726000</v>
      </c>
      <c r="AA83" s="16">
        <v>871000</v>
      </c>
      <c r="AB83" s="16">
        <v>0</v>
      </c>
      <c r="AC83" s="16">
        <f>3*(SUM(V83:W83)-SUM(V85:W85))</f>
        <v>1209480</v>
      </c>
      <c r="AD83" s="16">
        <v>0</v>
      </c>
      <c r="AE83" s="16">
        <v>0</v>
      </c>
      <c r="AF83" s="16">
        <v>350000</v>
      </c>
      <c r="AG83" s="16">
        <v>100000</v>
      </c>
      <c r="AH83" s="16">
        <v>100000</v>
      </c>
      <c r="AI83" s="16">
        <v>0</v>
      </c>
      <c r="AJ83" s="16">
        <v>0</v>
      </c>
      <c r="AK83" s="16">
        <v>0</v>
      </c>
      <c r="AL83" s="16">
        <v>0</v>
      </c>
      <c r="AM83" s="16">
        <v>0</v>
      </c>
      <c r="AN83" s="16">
        <v>100000</v>
      </c>
      <c r="AO83" s="16">
        <v>0</v>
      </c>
      <c r="AP83" s="16">
        <v>0</v>
      </c>
      <c r="AQ83" s="16">
        <v>0</v>
      </c>
      <c r="AR83" s="16">
        <v>0</v>
      </c>
      <c r="AS83" s="16">
        <v>0</v>
      </c>
      <c r="AT83" s="16">
        <v>0</v>
      </c>
      <c r="AU83" s="16">
        <v>0</v>
      </c>
      <c r="AV83" s="16">
        <v>0</v>
      </c>
      <c r="AW83" s="16">
        <v>0</v>
      </c>
      <c r="AX83" s="16">
        <v>0</v>
      </c>
      <c r="AY83" s="16">
        <v>0</v>
      </c>
      <c r="AZ83" s="16">
        <v>0</v>
      </c>
      <c r="BA83" s="16"/>
      <c r="BB83" s="15">
        <f t="shared" si="54"/>
        <v>0</v>
      </c>
      <c r="BC83" s="15"/>
      <c r="BD83" s="16"/>
      <c r="BE83" s="16"/>
      <c r="BF83" s="16"/>
      <c r="BG83" s="16"/>
      <c r="BH83" s="16"/>
      <c r="BI83" s="16"/>
      <c r="BJ83" s="16"/>
      <c r="BK83" s="16"/>
      <c r="BL83" s="16"/>
      <c r="BM83" s="16"/>
      <c r="BN83" s="16"/>
      <c r="BO83" s="16"/>
      <c r="BP83" s="16"/>
      <c r="BQ83" s="16"/>
      <c r="BR83" s="16"/>
      <c r="BS83" s="16"/>
      <c r="BT83" s="16"/>
      <c r="BU83" s="16"/>
      <c r="BV83" s="16"/>
      <c r="BW83" s="16"/>
    </row>
    <row r="84" spans="1:75" ht="18" hidden="1" customHeight="1" outlineLevel="1">
      <c r="B84" s="7">
        <v>2021</v>
      </c>
      <c r="C84" s="8" t="s">
        <v>12</v>
      </c>
      <c r="E84" s="8">
        <v>6867</v>
      </c>
      <c r="J84" s="9"/>
      <c r="Q84" s="5">
        <v>2029</v>
      </c>
      <c r="R84" s="5">
        <v>4</v>
      </c>
      <c r="S84" s="14" t="s">
        <v>28</v>
      </c>
      <c r="T84" s="15">
        <f t="shared" si="50"/>
        <v>0</v>
      </c>
      <c r="U84" s="15">
        <f t="shared" si="51"/>
        <v>15163500</v>
      </c>
      <c r="V84" s="16">
        <v>0</v>
      </c>
      <c r="W84" s="16">
        <v>0</v>
      </c>
      <c r="X84" s="16">
        <v>0</v>
      </c>
      <c r="Y84" s="16">
        <v>0</v>
      </c>
      <c r="Z84" s="16">
        <v>0</v>
      </c>
      <c r="AA84" s="16">
        <v>0</v>
      </c>
      <c r="AB84" s="16">
        <v>0</v>
      </c>
      <c r="AC84" s="16">
        <v>0</v>
      </c>
      <c r="AD84" s="16">
        <f>12*(V85+W85)*0.1*1.25</f>
        <v>13663500</v>
      </c>
      <c r="AE84" s="16">
        <v>1500000</v>
      </c>
      <c r="AF84" s="16">
        <v>0</v>
      </c>
      <c r="AG84" s="16">
        <v>0</v>
      </c>
      <c r="AH84" s="16">
        <v>0</v>
      </c>
      <c r="AI84" s="16">
        <v>0</v>
      </c>
      <c r="AJ84" s="16">
        <v>0</v>
      </c>
      <c r="AK84" s="16">
        <v>0</v>
      </c>
      <c r="AL84" s="16">
        <v>0</v>
      </c>
      <c r="AM84" s="16">
        <v>0</v>
      </c>
      <c r="AN84" s="16">
        <v>0</v>
      </c>
      <c r="AO84" s="16">
        <v>0</v>
      </c>
      <c r="AP84" s="16">
        <v>0</v>
      </c>
      <c r="AQ84" s="16">
        <v>0</v>
      </c>
      <c r="AR84" s="16">
        <v>0</v>
      </c>
      <c r="AS84" s="16">
        <v>0</v>
      </c>
      <c r="AT84" s="16">
        <v>0</v>
      </c>
      <c r="AU84" s="16">
        <v>0</v>
      </c>
      <c r="AV84" s="16">
        <v>0</v>
      </c>
      <c r="AW84" s="16">
        <v>0</v>
      </c>
      <c r="AX84" s="16">
        <v>0</v>
      </c>
      <c r="AY84" s="16">
        <v>0</v>
      </c>
      <c r="AZ84" s="16">
        <v>0</v>
      </c>
      <c r="BA84" s="16"/>
      <c r="BB84" s="15">
        <f t="shared" si="54"/>
        <v>0</v>
      </c>
      <c r="BC84" s="15"/>
      <c r="BD84" s="16"/>
      <c r="BE84" s="16"/>
      <c r="BF84" s="16"/>
      <c r="BG84" s="16"/>
      <c r="BH84" s="16"/>
      <c r="BI84" s="16"/>
      <c r="BJ84" s="16"/>
      <c r="BK84" s="16"/>
      <c r="BL84" s="16"/>
      <c r="BM84" s="16"/>
      <c r="BN84" s="16"/>
      <c r="BO84" s="16"/>
      <c r="BP84" s="16"/>
      <c r="BQ84" s="16"/>
      <c r="BR84" s="16"/>
      <c r="BS84" s="16"/>
      <c r="BT84" s="16"/>
      <c r="BU84" s="16"/>
      <c r="BV84" s="16"/>
      <c r="BW84" s="16"/>
    </row>
    <row r="85" spans="1:75" ht="18" hidden="1" customHeight="1" outlineLevel="1">
      <c r="B85" s="7">
        <v>2022</v>
      </c>
      <c r="C85" s="8" t="s">
        <v>12</v>
      </c>
      <c r="E85" s="8">
        <v>6867</v>
      </c>
      <c r="J85" s="9"/>
      <c r="Q85" s="5">
        <v>2029</v>
      </c>
      <c r="R85" s="5">
        <v>3</v>
      </c>
      <c r="S85" s="14" t="s">
        <v>54</v>
      </c>
      <c r="T85" s="15">
        <f t="shared" si="50"/>
        <v>0</v>
      </c>
      <c r="U85" s="15">
        <f t="shared" si="51"/>
        <v>13385952</v>
      </c>
      <c r="V85" s="16">
        <f t="shared" ref="V85:V86" si="58">6525000+109000</f>
        <v>6634000</v>
      </c>
      <c r="W85" s="16">
        <f t="shared" ref="W85:W86" si="59">2434000+41000</f>
        <v>2475000</v>
      </c>
      <c r="X85" s="16">
        <v>139952</v>
      </c>
      <c r="Y85" s="16">
        <v>0</v>
      </c>
      <c r="Z85" s="16">
        <v>2616000</v>
      </c>
      <c r="AA85" s="16">
        <v>871000</v>
      </c>
      <c r="AB85" s="16">
        <v>0</v>
      </c>
      <c r="AC85" s="16">
        <v>0</v>
      </c>
      <c r="AD85" s="16">
        <v>0</v>
      </c>
      <c r="AE85" s="16">
        <v>0</v>
      </c>
      <c r="AF85" s="16">
        <v>350000</v>
      </c>
      <c r="AG85" s="16">
        <v>100000</v>
      </c>
      <c r="AH85" s="16">
        <v>100000</v>
      </c>
      <c r="AI85" s="16">
        <v>0</v>
      </c>
      <c r="AJ85" s="16">
        <v>0</v>
      </c>
      <c r="AK85" s="16">
        <v>0</v>
      </c>
      <c r="AL85" s="16">
        <v>0</v>
      </c>
      <c r="AM85" s="16">
        <v>0</v>
      </c>
      <c r="AN85" s="16">
        <v>100000</v>
      </c>
      <c r="AO85" s="16">
        <v>0</v>
      </c>
      <c r="AP85" s="16">
        <v>0</v>
      </c>
      <c r="AQ85" s="16">
        <v>0</v>
      </c>
      <c r="AR85" s="16">
        <v>0</v>
      </c>
      <c r="AS85" s="16">
        <v>0</v>
      </c>
      <c r="AT85" s="16">
        <v>0</v>
      </c>
      <c r="AU85" s="16">
        <v>0</v>
      </c>
      <c r="AV85" s="16">
        <v>0</v>
      </c>
      <c r="AW85" s="16">
        <v>0</v>
      </c>
      <c r="AX85" s="16">
        <v>0</v>
      </c>
      <c r="AY85" s="16">
        <v>0</v>
      </c>
      <c r="AZ85" s="16">
        <v>0</v>
      </c>
      <c r="BA85" s="16"/>
      <c r="BB85" s="15">
        <f t="shared" si="54"/>
        <v>0</v>
      </c>
      <c r="BC85" s="15"/>
      <c r="BD85" s="16"/>
      <c r="BE85" s="16"/>
      <c r="BF85" s="16"/>
      <c r="BG85" s="16"/>
      <c r="BH85" s="16"/>
      <c r="BI85" s="16"/>
      <c r="BJ85" s="16"/>
      <c r="BK85" s="16"/>
      <c r="BL85" s="16"/>
      <c r="BM85" s="16"/>
      <c r="BN85" s="16"/>
      <c r="BO85" s="16"/>
      <c r="BP85" s="16"/>
      <c r="BQ85" s="16"/>
      <c r="BR85" s="16"/>
      <c r="BS85" s="16"/>
      <c r="BT85" s="16"/>
      <c r="BU85" s="16"/>
      <c r="BV85" s="16"/>
      <c r="BW85" s="16"/>
    </row>
    <row r="86" spans="1:75" ht="18" hidden="1" customHeight="1" outlineLevel="1">
      <c r="B86" s="7">
        <v>2023</v>
      </c>
      <c r="C86" s="8" t="s">
        <v>12</v>
      </c>
      <c r="E86" s="8">
        <v>6867</v>
      </c>
      <c r="J86" s="9"/>
      <c r="Q86" s="5">
        <v>2029</v>
      </c>
      <c r="R86" s="5">
        <v>2</v>
      </c>
      <c r="S86" s="14" t="s">
        <v>54</v>
      </c>
      <c r="T86" s="15">
        <f t="shared" si="50"/>
        <v>0</v>
      </c>
      <c r="U86" s="15">
        <f t="shared" si="51"/>
        <v>13385952</v>
      </c>
      <c r="V86" s="16">
        <f t="shared" si="58"/>
        <v>6634000</v>
      </c>
      <c r="W86" s="16">
        <f t="shared" si="59"/>
        <v>2475000</v>
      </c>
      <c r="X86" s="16">
        <v>139952</v>
      </c>
      <c r="Y86" s="16">
        <v>0</v>
      </c>
      <c r="Z86" s="16">
        <v>2616000</v>
      </c>
      <c r="AA86" s="16">
        <v>871000</v>
      </c>
      <c r="AB86" s="16">
        <v>0</v>
      </c>
      <c r="AC86" s="16">
        <v>0</v>
      </c>
      <c r="AD86" s="16">
        <v>0</v>
      </c>
      <c r="AE86" s="16">
        <v>0</v>
      </c>
      <c r="AF86" s="16">
        <v>350000</v>
      </c>
      <c r="AG86" s="16">
        <v>100000</v>
      </c>
      <c r="AH86" s="16">
        <v>100000</v>
      </c>
      <c r="AI86" s="16">
        <v>0</v>
      </c>
      <c r="AJ86" s="16">
        <v>0</v>
      </c>
      <c r="AK86" s="16">
        <v>0</v>
      </c>
      <c r="AL86" s="16">
        <v>0</v>
      </c>
      <c r="AM86" s="16">
        <v>0</v>
      </c>
      <c r="AN86" s="16">
        <v>100000</v>
      </c>
      <c r="AO86" s="16">
        <v>0</v>
      </c>
      <c r="AP86" s="16">
        <v>0</v>
      </c>
      <c r="AQ86" s="16">
        <v>0</v>
      </c>
      <c r="AR86" s="16">
        <v>0</v>
      </c>
      <c r="AS86" s="16">
        <v>0</v>
      </c>
      <c r="AT86" s="16">
        <v>0</v>
      </c>
      <c r="AU86" s="16">
        <v>0</v>
      </c>
      <c r="AV86" s="16">
        <v>0</v>
      </c>
      <c r="AW86" s="16">
        <v>0</v>
      </c>
      <c r="AX86" s="16">
        <v>0</v>
      </c>
      <c r="AY86" s="16">
        <v>0</v>
      </c>
      <c r="AZ86" s="16">
        <v>0</v>
      </c>
      <c r="BA86" s="16"/>
      <c r="BB86" s="15">
        <f t="shared" si="54"/>
        <v>0</v>
      </c>
      <c r="BC86" s="15"/>
      <c r="BD86" s="16"/>
      <c r="BE86" s="16"/>
      <c r="BF86" s="16"/>
      <c r="BG86" s="16"/>
      <c r="BH86" s="16"/>
      <c r="BI86" s="16"/>
      <c r="BJ86" s="16"/>
      <c r="BK86" s="16"/>
      <c r="BL86" s="16"/>
      <c r="BM86" s="16"/>
      <c r="BN86" s="16"/>
      <c r="BO86" s="16"/>
      <c r="BP86" s="16"/>
      <c r="BQ86" s="16"/>
      <c r="BR86" s="16"/>
      <c r="BS86" s="16"/>
      <c r="BT86" s="16"/>
      <c r="BU86" s="16"/>
      <c r="BV86" s="16"/>
      <c r="BW86" s="16"/>
    </row>
    <row r="87" spans="1:75" ht="18" hidden="1" customHeight="1" outlineLevel="1">
      <c r="B87" s="7">
        <v>2024</v>
      </c>
      <c r="C87" s="8" t="s">
        <v>12</v>
      </c>
      <c r="E87" s="8">
        <v>6867</v>
      </c>
      <c r="J87" s="9"/>
      <c r="Q87" s="5">
        <v>2029</v>
      </c>
      <c r="R87" s="5">
        <v>1</v>
      </c>
      <c r="S87" s="14" t="s">
        <v>54</v>
      </c>
      <c r="T87" s="15">
        <f t="shared" si="50"/>
        <v>0</v>
      </c>
      <c r="U87" s="15">
        <f t="shared" si="51"/>
        <v>13385952</v>
      </c>
      <c r="V87" s="16">
        <f>6525000+109000</f>
        <v>6634000</v>
      </c>
      <c r="W87" s="16">
        <f>2434000+41000</f>
        <v>2475000</v>
      </c>
      <c r="X87" s="16">
        <v>139952</v>
      </c>
      <c r="Y87" s="16">
        <v>0</v>
      </c>
      <c r="Z87" s="16">
        <v>2616000</v>
      </c>
      <c r="AA87" s="16">
        <v>871000</v>
      </c>
      <c r="AB87" s="16">
        <v>0</v>
      </c>
      <c r="AC87" s="16">
        <v>0</v>
      </c>
      <c r="AD87" s="16">
        <v>0</v>
      </c>
      <c r="AE87" s="16">
        <v>0</v>
      </c>
      <c r="AF87" s="16">
        <v>350000</v>
      </c>
      <c r="AG87" s="16">
        <v>100000</v>
      </c>
      <c r="AH87" s="16">
        <v>100000</v>
      </c>
      <c r="AI87" s="16">
        <v>0</v>
      </c>
      <c r="AJ87" s="16">
        <v>0</v>
      </c>
      <c r="AK87" s="16">
        <v>0</v>
      </c>
      <c r="AL87" s="16">
        <v>0</v>
      </c>
      <c r="AM87" s="16">
        <v>0</v>
      </c>
      <c r="AN87" s="16">
        <v>100000</v>
      </c>
      <c r="AO87" s="16">
        <v>0</v>
      </c>
      <c r="AP87" s="16">
        <v>0</v>
      </c>
      <c r="AQ87" s="16">
        <v>0</v>
      </c>
      <c r="AR87" s="16">
        <v>0</v>
      </c>
      <c r="AS87" s="16">
        <v>0</v>
      </c>
      <c r="AT87" s="16">
        <v>0</v>
      </c>
      <c r="AU87" s="16">
        <v>0</v>
      </c>
      <c r="AV87" s="16">
        <v>0</v>
      </c>
      <c r="AW87" s="16">
        <v>0</v>
      </c>
      <c r="AX87" s="16">
        <v>0</v>
      </c>
      <c r="AY87" s="16">
        <v>0</v>
      </c>
      <c r="AZ87" s="16">
        <v>0</v>
      </c>
      <c r="BA87" s="16"/>
      <c r="BB87" s="15">
        <f t="shared" si="54"/>
        <v>0</v>
      </c>
      <c r="BC87" s="15"/>
      <c r="BD87" s="16"/>
      <c r="BE87" s="16"/>
      <c r="BF87" s="16"/>
      <c r="BG87" s="16"/>
      <c r="BH87" s="16"/>
      <c r="BI87" s="16"/>
      <c r="BJ87" s="16"/>
      <c r="BK87" s="16"/>
      <c r="BL87" s="16"/>
      <c r="BM87" s="16"/>
      <c r="BN87" s="16"/>
      <c r="BO87" s="16"/>
      <c r="BP87" s="16"/>
      <c r="BQ87" s="16"/>
      <c r="BR87" s="16"/>
      <c r="BS87" s="16"/>
      <c r="BT87" s="16"/>
      <c r="BU87" s="16"/>
      <c r="BV87" s="16"/>
      <c r="BW87" s="16"/>
    </row>
    <row r="88" spans="1:75" s="1" customFormat="1" ht="18" customHeight="1" collapsed="1">
      <c r="A88" s="10"/>
      <c r="B88" s="11"/>
      <c r="C88" s="12"/>
      <c r="D88" s="11"/>
      <c r="E88" s="12"/>
      <c r="F88" s="12"/>
      <c r="G88" s="12"/>
      <c r="H88" s="12"/>
      <c r="I88" s="12"/>
      <c r="J88" s="3"/>
      <c r="K88" s="12"/>
      <c r="L88" s="12"/>
      <c r="M88" s="12"/>
      <c r="N88" s="12"/>
      <c r="O88" s="13"/>
      <c r="Q88" s="628" t="s">
        <v>1636</v>
      </c>
      <c r="R88" s="628"/>
      <c r="S88" s="628"/>
      <c r="T88" s="23">
        <f t="shared" ref="T88:AZ88" si="60">SUMIF($Q$2:$Q$793,$Q89,T$2:T$793)</f>
        <v>0</v>
      </c>
      <c r="U88" s="23">
        <f t="shared" si="60"/>
        <v>173111914</v>
      </c>
      <c r="V88" s="23">
        <f t="shared" si="60"/>
        <v>77472000</v>
      </c>
      <c r="W88" s="23">
        <f t="shared" si="60"/>
        <v>28897980</v>
      </c>
      <c r="X88" s="23">
        <f t="shared" si="60"/>
        <v>1679424</v>
      </c>
      <c r="Y88" s="23">
        <f t="shared" si="60"/>
        <v>0</v>
      </c>
      <c r="Z88" s="23">
        <f t="shared" si="60"/>
        <v>30603000</v>
      </c>
      <c r="AA88" s="23">
        <f t="shared" si="60"/>
        <v>10452000</v>
      </c>
      <c r="AB88" s="23">
        <f t="shared" si="60"/>
        <v>0</v>
      </c>
      <c r="AC88" s="23">
        <f t="shared" si="60"/>
        <v>1138020</v>
      </c>
      <c r="AD88" s="23">
        <f t="shared" si="60"/>
        <v>12869490</v>
      </c>
      <c r="AE88" s="23">
        <f t="shared" si="60"/>
        <v>1500000</v>
      </c>
      <c r="AF88" s="23">
        <f t="shared" si="60"/>
        <v>4200000</v>
      </c>
      <c r="AG88" s="23">
        <f t="shared" si="60"/>
        <v>1200000</v>
      </c>
      <c r="AH88" s="23">
        <f t="shared" si="60"/>
        <v>1200000</v>
      </c>
      <c r="AI88" s="23">
        <f t="shared" si="60"/>
        <v>0</v>
      </c>
      <c r="AJ88" s="23">
        <f t="shared" si="60"/>
        <v>400000</v>
      </c>
      <c r="AK88" s="23">
        <f t="shared" si="60"/>
        <v>300000</v>
      </c>
      <c r="AL88" s="23">
        <f t="shared" si="60"/>
        <v>0</v>
      </c>
      <c r="AM88" s="23">
        <f t="shared" si="60"/>
        <v>0</v>
      </c>
      <c r="AN88" s="23">
        <f t="shared" si="60"/>
        <v>1200000</v>
      </c>
      <c r="AO88" s="23">
        <f t="shared" si="60"/>
        <v>0</v>
      </c>
      <c r="AP88" s="23">
        <f t="shared" si="60"/>
        <v>0</v>
      </c>
      <c r="AQ88" s="23">
        <f t="shared" si="60"/>
        <v>0</v>
      </c>
      <c r="AR88" s="23">
        <f t="shared" si="60"/>
        <v>0</v>
      </c>
      <c r="AS88" s="23">
        <f t="shared" si="60"/>
        <v>0</v>
      </c>
      <c r="AT88" s="23">
        <f t="shared" si="60"/>
        <v>0</v>
      </c>
      <c r="AU88" s="23">
        <f t="shared" si="60"/>
        <v>0</v>
      </c>
      <c r="AV88" s="23">
        <f t="shared" si="60"/>
        <v>0</v>
      </c>
      <c r="AW88" s="23">
        <f t="shared" si="60"/>
        <v>0</v>
      </c>
      <c r="AX88" s="23">
        <f t="shared" si="60"/>
        <v>0</v>
      </c>
      <c r="AY88" s="23">
        <f t="shared" si="60"/>
        <v>0</v>
      </c>
      <c r="AZ88" s="23">
        <f t="shared" si="60"/>
        <v>0</v>
      </c>
      <c r="BA88" s="23"/>
      <c r="BB88" s="23">
        <f t="shared" ref="BB88:BW88" si="61">SUMIF($Q$2:$Q$793,$Q89,BB$2:BB$793)</f>
        <v>0</v>
      </c>
      <c r="BC88" s="23">
        <f t="shared" si="61"/>
        <v>0</v>
      </c>
      <c r="BD88" s="23">
        <f t="shared" si="61"/>
        <v>0</v>
      </c>
      <c r="BE88" s="23">
        <f t="shared" si="61"/>
        <v>0</v>
      </c>
      <c r="BF88" s="23">
        <f t="shared" si="61"/>
        <v>0</v>
      </c>
      <c r="BG88" s="23">
        <f t="shared" si="61"/>
        <v>0</v>
      </c>
      <c r="BH88" s="23">
        <f t="shared" si="61"/>
        <v>0</v>
      </c>
      <c r="BI88" s="23">
        <f t="shared" si="61"/>
        <v>0</v>
      </c>
      <c r="BJ88" s="23">
        <f t="shared" si="61"/>
        <v>0</v>
      </c>
      <c r="BK88" s="23">
        <f t="shared" si="61"/>
        <v>0</v>
      </c>
      <c r="BL88" s="23">
        <f t="shared" si="61"/>
        <v>0</v>
      </c>
      <c r="BM88" s="23">
        <f t="shared" si="61"/>
        <v>0</v>
      </c>
      <c r="BN88" s="23">
        <f t="shared" si="61"/>
        <v>0</v>
      </c>
      <c r="BO88" s="23">
        <f t="shared" si="61"/>
        <v>0</v>
      </c>
      <c r="BP88" s="23">
        <f t="shared" si="61"/>
        <v>0</v>
      </c>
      <c r="BQ88" s="23">
        <f t="shared" si="61"/>
        <v>0</v>
      </c>
      <c r="BR88" s="23">
        <f t="shared" si="61"/>
        <v>0</v>
      </c>
      <c r="BS88" s="23">
        <f t="shared" si="61"/>
        <v>0</v>
      </c>
      <c r="BT88" s="23">
        <f t="shared" si="61"/>
        <v>0</v>
      </c>
      <c r="BU88" s="23">
        <f t="shared" si="61"/>
        <v>0</v>
      </c>
      <c r="BV88" s="23">
        <f t="shared" si="61"/>
        <v>0</v>
      </c>
      <c r="BW88" s="23">
        <f t="shared" si="61"/>
        <v>0</v>
      </c>
    </row>
    <row r="89" spans="1:75" ht="18" hidden="1" customHeight="1" outlineLevel="1">
      <c r="D89" s="7" t="s">
        <v>11</v>
      </c>
      <c r="F89" s="8">
        <v>4717</v>
      </c>
      <c r="G89" s="8">
        <v>5848</v>
      </c>
      <c r="K89" s="8">
        <v>2400</v>
      </c>
      <c r="L89" s="8">
        <f>K89*12</f>
        <v>28800</v>
      </c>
      <c r="M89" s="8">
        <f>L89*1.13</f>
        <v>32543.999999999996</v>
      </c>
      <c r="N89" s="8">
        <v>21014</v>
      </c>
      <c r="O89" s="9">
        <f>N89/M89</f>
        <v>0.64571042281219282</v>
      </c>
      <c r="Q89" s="5">
        <v>2028</v>
      </c>
      <c r="R89" s="5">
        <v>12</v>
      </c>
      <c r="S89" s="14" t="s">
        <v>54</v>
      </c>
      <c r="T89" s="15">
        <f t="shared" ref="T89:T101" si="62">IF(U89=U89-BB89,0,U89-BB89)</f>
        <v>0</v>
      </c>
      <c r="U89" s="15">
        <f t="shared" ref="U89:U101" si="63">SUM(V89:BA89)</f>
        <v>13195952</v>
      </c>
      <c r="V89" s="16">
        <f t="shared" ref="V89:V96" si="64">6416000+109000</f>
        <v>6525000</v>
      </c>
      <c r="W89" s="16">
        <v>2434000</v>
      </c>
      <c r="X89" s="16">
        <v>139952</v>
      </c>
      <c r="Y89" s="16">
        <v>0</v>
      </c>
      <c r="Z89" s="16">
        <v>2576000</v>
      </c>
      <c r="AA89" s="16">
        <v>871000</v>
      </c>
      <c r="AB89" s="16">
        <v>0</v>
      </c>
      <c r="AC89" s="16">
        <v>0</v>
      </c>
      <c r="AD89" s="16">
        <v>0</v>
      </c>
      <c r="AE89" s="16">
        <v>0</v>
      </c>
      <c r="AF89" s="16">
        <v>350000</v>
      </c>
      <c r="AG89" s="16">
        <v>100000</v>
      </c>
      <c r="AH89" s="16">
        <v>100000</v>
      </c>
      <c r="AI89" s="16">
        <v>0</v>
      </c>
      <c r="AJ89" s="16">
        <v>0</v>
      </c>
      <c r="AK89" s="16">
        <v>0</v>
      </c>
      <c r="AL89" s="16">
        <v>0</v>
      </c>
      <c r="AM89" s="16">
        <v>0</v>
      </c>
      <c r="AN89" s="16">
        <v>100000</v>
      </c>
      <c r="AO89" s="16">
        <v>0</v>
      </c>
      <c r="AP89" s="16">
        <v>0</v>
      </c>
      <c r="AQ89" s="16">
        <v>0</v>
      </c>
      <c r="AR89" s="16">
        <v>0</v>
      </c>
      <c r="AS89" s="16">
        <v>0</v>
      </c>
      <c r="AT89" s="16">
        <v>0</v>
      </c>
      <c r="AU89" s="16">
        <v>0</v>
      </c>
      <c r="AV89" s="16">
        <v>0</v>
      </c>
      <c r="AW89" s="16">
        <v>0</v>
      </c>
      <c r="AX89" s="16">
        <v>0</v>
      </c>
      <c r="AY89" s="16">
        <v>0</v>
      </c>
      <c r="AZ89" s="16">
        <v>0</v>
      </c>
      <c r="BA89" s="16"/>
      <c r="BB89" s="15">
        <f t="shared" ref="BB89:BB101" si="65">SUM(BC89:BW89)</f>
        <v>0</v>
      </c>
      <c r="BC89" s="15"/>
      <c r="BD89" s="16"/>
      <c r="BE89" s="16"/>
      <c r="BF89" s="16"/>
      <c r="BG89" s="16"/>
      <c r="BH89" s="16"/>
      <c r="BI89" s="16"/>
      <c r="BJ89" s="16"/>
      <c r="BK89" s="16"/>
      <c r="BL89" s="16"/>
      <c r="BM89" s="16"/>
      <c r="BN89" s="16"/>
      <c r="BO89" s="16"/>
      <c r="BP89" s="16"/>
      <c r="BQ89" s="16"/>
      <c r="BR89" s="16"/>
      <c r="BS89" s="16"/>
      <c r="BT89" s="16"/>
      <c r="BU89" s="16"/>
      <c r="BV89" s="16"/>
      <c r="BW89" s="16"/>
    </row>
    <row r="90" spans="1:75" ht="18" hidden="1" customHeight="1" outlineLevel="1">
      <c r="D90" s="7" t="s">
        <v>11</v>
      </c>
      <c r="F90" s="8">
        <v>4717</v>
      </c>
      <c r="G90" s="8">
        <v>5848</v>
      </c>
      <c r="K90" s="8">
        <v>2400</v>
      </c>
      <c r="L90" s="8">
        <f>K90*12</f>
        <v>28800</v>
      </c>
      <c r="M90" s="8">
        <f>L90*1.13</f>
        <v>32543.999999999996</v>
      </c>
      <c r="N90" s="8">
        <v>21014</v>
      </c>
      <c r="O90" s="9">
        <f>N90/M90</f>
        <v>0.64571042281219282</v>
      </c>
      <c r="Q90" s="5">
        <v>2028</v>
      </c>
      <c r="R90" s="5">
        <v>11</v>
      </c>
      <c r="S90" s="14" t="s">
        <v>54</v>
      </c>
      <c r="T90" s="15">
        <f t="shared" si="62"/>
        <v>0</v>
      </c>
      <c r="U90" s="15">
        <f t="shared" si="63"/>
        <v>13195952</v>
      </c>
      <c r="V90" s="16">
        <f t="shared" si="64"/>
        <v>6525000</v>
      </c>
      <c r="W90" s="16">
        <v>2434000</v>
      </c>
      <c r="X90" s="16">
        <v>139952</v>
      </c>
      <c r="Y90" s="16">
        <v>0</v>
      </c>
      <c r="Z90" s="16">
        <v>2576000</v>
      </c>
      <c r="AA90" s="16">
        <v>871000</v>
      </c>
      <c r="AB90" s="16">
        <v>0</v>
      </c>
      <c r="AC90" s="16">
        <v>0</v>
      </c>
      <c r="AD90" s="16">
        <v>0</v>
      </c>
      <c r="AE90" s="16">
        <v>0</v>
      </c>
      <c r="AF90" s="16">
        <v>350000</v>
      </c>
      <c r="AG90" s="16">
        <v>100000</v>
      </c>
      <c r="AH90" s="16">
        <v>100000</v>
      </c>
      <c r="AI90" s="16">
        <v>0</v>
      </c>
      <c r="AJ90" s="16">
        <v>0</v>
      </c>
      <c r="AK90" s="16">
        <v>0</v>
      </c>
      <c r="AL90" s="16">
        <v>0</v>
      </c>
      <c r="AM90" s="16">
        <v>0</v>
      </c>
      <c r="AN90" s="16">
        <v>100000</v>
      </c>
      <c r="AO90" s="16">
        <v>0</v>
      </c>
      <c r="AP90" s="16">
        <v>0</v>
      </c>
      <c r="AQ90" s="16">
        <v>0</v>
      </c>
      <c r="AR90" s="16">
        <v>0</v>
      </c>
      <c r="AS90" s="16">
        <v>0</v>
      </c>
      <c r="AT90" s="16">
        <v>0</v>
      </c>
      <c r="AU90" s="16">
        <v>0</v>
      </c>
      <c r="AV90" s="16">
        <v>0</v>
      </c>
      <c r="AW90" s="16">
        <v>0</v>
      </c>
      <c r="AX90" s="16">
        <v>0</v>
      </c>
      <c r="AY90" s="16">
        <v>0</v>
      </c>
      <c r="AZ90" s="16">
        <v>0</v>
      </c>
      <c r="BA90" s="16"/>
      <c r="BB90" s="15">
        <f t="shared" si="65"/>
        <v>0</v>
      </c>
      <c r="BC90" s="15"/>
      <c r="BD90" s="16"/>
      <c r="BE90" s="16"/>
      <c r="BF90" s="16"/>
      <c r="BG90" s="16"/>
      <c r="BH90" s="16"/>
      <c r="BI90" s="16"/>
      <c r="BJ90" s="16"/>
      <c r="BK90" s="16"/>
      <c r="BL90" s="16"/>
      <c r="BM90" s="16"/>
      <c r="BN90" s="16"/>
      <c r="BO90" s="16"/>
      <c r="BP90" s="16"/>
      <c r="BQ90" s="16"/>
      <c r="BR90" s="16"/>
      <c r="BS90" s="16"/>
      <c r="BT90" s="16"/>
      <c r="BU90" s="16"/>
      <c r="BV90" s="16"/>
      <c r="BW90" s="16"/>
    </row>
    <row r="91" spans="1:75" ht="18" hidden="1" customHeight="1" outlineLevel="1">
      <c r="D91" s="7" t="s">
        <v>11</v>
      </c>
      <c r="F91" s="8">
        <v>4717</v>
      </c>
      <c r="G91" s="8">
        <v>5848</v>
      </c>
      <c r="K91" s="8">
        <v>2400</v>
      </c>
      <c r="L91" s="8">
        <f t="shared" ref="L91:L94" si="66">K91*12</f>
        <v>28800</v>
      </c>
      <c r="M91" s="8">
        <f t="shared" ref="M91:M94" si="67">L91*1.13</f>
        <v>32543.999999999996</v>
      </c>
      <c r="N91" s="8">
        <v>21014</v>
      </c>
      <c r="O91" s="9">
        <f t="shared" ref="O91:O94" si="68">N91/M91</f>
        <v>0.64571042281219282</v>
      </c>
      <c r="Q91" s="5">
        <v>2028</v>
      </c>
      <c r="R91" s="5">
        <v>10</v>
      </c>
      <c r="S91" s="14" t="s">
        <v>54</v>
      </c>
      <c r="T91" s="15">
        <f t="shared" si="62"/>
        <v>0</v>
      </c>
      <c r="U91" s="15">
        <f t="shared" si="63"/>
        <v>13195952</v>
      </c>
      <c r="V91" s="16">
        <f t="shared" si="64"/>
        <v>6525000</v>
      </c>
      <c r="W91" s="16">
        <v>2434000</v>
      </c>
      <c r="X91" s="16">
        <v>139952</v>
      </c>
      <c r="Y91" s="16">
        <v>0</v>
      </c>
      <c r="Z91" s="16">
        <v>2576000</v>
      </c>
      <c r="AA91" s="16">
        <v>871000</v>
      </c>
      <c r="AB91" s="16">
        <v>0</v>
      </c>
      <c r="AC91" s="16">
        <v>0</v>
      </c>
      <c r="AD91" s="16">
        <v>0</v>
      </c>
      <c r="AE91" s="16">
        <v>0</v>
      </c>
      <c r="AF91" s="16">
        <v>350000</v>
      </c>
      <c r="AG91" s="16">
        <v>100000</v>
      </c>
      <c r="AH91" s="16">
        <v>100000</v>
      </c>
      <c r="AI91" s="16">
        <v>0</v>
      </c>
      <c r="AJ91" s="16">
        <v>0</v>
      </c>
      <c r="AK91" s="16">
        <v>0</v>
      </c>
      <c r="AL91" s="16">
        <v>0</v>
      </c>
      <c r="AM91" s="16">
        <v>0</v>
      </c>
      <c r="AN91" s="16">
        <v>100000</v>
      </c>
      <c r="AO91" s="16">
        <v>0</v>
      </c>
      <c r="AP91" s="16">
        <v>0</v>
      </c>
      <c r="AQ91" s="16">
        <v>0</v>
      </c>
      <c r="AR91" s="16">
        <v>0</v>
      </c>
      <c r="AS91" s="16">
        <v>0</v>
      </c>
      <c r="AT91" s="16">
        <v>0</v>
      </c>
      <c r="AU91" s="16">
        <v>0</v>
      </c>
      <c r="AV91" s="16">
        <v>0</v>
      </c>
      <c r="AW91" s="16">
        <v>0</v>
      </c>
      <c r="AX91" s="16">
        <v>0</v>
      </c>
      <c r="AY91" s="16">
        <v>0</v>
      </c>
      <c r="AZ91" s="16">
        <v>0</v>
      </c>
      <c r="BA91" s="16"/>
      <c r="BB91" s="15">
        <f t="shared" si="65"/>
        <v>0</v>
      </c>
      <c r="BC91" s="15"/>
      <c r="BD91" s="16"/>
      <c r="BE91" s="16"/>
      <c r="BF91" s="16"/>
      <c r="BG91" s="16"/>
      <c r="BH91" s="16"/>
      <c r="BI91" s="16"/>
      <c r="BJ91" s="16"/>
      <c r="BK91" s="16"/>
      <c r="BL91" s="16"/>
      <c r="BM91" s="16"/>
      <c r="BN91" s="16"/>
      <c r="BO91" s="16"/>
      <c r="BP91" s="16"/>
      <c r="BQ91" s="16"/>
      <c r="BR91" s="16"/>
      <c r="BS91" s="16"/>
      <c r="BT91" s="16"/>
      <c r="BU91" s="16"/>
      <c r="BV91" s="16"/>
      <c r="BW91" s="16"/>
    </row>
    <row r="92" spans="1:75" ht="18" hidden="1" customHeight="1" outlineLevel="1">
      <c r="D92" s="7" t="s">
        <v>12</v>
      </c>
      <c r="F92" s="8">
        <v>6867</v>
      </c>
      <c r="G92" s="8">
        <v>6867</v>
      </c>
      <c r="K92" s="8">
        <v>2400</v>
      </c>
      <c r="L92" s="8">
        <f t="shared" si="66"/>
        <v>28800</v>
      </c>
      <c r="M92" s="8">
        <f t="shared" si="67"/>
        <v>32543.999999999996</v>
      </c>
      <c r="N92" s="8">
        <v>21014</v>
      </c>
      <c r="O92" s="9">
        <f t="shared" si="68"/>
        <v>0.64571042281219282</v>
      </c>
      <c r="Q92" s="5">
        <v>2028</v>
      </c>
      <c r="R92" s="5">
        <v>9</v>
      </c>
      <c r="S92" s="14" t="s">
        <v>54</v>
      </c>
      <c r="T92" s="15">
        <f t="shared" si="62"/>
        <v>0</v>
      </c>
      <c r="U92" s="15">
        <f t="shared" si="63"/>
        <v>13395952</v>
      </c>
      <c r="V92" s="16">
        <f t="shared" si="64"/>
        <v>6525000</v>
      </c>
      <c r="W92" s="16">
        <v>2434000</v>
      </c>
      <c r="X92" s="16">
        <v>139952</v>
      </c>
      <c r="Y92" s="16">
        <v>0</v>
      </c>
      <c r="Z92" s="16">
        <v>2576000</v>
      </c>
      <c r="AA92" s="16">
        <v>871000</v>
      </c>
      <c r="AB92" s="16">
        <v>0</v>
      </c>
      <c r="AC92" s="16">
        <v>0</v>
      </c>
      <c r="AD92" s="16">
        <v>0</v>
      </c>
      <c r="AE92" s="16">
        <v>0</v>
      </c>
      <c r="AF92" s="16">
        <v>350000</v>
      </c>
      <c r="AG92" s="16">
        <v>100000</v>
      </c>
      <c r="AH92" s="16">
        <v>100000</v>
      </c>
      <c r="AI92" s="16">
        <v>0</v>
      </c>
      <c r="AJ92" s="16">
        <v>200000</v>
      </c>
      <c r="AK92" s="16">
        <v>0</v>
      </c>
      <c r="AL92" s="16">
        <v>0</v>
      </c>
      <c r="AM92" s="16">
        <v>0</v>
      </c>
      <c r="AN92" s="16">
        <v>100000</v>
      </c>
      <c r="AO92" s="16">
        <v>0</v>
      </c>
      <c r="AP92" s="16">
        <v>0</v>
      </c>
      <c r="AQ92" s="16">
        <v>0</v>
      </c>
      <c r="AR92" s="16">
        <v>0</v>
      </c>
      <c r="AS92" s="16">
        <v>0</v>
      </c>
      <c r="AT92" s="16">
        <v>0</v>
      </c>
      <c r="AU92" s="16">
        <v>0</v>
      </c>
      <c r="AV92" s="16">
        <v>0</v>
      </c>
      <c r="AW92" s="16">
        <v>0</v>
      </c>
      <c r="AX92" s="16">
        <v>0</v>
      </c>
      <c r="AY92" s="16">
        <v>0</v>
      </c>
      <c r="AZ92" s="16">
        <v>0</v>
      </c>
      <c r="BA92" s="16"/>
      <c r="BB92" s="15">
        <f t="shared" si="65"/>
        <v>0</v>
      </c>
      <c r="BC92" s="15"/>
      <c r="BD92" s="16"/>
      <c r="BE92" s="16"/>
      <c r="BF92" s="16"/>
      <c r="BG92" s="16"/>
      <c r="BH92" s="16"/>
      <c r="BI92" s="16"/>
      <c r="BJ92" s="16"/>
      <c r="BK92" s="16"/>
      <c r="BL92" s="16"/>
      <c r="BM92" s="16"/>
      <c r="BN92" s="16"/>
      <c r="BO92" s="16"/>
      <c r="BP92" s="16"/>
      <c r="BQ92" s="16"/>
      <c r="BR92" s="16"/>
      <c r="BS92" s="16"/>
      <c r="BT92" s="16"/>
      <c r="BU92" s="16"/>
      <c r="BV92" s="16"/>
      <c r="BW92" s="16"/>
    </row>
    <row r="93" spans="1:75" ht="18" hidden="1" customHeight="1" outlineLevel="1">
      <c r="D93" s="7" t="s">
        <v>13</v>
      </c>
      <c r="F93" s="8">
        <v>7988</v>
      </c>
      <c r="G93" s="8" t="s">
        <v>2</v>
      </c>
      <c r="H93" s="8" t="s">
        <v>17</v>
      </c>
      <c r="I93" s="8">
        <v>171</v>
      </c>
      <c r="K93" s="8">
        <v>2400</v>
      </c>
      <c r="L93" s="8">
        <f t="shared" si="66"/>
        <v>28800</v>
      </c>
      <c r="M93" s="8">
        <f t="shared" si="67"/>
        <v>32543.999999999996</v>
      </c>
      <c r="N93" s="8">
        <v>21014</v>
      </c>
      <c r="O93" s="9">
        <f t="shared" si="68"/>
        <v>0.64571042281219282</v>
      </c>
      <c r="Q93" s="5">
        <v>2028</v>
      </c>
      <c r="R93" s="5">
        <v>8</v>
      </c>
      <c r="S93" s="14" t="s">
        <v>54</v>
      </c>
      <c r="T93" s="15">
        <f t="shared" si="62"/>
        <v>0</v>
      </c>
      <c r="U93" s="15">
        <f t="shared" si="63"/>
        <v>13195952</v>
      </c>
      <c r="V93" s="16">
        <f t="shared" si="64"/>
        <v>6525000</v>
      </c>
      <c r="W93" s="16">
        <v>2434000</v>
      </c>
      <c r="X93" s="16">
        <v>139952</v>
      </c>
      <c r="Y93" s="16">
        <v>0</v>
      </c>
      <c r="Z93" s="16">
        <v>2576000</v>
      </c>
      <c r="AA93" s="16">
        <v>871000</v>
      </c>
      <c r="AB93" s="16">
        <v>0</v>
      </c>
      <c r="AC93" s="16">
        <v>0</v>
      </c>
      <c r="AD93" s="16">
        <v>0</v>
      </c>
      <c r="AE93" s="16">
        <v>0</v>
      </c>
      <c r="AF93" s="16">
        <v>350000</v>
      </c>
      <c r="AG93" s="16">
        <v>100000</v>
      </c>
      <c r="AH93" s="16">
        <v>100000</v>
      </c>
      <c r="AI93" s="16">
        <v>0</v>
      </c>
      <c r="AJ93" s="16">
        <v>0</v>
      </c>
      <c r="AK93" s="16">
        <v>0</v>
      </c>
      <c r="AL93" s="16">
        <v>0</v>
      </c>
      <c r="AM93" s="16">
        <v>0</v>
      </c>
      <c r="AN93" s="16">
        <v>100000</v>
      </c>
      <c r="AO93" s="16">
        <v>0</v>
      </c>
      <c r="AP93" s="16">
        <v>0</v>
      </c>
      <c r="AQ93" s="16">
        <v>0</v>
      </c>
      <c r="AR93" s="16">
        <v>0</v>
      </c>
      <c r="AS93" s="16">
        <v>0</v>
      </c>
      <c r="AT93" s="16">
        <v>0</v>
      </c>
      <c r="AU93" s="16">
        <v>0</v>
      </c>
      <c r="AV93" s="16">
        <v>0</v>
      </c>
      <c r="AW93" s="16">
        <v>0</v>
      </c>
      <c r="AX93" s="16">
        <v>0</v>
      </c>
      <c r="AY93" s="16">
        <v>0</v>
      </c>
      <c r="AZ93" s="16">
        <v>0</v>
      </c>
      <c r="BA93" s="16"/>
      <c r="BB93" s="15">
        <f t="shared" si="65"/>
        <v>0</v>
      </c>
      <c r="BC93" s="15"/>
      <c r="BD93" s="16"/>
      <c r="BE93" s="16"/>
      <c r="BF93" s="16"/>
      <c r="BG93" s="16"/>
      <c r="BH93" s="16"/>
      <c r="BI93" s="16"/>
      <c r="BJ93" s="16"/>
      <c r="BK93" s="16"/>
      <c r="BL93" s="16"/>
      <c r="BM93" s="16"/>
      <c r="BN93" s="16"/>
      <c r="BO93" s="16"/>
      <c r="BP93" s="16"/>
      <c r="BQ93" s="16"/>
      <c r="BR93" s="16"/>
      <c r="BS93" s="16"/>
      <c r="BT93" s="16"/>
      <c r="BU93" s="16"/>
      <c r="BV93" s="16"/>
      <c r="BW93" s="16"/>
    </row>
    <row r="94" spans="1:75" ht="18" hidden="1" customHeight="1" outlineLevel="1">
      <c r="D94" s="7" t="s">
        <v>13</v>
      </c>
      <c r="F94" s="8">
        <v>7988</v>
      </c>
      <c r="G94" s="8" t="s">
        <v>2</v>
      </c>
      <c r="H94" s="8" t="s">
        <v>17</v>
      </c>
      <c r="I94" s="8">
        <v>171</v>
      </c>
      <c r="K94" s="8">
        <v>2400</v>
      </c>
      <c r="L94" s="8">
        <f t="shared" si="66"/>
        <v>28800</v>
      </c>
      <c r="M94" s="8">
        <f t="shared" si="67"/>
        <v>32543.999999999996</v>
      </c>
      <c r="N94" s="8">
        <v>21014</v>
      </c>
      <c r="O94" s="9">
        <f t="shared" si="68"/>
        <v>0.64571042281219282</v>
      </c>
      <c r="Q94" s="5">
        <v>2028</v>
      </c>
      <c r="R94" s="5">
        <v>7</v>
      </c>
      <c r="S94" s="14" t="s">
        <v>54</v>
      </c>
      <c r="T94" s="15">
        <f t="shared" si="62"/>
        <v>0</v>
      </c>
      <c r="U94" s="15">
        <f t="shared" si="63"/>
        <v>13495952</v>
      </c>
      <c r="V94" s="16">
        <f t="shared" si="64"/>
        <v>6525000</v>
      </c>
      <c r="W94" s="16">
        <v>2434000</v>
      </c>
      <c r="X94" s="16">
        <v>139952</v>
      </c>
      <c r="Y94" s="16">
        <v>0</v>
      </c>
      <c r="Z94" s="16">
        <v>2576000</v>
      </c>
      <c r="AA94" s="16">
        <v>871000</v>
      </c>
      <c r="AB94" s="16">
        <v>0</v>
      </c>
      <c r="AC94" s="16">
        <v>0</v>
      </c>
      <c r="AD94" s="16">
        <v>0</v>
      </c>
      <c r="AE94" s="16">
        <v>0</v>
      </c>
      <c r="AF94" s="16">
        <v>350000</v>
      </c>
      <c r="AG94" s="16">
        <v>100000</v>
      </c>
      <c r="AH94" s="16">
        <v>100000</v>
      </c>
      <c r="AI94" s="16">
        <v>0</v>
      </c>
      <c r="AJ94" s="16">
        <v>0</v>
      </c>
      <c r="AK94" s="16">
        <v>300000</v>
      </c>
      <c r="AL94" s="16">
        <v>0</v>
      </c>
      <c r="AM94" s="16">
        <v>0</v>
      </c>
      <c r="AN94" s="16">
        <v>100000</v>
      </c>
      <c r="AO94" s="16">
        <v>0</v>
      </c>
      <c r="AP94" s="16">
        <v>0</v>
      </c>
      <c r="AQ94" s="16">
        <v>0</v>
      </c>
      <c r="AR94" s="16">
        <v>0</v>
      </c>
      <c r="AS94" s="16">
        <v>0</v>
      </c>
      <c r="AT94" s="16">
        <v>0</v>
      </c>
      <c r="AU94" s="16">
        <v>0</v>
      </c>
      <c r="AV94" s="16">
        <v>0</v>
      </c>
      <c r="AW94" s="16">
        <v>0</v>
      </c>
      <c r="AX94" s="16">
        <v>0</v>
      </c>
      <c r="AY94" s="16">
        <v>0</v>
      </c>
      <c r="AZ94" s="16">
        <v>0</v>
      </c>
      <c r="BA94" s="16"/>
      <c r="BB94" s="15">
        <f t="shared" si="65"/>
        <v>0</v>
      </c>
      <c r="BC94" s="15"/>
      <c r="BD94" s="16"/>
      <c r="BE94" s="16"/>
      <c r="BF94" s="16"/>
      <c r="BG94" s="16"/>
      <c r="BH94" s="16"/>
      <c r="BI94" s="16"/>
      <c r="BJ94" s="16"/>
      <c r="BK94" s="16"/>
      <c r="BL94" s="16"/>
      <c r="BM94" s="16"/>
      <c r="BN94" s="16"/>
      <c r="BO94" s="16"/>
      <c r="BP94" s="16"/>
      <c r="BQ94" s="16"/>
      <c r="BR94" s="16"/>
      <c r="BS94" s="16"/>
      <c r="BT94" s="16"/>
      <c r="BU94" s="16"/>
      <c r="BV94" s="16"/>
      <c r="BW94" s="16"/>
    </row>
    <row r="95" spans="1:75" ht="18" hidden="1" customHeight="1" outlineLevel="1">
      <c r="H95" s="8" t="s">
        <v>18</v>
      </c>
      <c r="I95" s="8">
        <v>122</v>
      </c>
      <c r="J95" s="9"/>
      <c r="Q95" s="5">
        <v>2028</v>
      </c>
      <c r="R95" s="5">
        <v>6</v>
      </c>
      <c r="S95" s="14" t="s">
        <v>54</v>
      </c>
      <c r="T95" s="15">
        <f t="shared" si="62"/>
        <v>0</v>
      </c>
      <c r="U95" s="15">
        <f t="shared" si="63"/>
        <v>13195952</v>
      </c>
      <c r="V95" s="16">
        <f t="shared" si="64"/>
        <v>6525000</v>
      </c>
      <c r="W95" s="16">
        <v>2434000</v>
      </c>
      <c r="X95" s="16">
        <v>139952</v>
      </c>
      <c r="Y95" s="16">
        <v>0</v>
      </c>
      <c r="Z95" s="16">
        <v>2576000</v>
      </c>
      <c r="AA95" s="16">
        <v>871000</v>
      </c>
      <c r="AB95" s="16">
        <v>0</v>
      </c>
      <c r="AC95" s="16">
        <v>0</v>
      </c>
      <c r="AD95" s="16">
        <v>0</v>
      </c>
      <c r="AE95" s="16">
        <v>0</v>
      </c>
      <c r="AF95" s="16">
        <v>350000</v>
      </c>
      <c r="AG95" s="16">
        <v>100000</v>
      </c>
      <c r="AH95" s="16">
        <v>100000</v>
      </c>
      <c r="AI95" s="16">
        <v>0</v>
      </c>
      <c r="AJ95" s="16">
        <v>0</v>
      </c>
      <c r="AK95" s="16">
        <v>0</v>
      </c>
      <c r="AL95" s="16">
        <v>0</v>
      </c>
      <c r="AM95" s="16">
        <v>0</v>
      </c>
      <c r="AN95" s="16">
        <v>100000</v>
      </c>
      <c r="AO95" s="16">
        <v>0</v>
      </c>
      <c r="AP95" s="16">
        <v>0</v>
      </c>
      <c r="AQ95" s="16">
        <v>0</v>
      </c>
      <c r="AR95" s="16">
        <v>0</v>
      </c>
      <c r="AS95" s="16">
        <v>0</v>
      </c>
      <c r="AT95" s="16">
        <v>0</v>
      </c>
      <c r="AU95" s="16">
        <v>0</v>
      </c>
      <c r="AV95" s="16">
        <v>0</v>
      </c>
      <c r="AW95" s="16">
        <v>0</v>
      </c>
      <c r="AX95" s="16">
        <v>0</v>
      </c>
      <c r="AY95" s="16">
        <v>0</v>
      </c>
      <c r="AZ95" s="16">
        <v>0</v>
      </c>
      <c r="BA95" s="16"/>
      <c r="BB95" s="15">
        <f t="shared" si="65"/>
        <v>0</v>
      </c>
      <c r="BC95" s="15"/>
      <c r="BD95" s="16"/>
      <c r="BE95" s="16"/>
      <c r="BF95" s="16"/>
      <c r="BG95" s="16"/>
      <c r="BH95" s="16"/>
      <c r="BI95" s="16"/>
      <c r="BJ95" s="16"/>
      <c r="BK95" s="16"/>
      <c r="BL95" s="16"/>
      <c r="BM95" s="16"/>
      <c r="BN95" s="16"/>
      <c r="BO95" s="16"/>
      <c r="BP95" s="16"/>
      <c r="BQ95" s="16"/>
      <c r="BR95" s="16"/>
      <c r="BS95" s="16"/>
      <c r="BT95" s="16"/>
      <c r="BU95" s="16"/>
      <c r="BV95" s="16"/>
      <c r="BW95" s="16"/>
    </row>
    <row r="96" spans="1:75" ht="18" hidden="1" customHeight="1" outlineLevel="1">
      <c r="J96" s="9"/>
      <c r="Q96" s="5">
        <v>2028</v>
      </c>
      <c r="R96" s="5">
        <v>5</v>
      </c>
      <c r="S96" s="14" t="s">
        <v>54</v>
      </c>
      <c r="T96" s="15">
        <f t="shared" si="62"/>
        <v>0</v>
      </c>
      <c r="U96" s="15">
        <f t="shared" si="63"/>
        <v>13395952</v>
      </c>
      <c r="V96" s="16">
        <f t="shared" si="64"/>
        <v>6525000</v>
      </c>
      <c r="W96" s="16">
        <v>2434000</v>
      </c>
      <c r="X96" s="16">
        <v>139952</v>
      </c>
      <c r="Y96" s="16">
        <v>0</v>
      </c>
      <c r="Z96" s="16">
        <v>2576000</v>
      </c>
      <c r="AA96" s="16">
        <v>871000</v>
      </c>
      <c r="AB96" s="16">
        <v>0</v>
      </c>
      <c r="AC96" s="16">
        <v>0</v>
      </c>
      <c r="AD96" s="16">
        <v>0</v>
      </c>
      <c r="AE96" s="16">
        <v>0</v>
      </c>
      <c r="AF96" s="16">
        <v>350000</v>
      </c>
      <c r="AG96" s="16">
        <v>100000</v>
      </c>
      <c r="AH96" s="16">
        <v>100000</v>
      </c>
      <c r="AI96" s="16">
        <v>0</v>
      </c>
      <c r="AJ96" s="16">
        <v>200000</v>
      </c>
      <c r="AK96" s="16">
        <v>0</v>
      </c>
      <c r="AL96" s="16">
        <v>0</v>
      </c>
      <c r="AM96" s="16">
        <v>0</v>
      </c>
      <c r="AN96" s="16">
        <v>100000</v>
      </c>
      <c r="AO96" s="16">
        <v>0</v>
      </c>
      <c r="AP96" s="16">
        <v>0</v>
      </c>
      <c r="AQ96" s="16">
        <v>0</v>
      </c>
      <c r="AR96" s="16">
        <v>0</v>
      </c>
      <c r="AS96" s="16">
        <v>0</v>
      </c>
      <c r="AT96" s="16">
        <v>0</v>
      </c>
      <c r="AU96" s="16">
        <v>0</v>
      </c>
      <c r="AV96" s="16">
        <v>0</v>
      </c>
      <c r="AW96" s="16">
        <v>0</v>
      </c>
      <c r="AX96" s="16">
        <v>0</v>
      </c>
      <c r="AY96" s="16">
        <v>0</v>
      </c>
      <c r="AZ96" s="16">
        <v>0</v>
      </c>
      <c r="BA96" s="16"/>
      <c r="BB96" s="15">
        <f t="shared" si="65"/>
        <v>0</v>
      </c>
      <c r="BC96" s="15"/>
      <c r="BD96" s="16"/>
      <c r="BE96" s="16"/>
      <c r="BF96" s="16"/>
      <c r="BG96" s="16"/>
      <c r="BH96" s="16"/>
      <c r="BI96" s="16"/>
      <c r="BJ96" s="16"/>
      <c r="BK96" s="16"/>
      <c r="BL96" s="16"/>
      <c r="BM96" s="16"/>
      <c r="BN96" s="16"/>
      <c r="BO96" s="16"/>
      <c r="BP96" s="16"/>
      <c r="BQ96" s="16"/>
      <c r="BR96" s="16"/>
      <c r="BS96" s="16"/>
      <c r="BT96" s="16"/>
      <c r="BU96" s="16"/>
      <c r="BV96" s="16"/>
      <c r="BW96" s="16"/>
    </row>
    <row r="97" spans="1:75" ht="18" hidden="1" customHeight="1" outlineLevel="1">
      <c r="B97" s="7">
        <v>2021</v>
      </c>
      <c r="C97" s="8" t="s">
        <v>12</v>
      </c>
      <c r="E97" s="8">
        <v>6867</v>
      </c>
      <c r="J97" s="9"/>
      <c r="Q97" s="5">
        <v>2028</v>
      </c>
      <c r="R97" s="5">
        <v>4</v>
      </c>
      <c r="S97" s="14" t="s">
        <v>54</v>
      </c>
      <c r="T97" s="15">
        <f t="shared" si="62"/>
        <v>0</v>
      </c>
      <c r="U97" s="15">
        <f t="shared" si="63"/>
        <v>14333972</v>
      </c>
      <c r="V97" s="16">
        <f>6416000+109000</f>
        <v>6525000</v>
      </c>
      <c r="W97" s="16">
        <v>2434000</v>
      </c>
      <c r="X97" s="16">
        <v>139952</v>
      </c>
      <c r="Y97" s="16">
        <v>0</v>
      </c>
      <c r="Z97" s="16">
        <v>2576000</v>
      </c>
      <c r="AA97" s="16">
        <v>871000</v>
      </c>
      <c r="AB97" s="16">
        <v>0</v>
      </c>
      <c r="AC97" s="16">
        <f>3*(SUM(V97:W97)-SUM(V99:W99))</f>
        <v>1138020</v>
      </c>
      <c r="AD97" s="16">
        <v>0</v>
      </c>
      <c r="AE97" s="16">
        <v>0</v>
      </c>
      <c r="AF97" s="16">
        <v>350000</v>
      </c>
      <c r="AG97" s="16">
        <v>100000</v>
      </c>
      <c r="AH97" s="16">
        <v>100000</v>
      </c>
      <c r="AI97" s="16">
        <v>0</v>
      </c>
      <c r="AJ97" s="16">
        <v>0</v>
      </c>
      <c r="AK97" s="16">
        <v>0</v>
      </c>
      <c r="AL97" s="16">
        <v>0</v>
      </c>
      <c r="AM97" s="16">
        <v>0</v>
      </c>
      <c r="AN97" s="16">
        <v>100000</v>
      </c>
      <c r="AO97" s="16">
        <v>0</v>
      </c>
      <c r="AP97" s="16">
        <v>0</v>
      </c>
      <c r="AQ97" s="16">
        <v>0</v>
      </c>
      <c r="AR97" s="16">
        <v>0</v>
      </c>
      <c r="AS97" s="16">
        <v>0</v>
      </c>
      <c r="AT97" s="16">
        <v>0</v>
      </c>
      <c r="AU97" s="16">
        <v>0</v>
      </c>
      <c r="AV97" s="16">
        <v>0</v>
      </c>
      <c r="AW97" s="16">
        <v>0</v>
      </c>
      <c r="AX97" s="16">
        <v>0</v>
      </c>
      <c r="AY97" s="16">
        <v>0</v>
      </c>
      <c r="AZ97" s="16">
        <v>0</v>
      </c>
      <c r="BA97" s="16"/>
      <c r="BB97" s="15">
        <f t="shared" si="65"/>
        <v>0</v>
      </c>
      <c r="BC97" s="15"/>
      <c r="BD97" s="16"/>
      <c r="BE97" s="16"/>
      <c r="BF97" s="16"/>
      <c r="BG97" s="16"/>
      <c r="BH97" s="16"/>
      <c r="BI97" s="16"/>
      <c r="BJ97" s="16"/>
      <c r="BK97" s="16"/>
      <c r="BL97" s="16"/>
      <c r="BM97" s="16"/>
      <c r="BN97" s="16"/>
      <c r="BO97" s="16"/>
      <c r="BP97" s="16"/>
      <c r="BQ97" s="16"/>
      <c r="BR97" s="16"/>
      <c r="BS97" s="16"/>
      <c r="BT97" s="16"/>
      <c r="BU97" s="16"/>
      <c r="BV97" s="16"/>
      <c r="BW97" s="16"/>
    </row>
    <row r="98" spans="1:75" ht="18" hidden="1" customHeight="1" outlineLevel="1">
      <c r="B98" s="7">
        <v>2021</v>
      </c>
      <c r="C98" s="8" t="s">
        <v>12</v>
      </c>
      <c r="E98" s="8">
        <v>6867</v>
      </c>
      <c r="J98" s="9"/>
      <c r="Q98" s="5">
        <v>2028</v>
      </c>
      <c r="R98" s="5">
        <v>4</v>
      </c>
      <c r="S98" s="14" t="s">
        <v>28</v>
      </c>
      <c r="T98" s="15">
        <f t="shared" si="62"/>
        <v>0</v>
      </c>
      <c r="U98" s="15">
        <f t="shared" si="63"/>
        <v>14369490</v>
      </c>
      <c r="V98" s="16">
        <v>0</v>
      </c>
      <c r="W98" s="16">
        <v>0</v>
      </c>
      <c r="X98" s="16">
        <v>0</v>
      </c>
      <c r="Y98" s="16">
        <v>0</v>
      </c>
      <c r="Z98" s="16">
        <v>0</v>
      </c>
      <c r="AA98" s="16">
        <v>0</v>
      </c>
      <c r="AB98" s="16">
        <v>0</v>
      </c>
      <c r="AC98" s="16">
        <v>0</v>
      </c>
      <c r="AD98" s="16">
        <f>12*(V99+W99)*0.1*1.25</f>
        <v>12869490</v>
      </c>
      <c r="AE98" s="16">
        <v>1500000</v>
      </c>
      <c r="AF98" s="16">
        <v>0</v>
      </c>
      <c r="AG98" s="16">
        <v>0</v>
      </c>
      <c r="AH98" s="16">
        <v>0</v>
      </c>
      <c r="AI98" s="16">
        <v>0</v>
      </c>
      <c r="AJ98" s="16">
        <v>0</v>
      </c>
      <c r="AK98" s="16">
        <v>0</v>
      </c>
      <c r="AL98" s="16">
        <v>0</v>
      </c>
      <c r="AM98" s="16">
        <v>0</v>
      </c>
      <c r="AN98" s="16">
        <v>0</v>
      </c>
      <c r="AO98" s="16">
        <v>0</v>
      </c>
      <c r="AP98" s="16">
        <v>0</v>
      </c>
      <c r="AQ98" s="16">
        <v>0</v>
      </c>
      <c r="AR98" s="16">
        <v>0</v>
      </c>
      <c r="AS98" s="16">
        <v>0</v>
      </c>
      <c r="AT98" s="16">
        <v>0</v>
      </c>
      <c r="AU98" s="16">
        <v>0</v>
      </c>
      <c r="AV98" s="16">
        <v>0</v>
      </c>
      <c r="AW98" s="16">
        <v>0</v>
      </c>
      <c r="AX98" s="16">
        <v>0</v>
      </c>
      <c r="AY98" s="16">
        <v>0</v>
      </c>
      <c r="AZ98" s="16">
        <v>0</v>
      </c>
      <c r="BA98" s="16"/>
      <c r="BB98" s="15">
        <f t="shared" si="65"/>
        <v>0</v>
      </c>
      <c r="BC98" s="15"/>
      <c r="BD98" s="16"/>
      <c r="BE98" s="16"/>
      <c r="BF98" s="16"/>
      <c r="BG98" s="16"/>
      <c r="BH98" s="16"/>
      <c r="BI98" s="16"/>
      <c r="BJ98" s="16"/>
      <c r="BK98" s="16"/>
      <c r="BL98" s="16"/>
      <c r="BM98" s="16"/>
      <c r="BN98" s="16"/>
      <c r="BO98" s="16"/>
      <c r="BP98" s="16"/>
      <c r="BQ98" s="16"/>
      <c r="BR98" s="16"/>
      <c r="BS98" s="16"/>
      <c r="BT98" s="16"/>
      <c r="BU98" s="16"/>
      <c r="BV98" s="16"/>
      <c r="BW98" s="16"/>
    </row>
    <row r="99" spans="1:75" ht="18" hidden="1" customHeight="1" outlineLevel="1">
      <c r="B99" s="7">
        <v>2022</v>
      </c>
      <c r="C99" s="8" t="s">
        <v>12</v>
      </c>
      <c r="E99" s="8">
        <v>6867</v>
      </c>
      <c r="J99" s="9"/>
      <c r="Q99" s="5">
        <v>2028</v>
      </c>
      <c r="R99" s="5">
        <v>3</v>
      </c>
      <c r="S99" s="14" t="s">
        <v>54</v>
      </c>
      <c r="T99" s="15">
        <f t="shared" si="62"/>
        <v>0</v>
      </c>
      <c r="U99" s="15">
        <f t="shared" si="63"/>
        <v>12713612</v>
      </c>
      <c r="V99" s="16">
        <f>6140000+109000</f>
        <v>6249000</v>
      </c>
      <c r="W99" s="16">
        <f>2289660+41000</f>
        <v>2330660</v>
      </c>
      <c r="X99" s="16">
        <v>139952</v>
      </c>
      <c r="Y99" s="16">
        <v>0</v>
      </c>
      <c r="Z99" s="16">
        <v>2473000</v>
      </c>
      <c r="AA99" s="16">
        <v>871000</v>
      </c>
      <c r="AB99" s="16">
        <v>0</v>
      </c>
      <c r="AC99" s="16">
        <v>0</v>
      </c>
      <c r="AD99" s="16">
        <v>0</v>
      </c>
      <c r="AE99" s="16">
        <v>0</v>
      </c>
      <c r="AF99" s="16">
        <v>350000</v>
      </c>
      <c r="AG99" s="16">
        <v>100000</v>
      </c>
      <c r="AH99" s="16">
        <v>100000</v>
      </c>
      <c r="AI99" s="16">
        <v>0</v>
      </c>
      <c r="AJ99" s="16">
        <v>0</v>
      </c>
      <c r="AK99" s="16">
        <v>0</v>
      </c>
      <c r="AL99" s="16">
        <v>0</v>
      </c>
      <c r="AM99" s="16">
        <v>0</v>
      </c>
      <c r="AN99" s="16">
        <v>100000</v>
      </c>
      <c r="AO99" s="16">
        <v>0</v>
      </c>
      <c r="AP99" s="16">
        <v>0</v>
      </c>
      <c r="AQ99" s="16">
        <v>0</v>
      </c>
      <c r="AR99" s="16">
        <v>0</v>
      </c>
      <c r="AS99" s="16">
        <v>0</v>
      </c>
      <c r="AT99" s="16">
        <v>0</v>
      </c>
      <c r="AU99" s="16">
        <v>0</v>
      </c>
      <c r="AV99" s="16">
        <v>0</v>
      </c>
      <c r="AW99" s="16">
        <v>0</v>
      </c>
      <c r="AX99" s="16">
        <v>0</v>
      </c>
      <c r="AY99" s="16">
        <v>0</v>
      </c>
      <c r="AZ99" s="16">
        <v>0</v>
      </c>
      <c r="BA99" s="16"/>
      <c r="BB99" s="15">
        <f t="shared" si="65"/>
        <v>0</v>
      </c>
      <c r="BC99" s="15"/>
      <c r="BD99" s="16"/>
      <c r="BE99" s="16"/>
      <c r="BF99" s="16"/>
      <c r="BG99" s="16"/>
      <c r="BH99" s="16"/>
      <c r="BI99" s="16"/>
      <c r="BJ99" s="16"/>
      <c r="BK99" s="16"/>
      <c r="BL99" s="16"/>
      <c r="BM99" s="16"/>
      <c r="BN99" s="16"/>
      <c r="BO99" s="16"/>
      <c r="BP99" s="16"/>
      <c r="BQ99" s="16"/>
      <c r="BR99" s="16"/>
      <c r="BS99" s="16"/>
      <c r="BT99" s="16"/>
      <c r="BU99" s="16"/>
      <c r="BV99" s="16"/>
      <c r="BW99" s="16"/>
    </row>
    <row r="100" spans="1:75" ht="18" hidden="1" customHeight="1" outlineLevel="1">
      <c r="B100" s="7">
        <v>2023</v>
      </c>
      <c r="C100" s="8" t="s">
        <v>12</v>
      </c>
      <c r="E100" s="8">
        <v>6867</v>
      </c>
      <c r="J100" s="9"/>
      <c r="Q100" s="5">
        <v>2028</v>
      </c>
      <c r="R100" s="5">
        <v>2</v>
      </c>
      <c r="S100" s="14" t="s">
        <v>54</v>
      </c>
      <c r="T100" s="15">
        <f t="shared" si="62"/>
        <v>0</v>
      </c>
      <c r="U100" s="15">
        <f t="shared" si="63"/>
        <v>12713612</v>
      </c>
      <c r="V100" s="16">
        <f t="shared" ref="V100:V101" si="69">6140000+109000</f>
        <v>6249000</v>
      </c>
      <c r="W100" s="16">
        <f t="shared" ref="W100:W101" si="70">2289660+41000</f>
        <v>2330660</v>
      </c>
      <c r="X100" s="16">
        <v>139952</v>
      </c>
      <c r="Y100" s="16">
        <v>0</v>
      </c>
      <c r="Z100" s="16">
        <v>2473000</v>
      </c>
      <c r="AA100" s="16">
        <v>871000</v>
      </c>
      <c r="AB100" s="16">
        <v>0</v>
      </c>
      <c r="AC100" s="16">
        <v>0</v>
      </c>
      <c r="AD100" s="16">
        <v>0</v>
      </c>
      <c r="AE100" s="16">
        <v>0</v>
      </c>
      <c r="AF100" s="16">
        <v>350000</v>
      </c>
      <c r="AG100" s="16">
        <v>100000</v>
      </c>
      <c r="AH100" s="16">
        <v>100000</v>
      </c>
      <c r="AI100" s="16">
        <v>0</v>
      </c>
      <c r="AJ100" s="16">
        <v>0</v>
      </c>
      <c r="AK100" s="16">
        <v>0</v>
      </c>
      <c r="AL100" s="16">
        <v>0</v>
      </c>
      <c r="AM100" s="16">
        <v>0</v>
      </c>
      <c r="AN100" s="16">
        <v>100000</v>
      </c>
      <c r="AO100" s="16">
        <v>0</v>
      </c>
      <c r="AP100" s="16">
        <v>0</v>
      </c>
      <c r="AQ100" s="16">
        <v>0</v>
      </c>
      <c r="AR100" s="16">
        <v>0</v>
      </c>
      <c r="AS100" s="16">
        <v>0</v>
      </c>
      <c r="AT100" s="16">
        <v>0</v>
      </c>
      <c r="AU100" s="16">
        <v>0</v>
      </c>
      <c r="AV100" s="16">
        <v>0</v>
      </c>
      <c r="AW100" s="16">
        <v>0</v>
      </c>
      <c r="AX100" s="16">
        <v>0</v>
      </c>
      <c r="AY100" s="16">
        <v>0</v>
      </c>
      <c r="AZ100" s="16">
        <v>0</v>
      </c>
      <c r="BA100" s="16"/>
      <c r="BB100" s="15">
        <f t="shared" si="65"/>
        <v>0</v>
      </c>
      <c r="BC100" s="15"/>
      <c r="BD100" s="16"/>
      <c r="BE100" s="16"/>
      <c r="BF100" s="16"/>
      <c r="BG100" s="16"/>
      <c r="BH100" s="16"/>
      <c r="BI100" s="16"/>
      <c r="BJ100" s="16"/>
      <c r="BK100" s="16"/>
      <c r="BL100" s="16"/>
      <c r="BM100" s="16"/>
      <c r="BN100" s="16"/>
      <c r="BO100" s="16"/>
      <c r="BP100" s="16"/>
      <c r="BQ100" s="16"/>
      <c r="BR100" s="16"/>
      <c r="BS100" s="16"/>
      <c r="BT100" s="16"/>
      <c r="BU100" s="16"/>
      <c r="BV100" s="16"/>
      <c r="BW100" s="16"/>
    </row>
    <row r="101" spans="1:75" ht="18" hidden="1" customHeight="1" outlineLevel="1">
      <c r="B101" s="7">
        <v>2024</v>
      </c>
      <c r="C101" s="8" t="s">
        <v>12</v>
      </c>
      <c r="E101" s="8">
        <v>6867</v>
      </c>
      <c r="J101" s="9"/>
      <c r="Q101" s="5">
        <v>2028</v>
      </c>
      <c r="R101" s="5">
        <v>1</v>
      </c>
      <c r="S101" s="14" t="s">
        <v>54</v>
      </c>
      <c r="T101" s="15">
        <f t="shared" si="62"/>
        <v>0</v>
      </c>
      <c r="U101" s="15">
        <f t="shared" si="63"/>
        <v>12713612</v>
      </c>
      <c r="V101" s="16">
        <f t="shared" si="69"/>
        <v>6249000</v>
      </c>
      <c r="W101" s="16">
        <f t="shared" si="70"/>
        <v>2330660</v>
      </c>
      <c r="X101" s="16">
        <v>139952</v>
      </c>
      <c r="Y101" s="16">
        <v>0</v>
      </c>
      <c r="Z101" s="16">
        <v>2473000</v>
      </c>
      <c r="AA101" s="16">
        <v>871000</v>
      </c>
      <c r="AB101" s="16">
        <v>0</v>
      </c>
      <c r="AC101" s="16">
        <v>0</v>
      </c>
      <c r="AD101" s="16">
        <v>0</v>
      </c>
      <c r="AE101" s="16">
        <v>0</v>
      </c>
      <c r="AF101" s="16">
        <v>350000</v>
      </c>
      <c r="AG101" s="16">
        <v>100000</v>
      </c>
      <c r="AH101" s="16">
        <v>100000</v>
      </c>
      <c r="AI101" s="16">
        <v>0</v>
      </c>
      <c r="AJ101" s="16">
        <v>0</v>
      </c>
      <c r="AK101" s="16">
        <v>0</v>
      </c>
      <c r="AL101" s="16">
        <v>0</v>
      </c>
      <c r="AM101" s="16">
        <v>0</v>
      </c>
      <c r="AN101" s="16">
        <v>100000</v>
      </c>
      <c r="AO101" s="16">
        <v>0</v>
      </c>
      <c r="AP101" s="16">
        <v>0</v>
      </c>
      <c r="AQ101" s="16">
        <v>0</v>
      </c>
      <c r="AR101" s="16">
        <v>0</v>
      </c>
      <c r="AS101" s="16">
        <v>0</v>
      </c>
      <c r="AT101" s="16">
        <v>0</v>
      </c>
      <c r="AU101" s="16">
        <v>0</v>
      </c>
      <c r="AV101" s="16">
        <v>0</v>
      </c>
      <c r="AW101" s="16">
        <v>0</v>
      </c>
      <c r="AX101" s="16">
        <v>0</v>
      </c>
      <c r="AY101" s="16">
        <v>0</v>
      </c>
      <c r="AZ101" s="16">
        <v>0</v>
      </c>
      <c r="BA101" s="16"/>
      <c r="BB101" s="15">
        <f t="shared" si="65"/>
        <v>0</v>
      </c>
      <c r="BC101" s="15"/>
      <c r="BD101" s="16"/>
      <c r="BE101" s="16"/>
      <c r="BF101" s="16"/>
      <c r="BG101" s="16"/>
      <c r="BH101" s="16"/>
      <c r="BI101" s="16"/>
      <c r="BJ101" s="16"/>
      <c r="BK101" s="16"/>
      <c r="BL101" s="16"/>
      <c r="BM101" s="16"/>
      <c r="BN101" s="16"/>
      <c r="BO101" s="16"/>
      <c r="BP101" s="16"/>
      <c r="BQ101" s="16"/>
      <c r="BR101" s="16"/>
      <c r="BS101" s="16"/>
      <c r="BT101" s="16"/>
      <c r="BU101" s="16"/>
      <c r="BV101" s="16"/>
      <c r="BW101" s="16"/>
    </row>
    <row r="102" spans="1:75" s="1" customFormat="1" ht="18" customHeight="1" collapsed="1">
      <c r="A102" s="10"/>
      <c r="B102" s="11"/>
      <c r="C102" s="12"/>
      <c r="D102" s="11"/>
      <c r="E102" s="12"/>
      <c r="F102" s="12"/>
      <c r="G102" s="12"/>
      <c r="H102" s="12"/>
      <c r="I102" s="12"/>
      <c r="J102" s="3"/>
      <c r="K102" s="12"/>
      <c r="L102" s="12"/>
      <c r="M102" s="12"/>
      <c r="N102" s="12"/>
      <c r="O102" s="13"/>
      <c r="Q102" s="628" t="s">
        <v>1635</v>
      </c>
      <c r="R102" s="628"/>
      <c r="S102" s="628"/>
      <c r="T102" s="23">
        <f t="shared" ref="T102:AZ102" si="71">SUMIF($Q$2:$Q$793,$Q103,T$2:T$793)</f>
        <v>0</v>
      </c>
      <c r="U102" s="23">
        <f t="shared" si="71"/>
        <v>145965344</v>
      </c>
      <c r="V102" s="23">
        <f t="shared" si="71"/>
        <v>73311000</v>
      </c>
      <c r="W102" s="23">
        <f t="shared" si="71"/>
        <v>27346710</v>
      </c>
      <c r="X102" s="23">
        <f t="shared" si="71"/>
        <v>2575116</v>
      </c>
      <c r="Y102" s="23">
        <f t="shared" si="71"/>
        <v>0</v>
      </c>
      <c r="Z102" s="23">
        <f t="shared" si="71"/>
        <v>14592000</v>
      </c>
      <c r="AA102" s="23">
        <f t="shared" si="71"/>
        <v>5226000</v>
      </c>
      <c r="AB102" s="23">
        <f t="shared" si="71"/>
        <v>0</v>
      </c>
      <c r="AC102" s="23">
        <f t="shared" si="71"/>
        <v>498210</v>
      </c>
      <c r="AD102" s="23">
        <f t="shared" si="71"/>
        <v>9916308</v>
      </c>
      <c r="AE102" s="23">
        <f t="shared" si="71"/>
        <v>1500000</v>
      </c>
      <c r="AF102" s="23">
        <f t="shared" si="71"/>
        <v>4200000</v>
      </c>
      <c r="AG102" s="23">
        <f t="shared" si="71"/>
        <v>1200000</v>
      </c>
      <c r="AH102" s="23">
        <f t="shared" si="71"/>
        <v>1200000</v>
      </c>
      <c r="AI102" s="23">
        <f t="shared" si="71"/>
        <v>1500000</v>
      </c>
      <c r="AJ102" s="23">
        <f t="shared" si="71"/>
        <v>500000</v>
      </c>
      <c r="AK102" s="23">
        <f t="shared" si="71"/>
        <v>300000</v>
      </c>
      <c r="AL102" s="23">
        <f t="shared" si="71"/>
        <v>0</v>
      </c>
      <c r="AM102" s="23">
        <f t="shared" si="71"/>
        <v>900000</v>
      </c>
      <c r="AN102" s="23">
        <f t="shared" si="71"/>
        <v>1200000</v>
      </c>
      <c r="AO102" s="23">
        <f t="shared" si="71"/>
        <v>0</v>
      </c>
      <c r="AP102" s="23">
        <f t="shared" si="71"/>
        <v>0</v>
      </c>
      <c r="AQ102" s="23">
        <f t="shared" si="71"/>
        <v>0</v>
      </c>
      <c r="AR102" s="23">
        <f t="shared" si="71"/>
        <v>0</v>
      </c>
      <c r="AS102" s="23">
        <f t="shared" si="71"/>
        <v>0</v>
      </c>
      <c r="AT102" s="23">
        <f t="shared" si="71"/>
        <v>0</v>
      </c>
      <c r="AU102" s="23">
        <f t="shared" si="71"/>
        <v>0</v>
      </c>
      <c r="AV102" s="23">
        <f t="shared" si="71"/>
        <v>0</v>
      </c>
      <c r="AW102" s="23">
        <f t="shared" si="71"/>
        <v>0</v>
      </c>
      <c r="AX102" s="23">
        <f t="shared" si="71"/>
        <v>0</v>
      </c>
      <c r="AY102" s="23">
        <f t="shared" si="71"/>
        <v>0</v>
      </c>
      <c r="AZ102" s="23">
        <f t="shared" si="71"/>
        <v>0</v>
      </c>
      <c r="BA102" s="23"/>
      <c r="BB102" s="23">
        <f t="shared" ref="BB102:BW102" si="72">SUMIF($Q$2:$Q$793,$Q103,BB$2:BB$793)</f>
        <v>0</v>
      </c>
      <c r="BC102" s="23">
        <f t="shared" si="72"/>
        <v>0</v>
      </c>
      <c r="BD102" s="23">
        <f t="shared" si="72"/>
        <v>0</v>
      </c>
      <c r="BE102" s="23">
        <f t="shared" si="72"/>
        <v>0</v>
      </c>
      <c r="BF102" s="23">
        <f t="shared" si="72"/>
        <v>0</v>
      </c>
      <c r="BG102" s="23">
        <f t="shared" si="72"/>
        <v>0</v>
      </c>
      <c r="BH102" s="23">
        <f t="shared" si="72"/>
        <v>0</v>
      </c>
      <c r="BI102" s="23">
        <f t="shared" si="72"/>
        <v>0</v>
      </c>
      <c r="BJ102" s="23">
        <f t="shared" si="72"/>
        <v>0</v>
      </c>
      <c r="BK102" s="23">
        <f t="shared" si="72"/>
        <v>0</v>
      </c>
      <c r="BL102" s="23">
        <f t="shared" si="72"/>
        <v>0</v>
      </c>
      <c r="BM102" s="23">
        <f t="shared" si="72"/>
        <v>0</v>
      </c>
      <c r="BN102" s="23">
        <f t="shared" si="72"/>
        <v>0</v>
      </c>
      <c r="BO102" s="23">
        <f t="shared" si="72"/>
        <v>0</v>
      </c>
      <c r="BP102" s="23">
        <f t="shared" si="72"/>
        <v>0</v>
      </c>
      <c r="BQ102" s="23">
        <f t="shared" si="72"/>
        <v>0</v>
      </c>
      <c r="BR102" s="23">
        <f t="shared" si="72"/>
        <v>0</v>
      </c>
      <c r="BS102" s="23">
        <f t="shared" si="72"/>
        <v>0</v>
      </c>
      <c r="BT102" s="23">
        <f t="shared" si="72"/>
        <v>0</v>
      </c>
      <c r="BU102" s="23">
        <f t="shared" si="72"/>
        <v>0</v>
      </c>
      <c r="BV102" s="23">
        <f t="shared" si="72"/>
        <v>0</v>
      </c>
      <c r="BW102" s="23">
        <f t="shared" si="72"/>
        <v>0</v>
      </c>
    </row>
    <row r="103" spans="1:75" ht="18" customHeight="1" outlineLevel="1">
      <c r="D103" s="7" t="s">
        <v>11</v>
      </c>
      <c r="F103" s="8">
        <v>4717</v>
      </c>
      <c r="G103" s="8">
        <v>5848</v>
      </c>
      <c r="K103" s="8">
        <v>2400</v>
      </c>
      <c r="L103" s="8">
        <f>K103*12</f>
        <v>28800</v>
      </c>
      <c r="M103" s="8">
        <f>L103*1.13</f>
        <v>32543.999999999996</v>
      </c>
      <c r="N103" s="8">
        <v>21014</v>
      </c>
      <c r="O103" s="9">
        <f>N103/M103</f>
        <v>0.64571042281219282</v>
      </c>
      <c r="Q103" s="5">
        <v>2027</v>
      </c>
      <c r="R103" s="5">
        <v>12</v>
      </c>
      <c r="S103" s="14" t="s">
        <v>54</v>
      </c>
      <c r="T103" s="15">
        <f t="shared" ref="T103:T115" si="73">IF(U103=U103-BB103,0,U103-BB103)</f>
        <v>0</v>
      </c>
      <c r="U103" s="15">
        <f t="shared" ref="U103:U115" si="74">SUM(V103:BA103)</f>
        <v>12572612</v>
      </c>
      <c r="V103" s="16">
        <v>6140000</v>
      </c>
      <c r="W103" s="16">
        <v>2289660</v>
      </c>
      <c r="X103" s="16">
        <v>139952</v>
      </c>
      <c r="Y103" s="16">
        <v>0</v>
      </c>
      <c r="Z103" s="16">
        <v>2432000</v>
      </c>
      <c r="AA103" s="16">
        <v>871000</v>
      </c>
      <c r="AB103" s="16">
        <v>0</v>
      </c>
      <c r="AC103" s="16">
        <v>0</v>
      </c>
      <c r="AD103" s="16">
        <v>0</v>
      </c>
      <c r="AE103" s="16">
        <v>0</v>
      </c>
      <c r="AF103" s="16">
        <v>350000</v>
      </c>
      <c r="AG103" s="16">
        <v>100000</v>
      </c>
      <c r="AH103" s="16">
        <v>100000</v>
      </c>
      <c r="AI103" s="16">
        <v>0</v>
      </c>
      <c r="AJ103" s="16">
        <v>50000</v>
      </c>
      <c r="AK103" s="16">
        <v>0</v>
      </c>
      <c r="AL103" s="16">
        <v>0</v>
      </c>
      <c r="AM103" s="16">
        <v>0</v>
      </c>
      <c r="AN103" s="16">
        <v>100000</v>
      </c>
      <c r="AO103" s="16">
        <v>0</v>
      </c>
      <c r="AP103" s="16">
        <v>0</v>
      </c>
      <c r="AQ103" s="16">
        <v>0</v>
      </c>
      <c r="AR103" s="16">
        <v>0</v>
      </c>
      <c r="AS103" s="16">
        <v>0</v>
      </c>
      <c r="AT103" s="16">
        <v>0</v>
      </c>
      <c r="AU103" s="16">
        <v>0</v>
      </c>
      <c r="AV103" s="16">
        <v>0</v>
      </c>
      <c r="AW103" s="16">
        <v>0</v>
      </c>
      <c r="AX103" s="16">
        <v>0</v>
      </c>
      <c r="AY103" s="16">
        <v>0</v>
      </c>
      <c r="AZ103" s="16">
        <v>0</v>
      </c>
      <c r="BA103" s="16"/>
      <c r="BB103" s="15">
        <f t="shared" ref="BB103:BB115" si="75">SUM(BC103:BW103)</f>
        <v>0</v>
      </c>
      <c r="BC103" s="15"/>
      <c r="BD103" s="16"/>
      <c r="BE103" s="16"/>
      <c r="BF103" s="16"/>
      <c r="BG103" s="16"/>
      <c r="BH103" s="16"/>
      <c r="BI103" s="16"/>
      <c r="BJ103" s="16"/>
      <c r="BK103" s="16"/>
      <c r="BL103" s="16"/>
      <c r="BM103" s="16"/>
      <c r="BN103" s="16"/>
      <c r="BO103" s="16"/>
      <c r="BP103" s="16"/>
      <c r="BQ103" s="16"/>
      <c r="BR103" s="16"/>
      <c r="BS103" s="16"/>
      <c r="BT103" s="16"/>
      <c r="BU103" s="16"/>
      <c r="BV103" s="16"/>
      <c r="BW103" s="16"/>
    </row>
    <row r="104" spans="1:75" ht="18" customHeight="1" outlineLevel="1">
      <c r="D104" s="7" t="s">
        <v>11</v>
      </c>
      <c r="F104" s="8">
        <v>4717</v>
      </c>
      <c r="G104" s="8">
        <v>5848</v>
      </c>
      <c r="K104" s="8">
        <v>2400</v>
      </c>
      <c r="L104" s="8">
        <f>K104*12</f>
        <v>28800</v>
      </c>
      <c r="M104" s="8">
        <f>L104*1.13</f>
        <v>32543.999999999996</v>
      </c>
      <c r="N104" s="8">
        <v>21014</v>
      </c>
      <c r="O104" s="9">
        <f>N104/M104</f>
        <v>0.64571042281219282</v>
      </c>
      <c r="Q104" s="5">
        <v>2027</v>
      </c>
      <c r="R104" s="5">
        <v>11</v>
      </c>
      <c r="S104" s="14" t="s">
        <v>54</v>
      </c>
      <c r="T104" s="15">
        <f t="shared" si="73"/>
        <v>0</v>
      </c>
      <c r="U104" s="15">
        <f t="shared" si="74"/>
        <v>12522612</v>
      </c>
      <c r="V104" s="16">
        <v>6140000</v>
      </c>
      <c r="W104" s="16">
        <v>2289660</v>
      </c>
      <c r="X104" s="16">
        <v>139952</v>
      </c>
      <c r="Y104" s="16">
        <v>0</v>
      </c>
      <c r="Z104" s="16">
        <v>2432000</v>
      </c>
      <c r="AA104" s="16">
        <v>871000</v>
      </c>
      <c r="AB104" s="16">
        <v>0</v>
      </c>
      <c r="AC104" s="16">
        <v>0</v>
      </c>
      <c r="AD104" s="16">
        <v>0</v>
      </c>
      <c r="AE104" s="16">
        <v>0</v>
      </c>
      <c r="AF104" s="16">
        <v>350000</v>
      </c>
      <c r="AG104" s="16">
        <v>100000</v>
      </c>
      <c r="AH104" s="16">
        <v>100000</v>
      </c>
      <c r="AI104" s="16">
        <v>0</v>
      </c>
      <c r="AJ104" s="16">
        <v>0</v>
      </c>
      <c r="AK104" s="16">
        <v>0</v>
      </c>
      <c r="AL104" s="16">
        <v>0</v>
      </c>
      <c r="AM104" s="16">
        <v>0</v>
      </c>
      <c r="AN104" s="16">
        <v>100000</v>
      </c>
      <c r="AO104" s="16">
        <v>0</v>
      </c>
      <c r="AP104" s="16">
        <v>0</v>
      </c>
      <c r="AQ104" s="16">
        <v>0</v>
      </c>
      <c r="AR104" s="16">
        <v>0</v>
      </c>
      <c r="AS104" s="16">
        <v>0</v>
      </c>
      <c r="AT104" s="16">
        <v>0</v>
      </c>
      <c r="AU104" s="16">
        <v>0</v>
      </c>
      <c r="AV104" s="16">
        <v>0</v>
      </c>
      <c r="AW104" s="16">
        <v>0</v>
      </c>
      <c r="AX104" s="16">
        <v>0</v>
      </c>
      <c r="AY104" s="16">
        <v>0</v>
      </c>
      <c r="AZ104" s="16">
        <v>0</v>
      </c>
      <c r="BA104" s="16"/>
      <c r="BB104" s="15">
        <f t="shared" si="75"/>
        <v>0</v>
      </c>
      <c r="BC104" s="15"/>
      <c r="BD104" s="16"/>
      <c r="BE104" s="16"/>
      <c r="BF104" s="16"/>
      <c r="BG104" s="16"/>
      <c r="BH104" s="16"/>
      <c r="BI104" s="16"/>
      <c r="BJ104" s="16"/>
      <c r="BK104" s="16"/>
      <c r="BL104" s="16"/>
      <c r="BM104" s="16"/>
      <c r="BN104" s="16"/>
      <c r="BO104" s="16"/>
      <c r="BP104" s="16"/>
      <c r="BQ104" s="16"/>
      <c r="BR104" s="16"/>
      <c r="BS104" s="16"/>
      <c r="BT104" s="16"/>
      <c r="BU104" s="16"/>
      <c r="BV104" s="16"/>
      <c r="BW104" s="16"/>
    </row>
    <row r="105" spans="1:75" ht="18" customHeight="1" outlineLevel="1">
      <c r="D105" s="7" t="s">
        <v>11</v>
      </c>
      <c r="F105" s="8">
        <v>4717</v>
      </c>
      <c r="G105" s="8">
        <v>5848</v>
      </c>
      <c r="K105" s="8">
        <v>2400</v>
      </c>
      <c r="L105" s="8">
        <f t="shared" ref="L105:L108" si="76">K105*12</f>
        <v>28800</v>
      </c>
      <c r="M105" s="8">
        <f t="shared" ref="M105:M108" si="77">L105*1.13</f>
        <v>32543.999999999996</v>
      </c>
      <c r="N105" s="8">
        <v>21014</v>
      </c>
      <c r="O105" s="9">
        <f t="shared" ref="O105:O108" si="78">N105/M105</f>
        <v>0.64571042281219282</v>
      </c>
      <c r="Q105" s="5">
        <v>2027</v>
      </c>
      <c r="R105" s="5">
        <v>10</v>
      </c>
      <c r="S105" s="14" t="s">
        <v>54</v>
      </c>
      <c r="T105" s="15">
        <f t="shared" si="73"/>
        <v>0</v>
      </c>
      <c r="U105" s="15">
        <f t="shared" si="74"/>
        <v>12572612</v>
      </c>
      <c r="V105" s="16">
        <v>6140000</v>
      </c>
      <c r="W105" s="16">
        <v>2289660</v>
      </c>
      <c r="X105" s="16">
        <v>139952</v>
      </c>
      <c r="Y105" s="16">
        <v>0</v>
      </c>
      <c r="Z105" s="16">
        <v>2432000</v>
      </c>
      <c r="AA105" s="16">
        <v>871000</v>
      </c>
      <c r="AB105" s="16">
        <v>0</v>
      </c>
      <c r="AC105" s="16">
        <v>0</v>
      </c>
      <c r="AD105" s="16">
        <v>0</v>
      </c>
      <c r="AE105" s="16">
        <v>0</v>
      </c>
      <c r="AF105" s="16">
        <v>350000</v>
      </c>
      <c r="AG105" s="16">
        <v>100000</v>
      </c>
      <c r="AH105" s="16">
        <v>100000</v>
      </c>
      <c r="AI105" s="16">
        <v>0</v>
      </c>
      <c r="AJ105" s="16">
        <v>50000</v>
      </c>
      <c r="AK105" s="16">
        <v>0</v>
      </c>
      <c r="AL105" s="16">
        <v>0</v>
      </c>
      <c r="AM105" s="16">
        <v>0</v>
      </c>
      <c r="AN105" s="16">
        <v>100000</v>
      </c>
      <c r="AO105" s="16">
        <v>0</v>
      </c>
      <c r="AP105" s="16">
        <v>0</v>
      </c>
      <c r="AQ105" s="16">
        <v>0</v>
      </c>
      <c r="AR105" s="16">
        <v>0</v>
      </c>
      <c r="AS105" s="16">
        <v>0</v>
      </c>
      <c r="AT105" s="16">
        <v>0</v>
      </c>
      <c r="AU105" s="16">
        <v>0</v>
      </c>
      <c r="AV105" s="16">
        <v>0</v>
      </c>
      <c r="AW105" s="16">
        <v>0</v>
      </c>
      <c r="AX105" s="16">
        <v>0</v>
      </c>
      <c r="AY105" s="16">
        <v>0</v>
      </c>
      <c r="AZ105" s="16">
        <v>0</v>
      </c>
      <c r="BA105" s="16"/>
      <c r="BB105" s="15">
        <f t="shared" si="75"/>
        <v>0</v>
      </c>
      <c r="BC105" s="15"/>
      <c r="BD105" s="16"/>
      <c r="BE105" s="16"/>
      <c r="BF105" s="16"/>
      <c r="BG105" s="16"/>
      <c r="BH105" s="16"/>
      <c r="BI105" s="16"/>
      <c r="BJ105" s="16"/>
      <c r="BK105" s="16"/>
      <c r="BL105" s="16"/>
      <c r="BM105" s="16"/>
      <c r="BN105" s="16"/>
      <c r="BO105" s="16"/>
      <c r="BP105" s="16"/>
      <c r="BQ105" s="16"/>
      <c r="BR105" s="16"/>
      <c r="BS105" s="16"/>
      <c r="BT105" s="16"/>
      <c r="BU105" s="16"/>
      <c r="BV105" s="16"/>
      <c r="BW105" s="16"/>
    </row>
    <row r="106" spans="1:75" ht="18" customHeight="1" outlineLevel="1">
      <c r="D106" s="7" t="s">
        <v>12</v>
      </c>
      <c r="F106" s="8">
        <v>6867</v>
      </c>
      <c r="G106" s="8">
        <v>6867</v>
      </c>
      <c r="K106" s="8">
        <v>2400</v>
      </c>
      <c r="L106" s="8">
        <f t="shared" si="76"/>
        <v>28800</v>
      </c>
      <c r="M106" s="8">
        <f t="shared" si="77"/>
        <v>32543.999999999996</v>
      </c>
      <c r="N106" s="8">
        <v>21014</v>
      </c>
      <c r="O106" s="9">
        <f t="shared" si="78"/>
        <v>0.64571042281219282</v>
      </c>
      <c r="Q106" s="5">
        <v>2027</v>
      </c>
      <c r="R106" s="5">
        <v>9</v>
      </c>
      <c r="S106" s="14" t="s">
        <v>54</v>
      </c>
      <c r="T106" s="15">
        <f t="shared" si="73"/>
        <v>0</v>
      </c>
      <c r="U106" s="15">
        <f t="shared" si="74"/>
        <v>12722612</v>
      </c>
      <c r="V106" s="16">
        <v>6140000</v>
      </c>
      <c r="W106" s="16">
        <v>2289660</v>
      </c>
      <c r="X106" s="16">
        <v>139952</v>
      </c>
      <c r="Y106" s="16">
        <v>0</v>
      </c>
      <c r="Z106" s="16">
        <v>2432000</v>
      </c>
      <c r="AA106" s="16">
        <v>871000</v>
      </c>
      <c r="AB106" s="16">
        <v>0</v>
      </c>
      <c r="AC106" s="16">
        <v>0</v>
      </c>
      <c r="AD106" s="16">
        <v>0</v>
      </c>
      <c r="AE106" s="16">
        <v>0</v>
      </c>
      <c r="AF106" s="16">
        <v>350000</v>
      </c>
      <c r="AG106" s="16">
        <v>100000</v>
      </c>
      <c r="AH106" s="16">
        <v>100000</v>
      </c>
      <c r="AI106" s="16">
        <v>0</v>
      </c>
      <c r="AJ106" s="16">
        <v>200000</v>
      </c>
      <c r="AK106" s="16">
        <v>0</v>
      </c>
      <c r="AL106" s="16">
        <v>0</v>
      </c>
      <c r="AM106" s="16">
        <v>0</v>
      </c>
      <c r="AN106" s="16">
        <v>100000</v>
      </c>
      <c r="AO106" s="16">
        <v>0</v>
      </c>
      <c r="AP106" s="16">
        <v>0</v>
      </c>
      <c r="AQ106" s="16">
        <v>0</v>
      </c>
      <c r="AR106" s="16">
        <v>0</v>
      </c>
      <c r="AS106" s="16">
        <v>0</v>
      </c>
      <c r="AT106" s="16">
        <v>0</v>
      </c>
      <c r="AU106" s="16">
        <v>0</v>
      </c>
      <c r="AV106" s="16">
        <v>0</v>
      </c>
      <c r="AW106" s="16">
        <v>0</v>
      </c>
      <c r="AX106" s="16">
        <v>0</v>
      </c>
      <c r="AY106" s="16">
        <v>0</v>
      </c>
      <c r="AZ106" s="16">
        <v>0</v>
      </c>
      <c r="BA106" s="16"/>
      <c r="BB106" s="15">
        <f t="shared" si="75"/>
        <v>0</v>
      </c>
      <c r="BC106" s="15"/>
      <c r="BD106" s="16"/>
      <c r="BE106" s="16"/>
      <c r="BF106" s="16"/>
      <c r="BG106" s="16"/>
      <c r="BH106" s="16"/>
      <c r="BI106" s="16"/>
      <c r="BJ106" s="16"/>
      <c r="BK106" s="16"/>
      <c r="BL106" s="16"/>
      <c r="BM106" s="16"/>
      <c r="BN106" s="16"/>
      <c r="BO106" s="16"/>
      <c r="BP106" s="16"/>
      <c r="BQ106" s="16"/>
      <c r="BR106" s="16"/>
      <c r="BS106" s="16"/>
      <c r="BT106" s="16"/>
      <c r="BU106" s="16"/>
      <c r="BV106" s="16"/>
      <c r="BW106" s="16"/>
    </row>
    <row r="107" spans="1:75" ht="18" customHeight="1" outlineLevel="1">
      <c r="D107" s="7" t="s">
        <v>13</v>
      </c>
      <c r="F107" s="8">
        <v>7988</v>
      </c>
      <c r="G107" s="8" t="s">
        <v>2</v>
      </c>
      <c r="H107" s="8" t="s">
        <v>17</v>
      </c>
      <c r="I107" s="8">
        <v>171</v>
      </c>
      <c r="K107" s="8">
        <v>2400</v>
      </c>
      <c r="L107" s="8">
        <f t="shared" si="76"/>
        <v>28800</v>
      </c>
      <c r="M107" s="8">
        <f t="shared" si="77"/>
        <v>32543.999999999996</v>
      </c>
      <c r="N107" s="8">
        <v>21014</v>
      </c>
      <c r="O107" s="9">
        <f t="shared" si="78"/>
        <v>0.64571042281219282</v>
      </c>
      <c r="Q107" s="5">
        <v>2027</v>
      </c>
      <c r="R107" s="5">
        <v>8</v>
      </c>
      <c r="S107" s="14" t="s">
        <v>54</v>
      </c>
      <c r="T107" s="15">
        <f t="shared" si="73"/>
        <v>0</v>
      </c>
      <c r="U107" s="15">
        <f t="shared" si="74"/>
        <v>12522612</v>
      </c>
      <c r="V107" s="16">
        <v>6140000</v>
      </c>
      <c r="W107" s="16">
        <v>2289660</v>
      </c>
      <c r="X107" s="16">
        <v>139952</v>
      </c>
      <c r="Y107" s="16">
        <v>0</v>
      </c>
      <c r="Z107" s="16">
        <v>2432000</v>
      </c>
      <c r="AA107" s="16">
        <v>871000</v>
      </c>
      <c r="AB107" s="16">
        <v>0</v>
      </c>
      <c r="AC107" s="16">
        <v>0</v>
      </c>
      <c r="AD107" s="16">
        <v>0</v>
      </c>
      <c r="AE107" s="16">
        <v>0</v>
      </c>
      <c r="AF107" s="16">
        <v>350000</v>
      </c>
      <c r="AG107" s="16">
        <v>100000</v>
      </c>
      <c r="AH107" s="16">
        <v>100000</v>
      </c>
      <c r="AI107" s="16">
        <v>0</v>
      </c>
      <c r="AJ107" s="16">
        <v>0</v>
      </c>
      <c r="AK107" s="16">
        <v>0</v>
      </c>
      <c r="AL107" s="16">
        <v>0</v>
      </c>
      <c r="AM107" s="16">
        <v>0</v>
      </c>
      <c r="AN107" s="16">
        <v>100000</v>
      </c>
      <c r="AO107" s="16">
        <v>0</v>
      </c>
      <c r="AP107" s="16">
        <v>0</v>
      </c>
      <c r="AQ107" s="16">
        <v>0</v>
      </c>
      <c r="AR107" s="16">
        <v>0</v>
      </c>
      <c r="AS107" s="16">
        <v>0</v>
      </c>
      <c r="AT107" s="16">
        <v>0</v>
      </c>
      <c r="AU107" s="16">
        <v>0</v>
      </c>
      <c r="AV107" s="16">
        <v>0</v>
      </c>
      <c r="AW107" s="16">
        <v>0</v>
      </c>
      <c r="AX107" s="16">
        <v>0</v>
      </c>
      <c r="AY107" s="16">
        <v>0</v>
      </c>
      <c r="AZ107" s="16">
        <v>0</v>
      </c>
      <c r="BA107" s="16"/>
      <c r="BB107" s="15">
        <f t="shared" si="75"/>
        <v>0</v>
      </c>
      <c r="BC107" s="15"/>
      <c r="BD107" s="16"/>
      <c r="BE107" s="16"/>
      <c r="BF107" s="16"/>
      <c r="BG107" s="16"/>
      <c r="BH107" s="16"/>
      <c r="BI107" s="16"/>
      <c r="BJ107" s="16"/>
      <c r="BK107" s="16"/>
      <c r="BL107" s="16"/>
      <c r="BM107" s="16"/>
      <c r="BN107" s="16"/>
      <c r="BO107" s="16"/>
      <c r="BP107" s="16"/>
      <c r="BQ107" s="16"/>
      <c r="BR107" s="16"/>
      <c r="BS107" s="16"/>
      <c r="BT107" s="16"/>
      <c r="BU107" s="16"/>
      <c r="BV107" s="16"/>
      <c r="BW107" s="16"/>
    </row>
    <row r="108" spans="1:75" ht="18" customHeight="1" outlineLevel="1">
      <c r="D108" s="7" t="s">
        <v>13</v>
      </c>
      <c r="F108" s="8">
        <v>7988</v>
      </c>
      <c r="G108" s="8" t="s">
        <v>2</v>
      </c>
      <c r="H108" s="8" t="s">
        <v>17</v>
      </c>
      <c r="I108" s="8">
        <v>171</v>
      </c>
      <c r="K108" s="8">
        <v>2400</v>
      </c>
      <c r="L108" s="8">
        <f t="shared" si="76"/>
        <v>28800</v>
      </c>
      <c r="M108" s="8">
        <f t="shared" si="77"/>
        <v>32543.999999999996</v>
      </c>
      <c r="N108" s="8">
        <v>21014</v>
      </c>
      <c r="O108" s="9">
        <f t="shared" si="78"/>
        <v>0.64571042281219282</v>
      </c>
      <c r="Q108" s="5">
        <v>2027</v>
      </c>
      <c r="R108" s="5">
        <v>7</v>
      </c>
      <c r="S108" s="14" t="s">
        <v>54</v>
      </c>
      <c r="T108" s="15">
        <f t="shared" si="73"/>
        <v>0</v>
      </c>
      <c r="U108" s="15">
        <f t="shared" si="74"/>
        <v>12822612</v>
      </c>
      <c r="V108" s="16">
        <v>6140000</v>
      </c>
      <c r="W108" s="16">
        <v>2289660</v>
      </c>
      <c r="X108" s="16">
        <v>139952</v>
      </c>
      <c r="Y108" s="16">
        <v>0</v>
      </c>
      <c r="Z108" s="16">
        <v>2432000</v>
      </c>
      <c r="AA108" s="16">
        <v>871000</v>
      </c>
      <c r="AB108" s="16">
        <v>0</v>
      </c>
      <c r="AC108" s="16">
        <v>0</v>
      </c>
      <c r="AD108" s="16">
        <v>0</v>
      </c>
      <c r="AE108" s="16">
        <v>0</v>
      </c>
      <c r="AF108" s="16">
        <v>350000</v>
      </c>
      <c r="AG108" s="16">
        <v>100000</v>
      </c>
      <c r="AH108" s="16">
        <v>100000</v>
      </c>
      <c r="AI108" s="16">
        <v>0</v>
      </c>
      <c r="AJ108" s="16">
        <v>0</v>
      </c>
      <c r="AK108" s="16">
        <v>300000</v>
      </c>
      <c r="AL108" s="16">
        <v>0</v>
      </c>
      <c r="AM108" s="16">
        <v>0</v>
      </c>
      <c r="AN108" s="16">
        <v>100000</v>
      </c>
      <c r="AO108" s="16">
        <v>0</v>
      </c>
      <c r="AP108" s="16">
        <v>0</v>
      </c>
      <c r="AQ108" s="16">
        <v>0</v>
      </c>
      <c r="AR108" s="16">
        <v>0</v>
      </c>
      <c r="AS108" s="16">
        <v>0</v>
      </c>
      <c r="AT108" s="16">
        <v>0</v>
      </c>
      <c r="AU108" s="16">
        <v>0</v>
      </c>
      <c r="AV108" s="16">
        <v>0</v>
      </c>
      <c r="AW108" s="16">
        <v>0</v>
      </c>
      <c r="AX108" s="16">
        <v>0</v>
      </c>
      <c r="AY108" s="16">
        <v>0</v>
      </c>
      <c r="AZ108" s="16">
        <v>0</v>
      </c>
      <c r="BA108" s="16"/>
      <c r="BB108" s="15">
        <f t="shared" si="75"/>
        <v>0</v>
      </c>
      <c r="BC108" s="15"/>
      <c r="BD108" s="16"/>
      <c r="BE108" s="16"/>
      <c r="BF108" s="16"/>
      <c r="BG108" s="16"/>
      <c r="BH108" s="16"/>
      <c r="BI108" s="16"/>
      <c r="BJ108" s="16"/>
      <c r="BK108" s="16"/>
      <c r="BL108" s="16"/>
      <c r="BM108" s="16"/>
      <c r="BN108" s="16"/>
      <c r="BO108" s="16"/>
      <c r="BP108" s="16"/>
      <c r="BQ108" s="16"/>
      <c r="BR108" s="16"/>
      <c r="BS108" s="16"/>
      <c r="BT108" s="16"/>
      <c r="BU108" s="16"/>
      <c r="BV108" s="16"/>
      <c r="BW108" s="16"/>
    </row>
    <row r="109" spans="1:75" ht="18" customHeight="1" outlineLevel="1">
      <c r="H109" s="8" t="s">
        <v>18</v>
      </c>
      <c r="I109" s="8">
        <v>122</v>
      </c>
      <c r="J109" s="9"/>
      <c r="Q109" s="5">
        <v>2027</v>
      </c>
      <c r="R109" s="5">
        <v>6</v>
      </c>
      <c r="S109" s="14" t="s">
        <v>54</v>
      </c>
      <c r="T109" s="15">
        <f t="shared" si="73"/>
        <v>0</v>
      </c>
      <c r="U109" s="15">
        <f t="shared" si="74"/>
        <v>9768894</v>
      </c>
      <c r="V109" s="16">
        <v>6140000</v>
      </c>
      <c r="W109" s="16">
        <v>2289660</v>
      </c>
      <c r="X109" s="16">
        <v>289234</v>
      </c>
      <c r="Y109" s="16">
        <v>0</v>
      </c>
      <c r="Z109" s="16">
        <v>0</v>
      </c>
      <c r="AA109" s="16">
        <v>0</v>
      </c>
      <c r="AB109" s="16">
        <v>0</v>
      </c>
      <c r="AC109" s="16">
        <v>0</v>
      </c>
      <c r="AD109" s="16">
        <v>0</v>
      </c>
      <c r="AE109" s="16">
        <v>0</v>
      </c>
      <c r="AF109" s="16">
        <v>350000</v>
      </c>
      <c r="AG109" s="16">
        <v>100000</v>
      </c>
      <c r="AH109" s="16">
        <v>100000</v>
      </c>
      <c r="AI109" s="16">
        <v>250000</v>
      </c>
      <c r="AJ109" s="16">
        <v>0</v>
      </c>
      <c r="AK109" s="16">
        <v>0</v>
      </c>
      <c r="AL109" s="16">
        <v>0</v>
      </c>
      <c r="AM109" s="16">
        <v>150000</v>
      </c>
      <c r="AN109" s="16">
        <v>100000</v>
      </c>
      <c r="AO109" s="16">
        <v>0</v>
      </c>
      <c r="AP109" s="16">
        <v>0</v>
      </c>
      <c r="AQ109" s="16">
        <v>0</v>
      </c>
      <c r="AR109" s="16">
        <v>0</v>
      </c>
      <c r="AS109" s="16">
        <v>0</v>
      </c>
      <c r="AT109" s="16">
        <v>0</v>
      </c>
      <c r="AU109" s="16">
        <v>0</v>
      </c>
      <c r="AV109" s="16">
        <v>0</v>
      </c>
      <c r="AW109" s="16">
        <v>0</v>
      </c>
      <c r="AX109" s="16">
        <v>0</v>
      </c>
      <c r="AY109" s="16">
        <v>0</v>
      </c>
      <c r="AZ109" s="16">
        <v>0</v>
      </c>
      <c r="BA109" s="16"/>
      <c r="BB109" s="15">
        <f t="shared" si="75"/>
        <v>0</v>
      </c>
      <c r="BC109" s="15"/>
      <c r="BD109" s="16"/>
      <c r="BE109" s="16"/>
      <c r="BF109" s="16"/>
      <c r="BG109" s="16"/>
      <c r="BH109" s="16"/>
      <c r="BI109" s="16"/>
      <c r="BJ109" s="16"/>
      <c r="BK109" s="16"/>
      <c r="BL109" s="16"/>
      <c r="BM109" s="16"/>
      <c r="BN109" s="16"/>
      <c r="BO109" s="16"/>
      <c r="BP109" s="16"/>
      <c r="BQ109" s="16"/>
      <c r="BR109" s="16"/>
      <c r="BS109" s="16"/>
      <c r="BT109" s="16"/>
      <c r="BU109" s="16"/>
      <c r="BV109" s="16"/>
      <c r="BW109" s="16"/>
    </row>
    <row r="110" spans="1:75" ht="18" customHeight="1" outlineLevel="1">
      <c r="J110" s="9"/>
      <c r="Q110" s="5">
        <v>2027</v>
      </c>
      <c r="R110" s="5">
        <v>5</v>
      </c>
      <c r="S110" s="14" t="s">
        <v>54</v>
      </c>
      <c r="T110" s="15">
        <f t="shared" si="73"/>
        <v>0</v>
      </c>
      <c r="U110" s="15">
        <f t="shared" si="74"/>
        <v>9968894</v>
      </c>
      <c r="V110" s="16">
        <v>6140000</v>
      </c>
      <c r="W110" s="16">
        <v>2289660</v>
      </c>
      <c r="X110" s="16">
        <v>289234</v>
      </c>
      <c r="Y110" s="16">
        <v>0</v>
      </c>
      <c r="Z110" s="16">
        <v>0</v>
      </c>
      <c r="AA110" s="16">
        <v>0</v>
      </c>
      <c r="AB110" s="16">
        <v>0</v>
      </c>
      <c r="AC110" s="16">
        <v>0</v>
      </c>
      <c r="AD110" s="16">
        <v>0</v>
      </c>
      <c r="AE110" s="16">
        <v>0</v>
      </c>
      <c r="AF110" s="16">
        <v>350000</v>
      </c>
      <c r="AG110" s="16">
        <v>100000</v>
      </c>
      <c r="AH110" s="16">
        <v>100000</v>
      </c>
      <c r="AI110" s="16">
        <v>250000</v>
      </c>
      <c r="AJ110" s="16">
        <v>200000</v>
      </c>
      <c r="AK110" s="16">
        <v>0</v>
      </c>
      <c r="AL110" s="16">
        <v>0</v>
      </c>
      <c r="AM110" s="16">
        <v>150000</v>
      </c>
      <c r="AN110" s="16">
        <v>100000</v>
      </c>
      <c r="AO110" s="16">
        <v>0</v>
      </c>
      <c r="AP110" s="16">
        <v>0</v>
      </c>
      <c r="AQ110" s="16">
        <v>0</v>
      </c>
      <c r="AR110" s="16">
        <v>0</v>
      </c>
      <c r="AS110" s="16">
        <v>0</v>
      </c>
      <c r="AT110" s="16">
        <v>0</v>
      </c>
      <c r="AU110" s="16">
        <v>0</v>
      </c>
      <c r="AV110" s="16">
        <v>0</v>
      </c>
      <c r="AW110" s="16">
        <v>0</v>
      </c>
      <c r="AX110" s="16">
        <v>0</v>
      </c>
      <c r="AY110" s="16">
        <v>0</v>
      </c>
      <c r="AZ110" s="16">
        <v>0</v>
      </c>
      <c r="BA110" s="16"/>
      <c r="BB110" s="15">
        <f t="shared" si="75"/>
        <v>0</v>
      </c>
      <c r="BC110" s="15"/>
      <c r="BD110" s="16"/>
      <c r="BE110" s="16"/>
      <c r="BF110" s="16"/>
      <c r="BG110" s="16"/>
      <c r="BH110" s="16"/>
      <c r="BI110" s="16"/>
      <c r="BJ110" s="16"/>
      <c r="BK110" s="16"/>
      <c r="BL110" s="16"/>
      <c r="BM110" s="16"/>
      <c r="BN110" s="16"/>
      <c r="BO110" s="16"/>
      <c r="BP110" s="16"/>
      <c r="BQ110" s="16"/>
      <c r="BR110" s="16"/>
      <c r="BS110" s="16"/>
      <c r="BT110" s="16"/>
      <c r="BU110" s="16"/>
      <c r="BV110" s="16"/>
      <c r="BW110" s="16"/>
    </row>
    <row r="111" spans="1:75" ht="18" customHeight="1" outlineLevel="1">
      <c r="B111" s="7">
        <v>2021</v>
      </c>
      <c r="C111" s="8" t="s">
        <v>12</v>
      </c>
      <c r="E111" s="8">
        <v>6867</v>
      </c>
      <c r="J111" s="9"/>
      <c r="Q111" s="5">
        <v>2027</v>
      </c>
      <c r="R111" s="5">
        <v>4</v>
      </c>
      <c r="S111" s="14" t="s">
        <v>54</v>
      </c>
      <c r="T111" s="15">
        <f t="shared" si="73"/>
        <v>0</v>
      </c>
      <c r="U111" s="15">
        <f t="shared" si="74"/>
        <v>10267104</v>
      </c>
      <c r="V111" s="16">
        <v>6140000</v>
      </c>
      <c r="W111" s="16">
        <v>2289660</v>
      </c>
      <c r="X111" s="16">
        <v>289234</v>
      </c>
      <c r="Y111" s="16">
        <v>0</v>
      </c>
      <c r="Z111" s="16">
        <v>0</v>
      </c>
      <c r="AA111" s="16">
        <v>0</v>
      </c>
      <c r="AB111" s="16">
        <v>0</v>
      </c>
      <c r="AC111" s="16">
        <f>3*(SUM(V111:W111)-SUM(V113:W113))</f>
        <v>498210</v>
      </c>
      <c r="AD111" s="16">
        <v>0</v>
      </c>
      <c r="AE111" s="16">
        <v>0</v>
      </c>
      <c r="AF111" s="16">
        <v>350000</v>
      </c>
      <c r="AG111" s="16">
        <v>100000</v>
      </c>
      <c r="AH111" s="16">
        <v>100000</v>
      </c>
      <c r="AI111" s="16">
        <v>250000</v>
      </c>
      <c r="AJ111" s="16">
        <v>0</v>
      </c>
      <c r="AK111" s="16">
        <v>0</v>
      </c>
      <c r="AL111" s="16">
        <v>0</v>
      </c>
      <c r="AM111" s="16">
        <v>150000</v>
      </c>
      <c r="AN111" s="16">
        <v>100000</v>
      </c>
      <c r="AO111" s="16">
        <v>0</v>
      </c>
      <c r="AP111" s="16">
        <v>0</v>
      </c>
      <c r="AQ111" s="16">
        <v>0</v>
      </c>
      <c r="AR111" s="16">
        <v>0</v>
      </c>
      <c r="AS111" s="16">
        <v>0</v>
      </c>
      <c r="AT111" s="16">
        <v>0</v>
      </c>
      <c r="AU111" s="16">
        <v>0</v>
      </c>
      <c r="AV111" s="16">
        <v>0</v>
      </c>
      <c r="AW111" s="16">
        <v>0</v>
      </c>
      <c r="AX111" s="16">
        <v>0</v>
      </c>
      <c r="AY111" s="16">
        <v>0</v>
      </c>
      <c r="AZ111" s="16">
        <v>0</v>
      </c>
      <c r="BA111" s="16"/>
      <c r="BB111" s="15">
        <f t="shared" si="75"/>
        <v>0</v>
      </c>
      <c r="BC111" s="15"/>
      <c r="BD111" s="16"/>
      <c r="BE111" s="16"/>
      <c r="BF111" s="16"/>
      <c r="BG111" s="16"/>
      <c r="BH111" s="16"/>
      <c r="BI111" s="16"/>
      <c r="BJ111" s="16"/>
      <c r="BK111" s="16"/>
      <c r="BL111" s="16"/>
      <c r="BM111" s="16"/>
      <c r="BN111" s="16"/>
      <c r="BO111" s="16"/>
      <c r="BP111" s="16"/>
      <c r="BQ111" s="16"/>
      <c r="BR111" s="16"/>
      <c r="BS111" s="16"/>
      <c r="BT111" s="16"/>
      <c r="BU111" s="16"/>
      <c r="BV111" s="16"/>
      <c r="BW111" s="16"/>
    </row>
    <row r="112" spans="1:75" ht="18" customHeight="1" outlineLevel="1">
      <c r="B112" s="7">
        <v>2021</v>
      </c>
      <c r="C112" s="8" t="s">
        <v>12</v>
      </c>
      <c r="E112" s="8">
        <v>6867</v>
      </c>
      <c r="J112" s="9"/>
      <c r="Q112" s="5">
        <v>2027</v>
      </c>
      <c r="R112" s="5">
        <v>4</v>
      </c>
      <c r="S112" s="14" t="s">
        <v>28</v>
      </c>
      <c r="T112" s="15">
        <f t="shared" si="73"/>
        <v>0</v>
      </c>
      <c r="U112" s="15">
        <f t="shared" si="74"/>
        <v>11416308</v>
      </c>
      <c r="V112" s="16">
        <v>0</v>
      </c>
      <c r="W112" s="16">
        <v>0</v>
      </c>
      <c r="X112" s="16">
        <v>0</v>
      </c>
      <c r="Y112" s="16">
        <v>0</v>
      </c>
      <c r="Z112" s="16">
        <v>0</v>
      </c>
      <c r="AA112" s="16">
        <v>0</v>
      </c>
      <c r="AB112" s="16">
        <v>0</v>
      </c>
      <c r="AC112" s="16">
        <v>0</v>
      </c>
      <c r="AD112" s="16">
        <f>12*(V113+W113)*0.1</f>
        <v>9916308</v>
      </c>
      <c r="AE112" s="16">
        <v>1500000</v>
      </c>
      <c r="AF112" s="16">
        <v>0</v>
      </c>
      <c r="AG112" s="16">
        <v>0</v>
      </c>
      <c r="AH112" s="16">
        <v>0</v>
      </c>
      <c r="AI112" s="16">
        <v>0</v>
      </c>
      <c r="AJ112" s="16">
        <v>0</v>
      </c>
      <c r="AK112" s="16">
        <v>0</v>
      </c>
      <c r="AL112" s="16">
        <v>0</v>
      </c>
      <c r="AM112" s="16">
        <v>0</v>
      </c>
      <c r="AN112" s="16">
        <v>0</v>
      </c>
      <c r="AO112" s="16">
        <v>0</v>
      </c>
      <c r="AP112" s="16">
        <v>0</v>
      </c>
      <c r="AQ112" s="16">
        <v>0</v>
      </c>
      <c r="AR112" s="16">
        <v>0</v>
      </c>
      <c r="AS112" s="16">
        <v>0</v>
      </c>
      <c r="AT112" s="16">
        <v>0</v>
      </c>
      <c r="AU112" s="16">
        <v>0</v>
      </c>
      <c r="AV112" s="16">
        <v>0</v>
      </c>
      <c r="AW112" s="16">
        <v>0</v>
      </c>
      <c r="AX112" s="16">
        <v>0</v>
      </c>
      <c r="AY112" s="16">
        <v>0</v>
      </c>
      <c r="AZ112" s="16">
        <v>0</v>
      </c>
      <c r="BA112" s="16"/>
      <c r="BB112" s="15">
        <f t="shared" si="75"/>
        <v>0</v>
      </c>
      <c r="BC112" s="15"/>
      <c r="BD112" s="16"/>
      <c r="BE112" s="16"/>
      <c r="BF112" s="16"/>
      <c r="BG112" s="16"/>
      <c r="BH112" s="16"/>
      <c r="BI112" s="16"/>
      <c r="BJ112" s="16"/>
      <c r="BK112" s="16"/>
      <c r="BL112" s="16"/>
      <c r="BM112" s="16"/>
      <c r="BN112" s="16"/>
      <c r="BO112" s="16"/>
      <c r="BP112" s="16"/>
      <c r="BQ112" s="16"/>
      <c r="BR112" s="16"/>
      <c r="BS112" s="16"/>
      <c r="BT112" s="16"/>
      <c r="BU112" s="16"/>
      <c r="BV112" s="16"/>
      <c r="BW112" s="16"/>
    </row>
    <row r="113" spans="1:75" ht="18" customHeight="1" outlineLevel="1">
      <c r="B113" s="7">
        <v>2022</v>
      </c>
      <c r="C113" s="8" t="s">
        <v>12</v>
      </c>
      <c r="E113" s="8">
        <v>6867</v>
      </c>
      <c r="J113" s="9"/>
      <c r="Q113" s="5">
        <v>2027</v>
      </c>
      <c r="R113" s="5">
        <v>3</v>
      </c>
      <c r="S113" s="14" t="s">
        <v>54</v>
      </c>
      <c r="T113" s="15">
        <f t="shared" si="73"/>
        <v>0</v>
      </c>
      <c r="U113" s="15">
        <f t="shared" si="74"/>
        <v>9602824</v>
      </c>
      <c r="V113" s="16">
        <v>6017000</v>
      </c>
      <c r="W113" s="16">
        <v>2246590</v>
      </c>
      <c r="X113" s="16">
        <v>289234</v>
      </c>
      <c r="Y113" s="16">
        <v>0</v>
      </c>
      <c r="Z113" s="16">
        <v>0</v>
      </c>
      <c r="AA113" s="16">
        <v>0</v>
      </c>
      <c r="AB113" s="16">
        <v>0</v>
      </c>
      <c r="AC113" s="16">
        <v>0</v>
      </c>
      <c r="AD113" s="16">
        <v>0</v>
      </c>
      <c r="AE113" s="16">
        <v>0</v>
      </c>
      <c r="AF113" s="16">
        <v>350000</v>
      </c>
      <c r="AG113" s="16">
        <v>100000</v>
      </c>
      <c r="AH113" s="16">
        <v>100000</v>
      </c>
      <c r="AI113" s="16">
        <v>250000</v>
      </c>
      <c r="AJ113" s="16">
        <v>0</v>
      </c>
      <c r="AK113" s="16">
        <v>0</v>
      </c>
      <c r="AL113" s="16">
        <v>0</v>
      </c>
      <c r="AM113" s="16">
        <v>150000</v>
      </c>
      <c r="AN113" s="16">
        <v>100000</v>
      </c>
      <c r="AO113" s="16">
        <v>0</v>
      </c>
      <c r="AP113" s="16">
        <v>0</v>
      </c>
      <c r="AQ113" s="16">
        <v>0</v>
      </c>
      <c r="AR113" s="16">
        <v>0</v>
      </c>
      <c r="AS113" s="16">
        <v>0</v>
      </c>
      <c r="AT113" s="16">
        <v>0</v>
      </c>
      <c r="AU113" s="16">
        <v>0</v>
      </c>
      <c r="AV113" s="16">
        <v>0</v>
      </c>
      <c r="AW113" s="16">
        <v>0</v>
      </c>
      <c r="AX113" s="16">
        <v>0</v>
      </c>
      <c r="AY113" s="16">
        <v>0</v>
      </c>
      <c r="AZ113" s="16">
        <v>0</v>
      </c>
      <c r="BA113" s="16"/>
      <c r="BB113" s="15">
        <f t="shared" si="75"/>
        <v>0</v>
      </c>
      <c r="BC113" s="15"/>
      <c r="BD113" s="16"/>
      <c r="BE113" s="16"/>
      <c r="BF113" s="16"/>
      <c r="BG113" s="16"/>
      <c r="BH113" s="16"/>
      <c r="BI113" s="16"/>
      <c r="BJ113" s="16"/>
      <c r="BK113" s="16"/>
      <c r="BL113" s="16"/>
      <c r="BM113" s="16"/>
      <c r="BN113" s="16"/>
      <c r="BO113" s="16"/>
      <c r="BP113" s="16"/>
      <c r="BQ113" s="16"/>
      <c r="BR113" s="16"/>
      <c r="BS113" s="16"/>
      <c r="BT113" s="16"/>
      <c r="BU113" s="16"/>
      <c r="BV113" s="16"/>
      <c r="BW113" s="16"/>
    </row>
    <row r="114" spans="1:75" ht="18" customHeight="1" outlineLevel="1">
      <c r="B114" s="7">
        <v>2023</v>
      </c>
      <c r="C114" s="8" t="s">
        <v>12</v>
      </c>
      <c r="E114" s="8">
        <v>6867</v>
      </c>
      <c r="J114" s="9"/>
      <c r="Q114" s="5">
        <v>2027</v>
      </c>
      <c r="R114" s="5">
        <v>2</v>
      </c>
      <c r="S114" s="14" t="s">
        <v>54</v>
      </c>
      <c r="T114" s="15">
        <f t="shared" si="73"/>
        <v>0</v>
      </c>
      <c r="U114" s="15">
        <f t="shared" si="74"/>
        <v>9602824</v>
      </c>
      <c r="V114" s="16">
        <v>6017000</v>
      </c>
      <c r="W114" s="16">
        <v>2246590</v>
      </c>
      <c r="X114" s="16">
        <v>289234</v>
      </c>
      <c r="Y114" s="16">
        <v>0</v>
      </c>
      <c r="Z114" s="16">
        <v>0</v>
      </c>
      <c r="AA114" s="16">
        <v>0</v>
      </c>
      <c r="AB114" s="16">
        <v>0</v>
      </c>
      <c r="AC114" s="16">
        <v>0</v>
      </c>
      <c r="AD114" s="16">
        <v>0</v>
      </c>
      <c r="AE114" s="16">
        <v>0</v>
      </c>
      <c r="AF114" s="16">
        <v>350000</v>
      </c>
      <c r="AG114" s="16">
        <v>100000</v>
      </c>
      <c r="AH114" s="16">
        <v>100000</v>
      </c>
      <c r="AI114" s="16">
        <v>250000</v>
      </c>
      <c r="AJ114" s="16">
        <v>0</v>
      </c>
      <c r="AK114" s="16">
        <v>0</v>
      </c>
      <c r="AL114" s="16">
        <v>0</v>
      </c>
      <c r="AM114" s="16">
        <v>150000</v>
      </c>
      <c r="AN114" s="16">
        <v>100000</v>
      </c>
      <c r="AO114" s="16">
        <v>0</v>
      </c>
      <c r="AP114" s="16">
        <v>0</v>
      </c>
      <c r="AQ114" s="16">
        <v>0</v>
      </c>
      <c r="AR114" s="16">
        <v>0</v>
      </c>
      <c r="AS114" s="16">
        <v>0</v>
      </c>
      <c r="AT114" s="16">
        <v>0</v>
      </c>
      <c r="AU114" s="16">
        <v>0</v>
      </c>
      <c r="AV114" s="16">
        <v>0</v>
      </c>
      <c r="AW114" s="16">
        <v>0</v>
      </c>
      <c r="AX114" s="16">
        <v>0</v>
      </c>
      <c r="AY114" s="16">
        <v>0</v>
      </c>
      <c r="AZ114" s="16">
        <v>0</v>
      </c>
      <c r="BA114" s="16"/>
      <c r="BB114" s="15">
        <f t="shared" si="75"/>
        <v>0</v>
      </c>
      <c r="BC114" s="15"/>
      <c r="BD114" s="16"/>
      <c r="BE114" s="16"/>
      <c r="BF114" s="16"/>
      <c r="BG114" s="16"/>
      <c r="BH114" s="16"/>
      <c r="BI114" s="16"/>
      <c r="BJ114" s="16"/>
      <c r="BK114" s="16"/>
      <c r="BL114" s="16"/>
      <c r="BM114" s="16"/>
      <c r="BN114" s="16"/>
      <c r="BO114" s="16"/>
      <c r="BP114" s="16"/>
      <c r="BQ114" s="16"/>
      <c r="BR114" s="16"/>
      <c r="BS114" s="16"/>
      <c r="BT114" s="16"/>
      <c r="BU114" s="16"/>
      <c r="BV114" s="16"/>
      <c r="BW114" s="16"/>
    </row>
    <row r="115" spans="1:75" ht="18" customHeight="1" outlineLevel="1">
      <c r="B115" s="7">
        <v>2024</v>
      </c>
      <c r="C115" s="8" t="s">
        <v>12</v>
      </c>
      <c r="E115" s="8">
        <v>6867</v>
      </c>
      <c r="J115" s="9"/>
      <c r="Q115" s="5">
        <v>2027</v>
      </c>
      <c r="R115" s="5">
        <v>1</v>
      </c>
      <c r="S115" s="14" t="s">
        <v>54</v>
      </c>
      <c r="T115" s="15">
        <f t="shared" si="73"/>
        <v>0</v>
      </c>
      <c r="U115" s="15">
        <f t="shared" si="74"/>
        <v>9602824</v>
      </c>
      <c r="V115" s="16">
        <v>6017000</v>
      </c>
      <c r="W115" s="16">
        <v>2246590</v>
      </c>
      <c r="X115" s="16">
        <v>289234</v>
      </c>
      <c r="Y115" s="16">
        <v>0</v>
      </c>
      <c r="Z115" s="16">
        <v>0</v>
      </c>
      <c r="AA115" s="16">
        <v>0</v>
      </c>
      <c r="AB115" s="16">
        <v>0</v>
      </c>
      <c r="AC115" s="16">
        <v>0</v>
      </c>
      <c r="AD115" s="16">
        <v>0</v>
      </c>
      <c r="AE115" s="16">
        <v>0</v>
      </c>
      <c r="AF115" s="16">
        <v>350000</v>
      </c>
      <c r="AG115" s="16">
        <v>100000</v>
      </c>
      <c r="AH115" s="16">
        <v>100000</v>
      </c>
      <c r="AI115" s="16">
        <v>250000</v>
      </c>
      <c r="AJ115" s="16">
        <v>0</v>
      </c>
      <c r="AK115" s="16">
        <v>0</v>
      </c>
      <c r="AL115" s="16">
        <v>0</v>
      </c>
      <c r="AM115" s="16">
        <v>150000</v>
      </c>
      <c r="AN115" s="16">
        <v>100000</v>
      </c>
      <c r="AO115" s="16">
        <v>0</v>
      </c>
      <c r="AP115" s="16">
        <v>0</v>
      </c>
      <c r="AQ115" s="16">
        <v>0</v>
      </c>
      <c r="AR115" s="16">
        <v>0</v>
      </c>
      <c r="AS115" s="16">
        <v>0</v>
      </c>
      <c r="AT115" s="16">
        <v>0</v>
      </c>
      <c r="AU115" s="16">
        <v>0</v>
      </c>
      <c r="AV115" s="16">
        <v>0</v>
      </c>
      <c r="AW115" s="16">
        <v>0</v>
      </c>
      <c r="AX115" s="16">
        <v>0</v>
      </c>
      <c r="AY115" s="16">
        <v>0</v>
      </c>
      <c r="AZ115" s="16">
        <v>0</v>
      </c>
      <c r="BA115" s="16"/>
      <c r="BB115" s="15">
        <f t="shared" si="75"/>
        <v>0</v>
      </c>
      <c r="BC115" s="15"/>
      <c r="BD115" s="16"/>
      <c r="BE115" s="16"/>
      <c r="BF115" s="16"/>
      <c r="BG115" s="16"/>
      <c r="BH115" s="16"/>
      <c r="BI115" s="16"/>
      <c r="BJ115" s="16"/>
      <c r="BK115" s="16"/>
      <c r="BL115" s="16"/>
      <c r="BM115" s="16"/>
      <c r="BN115" s="16"/>
      <c r="BO115" s="16"/>
      <c r="BP115" s="16"/>
      <c r="BQ115" s="16"/>
      <c r="BR115" s="16"/>
      <c r="BS115" s="16"/>
      <c r="BT115" s="16"/>
      <c r="BU115" s="16"/>
      <c r="BV115" s="16"/>
      <c r="BW115" s="16"/>
    </row>
    <row r="116" spans="1:75" s="1" customFormat="1" ht="18" customHeight="1">
      <c r="A116" s="10"/>
      <c r="B116" s="11"/>
      <c r="C116" s="12"/>
      <c r="D116" s="11"/>
      <c r="E116" s="12"/>
      <c r="F116" s="12"/>
      <c r="G116" s="12"/>
      <c r="H116" s="12"/>
      <c r="I116" s="12"/>
      <c r="J116" s="3"/>
      <c r="K116" s="12"/>
      <c r="L116" s="12"/>
      <c r="M116" s="12"/>
      <c r="N116" s="12"/>
      <c r="O116" s="13"/>
      <c r="Q116" s="628" t="s">
        <v>1634</v>
      </c>
      <c r="R116" s="628"/>
      <c r="S116" s="628"/>
      <c r="T116" s="23">
        <f t="shared" ref="T116:AZ116" si="79">SUMIF($Q$2:$Q$793,$Q117,T$2:T$793)</f>
        <v>43642890</v>
      </c>
      <c r="U116" s="23">
        <f t="shared" si="79"/>
        <v>113114216</v>
      </c>
      <c r="V116" s="23">
        <f t="shared" si="79"/>
        <v>63364000</v>
      </c>
      <c r="W116" s="23">
        <f t="shared" si="79"/>
        <v>23656360</v>
      </c>
      <c r="X116" s="23">
        <f t="shared" si="79"/>
        <v>3470808</v>
      </c>
      <c r="Y116" s="23">
        <f t="shared" si="79"/>
        <v>0</v>
      </c>
      <c r="Z116" s="23">
        <f t="shared" si="79"/>
        <v>0</v>
      </c>
      <c r="AA116" s="23">
        <f t="shared" si="79"/>
        <v>0</v>
      </c>
      <c r="AB116" s="23">
        <f t="shared" si="79"/>
        <v>0</v>
      </c>
      <c r="AC116" s="23">
        <f t="shared" si="79"/>
        <v>1673680</v>
      </c>
      <c r="AD116" s="23">
        <f t="shared" si="79"/>
        <v>4376729</v>
      </c>
      <c r="AE116" s="23">
        <f t="shared" si="79"/>
        <v>1500000</v>
      </c>
      <c r="AF116" s="23">
        <f t="shared" si="79"/>
        <v>4200000</v>
      </c>
      <c r="AG116" s="23">
        <f t="shared" si="79"/>
        <v>1200000</v>
      </c>
      <c r="AH116" s="23">
        <f t="shared" si="79"/>
        <v>1200000</v>
      </c>
      <c r="AI116" s="23">
        <f t="shared" si="79"/>
        <v>3000000</v>
      </c>
      <c r="AJ116" s="23">
        <f t="shared" si="79"/>
        <v>985000</v>
      </c>
      <c r="AK116" s="23">
        <f t="shared" si="79"/>
        <v>300000</v>
      </c>
      <c r="AL116" s="23">
        <f t="shared" si="79"/>
        <v>0</v>
      </c>
      <c r="AM116" s="23">
        <f t="shared" si="79"/>
        <v>1800000</v>
      </c>
      <c r="AN116" s="23">
        <f t="shared" si="79"/>
        <v>960000</v>
      </c>
      <c r="AO116" s="23">
        <f t="shared" si="79"/>
        <v>0</v>
      </c>
      <c r="AP116" s="23">
        <f t="shared" si="79"/>
        <v>0</v>
      </c>
      <c r="AQ116" s="23">
        <f t="shared" si="79"/>
        <v>40000</v>
      </c>
      <c r="AR116" s="23">
        <f t="shared" si="79"/>
        <v>0</v>
      </c>
      <c r="AS116" s="23">
        <f t="shared" si="79"/>
        <v>1387639</v>
      </c>
      <c r="AT116" s="23">
        <f t="shared" si="79"/>
        <v>0</v>
      </c>
      <c r="AU116" s="23">
        <f t="shared" si="79"/>
        <v>0</v>
      </c>
      <c r="AV116" s="23">
        <f t="shared" si="79"/>
        <v>0</v>
      </c>
      <c r="AW116" s="23">
        <f t="shared" si="79"/>
        <v>0</v>
      </c>
      <c r="AX116" s="23">
        <f t="shared" si="79"/>
        <v>0</v>
      </c>
      <c r="AY116" s="23">
        <f t="shared" si="79"/>
        <v>0</v>
      </c>
      <c r="AZ116" s="23">
        <f t="shared" si="79"/>
        <v>0</v>
      </c>
      <c r="BA116" s="23"/>
      <c r="BB116" s="23">
        <f t="shared" ref="BB116:BW116" si="80">SUMIF($Q$2:$Q$793,$Q117,BB$2:BB$793)</f>
        <v>7898498</v>
      </c>
      <c r="BC116" s="23">
        <f t="shared" si="80"/>
        <v>-2775600</v>
      </c>
      <c r="BD116" s="23">
        <f t="shared" si="80"/>
        <v>4593360</v>
      </c>
      <c r="BE116" s="23">
        <f t="shared" si="80"/>
        <v>0</v>
      </c>
      <c r="BF116" s="23">
        <f t="shared" si="80"/>
        <v>459310</v>
      </c>
      <c r="BG116" s="23">
        <f t="shared" si="80"/>
        <v>0</v>
      </c>
      <c r="BH116" s="23">
        <f t="shared" si="80"/>
        <v>1695150</v>
      </c>
      <c r="BI116" s="23">
        <f t="shared" si="80"/>
        <v>1512850</v>
      </c>
      <c r="BJ116" s="23">
        <f t="shared" si="80"/>
        <v>443618</v>
      </c>
      <c r="BK116" s="23">
        <f t="shared" si="80"/>
        <v>134700</v>
      </c>
      <c r="BL116" s="23">
        <f t="shared" si="80"/>
        <v>800000</v>
      </c>
      <c r="BM116" s="23">
        <f t="shared" si="80"/>
        <v>685000</v>
      </c>
      <c r="BN116" s="23">
        <f t="shared" si="80"/>
        <v>349000</v>
      </c>
      <c r="BO116" s="23">
        <f t="shared" si="80"/>
        <v>1110</v>
      </c>
      <c r="BP116" s="23">
        <f t="shared" si="80"/>
        <v>0</v>
      </c>
      <c r="BQ116" s="23">
        <f t="shared" si="80"/>
        <v>0</v>
      </c>
      <c r="BR116" s="23">
        <f t="shared" si="80"/>
        <v>0</v>
      </c>
      <c r="BS116" s="23">
        <f t="shared" si="80"/>
        <v>0</v>
      </c>
      <c r="BT116" s="23">
        <f t="shared" si="80"/>
        <v>0</v>
      </c>
      <c r="BU116" s="23">
        <f t="shared" si="80"/>
        <v>0</v>
      </c>
      <c r="BV116" s="23">
        <f t="shared" si="80"/>
        <v>0</v>
      </c>
      <c r="BW116" s="23">
        <f t="shared" si="80"/>
        <v>0</v>
      </c>
    </row>
    <row r="117" spans="1:75" ht="18" customHeight="1" outlineLevel="1">
      <c r="D117" s="7" t="s">
        <v>11</v>
      </c>
      <c r="F117" s="8">
        <v>4717</v>
      </c>
      <c r="G117" s="8">
        <v>5848</v>
      </c>
      <c r="K117" s="8">
        <v>2400</v>
      </c>
      <c r="L117" s="8">
        <f>K117*12</f>
        <v>28800</v>
      </c>
      <c r="M117" s="8">
        <f>L117*1.13</f>
        <v>32543.999999999996</v>
      </c>
      <c r="N117" s="8">
        <v>21014</v>
      </c>
      <c r="O117" s="9">
        <f>N117/M117</f>
        <v>0.64571042281219282</v>
      </c>
      <c r="Q117" s="5">
        <v>2026</v>
      </c>
      <c r="R117" s="5">
        <v>12</v>
      </c>
      <c r="S117" s="14" t="s">
        <v>54</v>
      </c>
      <c r="T117" s="15">
        <f t="shared" ref="T117:T129" si="81">IF(U117=U117-BB117,0,U117-BB117)</f>
        <v>0</v>
      </c>
      <c r="U117" s="15">
        <f t="shared" ref="U117:U129" si="82">SUM(V117:BA117)</f>
        <v>8760404</v>
      </c>
      <c r="V117" s="16">
        <v>5382000</v>
      </c>
      <c r="W117" s="16">
        <v>2009170</v>
      </c>
      <c r="X117" s="16">
        <v>289234</v>
      </c>
      <c r="Y117" s="16">
        <v>0</v>
      </c>
      <c r="Z117" s="16">
        <v>0</v>
      </c>
      <c r="AA117" s="16">
        <v>0</v>
      </c>
      <c r="AB117" s="16">
        <v>0</v>
      </c>
      <c r="AC117" s="16">
        <v>0</v>
      </c>
      <c r="AD117" s="16">
        <v>0</v>
      </c>
      <c r="AE117" s="16">
        <v>0</v>
      </c>
      <c r="AF117" s="16">
        <v>350000</v>
      </c>
      <c r="AG117" s="16">
        <v>100000</v>
      </c>
      <c r="AH117" s="16">
        <v>100000</v>
      </c>
      <c r="AI117" s="16">
        <v>250000</v>
      </c>
      <c r="AJ117" s="16">
        <v>50000</v>
      </c>
      <c r="AK117" s="16">
        <v>0</v>
      </c>
      <c r="AL117" s="16">
        <v>0</v>
      </c>
      <c r="AM117" s="16">
        <v>150000</v>
      </c>
      <c r="AN117" s="16">
        <v>80000</v>
      </c>
      <c r="AO117" s="16">
        <v>0</v>
      </c>
      <c r="AP117" s="16">
        <v>0</v>
      </c>
      <c r="AQ117" s="16">
        <v>0</v>
      </c>
      <c r="AR117" s="16">
        <v>0</v>
      </c>
      <c r="AS117" s="16">
        <v>0</v>
      </c>
      <c r="AT117" s="16">
        <v>0</v>
      </c>
      <c r="AU117" s="16">
        <v>0</v>
      </c>
      <c r="AV117" s="16">
        <v>0</v>
      </c>
      <c r="AW117" s="16">
        <v>0</v>
      </c>
      <c r="AX117" s="16">
        <v>0</v>
      </c>
      <c r="AY117" s="16">
        <v>0</v>
      </c>
      <c r="AZ117" s="16">
        <v>0</v>
      </c>
      <c r="BA117" s="16"/>
      <c r="BB117" s="15">
        <f t="shared" ref="BB117:BB129" si="83">SUM(BC117:BW117)</f>
        <v>0</v>
      </c>
      <c r="BC117" s="15"/>
      <c r="BD117" s="16"/>
      <c r="BE117" s="16"/>
      <c r="BF117" s="16"/>
      <c r="BG117" s="16"/>
      <c r="BH117" s="16"/>
      <c r="BI117" s="16"/>
      <c r="BJ117" s="16"/>
      <c r="BK117" s="16"/>
      <c r="BL117" s="16"/>
      <c r="BM117" s="16"/>
      <c r="BN117" s="16"/>
      <c r="BO117" s="16"/>
      <c r="BP117" s="16"/>
      <c r="BQ117" s="16"/>
      <c r="BR117" s="16"/>
      <c r="BS117" s="16"/>
      <c r="BT117" s="16"/>
      <c r="BU117" s="16"/>
      <c r="BV117" s="16"/>
      <c r="BW117" s="16"/>
    </row>
    <row r="118" spans="1:75" ht="18" customHeight="1" outlineLevel="1">
      <c r="D118" s="7" t="s">
        <v>11</v>
      </c>
      <c r="F118" s="8">
        <v>4717</v>
      </c>
      <c r="G118" s="8">
        <v>5848</v>
      </c>
      <c r="K118" s="8">
        <v>2400</v>
      </c>
      <c r="L118" s="8">
        <f>K118*12</f>
        <v>28800</v>
      </c>
      <c r="M118" s="8">
        <f>L118*1.13</f>
        <v>32543.999999999996</v>
      </c>
      <c r="N118" s="8">
        <v>21014</v>
      </c>
      <c r="O118" s="9">
        <f>N118/M118</f>
        <v>0.64571042281219282</v>
      </c>
      <c r="Q118" s="5">
        <v>2026</v>
      </c>
      <c r="R118" s="5">
        <v>11</v>
      </c>
      <c r="S118" s="14" t="s">
        <v>54</v>
      </c>
      <c r="T118" s="15">
        <f t="shared" si="81"/>
        <v>0</v>
      </c>
      <c r="U118" s="15">
        <f t="shared" si="82"/>
        <v>8710404</v>
      </c>
      <c r="V118" s="16">
        <v>5382000</v>
      </c>
      <c r="W118" s="16">
        <v>2009170</v>
      </c>
      <c r="X118" s="16">
        <v>289234</v>
      </c>
      <c r="Y118" s="16">
        <v>0</v>
      </c>
      <c r="Z118" s="16">
        <v>0</v>
      </c>
      <c r="AA118" s="16">
        <v>0</v>
      </c>
      <c r="AB118" s="16">
        <v>0</v>
      </c>
      <c r="AC118" s="16">
        <v>0</v>
      </c>
      <c r="AD118" s="16">
        <v>0</v>
      </c>
      <c r="AE118" s="16">
        <v>0</v>
      </c>
      <c r="AF118" s="16">
        <v>350000</v>
      </c>
      <c r="AG118" s="16">
        <v>100000</v>
      </c>
      <c r="AH118" s="16">
        <v>100000</v>
      </c>
      <c r="AI118" s="16">
        <v>250000</v>
      </c>
      <c r="AJ118" s="16">
        <v>0</v>
      </c>
      <c r="AK118" s="16">
        <v>0</v>
      </c>
      <c r="AL118" s="16">
        <v>0</v>
      </c>
      <c r="AM118" s="16">
        <v>150000</v>
      </c>
      <c r="AN118" s="16">
        <v>80000</v>
      </c>
      <c r="AO118" s="16">
        <v>0</v>
      </c>
      <c r="AP118" s="16">
        <v>0</v>
      </c>
      <c r="AQ118" s="16">
        <v>0</v>
      </c>
      <c r="AR118" s="16">
        <v>0</v>
      </c>
      <c r="AS118" s="16">
        <v>0</v>
      </c>
      <c r="AT118" s="16">
        <v>0</v>
      </c>
      <c r="AU118" s="16">
        <v>0</v>
      </c>
      <c r="AV118" s="16">
        <v>0</v>
      </c>
      <c r="AW118" s="16">
        <v>0</v>
      </c>
      <c r="AX118" s="16">
        <v>0</v>
      </c>
      <c r="AY118" s="16">
        <v>0</v>
      </c>
      <c r="AZ118" s="16">
        <v>0</v>
      </c>
      <c r="BA118" s="16"/>
      <c r="BB118" s="15">
        <f t="shared" si="83"/>
        <v>0</v>
      </c>
      <c r="BC118" s="15"/>
      <c r="BD118" s="16"/>
      <c r="BE118" s="16"/>
      <c r="BF118" s="16"/>
      <c r="BG118" s="16"/>
      <c r="BH118" s="16"/>
      <c r="BI118" s="16"/>
      <c r="BJ118" s="16"/>
      <c r="BK118" s="16"/>
      <c r="BL118" s="16"/>
      <c r="BM118" s="16"/>
      <c r="BN118" s="16"/>
      <c r="BO118" s="16"/>
      <c r="BP118" s="16"/>
      <c r="BQ118" s="16"/>
      <c r="BR118" s="16"/>
      <c r="BS118" s="16"/>
      <c r="BT118" s="16"/>
      <c r="BU118" s="16"/>
      <c r="BV118" s="16"/>
      <c r="BW118" s="16"/>
    </row>
    <row r="119" spans="1:75" ht="18" customHeight="1" outlineLevel="1">
      <c r="D119" s="7" t="s">
        <v>11</v>
      </c>
      <c r="F119" s="8">
        <v>4717</v>
      </c>
      <c r="G119" s="8">
        <v>5848</v>
      </c>
      <c r="K119" s="8">
        <v>2400</v>
      </c>
      <c r="L119" s="8">
        <f t="shared" ref="L119:L122" si="84">K119*12</f>
        <v>28800</v>
      </c>
      <c r="M119" s="8">
        <f t="shared" ref="M119:M122" si="85">L119*1.13</f>
        <v>32543.999999999996</v>
      </c>
      <c r="N119" s="8">
        <v>21014</v>
      </c>
      <c r="O119" s="9">
        <f t="shared" ref="O119:O122" si="86">N119/M119</f>
        <v>0.64571042281219282</v>
      </c>
      <c r="Q119" s="5">
        <v>2026</v>
      </c>
      <c r="R119" s="5">
        <v>10</v>
      </c>
      <c r="S119" s="14" t="s">
        <v>54</v>
      </c>
      <c r="T119" s="15">
        <f t="shared" si="81"/>
        <v>0</v>
      </c>
      <c r="U119" s="15">
        <f t="shared" si="82"/>
        <v>8760404</v>
      </c>
      <c r="V119" s="16">
        <v>5382000</v>
      </c>
      <c r="W119" s="16">
        <v>2009170</v>
      </c>
      <c r="X119" s="16">
        <v>289234</v>
      </c>
      <c r="Y119" s="16">
        <v>0</v>
      </c>
      <c r="Z119" s="16">
        <v>0</v>
      </c>
      <c r="AA119" s="16">
        <v>0</v>
      </c>
      <c r="AB119" s="16">
        <v>0</v>
      </c>
      <c r="AC119" s="16">
        <v>0</v>
      </c>
      <c r="AD119" s="16">
        <v>0</v>
      </c>
      <c r="AE119" s="16">
        <v>0</v>
      </c>
      <c r="AF119" s="16">
        <v>350000</v>
      </c>
      <c r="AG119" s="16">
        <v>100000</v>
      </c>
      <c r="AH119" s="16">
        <v>100000</v>
      </c>
      <c r="AI119" s="16">
        <v>250000</v>
      </c>
      <c r="AJ119" s="16">
        <v>50000</v>
      </c>
      <c r="AK119" s="16">
        <v>0</v>
      </c>
      <c r="AL119" s="16">
        <v>0</v>
      </c>
      <c r="AM119" s="16">
        <v>150000</v>
      </c>
      <c r="AN119" s="16">
        <v>80000</v>
      </c>
      <c r="AO119" s="16">
        <v>0</v>
      </c>
      <c r="AP119" s="16">
        <v>0</v>
      </c>
      <c r="AQ119" s="16">
        <v>0</v>
      </c>
      <c r="AR119" s="16">
        <v>0</v>
      </c>
      <c r="AS119" s="16">
        <v>0</v>
      </c>
      <c r="AT119" s="16">
        <v>0</v>
      </c>
      <c r="AU119" s="16">
        <v>0</v>
      </c>
      <c r="AV119" s="16">
        <v>0</v>
      </c>
      <c r="AW119" s="16">
        <v>0</v>
      </c>
      <c r="AX119" s="16">
        <v>0</v>
      </c>
      <c r="AY119" s="16">
        <v>0</v>
      </c>
      <c r="AZ119" s="16">
        <v>0</v>
      </c>
      <c r="BA119" s="16"/>
      <c r="BB119" s="15">
        <f t="shared" si="83"/>
        <v>0</v>
      </c>
      <c r="BC119" s="15"/>
      <c r="BD119" s="16"/>
      <c r="BE119" s="16"/>
      <c r="BF119" s="16"/>
      <c r="BG119" s="16"/>
      <c r="BH119" s="16"/>
      <c r="BI119" s="16"/>
      <c r="BJ119" s="16"/>
      <c r="BK119" s="16"/>
      <c r="BL119" s="16"/>
      <c r="BM119" s="16"/>
      <c r="BN119" s="16"/>
      <c r="BO119" s="16"/>
      <c r="BP119" s="16"/>
      <c r="BQ119" s="16"/>
      <c r="BR119" s="16"/>
      <c r="BS119" s="16"/>
      <c r="BT119" s="16"/>
      <c r="BU119" s="16"/>
      <c r="BV119" s="16"/>
      <c r="BW119" s="16"/>
    </row>
    <row r="120" spans="1:75" ht="18" customHeight="1" outlineLevel="1">
      <c r="D120" s="7" t="s">
        <v>12</v>
      </c>
      <c r="F120" s="8">
        <v>6867</v>
      </c>
      <c r="G120" s="8">
        <v>6867</v>
      </c>
      <c r="K120" s="8">
        <v>2400</v>
      </c>
      <c r="L120" s="8">
        <f t="shared" si="84"/>
        <v>28800</v>
      </c>
      <c r="M120" s="8">
        <f t="shared" si="85"/>
        <v>32543.999999999996</v>
      </c>
      <c r="N120" s="8">
        <v>21014</v>
      </c>
      <c r="O120" s="9">
        <f t="shared" si="86"/>
        <v>0.64571042281219282</v>
      </c>
      <c r="Q120" s="5">
        <v>2026</v>
      </c>
      <c r="R120" s="5">
        <v>9</v>
      </c>
      <c r="S120" s="14" t="s">
        <v>54</v>
      </c>
      <c r="T120" s="15">
        <f t="shared" si="81"/>
        <v>0</v>
      </c>
      <c r="U120" s="15">
        <f t="shared" si="82"/>
        <v>8910404</v>
      </c>
      <c r="V120" s="16">
        <v>5382000</v>
      </c>
      <c r="W120" s="16">
        <v>2009170</v>
      </c>
      <c r="X120" s="16">
        <v>289234</v>
      </c>
      <c r="Y120" s="16">
        <v>0</v>
      </c>
      <c r="Z120" s="16">
        <v>0</v>
      </c>
      <c r="AA120" s="16">
        <v>0</v>
      </c>
      <c r="AB120" s="16">
        <v>0</v>
      </c>
      <c r="AC120" s="16">
        <v>0</v>
      </c>
      <c r="AD120" s="16">
        <v>0</v>
      </c>
      <c r="AE120" s="16">
        <v>0</v>
      </c>
      <c r="AF120" s="16">
        <v>350000</v>
      </c>
      <c r="AG120" s="16">
        <v>100000</v>
      </c>
      <c r="AH120" s="16">
        <v>100000</v>
      </c>
      <c r="AI120" s="16">
        <v>250000</v>
      </c>
      <c r="AJ120" s="16">
        <v>200000</v>
      </c>
      <c r="AK120" s="16">
        <v>0</v>
      </c>
      <c r="AL120" s="16">
        <v>0</v>
      </c>
      <c r="AM120" s="16">
        <v>150000</v>
      </c>
      <c r="AN120" s="16">
        <v>80000</v>
      </c>
      <c r="AO120" s="16">
        <v>0</v>
      </c>
      <c r="AP120" s="16">
        <v>0</v>
      </c>
      <c r="AQ120" s="16">
        <v>0</v>
      </c>
      <c r="AR120" s="16">
        <v>0</v>
      </c>
      <c r="AS120" s="16">
        <v>0</v>
      </c>
      <c r="AT120" s="16">
        <v>0</v>
      </c>
      <c r="AU120" s="16">
        <v>0</v>
      </c>
      <c r="AV120" s="16">
        <v>0</v>
      </c>
      <c r="AW120" s="16">
        <v>0</v>
      </c>
      <c r="AX120" s="16">
        <v>0</v>
      </c>
      <c r="AY120" s="16">
        <v>0</v>
      </c>
      <c r="AZ120" s="16">
        <v>0</v>
      </c>
      <c r="BA120" s="16"/>
      <c r="BB120" s="15">
        <f t="shared" si="83"/>
        <v>0</v>
      </c>
      <c r="BC120" s="15"/>
      <c r="BD120" s="16"/>
      <c r="BE120" s="16"/>
      <c r="BF120" s="16"/>
      <c r="BG120" s="16"/>
      <c r="BH120" s="16"/>
      <c r="BI120" s="16"/>
      <c r="BJ120" s="16"/>
      <c r="BK120" s="16"/>
      <c r="BL120" s="16"/>
      <c r="BM120" s="16"/>
      <c r="BN120" s="16"/>
      <c r="BO120" s="16"/>
      <c r="BP120" s="16"/>
      <c r="BQ120" s="16"/>
      <c r="BR120" s="16"/>
      <c r="BS120" s="16"/>
      <c r="BT120" s="16"/>
      <c r="BU120" s="16"/>
      <c r="BV120" s="16"/>
      <c r="BW120" s="16"/>
    </row>
    <row r="121" spans="1:75" ht="18" customHeight="1" outlineLevel="1">
      <c r="D121" s="7" t="s">
        <v>13</v>
      </c>
      <c r="F121" s="8">
        <v>7988</v>
      </c>
      <c r="G121" s="8" t="s">
        <v>2</v>
      </c>
      <c r="H121" s="8" t="s">
        <v>17</v>
      </c>
      <c r="I121" s="8">
        <v>171</v>
      </c>
      <c r="K121" s="8">
        <v>2400</v>
      </c>
      <c r="L121" s="8">
        <f t="shared" si="84"/>
        <v>28800</v>
      </c>
      <c r="M121" s="8">
        <f t="shared" si="85"/>
        <v>32543.999999999996</v>
      </c>
      <c r="N121" s="8">
        <v>21014</v>
      </c>
      <c r="O121" s="9">
        <f t="shared" si="86"/>
        <v>0.64571042281219282</v>
      </c>
      <c r="Q121" s="5">
        <v>2026</v>
      </c>
      <c r="R121" s="5">
        <v>8</v>
      </c>
      <c r="S121" s="14" t="s">
        <v>54</v>
      </c>
      <c r="T121" s="15">
        <f t="shared" si="81"/>
        <v>0</v>
      </c>
      <c r="U121" s="15">
        <f t="shared" si="82"/>
        <v>8710404</v>
      </c>
      <c r="V121" s="16">
        <v>5382000</v>
      </c>
      <c r="W121" s="16">
        <v>2009170</v>
      </c>
      <c r="X121" s="16">
        <v>289234</v>
      </c>
      <c r="Y121" s="16">
        <v>0</v>
      </c>
      <c r="Z121" s="16">
        <v>0</v>
      </c>
      <c r="AA121" s="16">
        <v>0</v>
      </c>
      <c r="AB121" s="16">
        <v>0</v>
      </c>
      <c r="AC121" s="16">
        <v>0</v>
      </c>
      <c r="AD121" s="16">
        <v>0</v>
      </c>
      <c r="AE121" s="16">
        <v>0</v>
      </c>
      <c r="AF121" s="16">
        <v>350000</v>
      </c>
      <c r="AG121" s="16">
        <v>100000</v>
      </c>
      <c r="AH121" s="16">
        <v>100000</v>
      </c>
      <c r="AI121" s="16">
        <v>250000</v>
      </c>
      <c r="AJ121" s="16">
        <v>0</v>
      </c>
      <c r="AK121" s="16">
        <v>0</v>
      </c>
      <c r="AL121" s="16">
        <v>0</v>
      </c>
      <c r="AM121" s="16">
        <v>150000</v>
      </c>
      <c r="AN121" s="16">
        <v>80000</v>
      </c>
      <c r="AO121" s="16">
        <v>0</v>
      </c>
      <c r="AP121" s="16">
        <v>0</v>
      </c>
      <c r="AQ121" s="16">
        <v>0</v>
      </c>
      <c r="AR121" s="16">
        <v>0</v>
      </c>
      <c r="AS121" s="16">
        <v>0</v>
      </c>
      <c r="AT121" s="16">
        <v>0</v>
      </c>
      <c r="AU121" s="16">
        <v>0</v>
      </c>
      <c r="AV121" s="16">
        <v>0</v>
      </c>
      <c r="AW121" s="16">
        <v>0</v>
      </c>
      <c r="AX121" s="16">
        <v>0</v>
      </c>
      <c r="AY121" s="16">
        <v>0</v>
      </c>
      <c r="AZ121" s="16">
        <v>0</v>
      </c>
      <c r="BA121" s="16"/>
      <c r="BB121" s="15">
        <f t="shared" si="83"/>
        <v>0</v>
      </c>
      <c r="BC121" s="15"/>
      <c r="BD121" s="16"/>
      <c r="BE121" s="16"/>
      <c r="BF121" s="16"/>
      <c r="BG121" s="16"/>
      <c r="BH121" s="16"/>
      <c r="BI121" s="16"/>
      <c r="BJ121" s="16"/>
      <c r="BK121" s="16"/>
      <c r="BL121" s="16"/>
      <c r="BM121" s="16"/>
      <c r="BN121" s="16"/>
      <c r="BO121" s="16"/>
      <c r="BP121" s="16"/>
      <c r="BQ121" s="16"/>
      <c r="BR121" s="16"/>
      <c r="BS121" s="16"/>
      <c r="BT121" s="16"/>
      <c r="BU121" s="16"/>
      <c r="BV121" s="16"/>
      <c r="BW121" s="16"/>
    </row>
    <row r="122" spans="1:75" ht="18" customHeight="1" outlineLevel="1">
      <c r="D122" s="7" t="s">
        <v>13</v>
      </c>
      <c r="F122" s="8">
        <v>7988</v>
      </c>
      <c r="G122" s="8" t="s">
        <v>2</v>
      </c>
      <c r="H122" s="8" t="s">
        <v>17</v>
      </c>
      <c r="I122" s="8">
        <v>171</v>
      </c>
      <c r="K122" s="8">
        <v>2400</v>
      </c>
      <c r="L122" s="8">
        <f t="shared" si="84"/>
        <v>28800</v>
      </c>
      <c r="M122" s="8">
        <f t="shared" si="85"/>
        <v>32543.999999999996</v>
      </c>
      <c r="N122" s="8">
        <v>21014</v>
      </c>
      <c r="O122" s="9">
        <f t="shared" si="86"/>
        <v>0.64571042281219282</v>
      </c>
      <c r="Q122" s="5">
        <v>2026</v>
      </c>
      <c r="R122" s="5">
        <v>7</v>
      </c>
      <c r="S122" s="14" t="s">
        <v>54</v>
      </c>
      <c r="T122" s="15">
        <f t="shared" si="81"/>
        <v>0</v>
      </c>
      <c r="U122" s="15">
        <f t="shared" si="82"/>
        <v>9010404</v>
      </c>
      <c r="V122" s="16">
        <v>5382000</v>
      </c>
      <c r="W122" s="16">
        <v>2009170</v>
      </c>
      <c r="X122" s="16">
        <v>289234</v>
      </c>
      <c r="Y122" s="16">
        <v>0</v>
      </c>
      <c r="Z122" s="16">
        <v>0</v>
      </c>
      <c r="AA122" s="16">
        <v>0</v>
      </c>
      <c r="AB122" s="16">
        <v>0</v>
      </c>
      <c r="AC122" s="16">
        <v>0</v>
      </c>
      <c r="AD122" s="16">
        <v>0</v>
      </c>
      <c r="AE122" s="16">
        <v>0</v>
      </c>
      <c r="AF122" s="16">
        <v>350000</v>
      </c>
      <c r="AG122" s="16">
        <v>100000</v>
      </c>
      <c r="AH122" s="16">
        <v>100000</v>
      </c>
      <c r="AI122" s="16">
        <v>250000</v>
      </c>
      <c r="AJ122" s="16">
        <v>0</v>
      </c>
      <c r="AK122" s="16">
        <v>300000</v>
      </c>
      <c r="AL122" s="16">
        <v>0</v>
      </c>
      <c r="AM122" s="16">
        <v>150000</v>
      </c>
      <c r="AN122" s="16">
        <v>80000</v>
      </c>
      <c r="AO122" s="16">
        <v>0</v>
      </c>
      <c r="AP122" s="16">
        <v>0</v>
      </c>
      <c r="AQ122" s="16">
        <v>0</v>
      </c>
      <c r="AR122" s="16">
        <v>0</v>
      </c>
      <c r="AS122" s="16">
        <v>0</v>
      </c>
      <c r="AT122" s="16">
        <v>0</v>
      </c>
      <c r="AU122" s="16">
        <v>0</v>
      </c>
      <c r="AV122" s="16">
        <v>0</v>
      </c>
      <c r="AW122" s="16">
        <v>0</v>
      </c>
      <c r="AX122" s="16">
        <v>0</v>
      </c>
      <c r="AY122" s="16">
        <v>0</v>
      </c>
      <c r="AZ122" s="16">
        <v>0</v>
      </c>
      <c r="BA122" s="16"/>
      <c r="BB122" s="15">
        <f t="shared" si="83"/>
        <v>0</v>
      </c>
      <c r="BC122" s="15"/>
      <c r="BD122" s="16"/>
      <c r="BE122" s="16"/>
      <c r="BF122" s="16"/>
      <c r="BG122" s="16"/>
      <c r="BH122" s="16"/>
      <c r="BI122" s="16"/>
      <c r="BJ122" s="16"/>
      <c r="BK122" s="16"/>
      <c r="BL122" s="16"/>
      <c r="BM122" s="16"/>
      <c r="BN122" s="16"/>
      <c r="BO122" s="16"/>
      <c r="BP122" s="16"/>
      <c r="BQ122" s="16"/>
      <c r="BR122" s="16"/>
      <c r="BS122" s="16"/>
      <c r="BT122" s="16"/>
      <c r="BU122" s="16"/>
      <c r="BV122" s="16"/>
      <c r="BW122" s="16"/>
    </row>
    <row r="123" spans="1:75" ht="18" customHeight="1" outlineLevel="1">
      <c r="H123" s="8" t="s">
        <v>18</v>
      </c>
      <c r="I123" s="8">
        <v>122</v>
      </c>
      <c r="J123" s="9"/>
      <c r="Q123" s="5">
        <v>2026</v>
      </c>
      <c r="R123" s="5">
        <v>6</v>
      </c>
      <c r="S123" s="14" t="s">
        <v>54</v>
      </c>
      <c r="T123" s="15">
        <f t="shared" si="81"/>
        <v>0</v>
      </c>
      <c r="U123" s="15">
        <f t="shared" si="82"/>
        <v>8710404</v>
      </c>
      <c r="V123" s="16">
        <v>5382000</v>
      </c>
      <c r="W123" s="16">
        <v>2009170</v>
      </c>
      <c r="X123" s="16">
        <v>289234</v>
      </c>
      <c r="Y123" s="16">
        <v>0</v>
      </c>
      <c r="Z123" s="16">
        <v>0</v>
      </c>
      <c r="AA123" s="16">
        <v>0</v>
      </c>
      <c r="AB123" s="16">
        <v>0</v>
      </c>
      <c r="AC123" s="16">
        <v>0</v>
      </c>
      <c r="AD123" s="16">
        <v>0</v>
      </c>
      <c r="AE123" s="16">
        <v>0</v>
      </c>
      <c r="AF123" s="16">
        <v>350000</v>
      </c>
      <c r="AG123" s="16">
        <v>100000</v>
      </c>
      <c r="AH123" s="16">
        <v>100000</v>
      </c>
      <c r="AI123" s="16">
        <v>250000</v>
      </c>
      <c r="AJ123" s="16">
        <v>0</v>
      </c>
      <c r="AK123" s="16">
        <v>0</v>
      </c>
      <c r="AL123" s="16">
        <v>0</v>
      </c>
      <c r="AM123" s="16">
        <v>150000</v>
      </c>
      <c r="AN123" s="16">
        <v>80000</v>
      </c>
      <c r="AO123" s="16">
        <v>0</v>
      </c>
      <c r="AP123" s="16">
        <v>0</v>
      </c>
      <c r="AQ123" s="16">
        <v>0</v>
      </c>
      <c r="AR123" s="16">
        <v>0</v>
      </c>
      <c r="AS123" s="16">
        <v>0</v>
      </c>
      <c r="AT123" s="16">
        <v>0</v>
      </c>
      <c r="AU123" s="16">
        <v>0</v>
      </c>
      <c r="AV123" s="16">
        <v>0</v>
      </c>
      <c r="AW123" s="16">
        <v>0</v>
      </c>
      <c r="AX123" s="16">
        <v>0</v>
      </c>
      <c r="AY123" s="16">
        <v>0</v>
      </c>
      <c r="AZ123" s="16">
        <v>0</v>
      </c>
      <c r="BA123" s="16"/>
      <c r="BB123" s="15">
        <f t="shared" si="83"/>
        <v>0</v>
      </c>
      <c r="BC123" s="15"/>
      <c r="BD123" s="16"/>
      <c r="BE123" s="16"/>
      <c r="BF123" s="16"/>
      <c r="BG123" s="16"/>
      <c r="BH123" s="16"/>
      <c r="BI123" s="16"/>
      <c r="BJ123" s="16"/>
      <c r="BK123" s="16"/>
      <c r="BL123" s="16"/>
      <c r="BM123" s="16"/>
      <c r="BN123" s="16"/>
      <c r="BO123" s="16"/>
      <c r="BP123" s="16"/>
      <c r="BQ123" s="16"/>
      <c r="BR123" s="16"/>
      <c r="BS123" s="16"/>
      <c r="BT123" s="16"/>
      <c r="BU123" s="16"/>
      <c r="BV123" s="16"/>
      <c r="BW123" s="16"/>
    </row>
    <row r="124" spans="1:75" ht="18" customHeight="1" outlineLevel="1">
      <c r="J124" s="9"/>
      <c r="Q124" s="5">
        <v>2026</v>
      </c>
      <c r="R124" s="5">
        <v>5</v>
      </c>
      <c r="S124" s="14" t="s">
        <v>54</v>
      </c>
      <c r="T124" s="15">
        <f t="shared" si="81"/>
        <v>8261378</v>
      </c>
      <c r="U124" s="15">
        <f t="shared" si="82"/>
        <v>10584084</v>
      </c>
      <c r="V124" s="16">
        <v>5382000</v>
      </c>
      <c r="W124" s="16">
        <v>2009170</v>
      </c>
      <c r="X124" s="16">
        <v>289234</v>
      </c>
      <c r="Y124" s="16">
        <v>0</v>
      </c>
      <c r="Z124" s="16">
        <v>0</v>
      </c>
      <c r="AA124" s="16">
        <v>0</v>
      </c>
      <c r="AB124" s="16">
        <v>0</v>
      </c>
      <c r="AC124" s="16">
        <f>4*(SUM(V124:W124)-SUM(V127:W127))</f>
        <v>1673680</v>
      </c>
      <c r="AD124" s="16">
        <v>0</v>
      </c>
      <c r="AE124" s="16">
        <v>0</v>
      </c>
      <c r="AF124" s="16">
        <v>350000</v>
      </c>
      <c r="AG124" s="16">
        <v>100000</v>
      </c>
      <c r="AH124" s="16">
        <v>100000</v>
      </c>
      <c r="AI124" s="16">
        <v>250000</v>
      </c>
      <c r="AJ124" s="16">
        <v>200000</v>
      </c>
      <c r="AK124" s="16">
        <v>0</v>
      </c>
      <c r="AL124" s="16">
        <v>0</v>
      </c>
      <c r="AM124" s="16">
        <v>150000</v>
      </c>
      <c r="AN124" s="16">
        <v>80000</v>
      </c>
      <c r="AO124" s="16">
        <v>0</v>
      </c>
      <c r="AP124" s="16">
        <v>0</v>
      </c>
      <c r="AQ124" s="16">
        <v>0</v>
      </c>
      <c r="AR124" s="16">
        <v>0</v>
      </c>
      <c r="AS124" s="16">
        <v>0</v>
      </c>
      <c r="AT124" s="16">
        <v>0</v>
      </c>
      <c r="AU124" s="16">
        <v>0</v>
      </c>
      <c r="AV124" s="16">
        <v>0</v>
      </c>
      <c r="AW124" s="16">
        <v>0</v>
      </c>
      <c r="AX124" s="16">
        <v>0</v>
      </c>
      <c r="AY124" s="16">
        <v>0</v>
      </c>
      <c r="AZ124" s="16">
        <v>0</v>
      </c>
      <c r="BA124" s="16"/>
      <c r="BB124" s="15">
        <f t="shared" si="83"/>
        <v>2322706</v>
      </c>
      <c r="BC124" s="15">
        <v>0</v>
      </c>
      <c r="BD124" s="16">
        <v>993460</v>
      </c>
      <c r="BE124" s="16">
        <v>0</v>
      </c>
      <c r="BF124" s="16">
        <v>99340</v>
      </c>
      <c r="BG124" s="16">
        <v>0</v>
      </c>
      <c r="BH124" s="16">
        <v>339030</v>
      </c>
      <c r="BI124" s="16">
        <v>302570</v>
      </c>
      <c r="BJ124" s="16">
        <v>91206</v>
      </c>
      <c r="BK124" s="16">
        <v>33100</v>
      </c>
      <c r="BL124" s="16">
        <v>160000</v>
      </c>
      <c r="BM124" s="16">
        <v>200000</v>
      </c>
      <c r="BN124" s="16">
        <v>104000</v>
      </c>
      <c r="BO124" s="16">
        <v>0</v>
      </c>
      <c r="BP124" s="16">
        <v>0</v>
      </c>
      <c r="BQ124" s="16">
        <v>0</v>
      </c>
      <c r="BR124" s="16">
        <v>0</v>
      </c>
      <c r="BS124" s="16">
        <v>0</v>
      </c>
      <c r="BT124" s="16">
        <v>0</v>
      </c>
      <c r="BU124" s="16">
        <v>0</v>
      </c>
      <c r="BV124" s="16">
        <v>0</v>
      </c>
      <c r="BW124" s="16">
        <v>0</v>
      </c>
    </row>
    <row r="125" spans="1:75" ht="18" customHeight="1" outlineLevel="1">
      <c r="B125" s="7">
        <v>2021</v>
      </c>
      <c r="C125" s="8" t="s">
        <v>12</v>
      </c>
      <c r="E125" s="8">
        <v>6867</v>
      </c>
      <c r="J125" s="9"/>
      <c r="Q125" s="5">
        <v>2026</v>
      </c>
      <c r="R125" s="5">
        <v>4</v>
      </c>
      <c r="S125" s="14" t="s">
        <v>28</v>
      </c>
      <c r="T125" s="15">
        <f t="shared" si="81"/>
        <v>4752569</v>
      </c>
      <c r="U125" s="15">
        <f t="shared" si="82"/>
        <v>5876729</v>
      </c>
      <c r="V125" s="16">
        <v>0</v>
      </c>
      <c r="W125" s="16">
        <v>0</v>
      </c>
      <c r="X125" s="16">
        <v>0</v>
      </c>
      <c r="Y125" s="16">
        <v>0</v>
      </c>
      <c r="Z125" s="16">
        <v>0</v>
      </c>
      <c r="AA125" s="16">
        <v>0</v>
      </c>
      <c r="AB125" s="16">
        <v>0</v>
      </c>
      <c r="AC125" s="16">
        <v>0</v>
      </c>
      <c r="AD125" s="16">
        <v>4376729</v>
      </c>
      <c r="AE125" s="16">
        <v>1500000</v>
      </c>
      <c r="AF125" s="16">
        <v>0</v>
      </c>
      <c r="AG125" s="16">
        <v>0</v>
      </c>
      <c r="AH125" s="16">
        <v>0</v>
      </c>
      <c r="AI125" s="16">
        <v>0</v>
      </c>
      <c r="AJ125" s="16">
        <v>0</v>
      </c>
      <c r="AK125" s="16">
        <v>0</v>
      </c>
      <c r="AL125" s="16">
        <v>0</v>
      </c>
      <c r="AM125" s="16">
        <v>0</v>
      </c>
      <c r="AN125" s="16">
        <v>0</v>
      </c>
      <c r="AO125" s="16">
        <v>0</v>
      </c>
      <c r="AP125" s="16">
        <v>0</v>
      </c>
      <c r="AQ125" s="16">
        <v>0</v>
      </c>
      <c r="AR125" s="16">
        <v>0</v>
      </c>
      <c r="AS125" s="16">
        <v>0</v>
      </c>
      <c r="AT125" s="16">
        <v>0</v>
      </c>
      <c r="AU125" s="16">
        <v>0</v>
      </c>
      <c r="AV125" s="16">
        <v>0</v>
      </c>
      <c r="AW125" s="16">
        <v>0</v>
      </c>
      <c r="AX125" s="16">
        <v>0</v>
      </c>
      <c r="AY125" s="16">
        <v>0</v>
      </c>
      <c r="AZ125" s="16">
        <v>0</v>
      </c>
      <c r="BA125" s="16"/>
      <c r="BB125" s="15">
        <f t="shared" si="83"/>
        <v>1124160</v>
      </c>
      <c r="BC125" s="15">
        <v>0</v>
      </c>
      <c r="BD125" s="16">
        <v>973890</v>
      </c>
      <c r="BE125" s="16">
        <v>0</v>
      </c>
      <c r="BF125" s="16">
        <v>97380</v>
      </c>
      <c r="BG125" s="16">
        <v>0</v>
      </c>
      <c r="BH125" s="16">
        <v>0</v>
      </c>
      <c r="BI125" s="16">
        <v>0</v>
      </c>
      <c r="BJ125" s="16">
        <v>52890</v>
      </c>
      <c r="BK125" s="16">
        <v>0</v>
      </c>
      <c r="BL125" s="16">
        <v>0</v>
      </c>
      <c r="BM125" s="16">
        <v>0</v>
      </c>
      <c r="BN125" s="16">
        <v>0</v>
      </c>
      <c r="BO125" s="16">
        <v>0</v>
      </c>
      <c r="BP125" s="16">
        <v>0</v>
      </c>
      <c r="BQ125" s="16">
        <v>0</v>
      </c>
      <c r="BR125" s="16">
        <v>0</v>
      </c>
      <c r="BS125" s="16">
        <v>0</v>
      </c>
      <c r="BT125" s="16">
        <v>0</v>
      </c>
      <c r="BU125" s="16">
        <v>0</v>
      </c>
      <c r="BV125" s="16">
        <v>0</v>
      </c>
      <c r="BW125" s="16">
        <v>0</v>
      </c>
    </row>
    <row r="126" spans="1:75" ht="18" customHeight="1" outlineLevel="1">
      <c r="B126" s="7">
        <v>2021</v>
      </c>
      <c r="C126" s="8" t="s">
        <v>12</v>
      </c>
      <c r="E126" s="8">
        <v>6867</v>
      </c>
      <c r="J126" s="9"/>
      <c r="Q126" s="5">
        <v>2026</v>
      </c>
      <c r="R126" s="5">
        <v>4</v>
      </c>
      <c r="S126" s="14" t="s">
        <v>54</v>
      </c>
      <c r="T126" s="15">
        <f t="shared" ref="T126" si="87">IF(U126=U126-BB126,0,U126-BB126)</f>
        <v>6689092</v>
      </c>
      <c r="U126" s="15">
        <f t="shared" ref="U126" si="88">SUM(V126:BA126)</f>
        <v>8326984</v>
      </c>
      <c r="V126" s="6">
        <f t="shared" ref="V126:V128" si="89">4968000+109000</f>
        <v>5077000</v>
      </c>
      <c r="W126" s="6">
        <f t="shared" ref="W126:W128" si="90">1854750+41000</f>
        <v>1895750</v>
      </c>
      <c r="X126" s="16">
        <v>289234</v>
      </c>
      <c r="Y126" s="16">
        <v>0</v>
      </c>
      <c r="Z126" s="16">
        <v>0</v>
      </c>
      <c r="AA126" s="16">
        <v>0</v>
      </c>
      <c r="AB126" s="16">
        <v>0</v>
      </c>
      <c r="AC126" s="16">
        <v>0</v>
      </c>
      <c r="AD126" s="16">
        <v>0</v>
      </c>
      <c r="AE126" s="16">
        <v>0</v>
      </c>
      <c r="AF126" s="16">
        <v>350000</v>
      </c>
      <c r="AG126" s="16">
        <v>100000</v>
      </c>
      <c r="AH126" s="16">
        <v>100000</v>
      </c>
      <c r="AI126" s="16">
        <v>250000</v>
      </c>
      <c r="AJ126" s="16">
        <v>35000</v>
      </c>
      <c r="AK126" s="16">
        <v>0</v>
      </c>
      <c r="AL126" s="16">
        <v>0</v>
      </c>
      <c r="AM126" s="16">
        <v>150000</v>
      </c>
      <c r="AN126" s="16">
        <v>80000</v>
      </c>
      <c r="AO126" s="16">
        <v>0</v>
      </c>
      <c r="AP126" s="16">
        <v>0</v>
      </c>
      <c r="AQ126" s="16">
        <v>0</v>
      </c>
      <c r="AR126" s="16">
        <v>0</v>
      </c>
      <c r="AS126" s="16">
        <v>0</v>
      </c>
      <c r="AT126" s="16">
        <v>0</v>
      </c>
      <c r="AU126" s="16">
        <v>0</v>
      </c>
      <c r="AV126" s="16">
        <v>0</v>
      </c>
      <c r="AW126" s="16">
        <v>0</v>
      </c>
      <c r="AX126" s="16">
        <v>0</v>
      </c>
      <c r="AY126" s="16">
        <v>0</v>
      </c>
      <c r="AZ126" s="16">
        <v>0</v>
      </c>
      <c r="BA126" s="16"/>
      <c r="BB126" s="15">
        <f t="shared" ref="BB126" si="91">SUM(BC126:BW126)</f>
        <v>1637892</v>
      </c>
      <c r="BC126" s="15">
        <v>0</v>
      </c>
      <c r="BD126" s="16">
        <v>567180</v>
      </c>
      <c r="BE126" s="16">
        <v>0</v>
      </c>
      <c r="BF126" s="16">
        <v>56710</v>
      </c>
      <c r="BG126" s="16">
        <v>0</v>
      </c>
      <c r="BH126" s="16">
        <v>339030</v>
      </c>
      <c r="BI126" s="16">
        <v>302570</v>
      </c>
      <c r="BJ126" s="16">
        <v>70892</v>
      </c>
      <c r="BK126" s="16">
        <v>25400</v>
      </c>
      <c r="BL126" s="16">
        <v>160000</v>
      </c>
      <c r="BM126" s="16">
        <v>35000</v>
      </c>
      <c r="BN126" s="16">
        <v>80000</v>
      </c>
      <c r="BO126" s="16">
        <v>1110</v>
      </c>
      <c r="BP126" s="16">
        <v>0</v>
      </c>
      <c r="BQ126" s="16">
        <v>0</v>
      </c>
      <c r="BR126" s="16">
        <v>0</v>
      </c>
      <c r="BS126" s="16">
        <v>0</v>
      </c>
      <c r="BT126" s="16">
        <v>0</v>
      </c>
      <c r="BU126" s="16">
        <v>0</v>
      </c>
      <c r="BV126" s="16">
        <v>0</v>
      </c>
      <c r="BW126" s="16">
        <v>0</v>
      </c>
    </row>
    <row r="127" spans="1:75" ht="18" customHeight="1" outlineLevel="1">
      <c r="B127" s="7">
        <v>2022</v>
      </c>
      <c r="C127" s="8" t="s">
        <v>12</v>
      </c>
      <c r="E127" s="8">
        <v>6867</v>
      </c>
      <c r="J127" s="9"/>
      <c r="Q127" s="5">
        <v>2026</v>
      </c>
      <c r="R127" s="5">
        <v>3</v>
      </c>
      <c r="S127" s="14" t="s">
        <v>54</v>
      </c>
      <c r="T127" s="15">
        <f t="shared" si="81"/>
        <v>6725227</v>
      </c>
      <c r="U127" s="15">
        <f t="shared" si="82"/>
        <v>8291984</v>
      </c>
      <c r="V127" s="6">
        <f t="shared" si="89"/>
        <v>5077000</v>
      </c>
      <c r="W127" s="6">
        <f t="shared" si="90"/>
        <v>1895750</v>
      </c>
      <c r="X127" s="16">
        <v>289234</v>
      </c>
      <c r="Y127" s="16">
        <v>0</v>
      </c>
      <c r="Z127" s="16">
        <v>0</v>
      </c>
      <c r="AA127" s="16">
        <v>0</v>
      </c>
      <c r="AB127" s="16">
        <v>0</v>
      </c>
      <c r="AC127" s="16">
        <v>0</v>
      </c>
      <c r="AD127" s="16">
        <v>0</v>
      </c>
      <c r="AE127" s="16">
        <v>0</v>
      </c>
      <c r="AF127" s="16">
        <v>350000</v>
      </c>
      <c r="AG127" s="16">
        <v>100000</v>
      </c>
      <c r="AH127" s="16">
        <v>100000</v>
      </c>
      <c r="AI127" s="16">
        <v>250000</v>
      </c>
      <c r="AJ127" s="16">
        <v>0</v>
      </c>
      <c r="AK127" s="16">
        <v>0</v>
      </c>
      <c r="AL127" s="16">
        <v>0</v>
      </c>
      <c r="AM127" s="16">
        <v>150000</v>
      </c>
      <c r="AN127" s="16">
        <v>80000</v>
      </c>
      <c r="AO127" s="16">
        <v>0</v>
      </c>
      <c r="AP127" s="16">
        <v>0</v>
      </c>
      <c r="AQ127" s="16">
        <v>0</v>
      </c>
      <c r="AR127" s="16">
        <v>0</v>
      </c>
      <c r="AS127" s="16">
        <v>0</v>
      </c>
      <c r="AT127" s="16">
        <v>0</v>
      </c>
      <c r="AU127" s="16">
        <v>0</v>
      </c>
      <c r="AV127" s="16">
        <v>0</v>
      </c>
      <c r="AW127" s="16">
        <v>0</v>
      </c>
      <c r="AX127" s="16">
        <v>0</v>
      </c>
      <c r="AY127" s="16">
        <v>0</v>
      </c>
      <c r="AZ127" s="16">
        <v>0</v>
      </c>
      <c r="BA127" s="16"/>
      <c r="BB127" s="15">
        <f t="shared" si="83"/>
        <v>1566757</v>
      </c>
      <c r="BC127" s="15">
        <v>0</v>
      </c>
      <c r="BD127" s="16">
        <v>563800</v>
      </c>
      <c r="BE127" s="16">
        <v>0</v>
      </c>
      <c r="BF127" s="16">
        <v>56380</v>
      </c>
      <c r="BG127" s="16">
        <v>0</v>
      </c>
      <c r="BH127" s="16">
        <v>339030</v>
      </c>
      <c r="BI127" s="16">
        <v>302570</v>
      </c>
      <c r="BJ127" s="16">
        <v>70577</v>
      </c>
      <c r="BK127" s="16">
        <v>25400</v>
      </c>
      <c r="BL127" s="16">
        <v>160000</v>
      </c>
      <c r="BM127" s="16">
        <v>0</v>
      </c>
      <c r="BN127" s="16">
        <v>49000</v>
      </c>
      <c r="BO127" s="16">
        <v>0</v>
      </c>
      <c r="BP127" s="16">
        <v>0</v>
      </c>
      <c r="BQ127" s="16">
        <v>0</v>
      </c>
      <c r="BR127" s="16">
        <v>0</v>
      </c>
      <c r="BS127" s="16">
        <v>0</v>
      </c>
      <c r="BT127" s="16">
        <v>0</v>
      </c>
      <c r="BU127" s="16">
        <v>0</v>
      </c>
      <c r="BV127" s="16">
        <v>0</v>
      </c>
      <c r="BW127" s="16">
        <v>0</v>
      </c>
    </row>
    <row r="128" spans="1:75" ht="18" customHeight="1" outlineLevel="1">
      <c r="B128" s="7">
        <v>2023</v>
      </c>
      <c r="C128" s="8" t="s">
        <v>12</v>
      </c>
      <c r="E128" s="8">
        <v>6867</v>
      </c>
      <c r="J128" s="9"/>
      <c r="Q128" s="5">
        <v>2026</v>
      </c>
      <c r="R128" s="5">
        <v>2</v>
      </c>
      <c r="S128" s="14" t="s">
        <v>54</v>
      </c>
      <c r="T128" s="15">
        <f t="shared" si="81"/>
        <v>9381807</v>
      </c>
      <c r="U128" s="15">
        <f t="shared" si="82"/>
        <v>8781984</v>
      </c>
      <c r="V128" s="6">
        <f t="shared" si="89"/>
        <v>5077000</v>
      </c>
      <c r="W128" s="6">
        <f t="shared" si="90"/>
        <v>1895750</v>
      </c>
      <c r="X128" s="16">
        <v>289234</v>
      </c>
      <c r="Y128" s="16">
        <v>0</v>
      </c>
      <c r="Z128" s="16">
        <v>0</v>
      </c>
      <c r="AA128" s="16">
        <v>0</v>
      </c>
      <c r="AB128" s="16">
        <v>0</v>
      </c>
      <c r="AC128" s="16">
        <v>0</v>
      </c>
      <c r="AD128" s="16">
        <v>0</v>
      </c>
      <c r="AE128" s="16">
        <v>0</v>
      </c>
      <c r="AF128" s="16">
        <v>350000</v>
      </c>
      <c r="AG128" s="16">
        <v>100000</v>
      </c>
      <c r="AH128" s="16">
        <v>100000</v>
      </c>
      <c r="AI128" s="16">
        <v>250000</v>
      </c>
      <c r="AJ128" s="16">
        <v>450000</v>
      </c>
      <c r="AK128" s="16">
        <v>0</v>
      </c>
      <c r="AL128" s="16">
        <v>0</v>
      </c>
      <c r="AM128" s="16">
        <v>150000</v>
      </c>
      <c r="AN128" s="16">
        <v>80000</v>
      </c>
      <c r="AO128" s="16">
        <v>0</v>
      </c>
      <c r="AP128" s="16">
        <v>0</v>
      </c>
      <c r="AQ128" s="16">
        <v>40000</v>
      </c>
      <c r="AR128" s="16">
        <v>0</v>
      </c>
      <c r="AS128" s="16">
        <v>0</v>
      </c>
      <c r="AT128" s="16">
        <v>0</v>
      </c>
      <c r="AU128" s="16">
        <v>0</v>
      </c>
      <c r="AV128" s="16">
        <v>0</v>
      </c>
      <c r="AW128" s="16">
        <v>0</v>
      </c>
      <c r="AX128" s="16">
        <v>0</v>
      </c>
      <c r="AY128" s="16">
        <v>0</v>
      </c>
      <c r="AZ128" s="16">
        <v>0</v>
      </c>
      <c r="BA128" s="16"/>
      <c r="BB128" s="15">
        <f t="shared" si="83"/>
        <v>-599823</v>
      </c>
      <c r="BC128" s="15">
        <v>-2775600</v>
      </c>
      <c r="BD128" s="16">
        <v>668900</v>
      </c>
      <c r="BE128" s="16">
        <v>0</v>
      </c>
      <c r="BF128" s="16">
        <v>66890</v>
      </c>
      <c r="BG128" s="16">
        <v>0</v>
      </c>
      <c r="BH128" s="16">
        <v>339030</v>
      </c>
      <c r="BI128" s="16">
        <v>302570</v>
      </c>
      <c r="BJ128" s="16">
        <v>74987</v>
      </c>
      <c r="BK128" s="16">
        <v>25400</v>
      </c>
      <c r="BL128" s="16">
        <v>160000</v>
      </c>
      <c r="BM128" s="16">
        <v>450000</v>
      </c>
      <c r="BN128" s="16">
        <v>88000</v>
      </c>
      <c r="BO128" s="16">
        <v>0</v>
      </c>
      <c r="BP128" s="16">
        <v>0</v>
      </c>
      <c r="BQ128" s="16">
        <v>0</v>
      </c>
      <c r="BR128" s="16">
        <v>0</v>
      </c>
      <c r="BS128" s="16">
        <v>0</v>
      </c>
      <c r="BT128" s="16">
        <v>0</v>
      </c>
      <c r="BU128" s="16">
        <v>0</v>
      </c>
      <c r="BV128" s="16">
        <v>0</v>
      </c>
      <c r="BW128" s="16">
        <v>0</v>
      </c>
    </row>
    <row r="129" spans="1:75" ht="18" customHeight="1" outlineLevel="1">
      <c r="B129" s="7">
        <v>2024</v>
      </c>
      <c r="C129" s="8" t="s">
        <v>12</v>
      </c>
      <c r="E129" s="8">
        <v>6867</v>
      </c>
      <c r="J129" s="9"/>
      <c r="Q129" s="5">
        <v>2026</v>
      </c>
      <c r="R129" s="5">
        <v>1</v>
      </c>
      <c r="S129" s="14" t="s">
        <v>54</v>
      </c>
      <c r="T129" s="15">
        <f t="shared" si="81"/>
        <v>7832817</v>
      </c>
      <c r="U129" s="15">
        <f t="shared" si="82"/>
        <v>9679623</v>
      </c>
      <c r="V129" s="6">
        <f>4968000+109000</f>
        <v>5077000</v>
      </c>
      <c r="W129" s="6">
        <f>1854750+41000</f>
        <v>1895750</v>
      </c>
      <c r="X129" s="16">
        <v>289234</v>
      </c>
      <c r="Y129" s="16">
        <v>0</v>
      </c>
      <c r="Z129" s="16">
        <v>0</v>
      </c>
      <c r="AA129" s="16">
        <v>0</v>
      </c>
      <c r="AB129" s="16">
        <v>0</v>
      </c>
      <c r="AC129" s="16">
        <v>0</v>
      </c>
      <c r="AD129" s="16">
        <v>0</v>
      </c>
      <c r="AE129" s="16">
        <v>0</v>
      </c>
      <c r="AF129" s="16">
        <v>350000</v>
      </c>
      <c r="AG129" s="16">
        <v>100000</v>
      </c>
      <c r="AH129" s="16">
        <v>100000</v>
      </c>
      <c r="AI129" s="16">
        <v>250000</v>
      </c>
      <c r="AJ129" s="16">
        <v>0</v>
      </c>
      <c r="AK129" s="16">
        <v>0</v>
      </c>
      <c r="AL129" s="16">
        <v>0</v>
      </c>
      <c r="AM129" s="16">
        <v>150000</v>
      </c>
      <c r="AN129" s="16">
        <v>80000</v>
      </c>
      <c r="AO129" s="16">
        <v>0</v>
      </c>
      <c r="AP129" s="16">
        <v>0</v>
      </c>
      <c r="AQ129" s="16">
        <v>0</v>
      </c>
      <c r="AR129" s="16">
        <v>0</v>
      </c>
      <c r="AS129" s="16">
        <v>1387639</v>
      </c>
      <c r="AT129" s="16">
        <v>0</v>
      </c>
      <c r="AU129" s="16">
        <v>0</v>
      </c>
      <c r="AV129" s="16">
        <v>0</v>
      </c>
      <c r="AW129" s="16">
        <v>0</v>
      </c>
      <c r="AX129" s="16">
        <v>0</v>
      </c>
      <c r="AY129" s="16">
        <v>0</v>
      </c>
      <c r="AZ129" s="16">
        <v>0</v>
      </c>
      <c r="BA129" s="16"/>
      <c r="BB129" s="15">
        <f t="shared" si="83"/>
        <v>1846806</v>
      </c>
      <c r="BC129" s="15">
        <v>0</v>
      </c>
      <c r="BD129" s="16">
        <v>826130</v>
      </c>
      <c r="BE129" s="16">
        <v>0</v>
      </c>
      <c r="BF129" s="16">
        <v>82610</v>
      </c>
      <c r="BG129" s="16">
        <v>0</v>
      </c>
      <c r="BH129" s="16">
        <v>339030</v>
      </c>
      <c r="BI129" s="16">
        <v>302570</v>
      </c>
      <c r="BJ129" s="16">
        <v>83066</v>
      </c>
      <c r="BK129" s="16">
        <v>25400</v>
      </c>
      <c r="BL129" s="16">
        <v>160000</v>
      </c>
      <c r="BM129" s="16">
        <v>0</v>
      </c>
      <c r="BN129" s="16">
        <v>28000</v>
      </c>
      <c r="BO129" s="16">
        <v>0</v>
      </c>
      <c r="BP129" s="16">
        <v>0</v>
      </c>
      <c r="BQ129" s="16">
        <v>0</v>
      </c>
      <c r="BR129" s="16">
        <v>0</v>
      </c>
      <c r="BS129" s="16">
        <v>0</v>
      </c>
      <c r="BT129" s="16">
        <v>0</v>
      </c>
      <c r="BU129" s="16">
        <v>0</v>
      </c>
      <c r="BV129" s="16">
        <v>0</v>
      </c>
      <c r="BW129" s="16">
        <v>0</v>
      </c>
    </row>
    <row r="130" spans="1:75" s="1" customFormat="1" ht="18" customHeight="1">
      <c r="A130" s="10"/>
      <c r="B130" s="11"/>
      <c r="C130" s="12"/>
      <c r="D130" s="11"/>
      <c r="E130" s="12"/>
      <c r="F130" s="12"/>
      <c r="G130" s="12"/>
      <c r="H130" s="12"/>
      <c r="I130" s="12"/>
      <c r="J130" s="3"/>
      <c r="K130" s="12"/>
      <c r="L130" s="12"/>
      <c r="M130" s="12"/>
      <c r="N130" s="12"/>
      <c r="O130" s="13"/>
      <c r="Q130" s="628" t="s">
        <v>201</v>
      </c>
      <c r="R130" s="628"/>
      <c r="S130" s="628"/>
      <c r="T130" s="23">
        <f t="shared" ref="T130:AZ130" si="92">SUMIF($Q$2:$Q$793,$Q131,T$2:T$793)</f>
        <v>65650602</v>
      </c>
      <c r="U130" s="23">
        <f t="shared" si="92"/>
        <v>81928562</v>
      </c>
      <c r="V130" s="23">
        <f t="shared" si="92"/>
        <v>44391484</v>
      </c>
      <c r="W130" s="23">
        <f t="shared" si="92"/>
        <v>16573089</v>
      </c>
      <c r="X130" s="23">
        <f t="shared" si="92"/>
        <v>2705738</v>
      </c>
      <c r="Y130" s="23">
        <f t="shared" si="92"/>
        <v>0</v>
      </c>
      <c r="Z130" s="23">
        <f t="shared" si="92"/>
        <v>0</v>
      </c>
      <c r="AA130" s="23">
        <f t="shared" si="92"/>
        <v>0</v>
      </c>
      <c r="AB130" s="23">
        <f t="shared" si="92"/>
        <v>0</v>
      </c>
      <c r="AC130" s="23">
        <f t="shared" si="92"/>
        <v>438809</v>
      </c>
      <c r="AD130" s="23">
        <f t="shared" si="92"/>
        <v>3000000</v>
      </c>
      <c r="AE130" s="23">
        <f t="shared" si="92"/>
        <v>2000000</v>
      </c>
      <c r="AF130" s="23">
        <f t="shared" si="92"/>
        <v>3150000</v>
      </c>
      <c r="AG130" s="23">
        <f t="shared" si="92"/>
        <v>0</v>
      </c>
      <c r="AH130" s="23">
        <f t="shared" si="92"/>
        <v>1487097</v>
      </c>
      <c r="AI130" s="23">
        <f t="shared" si="92"/>
        <v>2250000</v>
      </c>
      <c r="AJ130" s="23">
        <f t="shared" si="92"/>
        <v>910000</v>
      </c>
      <c r="AK130" s="23">
        <f t="shared" si="92"/>
        <v>300000</v>
      </c>
      <c r="AL130" s="23">
        <f t="shared" si="92"/>
        <v>387097</v>
      </c>
      <c r="AM130" s="23">
        <f t="shared" si="92"/>
        <v>962904</v>
      </c>
      <c r="AN130" s="23">
        <f t="shared" si="92"/>
        <v>714839</v>
      </c>
      <c r="AO130" s="23">
        <f t="shared" si="92"/>
        <v>2150000</v>
      </c>
      <c r="AP130" s="23">
        <f t="shared" si="92"/>
        <v>150000</v>
      </c>
      <c r="AQ130" s="23">
        <f t="shared" si="92"/>
        <v>0</v>
      </c>
      <c r="AR130" s="23">
        <f t="shared" si="92"/>
        <v>0</v>
      </c>
      <c r="AS130" s="23">
        <f t="shared" si="92"/>
        <v>0</v>
      </c>
      <c r="AT130" s="23">
        <f t="shared" si="92"/>
        <v>0</v>
      </c>
      <c r="AU130" s="23">
        <f t="shared" si="92"/>
        <v>300000</v>
      </c>
      <c r="AV130" s="23">
        <f t="shared" si="92"/>
        <v>0</v>
      </c>
      <c r="AW130" s="23">
        <f t="shared" si="92"/>
        <v>0</v>
      </c>
      <c r="AX130" s="23">
        <f t="shared" si="92"/>
        <v>0</v>
      </c>
      <c r="AY130" s="23">
        <f t="shared" si="92"/>
        <v>0</v>
      </c>
      <c r="AZ130" s="23">
        <f t="shared" si="92"/>
        <v>57505</v>
      </c>
      <c r="BA130" s="23"/>
      <c r="BB130" s="23">
        <f t="shared" ref="BB130:BW130" si="93">SUMIF($Q$2:$Q$793,$Q131,BB$2:BB$793)</f>
        <v>16277960</v>
      </c>
      <c r="BC130" s="23">
        <f t="shared" si="93"/>
        <v>230270</v>
      </c>
      <c r="BD130" s="23">
        <f t="shared" si="93"/>
        <v>5691280</v>
      </c>
      <c r="BE130" s="23">
        <f t="shared" si="93"/>
        <v>11500</v>
      </c>
      <c r="BF130" s="23">
        <f t="shared" si="93"/>
        <v>569090</v>
      </c>
      <c r="BG130" s="23">
        <f t="shared" si="93"/>
        <v>1150</v>
      </c>
      <c r="BH130" s="23">
        <f t="shared" si="93"/>
        <v>3036150</v>
      </c>
      <c r="BI130" s="23">
        <f t="shared" si="93"/>
        <v>2534850</v>
      </c>
      <c r="BJ130" s="23">
        <f t="shared" si="93"/>
        <v>677770</v>
      </c>
      <c r="BK130" s="23">
        <f t="shared" si="93"/>
        <v>222300</v>
      </c>
      <c r="BL130" s="23">
        <f t="shared" si="93"/>
        <v>1440000</v>
      </c>
      <c r="BM130" s="23">
        <f t="shared" si="93"/>
        <v>910000</v>
      </c>
      <c r="BN130" s="23">
        <f t="shared" si="93"/>
        <v>410600</v>
      </c>
      <c r="BO130" s="23">
        <f t="shared" si="93"/>
        <v>243000</v>
      </c>
      <c r="BP130" s="23">
        <f t="shared" si="93"/>
        <v>0</v>
      </c>
      <c r="BQ130" s="23">
        <f t="shared" si="93"/>
        <v>0</v>
      </c>
      <c r="BR130" s="23">
        <f t="shared" si="93"/>
        <v>0</v>
      </c>
      <c r="BS130" s="23">
        <f t="shared" si="93"/>
        <v>0</v>
      </c>
      <c r="BT130" s="23">
        <f t="shared" si="93"/>
        <v>0</v>
      </c>
      <c r="BU130" s="23">
        <f t="shared" si="93"/>
        <v>300000</v>
      </c>
      <c r="BV130" s="23">
        <f t="shared" si="93"/>
        <v>0</v>
      </c>
      <c r="BW130" s="23">
        <f t="shared" si="93"/>
        <v>0</v>
      </c>
    </row>
    <row r="131" spans="1:75" ht="18" customHeight="1" outlineLevel="1">
      <c r="D131" s="7" t="s">
        <v>11</v>
      </c>
      <c r="F131" s="8">
        <v>4717</v>
      </c>
      <c r="G131" s="8">
        <v>5848</v>
      </c>
      <c r="K131" s="8">
        <v>2400</v>
      </c>
      <c r="L131" s="8">
        <f>K131*12</f>
        <v>28800</v>
      </c>
      <c r="M131" s="8">
        <f>L131*1.13</f>
        <v>32543.999999999996</v>
      </c>
      <c r="N131" s="8">
        <v>21014</v>
      </c>
      <c r="O131" s="9">
        <f>N131/M131</f>
        <v>0.64571042281219282</v>
      </c>
      <c r="Q131" s="5">
        <v>2025</v>
      </c>
      <c r="R131" s="5">
        <v>12</v>
      </c>
      <c r="S131" s="14" t="s">
        <v>54</v>
      </c>
      <c r="T131" s="15">
        <f t="shared" ref="T131:T144" si="94">IF(U131=U131-BB131,0,U131-BB131)</f>
        <v>6544037</v>
      </c>
      <c r="U131" s="15">
        <f t="shared" ref="U131:U144" si="95">SUM(V131:BA131)</f>
        <v>8491984</v>
      </c>
      <c r="V131" s="6">
        <v>4968000</v>
      </c>
      <c r="W131" s="6">
        <v>1854750</v>
      </c>
      <c r="X131" s="16">
        <v>289234</v>
      </c>
      <c r="Y131" s="16">
        <v>0</v>
      </c>
      <c r="Z131" s="16">
        <v>0</v>
      </c>
      <c r="AA131" s="16">
        <v>0</v>
      </c>
      <c r="AB131" s="16">
        <v>0</v>
      </c>
      <c r="AC131" s="16">
        <v>0</v>
      </c>
      <c r="AD131" s="16">
        <v>0</v>
      </c>
      <c r="AE131" s="16">
        <v>0</v>
      </c>
      <c r="AF131" s="16">
        <v>350000</v>
      </c>
      <c r="AG131" s="16">
        <v>0</v>
      </c>
      <c r="AH131" s="16">
        <v>200000</v>
      </c>
      <c r="AI131" s="16">
        <v>250000</v>
      </c>
      <c r="AJ131" s="16">
        <v>50000</v>
      </c>
      <c r="AK131" s="16">
        <v>0</v>
      </c>
      <c r="AL131" s="16">
        <v>0</v>
      </c>
      <c r="AM131" s="16">
        <v>150000</v>
      </c>
      <c r="AN131" s="16">
        <v>80000</v>
      </c>
      <c r="AO131" s="16">
        <v>0</v>
      </c>
      <c r="AP131" s="16">
        <v>0</v>
      </c>
      <c r="AQ131" s="16">
        <v>0</v>
      </c>
      <c r="AR131" s="16">
        <v>0</v>
      </c>
      <c r="AS131" s="16">
        <v>0</v>
      </c>
      <c r="AT131" s="16">
        <v>0</v>
      </c>
      <c r="AU131" s="16">
        <v>300000</v>
      </c>
      <c r="AV131" s="16">
        <v>0</v>
      </c>
      <c r="AW131" s="16">
        <v>0</v>
      </c>
      <c r="AX131" s="16">
        <v>0</v>
      </c>
      <c r="AY131" s="16">
        <v>0</v>
      </c>
      <c r="AZ131" s="16">
        <v>0</v>
      </c>
      <c r="BA131" s="16"/>
      <c r="BB131" s="15">
        <f t="shared" ref="BB131:BB144" si="96">SUM(BC131:BW131)</f>
        <v>1947947</v>
      </c>
      <c r="BC131" s="15">
        <v>0</v>
      </c>
      <c r="BD131" s="16">
        <v>604700</v>
      </c>
      <c r="BE131" s="16">
        <v>0</v>
      </c>
      <c r="BF131" s="16">
        <v>60470</v>
      </c>
      <c r="BG131" s="16">
        <v>0</v>
      </c>
      <c r="BH131" s="16">
        <v>333750</v>
      </c>
      <c r="BI131" s="16">
        <v>286650</v>
      </c>
      <c r="BJ131" s="16">
        <v>71477</v>
      </c>
      <c r="BK131" s="16">
        <v>24900</v>
      </c>
      <c r="BL131" s="16">
        <v>160000</v>
      </c>
      <c r="BM131" s="16">
        <v>50000</v>
      </c>
      <c r="BN131" s="16">
        <v>56000</v>
      </c>
      <c r="BO131" s="16">
        <v>0</v>
      </c>
      <c r="BP131" s="16">
        <v>0</v>
      </c>
      <c r="BQ131" s="16">
        <v>0</v>
      </c>
      <c r="BR131" s="16">
        <v>0</v>
      </c>
      <c r="BS131" s="16">
        <v>0</v>
      </c>
      <c r="BT131" s="16">
        <v>0</v>
      </c>
      <c r="BU131" s="16">
        <v>300000</v>
      </c>
      <c r="BV131" s="16">
        <v>0</v>
      </c>
      <c r="BW131" s="16">
        <v>0</v>
      </c>
    </row>
    <row r="132" spans="1:75" ht="18" customHeight="1" outlineLevel="1">
      <c r="D132" s="7" t="s">
        <v>11</v>
      </c>
      <c r="F132" s="8">
        <v>4717</v>
      </c>
      <c r="G132" s="8">
        <v>5848</v>
      </c>
      <c r="K132" s="8">
        <v>2400</v>
      </c>
      <c r="L132" s="8">
        <f>K132*12</f>
        <v>28800</v>
      </c>
      <c r="M132" s="8">
        <f>L132*1.13</f>
        <v>32543.999999999996</v>
      </c>
      <c r="N132" s="8">
        <v>21014</v>
      </c>
      <c r="O132" s="9">
        <f>N132/M132</f>
        <v>0.64571042281219282</v>
      </c>
      <c r="Q132" s="5">
        <v>2025</v>
      </c>
      <c r="R132" s="5">
        <v>11</v>
      </c>
      <c r="S132" s="14" t="s">
        <v>54</v>
      </c>
      <c r="T132" s="15">
        <f t="shared" si="94"/>
        <v>6642107</v>
      </c>
      <c r="U132" s="15">
        <f t="shared" si="95"/>
        <v>8141984</v>
      </c>
      <c r="V132" s="6">
        <v>4968000</v>
      </c>
      <c r="W132" s="6">
        <v>1854750</v>
      </c>
      <c r="X132" s="16">
        <v>289234</v>
      </c>
      <c r="Y132" s="16">
        <v>0</v>
      </c>
      <c r="Z132" s="16">
        <v>0</v>
      </c>
      <c r="AA132" s="16">
        <v>0</v>
      </c>
      <c r="AB132" s="16">
        <v>0</v>
      </c>
      <c r="AC132" s="16">
        <v>0</v>
      </c>
      <c r="AD132" s="16">
        <v>0</v>
      </c>
      <c r="AE132" s="16">
        <v>0</v>
      </c>
      <c r="AF132" s="16">
        <v>350000</v>
      </c>
      <c r="AG132" s="16">
        <v>0</v>
      </c>
      <c r="AH132" s="16">
        <v>200000</v>
      </c>
      <c r="AI132" s="16">
        <v>250000</v>
      </c>
      <c r="AJ132" s="16">
        <v>0</v>
      </c>
      <c r="AK132" s="16">
        <v>0</v>
      </c>
      <c r="AL132" s="16">
        <v>0</v>
      </c>
      <c r="AM132" s="16">
        <v>150000</v>
      </c>
      <c r="AN132" s="16">
        <v>80000</v>
      </c>
      <c r="AO132" s="16">
        <v>0</v>
      </c>
      <c r="AP132" s="16">
        <v>0</v>
      </c>
      <c r="AQ132" s="16">
        <v>0</v>
      </c>
      <c r="AR132" s="16">
        <v>0</v>
      </c>
      <c r="AS132" s="16">
        <v>0</v>
      </c>
      <c r="AT132" s="16">
        <v>0</v>
      </c>
      <c r="AU132" s="16">
        <v>0</v>
      </c>
      <c r="AV132" s="16">
        <v>0</v>
      </c>
      <c r="AW132" s="16">
        <v>0</v>
      </c>
      <c r="AX132" s="16">
        <v>0</v>
      </c>
      <c r="AY132" s="16">
        <v>0</v>
      </c>
      <c r="AZ132" s="16">
        <v>0</v>
      </c>
      <c r="BA132" s="16"/>
      <c r="BB132" s="15">
        <f t="shared" si="96"/>
        <v>1499877</v>
      </c>
      <c r="BC132" s="15">
        <v>0</v>
      </c>
      <c r="BD132" s="16">
        <v>543870</v>
      </c>
      <c r="BE132" s="16">
        <v>0</v>
      </c>
      <c r="BF132" s="16">
        <v>54380</v>
      </c>
      <c r="BG132" s="16">
        <v>0</v>
      </c>
      <c r="BH132" s="16">
        <v>333750</v>
      </c>
      <c r="BI132" s="16">
        <v>286650</v>
      </c>
      <c r="BJ132" s="16">
        <v>68327</v>
      </c>
      <c r="BK132" s="16">
        <v>24900</v>
      </c>
      <c r="BL132" s="16">
        <v>160000</v>
      </c>
      <c r="BM132" s="16">
        <v>0</v>
      </c>
      <c r="BN132" s="16">
        <v>28000</v>
      </c>
      <c r="BO132" s="16">
        <v>0</v>
      </c>
      <c r="BP132" s="16">
        <v>0</v>
      </c>
      <c r="BQ132" s="16">
        <v>0</v>
      </c>
      <c r="BR132" s="16">
        <v>0</v>
      </c>
      <c r="BS132" s="16">
        <v>0</v>
      </c>
      <c r="BT132" s="16">
        <v>0</v>
      </c>
      <c r="BU132" s="16">
        <v>0</v>
      </c>
      <c r="BV132" s="16">
        <v>0</v>
      </c>
      <c r="BW132" s="16">
        <v>0</v>
      </c>
    </row>
    <row r="133" spans="1:75" ht="18" customHeight="1" outlineLevel="1">
      <c r="D133" s="7" t="s">
        <v>11</v>
      </c>
      <c r="F133" s="8">
        <v>4717</v>
      </c>
      <c r="G133" s="8">
        <v>5848</v>
      </c>
      <c r="K133" s="8">
        <v>2400</v>
      </c>
      <c r="L133" s="8">
        <f t="shared" ref="L133:L137" si="97">K133*12</f>
        <v>28800</v>
      </c>
      <c r="M133" s="8">
        <f t="shared" ref="M133:M137" si="98">L133*1.13</f>
        <v>32543.999999999996</v>
      </c>
      <c r="N133" s="8">
        <v>21014</v>
      </c>
      <c r="O133" s="9">
        <f t="shared" ref="O133:O137" si="99">N133/M133</f>
        <v>0.64571042281219282</v>
      </c>
      <c r="Q133" s="5">
        <v>2025</v>
      </c>
      <c r="R133" s="5">
        <v>10</v>
      </c>
      <c r="S133" s="14" t="s">
        <v>54</v>
      </c>
      <c r="T133" s="15">
        <f t="shared" si="94"/>
        <v>8478985</v>
      </c>
      <c r="U133" s="15">
        <f t="shared" si="95"/>
        <v>10526334</v>
      </c>
      <c r="V133" s="6">
        <v>5302484</v>
      </c>
      <c r="W133" s="6">
        <v>1977139</v>
      </c>
      <c r="X133" s="16">
        <v>2127270</v>
      </c>
      <c r="Y133" s="16">
        <v>0</v>
      </c>
      <c r="Z133" s="16">
        <v>0</v>
      </c>
      <c r="AA133" s="16">
        <v>0</v>
      </c>
      <c r="AB133" s="16">
        <v>0</v>
      </c>
      <c r="AC133" s="16">
        <v>0</v>
      </c>
      <c r="AD133" s="16">
        <v>0</v>
      </c>
      <c r="AE133" s="16">
        <v>0</v>
      </c>
      <c r="AF133" s="16">
        <v>350000</v>
      </c>
      <c r="AG133" s="16">
        <v>0</v>
      </c>
      <c r="AH133" s="16">
        <v>187097</v>
      </c>
      <c r="AI133" s="16">
        <v>250000</v>
      </c>
      <c r="AJ133" s="16">
        <v>50000</v>
      </c>
      <c r="AK133" s="16">
        <v>0</v>
      </c>
      <c r="AL133" s="16">
        <v>0</v>
      </c>
      <c r="AM133" s="16">
        <v>150000</v>
      </c>
      <c r="AN133" s="16">
        <v>74839</v>
      </c>
      <c r="AO133" s="16">
        <v>0</v>
      </c>
      <c r="AP133" s="16">
        <v>0</v>
      </c>
      <c r="AQ133" s="16">
        <v>0</v>
      </c>
      <c r="AR133" s="16">
        <v>0</v>
      </c>
      <c r="AS133" s="16">
        <v>0</v>
      </c>
      <c r="AT133" s="16">
        <v>0</v>
      </c>
      <c r="AU133" s="16">
        <v>0</v>
      </c>
      <c r="AV133" s="16">
        <v>0</v>
      </c>
      <c r="AW133" s="16">
        <v>0</v>
      </c>
      <c r="AX133" s="16">
        <v>0</v>
      </c>
      <c r="AY133" s="16">
        <v>0</v>
      </c>
      <c r="AZ133" s="16">
        <v>57505</v>
      </c>
      <c r="BA133" s="16"/>
      <c r="BB133" s="15">
        <f t="shared" si="96"/>
        <v>2047349</v>
      </c>
      <c r="BC133" s="15">
        <v>0</v>
      </c>
      <c r="BD133" s="16">
        <v>944940</v>
      </c>
      <c r="BE133" s="16">
        <v>11500</v>
      </c>
      <c r="BF133" s="16">
        <v>94490</v>
      </c>
      <c r="BG133" s="16">
        <v>1150</v>
      </c>
      <c r="BH133" s="16">
        <v>333750</v>
      </c>
      <c r="BI133" s="16">
        <v>286650</v>
      </c>
      <c r="BJ133" s="16">
        <v>89269</v>
      </c>
      <c r="BK133" s="16">
        <v>26600</v>
      </c>
      <c r="BL133" s="16">
        <v>160000</v>
      </c>
      <c r="BM133" s="16">
        <v>50000</v>
      </c>
      <c r="BN133" s="16">
        <v>49000</v>
      </c>
      <c r="BO133" s="16">
        <v>0</v>
      </c>
      <c r="BP133" s="16">
        <v>0</v>
      </c>
      <c r="BQ133" s="16">
        <v>0</v>
      </c>
      <c r="BR133" s="16">
        <v>0</v>
      </c>
      <c r="BS133" s="16">
        <v>0</v>
      </c>
      <c r="BT133" s="16">
        <v>0</v>
      </c>
      <c r="BU133" s="16">
        <v>0</v>
      </c>
      <c r="BV133" s="16">
        <v>0</v>
      </c>
      <c r="BW133" s="16">
        <v>0</v>
      </c>
    </row>
    <row r="134" spans="1:75" ht="18" customHeight="1" outlineLevel="1">
      <c r="B134" s="7">
        <v>2021</v>
      </c>
      <c r="C134" s="8" t="s">
        <v>12</v>
      </c>
      <c r="E134" s="8">
        <v>6867</v>
      </c>
      <c r="J134" s="9"/>
      <c r="Q134" s="5">
        <v>2025</v>
      </c>
      <c r="R134" s="5">
        <v>10</v>
      </c>
      <c r="S134" s="14" t="s">
        <v>2418</v>
      </c>
      <c r="T134" s="15">
        <f t="shared" si="94"/>
        <v>1982000</v>
      </c>
      <c r="U134" s="15">
        <f t="shared" si="95"/>
        <v>2000000</v>
      </c>
      <c r="V134" s="16">
        <v>0</v>
      </c>
      <c r="W134" s="16">
        <v>0</v>
      </c>
      <c r="X134" s="16">
        <v>0</v>
      </c>
      <c r="Y134" s="16">
        <v>0</v>
      </c>
      <c r="Z134" s="16">
        <v>0</v>
      </c>
      <c r="AA134" s="16">
        <v>0</v>
      </c>
      <c r="AB134" s="16">
        <v>0</v>
      </c>
      <c r="AC134" s="16">
        <v>0</v>
      </c>
      <c r="AD134" s="16">
        <v>0</v>
      </c>
      <c r="AE134" s="16">
        <v>2000000</v>
      </c>
      <c r="AF134" s="16">
        <v>0</v>
      </c>
      <c r="AG134" s="16">
        <v>0</v>
      </c>
      <c r="AH134" s="16">
        <v>0</v>
      </c>
      <c r="AI134" s="16">
        <v>0</v>
      </c>
      <c r="AJ134" s="16">
        <v>0</v>
      </c>
      <c r="AK134" s="16">
        <v>0</v>
      </c>
      <c r="AL134" s="16">
        <v>0</v>
      </c>
      <c r="AM134" s="16">
        <v>0</v>
      </c>
      <c r="AN134" s="16">
        <v>0</v>
      </c>
      <c r="AO134" s="16">
        <v>0</v>
      </c>
      <c r="AP134" s="16">
        <v>0</v>
      </c>
      <c r="AQ134" s="16">
        <v>0</v>
      </c>
      <c r="AR134" s="16">
        <v>0</v>
      </c>
      <c r="AS134" s="16">
        <v>0</v>
      </c>
      <c r="AT134" s="16">
        <v>0</v>
      </c>
      <c r="AU134" s="16">
        <v>0</v>
      </c>
      <c r="AV134" s="16">
        <v>0</v>
      </c>
      <c r="AW134" s="16">
        <v>0</v>
      </c>
      <c r="AX134" s="16">
        <v>0</v>
      </c>
      <c r="AY134" s="16">
        <v>0</v>
      </c>
      <c r="AZ134" s="16">
        <v>0</v>
      </c>
      <c r="BA134" s="16"/>
      <c r="BB134" s="15">
        <f t="shared" si="96"/>
        <v>18000</v>
      </c>
      <c r="BC134" s="15">
        <v>0</v>
      </c>
      <c r="BD134" s="16">
        <v>0</v>
      </c>
      <c r="BE134" s="16">
        <v>0</v>
      </c>
      <c r="BF134" s="16">
        <v>0</v>
      </c>
      <c r="BG134" s="16">
        <v>0</v>
      </c>
      <c r="BH134" s="16">
        <v>0</v>
      </c>
      <c r="BI134" s="16">
        <v>0</v>
      </c>
      <c r="BJ134" s="16">
        <v>18000</v>
      </c>
      <c r="BK134" s="16">
        <v>0</v>
      </c>
      <c r="BL134" s="16">
        <v>0</v>
      </c>
      <c r="BM134" s="16">
        <v>0</v>
      </c>
      <c r="BN134" s="16">
        <v>0</v>
      </c>
      <c r="BO134" s="16">
        <v>0</v>
      </c>
      <c r="BP134" s="16">
        <v>0</v>
      </c>
      <c r="BQ134" s="16">
        <v>0</v>
      </c>
      <c r="BR134" s="16">
        <v>0</v>
      </c>
      <c r="BS134" s="16">
        <v>0</v>
      </c>
      <c r="BT134" s="16">
        <v>0</v>
      </c>
      <c r="BU134" s="16">
        <v>0</v>
      </c>
      <c r="BV134" s="16">
        <v>0</v>
      </c>
      <c r="BW134" s="16">
        <v>0</v>
      </c>
    </row>
    <row r="135" spans="1:75" ht="18" customHeight="1" outlineLevel="1">
      <c r="D135" s="7" t="s">
        <v>12</v>
      </c>
      <c r="F135" s="8">
        <v>6867</v>
      </c>
      <c r="G135" s="8">
        <v>6867</v>
      </c>
      <c r="K135" s="8">
        <v>2400</v>
      </c>
      <c r="L135" s="8">
        <f t="shared" si="97"/>
        <v>28800</v>
      </c>
      <c r="M135" s="8">
        <f t="shared" si="98"/>
        <v>32543.999999999996</v>
      </c>
      <c r="N135" s="8">
        <v>21014</v>
      </c>
      <c r="O135" s="9">
        <f t="shared" si="99"/>
        <v>0.64571042281219282</v>
      </c>
      <c r="Q135" s="5">
        <v>2025</v>
      </c>
      <c r="R135" s="5">
        <v>9</v>
      </c>
      <c r="S135" s="14" t="s">
        <v>54</v>
      </c>
      <c r="T135" s="15">
        <f t="shared" si="94"/>
        <v>6692690</v>
      </c>
      <c r="U135" s="15">
        <f t="shared" si="95"/>
        <v>8616559</v>
      </c>
      <c r="V135" s="6">
        <v>4968000</v>
      </c>
      <c r="W135" s="6">
        <v>1854750</v>
      </c>
      <c r="X135" s="16">
        <v>0</v>
      </c>
      <c r="Y135" s="16">
        <v>0</v>
      </c>
      <c r="Z135" s="16">
        <v>0</v>
      </c>
      <c r="AA135" s="16">
        <v>0</v>
      </c>
      <c r="AB135" s="16">
        <v>0</v>
      </c>
      <c r="AC135" s="16">
        <v>438809</v>
      </c>
      <c r="AD135" s="16">
        <v>0</v>
      </c>
      <c r="AE135" s="16">
        <v>0</v>
      </c>
      <c r="AF135" s="16">
        <v>350000</v>
      </c>
      <c r="AG135" s="16">
        <v>0</v>
      </c>
      <c r="AH135" s="16">
        <v>200000</v>
      </c>
      <c r="AI135" s="16">
        <v>250000</v>
      </c>
      <c r="AJ135" s="16">
        <v>325000</v>
      </c>
      <c r="AK135" s="16">
        <v>0</v>
      </c>
      <c r="AL135" s="16">
        <v>0</v>
      </c>
      <c r="AM135" s="16">
        <v>150000</v>
      </c>
      <c r="AN135" s="16">
        <v>80000</v>
      </c>
      <c r="AO135" s="16">
        <v>0</v>
      </c>
      <c r="AP135" s="16">
        <v>0</v>
      </c>
      <c r="AQ135" s="16">
        <v>0</v>
      </c>
      <c r="AR135" s="16">
        <v>0</v>
      </c>
      <c r="AS135" s="16">
        <v>0</v>
      </c>
      <c r="AT135" s="16">
        <v>0</v>
      </c>
      <c r="AU135" s="16">
        <v>0</v>
      </c>
      <c r="AV135" s="16">
        <v>0</v>
      </c>
      <c r="AW135" s="16">
        <v>0</v>
      </c>
      <c r="AX135" s="16">
        <v>0</v>
      </c>
      <c r="AY135" s="16">
        <v>0</v>
      </c>
      <c r="AZ135" s="16">
        <v>0</v>
      </c>
      <c r="BA135" s="16"/>
      <c r="BB135" s="15">
        <f t="shared" si="96"/>
        <v>1923869</v>
      </c>
      <c r="BC135" s="15">
        <v>0</v>
      </c>
      <c r="BD135" s="16">
        <v>624970</v>
      </c>
      <c r="BE135" s="15">
        <v>0</v>
      </c>
      <c r="BF135" s="16">
        <v>62490</v>
      </c>
      <c r="BG135" s="15">
        <v>0</v>
      </c>
      <c r="BH135" s="16">
        <v>367260</v>
      </c>
      <c r="BI135" s="16">
        <v>286650</v>
      </c>
      <c r="BJ135" s="16">
        <v>72599</v>
      </c>
      <c r="BK135" s="16">
        <v>24900</v>
      </c>
      <c r="BL135" s="16">
        <v>160000</v>
      </c>
      <c r="BM135" s="16">
        <v>325000</v>
      </c>
      <c r="BN135" s="15">
        <v>0</v>
      </c>
      <c r="BO135" s="15">
        <v>0</v>
      </c>
      <c r="BP135" s="15">
        <v>0</v>
      </c>
      <c r="BQ135" s="15">
        <v>0</v>
      </c>
      <c r="BR135" s="15">
        <v>0</v>
      </c>
      <c r="BS135" s="15">
        <v>0</v>
      </c>
      <c r="BT135" s="15">
        <v>0</v>
      </c>
      <c r="BU135" s="15">
        <v>0</v>
      </c>
      <c r="BV135" s="15">
        <v>0</v>
      </c>
      <c r="BW135" s="15">
        <v>0</v>
      </c>
    </row>
    <row r="136" spans="1:75" ht="18" customHeight="1" outlineLevel="1">
      <c r="D136" s="7" t="s">
        <v>13</v>
      </c>
      <c r="F136" s="8">
        <v>7988</v>
      </c>
      <c r="G136" s="8" t="s">
        <v>2</v>
      </c>
      <c r="H136" s="8" t="s">
        <v>17</v>
      </c>
      <c r="I136" s="8">
        <v>171</v>
      </c>
      <c r="K136" s="8">
        <v>2400</v>
      </c>
      <c r="L136" s="8">
        <f t="shared" si="97"/>
        <v>28800</v>
      </c>
      <c r="M136" s="8">
        <f t="shared" si="98"/>
        <v>32543.999999999996</v>
      </c>
      <c r="N136" s="8">
        <v>21014</v>
      </c>
      <c r="O136" s="9">
        <f t="shared" si="99"/>
        <v>0.64571042281219282</v>
      </c>
      <c r="Q136" s="5">
        <v>2025</v>
      </c>
      <c r="R136" s="5">
        <v>8</v>
      </c>
      <c r="S136" s="14" t="s">
        <v>54</v>
      </c>
      <c r="T136" s="15">
        <f t="shared" si="94"/>
        <v>0</v>
      </c>
      <c r="U136" s="15">
        <f t="shared" si="95"/>
        <v>0</v>
      </c>
      <c r="V136" s="16">
        <v>0</v>
      </c>
      <c r="W136" s="16">
        <v>0</v>
      </c>
      <c r="X136" s="16">
        <v>0</v>
      </c>
      <c r="Y136" s="16">
        <v>0</v>
      </c>
      <c r="Z136" s="16">
        <v>0</v>
      </c>
      <c r="AA136" s="16">
        <v>0</v>
      </c>
      <c r="AB136" s="16">
        <v>0</v>
      </c>
      <c r="AC136" s="16">
        <v>0</v>
      </c>
      <c r="AD136" s="16">
        <v>0</v>
      </c>
      <c r="AE136" s="16">
        <v>0</v>
      </c>
      <c r="AF136" s="16">
        <v>0</v>
      </c>
      <c r="AG136" s="16">
        <v>0</v>
      </c>
      <c r="AH136" s="16">
        <v>0</v>
      </c>
      <c r="AI136" s="16">
        <v>0</v>
      </c>
      <c r="AJ136" s="16">
        <v>0</v>
      </c>
      <c r="AK136" s="16">
        <v>0</v>
      </c>
      <c r="AL136" s="16">
        <v>0</v>
      </c>
      <c r="AM136" s="16">
        <v>0</v>
      </c>
      <c r="AN136" s="16">
        <v>0</v>
      </c>
      <c r="AO136" s="16">
        <v>0</v>
      </c>
      <c r="AP136" s="16">
        <v>0</v>
      </c>
      <c r="AQ136" s="16">
        <v>0</v>
      </c>
      <c r="AR136" s="16">
        <v>0</v>
      </c>
      <c r="AS136" s="16">
        <v>0</v>
      </c>
      <c r="AT136" s="16">
        <v>0</v>
      </c>
      <c r="AU136" s="16">
        <v>0</v>
      </c>
      <c r="AV136" s="16">
        <v>0</v>
      </c>
      <c r="AW136" s="16">
        <v>0</v>
      </c>
      <c r="AX136" s="16">
        <v>0</v>
      </c>
      <c r="AY136" s="16">
        <v>0</v>
      </c>
      <c r="AZ136" s="16">
        <v>0</v>
      </c>
      <c r="BA136" s="16"/>
      <c r="BB136" s="15">
        <f t="shared" si="96"/>
        <v>0</v>
      </c>
      <c r="BC136" s="15">
        <v>0</v>
      </c>
      <c r="BD136" s="15">
        <v>0</v>
      </c>
      <c r="BE136" s="15">
        <v>0</v>
      </c>
      <c r="BF136" s="15">
        <v>0</v>
      </c>
      <c r="BG136" s="15">
        <v>0</v>
      </c>
      <c r="BH136" s="15">
        <v>0</v>
      </c>
      <c r="BI136" s="15">
        <v>0</v>
      </c>
      <c r="BJ136" s="15">
        <v>0</v>
      </c>
      <c r="BK136" s="15">
        <v>0</v>
      </c>
      <c r="BL136" s="15">
        <v>0</v>
      </c>
      <c r="BM136" s="15">
        <v>0</v>
      </c>
      <c r="BN136" s="15">
        <v>0</v>
      </c>
      <c r="BO136" s="15">
        <v>0</v>
      </c>
      <c r="BP136" s="15">
        <v>0</v>
      </c>
      <c r="BQ136" s="15">
        <v>0</v>
      </c>
      <c r="BR136" s="15">
        <v>0</v>
      </c>
      <c r="BS136" s="15">
        <v>0</v>
      </c>
      <c r="BT136" s="15">
        <v>0</v>
      </c>
      <c r="BU136" s="15">
        <v>0</v>
      </c>
      <c r="BV136" s="15">
        <v>0</v>
      </c>
      <c r="BW136" s="15">
        <v>0</v>
      </c>
    </row>
    <row r="137" spans="1:75" ht="18" customHeight="1" outlineLevel="1">
      <c r="D137" s="7" t="s">
        <v>13</v>
      </c>
      <c r="F137" s="8">
        <v>7988</v>
      </c>
      <c r="G137" s="8" t="s">
        <v>2</v>
      </c>
      <c r="H137" s="8" t="s">
        <v>17</v>
      </c>
      <c r="I137" s="8">
        <v>171</v>
      </c>
      <c r="K137" s="8">
        <v>2400</v>
      </c>
      <c r="L137" s="8">
        <f t="shared" si="97"/>
        <v>28800</v>
      </c>
      <c r="M137" s="8">
        <f t="shared" si="98"/>
        <v>32543.999999999996</v>
      </c>
      <c r="N137" s="8">
        <v>21014</v>
      </c>
      <c r="O137" s="9">
        <f t="shared" si="99"/>
        <v>0.64571042281219282</v>
      </c>
      <c r="Q137" s="5">
        <v>2025</v>
      </c>
      <c r="R137" s="5">
        <v>7</v>
      </c>
      <c r="S137" s="14" t="s">
        <v>54</v>
      </c>
      <c r="T137" s="15">
        <f t="shared" si="94"/>
        <v>297300</v>
      </c>
      <c r="U137" s="15">
        <f t="shared" si="95"/>
        <v>300000</v>
      </c>
      <c r="V137" s="16">
        <v>0</v>
      </c>
      <c r="W137" s="16">
        <v>0</v>
      </c>
      <c r="X137" s="16">
        <v>0</v>
      </c>
      <c r="Y137" s="16">
        <v>0</v>
      </c>
      <c r="Z137" s="16">
        <v>0</v>
      </c>
      <c r="AA137" s="16">
        <v>0</v>
      </c>
      <c r="AB137" s="16">
        <v>0</v>
      </c>
      <c r="AC137" s="16">
        <v>0</v>
      </c>
      <c r="AD137" s="16">
        <v>0</v>
      </c>
      <c r="AE137" s="16">
        <v>0</v>
      </c>
      <c r="AF137" s="16">
        <v>0</v>
      </c>
      <c r="AG137" s="16">
        <v>0</v>
      </c>
      <c r="AH137" s="16">
        <v>0</v>
      </c>
      <c r="AI137" s="16">
        <v>0</v>
      </c>
      <c r="AJ137" s="16">
        <v>0</v>
      </c>
      <c r="AK137" s="16">
        <v>300000</v>
      </c>
      <c r="AL137" s="16">
        <v>0</v>
      </c>
      <c r="AM137" s="16">
        <v>0</v>
      </c>
      <c r="AN137" s="16">
        <v>0</v>
      </c>
      <c r="AO137" s="16">
        <v>0</v>
      </c>
      <c r="AP137" s="16">
        <v>0</v>
      </c>
      <c r="AQ137" s="16">
        <v>0</v>
      </c>
      <c r="AR137" s="16">
        <v>0</v>
      </c>
      <c r="AS137" s="16">
        <v>0</v>
      </c>
      <c r="AT137" s="16">
        <v>0</v>
      </c>
      <c r="AU137" s="16">
        <v>0</v>
      </c>
      <c r="AV137" s="16">
        <v>0</v>
      </c>
      <c r="AW137" s="16">
        <v>0</v>
      </c>
      <c r="AX137" s="16">
        <v>0</v>
      </c>
      <c r="AY137" s="16">
        <v>0</v>
      </c>
      <c r="AZ137" s="16">
        <v>0</v>
      </c>
      <c r="BA137" s="16"/>
      <c r="BB137" s="15">
        <f t="shared" si="96"/>
        <v>2700</v>
      </c>
      <c r="BC137" s="15">
        <v>0</v>
      </c>
      <c r="BD137" s="15">
        <v>0</v>
      </c>
      <c r="BE137" s="15">
        <v>0</v>
      </c>
      <c r="BF137" s="15">
        <v>0</v>
      </c>
      <c r="BG137" s="15">
        <v>0</v>
      </c>
      <c r="BH137" s="15">
        <v>0</v>
      </c>
      <c r="BI137" s="15">
        <v>0</v>
      </c>
      <c r="BJ137" s="16">
        <v>2700</v>
      </c>
      <c r="BK137" s="15">
        <v>0</v>
      </c>
      <c r="BL137" s="15">
        <v>0</v>
      </c>
      <c r="BM137" s="15">
        <v>0</v>
      </c>
      <c r="BN137" s="15">
        <v>0</v>
      </c>
      <c r="BO137" s="15">
        <v>0</v>
      </c>
      <c r="BP137" s="15">
        <v>0</v>
      </c>
      <c r="BQ137" s="15">
        <v>0</v>
      </c>
      <c r="BR137" s="15">
        <v>0</v>
      </c>
      <c r="BS137" s="15">
        <v>0</v>
      </c>
      <c r="BT137" s="15">
        <v>0</v>
      </c>
      <c r="BU137" s="15">
        <v>0</v>
      </c>
      <c r="BV137" s="15">
        <v>0</v>
      </c>
      <c r="BW137" s="15">
        <v>0</v>
      </c>
    </row>
    <row r="138" spans="1:75" ht="18" customHeight="1" outlineLevel="1">
      <c r="H138" s="8" t="s">
        <v>18</v>
      </c>
      <c r="I138" s="8">
        <v>122</v>
      </c>
      <c r="J138" s="9"/>
      <c r="Q138" s="5">
        <v>2025</v>
      </c>
      <c r="R138" s="5">
        <v>6</v>
      </c>
      <c r="S138" s="14" t="s">
        <v>54</v>
      </c>
      <c r="T138" s="15">
        <f t="shared" si="94"/>
        <v>0</v>
      </c>
      <c r="U138" s="15">
        <f t="shared" si="95"/>
        <v>0</v>
      </c>
      <c r="V138" s="16">
        <v>0</v>
      </c>
      <c r="W138" s="16">
        <v>0</v>
      </c>
      <c r="X138" s="16">
        <v>0</v>
      </c>
      <c r="Y138" s="16">
        <v>0</v>
      </c>
      <c r="Z138" s="16">
        <v>0</v>
      </c>
      <c r="AA138" s="16">
        <v>0</v>
      </c>
      <c r="AB138" s="16">
        <v>0</v>
      </c>
      <c r="AC138" s="16">
        <v>0</v>
      </c>
      <c r="AD138" s="16">
        <v>0</v>
      </c>
      <c r="AE138" s="16">
        <v>0</v>
      </c>
      <c r="AF138" s="16">
        <v>0</v>
      </c>
      <c r="AG138" s="16">
        <v>0</v>
      </c>
      <c r="AH138" s="16">
        <v>0</v>
      </c>
      <c r="AI138" s="16">
        <v>0</v>
      </c>
      <c r="AJ138" s="16">
        <v>0</v>
      </c>
      <c r="AK138" s="16">
        <v>0</v>
      </c>
      <c r="AL138" s="16">
        <v>0</v>
      </c>
      <c r="AM138" s="16">
        <v>0</v>
      </c>
      <c r="AN138" s="16">
        <v>0</v>
      </c>
      <c r="AO138" s="16">
        <v>0</v>
      </c>
      <c r="AP138" s="16">
        <v>0</v>
      </c>
      <c r="AQ138" s="16">
        <v>0</v>
      </c>
      <c r="AR138" s="16">
        <v>0</v>
      </c>
      <c r="AS138" s="16">
        <v>0</v>
      </c>
      <c r="AT138" s="16">
        <v>0</v>
      </c>
      <c r="AU138" s="16">
        <v>0</v>
      </c>
      <c r="AV138" s="16">
        <v>0</v>
      </c>
      <c r="AW138" s="16">
        <v>0</v>
      </c>
      <c r="AX138" s="16">
        <v>0</v>
      </c>
      <c r="AY138" s="16">
        <v>0</v>
      </c>
      <c r="AZ138" s="16">
        <v>0</v>
      </c>
      <c r="BA138" s="16"/>
      <c r="BB138" s="15">
        <f t="shared" si="96"/>
        <v>0</v>
      </c>
      <c r="BC138" s="15">
        <v>0</v>
      </c>
      <c r="BD138" s="15">
        <v>0</v>
      </c>
      <c r="BE138" s="15">
        <v>0</v>
      </c>
      <c r="BF138" s="15">
        <v>0</v>
      </c>
      <c r="BG138" s="15">
        <v>0</v>
      </c>
      <c r="BH138" s="15">
        <v>0</v>
      </c>
      <c r="BI138" s="15">
        <v>0</v>
      </c>
      <c r="BJ138" s="15">
        <v>0</v>
      </c>
      <c r="BK138" s="15">
        <v>0</v>
      </c>
      <c r="BL138" s="15">
        <v>0</v>
      </c>
      <c r="BM138" s="15">
        <v>0</v>
      </c>
      <c r="BN138" s="15">
        <v>0</v>
      </c>
      <c r="BO138" s="15">
        <v>0</v>
      </c>
      <c r="BP138" s="15">
        <v>0</v>
      </c>
      <c r="BQ138" s="15">
        <v>0</v>
      </c>
      <c r="BR138" s="15">
        <v>0</v>
      </c>
      <c r="BS138" s="15">
        <v>0</v>
      </c>
      <c r="BT138" s="15">
        <v>0</v>
      </c>
      <c r="BU138" s="15">
        <v>0</v>
      </c>
      <c r="BV138" s="15">
        <v>0</v>
      </c>
      <c r="BW138" s="15">
        <v>0</v>
      </c>
    </row>
    <row r="139" spans="1:75" ht="18" customHeight="1" outlineLevel="1">
      <c r="B139" s="7">
        <v>2021</v>
      </c>
      <c r="C139" s="8" t="s">
        <v>12</v>
      </c>
      <c r="E139" s="8">
        <v>6867</v>
      </c>
      <c r="J139" s="9"/>
      <c r="Q139" s="5">
        <v>2025</v>
      </c>
      <c r="R139" s="5">
        <v>5</v>
      </c>
      <c r="S139" s="14" t="s">
        <v>28</v>
      </c>
      <c r="T139" s="15">
        <f t="shared" ref="T139" si="100">IF(U139=U139-BB139,0,U139-BB139)</f>
        <v>2422870</v>
      </c>
      <c r="U139" s="15">
        <f t="shared" ref="U139" si="101">SUM(V139:BA139)</f>
        <v>3000000</v>
      </c>
      <c r="V139" s="16">
        <v>0</v>
      </c>
      <c r="W139" s="16">
        <v>0</v>
      </c>
      <c r="X139" s="16">
        <v>0</v>
      </c>
      <c r="Y139" s="16">
        <v>0</v>
      </c>
      <c r="Z139" s="16">
        <v>0</v>
      </c>
      <c r="AA139" s="16">
        <v>0</v>
      </c>
      <c r="AB139" s="16">
        <v>0</v>
      </c>
      <c r="AC139" s="16">
        <v>0</v>
      </c>
      <c r="AD139" s="16">
        <v>3000000</v>
      </c>
      <c r="AE139" s="16">
        <v>0</v>
      </c>
      <c r="AF139" s="16">
        <v>0</v>
      </c>
      <c r="AG139" s="16">
        <v>0</v>
      </c>
      <c r="AH139" s="16">
        <v>0</v>
      </c>
      <c r="AI139" s="16">
        <v>0</v>
      </c>
      <c r="AJ139" s="16">
        <v>0</v>
      </c>
      <c r="AK139" s="16">
        <v>0</v>
      </c>
      <c r="AL139" s="16">
        <v>0</v>
      </c>
      <c r="AM139" s="16">
        <v>0</v>
      </c>
      <c r="AN139" s="16">
        <v>0</v>
      </c>
      <c r="AO139" s="16">
        <v>0</v>
      </c>
      <c r="AP139" s="16">
        <v>0</v>
      </c>
      <c r="AQ139" s="16">
        <v>0</v>
      </c>
      <c r="AR139" s="16">
        <v>0</v>
      </c>
      <c r="AS139" s="16">
        <v>0</v>
      </c>
      <c r="AT139" s="16">
        <v>0</v>
      </c>
      <c r="AU139" s="16">
        <v>0</v>
      </c>
      <c r="AV139" s="16">
        <v>0</v>
      </c>
      <c r="AW139" s="16">
        <v>0</v>
      </c>
      <c r="AX139" s="16">
        <v>0</v>
      </c>
      <c r="AY139" s="16">
        <v>0</v>
      </c>
      <c r="AZ139" s="16">
        <v>0</v>
      </c>
      <c r="BA139" s="16"/>
      <c r="BB139" s="15">
        <f t="shared" si="96"/>
        <v>577130</v>
      </c>
      <c r="BC139" s="15">
        <v>0</v>
      </c>
      <c r="BD139" s="16">
        <v>500120</v>
      </c>
      <c r="BE139" s="15">
        <v>0</v>
      </c>
      <c r="BF139" s="16">
        <v>50010</v>
      </c>
      <c r="BG139" s="15">
        <v>0</v>
      </c>
      <c r="BH139" s="16">
        <v>0</v>
      </c>
      <c r="BI139" s="16">
        <v>0</v>
      </c>
      <c r="BJ139" s="16">
        <v>27000</v>
      </c>
      <c r="BK139" s="15">
        <v>0</v>
      </c>
      <c r="BL139" s="15">
        <v>0</v>
      </c>
      <c r="BM139" s="15">
        <v>0</v>
      </c>
      <c r="BN139" s="15">
        <v>0</v>
      </c>
      <c r="BO139" s="15">
        <v>0</v>
      </c>
      <c r="BP139" s="15">
        <v>0</v>
      </c>
      <c r="BQ139" s="15">
        <v>0</v>
      </c>
      <c r="BR139" s="15">
        <v>0</v>
      </c>
      <c r="BS139" s="15">
        <v>0</v>
      </c>
      <c r="BT139" s="15">
        <v>0</v>
      </c>
      <c r="BU139" s="15">
        <v>0</v>
      </c>
      <c r="BV139" s="15">
        <v>0</v>
      </c>
      <c r="BW139" s="15">
        <v>0</v>
      </c>
    </row>
    <row r="140" spans="1:75" ht="18" customHeight="1" outlineLevel="1">
      <c r="J140" s="9"/>
      <c r="Q140" s="5">
        <v>2025</v>
      </c>
      <c r="R140" s="5">
        <v>5</v>
      </c>
      <c r="S140" s="14" t="s">
        <v>54</v>
      </c>
      <c r="T140" s="15">
        <f t="shared" si="94"/>
        <v>6187900</v>
      </c>
      <c r="U140" s="15">
        <f t="shared" si="95"/>
        <v>7873340</v>
      </c>
      <c r="V140" s="6">
        <v>4837000</v>
      </c>
      <c r="W140" s="6">
        <v>1806340</v>
      </c>
      <c r="X140" s="16">
        <v>0</v>
      </c>
      <c r="Y140" s="16">
        <v>0</v>
      </c>
      <c r="Z140" s="16">
        <v>0</v>
      </c>
      <c r="AA140" s="16">
        <v>0</v>
      </c>
      <c r="AB140" s="16">
        <v>0</v>
      </c>
      <c r="AC140" s="16">
        <v>0</v>
      </c>
      <c r="AD140" s="16">
        <v>0</v>
      </c>
      <c r="AE140" s="16">
        <v>0</v>
      </c>
      <c r="AF140" s="16">
        <v>350000</v>
      </c>
      <c r="AG140" s="16">
        <v>0</v>
      </c>
      <c r="AH140" s="16">
        <v>200000</v>
      </c>
      <c r="AI140" s="16">
        <v>250000</v>
      </c>
      <c r="AJ140" s="16">
        <v>200000</v>
      </c>
      <c r="AK140" s="16">
        <v>0</v>
      </c>
      <c r="AL140" s="16">
        <v>0</v>
      </c>
      <c r="AM140" s="16">
        <v>150000</v>
      </c>
      <c r="AN140" s="16">
        <v>80000</v>
      </c>
      <c r="AO140" s="16">
        <v>0</v>
      </c>
      <c r="AP140" s="16">
        <v>0</v>
      </c>
      <c r="AQ140" s="16">
        <v>0</v>
      </c>
      <c r="AR140" s="16">
        <v>0</v>
      </c>
      <c r="AS140" s="16">
        <v>0</v>
      </c>
      <c r="AT140" s="16">
        <v>0</v>
      </c>
      <c r="AU140" s="16">
        <v>0</v>
      </c>
      <c r="AV140" s="16">
        <v>0</v>
      </c>
      <c r="AW140" s="16">
        <v>0</v>
      </c>
      <c r="AX140" s="16">
        <v>0</v>
      </c>
      <c r="AY140" s="16">
        <v>0</v>
      </c>
      <c r="AZ140" s="16">
        <v>0</v>
      </c>
      <c r="BA140" s="16"/>
      <c r="BB140" s="15">
        <f t="shared" si="96"/>
        <v>1685440</v>
      </c>
      <c r="BC140" s="15">
        <v>0</v>
      </c>
      <c r="BD140" s="16">
        <v>499940</v>
      </c>
      <c r="BE140" s="16">
        <v>0</v>
      </c>
      <c r="BF140" s="16">
        <v>49990</v>
      </c>
      <c r="BG140" s="16">
        <v>0</v>
      </c>
      <c r="BH140" s="16">
        <v>333750</v>
      </c>
      <c r="BI140" s="16">
        <v>277650</v>
      </c>
      <c r="BJ140" s="16">
        <v>65910</v>
      </c>
      <c r="BK140" s="16">
        <v>24200</v>
      </c>
      <c r="BL140" s="16">
        <v>160000</v>
      </c>
      <c r="BM140" s="16">
        <v>200000</v>
      </c>
      <c r="BN140" s="16">
        <v>74000</v>
      </c>
      <c r="BO140" s="16">
        <v>0</v>
      </c>
      <c r="BP140" s="16">
        <v>0</v>
      </c>
      <c r="BQ140" s="16">
        <v>0</v>
      </c>
      <c r="BR140" s="16">
        <v>0</v>
      </c>
      <c r="BS140" s="16">
        <v>0</v>
      </c>
      <c r="BT140" s="16">
        <v>0</v>
      </c>
      <c r="BU140" s="16">
        <v>0</v>
      </c>
      <c r="BV140" s="16">
        <v>0</v>
      </c>
      <c r="BW140" s="16">
        <v>0</v>
      </c>
    </row>
    <row r="141" spans="1:75" ht="18" customHeight="1" outlineLevel="1">
      <c r="B141" s="7">
        <v>2021</v>
      </c>
      <c r="C141" s="8" t="s">
        <v>12</v>
      </c>
      <c r="E141" s="8">
        <v>6867</v>
      </c>
      <c r="J141" s="9"/>
      <c r="Q141" s="5">
        <v>2025</v>
      </c>
      <c r="R141" s="5">
        <v>4</v>
      </c>
      <c r="S141" s="14" t="s">
        <v>54</v>
      </c>
      <c r="T141" s="15">
        <f t="shared" ref="T141" si="102">IF(U141=U141-BB141,0,U141-BB141)</f>
        <v>8311835</v>
      </c>
      <c r="U141" s="15">
        <f t="shared" ref="U141" si="103">SUM(V141:BA141)</f>
        <v>10008340</v>
      </c>
      <c r="V141" s="6">
        <v>4837000</v>
      </c>
      <c r="W141" s="6">
        <v>1806340</v>
      </c>
      <c r="X141" s="16">
        <v>0</v>
      </c>
      <c r="Y141" s="16">
        <v>0</v>
      </c>
      <c r="Z141" s="16">
        <v>0</v>
      </c>
      <c r="AA141" s="16">
        <v>0</v>
      </c>
      <c r="AB141" s="16">
        <v>0</v>
      </c>
      <c r="AC141" s="16">
        <v>0</v>
      </c>
      <c r="AD141" s="16">
        <v>0</v>
      </c>
      <c r="AE141" s="16">
        <v>0</v>
      </c>
      <c r="AF141" s="16">
        <v>350000</v>
      </c>
      <c r="AG141" s="16">
        <v>0</v>
      </c>
      <c r="AH141" s="16">
        <v>200000</v>
      </c>
      <c r="AI141" s="16">
        <v>250000</v>
      </c>
      <c r="AJ141" s="16">
        <v>35000</v>
      </c>
      <c r="AK141" s="16">
        <v>0</v>
      </c>
      <c r="AL141" s="16">
        <v>0</v>
      </c>
      <c r="AM141" s="16">
        <v>150000</v>
      </c>
      <c r="AN141" s="16">
        <v>80000</v>
      </c>
      <c r="AO141" s="16">
        <v>2150000</v>
      </c>
      <c r="AP141" s="16">
        <v>150000</v>
      </c>
      <c r="AQ141" s="16">
        <v>0</v>
      </c>
      <c r="AR141" s="16">
        <v>0</v>
      </c>
      <c r="AS141" s="16">
        <v>0</v>
      </c>
      <c r="AT141" s="16">
        <v>0</v>
      </c>
      <c r="AU141" s="16">
        <v>0</v>
      </c>
      <c r="AV141" s="16">
        <v>0</v>
      </c>
      <c r="AW141" s="16">
        <v>0</v>
      </c>
      <c r="AX141" s="16">
        <v>0</v>
      </c>
      <c r="AY141" s="16">
        <v>0</v>
      </c>
      <c r="AZ141" s="16">
        <v>0</v>
      </c>
      <c r="BA141" s="16"/>
      <c r="BB141" s="15">
        <f t="shared" si="96"/>
        <v>1696505</v>
      </c>
      <c r="BC141" s="15">
        <v>0</v>
      </c>
      <c r="BD141" s="16">
        <v>469530</v>
      </c>
      <c r="BE141" s="16">
        <v>0</v>
      </c>
      <c r="BF141" s="16">
        <v>46950</v>
      </c>
      <c r="BG141" s="16">
        <v>0</v>
      </c>
      <c r="BH141" s="16">
        <v>333750</v>
      </c>
      <c r="BI141" s="16">
        <v>277650</v>
      </c>
      <c r="BJ141" s="16">
        <v>64425</v>
      </c>
      <c r="BK141" s="16">
        <v>24200</v>
      </c>
      <c r="BL141" s="16">
        <v>160000</v>
      </c>
      <c r="BM141" s="16">
        <v>35000</v>
      </c>
      <c r="BN141" s="16">
        <v>42000</v>
      </c>
      <c r="BO141" s="16">
        <v>243000</v>
      </c>
      <c r="BP141" s="16">
        <v>0</v>
      </c>
      <c r="BQ141" s="16">
        <v>0</v>
      </c>
      <c r="BR141" s="16">
        <v>0</v>
      </c>
      <c r="BS141" s="16">
        <v>0</v>
      </c>
      <c r="BT141" s="16">
        <v>0</v>
      </c>
      <c r="BU141" s="16">
        <v>0</v>
      </c>
      <c r="BV141" s="16">
        <v>0</v>
      </c>
      <c r="BW141" s="16">
        <v>0</v>
      </c>
    </row>
    <row r="142" spans="1:75" ht="18" customHeight="1" outlineLevel="1">
      <c r="B142" s="7">
        <v>2022</v>
      </c>
      <c r="C142" s="8" t="s">
        <v>12</v>
      </c>
      <c r="E142" s="8">
        <v>6867</v>
      </c>
      <c r="J142" s="9"/>
      <c r="Q142" s="5">
        <v>2025</v>
      </c>
      <c r="R142" s="5">
        <v>3</v>
      </c>
      <c r="S142" s="14" t="s">
        <v>54</v>
      </c>
      <c r="T142" s="15">
        <f t="shared" si="94"/>
        <v>6102788</v>
      </c>
      <c r="U142" s="15">
        <f t="shared" si="95"/>
        <v>7573341</v>
      </c>
      <c r="V142" s="6">
        <v>4837000</v>
      </c>
      <c r="W142" s="6">
        <v>1806340</v>
      </c>
      <c r="X142" s="16">
        <v>0</v>
      </c>
      <c r="Y142" s="16">
        <v>0</v>
      </c>
      <c r="Z142" s="16">
        <v>0</v>
      </c>
      <c r="AA142" s="16">
        <v>0</v>
      </c>
      <c r="AB142" s="16">
        <v>0</v>
      </c>
      <c r="AC142" s="16">
        <v>0</v>
      </c>
      <c r="AD142" s="16">
        <v>0</v>
      </c>
      <c r="AE142" s="16">
        <v>0</v>
      </c>
      <c r="AF142" s="16">
        <v>350000</v>
      </c>
      <c r="AG142" s="16">
        <v>0</v>
      </c>
      <c r="AH142" s="16">
        <v>100000</v>
      </c>
      <c r="AI142" s="16">
        <v>250000</v>
      </c>
      <c r="AJ142" s="16">
        <v>0</v>
      </c>
      <c r="AK142" s="16">
        <v>0</v>
      </c>
      <c r="AL142" s="16">
        <v>87097</v>
      </c>
      <c r="AM142" s="16">
        <v>62904</v>
      </c>
      <c r="AN142" s="16">
        <v>80000</v>
      </c>
      <c r="AO142" s="16">
        <v>0</v>
      </c>
      <c r="AP142" s="16">
        <v>0</v>
      </c>
      <c r="AQ142" s="16">
        <v>0</v>
      </c>
      <c r="AR142" s="16">
        <v>0</v>
      </c>
      <c r="AS142" s="16">
        <v>0</v>
      </c>
      <c r="AT142" s="16">
        <v>0</v>
      </c>
      <c r="AU142" s="16">
        <v>0</v>
      </c>
      <c r="AV142" s="16">
        <v>0</v>
      </c>
      <c r="AW142" s="16">
        <v>0</v>
      </c>
      <c r="AX142" s="16">
        <v>0</v>
      </c>
      <c r="AY142" s="16">
        <v>0</v>
      </c>
      <c r="AZ142" s="16">
        <v>0</v>
      </c>
      <c r="BA142" s="16"/>
      <c r="BB142" s="15">
        <f t="shared" si="96"/>
        <v>1470553</v>
      </c>
      <c r="BC142" s="15">
        <v>0</v>
      </c>
      <c r="BD142" s="16">
        <v>479670</v>
      </c>
      <c r="BE142" s="16">
        <v>0</v>
      </c>
      <c r="BF142" s="16">
        <v>47960</v>
      </c>
      <c r="BG142" s="16">
        <v>0</v>
      </c>
      <c r="BH142" s="16">
        <v>333380</v>
      </c>
      <c r="BI142" s="16">
        <v>277650</v>
      </c>
      <c r="BJ142" s="16">
        <v>64893</v>
      </c>
      <c r="BK142" s="16">
        <v>24200</v>
      </c>
      <c r="BL142" s="16">
        <v>160000</v>
      </c>
      <c r="BM142" s="16">
        <v>0</v>
      </c>
      <c r="BN142" s="16">
        <v>82800</v>
      </c>
      <c r="BO142" s="16">
        <v>0</v>
      </c>
      <c r="BP142" s="16">
        <v>0</v>
      </c>
      <c r="BQ142" s="16">
        <v>0</v>
      </c>
      <c r="BR142" s="16">
        <v>0</v>
      </c>
      <c r="BS142" s="16">
        <v>0</v>
      </c>
      <c r="BT142" s="16">
        <v>0</v>
      </c>
      <c r="BU142" s="16">
        <v>0</v>
      </c>
      <c r="BV142" s="16">
        <v>0</v>
      </c>
      <c r="BW142" s="16">
        <v>0</v>
      </c>
    </row>
    <row r="143" spans="1:75" ht="18" customHeight="1" outlineLevel="1">
      <c r="B143" s="7">
        <v>2023</v>
      </c>
      <c r="C143" s="8" t="s">
        <v>12</v>
      </c>
      <c r="E143" s="8">
        <v>6867</v>
      </c>
      <c r="J143" s="9"/>
      <c r="Q143" s="5">
        <v>2025</v>
      </c>
      <c r="R143" s="5">
        <v>2</v>
      </c>
      <c r="S143" s="14" t="s">
        <v>54</v>
      </c>
      <c r="T143" s="15">
        <f t="shared" si="94"/>
        <v>5878200</v>
      </c>
      <c r="U143" s="15">
        <f t="shared" si="95"/>
        <v>7623340</v>
      </c>
      <c r="V143" s="6">
        <v>4837000</v>
      </c>
      <c r="W143" s="6">
        <v>1806340</v>
      </c>
      <c r="X143" s="16">
        <v>0</v>
      </c>
      <c r="Y143" s="16">
        <v>0</v>
      </c>
      <c r="Z143" s="16">
        <v>0</v>
      </c>
      <c r="AA143" s="16">
        <v>0</v>
      </c>
      <c r="AB143" s="16">
        <v>0</v>
      </c>
      <c r="AC143" s="16">
        <v>0</v>
      </c>
      <c r="AD143" s="16">
        <v>0</v>
      </c>
      <c r="AE143" s="16">
        <v>0</v>
      </c>
      <c r="AF143" s="16">
        <v>350000</v>
      </c>
      <c r="AG143" s="16">
        <v>0</v>
      </c>
      <c r="AH143" s="16">
        <v>100000</v>
      </c>
      <c r="AI143" s="16">
        <v>250000</v>
      </c>
      <c r="AJ143" s="16">
        <v>50000</v>
      </c>
      <c r="AK143" s="16">
        <v>0</v>
      </c>
      <c r="AL143" s="16">
        <v>150000</v>
      </c>
      <c r="AM143" s="16">
        <v>0</v>
      </c>
      <c r="AN143" s="16">
        <v>80000</v>
      </c>
      <c r="AO143" s="16">
        <v>0</v>
      </c>
      <c r="AP143" s="16">
        <v>0</v>
      </c>
      <c r="AQ143" s="16">
        <v>0</v>
      </c>
      <c r="AR143" s="16">
        <v>0</v>
      </c>
      <c r="AS143" s="16">
        <v>0</v>
      </c>
      <c r="AT143" s="16">
        <v>0</v>
      </c>
      <c r="AU143" s="16">
        <v>0</v>
      </c>
      <c r="AV143" s="16">
        <v>0</v>
      </c>
      <c r="AW143" s="16">
        <v>0</v>
      </c>
      <c r="AX143" s="16">
        <v>0</v>
      </c>
      <c r="AY143" s="16">
        <v>0</v>
      </c>
      <c r="AZ143" s="16">
        <v>0</v>
      </c>
      <c r="BA143" s="16"/>
      <c r="BB143" s="15">
        <f t="shared" si="96"/>
        <v>1745140</v>
      </c>
      <c r="BC143" s="15">
        <v>230270</v>
      </c>
      <c r="BD143" s="16">
        <v>499940</v>
      </c>
      <c r="BE143" s="16">
        <v>0</v>
      </c>
      <c r="BF143" s="16">
        <v>49990</v>
      </c>
      <c r="BG143" s="16">
        <v>0</v>
      </c>
      <c r="BH143" s="16">
        <v>333380</v>
      </c>
      <c r="BI143" s="16">
        <v>277650</v>
      </c>
      <c r="BJ143" s="16">
        <v>65910</v>
      </c>
      <c r="BK143" s="16">
        <v>24200</v>
      </c>
      <c r="BL143" s="16">
        <v>160000</v>
      </c>
      <c r="BM143" s="16">
        <v>50000</v>
      </c>
      <c r="BN143" s="16">
        <v>53800</v>
      </c>
      <c r="BO143" s="16">
        <v>0</v>
      </c>
      <c r="BP143" s="16">
        <v>0</v>
      </c>
      <c r="BQ143" s="16">
        <v>0</v>
      </c>
      <c r="BR143" s="16">
        <v>0</v>
      </c>
      <c r="BS143" s="16">
        <v>0</v>
      </c>
      <c r="BT143" s="16">
        <v>0</v>
      </c>
      <c r="BU143" s="16">
        <v>0</v>
      </c>
      <c r="BV143" s="16">
        <v>0</v>
      </c>
      <c r="BW143" s="16">
        <v>0</v>
      </c>
    </row>
    <row r="144" spans="1:75" ht="18" customHeight="1" outlineLevel="1">
      <c r="B144" s="7">
        <v>2024</v>
      </c>
      <c r="C144" s="8" t="s">
        <v>12</v>
      </c>
      <c r="E144" s="8">
        <v>6867</v>
      </c>
      <c r="J144" s="9"/>
      <c r="Q144" s="5">
        <v>2025</v>
      </c>
      <c r="R144" s="5">
        <v>1</v>
      </c>
      <c r="S144" s="14" t="s">
        <v>54</v>
      </c>
      <c r="T144" s="15">
        <f t="shared" si="94"/>
        <v>6109890</v>
      </c>
      <c r="U144" s="15">
        <f t="shared" si="95"/>
        <v>7773340</v>
      </c>
      <c r="V144" s="6">
        <v>4837000</v>
      </c>
      <c r="W144" s="6">
        <v>1806340</v>
      </c>
      <c r="X144" s="16">
        <v>0</v>
      </c>
      <c r="Y144" s="16">
        <v>0</v>
      </c>
      <c r="Z144" s="16">
        <v>0</v>
      </c>
      <c r="AA144" s="16">
        <v>0</v>
      </c>
      <c r="AB144" s="16">
        <v>0</v>
      </c>
      <c r="AC144" s="16">
        <v>0</v>
      </c>
      <c r="AD144" s="16">
        <v>0</v>
      </c>
      <c r="AE144" s="16">
        <v>0</v>
      </c>
      <c r="AF144" s="16">
        <v>350000</v>
      </c>
      <c r="AG144" s="16">
        <v>0</v>
      </c>
      <c r="AH144" s="16">
        <v>100000</v>
      </c>
      <c r="AI144" s="16">
        <v>250000</v>
      </c>
      <c r="AJ144" s="16">
        <v>200000</v>
      </c>
      <c r="AK144" s="16">
        <v>0</v>
      </c>
      <c r="AL144" s="16">
        <v>150000</v>
      </c>
      <c r="AM144" s="16">
        <v>0</v>
      </c>
      <c r="AN144" s="16">
        <v>80000</v>
      </c>
      <c r="AO144" s="16">
        <v>0</v>
      </c>
      <c r="AP144" s="16">
        <v>0</v>
      </c>
      <c r="AQ144" s="16">
        <v>0</v>
      </c>
      <c r="AR144" s="16">
        <v>0</v>
      </c>
      <c r="AS144" s="16">
        <v>0</v>
      </c>
      <c r="AT144" s="16">
        <v>0</v>
      </c>
      <c r="AU144" s="16">
        <v>0</v>
      </c>
      <c r="AV144" s="16">
        <v>0</v>
      </c>
      <c r="AW144" s="16">
        <v>0</v>
      </c>
      <c r="AX144" s="16">
        <v>0</v>
      </c>
      <c r="AY144" s="16">
        <v>0</v>
      </c>
      <c r="AZ144" s="16">
        <v>0</v>
      </c>
      <c r="BA144" s="16"/>
      <c r="BB144" s="15">
        <f t="shared" si="96"/>
        <v>1663450</v>
      </c>
      <c r="BC144" s="15">
        <v>0</v>
      </c>
      <c r="BD144" s="16">
        <v>523600</v>
      </c>
      <c r="BE144" s="16">
        <v>0</v>
      </c>
      <c r="BF144" s="16">
        <v>52360</v>
      </c>
      <c r="BG144" s="16">
        <v>0</v>
      </c>
      <c r="BH144" s="16">
        <v>333380</v>
      </c>
      <c r="BI144" s="16">
        <v>277650</v>
      </c>
      <c r="BJ144" s="16">
        <v>67260</v>
      </c>
      <c r="BK144" s="16">
        <v>24200</v>
      </c>
      <c r="BL144" s="16">
        <v>160000</v>
      </c>
      <c r="BM144" s="16">
        <v>200000</v>
      </c>
      <c r="BN144" s="16">
        <v>25000</v>
      </c>
      <c r="BO144" s="16">
        <v>0</v>
      </c>
      <c r="BP144" s="16">
        <v>0</v>
      </c>
      <c r="BQ144" s="16">
        <v>0</v>
      </c>
      <c r="BR144" s="16">
        <v>0</v>
      </c>
      <c r="BS144" s="16">
        <v>0</v>
      </c>
      <c r="BT144" s="16">
        <v>0</v>
      </c>
      <c r="BU144" s="16">
        <v>0</v>
      </c>
      <c r="BV144" s="16">
        <v>0</v>
      </c>
      <c r="BW144" s="16">
        <v>0</v>
      </c>
    </row>
    <row r="145" spans="1:75" s="1" customFormat="1" ht="18" customHeight="1">
      <c r="A145" s="10"/>
      <c r="B145" s="11"/>
      <c r="C145" s="12"/>
      <c r="D145" s="11"/>
      <c r="E145" s="12"/>
      <c r="F145" s="12"/>
      <c r="G145" s="12"/>
      <c r="H145" s="12"/>
      <c r="I145" s="12"/>
      <c r="J145" s="3"/>
      <c r="K145" s="12"/>
      <c r="L145" s="12"/>
      <c r="M145" s="12"/>
      <c r="N145" s="12"/>
      <c r="O145" s="13"/>
      <c r="Q145" s="628" t="s">
        <v>177</v>
      </c>
      <c r="R145" s="628"/>
      <c r="S145" s="628"/>
      <c r="T145" s="23">
        <f t="shared" ref="T145:AZ145" si="104">SUMIF($Q$2:$Q$793,$Q146,T$2:T$793)</f>
        <v>81946875</v>
      </c>
      <c r="U145" s="23">
        <f t="shared" si="104"/>
        <v>104128013</v>
      </c>
      <c r="V145" s="23">
        <f t="shared" si="104"/>
        <v>57428000</v>
      </c>
      <c r="W145" s="23">
        <f t="shared" si="104"/>
        <v>21443080</v>
      </c>
      <c r="X145" s="23">
        <f t="shared" si="104"/>
        <v>0</v>
      </c>
      <c r="Y145" s="23">
        <f t="shared" si="104"/>
        <v>0</v>
      </c>
      <c r="Z145" s="23">
        <f t="shared" si="104"/>
        <v>0</v>
      </c>
      <c r="AA145" s="23">
        <f t="shared" si="104"/>
        <v>0</v>
      </c>
      <c r="AB145" s="23">
        <f t="shared" si="104"/>
        <v>0</v>
      </c>
      <c r="AC145" s="23">
        <f t="shared" si="104"/>
        <v>849000</v>
      </c>
      <c r="AD145" s="23">
        <f t="shared" si="104"/>
        <v>7136283</v>
      </c>
      <c r="AE145" s="23">
        <f t="shared" si="104"/>
        <v>1500000</v>
      </c>
      <c r="AF145" s="23">
        <f t="shared" si="104"/>
        <v>4200000</v>
      </c>
      <c r="AG145" s="23">
        <f t="shared" si="104"/>
        <v>0</v>
      </c>
      <c r="AH145" s="23">
        <f t="shared" si="104"/>
        <v>1200000</v>
      </c>
      <c r="AI145" s="23">
        <f t="shared" si="104"/>
        <v>3000000</v>
      </c>
      <c r="AJ145" s="23">
        <f t="shared" si="104"/>
        <v>1010000</v>
      </c>
      <c r="AK145" s="23">
        <f t="shared" si="104"/>
        <v>300000</v>
      </c>
      <c r="AL145" s="23">
        <f t="shared" si="104"/>
        <v>1600000</v>
      </c>
      <c r="AM145" s="23">
        <f t="shared" si="104"/>
        <v>0</v>
      </c>
      <c r="AN145" s="23">
        <f t="shared" si="104"/>
        <v>960000</v>
      </c>
      <c r="AO145" s="23">
        <f t="shared" si="104"/>
        <v>50000</v>
      </c>
      <c r="AP145" s="23">
        <f t="shared" si="104"/>
        <v>450000</v>
      </c>
      <c r="AQ145" s="23">
        <f t="shared" si="104"/>
        <v>40000</v>
      </c>
      <c r="AR145" s="23">
        <f t="shared" si="104"/>
        <v>0</v>
      </c>
      <c r="AS145" s="23">
        <f t="shared" si="104"/>
        <v>0</v>
      </c>
      <c r="AT145" s="23">
        <f t="shared" si="104"/>
        <v>0</v>
      </c>
      <c r="AU145" s="23">
        <f t="shared" si="104"/>
        <v>300000</v>
      </c>
      <c r="AV145" s="23">
        <f t="shared" si="104"/>
        <v>0</v>
      </c>
      <c r="AW145" s="23">
        <f t="shared" si="104"/>
        <v>1887650</v>
      </c>
      <c r="AX145" s="23">
        <f t="shared" si="104"/>
        <v>300000</v>
      </c>
      <c r="AY145" s="23">
        <f t="shared" si="104"/>
        <v>474000</v>
      </c>
      <c r="AZ145" s="23">
        <f t="shared" si="104"/>
        <v>0</v>
      </c>
      <c r="BA145" s="23"/>
      <c r="BB145" s="23">
        <f t="shared" ref="BB145:BW145" si="105">SUMIF($Q$2:$Q$793,$Q146,BB$2:BB$793)</f>
        <v>22181138</v>
      </c>
      <c r="BC145" s="23">
        <f t="shared" si="105"/>
        <v>-1413340</v>
      </c>
      <c r="BD145" s="23">
        <f t="shared" si="105"/>
        <v>8071080</v>
      </c>
      <c r="BE145" s="23">
        <f t="shared" si="105"/>
        <v>0</v>
      </c>
      <c r="BF145" s="23">
        <f t="shared" si="105"/>
        <v>807060</v>
      </c>
      <c r="BG145" s="23">
        <f t="shared" si="105"/>
        <v>0</v>
      </c>
      <c r="BH145" s="23">
        <f t="shared" si="105"/>
        <v>3762000</v>
      </c>
      <c r="BI145" s="23">
        <f t="shared" si="105"/>
        <v>3258900</v>
      </c>
      <c r="BJ145" s="23">
        <f t="shared" si="105"/>
        <v>900248</v>
      </c>
      <c r="BK145" s="23">
        <f t="shared" si="105"/>
        <v>290700</v>
      </c>
      <c r="BL145" s="23">
        <f t="shared" si="105"/>
        <v>1920000</v>
      </c>
      <c r="BM145" s="23">
        <f t="shared" si="105"/>
        <v>1010000</v>
      </c>
      <c r="BN145" s="23">
        <f t="shared" si="105"/>
        <v>284500</v>
      </c>
      <c r="BO145" s="23">
        <f t="shared" si="105"/>
        <v>998340</v>
      </c>
      <c r="BP145" s="23">
        <f t="shared" si="105"/>
        <v>0</v>
      </c>
      <c r="BQ145" s="23">
        <f t="shared" si="105"/>
        <v>0</v>
      </c>
      <c r="BR145" s="23">
        <f t="shared" si="105"/>
        <v>0</v>
      </c>
      <c r="BS145" s="23">
        <f t="shared" si="105"/>
        <v>0</v>
      </c>
      <c r="BT145" s="23">
        <f t="shared" si="105"/>
        <v>104000</v>
      </c>
      <c r="BU145" s="23">
        <f t="shared" si="105"/>
        <v>300000</v>
      </c>
      <c r="BV145" s="23">
        <f t="shared" si="105"/>
        <v>1887650</v>
      </c>
      <c r="BW145" s="23">
        <f t="shared" si="105"/>
        <v>0</v>
      </c>
    </row>
    <row r="146" spans="1:75" ht="18" hidden="1" customHeight="1" outlineLevel="1">
      <c r="D146" s="7" t="s">
        <v>11</v>
      </c>
      <c r="F146" s="8">
        <v>4717</v>
      </c>
      <c r="G146" s="8">
        <v>5848</v>
      </c>
      <c r="K146" s="8">
        <v>2400</v>
      </c>
      <c r="L146" s="8">
        <f>K146*12</f>
        <v>28800</v>
      </c>
      <c r="M146" s="8">
        <f>L146*1.13</f>
        <v>32543.999999999996</v>
      </c>
      <c r="N146" s="8">
        <v>21014</v>
      </c>
      <c r="O146" s="9">
        <f>N146/M146</f>
        <v>0.64571042281219282</v>
      </c>
      <c r="Q146" s="5">
        <v>2024</v>
      </c>
      <c r="R146" s="5">
        <v>12</v>
      </c>
      <c r="S146" s="14" t="s">
        <v>54</v>
      </c>
      <c r="T146" s="15">
        <f t="shared" ref="T146:T159" si="106">IF(U146=U146-BB146,0,U146-BB146)</f>
        <v>6500850</v>
      </c>
      <c r="U146" s="15">
        <f t="shared" ref="U146:U159" si="107">SUM(V146:BA146)</f>
        <v>8123340</v>
      </c>
      <c r="V146" s="6">
        <v>4837000</v>
      </c>
      <c r="W146" s="6">
        <v>1806340</v>
      </c>
      <c r="X146" s="16">
        <v>0</v>
      </c>
      <c r="Y146" s="16">
        <v>0</v>
      </c>
      <c r="Z146" s="16">
        <v>0</v>
      </c>
      <c r="AA146" s="16">
        <v>0</v>
      </c>
      <c r="AB146" s="16">
        <v>0</v>
      </c>
      <c r="AC146" s="16">
        <v>0</v>
      </c>
      <c r="AD146" s="16">
        <v>0</v>
      </c>
      <c r="AE146" s="16">
        <v>0</v>
      </c>
      <c r="AF146" s="16">
        <v>350000</v>
      </c>
      <c r="AG146" s="16">
        <v>0</v>
      </c>
      <c r="AH146" s="16">
        <v>100000</v>
      </c>
      <c r="AI146" s="16">
        <v>250000</v>
      </c>
      <c r="AJ146" s="16">
        <v>50000</v>
      </c>
      <c r="AK146" s="16">
        <v>0</v>
      </c>
      <c r="AL146" s="16">
        <v>150000</v>
      </c>
      <c r="AM146" s="16">
        <v>0</v>
      </c>
      <c r="AN146" s="16">
        <v>80000</v>
      </c>
      <c r="AO146" s="16">
        <v>50000</v>
      </c>
      <c r="AP146" s="16">
        <v>450000</v>
      </c>
      <c r="AQ146" s="16">
        <v>0</v>
      </c>
      <c r="AR146" s="16">
        <v>0</v>
      </c>
      <c r="AS146" s="16">
        <v>0</v>
      </c>
      <c r="AT146" s="16">
        <v>0</v>
      </c>
      <c r="AU146" s="16">
        <v>0</v>
      </c>
      <c r="AV146" s="16">
        <v>0</v>
      </c>
      <c r="AW146" s="16">
        <v>0</v>
      </c>
      <c r="AX146" s="16">
        <v>0</v>
      </c>
      <c r="AY146" s="16">
        <v>0</v>
      </c>
      <c r="AZ146" s="16">
        <v>0</v>
      </c>
      <c r="BA146" s="16"/>
      <c r="BB146" s="15">
        <f t="shared" ref="BB146:BB159" si="108">SUM(BC146:BW146)</f>
        <v>1622490</v>
      </c>
      <c r="BC146" s="16">
        <v>0</v>
      </c>
      <c r="BD146" s="16">
        <v>499940</v>
      </c>
      <c r="BE146" s="16">
        <v>0</v>
      </c>
      <c r="BF146" s="16">
        <v>49990</v>
      </c>
      <c r="BG146" s="16">
        <v>0</v>
      </c>
      <c r="BH146" s="16">
        <v>333380</v>
      </c>
      <c r="BI146" s="16">
        <v>277650</v>
      </c>
      <c r="BJ146" s="16">
        <v>65910</v>
      </c>
      <c r="BK146" s="16">
        <v>24200</v>
      </c>
      <c r="BL146" s="16">
        <v>160000</v>
      </c>
      <c r="BM146" s="16">
        <v>50000</v>
      </c>
      <c r="BN146" s="16">
        <v>50500</v>
      </c>
      <c r="BO146" s="16">
        <v>110920</v>
      </c>
      <c r="BP146" s="16">
        <v>0</v>
      </c>
      <c r="BQ146" s="16">
        <v>0</v>
      </c>
      <c r="BR146" s="16">
        <v>0</v>
      </c>
      <c r="BS146" s="16">
        <v>0</v>
      </c>
      <c r="BT146" s="16">
        <v>0</v>
      </c>
      <c r="BU146" s="16">
        <v>0</v>
      </c>
      <c r="BV146" s="16">
        <v>0</v>
      </c>
      <c r="BW146" s="16">
        <v>0</v>
      </c>
    </row>
    <row r="147" spans="1:75" ht="18" hidden="1" customHeight="1" outlineLevel="1">
      <c r="D147" s="7" t="s">
        <v>11</v>
      </c>
      <c r="F147" s="8">
        <v>4717</v>
      </c>
      <c r="G147" s="8">
        <v>5848</v>
      </c>
      <c r="K147" s="8">
        <v>2400</v>
      </c>
      <c r="L147" s="8">
        <f>K147*12</f>
        <v>28800</v>
      </c>
      <c r="M147" s="8">
        <f>L147*1.13</f>
        <v>32543.999999999996</v>
      </c>
      <c r="N147" s="8">
        <v>21014</v>
      </c>
      <c r="O147" s="9">
        <f>N147/M147</f>
        <v>0.64571042281219282</v>
      </c>
      <c r="Q147" s="5">
        <v>2024</v>
      </c>
      <c r="R147" s="5">
        <v>11</v>
      </c>
      <c r="S147" s="14" t="s">
        <v>54</v>
      </c>
      <c r="T147" s="15">
        <f t="shared" si="106"/>
        <v>6034950</v>
      </c>
      <c r="U147" s="15">
        <f t="shared" si="107"/>
        <v>7573340</v>
      </c>
      <c r="V147" s="6">
        <v>4837000</v>
      </c>
      <c r="W147" s="6">
        <v>1806340</v>
      </c>
      <c r="X147" s="16">
        <v>0</v>
      </c>
      <c r="Y147" s="16">
        <v>0</v>
      </c>
      <c r="Z147" s="16">
        <v>0</v>
      </c>
      <c r="AA147" s="16">
        <v>0</v>
      </c>
      <c r="AB147" s="16">
        <v>0</v>
      </c>
      <c r="AC147" s="16">
        <v>0</v>
      </c>
      <c r="AD147" s="16">
        <v>0</v>
      </c>
      <c r="AE147" s="16">
        <v>0</v>
      </c>
      <c r="AF147" s="16">
        <v>350000</v>
      </c>
      <c r="AG147" s="16">
        <v>0</v>
      </c>
      <c r="AH147" s="16">
        <v>100000</v>
      </c>
      <c r="AI147" s="16">
        <v>250000</v>
      </c>
      <c r="AJ147" s="16">
        <v>0</v>
      </c>
      <c r="AK147" s="16">
        <v>0</v>
      </c>
      <c r="AL147" s="16">
        <v>150000</v>
      </c>
      <c r="AM147" s="16">
        <v>0</v>
      </c>
      <c r="AN147" s="16">
        <v>80000</v>
      </c>
      <c r="AO147" s="16">
        <v>0</v>
      </c>
      <c r="AP147" s="16">
        <v>0</v>
      </c>
      <c r="AQ147" s="16">
        <v>0</v>
      </c>
      <c r="AR147" s="16">
        <v>0</v>
      </c>
      <c r="AS147" s="16">
        <v>0</v>
      </c>
      <c r="AT147" s="16">
        <v>0</v>
      </c>
      <c r="AU147" s="16">
        <v>0</v>
      </c>
      <c r="AV147" s="16">
        <v>0</v>
      </c>
      <c r="AW147" s="16">
        <v>0</v>
      </c>
      <c r="AX147" s="16">
        <v>0</v>
      </c>
      <c r="AY147" s="16">
        <v>0</v>
      </c>
      <c r="AZ147" s="16">
        <v>0</v>
      </c>
      <c r="BA147" s="16"/>
      <c r="BB147" s="15">
        <f t="shared" si="108"/>
        <v>1538390</v>
      </c>
      <c r="BC147" s="16">
        <v>0</v>
      </c>
      <c r="BD147" s="16">
        <v>489800</v>
      </c>
      <c r="BE147" s="16">
        <v>0</v>
      </c>
      <c r="BF147" s="16">
        <v>48980</v>
      </c>
      <c r="BG147" s="16">
        <v>0</v>
      </c>
      <c r="BH147" s="16">
        <v>333380</v>
      </c>
      <c r="BI147" s="16">
        <v>277650</v>
      </c>
      <c r="BJ147" s="16">
        <v>65460</v>
      </c>
      <c r="BK147" s="16">
        <v>24200</v>
      </c>
      <c r="BL147" s="16">
        <v>160000</v>
      </c>
      <c r="BM147" s="16">
        <v>0</v>
      </c>
      <c r="BN147" s="16">
        <v>28000</v>
      </c>
      <c r="BO147" s="16">
        <v>110920</v>
      </c>
      <c r="BP147" s="16">
        <v>0</v>
      </c>
      <c r="BQ147" s="16">
        <v>0</v>
      </c>
      <c r="BR147" s="16">
        <v>0</v>
      </c>
      <c r="BS147" s="16">
        <v>0</v>
      </c>
      <c r="BT147" s="16">
        <v>0</v>
      </c>
      <c r="BU147" s="16">
        <v>0</v>
      </c>
      <c r="BV147" s="16">
        <v>0</v>
      </c>
      <c r="BW147" s="16">
        <v>0</v>
      </c>
    </row>
    <row r="148" spans="1:75" ht="18" hidden="1" customHeight="1" outlineLevel="1">
      <c r="D148" s="7" t="s">
        <v>11</v>
      </c>
      <c r="F148" s="8">
        <v>4717</v>
      </c>
      <c r="G148" s="8">
        <v>5848</v>
      </c>
      <c r="K148" s="8">
        <v>2400</v>
      </c>
      <c r="L148" s="8">
        <f t="shared" si="0"/>
        <v>28800</v>
      </c>
      <c r="M148" s="8">
        <f t="shared" si="1"/>
        <v>32543.999999999996</v>
      </c>
      <c r="N148" s="8">
        <v>21014</v>
      </c>
      <c r="O148" s="9">
        <f t="shared" si="2"/>
        <v>0.64571042281219282</v>
      </c>
      <c r="Q148" s="5">
        <v>2024</v>
      </c>
      <c r="R148" s="5">
        <v>10</v>
      </c>
      <c r="S148" s="14" t="s">
        <v>54</v>
      </c>
      <c r="T148" s="15">
        <f t="shared" si="106"/>
        <v>6037350</v>
      </c>
      <c r="U148" s="15">
        <f t="shared" si="107"/>
        <v>7623340</v>
      </c>
      <c r="V148" s="6">
        <v>4837000</v>
      </c>
      <c r="W148" s="6">
        <v>1806340</v>
      </c>
      <c r="X148" s="16">
        <v>0</v>
      </c>
      <c r="Y148" s="16">
        <v>0</v>
      </c>
      <c r="Z148" s="16">
        <v>0</v>
      </c>
      <c r="AA148" s="16">
        <v>0</v>
      </c>
      <c r="AB148" s="16">
        <v>0</v>
      </c>
      <c r="AC148" s="16">
        <v>0</v>
      </c>
      <c r="AD148" s="16">
        <v>0</v>
      </c>
      <c r="AE148" s="16">
        <v>0</v>
      </c>
      <c r="AF148" s="16">
        <v>350000</v>
      </c>
      <c r="AG148" s="16">
        <v>0</v>
      </c>
      <c r="AH148" s="16">
        <v>100000</v>
      </c>
      <c r="AI148" s="16">
        <v>250000</v>
      </c>
      <c r="AJ148" s="16">
        <v>50000</v>
      </c>
      <c r="AK148" s="16">
        <v>0</v>
      </c>
      <c r="AL148" s="16">
        <v>150000</v>
      </c>
      <c r="AM148" s="16">
        <v>0</v>
      </c>
      <c r="AN148" s="16">
        <v>80000</v>
      </c>
      <c r="AO148" s="16">
        <v>0</v>
      </c>
      <c r="AP148" s="16">
        <v>0</v>
      </c>
      <c r="AQ148" s="16">
        <v>0</v>
      </c>
      <c r="AR148" s="16">
        <v>0</v>
      </c>
      <c r="AS148" s="16">
        <v>0</v>
      </c>
      <c r="AT148" s="16">
        <v>0</v>
      </c>
      <c r="AU148" s="16">
        <v>0</v>
      </c>
      <c r="AV148" s="16">
        <v>0</v>
      </c>
      <c r="AW148" s="16">
        <v>0</v>
      </c>
      <c r="AX148" s="16">
        <v>0</v>
      </c>
      <c r="AY148" s="16">
        <v>0</v>
      </c>
      <c r="AZ148" s="16">
        <v>0</v>
      </c>
      <c r="BA148" s="16"/>
      <c r="BB148" s="15">
        <f t="shared" si="108"/>
        <v>1585990</v>
      </c>
      <c r="BC148" s="16">
        <v>0</v>
      </c>
      <c r="BD148" s="16">
        <v>499940</v>
      </c>
      <c r="BE148" s="16">
        <v>0</v>
      </c>
      <c r="BF148" s="16">
        <v>49990</v>
      </c>
      <c r="BG148" s="16">
        <v>0</v>
      </c>
      <c r="BH148" s="16">
        <v>333380</v>
      </c>
      <c r="BI148" s="16">
        <v>277650</v>
      </c>
      <c r="BJ148" s="16">
        <v>65910</v>
      </c>
      <c r="BK148" s="16">
        <v>24200</v>
      </c>
      <c r="BL148" s="16">
        <v>160000</v>
      </c>
      <c r="BM148" s="16">
        <v>50000</v>
      </c>
      <c r="BN148" s="16">
        <v>14000</v>
      </c>
      <c r="BO148" s="16">
        <v>110920</v>
      </c>
      <c r="BP148" s="16">
        <v>0</v>
      </c>
      <c r="BQ148" s="16">
        <v>0</v>
      </c>
      <c r="BR148" s="16">
        <v>0</v>
      </c>
      <c r="BS148" s="16">
        <v>0</v>
      </c>
      <c r="BT148" s="16">
        <v>0</v>
      </c>
      <c r="BU148" s="16">
        <v>0</v>
      </c>
      <c r="BV148" s="16">
        <v>0</v>
      </c>
      <c r="BW148" s="16">
        <v>0</v>
      </c>
    </row>
    <row r="149" spans="1:75" ht="18" hidden="1" customHeight="1" outlineLevel="1">
      <c r="D149" s="7" t="s">
        <v>12</v>
      </c>
      <c r="F149" s="8">
        <v>6867</v>
      </c>
      <c r="G149" s="8">
        <v>6867</v>
      </c>
      <c r="K149" s="8">
        <v>2400</v>
      </c>
      <c r="L149" s="8">
        <f t="shared" si="0"/>
        <v>28800</v>
      </c>
      <c r="M149" s="8">
        <f t="shared" si="1"/>
        <v>32543.999999999996</v>
      </c>
      <c r="N149" s="8">
        <v>21014</v>
      </c>
      <c r="O149" s="9">
        <f t="shared" si="2"/>
        <v>0.64571042281219282</v>
      </c>
      <c r="Q149" s="5">
        <v>2024</v>
      </c>
      <c r="R149" s="5">
        <v>9</v>
      </c>
      <c r="S149" s="14" t="s">
        <v>54</v>
      </c>
      <c r="T149" s="15">
        <f t="shared" si="106"/>
        <v>5808550</v>
      </c>
      <c r="U149" s="15">
        <f t="shared" si="107"/>
        <v>7773340</v>
      </c>
      <c r="V149" s="6">
        <v>4837000</v>
      </c>
      <c r="W149" s="6">
        <v>1806340</v>
      </c>
      <c r="X149" s="16">
        <v>0</v>
      </c>
      <c r="Y149" s="16">
        <v>0</v>
      </c>
      <c r="Z149" s="16">
        <v>0</v>
      </c>
      <c r="AA149" s="16">
        <v>0</v>
      </c>
      <c r="AB149" s="16">
        <v>0</v>
      </c>
      <c r="AC149" s="16">
        <v>0</v>
      </c>
      <c r="AD149" s="16">
        <v>0</v>
      </c>
      <c r="AE149" s="16">
        <v>0</v>
      </c>
      <c r="AF149" s="16">
        <v>350000</v>
      </c>
      <c r="AG149" s="16">
        <v>0</v>
      </c>
      <c r="AH149" s="16">
        <v>100000</v>
      </c>
      <c r="AI149" s="16">
        <v>250000</v>
      </c>
      <c r="AJ149" s="16">
        <v>200000</v>
      </c>
      <c r="AK149" s="16">
        <v>0</v>
      </c>
      <c r="AL149" s="16">
        <v>150000</v>
      </c>
      <c r="AM149" s="16">
        <v>0</v>
      </c>
      <c r="AN149" s="16">
        <v>80000</v>
      </c>
      <c r="AO149" s="16">
        <v>0</v>
      </c>
      <c r="AP149" s="16">
        <v>0</v>
      </c>
      <c r="AQ149" s="16">
        <v>0</v>
      </c>
      <c r="AR149" s="16">
        <v>0</v>
      </c>
      <c r="AS149" s="16">
        <v>0</v>
      </c>
      <c r="AT149" s="16">
        <v>0</v>
      </c>
      <c r="AU149" s="16">
        <v>0</v>
      </c>
      <c r="AV149" s="16">
        <v>0</v>
      </c>
      <c r="AW149" s="16">
        <v>0</v>
      </c>
      <c r="AX149" s="16">
        <v>0</v>
      </c>
      <c r="AY149" s="16">
        <v>0</v>
      </c>
      <c r="AZ149" s="16">
        <v>0</v>
      </c>
      <c r="BA149" s="16"/>
      <c r="BB149" s="15">
        <f t="shared" si="108"/>
        <v>1964790</v>
      </c>
      <c r="BC149" s="16">
        <v>0</v>
      </c>
      <c r="BD149" s="16">
        <v>608080</v>
      </c>
      <c r="BE149" s="16">
        <v>0</v>
      </c>
      <c r="BF149" s="16">
        <v>60800</v>
      </c>
      <c r="BG149" s="16">
        <v>0</v>
      </c>
      <c r="BH149" s="16">
        <v>333380</v>
      </c>
      <c r="BI149" s="16">
        <v>277650</v>
      </c>
      <c r="BJ149" s="16">
        <v>71760</v>
      </c>
      <c r="BK149" s="16">
        <v>24200</v>
      </c>
      <c r="BL149" s="16">
        <v>160000</v>
      </c>
      <c r="BM149" s="16">
        <v>200000</v>
      </c>
      <c r="BN149" s="16">
        <v>14000</v>
      </c>
      <c r="BO149" s="16">
        <v>110920</v>
      </c>
      <c r="BP149" s="16">
        <v>0</v>
      </c>
      <c r="BQ149" s="16">
        <v>0</v>
      </c>
      <c r="BR149" s="16">
        <v>0</v>
      </c>
      <c r="BS149" s="16">
        <v>0</v>
      </c>
      <c r="BT149" s="16">
        <v>104000</v>
      </c>
      <c r="BU149" s="16">
        <v>0</v>
      </c>
      <c r="BV149" s="16">
        <v>0</v>
      </c>
      <c r="BW149" s="16">
        <v>0</v>
      </c>
    </row>
    <row r="150" spans="1:75" ht="18" hidden="1" customHeight="1" outlineLevel="1">
      <c r="B150" s="7">
        <v>2021</v>
      </c>
      <c r="C150" s="8" t="s">
        <v>12</v>
      </c>
      <c r="E150" s="8">
        <v>6867</v>
      </c>
      <c r="J150" s="9"/>
      <c r="Q150" s="5">
        <v>2024</v>
      </c>
      <c r="R150" s="5">
        <v>9</v>
      </c>
      <c r="S150" s="14" t="s">
        <v>2418</v>
      </c>
      <c r="T150" s="15">
        <v>500000</v>
      </c>
      <c r="U150" s="15">
        <f t="shared" ref="U150" si="109">SUM(V150:BA150)</f>
        <v>500000</v>
      </c>
      <c r="V150" s="16">
        <v>0</v>
      </c>
      <c r="W150" s="16">
        <v>0</v>
      </c>
      <c r="X150" s="16">
        <v>0</v>
      </c>
      <c r="Y150" s="16">
        <v>0</v>
      </c>
      <c r="Z150" s="16">
        <v>0</v>
      </c>
      <c r="AA150" s="16">
        <v>0</v>
      </c>
      <c r="AB150" s="16">
        <v>0</v>
      </c>
      <c r="AC150" s="16">
        <v>0</v>
      </c>
      <c r="AD150" s="16">
        <v>0</v>
      </c>
      <c r="AE150" s="16">
        <v>500000</v>
      </c>
      <c r="AF150" s="16">
        <v>0</v>
      </c>
      <c r="AG150" s="16">
        <v>0</v>
      </c>
      <c r="AH150" s="16">
        <v>0</v>
      </c>
      <c r="AI150" s="16">
        <v>0</v>
      </c>
      <c r="AJ150" s="16">
        <v>0</v>
      </c>
      <c r="AK150" s="16">
        <v>0</v>
      </c>
      <c r="AL150" s="16">
        <v>0</v>
      </c>
      <c r="AM150" s="16">
        <v>0</v>
      </c>
      <c r="AN150" s="16">
        <v>0</v>
      </c>
      <c r="AO150" s="16">
        <v>0</v>
      </c>
      <c r="AP150" s="16">
        <v>0</v>
      </c>
      <c r="AQ150" s="16">
        <v>0</v>
      </c>
      <c r="AR150" s="16">
        <v>0</v>
      </c>
      <c r="AS150" s="16">
        <v>0</v>
      </c>
      <c r="AT150" s="16">
        <v>0</v>
      </c>
      <c r="AU150" s="16">
        <v>0</v>
      </c>
      <c r="AV150" s="16">
        <v>0</v>
      </c>
      <c r="AW150" s="16">
        <v>0</v>
      </c>
      <c r="AX150" s="16">
        <v>0</v>
      </c>
      <c r="AY150" s="16">
        <v>0</v>
      </c>
      <c r="AZ150" s="16">
        <v>0</v>
      </c>
      <c r="BA150" s="16"/>
      <c r="BB150" s="15">
        <f t="shared" si="108"/>
        <v>0</v>
      </c>
      <c r="BC150" s="15">
        <v>0</v>
      </c>
      <c r="BD150" s="16">
        <v>0</v>
      </c>
      <c r="BE150" s="16">
        <v>0</v>
      </c>
      <c r="BF150" s="16">
        <v>0</v>
      </c>
      <c r="BG150" s="16">
        <v>0</v>
      </c>
      <c r="BH150" s="16">
        <v>0</v>
      </c>
      <c r="BI150" s="16">
        <v>0</v>
      </c>
      <c r="BJ150" s="16">
        <v>0</v>
      </c>
      <c r="BK150" s="16">
        <v>0</v>
      </c>
      <c r="BL150" s="16">
        <v>0</v>
      </c>
      <c r="BM150" s="16">
        <v>0</v>
      </c>
      <c r="BN150" s="16">
        <v>0</v>
      </c>
      <c r="BO150" s="16">
        <v>0</v>
      </c>
      <c r="BP150" s="16">
        <v>0</v>
      </c>
      <c r="BQ150" s="16">
        <v>0</v>
      </c>
      <c r="BR150" s="16">
        <v>0</v>
      </c>
      <c r="BS150" s="16">
        <v>0</v>
      </c>
      <c r="BT150" s="16">
        <v>0</v>
      </c>
      <c r="BU150" s="16">
        <v>0</v>
      </c>
      <c r="BV150" s="16">
        <v>0</v>
      </c>
      <c r="BW150" s="16">
        <v>0</v>
      </c>
    </row>
    <row r="151" spans="1:75" ht="18" hidden="1" customHeight="1" outlineLevel="1">
      <c r="D151" s="7" t="s">
        <v>13</v>
      </c>
      <c r="F151" s="8">
        <v>7988</v>
      </c>
      <c r="G151" s="8" t="s">
        <v>16</v>
      </c>
      <c r="H151" s="8" t="s">
        <v>17</v>
      </c>
      <c r="I151" s="8">
        <v>171</v>
      </c>
      <c r="K151" s="8">
        <v>2400</v>
      </c>
      <c r="L151" s="8">
        <f t="shared" si="0"/>
        <v>28800</v>
      </c>
      <c r="M151" s="8">
        <f t="shared" si="1"/>
        <v>32543.999999999996</v>
      </c>
      <c r="N151" s="8">
        <v>21014</v>
      </c>
      <c r="O151" s="9">
        <f t="shared" si="2"/>
        <v>0.64571042281219282</v>
      </c>
      <c r="Q151" s="5">
        <v>2024</v>
      </c>
      <c r="R151" s="5">
        <v>8</v>
      </c>
      <c r="S151" s="14" t="s">
        <v>55</v>
      </c>
      <c r="T151" s="15">
        <f t="shared" si="106"/>
        <v>6051950</v>
      </c>
      <c r="U151" s="15">
        <f t="shared" si="107"/>
        <v>7573340</v>
      </c>
      <c r="V151" s="6">
        <v>4837000</v>
      </c>
      <c r="W151" s="6">
        <v>1806340</v>
      </c>
      <c r="X151" s="16">
        <v>0</v>
      </c>
      <c r="Y151" s="16">
        <v>0</v>
      </c>
      <c r="Z151" s="16">
        <v>0</v>
      </c>
      <c r="AA151" s="16">
        <v>0</v>
      </c>
      <c r="AB151" s="16">
        <v>0</v>
      </c>
      <c r="AC151" s="16">
        <v>0</v>
      </c>
      <c r="AD151" s="16">
        <v>0</v>
      </c>
      <c r="AE151" s="16">
        <v>0</v>
      </c>
      <c r="AF151" s="16">
        <v>350000</v>
      </c>
      <c r="AG151" s="16">
        <v>0</v>
      </c>
      <c r="AH151" s="16">
        <v>100000</v>
      </c>
      <c r="AI151" s="16">
        <v>250000</v>
      </c>
      <c r="AJ151" s="16">
        <v>0</v>
      </c>
      <c r="AK151" s="16">
        <v>0</v>
      </c>
      <c r="AL151" s="16">
        <v>150000</v>
      </c>
      <c r="AM151" s="16">
        <v>0</v>
      </c>
      <c r="AN151" s="16">
        <v>80000</v>
      </c>
      <c r="AO151" s="16">
        <v>0</v>
      </c>
      <c r="AP151" s="16">
        <v>0</v>
      </c>
      <c r="AQ151" s="16">
        <v>0</v>
      </c>
      <c r="AR151" s="16">
        <v>0</v>
      </c>
      <c r="AS151" s="16">
        <v>0</v>
      </c>
      <c r="AT151" s="16">
        <v>0</v>
      </c>
      <c r="AU151" s="16">
        <v>0</v>
      </c>
      <c r="AV151" s="16">
        <v>0</v>
      </c>
      <c r="AW151" s="16">
        <v>0</v>
      </c>
      <c r="AX151" s="16">
        <v>0</v>
      </c>
      <c r="AY151" s="16">
        <v>0</v>
      </c>
      <c r="AZ151" s="16">
        <v>0</v>
      </c>
      <c r="BA151" s="16"/>
      <c r="BB151" s="15">
        <f t="shared" si="108"/>
        <v>1521390</v>
      </c>
      <c r="BC151" s="16">
        <v>0</v>
      </c>
      <c r="BD151" s="16">
        <v>489800</v>
      </c>
      <c r="BE151" s="16">
        <v>0</v>
      </c>
      <c r="BF151" s="16">
        <v>48980</v>
      </c>
      <c r="BG151" s="16">
        <v>0</v>
      </c>
      <c r="BH151" s="16">
        <v>333380</v>
      </c>
      <c r="BI151" s="16">
        <v>277650</v>
      </c>
      <c r="BJ151" s="16">
        <v>65460</v>
      </c>
      <c r="BK151" s="16">
        <v>24200</v>
      </c>
      <c r="BL151" s="16">
        <v>160000</v>
      </c>
      <c r="BM151" s="16">
        <v>0</v>
      </c>
      <c r="BN151" s="16">
        <v>11000</v>
      </c>
      <c r="BO151" s="16">
        <v>110920</v>
      </c>
      <c r="BP151" s="16">
        <v>0</v>
      </c>
      <c r="BQ151" s="16">
        <v>0</v>
      </c>
      <c r="BR151" s="16">
        <v>0</v>
      </c>
      <c r="BS151" s="16">
        <v>0</v>
      </c>
      <c r="BT151" s="16">
        <v>0</v>
      </c>
      <c r="BU151" s="16">
        <v>0</v>
      </c>
      <c r="BV151" s="16">
        <v>0</v>
      </c>
      <c r="BW151" s="16">
        <v>0</v>
      </c>
    </row>
    <row r="152" spans="1:75" ht="18" hidden="1" customHeight="1" outlineLevel="1">
      <c r="D152" s="7" t="s">
        <v>13</v>
      </c>
      <c r="F152" s="8">
        <v>7988</v>
      </c>
      <c r="G152" s="8" t="s">
        <v>2</v>
      </c>
      <c r="H152" s="8" t="s">
        <v>17</v>
      </c>
      <c r="I152" s="8">
        <v>171</v>
      </c>
      <c r="K152" s="8">
        <v>2400</v>
      </c>
      <c r="L152" s="8">
        <f t="shared" si="0"/>
        <v>28800</v>
      </c>
      <c r="M152" s="8">
        <f t="shared" si="1"/>
        <v>32543.999999999996</v>
      </c>
      <c r="N152" s="8">
        <v>21014</v>
      </c>
      <c r="O152" s="9">
        <f t="shared" si="2"/>
        <v>0.64571042281219282</v>
      </c>
      <c r="Q152" s="5">
        <v>2024</v>
      </c>
      <c r="R152" s="5">
        <v>7</v>
      </c>
      <c r="S152" s="14" t="s">
        <v>54</v>
      </c>
      <c r="T152" s="15">
        <f t="shared" si="106"/>
        <v>6281700</v>
      </c>
      <c r="U152" s="15">
        <f t="shared" si="107"/>
        <v>7913340</v>
      </c>
      <c r="V152" s="6">
        <v>4837000</v>
      </c>
      <c r="W152" s="6">
        <v>1806340</v>
      </c>
      <c r="X152" s="16">
        <v>0</v>
      </c>
      <c r="Y152" s="16">
        <v>0</v>
      </c>
      <c r="Z152" s="16">
        <v>0</v>
      </c>
      <c r="AA152" s="16">
        <v>0</v>
      </c>
      <c r="AB152" s="16">
        <v>0</v>
      </c>
      <c r="AC152" s="16">
        <v>0</v>
      </c>
      <c r="AD152" s="16">
        <v>0</v>
      </c>
      <c r="AE152" s="16">
        <v>0</v>
      </c>
      <c r="AF152" s="16">
        <v>350000</v>
      </c>
      <c r="AG152" s="16">
        <v>0</v>
      </c>
      <c r="AH152" s="16">
        <v>100000</v>
      </c>
      <c r="AI152" s="16">
        <v>250000</v>
      </c>
      <c r="AJ152" s="16">
        <v>40000</v>
      </c>
      <c r="AK152" s="16">
        <v>300000</v>
      </c>
      <c r="AL152" s="16">
        <v>150000</v>
      </c>
      <c r="AM152" s="16">
        <v>0</v>
      </c>
      <c r="AN152" s="16">
        <v>80000</v>
      </c>
      <c r="AO152" s="16">
        <v>0</v>
      </c>
      <c r="AP152" s="16">
        <v>0</v>
      </c>
      <c r="AQ152" s="16">
        <v>0</v>
      </c>
      <c r="AR152" s="16">
        <v>0</v>
      </c>
      <c r="AS152" s="16">
        <v>0</v>
      </c>
      <c r="AT152" s="16">
        <v>0</v>
      </c>
      <c r="AU152" s="16">
        <v>0</v>
      </c>
      <c r="AV152" s="16">
        <v>0</v>
      </c>
      <c r="AW152" s="16">
        <v>0</v>
      </c>
      <c r="AX152" s="16">
        <v>0</v>
      </c>
      <c r="AY152" s="16">
        <v>0</v>
      </c>
      <c r="AZ152" s="16">
        <v>0</v>
      </c>
      <c r="BA152" s="16"/>
      <c r="BB152" s="15">
        <f t="shared" si="108"/>
        <v>1631640</v>
      </c>
      <c r="BC152" s="16">
        <v>0</v>
      </c>
      <c r="BD152" s="16">
        <v>547250</v>
      </c>
      <c r="BE152" s="16">
        <v>0</v>
      </c>
      <c r="BF152" s="16">
        <v>54720</v>
      </c>
      <c r="BG152" s="16">
        <v>0</v>
      </c>
      <c r="BH152" s="16">
        <v>333380</v>
      </c>
      <c r="BI152" s="16">
        <v>277650</v>
      </c>
      <c r="BJ152" s="16">
        <v>68520</v>
      </c>
      <c r="BK152" s="16">
        <v>24200</v>
      </c>
      <c r="BL152" s="16">
        <v>160000</v>
      </c>
      <c r="BM152" s="16">
        <v>40000</v>
      </c>
      <c r="BN152" s="16">
        <v>15000</v>
      </c>
      <c r="BO152" s="16">
        <v>110920</v>
      </c>
      <c r="BP152" s="16">
        <v>0</v>
      </c>
      <c r="BQ152" s="16">
        <v>0</v>
      </c>
      <c r="BR152" s="16">
        <v>0</v>
      </c>
      <c r="BS152" s="16">
        <v>0</v>
      </c>
      <c r="BT152" s="16">
        <v>0</v>
      </c>
      <c r="BU152" s="16">
        <v>0</v>
      </c>
      <c r="BV152" s="16">
        <v>0</v>
      </c>
      <c r="BW152" s="16">
        <v>0</v>
      </c>
    </row>
    <row r="153" spans="1:75" ht="18" hidden="1" customHeight="1" outlineLevel="1">
      <c r="H153" s="8" t="s">
        <v>18</v>
      </c>
      <c r="I153" s="8">
        <v>122</v>
      </c>
      <c r="J153" s="9"/>
      <c r="Q153" s="5">
        <v>2024</v>
      </c>
      <c r="R153" s="5">
        <v>6</v>
      </c>
      <c r="S153" s="14" t="s">
        <v>55</v>
      </c>
      <c r="T153" s="15">
        <f t="shared" si="106"/>
        <v>5987005</v>
      </c>
      <c r="U153" s="15">
        <f t="shared" si="107"/>
        <v>7958340</v>
      </c>
      <c r="V153" s="6">
        <v>4837000</v>
      </c>
      <c r="W153" s="6">
        <v>1806340</v>
      </c>
      <c r="X153" s="16">
        <v>0</v>
      </c>
      <c r="Y153" s="16">
        <v>0</v>
      </c>
      <c r="Z153" s="16">
        <v>0</v>
      </c>
      <c r="AA153" s="16">
        <v>0</v>
      </c>
      <c r="AB153" s="16">
        <v>0</v>
      </c>
      <c r="AC153" s="16">
        <v>0</v>
      </c>
      <c r="AD153" s="16">
        <v>0</v>
      </c>
      <c r="AE153" s="16">
        <v>0</v>
      </c>
      <c r="AF153" s="16">
        <v>350000</v>
      </c>
      <c r="AG153" s="16">
        <v>0</v>
      </c>
      <c r="AH153" s="16">
        <v>100000</v>
      </c>
      <c r="AI153" s="16">
        <v>250000</v>
      </c>
      <c r="AJ153" s="16">
        <v>85000</v>
      </c>
      <c r="AK153" s="16">
        <v>0</v>
      </c>
      <c r="AL153" s="16">
        <v>150000</v>
      </c>
      <c r="AM153" s="16">
        <v>0</v>
      </c>
      <c r="AN153" s="16">
        <v>80000</v>
      </c>
      <c r="AO153" s="16">
        <v>0</v>
      </c>
      <c r="AP153" s="16">
        <v>0</v>
      </c>
      <c r="AQ153" s="16">
        <v>0</v>
      </c>
      <c r="AR153" s="16">
        <v>0</v>
      </c>
      <c r="AS153" s="16">
        <v>0</v>
      </c>
      <c r="AT153" s="16">
        <v>0</v>
      </c>
      <c r="AU153" s="16">
        <v>300000</v>
      </c>
      <c r="AV153" s="16">
        <v>0</v>
      </c>
      <c r="AW153" s="16">
        <v>0</v>
      </c>
      <c r="AX153" s="16">
        <v>0</v>
      </c>
      <c r="AY153" s="16">
        <v>0</v>
      </c>
      <c r="AZ153" s="16">
        <v>0</v>
      </c>
      <c r="BA153" s="16"/>
      <c r="BB153" s="15">
        <f t="shared" si="108"/>
        <v>1971335</v>
      </c>
      <c r="BC153" s="16">
        <v>0</v>
      </c>
      <c r="BD153" s="16">
        <v>554010</v>
      </c>
      <c r="BE153" s="16">
        <v>0</v>
      </c>
      <c r="BF153" s="16">
        <v>55400</v>
      </c>
      <c r="BG153" s="16">
        <v>0</v>
      </c>
      <c r="BH153" s="16">
        <v>333380</v>
      </c>
      <c r="BI153" s="16">
        <v>265500</v>
      </c>
      <c r="BJ153" s="16">
        <v>68925</v>
      </c>
      <c r="BK153" s="16">
        <v>24200</v>
      </c>
      <c r="BL153" s="16">
        <v>160000</v>
      </c>
      <c r="BM153" s="16">
        <v>85000</v>
      </c>
      <c r="BN153" s="16">
        <v>14000</v>
      </c>
      <c r="BO153" s="16">
        <v>110920</v>
      </c>
      <c r="BP153" s="16">
        <v>0</v>
      </c>
      <c r="BQ153" s="16">
        <v>0</v>
      </c>
      <c r="BR153" s="16">
        <v>0</v>
      </c>
      <c r="BS153" s="16">
        <v>0</v>
      </c>
      <c r="BT153" s="16">
        <v>0</v>
      </c>
      <c r="BU153" s="16">
        <v>300000</v>
      </c>
      <c r="BV153" s="16">
        <v>0</v>
      </c>
      <c r="BW153" s="16">
        <v>0</v>
      </c>
    </row>
    <row r="154" spans="1:75" ht="18" hidden="1" customHeight="1" outlineLevel="1">
      <c r="J154" s="9"/>
      <c r="Q154" s="5">
        <v>2024</v>
      </c>
      <c r="R154" s="5">
        <v>5</v>
      </c>
      <c r="S154" s="14" t="s">
        <v>55</v>
      </c>
      <c r="T154" s="15">
        <f t="shared" si="106"/>
        <v>6674414</v>
      </c>
      <c r="U154" s="15">
        <f t="shared" si="107"/>
        <v>8657340</v>
      </c>
      <c r="V154" s="6">
        <v>4837000</v>
      </c>
      <c r="W154" s="6">
        <v>1806340</v>
      </c>
      <c r="X154" s="16">
        <v>0</v>
      </c>
      <c r="Y154" s="16">
        <v>0</v>
      </c>
      <c r="Z154" s="16">
        <v>0</v>
      </c>
      <c r="AA154" s="16">
        <v>0</v>
      </c>
      <c r="AB154" s="16">
        <v>0</v>
      </c>
      <c r="AC154" s="16">
        <v>849000</v>
      </c>
      <c r="AD154" s="16">
        <v>0</v>
      </c>
      <c r="AE154" s="16">
        <v>0</v>
      </c>
      <c r="AF154" s="16">
        <v>350000</v>
      </c>
      <c r="AG154" s="16">
        <v>0</v>
      </c>
      <c r="AH154" s="16">
        <v>100000</v>
      </c>
      <c r="AI154" s="16">
        <v>250000</v>
      </c>
      <c r="AJ154" s="16">
        <v>235000</v>
      </c>
      <c r="AK154" s="16">
        <v>0</v>
      </c>
      <c r="AL154" s="16">
        <v>150000</v>
      </c>
      <c r="AM154" s="16">
        <v>0</v>
      </c>
      <c r="AN154" s="16">
        <v>80000</v>
      </c>
      <c r="AO154" s="16">
        <v>0</v>
      </c>
      <c r="AP154" s="16">
        <v>0</v>
      </c>
      <c r="AQ154" s="16">
        <v>0</v>
      </c>
      <c r="AR154" s="16">
        <v>0</v>
      </c>
      <c r="AS154" s="16">
        <v>0</v>
      </c>
      <c r="AT154" s="16">
        <v>0</v>
      </c>
      <c r="AU154" s="16">
        <v>0</v>
      </c>
      <c r="AV154" s="16">
        <v>0</v>
      </c>
      <c r="AW154" s="16">
        <v>0</v>
      </c>
      <c r="AX154" s="16">
        <v>0</v>
      </c>
      <c r="AY154" s="16">
        <v>0</v>
      </c>
      <c r="AZ154" s="16">
        <v>0</v>
      </c>
      <c r="BA154" s="16"/>
      <c r="BB154" s="15">
        <f t="shared" si="108"/>
        <v>1982926</v>
      </c>
      <c r="BC154" s="15">
        <v>0</v>
      </c>
      <c r="BD154" s="16">
        <v>672380</v>
      </c>
      <c r="BE154" s="16">
        <v>0</v>
      </c>
      <c r="BF154" s="16">
        <v>67230</v>
      </c>
      <c r="BG154" s="16">
        <v>0</v>
      </c>
      <c r="BH154" s="16">
        <v>333380</v>
      </c>
      <c r="BI154" s="16">
        <v>265500</v>
      </c>
      <c r="BJ154" s="16">
        <v>75216</v>
      </c>
      <c r="BK154" s="16">
        <v>27300</v>
      </c>
      <c r="BL154" s="16">
        <v>160000</v>
      </c>
      <c r="BM154" s="16">
        <v>235000</v>
      </c>
      <c r="BN154" s="16">
        <v>36000</v>
      </c>
      <c r="BO154" s="16">
        <v>110920</v>
      </c>
      <c r="BP154" s="16">
        <v>0</v>
      </c>
      <c r="BQ154" s="16">
        <v>0</v>
      </c>
      <c r="BR154" s="16">
        <v>0</v>
      </c>
      <c r="BS154" s="16">
        <v>0</v>
      </c>
      <c r="BT154" s="16">
        <v>0</v>
      </c>
      <c r="BU154" s="16">
        <v>0</v>
      </c>
      <c r="BV154" s="16">
        <v>0</v>
      </c>
      <c r="BW154" s="16">
        <v>0</v>
      </c>
    </row>
    <row r="155" spans="1:75" ht="18" hidden="1" customHeight="1" outlineLevel="1">
      <c r="B155" s="7">
        <v>2021</v>
      </c>
      <c r="C155" s="8" t="s">
        <v>12</v>
      </c>
      <c r="E155" s="8">
        <v>6867</v>
      </c>
      <c r="J155" s="9"/>
      <c r="Q155" s="5">
        <v>2024</v>
      </c>
      <c r="R155" s="5">
        <v>4</v>
      </c>
      <c r="S155" s="14" t="s">
        <v>28</v>
      </c>
      <c r="T155" s="15">
        <f t="shared" si="106"/>
        <v>6805387</v>
      </c>
      <c r="U155" s="15">
        <f t="shared" si="107"/>
        <v>8136283</v>
      </c>
      <c r="V155" s="16">
        <v>0</v>
      </c>
      <c r="W155" s="16">
        <v>0</v>
      </c>
      <c r="X155" s="16">
        <v>0</v>
      </c>
      <c r="Y155" s="16">
        <v>0</v>
      </c>
      <c r="Z155" s="16">
        <v>0</v>
      </c>
      <c r="AA155" s="16">
        <v>0</v>
      </c>
      <c r="AB155" s="16">
        <v>0</v>
      </c>
      <c r="AC155" s="16">
        <v>0</v>
      </c>
      <c r="AD155" s="16">
        <v>7136283</v>
      </c>
      <c r="AE155" s="16">
        <v>1000000</v>
      </c>
      <c r="AF155" s="16">
        <v>0</v>
      </c>
      <c r="AG155" s="16">
        <v>0</v>
      </c>
      <c r="AH155" s="16">
        <v>0</v>
      </c>
      <c r="AI155" s="16">
        <v>0</v>
      </c>
      <c r="AJ155" s="16">
        <v>0</v>
      </c>
      <c r="AK155" s="16">
        <v>0</v>
      </c>
      <c r="AL155" s="16">
        <v>0</v>
      </c>
      <c r="AM155" s="16">
        <v>0</v>
      </c>
      <c r="AN155" s="16">
        <v>0</v>
      </c>
      <c r="AO155" s="16">
        <v>0</v>
      </c>
      <c r="AP155" s="16">
        <v>0</v>
      </c>
      <c r="AQ155" s="16">
        <v>0</v>
      </c>
      <c r="AR155" s="16">
        <v>0</v>
      </c>
      <c r="AS155" s="16">
        <v>0</v>
      </c>
      <c r="AT155" s="16">
        <v>0</v>
      </c>
      <c r="AU155" s="16">
        <v>0</v>
      </c>
      <c r="AV155" s="16">
        <v>0</v>
      </c>
      <c r="AW155" s="16">
        <v>0</v>
      </c>
      <c r="AX155" s="16">
        <v>0</v>
      </c>
      <c r="AY155" s="16">
        <v>0</v>
      </c>
      <c r="AZ155" s="16">
        <v>0</v>
      </c>
      <c r="BA155" s="16"/>
      <c r="BB155" s="15">
        <f t="shared" si="108"/>
        <v>1330896</v>
      </c>
      <c r="BC155" s="15">
        <v>0</v>
      </c>
      <c r="BD155" s="16">
        <v>1143340</v>
      </c>
      <c r="BE155" s="16">
        <v>0</v>
      </c>
      <c r="BF155" s="16">
        <v>114330</v>
      </c>
      <c r="BG155" s="16">
        <v>0</v>
      </c>
      <c r="BH155" s="16">
        <v>0</v>
      </c>
      <c r="BI155" s="16">
        <v>0</v>
      </c>
      <c r="BJ155" s="16">
        <v>73226</v>
      </c>
      <c r="BK155" s="16">
        <v>0</v>
      </c>
      <c r="BL155" s="16">
        <v>0</v>
      </c>
      <c r="BM155" s="16">
        <v>0</v>
      </c>
      <c r="BN155" s="16">
        <v>0</v>
      </c>
      <c r="BO155" s="16">
        <v>0</v>
      </c>
      <c r="BP155" s="16">
        <v>0</v>
      </c>
      <c r="BQ155" s="16">
        <v>0</v>
      </c>
      <c r="BR155" s="16">
        <v>0</v>
      </c>
      <c r="BS155" s="16">
        <v>0</v>
      </c>
      <c r="BT155" s="16">
        <v>0</v>
      </c>
      <c r="BU155" s="16">
        <v>0</v>
      </c>
      <c r="BV155" s="16">
        <v>0</v>
      </c>
      <c r="BW155" s="16">
        <v>0</v>
      </c>
    </row>
    <row r="156" spans="1:75" ht="18" hidden="1" customHeight="1" outlineLevel="1">
      <c r="B156" s="7">
        <v>2021</v>
      </c>
      <c r="C156" s="8" t="s">
        <v>12</v>
      </c>
      <c r="E156" s="8">
        <v>6867</v>
      </c>
      <c r="J156" s="9"/>
      <c r="Q156" s="5">
        <v>2024</v>
      </c>
      <c r="R156" s="5">
        <v>4</v>
      </c>
      <c r="S156" s="14" t="s">
        <v>54</v>
      </c>
      <c r="T156" s="15">
        <f t="shared" ref="T156" si="110">IF(U156=U156-BB156,0,U156-BB156)</f>
        <v>5832171</v>
      </c>
      <c r="U156" s="15">
        <f t="shared" ref="U156" si="111">SUM(V156:BA156)</f>
        <v>7311090</v>
      </c>
      <c r="V156" s="6">
        <v>4683000</v>
      </c>
      <c r="W156" s="6">
        <v>1748090</v>
      </c>
      <c r="X156" s="16">
        <v>0</v>
      </c>
      <c r="Y156" s="16">
        <v>0</v>
      </c>
      <c r="Z156" s="16">
        <v>0</v>
      </c>
      <c r="AA156" s="16">
        <v>0</v>
      </c>
      <c r="AB156" s="16">
        <v>0</v>
      </c>
      <c r="AC156" s="16">
        <v>0</v>
      </c>
      <c r="AD156" s="16">
        <v>0</v>
      </c>
      <c r="AE156" s="16">
        <v>0</v>
      </c>
      <c r="AF156" s="16">
        <v>350000</v>
      </c>
      <c r="AG156" s="16">
        <v>0</v>
      </c>
      <c r="AH156" s="16">
        <v>100000</v>
      </c>
      <c r="AI156" s="16">
        <v>250000</v>
      </c>
      <c r="AJ156" s="16">
        <v>0</v>
      </c>
      <c r="AK156" s="16">
        <v>0</v>
      </c>
      <c r="AL156" s="16">
        <v>100000</v>
      </c>
      <c r="AM156" s="16">
        <v>0</v>
      </c>
      <c r="AN156" s="16">
        <v>80000</v>
      </c>
      <c r="AO156" s="16">
        <v>0</v>
      </c>
      <c r="AP156" s="16">
        <v>0</v>
      </c>
      <c r="AQ156" s="16">
        <v>0</v>
      </c>
      <c r="AR156" s="16">
        <v>0</v>
      </c>
      <c r="AS156" s="16">
        <v>0</v>
      </c>
      <c r="AT156" s="16">
        <v>0</v>
      </c>
      <c r="AU156" s="16">
        <v>0</v>
      </c>
      <c r="AV156" s="16">
        <v>0</v>
      </c>
      <c r="AW156" s="16">
        <v>0</v>
      </c>
      <c r="AX156" s="16">
        <v>0</v>
      </c>
      <c r="AY156" s="16">
        <v>0</v>
      </c>
      <c r="AZ156" s="16">
        <v>0</v>
      </c>
      <c r="BA156" s="16"/>
      <c r="BB156" s="15">
        <f t="shared" si="108"/>
        <v>1478919</v>
      </c>
      <c r="BC156" s="15">
        <v>0</v>
      </c>
      <c r="BD156" s="16">
        <v>445880</v>
      </c>
      <c r="BE156" s="16">
        <v>0</v>
      </c>
      <c r="BF156" s="16">
        <v>44580</v>
      </c>
      <c r="BG156" s="16">
        <v>0</v>
      </c>
      <c r="BH156" s="16">
        <v>333380</v>
      </c>
      <c r="BI156" s="16">
        <v>265500</v>
      </c>
      <c r="BJ156" s="16">
        <v>63099</v>
      </c>
      <c r="BK156" s="16">
        <v>23500</v>
      </c>
      <c r="BL156" s="16">
        <v>160000</v>
      </c>
      <c r="BM156" s="16">
        <v>0</v>
      </c>
      <c r="BN156" s="16">
        <v>32000</v>
      </c>
      <c r="BO156" s="16">
        <v>110980</v>
      </c>
      <c r="BP156" s="16">
        <v>0</v>
      </c>
      <c r="BQ156" s="16">
        <v>0</v>
      </c>
      <c r="BR156" s="16">
        <v>0</v>
      </c>
      <c r="BS156" s="16">
        <v>0</v>
      </c>
      <c r="BT156" s="16">
        <v>0</v>
      </c>
      <c r="BU156" s="16">
        <v>0</v>
      </c>
      <c r="BV156" s="16">
        <v>0</v>
      </c>
      <c r="BW156" s="16">
        <v>0</v>
      </c>
    </row>
    <row r="157" spans="1:75" ht="18" hidden="1" customHeight="1" outlineLevel="1">
      <c r="B157" s="7">
        <v>2022</v>
      </c>
      <c r="C157" s="8" t="s">
        <v>12</v>
      </c>
      <c r="E157" s="8">
        <v>6867</v>
      </c>
      <c r="J157" s="9"/>
      <c r="Q157" s="5">
        <v>2024</v>
      </c>
      <c r="R157" s="5">
        <v>3</v>
      </c>
      <c r="S157" s="14" t="s">
        <v>54</v>
      </c>
      <c r="T157" s="15">
        <f t="shared" si="106"/>
        <v>6058871</v>
      </c>
      <c r="U157" s="15">
        <f t="shared" si="107"/>
        <v>7351090</v>
      </c>
      <c r="V157" s="6">
        <v>4683000</v>
      </c>
      <c r="W157" s="6">
        <v>1748090</v>
      </c>
      <c r="X157" s="16">
        <v>0</v>
      </c>
      <c r="Y157" s="16">
        <v>0</v>
      </c>
      <c r="Z157" s="16">
        <v>0</v>
      </c>
      <c r="AA157" s="16">
        <v>0</v>
      </c>
      <c r="AB157" s="16">
        <v>0</v>
      </c>
      <c r="AC157" s="16">
        <v>0</v>
      </c>
      <c r="AD157" s="16">
        <v>0</v>
      </c>
      <c r="AE157" s="16">
        <v>0</v>
      </c>
      <c r="AF157" s="16">
        <v>350000</v>
      </c>
      <c r="AG157" s="16">
        <v>0</v>
      </c>
      <c r="AH157" s="16">
        <v>100000</v>
      </c>
      <c r="AI157" s="16">
        <v>250000</v>
      </c>
      <c r="AJ157" s="16">
        <v>0</v>
      </c>
      <c r="AK157" s="16">
        <v>0</v>
      </c>
      <c r="AL157" s="16">
        <v>100000</v>
      </c>
      <c r="AM157" s="16">
        <v>0</v>
      </c>
      <c r="AN157" s="16">
        <v>80000</v>
      </c>
      <c r="AO157" s="16">
        <v>0</v>
      </c>
      <c r="AP157" s="16">
        <v>0</v>
      </c>
      <c r="AQ157" s="16">
        <v>40000</v>
      </c>
      <c r="AR157" s="16">
        <v>0</v>
      </c>
      <c r="AS157" s="16">
        <v>0</v>
      </c>
      <c r="AT157" s="16">
        <v>0</v>
      </c>
      <c r="AU157" s="16">
        <v>0</v>
      </c>
      <c r="AV157" s="16">
        <v>0</v>
      </c>
      <c r="AW157" s="16">
        <v>0</v>
      </c>
      <c r="AX157" s="16">
        <v>0</v>
      </c>
      <c r="AY157" s="16">
        <v>0</v>
      </c>
      <c r="AZ157" s="16">
        <v>0</v>
      </c>
      <c r="BA157" s="16"/>
      <c r="BB157" s="15">
        <f t="shared" si="108"/>
        <v>1292219</v>
      </c>
      <c r="BC157" s="15">
        <v>0</v>
      </c>
      <c r="BD157" s="16">
        <v>452640</v>
      </c>
      <c r="BE157" s="16">
        <v>0</v>
      </c>
      <c r="BF157" s="16">
        <v>45260</v>
      </c>
      <c r="BG157" s="16">
        <v>0</v>
      </c>
      <c r="BH157" s="16">
        <v>253860</v>
      </c>
      <c r="BI157" s="16">
        <v>265500</v>
      </c>
      <c r="BJ157" s="16">
        <v>63459</v>
      </c>
      <c r="BK157" s="16">
        <v>23500</v>
      </c>
      <c r="BL157" s="16">
        <v>160000</v>
      </c>
      <c r="BM157" s="16">
        <v>0</v>
      </c>
      <c r="BN157" s="16">
        <v>28000</v>
      </c>
      <c r="BO157" s="16">
        <v>0</v>
      </c>
      <c r="BP157" s="16">
        <v>0</v>
      </c>
      <c r="BQ157" s="16">
        <v>0</v>
      </c>
      <c r="BR157" s="16">
        <v>0</v>
      </c>
      <c r="BS157" s="16">
        <v>0</v>
      </c>
      <c r="BT157" s="16">
        <v>0</v>
      </c>
      <c r="BU157" s="16">
        <v>0</v>
      </c>
      <c r="BV157" s="16">
        <v>0</v>
      </c>
      <c r="BW157" s="16">
        <v>0</v>
      </c>
    </row>
    <row r="158" spans="1:75" ht="18" hidden="1" customHeight="1" outlineLevel="1">
      <c r="B158" s="7">
        <v>2023</v>
      </c>
      <c r="C158" s="8" t="s">
        <v>19</v>
      </c>
      <c r="E158" s="8">
        <v>6867</v>
      </c>
      <c r="J158" s="9"/>
      <c r="Q158" s="5">
        <v>2024</v>
      </c>
      <c r="R158" s="5">
        <v>2</v>
      </c>
      <c r="S158" s="14" t="s">
        <v>54</v>
      </c>
      <c r="T158" s="15">
        <f t="shared" si="106"/>
        <v>7253681</v>
      </c>
      <c r="U158" s="15">
        <f t="shared" si="107"/>
        <v>7661090</v>
      </c>
      <c r="V158" s="6">
        <v>4683000</v>
      </c>
      <c r="W158" s="6">
        <v>1748090</v>
      </c>
      <c r="X158" s="16">
        <v>0</v>
      </c>
      <c r="Y158" s="16">
        <v>0</v>
      </c>
      <c r="Z158" s="16">
        <v>0</v>
      </c>
      <c r="AA158" s="16">
        <v>0</v>
      </c>
      <c r="AB158" s="16">
        <v>0</v>
      </c>
      <c r="AC158" s="16">
        <v>0</v>
      </c>
      <c r="AD158" s="16">
        <v>0</v>
      </c>
      <c r="AE158" s="16">
        <v>0</v>
      </c>
      <c r="AF158" s="16">
        <v>350000</v>
      </c>
      <c r="AG158" s="16">
        <v>0</v>
      </c>
      <c r="AH158" s="16">
        <v>100000</v>
      </c>
      <c r="AI158" s="16">
        <v>250000</v>
      </c>
      <c r="AJ158" s="16">
        <v>350000</v>
      </c>
      <c r="AK158" s="16">
        <v>0</v>
      </c>
      <c r="AL158" s="16">
        <v>100000</v>
      </c>
      <c r="AM158" s="16">
        <v>0</v>
      </c>
      <c r="AN158" s="16">
        <v>80000</v>
      </c>
      <c r="AO158" s="16">
        <v>0</v>
      </c>
      <c r="AP158" s="16">
        <v>0</v>
      </c>
      <c r="AQ158" s="16">
        <v>0</v>
      </c>
      <c r="AR158" s="16">
        <v>0</v>
      </c>
      <c r="AS158" s="16">
        <v>0</v>
      </c>
      <c r="AT158" s="16">
        <v>0</v>
      </c>
      <c r="AU158" s="16">
        <v>0</v>
      </c>
      <c r="AV158" s="16">
        <v>0</v>
      </c>
      <c r="AW158" s="16">
        <v>0</v>
      </c>
      <c r="AX158" s="16">
        <v>0</v>
      </c>
      <c r="AY158" s="16">
        <v>0</v>
      </c>
      <c r="AZ158" s="16">
        <v>0</v>
      </c>
      <c r="BA158" s="16"/>
      <c r="BB158" s="15">
        <f t="shared" si="108"/>
        <v>407409</v>
      </c>
      <c r="BC158" s="15">
        <v>-1413340</v>
      </c>
      <c r="BD158" s="16">
        <v>612400</v>
      </c>
      <c r="BE158" s="16">
        <v>0</v>
      </c>
      <c r="BF158" s="16">
        <v>61240</v>
      </c>
      <c r="BG158" s="16">
        <v>0</v>
      </c>
      <c r="BH158" s="16">
        <v>253860</v>
      </c>
      <c r="BI158" s="16">
        <v>265500</v>
      </c>
      <c r="BJ158" s="16">
        <v>66249</v>
      </c>
      <c r="BK158" s="16">
        <v>23500</v>
      </c>
      <c r="BL158" s="16">
        <v>160000</v>
      </c>
      <c r="BM158" s="16">
        <v>350000</v>
      </c>
      <c r="BN158" s="16">
        <v>28000</v>
      </c>
      <c r="BO158" s="16">
        <v>0</v>
      </c>
      <c r="BP158" s="16">
        <v>0</v>
      </c>
      <c r="BQ158" s="16">
        <v>0</v>
      </c>
      <c r="BR158" s="16">
        <v>0</v>
      </c>
      <c r="BS158" s="16">
        <v>0</v>
      </c>
      <c r="BT158" s="16">
        <v>0</v>
      </c>
      <c r="BU158" s="16">
        <v>0</v>
      </c>
      <c r="BV158" s="16">
        <v>0</v>
      </c>
      <c r="BW158" s="16">
        <v>0</v>
      </c>
    </row>
    <row r="159" spans="1:75" ht="18" hidden="1" customHeight="1" outlineLevel="1">
      <c r="B159" s="7">
        <v>2024</v>
      </c>
      <c r="C159" s="8" t="s">
        <v>20</v>
      </c>
      <c r="E159" s="8">
        <v>6867</v>
      </c>
      <c r="J159" s="9"/>
      <c r="Q159" s="5">
        <v>2024</v>
      </c>
      <c r="R159" s="5">
        <v>1</v>
      </c>
      <c r="S159" s="14" t="s">
        <v>55</v>
      </c>
      <c r="T159" s="15">
        <f t="shared" si="106"/>
        <v>6119996</v>
      </c>
      <c r="U159" s="15">
        <f t="shared" si="107"/>
        <v>9972740</v>
      </c>
      <c r="V159" s="6">
        <v>4683000</v>
      </c>
      <c r="W159" s="6">
        <v>1748090</v>
      </c>
      <c r="X159" s="16">
        <v>0</v>
      </c>
      <c r="Y159" s="16">
        <v>0</v>
      </c>
      <c r="Z159" s="16">
        <v>0</v>
      </c>
      <c r="AA159" s="16">
        <v>0</v>
      </c>
      <c r="AB159" s="16">
        <v>0</v>
      </c>
      <c r="AC159" s="16">
        <v>0</v>
      </c>
      <c r="AD159" s="16">
        <v>0</v>
      </c>
      <c r="AE159" s="16">
        <v>0</v>
      </c>
      <c r="AF159" s="16">
        <v>350000</v>
      </c>
      <c r="AG159" s="16">
        <v>0</v>
      </c>
      <c r="AH159" s="16">
        <v>100000</v>
      </c>
      <c r="AI159" s="16">
        <v>250000</v>
      </c>
      <c r="AJ159" s="16">
        <v>0</v>
      </c>
      <c r="AK159" s="16">
        <v>0</v>
      </c>
      <c r="AL159" s="16">
        <v>100000</v>
      </c>
      <c r="AM159" s="16">
        <v>0</v>
      </c>
      <c r="AN159" s="16">
        <v>80000</v>
      </c>
      <c r="AO159" s="16">
        <v>0</v>
      </c>
      <c r="AP159" s="16">
        <v>0</v>
      </c>
      <c r="AQ159" s="16">
        <v>0</v>
      </c>
      <c r="AR159" s="16">
        <v>0</v>
      </c>
      <c r="AS159" s="16">
        <v>0</v>
      </c>
      <c r="AT159" s="16">
        <v>0</v>
      </c>
      <c r="AU159" s="16">
        <v>0</v>
      </c>
      <c r="AV159" s="16">
        <v>0</v>
      </c>
      <c r="AW159" s="16">
        <v>1887650</v>
      </c>
      <c r="AX159" s="16">
        <v>300000</v>
      </c>
      <c r="AY159" s="16">
        <v>474000</v>
      </c>
      <c r="AZ159" s="16">
        <v>0</v>
      </c>
      <c r="BA159" s="16"/>
      <c r="BB159" s="15">
        <f t="shared" si="108"/>
        <v>3852744</v>
      </c>
      <c r="BC159" s="15">
        <v>0</v>
      </c>
      <c r="BD159" s="16">
        <v>1055620</v>
      </c>
      <c r="BE159" s="16">
        <v>0</v>
      </c>
      <c r="BF159" s="16">
        <v>105560</v>
      </c>
      <c r="BG159" s="16">
        <v>0</v>
      </c>
      <c r="BH159" s="16">
        <v>253860</v>
      </c>
      <c r="BI159" s="16">
        <v>265500</v>
      </c>
      <c r="BJ159" s="16">
        <v>87054</v>
      </c>
      <c r="BK159" s="16">
        <v>23500</v>
      </c>
      <c r="BL159" s="16">
        <v>160000</v>
      </c>
      <c r="BM159" s="16">
        <v>0</v>
      </c>
      <c r="BN159" s="16">
        <v>14000</v>
      </c>
      <c r="BO159" s="16">
        <v>0</v>
      </c>
      <c r="BP159" s="16">
        <v>0</v>
      </c>
      <c r="BQ159" s="16">
        <v>0</v>
      </c>
      <c r="BR159" s="16">
        <v>0</v>
      </c>
      <c r="BS159" s="16">
        <v>0</v>
      </c>
      <c r="BT159" s="16">
        <v>0</v>
      </c>
      <c r="BU159" s="16">
        <v>0</v>
      </c>
      <c r="BV159" s="16">
        <v>1887650</v>
      </c>
      <c r="BW159" s="16">
        <v>0</v>
      </c>
    </row>
    <row r="160" spans="1:75" s="1" customFormat="1" ht="18" customHeight="1" collapsed="1">
      <c r="A160" s="10"/>
      <c r="B160" s="11"/>
      <c r="C160" s="12"/>
      <c r="D160" s="11"/>
      <c r="E160" s="12"/>
      <c r="F160" s="12"/>
      <c r="G160" s="12"/>
      <c r="H160" s="12"/>
      <c r="I160" s="12"/>
      <c r="J160" s="3"/>
      <c r="K160" s="12"/>
      <c r="L160" s="12"/>
      <c r="M160" s="12"/>
      <c r="N160" s="12"/>
      <c r="O160" s="13"/>
      <c r="Q160" s="628" t="s">
        <v>176</v>
      </c>
      <c r="R160" s="628"/>
      <c r="S160" s="628"/>
      <c r="T160" s="23">
        <f t="shared" ref="T160:AZ160" si="112">SUMIF($Q$2:$Q$793,$Q161,T$2:T$793)</f>
        <v>82047396</v>
      </c>
      <c r="U160" s="23">
        <f t="shared" si="112"/>
        <v>103514829</v>
      </c>
      <c r="V160" s="23">
        <f t="shared" si="112"/>
        <v>55590000</v>
      </c>
      <c r="W160" s="23">
        <f t="shared" si="112"/>
        <v>20752080</v>
      </c>
      <c r="X160" s="23">
        <f t="shared" si="112"/>
        <v>0</v>
      </c>
      <c r="Y160" s="23">
        <f t="shared" si="112"/>
        <v>0</v>
      </c>
      <c r="Z160" s="23">
        <f t="shared" si="112"/>
        <v>0</v>
      </c>
      <c r="AA160" s="23">
        <f t="shared" si="112"/>
        <v>0</v>
      </c>
      <c r="AB160" s="23">
        <f t="shared" si="112"/>
        <v>0</v>
      </c>
      <c r="AC160" s="23">
        <f t="shared" si="112"/>
        <v>831000</v>
      </c>
      <c r="AD160" s="23">
        <f t="shared" si="112"/>
        <v>7458749</v>
      </c>
      <c r="AE160" s="23">
        <f t="shared" si="112"/>
        <v>1500000</v>
      </c>
      <c r="AF160" s="23">
        <f t="shared" si="112"/>
        <v>4200000</v>
      </c>
      <c r="AG160" s="23">
        <f t="shared" si="112"/>
        <v>0</v>
      </c>
      <c r="AH160" s="23">
        <f t="shared" si="112"/>
        <v>1200000</v>
      </c>
      <c r="AI160" s="23">
        <f t="shared" si="112"/>
        <v>2880000</v>
      </c>
      <c r="AJ160" s="23">
        <f t="shared" si="112"/>
        <v>830000</v>
      </c>
      <c r="AK160" s="23">
        <f t="shared" si="112"/>
        <v>300000</v>
      </c>
      <c r="AL160" s="23">
        <f t="shared" si="112"/>
        <v>1200000</v>
      </c>
      <c r="AM160" s="23">
        <f t="shared" si="112"/>
        <v>0</v>
      </c>
      <c r="AN160" s="23">
        <f t="shared" si="112"/>
        <v>960000</v>
      </c>
      <c r="AO160" s="23">
        <f t="shared" si="112"/>
        <v>0</v>
      </c>
      <c r="AP160" s="23">
        <f t="shared" si="112"/>
        <v>0</v>
      </c>
      <c r="AQ160" s="23">
        <f t="shared" si="112"/>
        <v>0</v>
      </c>
      <c r="AR160" s="23">
        <f t="shared" si="112"/>
        <v>0</v>
      </c>
      <c r="AS160" s="23">
        <f t="shared" si="112"/>
        <v>0</v>
      </c>
      <c r="AT160" s="23">
        <f t="shared" si="112"/>
        <v>0</v>
      </c>
      <c r="AU160" s="23">
        <f t="shared" si="112"/>
        <v>300000</v>
      </c>
      <c r="AV160" s="23">
        <f t="shared" si="112"/>
        <v>5513000</v>
      </c>
      <c r="AW160" s="23">
        <f t="shared" si="112"/>
        <v>0</v>
      </c>
      <c r="AX160" s="23">
        <f t="shared" si="112"/>
        <v>0</v>
      </c>
      <c r="AY160" s="23">
        <f t="shared" si="112"/>
        <v>0</v>
      </c>
      <c r="AZ160" s="23">
        <f t="shared" si="112"/>
        <v>0</v>
      </c>
      <c r="BA160" s="23"/>
      <c r="BB160" s="23">
        <f t="shared" ref="BB160:BW160" si="113">SUMIF($Q$2:$Q$793,$Q161,BB$2:BB$793)</f>
        <v>21467433</v>
      </c>
      <c r="BC160" s="23">
        <f t="shared" si="113"/>
        <v>-577720</v>
      </c>
      <c r="BD160" s="23">
        <f t="shared" si="113"/>
        <v>9881200</v>
      </c>
      <c r="BE160" s="23">
        <f t="shared" si="113"/>
        <v>0</v>
      </c>
      <c r="BF160" s="23">
        <f t="shared" si="113"/>
        <v>987970</v>
      </c>
      <c r="BG160" s="23">
        <f t="shared" si="113"/>
        <v>0</v>
      </c>
      <c r="BH160" s="23">
        <f t="shared" si="113"/>
        <v>2997180</v>
      </c>
      <c r="BI160" s="23">
        <f t="shared" si="113"/>
        <v>3086100</v>
      </c>
      <c r="BJ160" s="23">
        <f t="shared" si="113"/>
        <v>899223</v>
      </c>
      <c r="BK160" s="23">
        <f t="shared" si="113"/>
        <v>279000</v>
      </c>
      <c r="BL160" s="23">
        <f t="shared" si="113"/>
        <v>1920000</v>
      </c>
      <c r="BM160" s="23">
        <f t="shared" si="113"/>
        <v>830000</v>
      </c>
      <c r="BN160" s="23">
        <f t="shared" si="113"/>
        <v>666000</v>
      </c>
      <c r="BO160" s="23">
        <f t="shared" si="113"/>
        <v>198480</v>
      </c>
      <c r="BP160" s="23">
        <f t="shared" si="113"/>
        <v>0</v>
      </c>
      <c r="BQ160" s="23">
        <f t="shared" si="113"/>
        <v>0</v>
      </c>
      <c r="BR160" s="23">
        <f t="shared" si="113"/>
        <v>0</v>
      </c>
      <c r="BS160" s="23">
        <f t="shared" si="113"/>
        <v>0</v>
      </c>
      <c r="BT160" s="23">
        <f t="shared" si="113"/>
        <v>0</v>
      </c>
      <c r="BU160" s="23">
        <f t="shared" si="113"/>
        <v>300000</v>
      </c>
      <c r="BV160" s="23">
        <f t="shared" si="113"/>
        <v>0</v>
      </c>
      <c r="BW160" s="23">
        <f t="shared" si="113"/>
        <v>0</v>
      </c>
    </row>
    <row r="161" spans="1:75" ht="18" hidden="1" customHeight="1" outlineLevel="1">
      <c r="D161" s="7" t="s">
        <v>11</v>
      </c>
      <c r="F161" s="8">
        <v>4717</v>
      </c>
      <c r="G161" s="8">
        <v>5848</v>
      </c>
      <c r="K161" s="8">
        <v>2400</v>
      </c>
      <c r="L161" s="8">
        <f>K161*12</f>
        <v>28800</v>
      </c>
      <c r="M161" s="8">
        <f>L161*1.13</f>
        <v>32543.999999999996</v>
      </c>
      <c r="N161" s="8">
        <v>21014</v>
      </c>
      <c r="O161" s="9">
        <f>N161/M161</f>
        <v>0.64571042281219282</v>
      </c>
      <c r="Q161" s="5">
        <v>2023</v>
      </c>
      <c r="R161" s="5">
        <v>12</v>
      </c>
      <c r="S161" s="14" t="s">
        <v>54</v>
      </c>
      <c r="T161" s="15">
        <f t="shared" ref="T161:T173" si="114">IF(U161=U161-BB161,0,U161-BB161)</f>
        <v>5895911</v>
      </c>
      <c r="U161" s="15">
        <f t="shared" ref="U161:U173" si="115">SUM(V161:BA161)</f>
        <v>7361090</v>
      </c>
      <c r="V161" s="6">
        <v>4683000</v>
      </c>
      <c r="W161" s="6">
        <v>1748090</v>
      </c>
      <c r="X161" s="16">
        <v>0</v>
      </c>
      <c r="Y161" s="16">
        <v>0</v>
      </c>
      <c r="Z161" s="16">
        <v>0</v>
      </c>
      <c r="AA161" s="16">
        <v>0</v>
      </c>
      <c r="AB161" s="16">
        <v>0</v>
      </c>
      <c r="AC161" s="16">
        <v>0</v>
      </c>
      <c r="AD161" s="16">
        <v>0</v>
      </c>
      <c r="AE161" s="16">
        <v>0</v>
      </c>
      <c r="AF161" s="16">
        <v>350000</v>
      </c>
      <c r="AG161" s="16">
        <v>0</v>
      </c>
      <c r="AH161" s="16">
        <v>100000</v>
      </c>
      <c r="AI161" s="16">
        <v>250000</v>
      </c>
      <c r="AJ161" s="16">
        <v>50000</v>
      </c>
      <c r="AK161" s="16">
        <v>0</v>
      </c>
      <c r="AL161" s="16">
        <v>100000</v>
      </c>
      <c r="AM161" s="16">
        <v>0</v>
      </c>
      <c r="AN161" s="16">
        <v>80000</v>
      </c>
      <c r="AO161" s="16">
        <v>0</v>
      </c>
      <c r="AP161" s="16">
        <v>0</v>
      </c>
      <c r="AQ161" s="16">
        <v>0</v>
      </c>
      <c r="AR161" s="16">
        <v>0</v>
      </c>
      <c r="AS161" s="16">
        <v>0</v>
      </c>
      <c r="AT161" s="16">
        <v>0</v>
      </c>
      <c r="AU161" s="16">
        <v>0</v>
      </c>
      <c r="AV161" s="16">
        <v>0</v>
      </c>
      <c r="AW161" s="16">
        <v>0</v>
      </c>
      <c r="AX161" s="16">
        <v>0</v>
      </c>
      <c r="AY161" s="16">
        <v>0</v>
      </c>
      <c r="AZ161" s="16">
        <v>0</v>
      </c>
      <c r="BA161" s="16"/>
      <c r="BB161" s="15">
        <f t="shared" ref="BB161:BB173" si="116">SUM(BC161:BW161)</f>
        <v>1465179</v>
      </c>
      <c r="BC161" s="15">
        <v>0</v>
      </c>
      <c r="BD161" s="16">
        <v>558260</v>
      </c>
      <c r="BE161" s="16">
        <v>0</v>
      </c>
      <c r="BF161" s="16">
        <v>55820</v>
      </c>
      <c r="BG161" s="16">
        <v>0</v>
      </c>
      <c r="BH161" s="16">
        <v>253550</v>
      </c>
      <c r="BI161" s="16">
        <v>265500</v>
      </c>
      <c r="BJ161" s="16">
        <v>63549</v>
      </c>
      <c r="BK161" s="16">
        <v>23500</v>
      </c>
      <c r="BL161" s="16">
        <v>160000</v>
      </c>
      <c r="BM161" s="16">
        <v>50000</v>
      </c>
      <c r="BN161" s="16">
        <v>35000</v>
      </c>
      <c r="BO161" s="16">
        <v>0</v>
      </c>
      <c r="BP161" s="16">
        <v>0</v>
      </c>
      <c r="BQ161" s="16">
        <v>0</v>
      </c>
      <c r="BR161" s="16">
        <v>0</v>
      </c>
      <c r="BS161" s="16">
        <v>0</v>
      </c>
      <c r="BT161" s="16">
        <v>0</v>
      </c>
      <c r="BU161" s="16">
        <v>0</v>
      </c>
      <c r="BV161" s="16">
        <v>0</v>
      </c>
      <c r="BW161" s="16">
        <v>0</v>
      </c>
    </row>
    <row r="162" spans="1:75" ht="18" hidden="1" customHeight="1" outlineLevel="1">
      <c r="D162" s="7" t="s">
        <v>11</v>
      </c>
      <c r="F162" s="8">
        <v>4717</v>
      </c>
      <c r="G162" s="8">
        <v>5848</v>
      </c>
      <c r="K162" s="8">
        <v>2400</v>
      </c>
      <c r="L162" s="8">
        <f>K162*12</f>
        <v>28800</v>
      </c>
      <c r="M162" s="8">
        <f>L162*1.13</f>
        <v>32543.999999999996</v>
      </c>
      <c r="N162" s="8">
        <v>21014</v>
      </c>
      <c r="O162" s="9">
        <f>N162/M162</f>
        <v>0.64571042281219282</v>
      </c>
      <c r="Q162" s="5">
        <v>2023</v>
      </c>
      <c r="R162" s="5">
        <v>11</v>
      </c>
      <c r="S162" s="14" t="s">
        <v>54</v>
      </c>
      <c r="T162" s="15">
        <f t="shared" si="114"/>
        <v>5901271</v>
      </c>
      <c r="U162" s="15">
        <f t="shared" si="115"/>
        <v>7311090</v>
      </c>
      <c r="V162" s="6">
        <v>4683000</v>
      </c>
      <c r="W162" s="6">
        <v>1748090</v>
      </c>
      <c r="X162" s="16">
        <v>0</v>
      </c>
      <c r="Y162" s="16">
        <v>0</v>
      </c>
      <c r="Z162" s="16">
        <v>0</v>
      </c>
      <c r="AA162" s="16">
        <v>0</v>
      </c>
      <c r="AB162" s="16">
        <v>0</v>
      </c>
      <c r="AC162" s="16">
        <v>0</v>
      </c>
      <c r="AD162" s="16">
        <v>0</v>
      </c>
      <c r="AE162" s="16">
        <v>0</v>
      </c>
      <c r="AF162" s="16">
        <v>350000</v>
      </c>
      <c r="AG162" s="16">
        <v>0</v>
      </c>
      <c r="AH162" s="16">
        <v>100000</v>
      </c>
      <c r="AI162" s="16">
        <v>250000</v>
      </c>
      <c r="AJ162" s="16">
        <v>0</v>
      </c>
      <c r="AK162" s="16">
        <v>0</v>
      </c>
      <c r="AL162" s="16">
        <v>100000</v>
      </c>
      <c r="AM162" s="16">
        <v>0</v>
      </c>
      <c r="AN162" s="16">
        <v>80000</v>
      </c>
      <c r="AO162" s="16">
        <v>0</v>
      </c>
      <c r="AP162" s="16">
        <v>0</v>
      </c>
      <c r="AQ162" s="16">
        <v>0</v>
      </c>
      <c r="AR162" s="16">
        <v>0</v>
      </c>
      <c r="AS162" s="16">
        <v>0</v>
      </c>
      <c r="AT162" s="16">
        <v>0</v>
      </c>
      <c r="AU162" s="16">
        <v>0</v>
      </c>
      <c r="AV162" s="16">
        <v>0</v>
      </c>
      <c r="AW162" s="16">
        <v>0</v>
      </c>
      <c r="AX162" s="16">
        <v>0</v>
      </c>
      <c r="AY162" s="16">
        <v>0</v>
      </c>
      <c r="AZ162" s="16">
        <v>0</v>
      </c>
      <c r="BA162" s="16"/>
      <c r="BB162" s="15">
        <f t="shared" si="116"/>
        <v>1409819</v>
      </c>
      <c r="BC162" s="15">
        <v>0</v>
      </c>
      <c r="BD162" s="16">
        <v>547430</v>
      </c>
      <c r="BE162" s="16">
        <v>0</v>
      </c>
      <c r="BF162" s="16">
        <v>54740</v>
      </c>
      <c r="BG162" s="16">
        <v>0</v>
      </c>
      <c r="BH162" s="16">
        <v>253550</v>
      </c>
      <c r="BI162" s="16">
        <v>265500</v>
      </c>
      <c r="BJ162" s="16">
        <v>63099</v>
      </c>
      <c r="BK162" s="16">
        <v>23500</v>
      </c>
      <c r="BL162" s="16">
        <v>160000</v>
      </c>
      <c r="BM162" s="16">
        <v>0</v>
      </c>
      <c r="BN162" s="16">
        <v>42000</v>
      </c>
      <c r="BO162" s="16">
        <v>0</v>
      </c>
      <c r="BP162" s="16">
        <v>0</v>
      </c>
      <c r="BQ162" s="16">
        <v>0</v>
      </c>
      <c r="BR162" s="16">
        <v>0</v>
      </c>
      <c r="BS162" s="16">
        <v>0</v>
      </c>
      <c r="BT162" s="16">
        <v>0</v>
      </c>
      <c r="BU162" s="16">
        <v>0</v>
      </c>
      <c r="BV162" s="16">
        <v>0</v>
      </c>
      <c r="BW162" s="16">
        <v>0</v>
      </c>
    </row>
    <row r="163" spans="1:75" ht="18" hidden="1" customHeight="1" outlineLevel="1">
      <c r="D163" s="7" t="s">
        <v>11</v>
      </c>
      <c r="F163" s="8">
        <v>4717</v>
      </c>
      <c r="G163" s="8">
        <v>5848</v>
      </c>
      <c r="K163" s="8">
        <v>2400</v>
      </c>
      <c r="L163" s="8">
        <f t="shared" ref="L163:L166" si="117">K163*12</f>
        <v>28800</v>
      </c>
      <c r="M163" s="8">
        <f t="shared" ref="M163:M166" si="118">L163*1.13</f>
        <v>32543.999999999996</v>
      </c>
      <c r="N163" s="8">
        <v>21014</v>
      </c>
      <c r="O163" s="9">
        <f t="shared" ref="O163:O166" si="119">N163/M163</f>
        <v>0.64571042281219282</v>
      </c>
      <c r="Q163" s="5">
        <v>2023</v>
      </c>
      <c r="R163" s="5">
        <v>10</v>
      </c>
      <c r="S163" s="14" t="s">
        <v>54</v>
      </c>
      <c r="T163" s="15">
        <f t="shared" si="114"/>
        <v>5916911</v>
      </c>
      <c r="U163" s="15">
        <f t="shared" si="115"/>
        <v>7361090</v>
      </c>
      <c r="V163" s="6">
        <v>4683000</v>
      </c>
      <c r="W163" s="6">
        <v>1748090</v>
      </c>
      <c r="X163" s="16">
        <v>0</v>
      </c>
      <c r="Y163" s="16">
        <v>0</v>
      </c>
      <c r="Z163" s="16">
        <v>0</v>
      </c>
      <c r="AA163" s="16">
        <v>0</v>
      </c>
      <c r="AB163" s="16">
        <v>0</v>
      </c>
      <c r="AC163" s="16">
        <v>0</v>
      </c>
      <c r="AD163" s="16">
        <v>0</v>
      </c>
      <c r="AE163" s="16">
        <v>0</v>
      </c>
      <c r="AF163" s="16">
        <v>350000</v>
      </c>
      <c r="AG163" s="16">
        <v>0</v>
      </c>
      <c r="AH163" s="16">
        <v>100000</v>
      </c>
      <c r="AI163" s="16">
        <v>250000</v>
      </c>
      <c r="AJ163" s="16">
        <v>50000</v>
      </c>
      <c r="AK163" s="16">
        <v>0</v>
      </c>
      <c r="AL163" s="16">
        <v>100000</v>
      </c>
      <c r="AM163" s="16">
        <v>0</v>
      </c>
      <c r="AN163" s="16">
        <v>80000</v>
      </c>
      <c r="AO163" s="16">
        <v>0</v>
      </c>
      <c r="AP163" s="16">
        <v>0</v>
      </c>
      <c r="AQ163" s="16">
        <v>0</v>
      </c>
      <c r="AR163" s="16">
        <v>0</v>
      </c>
      <c r="AS163" s="16">
        <v>0</v>
      </c>
      <c r="AT163" s="16">
        <v>0</v>
      </c>
      <c r="AU163" s="16">
        <v>0</v>
      </c>
      <c r="AV163" s="16">
        <v>0</v>
      </c>
      <c r="AW163" s="16">
        <v>0</v>
      </c>
      <c r="AX163" s="16">
        <v>0</v>
      </c>
      <c r="AY163" s="16">
        <v>0</v>
      </c>
      <c r="AZ163" s="16">
        <v>0</v>
      </c>
      <c r="BA163" s="16"/>
      <c r="BB163" s="15">
        <f t="shared" si="116"/>
        <v>1444179</v>
      </c>
      <c r="BC163" s="15">
        <v>0</v>
      </c>
      <c r="BD163" s="16">
        <v>558260</v>
      </c>
      <c r="BE163" s="16">
        <v>0</v>
      </c>
      <c r="BF163" s="16">
        <v>55820</v>
      </c>
      <c r="BG163" s="16">
        <v>0</v>
      </c>
      <c r="BH163" s="16">
        <v>253550</v>
      </c>
      <c r="BI163" s="16">
        <v>265500</v>
      </c>
      <c r="BJ163" s="16">
        <v>63549</v>
      </c>
      <c r="BK163" s="16">
        <v>23500</v>
      </c>
      <c r="BL163" s="16">
        <v>160000</v>
      </c>
      <c r="BM163" s="16">
        <v>50000</v>
      </c>
      <c r="BN163" s="16">
        <v>14000</v>
      </c>
      <c r="BO163" s="16">
        <v>0</v>
      </c>
      <c r="BP163" s="16">
        <v>0</v>
      </c>
      <c r="BQ163" s="16">
        <v>0</v>
      </c>
      <c r="BR163" s="16">
        <v>0</v>
      </c>
      <c r="BS163" s="16">
        <v>0</v>
      </c>
      <c r="BT163" s="16">
        <v>0</v>
      </c>
      <c r="BU163" s="16">
        <v>0</v>
      </c>
      <c r="BV163" s="16">
        <v>0</v>
      </c>
      <c r="BW163" s="16">
        <v>0</v>
      </c>
    </row>
    <row r="164" spans="1:75" ht="18" hidden="1" customHeight="1" outlineLevel="1">
      <c r="D164" s="7" t="s">
        <v>12</v>
      </c>
      <c r="F164" s="8">
        <v>6867</v>
      </c>
      <c r="G164" s="8">
        <v>6867</v>
      </c>
      <c r="K164" s="8">
        <v>2400</v>
      </c>
      <c r="L164" s="8">
        <f t="shared" si="117"/>
        <v>28800</v>
      </c>
      <c r="M164" s="8">
        <f t="shared" si="118"/>
        <v>32543.999999999996</v>
      </c>
      <c r="N164" s="8">
        <v>21014</v>
      </c>
      <c r="O164" s="9">
        <f t="shared" si="119"/>
        <v>0.64571042281219282</v>
      </c>
      <c r="Q164" s="5">
        <v>2023</v>
      </c>
      <c r="R164" s="5">
        <v>9</v>
      </c>
      <c r="S164" s="14" t="s">
        <v>54</v>
      </c>
      <c r="T164" s="15">
        <f t="shared" si="114"/>
        <v>5845771</v>
      </c>
      <c r="U164" s="15">
        <f t="shared" si="115"/>
        <v>7511090</v>
      </c>
      <c r="V164" s="6">
        <v>4683000</v>
      </c>
      <c r="W164" s="6">
        <v>1748090</v>
      </c>
      <c r="X164" s="16">
        <v>0</v>
      </c>
      <c r="Y164" s="16">
        <v>0</v>
      </c>
      <c r="Z164" s="16">
        <v>0</v>
      </c>
      <c r="AA164" s="16">
        <v>0</v>
      </c>
      <c r="AB164" s="16">
        <v>0</v>
      </c>
      <c r="AC164" s="16">
        <v>0</v>
      </c>
      <c r="AD164" s="16">
        <v>0</v>
      </c>
      <c r="AE164" s="16">
        <v>0</v>
      </c>
      <c r="AF164" s="16">
        <v>350000</v>
      </c>
      <c r="AG164" s="16">
        <v>0</v>
      </c>
      <c r="AH164" s="16">
        <v>100000</v>
      </c>
      <c r="AI164" s="16">
        <v>250000</v>
      </c>
      <c r="AJ164" s="16">
        <v>200000</v>
      </c>
      <c r="AK164" s="16">
        <v>0</v>
      </c>
      <c r="AL164" s="16">
        <v>100000</v>
      </c>
      <c r="AM164" s="16">
        <v>0</v>
      </c>
      <c r="AN164" s="16">
        <v>80000</v>
      </c>
      <c r="AO164" s="16">
        <v>0</v>
      </c>
      <c r="AP164" s="16">
        <v>0</v>
      </c>
      <c r="AQ164" s="16">
        <v>0</v>
      </c>
      <c r="AR164" s="16">
        <v>0</v>
      </c>
      <c r="AS164" s="16">
        <v>0</v>
      </c>
      <c r="AT164" s="16">
        <v>0</v>
      </c>
      <c r="AU164" s="16">
        <v>0</v>
      </c>
      <c r="AV164" s="16">
        <v>0</v>
      </c>
      <c r="AW164" s="16">
        <v>0</v>
      </c>
      <c r="AX164" s="16">
        <v>0</v>
      </c>
      <c r="AY164" s="16">
        <v>0</v>
      </c>
      <c r="AZ164" s="16">
        <v>0</v>
      </c>
      <c r="BA164" s="16"/>
      <c r="BB164" s="15">
        <f t="shared" si="116"/>
        <v>1665319</v>
      </c>
      <c r="BC164" s="15">
        <v>0</v>
      </c>
      <c r="BD164" s="16">
        <v>583520</v>
      </c>
      <c r="BE164" s="16">
        <v>0</v>
      </c>
      <c r="BF164" s="16">
        <v>58350</v>
      </c>
      <c r="BG164" s="16">
        <v>0</v>
      </c>
      <c r="BH164" s="16">
        <v>253550</v>
      </c>
      <c r="BI164" s="16">
        <v>265500</v>
      </c>
      <c r="BJ164" s="16">
        <v>64899</v>
      </c>
      <c r="BK164" s="16">
        <v>23500</v>
      </c>
      <c r="BL164" s="16">
        <v>160000</v>
      </c>
      <c r="BM164" s="16">
        <v>200000</v>
      </c>
      <c r="BN164" s="16">
        <v>56000</v>
      </c>
      <c r="BO164" s="16">
        <v>0</v>
      </c>
      <c r="BP164" s="16">
        <v>0</v>
      </c>
      <c r="BQ164" s="16">
        <v>0</v>
      </c>
      <c r="BR164" s="16">
        <v>0</v>
      </c>
      <c r="BS164" s="16">
        <v>0</v>
      </c>
      <c r="BT164" s="16">
        <v>0</v>
      </c>
      <c r="BU164" s="16">
        <v>0</v>
      </c>
      <c r="BV164" s="16">
        <v>0</v>
      </c>
      <c r="BW164" s="16">
        <v>0</v>
      </c>
    </row>
    <row r="165" spans="1:75" ht="18" hidden="1" customHeight="1" outlineLevel="1">
      <c r="D165" s="7" t="s">
        <v>13</v>
      </c>
      <c r="F165" s="8">
        <v>7988</v>
      </c>
      <c r="G165" s="8" t="s">
        <v>2</v>
      </c>
      <c r="H165" s="8" t="s">
        <v>17</v>
      </c>
      <c r="I165" s="8">
        <v>171</v>
      </c>
      <c r="K165" s="8">
        <v>2400</v>
      </c>
      <c r="L165" s="8">
        <f t="shared" si="117"/>
        <v>28800</v>
      </c>
      <c r="M165" s="8">
        <f t="shared" si="118"/>
        <v>32543.999999999996</v>
      </c>
      <c r="N165" s="8">
        <v>21014</v>
      </c>
      <c r="O165" s="9">
        <f t="shared" si="119"/>
        <v>0.64571042281219282</v>
      </c>
      <c r="Q165" s="5">
        <v>2023</v>
      </c>
      <c r="R165" s="5">
        <v>8</v>
      </c>
      <c r="S165" s="14" t="s">
        <v>54</v>
      </c>
      <c r="T165" s="15">
        <f t="shared" si="114"/>
        <v>5894271</v>
      </c>
      <c r="U165" s="15">
        <f t="shared" si="115"/>
        <v>7311090</v>
      </c>
      <c r="V165" s="6">
        <v>4683000</v>
      </c>
      <c r="W165" s="6">
        <v>1748090</v>
      </c>
      <c r="X165" s="16">
        <v>0</v>
      </c>
      <c r="Y165" s="16">
        <v>0</v>
      </c>
      <c r="Z165" s="16">
        <v>0</v>
      </c>
      <c r="AA165" s="16">
        <v>0</v>
      </c>
      <c r="AB165" s="16">
        <v>0</v>
      </c>
      <c r="AC165" s="16">
        <v>0</v>
      </c>
      <c r="AD165" s="16">
        <v>0</v>
      </c>
      <c r="AE165" s="16">
        <v>0</v>
      </c>
      <c r="AF165" s="16">
        <v>350000</v>
      </c>
      <c r="AG165" s="16">
        <v>0</v>
      </c>
      <c r="AH165" s="16">
        <v>100000</v>
      </c>
      <c r="AI165" s="16">
        <v>250000</v>
      </c>
      <c r="AJ165" s="16">
        <v>0</v>
      </c>
      <c r="AK165" s="16">
        <v>0</v>
      </c>
      <c r="AL165" s="16">
        <v>100000</v>
      </c>
      <c r="AM165" s="16">
        <v>0</v>
      </c>
      <c r="AN165" s="16">
        <v>80000</v>
      </c>
      <c r="AO165" s="16">
        <v>0</v>
      </c>
      <c r="AP165" s="16">
        <v>0</v>
      </c>
      <c r="AQ165" s="16">
        <v>0</v>
      </c>
      <c r="AR165" s="16">
        <v>0</v>
      </c>
      <c r="AS165" s="16">
        <v>0</v>
      </c>
      <c r="AT165" s="16">
        <v>0</v>
      </c>
      <c r="AU165" s="16">
        <v>0</v>
      </c>
      <c r="AV165" s="16">
        <v>0</v>
      </c>
      <c r="AW165" s="16">
        <v>0</v>
      </c>
      <c r="AX165" s="16">
        <v>0</v>
      </c>
      <c r="AY165" s="16">
        <v>0</v>
      </c>
      <c r="AZ165" s="16">
        <v>0</v>
      </c>
      <c r="BA165" s="16"/>
      <c r="BB165" s="15">
        <f t="shared" si="116"/>
        <v>1416819</v>
      </c>
      <c r="BC165" s="15">
        <v>0</v>
      </c>
      <c r="BD165" s="16">
        <v>547430</v>
      </c>
      <c r="BE165" s="16">
        <v>0</v>
      </c>
      <c r="BF165" s="16">
        <v>54740</v>
      </c>
      <c r="BG165" s="16">
        <v>0</v>
      </c>
      <c r="BH165" s="16">
        <v>253550</v>
      </c>
      <c r="BI165" s="16">
        <v>265500</v>
      </c>
      <c r="BJ165" s="16">
        <v>63099</v>
      </c>
      <c r="BK165" s="16">
        <v>23500</v>
      </c>
      <c r="BL165" s="16">
        <v>160000</v>
      </c>
      <c r="BM165" s="16">
        <v>0</v>
      </c>
      <c r="BN165" s="16">
        <v>49000</v>
      </c>
      <c r="BO165" s="16">
        <v>0</v>
      </c>
      <c r="BP165" s="16">
        <v>0</v>
      </c>
      <c r="BQ165" s="16">
        <v>0</v>
      </c>
      <c r="BR165" s="16">
        <v>0</v>
      </c>
      <c r="BS165" s="16">
        <v>0</v>
      </c>
      <c r="BT165" s="16">
        <v>0</v>
      </c>
      <c r="BU165" s="16">
        <v>0</v>
      </c>
      <c r="BV165" s="16">
        <v>0</v>
      </c>
      <c r="BW165" s="16">
        <v>0</v>
      </c>
    </row>
    <row r="166" spans="1:75" ht="18" hidden="1" customHeight="1" outlineLevel="1">
      <c r="D166" s="7" t="s">
        <v>13</v>
      </c>
      <c r="F166" s="8">
        <v>7988</v>
      </c>
      <c r="G166" s="8" t="s">
        <v>2</v>
      </c>
      <c r="H166" s="8" t="s">
        <v>17</v>
      </c>
      <c r="I166" s="8">
        <v>171</v>
      </c>
      <c r="K166" s="8">
        <v>2400</v>
      </c>
      <c r="L166" s="8">
        <f t="shared" si="117"/>
        <v>28800</v>
      </c>
      <c r="M166" s="8">
        <f t="shared" si="118"/>
        <v>32543.999999999996</v>
      </c>
      <c r="N166" s="8">
        <v>21014</v>
      </c>
      <c r="O166" s="9">
        <f t="shared" si="119"/>
        <v>0.64571042281219282</v>
      </c>
      <c r="Q166" s="5">
        <v>2023</v>
      </c>
      <c r="R166" s="5">
        <v>7</v>
      </c>
      <c r="S166" s="14" t="s">
        <v>54</v>
      </c>
      <c r="T166" s="15">
        <f t="shared" si="114"/>
        <v>6136791</v>
      </c>
      <c r="U166" s="15">
        <f t="shared" si="115"/>
        <v>7641090</v>
      </c>
      <c r="V166" s="6">
        <v>4683000</v>
      </c>
      <c r="W166" s="6">
        <v>1748090</v>
      </c>
      <c r="X166" s="16">
        <v>0</v>
      </c>
      <c r="Y166" s="16">
        <v>0</v>
      </c>
      <c r="Z166" s="16">
        <v>0</v>
      </c>
      <c r="AA166" s="16">
        <v>0</v>
      </c>
      <c r="AB166" s="16">
        <v>0</v>
      </c>
      <c r="AC166" s="16">
        <v>0</v>
      </c>
      <c r="AD166" s="16">
        <v>0</v>
      </c>
      <c r="AE166" s="16">
        <v>0</v>
      </c>
      <c r="AF166" s="16">
        <v>350000</v>
      </c>
      <c r="AG166" s="16">
        <v>0</v>
      </c>
      <c r="AH166" s="16">
        <v>100000</v>
      </c>
      <c r="AI166" s="16">
        <v>250000</v>
      </c>
      <c r="AJ166" s="16">
        <v>30000</v>
      </c>
      <c r="AK166" s="16">
        <v>300000</v>
      </c>
      <c r="AL166" s="16">
        <v>100000</v>
      </c>
      <c r="AM166" s="16">
        <v>0</v>
      </c>
      <c r="AN166" s="16">
        <v>80000</v>
      </c>
      <c r="AO166" s="16">
        <v>0</v>
      </c>
      <c r="AP166" s="16">
        <v>0</v>
      </c>
      <c r="AQ166" s="16">
        <v>0</v>
      </c>
      <c r="AR166" s="16">
        <v>0</v>
      </c>
      <c r="AS166" s="16">
        <v>0</v>
      </c>
      <c r="AT166" s="16">
        <v>0</v>
      </c>
      <c r="AU166" s="16">
        <v>0</v>
      </c>
      <c r="AV166" s="16">
        <v>0</v>
      </c>
      <c r="AW166" s="16">
        <v>0</v>
      </c>
      <c r="AX166" s="16">
        <v>0</v>
      </c>
      <c r="AY166" s="16">
        <v>0</v>
      </c>
      <c r="AZ166" s="16">
        <v>0</v>
      </c>
      <c r="BA166" s="16"/>
      <c r="BB166" s="15">
        <f t="shared" si="116"/>
        <v>1504299</v>
      </c>
      <c r="BC166" s="15">
        <v>0</v>
      </c>
      <c r="BD166" s="16">
        <v>608800</v>
      </c>
      <c r="BE166" s="16">
        <v>0</v>
      </c>
      <c r="BF166" s="16">
        <v>60880</v>
      </c>
      <c r="BG166" s="16">
        <v>0</v>
      </c>
      <c r="BH166" s="16">
        <v>253550</v>
      </c>
      <c r="BI166" s="16">
        <v>265500</v>
      </c>
      <c r="BJ166" s="16">
        <v>66069</v>
      </c>
      <c r="BK166" s="16">
        <v>23500</v>
      </c>
      <c r="BL166" s="16">
        <v>160000</v>
      </c>
      <c r="BM166" s="16">
        <v>30000</v>
      </c>
      <c r="BN166" s="16">
        <v>36000</v>
      </c>
      <c r="BO166" s="16">
        <v>0</v>
      </c>
      <c r="BP166" s="16">
        <v>0</v>
      </c>
      <c r="BQ166" s="16">
        <v>0</v>
      </c>
      <c r="BR166" s="16">
        <v>0</v>
      </c>
      <c r="BS166" s="16">
        <v>0</v>
      </c>
      <c r="BT166" s="16">
        <v>0</v>
      </c>
      <c r="BU166" s="16">
        <v>0</v>
      </c>
      <c r="BV166" s="16">
        <v>0</v>
      </c>
      <c r="BW166" s="16">
        <v>0</v>
      </c>
    </row>
    <row r="167" spans="1:75" ht="18" hidden="1" customHeight="1" outlineLevel="1">
      <c r="H167" s="8" t="s">
        <v>18</v>
      </c>
      <c r="I167" s="8">
        <v>122</v>
      </c>
      <c r="J167" s="9"/>
      <c r="Q167" s="5">
        <v>2023</v>
      </c>
      <c r="R167" s="5">
        <v>6</v>
      </c>
      <c r="S167" s="14" t="s">
        <v>54</v>
      </c>
      <c r="T167" s="15">
        <f t="shared" si="114"/>
        <v>5897561</v>
      </c>
      <c r="U167" s="15">
        <f t="shared" si="115"/>
        <v>7361090</v>
      </c>
      <c r="V167" s="6">
        <v>4683000</v>
      </c>
      <c r="W167" s="6">
        <v>1748090</v>
      </c>
      <c r="X167" s="16">
        <v>0</v>
      </c>
      <c r="Y167" s="16">
        <v>0</v>
      </c>
      <c r="Z167" s="16">
        <v>0</v>
      </c>
      <c r="AA167" s="16">
        <v>0</v>
      </c>
      <c r="AB167" s="16">
        <v>0</v>
      </c>
      <c r="AC167" s="16">
        <v>0</v>
      </c>
      <c r="AD167" s="16">
        <v>0</v>
      </c>
      <c r="AE167" s="16">
        <v>0</v>
      </c>
      <c r="AF167" s="16">
        <v>350000</v>
      </c>
      <c r="AG167" s="16">
        <v>0</v>
      </c>
      <c r="AH167" s="16">
        <v>100000</v>
      </c>
      <c r="AI167" s="16">
        <v>250000</v>
      </c>
      <c r="AJ167" s="16">
        <v>50000</v>
      </c>
      <c r="AK167" s="16">
        <v>0</v>
      </c>
      <c r="AL167" s="16">
        <v>100000</v>
      </c>
      <c r="AM167" s="16">
        <v>0</v>
      </c>
      <c r="AN167" s="16">
        <v>80000</v>
      </c>
      <c r="AO167" s="16">
        <v>0</v>
      </c>
      <c r="AP167" s="16">
        <v>0</v>
      </c>
      <c r="AQ167" s="16">
        <v>0</v>
      </c>
      <c r="AR167" s="16">
        <v>0</v>
      </c>
      <c r="AS167" s="16">
        <v>0</v>
      </c>
      <c r="AT167" s="16">
        <v>0</v>
      </c>
      <c r="AU167" s="16">
        <v>0</v>
      </c>
      <c r="AV167" s="16">
        <v>0</v>
      </c>
      <c r="AW167" s="16">
        <v>0</v>
      </c>
      <c r="AX167" s="16">
        <v>0</v>
      </c>
      <c r="AY167" s="16">
        <v>0</v>
      </c>
      <c r="AZ167" s="16">
        <v>0</v>
      </c>
      <c r="BA167" s="16"/>
      <c r="BB167" s="15">
        <f t="shared" si="116"/>
        <v>1463529</v>
      </c>
      <c r="BC167" s="15">
        <v>0</v>
      </c>
      <c r="BD167" s="16">
        <v>558260</v>
      </c>
      <c r="BE167" s="16">
        <v>0</v>
      </c>
      <c r="BF167" s="16">
        <v>55820</v>
      </c>
      <c r="BG167" s="16">
        <v>0</v>
      </c>
      <c r="BH167" s="16">
        <v>253550</v>
      </c>
      <c r="BI167" s="16">
        <v>248850</v>
      </c>
      <c r="BJ167" s="16">
        <v>63549</v>
      </c>
      <c r="BK167" s="16">
        <v>23500</v>
      </c>
      <c r="BL167" s="16">
        <v>160000</v>
      </c>
      <c r="BM167" s="16">
        <v>50000</v>
      </c>
      <c r="BN167" s="16">
        <v>50000</v>
      </c>
      <c r="BO167" s="16">
        <v>0</v>
      </c>
      <c r="BP167" s="16">
        <v>0</v>
      </c>
      <c r="BQ167" s="16">
        <v>0</v>
      </c>
      <c r="BR167" s="16">
        <v>0</v>
      </c>
      <c r="BS167" s="16">
        <v>0</v>
      </c>
      <c r="BT167" s="16">
        <v>0</v>
      </c>
      <c r="BU167" s="16">
        <v>0</v>
      </c>
      <c r="BV167" s="16">
        <v>0</v>
      </c>
      <c r="BW167" s="16">
        <v>0</v>
      </c>
    </row>
    <row r="168" spans="1:75" ht="18" hidden="1" customHeight="1" outlineLevel="1">
      <c r="J168" s="9"/>
      <c r="Q168" s="5">
        <v>2023</v>
      </c>
      <c r="R168" s="5">
        <v>5</v>
      </c>
      <c r="S168" s="14" t="s">
        <v>54</v>
      </c>
      <c r="T168" s="15">
        <f t="shared" si="114"/>
        <v>5766661</v>
      </c>
      <c r="U168" s="15">
        <f t="shared" si="115"/>
        <v>7811090</v>
      </c>
      <c r="V168" s="6">
        <v>4683000</v>
      </c>
      <c r="W168" s="6">
        <v>1748090</v>
      </c>
      <c r="X168" s="16">
        <v>0</v>
      </c>
      <c r="Y168" s="16">
        <v>0</v>
      </c>
      <c r="Z168" s="16">
        <v>0</v>
      </c>
      <c r="AA168" s="16">
        <v>0</v>
      </c>
      <c r="AB168" s="16">
        <v>0</v>
      </c>
      <c r="AC168" s="16">
        <v>0</v>
      </c>
      <c r="AD168" s="16">
        <v>0</v>
      </c>
      <c r="AE168" s="16">
        <v>0</v>
      </c>
      <c r="AF168" s="16">
        <v>350000</v>
      </c>
      <c r="AG168" s="16">
        <v>0</v>
      </c>
      <c r="AH168" s="16">
        <v>100000</v>
      </c>
      <c r="AI168" s="16">
        <v>250000</v>
      </c>
      <c r="AJ168" s="16">
        <v>200000</v>
      </c>
      <c r="AK168" s="16">
        <v>0</v>
      </c>
      <c r="AL168" s="16">
        <v>100000</v>
      </c>
      <c r="AM168" s="16">
        <v>0</v>
      </c>
      <c r="AN168" s="16">
        <v>80000</v>
      </c>
      <c r="AO168" s="16">
        <v>0</v>
      </c>
      <c r="AP168" s="16">
        <v>0</v>
      </c>
      <c r="AQ168" s="16">
        <v>0</v>
      </c>
      <c r="AR168" s="16">
        <v>0</v>
      </c>
      <c r="AS168" s="16">
        <v>0</v>
      </c>
      <c r="AT168" s="16">
        <v>0</v>
      </c>
      <c r="AU168" s="16">
        <v>300000</v>
      </c>
      <c r="AV168" s="16">
        <v>0</v>
      </c>
      <c r="AW168" s="16">
        <v>0</v>
      </c>
      <c r="AX168" s="16">
        <v>0</v>
      </c>
      <c r="AY168" s="16">
        <v>0</v>
      </c>
      <c r="AZ168" s="16">
        <v>0</v>
      </c>
      <c r="BA168" s="16"/>
      <c r="BB168" s="15">
        <f t="shared" si="116"/>
        <v>2044429</v>
      </c>
      <c r="BC168" s="15">
        <v>0</v>
      </c>
      <c r="BD168" s="16">
        <v>637670</v>
      </c>
      <c r="BE168" s="16">
        <v>0</v>
      </c>
      <c r="BF168" s="16">
        <v>63760</v>
      </c>
      <c r="BG168" s="16">
        <v>0</v>
      </c>
      <c r="BH168" s="16">
        <v>253550</v>
      </c>
      <c r="BI168" s="16">
        <v>248850</v>
      </c>
      <c r="BJ168" s="16">
        <v>67599</v>
      </c>
      <c r="BK168" s="16">
        <v>23500</v>
      </c>
      <c r="BL168" s="16">
        <v>160000</v>
      </c>
      <c r="BM168" s="16">
        <v>200000</v>
      </c>
      <c r="BN168" s="16">
        <v>89500</v>
      </c>
      <c r="BO168" s="16">
        <v>0</v>
      </c>
      <c r="BP168" s="16">
        <v>0</v>
      </c>
      <c r="BQ168" s="16">
        <v>0</v>
      </c>
      <c r="BR168" s="16">
        <v>0</v>
      </c>
      <c r="BS168" s="16">
        <v>0</v>
      </c>
      <c r="BT168" s="16">
        <v>0</v>
      </c>
      <c r="BU168" s="16">
        <v>300000</v>
      </c>
      <c r="BV168" s="16">
        <v>0</v>
      </c>
      <c r="BW168" s="16">
        <v>0</v>
      </c>
    </row>
    <row r="169" spans="1:75" ht="18" hidden="1" customHeight="1" outlineLevel="1">
      <c r="B169" s="7">
        <v>2021</v>
      </c>
      <c r="C169" s="8" t="s">
        <v>12</v>
      </c>
      <c r="E169" s="8">
        <v>6867</v>
      </c>
      <c r="J169" s="9"/>
      <c r="Q169" s="5">
        <v>2023</v>
      </c>
      <c r="R169" s="5">
        <v>4</v>
      </c>
      <c r="S169" s="14" t="s">
        <v>54</v>
      </c>
      <c r="T169" s="15">
        <f t="shared" si="114"/>
        <v>6389412</v>
      </c>
      <c r="U169" s="15">
        <f t="shared" si="115"/>
        <v>8112090</v>
      </c>
      <c r="V169" s="6">
        <v>4683000</v>
      </c>
      <c r="W169" s="6">
        <v>1748090</v>
      </c>
      <c r="X169" s="16">
        <v>0</v>
      </c>
      <c r="Y169" s="16">
        <v>0</v>
      </c>
      <c r="Z169" s="16">
        <v>0</v>
      </c>
      <c r="AA169" s="16">
        <v>0</v>
      </c>
      <c r="AB169" s="16">
        <v>0</v>
      </c>
      <c r="AC169" s="16">
        <v>831000</v>
      </c>
      <c r="AD169" s="16">
        <v>0</v>
      </c>
      <c r="AE169" s="16">
        <v>0</v>
      </c>
      <c r="AF169" s="16">
        <v>350000</v>
      </c>
      <c r="AG169" s="16">
        <v>0</v>
      </c>
      <c r="AH169" s="16">
        <v>100000</v>
      </c>
      <c r="AI169" s="16">
        <v>220000</v>
      </c>
      <c r="AJ169" s="16">
        <v>0</v>
      </c>
      <c r="AK169" s="16">
        <v>0</v>
      </c>
      <c r="AL169" s="16">
        <v>100000</v>
      </c>
      <c r="AM169" s="16">
        <v>0</v>
      </c>
      <c r="AN169" s="16">
        <v>80000</v>
      </c>
      <c r="AO169" s="16">
        <v>0</v>
      </c>
      <c r="AP169" s="16">
        <v>0</v>
      </c>
      <c r="AQ169" s="16">
        <v>0</v>
      </c>
      <c r="AR169" s="16">
        <v>0</v>
      </c>
      <c r="AS169" s="16">
        <v>0</v>
      </c>
      <c r="AT169" s="16">
        <v>0</v>
      </c>
      <c r="AU169" s="16">
        <v>0</v>
      </c>
      <c r="AV169" s="16">
        <v>0</v>
      </c>
      <c r="AW169" s="16">
        <v>0</v>
      </c>
      <c r="AX169" s="16">
        <v>0</v>
      </c>
      <c r="AY169" s="16">
        <v>0</v>
      </c>
      <c r="AZ169" s="16">
        <v>0</v>
      </c>
      <c r="BA169" s="16"/>
      <c r="BB169" s="15">
        <f t="shared" si="116"/>
        <v>1722678</v>
      </c>
      <c r="BC169" s="15">
        <v>0</v>
      </c>
      <c r="BD169" s="16">
        <v>691810</v>
      </c>
      <c r="BE169" s="16">
        <v>0</v>
      </c>
      <c r="BF169" s="16">
        <v>69180</v>
      </c>
      <c r="BG169" s="16">
        <v>0</v>
      </c>
      <c r="BH169" s="16">
        <v>253550</v>
      </c>
      <c r="BI169" s="16">
        <v>248850</v>
      </c>
      <c r="BJ169" s="16">
        <v>70308</v>
      </c>
      <c r="BK169" s="16">
        <v>23500</v>
      </c>
      <c r="BL169" s="16">
        <v>160000</v>
      </c>
      <c r="BM169" s="16">
        <v>0</v>
      </c>
      <c r="BN169" s="16">
        <v>7000</v>
      </c>
      <c r="BO169" s="16">
        <v>198480</v>
      </c>
      <c r="BP169" s="16">
        <v>0</v>
      </c>
      <c r="BQ169" s="16">
        <v>0</v>
      </c>
      <c r="BR169" s="16">
        <v>0</v>
      </c>
      <c r="BS169" s="16">
        <v>0</v>
      </c>
      <c r="BT169" s="16">
        <v>0</v>
      </c>
      <c r="BU169" s="16">
        <v>0</v>
      </c>
      <c r="BV169" s="16">
        <v>0</v>
      </c>
      <c r="BW169" s="16">
        <v>0</v>
      </c>
    </row>
    <row r="170" spans="1:75" ht="18" hidden="1" customHeight="1" outlineLevel="1">
      <c r="B170" s="7">
        <v>2021</v>
      </c>
      <c r="C170" s="8" t="s">
        <v>12</v>
      </c>
      <c r="E170" s="8">
        <v>6867</v>
      </c>
      <c r="J170" s="9"/>
      <c r="Q170" s="5">
        <v>2023</v>
      </c>
      <c r="R170" s="5">
        <v>4</v>
      </c>
      <c r="S170" s="14" t="s">
        <v>28</v>
      </c>
      <c r="T170" s="15">
        <f t="shared" si="114"/>
        <v>6977591</v>
      </c>
      <c r="U170" s="15">
        <f t="shared" si="115"/>
        <v>8958749</v>
      </c>
      <c r="V170" s="16">
        <v>0</v>
      </c>
      <c r="W170" s="16">
        <v>0</v>
      </c>
      <c r="X170" s="16">
        <v>0</v>
      </c>
      <c r="Y170" s="16">
        <v>0</v>
      </c>
      <c r="Z170" s="16">
        <v>0</v>
      </c>
      <c r="AA170" s="16">
        <v>0</v>
      </c>
      <c r="AB170" s="16">
        <v>0</v>
      </c>
      <c r="AC170" s="16">
        <v>0</v>
      </c>
      <c r="AD170" s="16">
        <v>7458749</v>
      </c>
      <c r="AE170" s="16">
        <v>1500000</v>
      </c>
      <c r="AF170" s="16">
        <v>0</v>
      </c>
      <c r="AG170" s="16">
        <v>0</v>
      </c>
      <c r="AH170" s="16">
        <v>0</v>
      </c>
      <c r="AI170" s="16">
        <v>0</v>
      </c>
      <c r="AJ170" s="16">
        <v>0</v>
      </c>
      <c r="AK170" s="16">
        <v>0</v>
      </c>
      <c r="AL170" s="16">
        <v>0</v>
      </c>
      <c r="AM170" s="16">
        <v>0</v>
      </c>
      <c r="AN170" s="16">
        <v>0</v>
      </c>
      <c r="AO170" s="16">
        <v>0</v>
      </c>
      <c r="AP170" s="16">
        <v>0</v>
      </c>
      <c r="AQ170" s="16">
        <v>0</v>
      </c>
      <c r="AR170" s="16">
        <v>0</v>
      </c>
      <c r="AS170" s="16">
        <v>0</v>
      </c>
      <c r="AT170" s="16">
        <v>0</v>
      </c>
      <c r="AU170" s="16">
        <v>0</v>
      </c>
      <c r="AV170" s="16">
        <v>0</v>
      </c>
      <c r="AW170" s="16">
        <v>0</v>
      </c>
      <c r="AX170" s="16">
        <v>0</v>
      </c>
      <c r="AY170" s="16">
        <v>0</v>
      </c>
      <c r="AZ170" s="16">
        <v>0</v>
      </c>
      <c r="BA170" s="16"/>
      <c r="BB170" s="15">
        <f t="shared" si="116"/>
        <v>1981158</v>
      </c>
      <c r="BC170" s="15">
        <v>0</v>
      </c>
      <c r="BD170" s="16">
        <v>1727760</v>
      </c>
      <c r="BE170" s="16">
        <v>0</v>
      </c>
      <c r="BF170" s="16">
        <v>172770</v>
      </c>
      <c r="BG170" s="16">
        <v>0</v>
      </c>
      <c r="BH170" s="16">
        <v>0</v>
      </c>
      <c r="BI170" s="16">
        <v>0</v>
      </c>
      <c r="BJ170" s="16">
        <v>80628</v>
      </c>
      <c r="BK170" s="16">
        <v>0</v>
      </c>
      <c r="BL170" s="16">
        <v>0</v>
      </c>
      <c r="BM170" s="16">
        <v>0</v>
      </c>
      <c r="BN170" s="16">
        <v>0</v>
      </c>
      <c r="BO170" s="16">
        <v>0</v>
      </c>
      <c r="BP170" s="16">
        <v>0</v>
      </c>
      <c r="BQ170" s="16">
        <v>0</v>
      </c>
      <c r="BR170" s="16">
        <v>0</v>
      </c>
      <c r="BS170" s="16">
        <v>0</v>
      </c>
      <c r="BT170" s="16">
        <v>0</v>
      </c>
      <c r="BU170" s="16">
        <v>0</v>
      </c>
      <c r="BV170" s="16">
        <v>0</v>
      </c>
      <c r="BW170" s="16">
        <v>0</v>
      </c>
    </row>
    <row r="171" spans="1:75" ht="18" hidden="1" customHeight="1" outlineLevel="1">
      <c r="B171" s="7">
        <v>2022</v>
      </c>
      <c r="C171" s="8" t="s">
        <v>12</v>
      </c>
      <c r="E171" s="8">
        <v>6867</v>
      </c>
      <c r="J171" s="9"/>
      <c r="Q171" s="5">
        <v>2023</v>
      </c>
      <c r="R171" s="5">
        <v>3</v>
      </c>
      <c r="S171" s="14" t="s">
        <v>54</v>
      </c>
      <c r="T171" s="15">
        <f t="shared" si="114"/>
        <v>5620984</v>
      </c>
      <c r="U171" s="15">
        <f t="shared" si="115"/>
        <v>7004090</v>
      </c>
      <c r="V171" s="16">
        <v>4481000</v>
      </c>
      <c r="W171" s="16">
        <v>1673090</v>
      </c>
      <c r="X171" s="16">
        <v>0</v>
      </c>
      <c r="Y171" s="16">
        <v>0</v>
      </c>
      <c r="Z171" s="16">
        <v>0</v>
      </c>
      <c r="AA171" s="16">
        <v>0</v>
      </c>
      <c r="AB171" s="16">
        <v>0</v>
      </c>
      <c r="AC171" s="16">
        <v>0</v>
      </c>
      <c r="AD171" s="16">
        <v>0</v>
      </c>
      <c r="AE171" s="16">
        <v>0</v>
      </c>
      <c r="AF171" s="16">
        <v>350000</v>
      </c>
      <c r="AG171" s="16">
        <v>0</v>
      </c>
      <c r="AH171" s="16">
        <v>100000</v>
      </c>
      <c r="AI171" s="16">
        <v>220000</v>
      </c>
      <c r="AJ171" s="16">
        <v>0</v>
      </c>
      <c r="AK171" s="16">
        <v>0</v>
      </c>
      <c r="AL171" s="16">
        <v>100000</v>
      </c>
      <c r="AM171" s="16">
        <v>0</v>
      </c>
      <c r="AN171" s="16">
        <v>80000</v>
      </c>
      <c r="AO171" s="16">
        <v>0</v>
      </c>
      <c r="AP171" s="16">
        <v>0</v>
      </c>
      <c r="AQ171" s="16">
        <v>0</v>
      </c>
      <c r="AR171" s="16">
        <v>0</v>
      </c>
      <c r="AS171" s="16">
        <v>0</v>
      </c>
      <c r="AT171" s="16">
        <v>0</v>
      </c>
      <c r="AU171" s="16">
        <v>0</v>
      </c>
      <c r="AV171" s="16">
        <v>0</v>
      </c>
      <c r="AW171" s="16">
        <v>0</v>
      </c>
      <c r="AX171" s="16">
        <v>0</v>
      </c>
      <c r="AY171" s="16">
        <v>0</v>
      </c>
      <c r="AZ171" s="16">
        <v>0</v>
      </c>
      <c r="BA171" s="16"/>
      <c r="BB171" s="15">
        <f t="shared" si="116"/>
        <v>1383106</v>
      </c>
      <c r="BC171" s="15">
        <v>0</v>
      </c>
      <c r="BD171" s="16">
        <v>493280</v>
      </c>
      <c r="BE171" s="16">
        <v>0</v>
      </c>
      <c r="BF171" s="16">
        <v>49230</v>
      </c>
      <c r="BG171" s="16">
        <v>0</v>
      </c>
      <c r="BH171" s="16">
        <v>238410</v>
      </c>
      <c r="BI171" s="16">
        <v>248850</v>
      </c>
      <c r="BJ171" s="16">
        <v>60336</v>
      </c>
      <c r="BK171" s="16">
        <v>22500</v>
      </c>
      <c r="BL171" s="16">
        <v>160000</v>
      </c>
      <c r="BM171" s="16">
        <v>0</v>
      </c>
      <c r="BN171" s="16">
        <v>110500</v>
      </c>
      <c r="BO171" s="16">
        <v>0</v>
      </c>
      <c r="BP171" s="16">
        <v>0</v>
      </c>
      <c r="BQ171" s="16">
        <v>0</v>
      </c>
      <c r="BR171" s="16">
        <v>0</v>
      </c>
      <c r="BS171" s="16">
        <v>0</v>
      </c>
      <c r="BT171" s="16">
        <v>0</v>
      </c>
      <c r="BU171" s="16">
        <v>0</v>
      </c>
      <c r="BV171" s="16">
        <v>0</v>
      </c>
      <c r="BW171" s="16">
        <v>0</v>
      </c>
    </row>
    <row r="172" spans="1:75" ht="18" hidden="1" customHeight="1" outlineLevel="1">
      <c r="B172" s="7">
        <v>2023</v>
      </c>
      <c r="C172" s="8" t="s">
        <v>12</v>
      </c>
      <c r="E172" s="8">
        <v>6867</v>
      </c>
      <c r="J172" s="9"/>
      <c r="Q172" s="5">
        <v>2023</v>
      </c>
      <c r="R172" s="5">
        <v>2</v>
      </c>
      <c r="S172" s="14" t="s">
        <v>54</v>
      </c>
      <c r="T172" s="15">
        <f t="shared" si="114"/>
        <v>10244477</v>
      </c>
      <c r="U172" s="15">
        <f t="shared" si="115"/>
        <v>12567090</v>
      </c>
      <c r="V172" s="16">
        <v>4481000</v>
      </c>
      <c r="W172" s="16">
        <v>1673090</v>
      </c>
      <c r="X172" s="16">
        <v>0</v>
      </c>
      <c r="Y172" s="16">
        <v>0</v>
      </c>
      <c r="Z172" s="16">
        <v>0</v>
      </c>
      <c r="AA172" s="16">
        <v>0</v>
      </c>
      <c r="AB172" s="16">
        <v>0</v>
      </c>
      <c r="AC172" s="16">
        <v>0</v>
      </c>
      <c r="AD172" s="16">
        <v>0</v>
      </c>
      <c r="AE172" s="16">
        <v>0</v>
      </c>
      <c r="AF172" s="16">
        <v>350000</v>
      </c>
      <c r="AG172" s="16">
        <v>0</v>
      </c>
      <c r="AH172" s="16">
        <v>100000</v>
      </c>
      <c r="AI172" s="16">
        <v>220000</v>
      </c>
      <c r="AJ172" s="16">
        <v>50000</v>
      </c>
      <c r="AK172" s="16">
        <v>0</v>
      </c>
      <c r="AL172" s="16">
        <v>100000</v>
      </c>
      <c r="AM172" s="16">
        <v>0</v>
      </c>
      <c r="AN172" s="16">
        <v>80000</v>
      </c>
      <c r="AO172" s="16">
        <v>0</v>
      </c>
      <c r="AP172" s="16">
        <v>0</v>
      </c>
      <c r="AQ172" s="16">
        <v>0</v>
      </c>
      <c r="AR172" s="16">
        <v>0</v>
      </c>
      <c r="AS172" s="16">
        <v>0</v>
      </c>
      <c r="AT172" s="16">
        <v>0</v>
      </c>
      <c r="AU172" s="16">
        <v>0</v>
      </c>
      <c r="AV172" s="16">
        <v>5513000</v>
      </c>
      <c r="AW172" s="16">
        <v>0</v>
      </c>
      <c r="AX172" s="16">
        <v>0</v>
      </c>
      <c r="AY172" s="16">
        <v>0</v>
      </c>
      <c r="AZ172" s="16">
        <v>0</v>
      </c>
      <c r="BA172" s="16"/>
      <c r="BB172" s="15">
        <f t="shared" si="116"/>
        <v>2322613</v>
      </c>
      <c r="BC172" s="15">
        <v>-577720</v>
      </c>
      <c r="BD172" s="16">
        <v>1803340</v>
      </c>
      <c r="BE172" s="16">
        <v>0</v>
      </c>
      <c r="BF172" s="16">
        <v>180330</v>
      </c>
      <c r="BG172" s="16">
        <v>0</v>
      </c>
      <c r="BH172" s="16">
        <v>238410</v>
      </c>
      <c r="BI172" s="16">
        <v>248850</v>
      </c>
      <c r="BJ172" s="16">
        <v>110403</v>
      </c>
      <c r="BK172" s="16">
        <v>22500</v>
      </c>
      <c r="BL172" s="16">
        <v>160000</v>
      </c>
      <c r="BM172" s="16">
        <v>50000</v>
      </c>
      <c r="BN172" s="16">
        <v>86500</v>
      </c>
      <c r="BO172" s="16">
        <v>0</v>
      </c>
      <c r="BP172" s="16">
        <v>0</v>
      </c>
      <c r="BQ172" s="16">
        <v>0</v>
      </c>
      <c r="BR172" s="16">
        <v>0</v>
      </c>
      <c r="BS172" s="16">
        <v>0</v>
      </c>
      <c r="BT172" s="16">
        <v>0</v>
      </c>
      <c r="BU172" s="16">
        <v>0</v>
      </c>
      <c r="BV172" s="16">
        <v>0</v>
      </c>
      <c r="BW172" s="16">
        <v>0</v>
      </c>
    </row>
    <row r="173" spans="1:75" ht="18" hidden="1" customHeight="1" outlineLevel="1">
      <c r="B173" s="7">
        <v>2024</v>
      </c>
      <c r="C173" s="8" t="s">
        <v>12</v>
      </c>
      <c r="E173" s="8">
        <v>6867</v>
      </c>
      <c r="J173" s="9"/>
      <c r="Q173" s="5">
        <v>2023</v>
      </c>
      <c r="R173" s="5">
        <v>1</v>
      </c>
      <c r="S173" s="14" t="s">
        <v>54</v>
      </c>
      <c r="T173" s="15">
        <f t="shared" si="114"/>
        <v>5559784</v>
      </c>
      <c r="U173" s="15">
        <f t="shared" si="115"/>
        <v>7204090</v>
      </c>
      <c r="V173" s="16">
        <v>4481000</v>
      </c>
      <c r="W173" s="16">
        <v>1673090</v>
      </c>
      <c r="X173" s="16">
        <v>0</v>
      </c>
      <c r="Y173" s="16">
        <v>0</v>
      </c>
      <c r="Z173" s="16">
        <v>0</v>
      </c>
      <c r="AA173" s="16">
        <v>0</v>
      </c>
      <c r="AB173" s="16">
        <v>0</v>
      </c>
      <c r="AC173" s="16">
        <v>0</v>
      </c>
      <c r="AD173" s="16">
        <v>0</v>
      </c>
      <c r="AE173" s="16">
        <v>0</v>
      </c>
      <c r="AF173" s="16">
        <v>350000</v>
      </c>
      <c r="AG173" s="16">
        <v>0</v>
      </c>
      <c r="AH173" s="16">
        <v>100000</v>
      </c>
      <c r="AI173" s="16">
        <v>220000</v>
      </c>
      <c r="AJ173" s="16">
        <v>200000</v>
      </c>
      <c r="AK173" s="16">
        <v>0</v>
      </c>
      <c r="AL173" s="16">
        <v>100000</v>
      </c>
      <c r="AM173" s="16">
        <v>0</v>
      </c>
      <c r="AN173" s="16">
        <v>80000</v>
      </c>
      <c r="AO173" s="16">
        <v>0</v>
      </c>
      <c r="AP173" s="16">
        <v>0</v>
      </c>
      <c r="AQ173" s="16">
        <v>0</v>
      </c>
      <c r="AR173" s="16">
        <v>0</v>
      </c>
      <c r="AS173" s="16">
        <v>0</v>
      </c>
      <c r="AT173" s="16">
        <v>0</v>
      </c>
      <c r="AU173" s="16">
        <v>0</v>
      </c>
      <c r="AV173" s="16">
        <v>0</v>
      </c>
      <c r="AW173" s="16">
        <v>0</v>
      </c>
      <c r="AX173" s="16">
        <v>0</v>
      </c>
      <c r="AY173" s="16">
        <v>0</v>
      </c>
      <c r="AZ173" s="16">
        <v>0</v>
      </c>
      <c r="BA173" s="16"/>
      <c r="BB173" s="15">
        <f t="shared" si="116"/>
        <v>1644306</v>
      </c>
      <c r="BC173" s="15">
        <v>0</v>
      </c>
      <c r="BD173" s="16">
        <v>565380</v>
      </c>
      <c r="BE173" s="16">
        <v>0</v>
      </c>
      <c r="BF173" s="16">
        <v>56530</v>
      </c>
      <c r="BG173" s="16">
        <v>0</v>
      </c>
      <c r="BH173" s="16">
        <v>238410</v>
      </c>
      <c r="BI173" s="16">
        <v>248850</v>
      </c>
      <c r="BJ173" s="16">
        <v>62136</v>
      </c>
      <c r="BK173" s="16">
        <v>22500</v>
      </c>
      <c r="BL173" s="16">
        <v>160000</v>
      </c>
      <c r="BM173" s="16">
        <v>200000</v>
      </c>
      <c r="BN173" s="16">
        <v>90500</v>
      </c>
      <c r="BO173" s="16">
        <v>0</v>
      </c>
      <c r="BP173" s="16">
        <v>0</v>
      </c>
      <c r="BQ173" s="16">
        <v>0</v>
      </c>
      <c r="BR173" s="16">
        <v>0</v>
      </c>
      <c r="BS173" s="16">
        <v>0</v>
      </c>
      <c r="BT173" s="16">
        <v>0</v>
      </c>
      <c r="BU173" s="16">
        <v>0</v>
      </c>
      <c r="BV173" s="16">
        <v>0</v>
      </c>
      <c r="BW173" s="16">
        <v>0</v>
      </c>
    </row>
    <row r="174" spans="1:75" s="1" customFormat="1" ht="18" customHeight="1" collapsed="1">
      <c r="A174" s="10"/>
      <c r="B174" s="11"/>
      <c r="C174" s="12"/>
      <c r="D174" s="11"/>
      <c r="E174" s="12"/>
      <c r="F174" s="12"/>
      <c r="G174" s="12"/>
      <c r="H174" s="12"/>
      <c r="I174" s="12"/>
      <c r="J174" s="3"/>
      <c r="K174" s="12"/>
      <c r="L174" s="12"/>
      <c r="M174" s="12"/>
      <c r="N174" s="12"/>
      <c r="O174" s="13"/>
      <c r="Q174" s="628" t="s">
        <v>125</v>
      </c>
      <c r="R174" s="628"/>
      <c r="S174" s="628"/>
      <c r="T174" s="23">
        <f t="shared" ref="T174:AZ174" si="120">SUMIF($Q$2:$Q$793,$Q175,T$2:T$793)</f>
        <v>63434454</v>
      </c>
      <c r="U174" s="23">
        <f t="shared" si="120"/>
        <v>78684704</v>
      </c>
      <c r="V174" s="23">
        <f t="shared" si="120"/>
        <v>45162000</v>
      </c>
      <c r="W174" s="23">
        <f t="shared" si="120"/>
        <v>16865010</v>
      </c>
      <c r="X174" s="23">
        <f t="shared" si="120"/>
        <v>0</v>
      </c>
      <c r="Y174" s="23">
        <f t="shared" si="120"/>
        <v>0</v>
      </c>
      <c r="Z174" s="23">
        <f t="shared" si="120"/>
        <v>0</v>
      </c>
      <c r="AA174" s="23">
        <f t="shared" si="120"/>
        <v>0</v>
      </c>
      <c r="AB174" s="23">
        <f t="shared" si="120"/>
        <v>0</v>
      </c>
      <c r="AC174" s="23">
        <f t="shared" si="120"/>
        <v>732990</v>
      </c>
      <c r="AD174" s="23">
        <f t="shared" si="120"/>
        <v>7059704</v>
      </c>
      <c r="AE174" s="23">
        <f t="shared" si="120"/>
        <v>1500000</v>
      </c>
      <c r="AF174" s="23">
        <f t="shared" si="120"/>
        <v>900000</v>
      </c>
      <c r="AG174" s="23">
        <f t="shared" si="120"/>
        <v>0</v>
      </c>
      <c r="AH174" s="23">
        <f t="shared" si="120"/>
        <v>1200000</v>
      </c>
      <c r="AI174" s="23">
        <f t="shared" si="120"/>
        <v>2640000</v>
      </c>
      <c r="AJ174" s="23">
        <f t="shared" si="120"/>
        <v>630000</v>
      </c>
      <c r="AK174" s="23">
        <f t="shared" si="120"/>
        <v>300000</v>
      </c>
      <c r="AL174" s="23">
        <f t="shared" si="120"/>
        <v>600000</v>
      </c>
      <c r="AM174" s="23">
        <f t="shared" si="120"/>
        <v>0</v>
      </c>
      <c r="AN174" s="23">
        <f t="shared" si="120"/>
        <v>840000</v>
      </c>
      <c r="AO174" s="23">
        <f t="shared" si="120"/>
        <v>50000</v>
      </c>
      <c r="AP174" s="23">
        <f t="shared" si="120"/>
        <v>150000</v>
      </c>
      <c r="AQ174" s="23">
        <f t="shared" si="120"/>
        <v>20000</v>
      </c>
      <c r="AR174" s="23">
        <f t="shared" si="120"/>
        <v>0</v>
      </c>
      <c r="AS174" s="23">
        <f t="shared" si="120"/>
        <v>0</v>
      </c>
      <c r="AT174" s="23">
        <f t="shared" si="120"/>
        <v>0</v>
      </c>
      <c r="AU174" s="23">
        <f t="shared" si="120"/>
        <v>35000</v>
      </c>
      <c r="AV174" s="23">
        <f t="shared" si="120"/>
        <v>0</v>
      </c>
      <c r="AW174" s="23">
        <f t="shared" si="120"/>
        <v>0</v>
      </c>
      <c r="AX174" s="23">
        <f t="shared" si="120"/>
        <v>0</v>
      </c>
      <c r="AY174" s="23">
        <f t="shared" si="120"/>
        <v>0</v>
      </c>
      <c r="AZ174" s="23">
        <f t="shared" si="120"/>
        <v>0</v>
      </c>
      <c r="BA174" s="23"/>
      <c r="BB174" s="23">
        <f t="shared" ref="BB174:BW174" si="121">SUMIF($Q$2:$Q$793,$Q175,BB$2:BB$793)</f>
        <v>15250250</v>
      </c>
      <c r="BC174" s="23">
        <f t="shared" si="121"/>
        <v>-573670</v>
      </c>
      <c r="BD174" s="23">
        <f t="shared" si="121"/>
        <v>5508880</v>
      </c>
      <c r="BE174" s="23">
        <f t="shared" si="121"/>
        <v>0</v>
      </c>
      <c r="BF174" s="23">
        <f t="shared" si="121"/>
        <v>550840</v>
      </c>
      <c r="BG174" s="23">
        <f t="shared" si="121"/>
        <v>0</v>
      </c>
      <c r="BH174" s="23">
        <f t="shared" si="121"/>
        <v>2786760</v>
      </c>
      <c r="BI174" s="23">
        <f t="shared" si="121"/>
        <v>2907900</v>
      </c>
      <c r="BJ174" s="23">
        <f t="shared" si="121"/>
        <v>642730</v>
      </c>
      <c r="BK174" s="23">
        <f t="shared" si="121"/>
        <v>226500</v>
      </c>
      <c r="BL174" s="23">
        <f t="shared" si="121"/>
        <v>1680000</v>
      </c>
      <c r="BM174" s="23">
        <f t="shared" si="121"/>
        <v>630000</v>
      </c>
      <c r="BN174" s="23">
        <f t="shared" si="121"/>
        <v>804500</v>
      </c>
      <c r="BO174" s="23">
        <f t="shared" si="121"/>
        <v>80610</v>
      </c>
      <c r="BP174" s="23">
        <f t="shared" si="121"/>
        <v>5200</v>
      </c>
      <c r="BQ174" s="23">
        <f t="shared" si="121"/>
        <v>0</v>
      </c>
      <c r="BR174" s="23">
        <f t="shared" si="121"/>
        <v>0</v>
      </c>
      <c r="BS174" s="23">
        <f t="shared" si="121"/>
        <v>0</v>
      </c>
      <c r="BT174" s="23">
        <f t="shared" si="121"/>
        <v>0</v>
      </c>
      <c r="BU174" s="23">
        <f t="shared" si="121"/>
        <v>0</v>
      </c>
      <c r="BV174" s="23">
        <f t="shared" si="121"/>
        <v>0</v>
      </c>
      <c r="BW174" s="23">
        <f t="shared" si="121"/>
        <v>0</v>
      </c>
    </row>
    <row r="175" spans="1:75" ht="18" hidden="1" customHeight="1" outlineLevel="1">
      <c r="D175" s="7" t="s">
        <v>11</v>
      </c>
      <c r="F175" s="8">
        <v>4717</v>
      </c>
      <c r="G175" s="8">
        <v>5848</v>
      </c>
      <c r="K175" s="8">
        <v>2400</v>
      </c>
      <c r="L175" s="8">
        <f>K175*12</f>
        <v>28800</v>
      </c>
      <c r="M175" s="8">
        <f>L175*1.13</f>
        <v>32543.999999999996</v>
      </c>
      <c r="N175" s="8">
        <v>21014</v>
      </c>
      <c r="O175" s="9">
        <f>N175/M175</f>
        <v>0.64571042281219282</v>
      </c>
      <c r="Q175" s="5">
        <v>2022</v>
      </c>
      <c r="R175" s="5">
        <v>12</v>
      </c>
      <c r="S175" s="14" t="s">
        <v>54</v>
      </c>
      <c r="T175" s="15">
        <f t="shared" ref="T175:T187" si="122">IF(U175=U175-BB175,0,U175-BB175)</f>
        <v>4879445</v>
      </c>
      <c r="U175" s="15">
        <f t="shared" ref="U175:U187" si="123">SUM(V175:BA175)</f>
        <v>6125000</v>
      </c>
      <c r="V175" s="16">
        <v>3808000</v>
      </c>
      <c r="W175" s="16">
        <v>1422000</v>
      </c>
      <c r="X175" s="16">
        <v>0</v>
      </c>
      <c r="Y175" s="16">
        <v>0</v>
      </c>
      <c r="Z175" s="16">
        <v>0</v>
      </c>
      <c r="AA175" s="16">
        <v>0</v>
      </c>
      <c r="AB175" s="16">
        <v>0</v>
      </c>
      <c r="AC175" s="16">
        <v>0</v>
      </c>
      <c r="AD175" s="16"/>
      <c r="AE175" s="16"/>
      <c r="AF175" s="16">
        <v>350000</v>
      </c>
      <c r="AG175" s="16">
        <v>0</v>
      </c>
      <c r="AH175" s="16">
        <v>100000</v>
      </c>
      <c r="AI175" s="16">
        <v>220000</v>
      </c>
      <c r="AJ175" s="16">
        <v>50000</v>
      </c>
      <c r="AK175" s="16">
        <v>0</v>
      </c>
      <c r="AL175" s="16">
        <v>50000</v>
      </c>
      <c r="AM175" s="16">
        <v>0</v>
      </c>
      <c r="AN175" s="16">
        <v>70000</v>
      </c>
      <c r="AO175" s="16">
        <v>0</v>
      </c>
      <c r="AP175" s="16">
        <v>0</v>
      </c>
      <c r="AQ175" s="16">
        <v>20000</v>
      </c>
      <c r="AR175" s="16">
        <v>0</v>
      </c>
      <c r="AS175" s="16">
        <v>0</v>
      </c>
      <c r="AT175" s="16">
        <v>0</v>
      </c>
      <c r="AU175" s="16">
        <v>35000</v>
      </c>
      <c r="AV175" s="16">
        <v>0</v>
      </c>
      <c r="AW175" s="16">
        <v>0</v>
      </c>
      <c r="AX175" s="16">
        <v>0</v>
      </c>
      <c r="AY175" s="16">
        <v>0</v>
      </c>
      <c r="AZ175" s="16">
        <v>0</v>
      </c>
      <c r="BA175" s="16"/>
      <c r="BB175" s="15">
        <f t="shared" ref="BB175:BB187" si="124">SUM(BC175:BW175)</f>
        <v>1245555</v>
      </c>
      <c r="BC175" s="15">
        <v>0</v>
      </c>
      <c r="BD175" s="16">
        <v>388510</v>
      </c>
      <c r="BE175" s="16">
        <v>0</v>
      </c>
      <c r="BF175" s="16">
        <v>38850</v>
      </c>
      <c r="BG175" s="16">
        <v>0</v>
      </c>
      <c r="BH175" s="16">
        <v>233920</v>
      </c>
      <c r="BI175" s="16">
        <v>248850</v>
      </c>
      <c r="BJ175" s="16">
        <v>53325</v>
      </c>
      <c r="BK175" s="16">
        <v>19100</v>
      </c>
      <c r="BL175" s="16">
        <v>140000</v>
      </c>
      <c r="BM175" s="16">
        <v>50000</v>
      </c>
      <c r="BN175" s="16">
        <v>73000</v>
      </c>
      <c r="BO175" s="16">
        <v>0</v>
      </c>
      <c r="BP175" s="16">
        <v>0</v>
      </c>
      <c r="BQ175" s="16">
        <v>0</v>
      </c>
      <c r="BR175" s="16">
        <v>0</v>
      </c>
      <c r="BS175" s="16">
        <v>0</v>
      </c>
      <c r="BT175" s="16">
        <v>0</v>
      </c>
      <c r="BU175" s="16">
        <v>0</v>
      </c>
      <c r="BV175" s="16">
        <v>0</v>
      </c>
      <c r="BW175" s="16">
        <v>0</v>
      </c>
    </row>
    <row r="176" spans="1:75" ht="18" hidden="1" customHeight="1" outlineLevel="1">
      <c r="D176" s="7" t="s">
        <v>11</v>
      </c>
      <c r="F176" s="8">
        <v>4717</v>
      </c>
      <c r="G176" s="8">
        <v>5848</v>
      </c>
      <c r="K176" s="8">
        <v>2400</v>
      </c>
      <c r="L176" s="8">
        <f>K176*12</f>
        <v>28800</v>
      </c>
      <c r="M176" s="8">
        <f>L176*1.13</f>
        <v>32543.999999999996</v>
      </c>
      <c r="N176" s="8">
        <v>21014</v>
      </c>
      <c r="O176" s="9">
        <f>N176/M176</f>
        <v>0.64571042281219282</v>
      </c>
      <c r="Q176" s="5">
        <v>2022</v>
      </c>
      <c r="R176" s="5">
        <v>11</v>
      </c>
      <c r="S176" s="14" t="s">
        <v>54</v>
      </c>
      <c r="T176" s="15">
        <f t="shared" si="122"/>
        <v>4663510</v>
      </c>
      <c r="U176" s="15">
        <f t="shared" si="123"/>
        <v>5720000</v>
      </c>
      <c r="V176" s="16">
        <v>3808000</v>
      </c>
      <c r="W176" s="16">
        <v>1422000</v>
      </c>
      <c r="X176" s="16">
        <v>0</v>
      </c>
      <c r="Y176" s="16">
        <v>0</v>
      </c>
      <c r="Z176" s="16">
        <v>0</v>
      </c>
      <c r="AA176" s="16">
        <v>0</v>
      </c>
      <c r="AB176" s="16">
        <v>0</v>
      </c>
      <c r="AC176" s="16">
        <v>0</v>
      </c>
      <c r="AD176" s="16">
        <v>0</v>
      </c>
      <c r="AE176" s="16">
        <v>0</v>
      </c>
      <c r="AF176" s="16">
        <v>50000</v>
      </c>
      <c r="AG176" s="16">
        <v>0</v>
      </c>
      <c r="AH176" s="16">
        <v>100000</v>
      </c>
      <c r="AI176" s="16">
        <v>220000</v>
      </c>
      <c r="AJ176" s="16">
        <v>0</v>
      </c>
      <c r="AK176" s="16">
        <v>0</v>
      </c>
      <c r="AL176" s="16">
        <v>50000</v>
      </c>
      <c r="AM176" s="16">
        <v>0</v>
      </c>
      <c r="AN176" s="16">
        <v>70000</v>
      </c>
      <c r="AO176" s="16">
        <v>0</v>
      </c>
      <c r="AP176" s="16">
        <v>0</v>
      </c>
      <c r="AQ176" s="16">
        <v>0</v>
      </c>
      <c r="AR176" s="16">
        <v>0</v>
      </c>
      <c r="AS176" s="16">
        <v>0</v>
      </c>
      <c r="AT176" s="16">
        <v>0</v>
      </c>
      <c r="AU176" s="16">
        <v>0</v>
      </c>
      <c r="AV176" s="16">
        <v>0</v>
      </c>
      <c r="AW176" s="16">
        <v>0</v>
      </c>
      <c r="AX176" s="16">
        <v>0</v>
      </c>
      <c r="AY176" s="16">
        <v>0</v>
      </c>
      <c r="AZ176" s="16">
        <v>0</v>
      </c>
      <c r="BA176" s="16"/>
      <c r="BB176" s="15">
        <f t="shared" si="124"/>
        <v>1056490</v>
      </c>
      <c r="BC176" s="15">
        <v>0</v>
      </c>
      <c r="BD176" s="16">
        <v>315400</v>
      </c>
      <c r="BE176" s="16">
        <v>0</v>
      </c>
      <c r="BF176" s="16">
        <v>31540</v>
      </c>
      <c r="BG176" s="16">
        <v>0</v>
      </c>
      <c r="BH176" s="16">
        <v>233920</v>
      </c>
      <c r="BI176" s="16">
        <v>248850</v>
      </c>
      <c r="BJ176" s="16">
        <v>49680</v>
      </c>
      <c r="BK176" s="16">
        <v>19100</v>
      </c>
      <c r="BL176" s="16">
        <v>140000</v>
      </c>
      <c r="BM176" s="16">
        <v>0</v>
      </c>
      <c r="BN176" s="16">
        <v>18000</v>
      </c>
      <c r="BO176" s="16">
        <v>0</v>
      </c>
      <c r="BP176" s="16">
        <v>0</v>
      </c>
      <c r="BQ176" s="16">
        <v>0</v>
      </c>
      <c r="BR176" s="16">
        <v>0</v>
      </c>
      <c r="BS176" s="16">
        <v>0</v>
      </c>
      <c r="BT176" s="16">
        <v>0</v>
      </c>
      <c r="BU176" s="16">
        <v>0</v>
      </c>
      <c r="BV176" s="16">
        <v>0</v>
      </c>
      <c r="BW176" s="16">
        <v>0</v>
      </c>
    </row>
    <row r="177" spans="1:75" ht="18" hidden="1" customHeight="1" outlineLevel="1">
      <c r="D177" s="7" t="s">
        <v>11</v>
      </c>
      <c r="F177" s="8">
        <v>4717</v>
      </c>
      <c r="G177" s="8">
        <v>5848</v>
      </c>
      <c r="K177" s="8">
        <v>2400</v>
      </c>
      <c r="L177" s="8">
        <f t="shared" ref="L177:L180" si="125">K177*12</f>
        <v>28800</v>
      </c>
      <c r="M177" s="8">
        <f t="shared" ref="M177:M180" si="126">L177*1.13</f>
        <v>32543.999999999996</v>
      </c>
      <c r="N177" s="8">
        <v>21014</v>
      </c>
      <c r="O177" s="9">
        <f t="shared" ref="O177:O180" si="127">N177/M177</f>
        <v>0.64571042281219282</v>
      </c>
      <c r="Q177" s="5">
        <v>2022</v>
      </c>
      <c r="R177" s="5">
        <v>10</v>
      </c>
      <c r="S177" s="14" t="s">
        <v>54</v>
      </c>
      <c r="T177" s="15">
        <f t="shared" si="122"/>
        <v>4598510</v>
      </c>
      <c r="U177" s="15">
        <f t="shared" si="123"/>
        <v>5720000</v>
      </c>
      <c r="V177" s="16">
        <v>3808000</v>
      </c>
      <c r="W177" s="16">
        <v>1422000</v>
      </c>
      <c r="X177" s="16">
        <v>0</v>
      </c>
      <c r="Y177" s="16">
        <v>0</v>
      </c>
      <c r="Z177" s="16">
        <v>0</v>
      </c>
      <c r="AA177" s="16">
        <v>0</v>
      </c>
      <c r="AB177" s="16">
        <v>0</v>
      </c>
      <c r="AC177" s="16">
        <v>0</v>
      </c>
      <c r="AD177" s="16">
        <v>0</v>
      </c>
      <c r="AE177" s="16">
        <v>0</v>
      </c>
      <c r="AF177" s="16">
        <v>50000</v>
      </c>
      <c r="AG177" s="16">
        <v>0</v>
      </c>
      <c r="AH177" s="16">
        <v>100000</v>
      </c>
      <c r="AI177" s="16">
        <v>220000</v>
      </c>
      <c r="AJ177" s="16">
        <v>0</v>
      </c>
      <c r="AK177" s="16">
        <v>0</v>
      </c>
      <c r="AL177" s="16">
        <v>50000</v>
      </c>
      <c r="AM177" s="16">
        <v>0</v>
      </c>
      <c r="AN177" s="16">
        <v>70000</v>
      </c>
      <c r="AO177" s="16">
        <v>0</v>
      </c>
      <c r="AP177" s="16">
        <v>0</v>
      </c>
      <c r="AQ177" s="16">
        <v>0</v>
      </c>
      <c r="AR177" s="16">
        <v>0</v>
      </c>
      <c r="AS177" s="16">
        <v>0</v>
      </c>
      <c r="AT177" s="16">
        <v>0</v>
      </c>
      <c r="AU177" s="16">
        <v>0</v>
      </c>
      <c r="AV177" s="16">
        <v>0</v>
      </c>
      <c r="AW177" s="16">
        <v>0</v>
      </c>
      <c r="AX177" s="16">
        <v>0</v>
      </c>
      <c r="AY177" s="16">
        <v>0</v>
      </c>
      <c r="AZ177" s="16">
        <v>0</v>
      </c>
      <c r="BA177" s="16"/>
      <c r="BB177" s="15">
        <f t="shared" si="124"/>
        <v>1121490</v>
      </c>
      <c r="BC177" s="15">
        <v>0</v>
      </c>
      <c r="BD177" s="16">
        <v>315400</v>
      </c>
      <c r="BE177" s="16">
        <v>0</v>
      </c>
      <c r="BF177" s="16">
        <v>31540</v>
      </c>
      <c r="BG177" s="16">
        <v>0</v>
      </c>
      <c r="BH177" s="16">
        <v>233920</v>
      </c>
      <c r="BI177" s="16">
        <v>248850</v>
      </c>
      <c r="BJ177" s="16">
        <v>49680</v>
      </c>
      <c r="BK177" s="16">
        <v>19100</v>
      </c>
      <c r="BL177" s="16">
        <v>140000</v>
      </c>
      <c r="BM177" s="16">
        <v>0</v>
      </c>
      <c r="BN177" s="16">
        <v>83000</v>
      </c>
      <c r="BO177" s="16">
        <v>0</v>
      </c>
      <c r="BP177" s="16">
        <v>0</v>
      </c>
      <c r="BQ177" s="16">
        <v>0</v>
      </c>
      <c r="BR177" s="16">
        <v>0</v>
      </c>
      <c r="BS177" s="16">
        <v>0</v>
      </c>
      <c r="BT177" s="16">
        <v>0</v>
      </c>
      <c r="BU177" s="16">
        <v>0</v>
      </c>
      <c r="BV177" s="16">
        <v>0</v>
      </c>
      <c r="BW177" s="16">
        <v>0</v>
      </c>
    </row>
    <row r="178" spans="1:75" ht="18" hidden="1" customHeight="1" outlineLevel="1">
      <c r="D178" s="7" t="s">
        <v>12</v>
      </c>
      <c r="F178" s="8">
        <v>6867</v>
      </c>
      <c r="G178" s="8">
        <v>6867</v>
      </c>
      <c r="K178" s="8">
        <v>2400</v>
      </c>
      <c r="L178" s="8">
        <f t="shared" si="125"/>
        <v>28800</v>
      </c>
      <c r="M178" s="8">
        <f t="shared" si="126"/>
        <v>32543.999999999996</v>
      </c>
      <c r="N178" s="8">
        <v>21014</v>
      </c>
      <c r="O178" s="9">
        <f t="shared" si="127"/>
        <v>0.64571042281219282</v>
      </c>
      <c r="Q178" s="5">
        <v>2022</v>
      </c>
      <c r="R178" s="5">
        <v>9</v>
      </c>
      <c r="S178" s="14" t="s">
        <v>54</v>
      </c>
      <c r="T178" s="15">
        <f t="shared" si="122"/>
        <v>4617660</v>
      </c>
      <c r="U178" s="15">
        <f t="shared" si="123"/>
        <v>5920000</v>
      </c>
      <c r="V178" s="16">
        <v>3808000</v>
      </c>
      <c r="W178" s="16">
        <v>1422000</v>
      </c>
      <c r="X178" s="16">
        <v>0</v>
      </c>
      <c r="Y178" s="16">
        <v>0</v>
      </c>
      <c r="Z178" s="16">
        <v>0</v>
      </c>
      <c r="AA178" s="16">
        <v>0</v>
      </c>
      <c r="AB178" s="16">
        <v>0</v>
      </c>
      <c r="AC178" s="16">
        <v>0</v>
      </c>
      <c r="AD178" s="16">
        <v>0</v>
      </c>
      <c r="AE178" s="16">
        <v>0</v>
      </c>
      <c r="AF178" s="16">
        <v>50000</v>
      </c>
      <c r="AG178" s="16">
        <v>0</v>
      </c>
      <c r="AH178" s="16">
        <v>100000</v>
      </c>
      <c r="AI178" s="16">
        <v>220000</v>
      </c>
      <c r="AJ178" s="16">
        <v>200000</v>
      </c>
      <c r="AK178" s="16">
        <v>0</v>
      </c>
      <c r="AL178" s="16">
        <v>50000</v>
      </c>
      <c r="AM178" s="16">
        <v>0</v>
      </c>
      <c r="AN178" s="16">
        <v>70000</v>
      </c>
      <c r="AO178" s="16">
        <v>0</v>
      </c>
      <c r="AP178" s="16">
        <v>0</v>
      </c>
      <c r="AQ178" s="16">
        <v>0</v>
      </c>
      <c r="AR178" s="16">
        <v>0</v>
      </c>
      <c r="AS178" s="16">
        <v>0</v>
      </c>
      <c r="AT178" s="16">
        <v>0</v>
      </c>
      <c r="AU178" s="16">
        <v>0</v>
      </c>
      <c r="AV178" s="16">
        <v>0</v>
      </c>
      <c r="AW178" s="16">
        <v>0</v>
      </c>
      <c r="AX178" s="16">
        <v>0</v>
      </c>
      <c r="AY178" s="16">
        <v>0</v>
      </c>
      <c r="AZ178" s="16">
        <v>0</v>
      </c>
      <c r="BA178" s="16"/>
      <c r="BB178" s="15">
        <f t="shared" si="124"/>
        <v>1302340</v>
      </c>
      <c r="BC178" s="15">
        <v>0</v>
      </c>
      <c r="BD178" s="16">
        <v>337720</v>
      </c>
      <c r="BE178" s="16">
        <v>0</v>
      </c>
      <c r="BF178" s="16">
        <v>33770</v>
      </c>
      <c r="BG178" s="16">
        <v>0</v>
      </c>
      <c r="BH178" s="16">
        <v>233920</v>
      </c>
      <c r="BI178" s="16">
        <v>248850</v>
      </c>
      <c r="BJ178" s="16">
        <v>51480</v>
      </c>
      <c r="BK178" s="16">
        <v>19100</v>
      </c>
      <c r="BL178" s="16">
        <v>140000</v>
      </c>
      <c r="BM178" s="16">
        <v>200000</v>
      </c>
      <c r="BN178" s="16">
        <v>37500</v>
      </c>
      <c r="BO178" s="16">
        <v>0</v>
      </c>
      <c r="BP178" s="16">
        <v>0</v>
      </c>
      <c r="BQ178" s="16">
        <v>0</v>
      </c>
      <c r="BR178" s="16">
        <v>0</v>
      </c>
      <c r="BS178" s="16">
        <v>0</v>
      </c>
      <c r="BT178" s="16">
        <v>0</v>
      </c>
      <c r="BU178" s="16">
        <v>0</v>
      </c>
      <c r="BV178" s="16">
        <v>0</v>
      </c>
      <c r="BW178" s="16">
        <v>0</v>
      </c>
    </row>
    <row r="179" spans="1:75" ht="18" hidden="1" customHeight="1" outlineLevel="1">
      <c r="D179" s="7" t="s">
        <v>13</v>
      </c>
      <c r="F179" s="8">
        <v>7988</v>
      </c>
      <c r="G179" s="8" t="s">
        <v>2</v>
      </c>
      <c r="H179" s="8" t="s">
        <v>17</v>
      </c>
      <c r="I179" s="8">
        <v>171</v>
      </c>
      <c r="K179" s="8">
        <v>2400</v>
      </c>
      <c r="L179" s="8">
        <f t="shared" si="125"/>
        <v>28800</v>
      </c>
      <c r="M179" s="8">
        <f t="shared" si="126"/>
        <v>32543.999999999996</v>
      </c>
      <c r="N179" s="8">
        <v>21014</v>
      </c>
      <c r="O179" s="9">
        <f t="shared" si="127"/>
        <v>0.64571042281219282</v>
      </c>
      <c r="Q179" s="5">
        <v>2022</v>
      </c>
      <c r="R179" s="5">
        <v>8</v>
      </c>
      <c r="S179" s="14" t="s">
        <v>54</v>
      </c>
      <c r="T179" s="15">
        <f t="shared" si="122"/>
        <v>4554430</v>
      </c>
      <c r="U179" s="15">
        <f t="shared" si="123"/>
        <v>5720000</v>
      </c>
      <c r="V179" s="16">
        <v>3808000</v>
      </c>
      <c r="W179" s="16">
        <v>1422000</v>
      </c>
      <c r="X179" s="16">
        <v>0</v>
      </c>
      <c r="Y179" s="16">
        <v>0</v>
      </c>
      <c r="Z179" s="16">
        <v>0</v>
      </c>
      <c r="AA179" s="16">
        <v>0</v>
      </c>
      <c r="AB179" s="16">
        <v>0</v>
      </c>
      <c r="AC179" s="16">
        <v>0</v>
      </c>
      <c r="AD179" s="16">
        <v>0</v>
      </c>
      <c r="AE179" s="16">
        <v>0</v>
      </c>
      <c r="AF179" s="16">
        <v>50000</v>
      </c>
      <c r="AG179" s="16">
        <v>0</v>
      </c>
      <c r="AH179" s="16">
        <v>100000</v>
      </c>
      <c r="AI179" s="16">
        <v>220000</v>
      </c>
      <c r="AJ179" s="16">
        <v>0</v>
      </c>
      <c r="AK179" s="16">
        <v>0</v>
      </c>
      <c r="AL179" s="16">
        <v>50000</v>
      </c>
      <c r="AM179" s="16">
        <v>0</v>
      </c>
      <c r="AN179" s="16">
        <v>70000</v>
      </c>
      <c r="AO179" s="16">
        <v>0</v>
      </c>
      <c r="AP179" s="16">
        <v>0</v>
      </c>
      <c r="AQ179" s="16">
        <v>0</v>
      </c>
      <c r="AR179" s="16">
        <v>0</v>
      </c>
      <c r="AS179" s="16">
        <v>0</v>
      </c>
      <c r="AT179" s="16">
        <v>0</v>
      </c>
      <c r="AU179" s="16">
        <v>0</v>
      </c>
      <c r="AV179" s="16">
        <v>0</v>
      </c>
      <c r="AW179" s="16">
        <v>0</v>
      </c>
      <c r="AX179" s="16">
        <v>0</v>
      </c>
      <c r="AY179" s="16">
        <v>0</v>
      </c>
      <c r="AZ179" s="16">
        <v>0</v>
      </c>
      <c r="BA179" s="16"/>
      <c r="BB179" s="15">
        <f t="shared" si="124"/>
        <v>1165570</v>
      </c>
      <c r="BC179" s="15">
        <v>0</v>
      </c>
      <c r="BD179" s="16">
        <v>315400</v>
      </c>
      <c r="BE179" s="16">
        <v>0</v>
      </c>
      <c r="BF179" s="16">
        <v>31540</v>
      </c>
      <c r="BG179" s="16">
        <v>0</v>
      </c>
      <c r="BH179" s="16">
        <v>233920</v>
      </c>
      <c r="BI179" s="16">
        <v>248850</v>
      </c>
      <c r="BJ179" s="16">
        <v>49680</v>
      </c>
      <c r="BK179" s="16">
        <v>19100</v>
      </c>
      <c r="BL179" s="16">
        <v>140000</v>
      </c>
      <c r="BM179" s="16">
        <v>0</v>
      </c>
      <c r="BN179" s="16">
        <v>137500</v>
      </c>
      <c r="BO179" s="16">
        <v>0</v>
      </c>
      <c r="BP179" s="16">
        <v>-10420</v>
      </c>
      <c r="BQ179" s="16">
        <v>0</v>
      </c>
      <c r="BR179" s="16">
        <v>0</v>
      </c>
      <c r="BS179" s="16">
        <v>0</v>
      </c>
      <c r="BT179" s="16">
        <v>0</v>
      </c>
      <c r="BU179" s="16">
        <v>0</v>
      </c>
      <c r="BV179" s="16">
        <v>0</v>
      </c>
      <c r="BW179" s="16">
        <v>0</v>
      </c>
    </row>
    <row r="180" spans="1:75" ht="18" hidden="1" customHeight="1" outlineLevel="1">
      <c r="D180" s="7" t="s">
        <v>13</v>
      </c>
      <c r="F180" s="8">
        <v>7988</v>
      </c>
      <c r="G180" s="8" t="s">
        <v>2</v>
      </c>
      <c r="H180" s="8" t="s">
        <v>17</v>
      </c>
      <c r="I180" s="8">
        <v>171</v>
      </c>
      <c r="K180" s="8">
        <v>2400</v>
      </c>
      <c r="L180" s="8">
        <f t="shared" si="125"/>
        <v>28800</v>
      </c>
      <c r="M180" s="8">
        <f t="shared" si="126"/>
        <v>32543.999999999996</v>
      </c>
      <c r="N180" s="8">
        <v>21014</v>
      </c>
      <c r="O180" s="9">
        <f t="shared" si="127"/>
        <v>0.64571042281219282</v>
      </c>
      <c r="Q180" s="5">
        <v>2022</v>
      </c>
      <c r="R180" s="5">
        <v>7</v>
      </c>
      <c r="S180" s="14" t="s">
        <v>54</v>
      </c>
      <c r="T180" s="15">
        <f t="shared" si="122"/>
        <v>4829700</v>
      </c>
      <c r="U180" s="15">
        <f t="shared" si="123"/>
        <v>6050000</v>
      </c>
      <c r="V180" s="16">
        <v>3808000</v>
      </c>
      <c r="W180" s="16">
        <v>1422000</v>
      </c>
      <c r="X180" s="16">
        <v>0</v>
      </c>
      <c r="Y180" s="16">
        <v>0</v>
      </c>
      <c r="Z180" s="16">
        <v>0</v>
      </c>
      <c r="AA180" s="16">
        <v>0</v>
      </c>
      <c r="AB180" s="16">
        <v>0</v>
      </c>
      <c r="AC180" s="16">
        <v>0</v>
      </c>
      <c r="AD180" s="16">
        <v>0</v>
      </c>
      <c r="AE180" s="16">
        <v>0</v>
      </c>
      <c r="AF180" s="16">
        <v>50000</v>
      </c>
      <c r="AG180" s="16">
        <v>0</v>
      </c>
      <c r="AH180" s="16">
        <v>100000</v>
      </c>
      <c r="AI180" s="16">
        <v>220000</v>
      </c>
      <c r="AJ180" s="16">
        <v>30000</v>
      </c>
      <c r="AK180" s="16">
        <v>300000</v>
      </c>
      <c r="AL180" s="16">
        <v>50000</v>
      </c>
      <c r="AM180" s="16">
        <v>0</v>
      </c>
      <c r="AN180" s="16">
        <v>70000</v>
      </c>
      <c r="AO180" s="16">
        <v>0</v>
      </c>
      <c r="AP180" s="16">
        <v>0</v>
      </c>
      <c r="AQ180" s="16">
        <v>0</v>
      </c>
      <c r="AR180" s="16">
        <v>0</v>
      </c>
      <c r="AS180" s="16">
        <v>0</v>
      </c>
      <c r="AT180" s="16">
        <v>0</v>
      </c>
      <c r="AU180" s="16">
        <v>0</v>
      </c>
      <c r="AV180" s="16">
        <v>0</v>
      </c>
      <c r="AW180" s="16">
        <v>0</v>
      </c>
      <c r="AX180" s="16">
        <v>0</v>
      </c>
      <c r="AY180" s="16">
        <v>0</v>
      </c>
      <c r="AZ180" s="16">
        <v>0</v>
      </c>
      <c r="BA180" s="16"/>
      <c r="BB180" s="15">
        <f t="shared" si="124"/>
        <v>1220300</v>
      </c>
      <c r="BC180" s="15">
        <v>0</v>
      </c>
      <c r="BD180" s="16">
        <v>372080</v>
      </c>
      <c r="BE180" s="16">
        <v>0</v>
      </c>
      <c r="BF180" s="16">
        <v>37200</v>
      </c>
      <c r="BG180" s="16">
        <v>0</v>
      </c>
      <c r="BH180" s="16">
        <v>233920</v>
      </c>
      <c r="BI180" s="16">
        <v>248850</v>
      </c>
      <c r="BJ180" s="16">
        <v>52650</v>
      </c>
      <c r="BK180" s="16">
        <v>19100</v>
      </c>
      <c r="BL180" s="16">
        <v>140000</v>
      </c>
      <c r="BM180" s="16">
        <v>30000</v>
      </c>
      <c r="BN180" s="16">
        <v>86500</v>
      </c>
      <c r="BO180" s="16">
        <v>0</v>
      </c>
      <c r="BP180" s="16">
        <v>0</v>
      </c>
      <c r="BQ180" s="16">
        <v>0</v>
      </c>
      <c r="BR180" s="16">
        <v>0</v>
      </c>
      <c r="BS180" s="16">
        <v>0</v>
      </c>
      <c r="BT180" s="16">
        <v>0</v>
      </c>
      <c r="BU180" s="16">
        <v>0</v>
      </c>
      <c r="BV180" s="16">
        <v>0</v>
      </c>
      <c r="BW180" s="16">
        <v>0</v>
      </c>
    </row>
    <row r="181" spans="1:75" ht="18" hidden="1" customHeight="1" outlineLevel="1">
      <c r="H181" s="8" t="s">
        <v>18</v>
      </c>
      <c r="I181" s="8">
        <v>122</v>
      </c>
      <c r="J181" s="9"/>
      <c r="Q181" s="5">
        <v>2022</v>
      </c>
      <c r="R181" s="5">
        <v>6</v>
      </c>
      <c r="S181" s="14" t="s">
        <v>54</v>
      </c>
      <c r="T181" s="15">
        <f t="shared" si="122"/>
        <v>4619080</v>
      </c>
      <c r="U181" s="15">
        <f t="shared" si="123"/>
        <v>5720000</v>
      </c>
      <c r="V181" s="16">
        <v>3808000</v>
      </c>
      <c r="W181" s="16">
        <v>1422000</v>
      </c>
      <c r="X181" s="16">
        <v>0</v>
      </c>
      <c r="Y181" s="16">
        <v>0</v>
      </c>
      <c r="Z181" s="16">
        <v>0</v>
      </c>
      <c r="AA181" s="16">
        <v>0</v>
      </c>
      <c r="AB181" s="16">
        <v>0</v>
      </c>
      <c r="AC181" s="16">
        <v>0</v>
      </c>
      <c r="AD181" s="16">
        <v>0</v>
      </c>
      <c r="AE181" s="16">
        <v>0</v>
      </c>
      <c r="AF181" s="16">
        <v>50000</v>
      </c>
      <c r="AG181" s="16">
        <v>0</v>
      </c>
      <c r="AH181" s="16">
        <v>100000</v>
      </c>
      <c r="AI181" s="16">
        <v>220000</v>
      </c>
      <c r="AJ181" s="16">
        <v>0</v>
      </c>
      <c r="AK181" s="16">
        <v>0</v>
      </c>
      <c r="AL181" s="16">
        <v>50000</v>
      </c>
      <c r="AM181" s="16">
        <v>0</v>
      </c>
      <c r="AN181" s="16">
        <v>70000</v>
      </c>
      <c r="AO181" s="16">
        <v>0</v>
      </c>
      <c r="AP181" s="16">
        <v>0</v>
      </c>
      <c r="AQ181" s="16">
        <v>0</v>
      </c>
      <c r="AR181" s="16">
        <v>0</v>
      </c>
      <c r="AS181" s="16">
        <v>0</v>
      </c>
      <c r="AT181" s="16">
        <v>0</v>
      </c>
      <c r="AU181" s="16">
        <v>0</v>
      </c>
      <c r="AV181" s="16">
        <v>0</v>
      </c>
      <c r="AW181" s="16">
        <v>0</v>
      </c>
      <c r="AX181" s="16">
        <v>0</v>
      </c>
      <c r="AY181" s="16">
        <v>0</v>
      </c>
      <c r="AZ181" s="16">
        <v>0</v>
      </c>
      <c r="BA181" s="16"/>
      <c r="BB181" s="15">
        <f t="shared" si="124"/>
        <v>1100920</v>
      </c>
      <c r="BC181" s="15">
        <v>0</v>
      </c>
      <c r="BD181" s="16">
        <v>315400</v>
      </c>
      <c r="BE181" s="16">
        <v>0</v>
      </c>
      <c r="BF181" s="16">
        <v>31540</v>
      </c>
      <c r="BG181" s="16">
        <v>0</v>
      </c>
      <c r="BH181" s="16">
        <v>233920</v>
      </c>
      <c r="BI181" s="16">
        <v>235800</v>
      </c>
      <c r="BJ181" s="16">
        <v>44160</v>
      </c>
      <c r="BK181" s="16">
        <v>19100</v>
      </c>
      <c r="BL181" s="16">
        <v>140000</v>
      </c>
      <c r="BM181" s="16">
        <v>0</v>
      </c>
      <c r="BN181" s="16">
        <v>81000</v>
      </c>
      <c r="BO181" s="16">
        <v>0</v>
      </c>
      <c r="BP181" s="16">
        <v>0</v>
      </c>
      <c r="BQ181" s="16">
        <v>0</v>
      </c>
      <c r="BR181" s="16">
        <v>0</v>
      </c>
      <c r="BS181" s="16">
        <v>0</v>
      </c>
      <c r="BT181" s="16">
        <v>0</v>
      </c>
      <c r="BU181" s="16">
        <v>0</v>
      </c>
      <c r="BV181" s="16">
        <v>0</v>
      </c>
      <c r="BW181" s="16">
        <v>0</v>
      </c>
    </row>
    <row r="182" spans="1:75" ht="18" hidden="1" customHeight="1" outlineLevel="1">
      <c r="J182" s="9"/>
      <c r="Q182" s="5">
        <v>2022</v>
      </c>
      <c r="R182" s="5">
        <v>5</v>
      </c>
      <c r="S182" s="14" t="s">
        <v>54</v>
      </c>
      <c r="T182" s="15">
        <f t="shared" si="122"/>
        <v>4607930</v>
      </c>
      <c r="U182" s="15">
        <f t="shared" si="123"/>
        <v>5920000</v>
      </c>
      <c r="V182" s="16">
        <v>3808000</v>
      </c>
      <c r="W182" s="16">
        <v>1422000</v>
      </c>
      <c r="X182" s="16">
        <v>0</v>
      </c>
      <c r="Y182" s="16">
        <v>0</v>
      </c>
      <c r="Z182" s="16">
        <v>0</v>
      </c>
      <c r="AA182" s="16">
        <v>0</v>
      </c>
      <c r="AB182" s="16">
        <v>0</v>
      </c>
      <c r="AC182" s="16">
        <v>0</v>
      </c>
      <c r="AD182" s="16">
        <v>0</v>
      </c>
      <c r="AE182" s="16">
        <v>0</v>
      </c>
      <c r="AF182" s="16">
        <v>50000</v>
      </c>
      <c r="AG182" s="16">
        <v>0</v>
      </c>
      <c r="AH182" s="16">
        <v>100000</v>
      </c>
      <c r="AI182" s="16">
        <v>220000</v>
      </c>
      <c r="AJ182" s="16">
        <v>200000</v>
      </c>
      <c r="AK182" s="16">
        <v>0</v>
      </c>
      <c r="AL182" s="16">
        <v>50000</v>
      </c>
      <c r="AM182" s="16">
        <v>0</v>
      </c>
      <c r="AN182" s="16">
        <v>70000</v>
      </c>
      <c r="AO182" s="16">
        <v>0</v>
      </c>
      <c r="AP182" s="16">
        <v>0</v>
      </c>
      <c r="AQ182" s="16">
        <v>0</v>
      </c>
      <c r="AR182" s="16">
        <v>0</v>
      </c>
      <c r="AS182" s="16">
        <v>0</v>
      </c>
      <c r="AT182" s="16">
        <v>0</v>
      </c>
      <c r="AU182" s="16">
        <v>0</v>
      </c>
      <c r="AV182" s="16">
        <v>0</v>
      </c>
      <c r="AW182" s="16">
        <v>0</v>
      </c>
      <c r="AX182" s="16">
        <v>0</v>
      </c>
      <c r="AY182" s="16">
        <v>0</v>
      </c>
      <c r="AZ182" s="16">
        <v>0</v>
      </c>
      <c r="BA182" s="16"/>
      <c r="BB182" s="15">
        <f t="shared" si="124"/>
        <v>1312070</v>
      </c>
      <c r="BC182" s="15">
        <v>0</v>
      </c>
      <c r="BD182" s="16">
        <v>337720</v>
      </c>
      <c r="BE182" s="16">
        <v>0</v>
      </c>
      <c r="BF182" s="16">
        <v>33770</v>
      </c>
      <c r="BG182" s="16">
        <v>0</v>
      </c>
      <c r="BH182" s="16">
        <v>233920</v>
      </c>
      <c r="BI182" s="16">
        <v>235800</v>
      </c>
      <c r="BJ182" s="16">
        <v>45760</v>
      </c>
      <c r="BK182" s="16">
        <v>19100</v>
      </c>
      <c r="BL182" s="16">
        <v>140000</v>
      </c>
      <c r="BM182" s="16">
        <v>200000</v>
      </c>
      <c r="BN182" s="16">
        <v>66000</v>
      </c>
      <c r="BO182" s="16">
        <v>0</v>
      </c>
      <c r="BP182" s="16">
        <v>0</v>
      </c>
      <c r="BQ182" s="16">
        <v>0</v>
      </c>
      <c r="BR182" s="16">
        <v>0</v>
      </c>
      <c r="BS182" s="16">
        <v>0</v>
      </c>
      <c r="BT182" s="16">
        <v>0</v>
      </c>
      <c r="BU182" s="16">
        <v>0</v>
      </c>
      <c r="BV182" s="16">
        <v>0</v>
      </c>
      <c r="BW182" s="16">
        <v>0</v>
      </c>
    </row>
    <row r="183" spans="1:75" ht="18" hidden="1" customHeight="1" outlineLevel="1">
      <c r="B183" s="7">
        <v>2021</v>
      </c>
      <c r="C183" s="8" t="s">
        <v>12</v>
      </c>
      <c r="E183" s="8">
        <v>6867</v>
      </c>
      <c r="J183" s="9"/>
      <c r="Q183" s="5">
        <v>2022</v>
      </c>
      <c r="R183" s="5">
        <v>4</v>
      </c>
      <c r="S183" s="14" t="s">
        <v>54</v>
      </c>
      <c r="T183" s="15">
        <f t="shared" si="122"/>
        <v>5163647</v>
      </c>
      <c r="U183" s="15">
        <f t="shared" si="123"/>
        <v>6452990</v>
      </c>
      <c r="V183" s="16">
        <v>3808000</v>
      </c>
      <c r="W183" s="16">
        <v>1422000</v>
      </c>
      <c r="X183" s="16">
        <v>0</v>
      </c>
      <c r="Y183" s="16">
        <v>0</v>
      </c>
      <c r="Z183" s="16">
        <v>0</v>
      </c>
      <c r="AA183" s="16">
        <v>0</v>
      </c>
      <c r="AB183" s="16">
        <v>0</v>
      </c>
      <c r="AC183" s="16">
        <v>732990</v>
      </c>
      <c r="AD183" s="16">
        <v>0</v>
      </c>
      <c r="AE183" s="16">
        <v>0</v>
      </c>
      <c r="AF183" s="16">
        <v>50000</v>
      </c>
      <c r="AG183" s="16">
        <v>0</v>
      </c>
      <c r="AH183" s="16">
        <v>100000</v>
      </c>
      <c r="AI183" s="16">
        <v>220000</v>
      </c>
      <c r="AJ183" s="16">
        <v>0</v>
      </c>
      <c r="AK183" s="16">
        <v>0</v>
      </c>
      <c r="AL183" s="16">
        <v>50000</v>
      </c>
      <c r="AM183" s="16">
        <v>0</v>
      </c>
      <c r="AN183" s="16">
        <v>70000</v>
      </c>
      <c r="AO183" s="16">
        <v>0</v>
      </c>
      <c r="AP183" s="16">
        <v>0</v>
      </c>
      <c r="AQ183" s="16">
        <v>0</v>
      </c>
      <c r="AR183" s="16">
        <v>0</v>
      </c>
      <c r="AS183" s="16">
        <v>0</v>
      </c>
      <c r="AT183" s="16">
        <v>0</v>
      </c>
      <c r="AU183" s="16">
        <v>0</v>
      </c>
      <c r="AV183" s="16">
        <v>0</v>
      </c>
      <c r="AW183" s="16">
        <v>0</v>
      </c>
      <c r="AX183" s="16">
        <v>0</v>
      </c>
      <c r="AY183" s="16">
        <v>0</v>
      </c>
      <c r="AZ183" s="16">
        <v>0</v>
      </c>
      <c r="BA183" s="16"/>
      <c r="BB183" s="15">
        <f t="shared" si="124"/>
        <v>1289343</v>
      </c>
      <c r="BC183" s="15">
        <v>0</v>
      </c>
      <c r="BD183" s="16">
        <v>446270</v>
      </c>
      <c r="BE183" s="16">
        <v>0</v>
      </c>
      <c r="BF183" s="16">
        <v>44620</v>
      </c>
      <c r="BG183" s="16">
        <v>0</v>
      </c>
      <c r="BH183" s="16">
        <v>233920</v>
      </c>
      <c r="BI183" s="16">
        <v>235800</v>
      </c>
      <c r="BJ183" s="16">
        <v>50023</v>
      </c>
      <c r="BK183" s="16">
        <v>19100</v>
      </c>
      <c r="BL183" s="16">
        <v>140000</v>
      </c>
      <c r="BM183" s="16">
        <v>0</v>
      </c>
      <c r="BN183" s="16">
        <v>39000</v>
      </c>
      <c r="BO183" s="16">
        <v>80610</v>
      </c>
      <c r="BP183" s="16">
        <v>0</v>
      </c>
      <c r="BQ183" s="16">
        <v>0</v>
      </c>
      <c r="BR183" s="16">
        <v>0</v>
      </c>
      <c r="BS183" s="16">
        <v>0</v>
      </c>
      <c r="BT183" s="16">
        <v>0</v>
      </c>
      <c r="BU183" s="16">
        <v>0</v>
      </c>
      <c r="BV183" s="16">
        <v>0</v>
      </c>
      <c r="BW183" s="16">
        <v>0</v>
      </c>
    </row>
    <row r="184" spans="1:75" ht="18" hidden="1" customHeight="1" outlineLevel="1">
      <c r="B184" s="7">
        <v>2021</v>
      </c>
      <c r="C184" s="8" t="s">
        <v>12</v>
      </c>
      <c r="E184" s="8">
        <v>6867</v>
      </c>
      <c r="J184" s="9"/>
      <c r="Q184" s="5">
        <v>2022</v>
      </c>
      <c r="R184" s="5">
        <v>4</v>
      </c>
      <c r="S184" s="14" t="s">
        <v>28</v>
      </c>
      <c r="T184" s="15">
        <f t="shared" si="122"/>
        <v>6854457</v>
      </c>
      <c r="U184" s="15">
        <f t="shared" si="123"/>
        <v>8559704</v>
      </c>
      <c r="V184" s="16">
        <v>0</v>
      </c>
      <c r="W184" s="16">
        <v>0</v>
      </c>
      <c r="X184" s="16">
        <v>0</v>
      </c>
      <c r="Y184" s="16">
        <v>0</v>
      </c>
      <c r="Z184" s="16">
        <v>0</v>
      </c>
      <c r="AA184" s="16">
        <v>0</v>
      </c>
      <c r="AB184" s="16">
        <v>0</v>
      </c>
      <c r="AC184" s="16">
        <v>0</v>
      </c>
      <c r="AD184" s="16">
        <v>7059704</v>
      </c>
      <c r="AE184" s="16">
        <v>1500000</v>
      </c>
      <c r="AF184" s="16">
        <v>0</v>
      </c>
      <c r="AG184" s="16">
        <v>0</v>
      </c>
      <c r="AH184" s="16">
        <v>0</v>
      </c>
      <c r="AI184" s="16">
        <v>0</v>
      </c>
      <c r="AJ184" s="16">
        <v>0</v>
      </c>
      <c r="AK184" s="16">
        <v>0</v>
      </c>
      <c r="AL184" s="16">
        <v>0</v>
      </c>
      <c r="AM184" s="16">
        <v>0</v>
      </c>
      <c r="AN184" s="16">
        <v>0</v>
      </c>
      <c r="AO184" s="16">
        <v>0</v>
      </c>
      <c r="AP184" s="16">
        <v>0</v>
      </c>
      <c r="AQ184" s="16">
        <v>0</v>
      </c>
      <c r="AR184" s="16">
        <v>0</v>
      </c>
      <c r="AS184" s="16">
        <v>0</v>
      </c>
      <c r="AT184" s="16">
        <v>0</v>
      </c>
      <c r="AU184" s="16">
        <v>0</v>
      </c>
      <c r="AV184" s="16">
        <v>0</v>
      </c>
      <c r="AW184" s="16">
        <v>0</v>
      </c>
      <c r="AX184" s="16">
        <v>0</v>
      </c>
      <c r="AY184" s="16">
        <v>0</v>
      </c>
      <c r="AZ184" s="16">
        <v>0</v>
      </c>
      <c r="BA184" s="16"/>
      <c r="BB184" s="15">
        <f t="shared" si="124"/>
        <v>1705247</v>
      </c>
      <c r="BC184" s="15">
        <v>0</v>
      </c>
      <c r="BD184" s="16">
        <v>1487980</v>
      </c>
      <c r="BE184" s="16">
        <v>0</v>
      </c>
      <c r="BF184" s="16">
        <v>148790</v>
      </c>
      <c r="BG184" s="16">
        <v>0</v>
      </c>
      <c r="BH184" s="16">
        <v>0</v>
      </c>
      <c r="BI184" s="16">
        <v>0</v>
      </c>
      <c r="BJ184" s="16">
        <v>68477</v>
      </c>
      <c r="BK184" s="16">
        <v>0</v>
      </c>
      <c r="BL184" s="16">
        <v>0</v>
      </c>
      <c r="BM184" s="16">
        <v>0</v>
      </c>
      <c r="BN184" s="16">
        <v>0</v>
      </c>
      <c r="BO184" s="16">
        <v>0</v>
      </c>
      <c r="BP184" s="16">
        <v>0</v>
      </c>
      <c r="BQ184" s="16">
        <v>0</v>
      </c>
      <c r="BR184" s="16">
        <v>0</v>
      </c>
      <c r="BS184" s="16">
        <v>0</v>
      </c>
      <c r="BT184" s="16">
        <v>0</v>
      </c>
      <c r="BU184" s="16">
        <v>0</v>
      </c>
      <c r="BV184" s="16">
        <v>0</v>
      </c>
      <c r="BW184" s="16">
        <v>0</v>
      </c>
    </row>
    <row r="185" spans="1:75" ht="18" hidden="1" customHeight="1" outlineLevel="1">
      <c r="B185" s="7">
        <v>2022</v>
      </c>
      <c r="C185" s="8" t="s">
        <v>12</v>
      </c>
      <c r="E185" s="8">
        <v>6867</v>
      </c>
      <c r="J185" s="9"/>
      <c r="Q185" s="5">
        <v>2022</v>
      </c>
      <c r="R185" s="5">
        <v>3</v>
      </c>
      <c r="S185" s="14" t="s">
        <v>54</v>
      </c>
      <c r="T185" s="15">
        <f t="shared" si="122"/>
        <v>4426795</v>
      </c>
      <c r="U185" s="15">
        <f t="shared" si="123"/>
        <v>5475670</v>
      </c>
      <c r="V185" s="16">
        <v>3630000</v>
      </c>
      <c r="W185" s="16">
        <v>1355670</v>
      </c>
      <c r="X185" s="16">
        <v>0</v>
      </c>
      <c r="Y185" s="16">
        <v>0</v>
      </c>
      <c r="Z185" s="16">
        <v>0</v>
      </c>
      <c r="AA185" s="16">
        <v>0</v>
      </c>
      <c r="AB185" s="16">
        <v>0</v>
      </c>
      <c r="AC185" s="16">
        <v>0</v>
      </c>
      <c r="AD185" s="16">
        <v>0</v>
      </c>
      <c r="AE185" s="16">
        <v>0</v>
      </c>
      <c r="AF185" s="16">
        <v>50000</v>
      </c>
      <c r="AG185" s="16">
        <v>0</v>
      </c>
      <c r="AH185" s="16">
        <v>100000</v>
      </c>
      <c r="AI185" s="16">
        <v>220000</v>
      </c>
      <c r="AJ185" s="16">
        <v>0</v>
      </c>
      <c r="AK185" s="16">
        <v>0</v>
      </c>
      <c r="AL185" s="16">
        <v>50000</v>
      </c>
      <c r="AM185" s="16">
        <v>0</v>
      </c>
      <c r="AN185" s="16">
        <v>70000</v>
      </c>
      <c r="AO185" s="16">
        <v>0</v>
      </c>
      <c r="AP185" s="16">
        <v>0</v>
      </c>
      <c r="AQ185" s="16">
        <v>0</v>
      </c>
      <c r="AR185" s="16">
        <v>0</v>
      </c>
      <c r="AS185" s="16">
        <v>0</v>
      </c>
      <c r="AT185" s="16">
        <v>0</v>
      </c>
      <c r="AU185" s="16">
        <v>0</v>
      </c>
      <c r="AV185" s="16">
        <v>0</v>
      </c>
      <c r="AW185" s="16">
        <v>0</v>
      </c>
      <c r="AX185" s="16">
        <v>0</v>
      </c>
      <c r="AY185" s="16">
        <v>0</v>
      </c>
      <c r="AZ185" s="16">
        <v>0</v>
      </c>
      <c r="BA185" s="16"/>
      <c r="BB185" s="15">
        <f t="shared" si="124"/>
        <v>1048875</v>
      </c>
      <c r="BC185" s="15">
        <v>0</v>
      </c>
      <c r="BD185" s="16">
        <v>286380</v>
      </c>
      <c r="BE185" s="16">
        <v>0</v>
      </c>
      <c r="BF185" s="16">
        <v>28630</v>
      </c>
      <c r="BG185" s="16">
        <v>0</v>
      </c>
      <c r="BH185" s="16">
        <v>227160</v>
      </c>
      <c r="BI185" s="16">
        <v>235800</v>
      </c>
      <c r="BJ185" s="16">
        <v>42205</v>
      </c>
      <c r="BK185" s="16">
        <v>18200</v>
      </c>
      <c r="BL185" s="16">
        <v>140000</v>
      </c>
      <c r="BM185" s="16">
        <v>0</v>
      </c>
      <c r="BN185" s="16">
        <v>70500</v>
      </c>
      <c r="BO185" s="16">
        <v>0</v>
      </c>
      <c r="BP185" s="16">
        <v>0</v>
      </c>
      <c r="BQ185" s="16">
        <v>0</v>
      </c>
      <c r="BR185" s="16">
        <v>0</v>
      </c>
      <c r="BS185" s="16">
        <v>0</v>
      </c>
      <c r="BT185" s="16">
        <v>0</v>
      </c>
      <c r="BU185" s="16">
        <v>0</v>
      </c>
      <c r="BV185" s="16">
        <v>0</v>
      </c>
      <c r="BW185" s="16">
        <v>0</v>
      </c>
    </row>
    <row r="186" spans="1:75" ht="18" hidden="1" customHeight="1" outlineLevel="1">
      <c r="B186" s="7">
        <v>2023</v>
      </c>
      <c r="C186" s="8" t="s">
        <v>12</v>
      </c>
      <c r="E186" s="8">
        <v>6867</v>
      </c>
      <c r="J186" s="9"/>
      <c r="Q186" s="5">
        <v>2022</v>
      </c>
      <c r="R186" s="5">
        <v>2</v>
      </c>
      <c r="S186" s="14" t="s">
        <v>54</v>
      </c>
      <c r="T186" s="15">
        <f t="shared" si="122"/>
        <v>5198345</v>
      </c>
      <c r="U186" s="15">
        <f t="shared" si="123"/>
        <v>5675670</v>
      </c>
      <c r="V186" s="16">
        <v>3630000</v>
      </c>
      <c r="W186" s="16">
        <v>1355670</v>
      </c>
      <c r="X186" s="16">
        <v>0</v>
      </c>
      <c r="Y186" s="16">
        <v>0</v>
      </c>
      <c r="Z186" s="16">
        <v>0</v>
      </c>
      <c r="AA186" s="16">
        <v>0</v>
      </c>
      <c r="AB186" s="16">
        <v>0</v>
      </c>
      <c r="AC186" s="16">
        <v>0</v>
      </c>
      <c r="AD186" s="16">
        <v>0</v>
      </c>
      <c r="AE186" s="16">
        <v>0</v>
      </c>
      <c r="AF186" s="16">
        <v>50000</v>
      </c>
      <c r="AG186" s="16">
        <v>0</v>
      </c>
      <c r="AH186" s="16">
        <v>100000</v>
      </c>
      <c r="AI186" s="16">
        <v>220000</v>
      </c>
      <c r="AJ186" s="16">
        <v>0</v>
      </c>
      <c r="AK186" s="16">
        <v>0</v>
      </c>
      <c r="AL186" s="16">
        <v>50000</v>
      </c>
      <c r="AM186" s="16">
        <v>0</v>
      </c>
      <c r="AN186" s="16">
        <v>70000</v>
      </c>
      <c r="AO186" s="16">
        <v>50000</v>
      </c>
      <c r="AP186" s="16">
        <v>150000</v>
      </c>
      <c r="AQ186" s="16">
        <v>0</v>
      </c>
      <c r="AR186" s="16">
        <v>0</v>
      </c>
      <c r="AS186" s="16">
        <v>0</v>
      </c>
      <c r="AT186" s="16">
        <v>0</v>
      </c>
      <c r="AU186" s="16">
        <v>0</v>
      </c>
      <c r="AV186" s="16">
        <v>0</v>
      </c>
      <c r="AW186" s="16">
        <v>0</v>
      </c>
      <c r="AX186" s="16">
        <v>0</v>
      </c>
      <c r="AY186" s="16">
        <v>0</v>
      </c>
      <c r="AZ186" s="16">
        <v>0</v>
      </c>
      <c r="BA186" s="16"/>
      <c r="BB186" s="15">
        <f t="shared" si="124"/>
        <v>477325</v>
      </c>
      <c r="BC186" s="15">
        <v>-573670</v>
      </c>
      <c r="BD186" s="16">
        <v>286380</v>
      </c>
      <c r="BE186" s="16">
        <v>0</v>
      </c>
      <c r="BF186" s="16">
        <v>28630</v>
      </c>
      <c r="BG186" s="16">
        <v>0</v>
      </c>
      <c r="BH186" s="16">
        <v>227160</v>
      </c>
      <c r="BI186" s="16">
        <v>235800</v>
      </c>
      <c r="BJ186" s="16">
        <v>42205</v>
      </c>
      <c r="BK186" s="16">
        <v>18200</v>
      </c>
      <c r="BL186" s="16">
        <v>140000</v>
      </c>
      <c r="BM186" s="16">
        <v>0</v>
      </c>
      <c r="BN186" s="16">
        <v>57000</v>
      </c>
      <c r="BO186" s="16">
        <v>0</v>
      </c>
      <c r="BP186" s="16">
        <v>15620</v>
      </c>
      <c r="BQ186" s="16">
        <v>0</v>
      </c>
      <c r="BR186" s="16">
        <v>0</v>
      </c>
      <c r="BS186" s="16">
        <v>0</v>
      </c>
      <c r="BT186" s="16">
        <v>0</v>
      </c>
      <c r="BU186" s="16">
        <v>0</v>
      </c>
      <c r="BV186" s="16">
        <v>0</v>
      </c>
      <c r="BW186" s="16">
        <v>0</v>
      </c>
    </row>
    <row r="187" spans="1:75" ht="18" hidden="1" customHeight="1" outlineLevel="1">
      <c r="B187" s="7">
        <v>2024</v>
      </c>
      <c r="C187" s="8" t="s">
        <v>12</v>
      </c>
      <c r="E187" s="8">
        <v>6867</v>
      </c>
      <c r="J187" s="9"/>
      <c r="Q187" s="5">
        <v>2022</v>
      </c>
      <c r="R187" s="5">
        <v>1</v>
      </c>
      <c r="S187" s="14" t="s">
        <v>54</v>
      </c>
      <c r="T187" s="15">
        <f t="shared" si="122"/>
        <v>4420945</v>
      </c>
      <c r="U187" s="15">
        <f t="shared" si="123"/>
        <v>5625670</v>
      </c>
      <c r="V187" s="16">
        <v>3630000</v>
      </c>
      <c r="W187" s="16">
        <v>1355670</v>
      </c>
      <c r="X187" s="16">
        <v>0</v>
      </c>
      <c r="Y187" s="16">
        <v>0</v>
      </c>
      <c r="Z187" s="16">
        <v>0</v>
      </c>
      <c r="AA187" s="16">
        <v>0</v>
      </c>
      <c r="AB187" s="16">
        <v>0</v>
      </c>
      <c r="AC187" s="16">
        <v>0</v>
      </c>
      <c r="AD187" s="16">
        <v>0</v>
      </c>
      <c r="AE187" s="16">
        <v>0</v>
      </c>
      <c r="AF187" s="16">
        <v>50000</v>
      </c>
      <c r="AG187" s="16">
        <v>0</v>
      </c>
      <c r="AH187" s="16">
        <v>100000</v>
      </c>
      <c r="AI187" s="16">
        <v>220000</v>
      </c>
      <c r="AJ187" s="16">
        <v>150000</v>
      </c>
      <c r="AK187" s="16">
        <v>0</v>
      </c>
      <c r="AL187" s="16">
        <v>50000</v>
      </c>
      <c r="AM187" s="16">
        <v>0</v>
      </c>
      <c r="AN187" s="16">
        <v>70000</v>
      </c>
      <c r="AO187" s="16">
        <v>0</v>
      </c>
      <c r="AP187" s="16">
        <v>0</v>
      </c>
      <c r="AQ187" s="16">
        <v>0</v>
      </c>
      <c r="AR187" s="16">
        <v>0</v>
      </c>
      <c r="AS187" s="16">
        <v>0</v>
      </c>
      <c r="AT187" s="16">
        <v>0</v>
      </c>
      <c r="AU187" s="16">
        <v>0</v>
      </c>
      <c r="AV187" s="16">
        <v>0</v>
      </c>
      <c r="AW187" s="16">
        <v>0</v>
      </c>
      <c r="AX187" s="16">
        <v>0</v>
      </c>
      <c r="AY187" s="16">
        <v>0</v>
      </c>
      <c r="AZ187" s="16">
        <v>0</v>
      </c>
      <c r="BA187" s="16"/>
      <c r="BB187" s="15">
        <f t="shared" si="124"/>
        <v>1204725</v>
      </c>
      <c r="BC187" s="15">
        <v>0</v>
      </c>
      <c r="BD187" s="16">
        <v>304240</v>
      </c>
      <c r="BE187" s="16">
        <v>0</v>
      </c>
      <c r="BF187" s="16">
        <v>30420</v>
      </c>
      <c r="BG187" s="16">
        <v>0</v>
      </c>
      <c r="BH187" s="16">
        <v>227160</v>
      </c>
      <c r="BI187" s="16">
        <v>235800</v>
      </c>
      <c r="BJ187" s="16">
        <v>43405</v>
      </c>
      <c r="BK187" s="16">
        <v>18200</v>
      </c>
      <c r="BL187" s="16">
        <v>140000</v>
      </c>
      <c r="BM187" s="16">
        <v>150000</v>
      </c>
      <c r="BN187" s="16">
        <v>55500</v>
      </c>
      <c r="BO187" s="16">
        <v>0</v>
      </c>
      <c r="BP187" s="16">
        <v>0</v>
      </c>
      <c r="BQ187" s="16">
        <v>0</v>
      </c>
      <c r="BR187" s="16">
        <v>0</v>
      </c>
      <c r="BS187" s="16">
        <v>0</v>
      </c>
      <c r="BT187" s="16">
        <v>0</v>
      </c>
      <c r="BU187" s="16">
        <v>0</v>
      </c>
      <c r="BV187" s="16">
        <v>0</v>
      </c>
      <c r="BW187" s="16">
        <v>0</v>
      </c>
    </row>
    <row r="188" spans="1:75" s="1" customFormat="1" ht="18" customHeight="1" collapsed="1">
      <c r="A188" s="10"/>
      <c r="B188" s="11"/>
      <c r="C188" s="12"/>
      <c r="D188" s="11"/>
      <c r="E188" s="12"/>
      <c r="F188" s="12"/>
      <c r="G188" s="12"/>
      <c r="H188" s="12"/>
      <c r="I188" s="12"/>
      <c r="J188" s="3"/>
      <c r="K188" s="12"/>
      <c r="L188" s="12"/>
      <c r="M188" s="12"/>
      <c r="N188" s="12"/>
      <c r="O188" s="13"/>
      <c r="Q188" s="628" t="s">
        <v>66</v>
      </c>
      <c r="R188" s="628"/>
      <c r="S188" s="628"/>
      <c r="T188" s="23">
        <f t="shared" ref="T188:AZ188" si="128">SUMIF($Q$2:$Q$793,$Q189,T$2:T$793)</f>
        <v>60190131</v>
      </c>
      <c r="U188" s="23">
        <f t="shared" si="128"/>
        <v>74341085</v>
      </c>
      <c r="V188" s="23">
        <f t="shared" si="128"/>
        <v>43232000</v>
      </c>
      <c r="W188" s="23">
        <f t="shared" si="128"/>
        <v>16147360</v>
      </c>
      <c r="X188" s="23">
        <f t="shared" si="128"/>
        <v>0</v>
      </c>
      <c r="Y188" s="23">
        <f t="shared" si="128"/>
        <v>0</v>
      </c>
      <c r="Z188" s="23">
        <f t="shared" si="128"/>
        <v>0</v>
      </c>
      <c r="AA188" s="23">
        <f t="shared" si="128"/>
        <v>0</v>
      </c>
      <c r="AB188" s="23">
        <f t="shared" si="128"/>
        <v>0</v>
      </c>
      <c r="AC188" s="23">
        <f t="shared" si="128"/>
        <v>448680</v>
      </c>
      <c r="AD188" s="23">
        <f t="shared" si="128"/>
        <v>6199092</v>
      </c>
      <c r="AE188" s="23">
        <f t="shared" si="128"/>
        <v>1500000</v>
      </c>
      <c r="AF188" s="23">
        <f t="shared" si="128"/>
        <v>600000</v>
      </c>
      <c r="AG188" s="23">
        <f t="shared" si="128"/>
        <v>0</v>
      </c>
      <c r="AH188" s="23">
        <f t="shared" si="128"/>
        <v>1200000</v>
      </c>
      <c r="AI188" s="23">
        <f t="shared" si="128"/>
        <v>2560000</v>
      </c>
      <c r="AJ188" s="23">
        <f t="shared" si="128"/>
        <v>450000</v>
      </c>
      <c r="AK188" s="23">
        <f t="shared" si="128"/>
        <v>300000</v>
      </c>
      <c r="AL188" s="23">
        <f t="shared" si="128"/>
        <v>600000</v>
      </c>
      <c r="AM188" s="23">
        <f t="shared" si="128"/>
        <v>0</v>
      </c>
      <c r="AN188" s="23">
        <f t="shared" si="128"/>
        <v>630000</v>
      </c>
      <c r="AO188" s="23">
        <f t="shared" si="128"/>
        <v>100000</v>
      </c>
      <c r="AP188" s="23">
        <f t="shared" si="128"/>
        <v>300000</v>
      </c>
      <c r="AQ188" s="23">
        <f t="shared" si="128"/>
        <v>40000</v>
      </c>
      <c r="AR188" s="23">
        <f t="shared" si="128"/>
        <v>0</v>
      </c>
      <c r="AS188" s="23">
        <f t="shared" si="128"/>
        <v>33953</v>
      </c>
      <c r="AT188" s="23">
        <f t="shared" si="128"/>
        <v>0</v>
      </c>
      <c r="AU188" s="23">
        <f t="shared" si="128"/>
        <v>0</v>
      </c>
      <c r="AV188" s="23">
        <f t="shared" si="128"/>
        <v>0</v>
      </c>
      <c r="AW188" s="23">
        <f t="shared" si="128"/>
        <v>0</v>
      </c>
      <c r="AX188" s="23">
        <f t="shared" si="128"/>
        <v>0</v>
      </c>
      <c r="AY188" s="23">
        <f t="shared" si="128"/>
        <v>0</v>
      </c>
      <c r="AZ188" s="23">
        <f t="shared" si="128"/>
        <v>0</v>
      </c>
      <c r="BA188" s="23"/>
      <c r="BB188" s="23">
        <f t="shared" ref="BB188:BW188" si="129">SUMIF($Q$2:$Q$793,$Q189,BB$2:BB$793)</f>
        <v>14150954</v>
      </c>
      <c r="BC188" s="23">
        <f t="shared" si="129"/>
        <v>142440</v>
      </c>
      <c r="BD188" s="23">
        <f t="shared" si="129"/>
        <v>4809670</v>
      </c>
      <c r="BE188" s="23">
        <f t="shared" si="129"/>
        <v>0</v>
      </c>
      <c r="BF188" s="23">
        <f t="shared" si="129"/>
        <v>480890</v>
      </c>
      <c r="BG188" s="23">
        <f t="shared" si="129"/>
        <v>0</v>
      </c>
      <c r="BH188" s="23">
        <f t="shared" si="129"/>
        <v>2655750</v>
      </c>
      <c r="BI188" s="23">
        <f t="shared" si="129"/>
        <v>2772900</v>
      </c>
      <c r="BJ188" s="23">
        <f t="shared" si="129"/>
        <v>572324</v>
      </c>
      <c r="BK188" s="23">
        <f t="shared" si="129"/>
        <v>216800</v>
      </c>
      <c r="BL188" s="23">
        <f t="shared" si="129"/>
        <v>1260000</v>
      </c>
      <c r="BM188" s="23">
        <f t="shared" si="129"/>
        <v>450000</v>
      </c>
      <c r="BN188" s="23">
        <f t="shared" si="129"/>
        <v>720700</v>
      </c>
      <c r="BO188" s="23">
        <f t="shared" si="129"/>
        <v>34280</v>
      </c>
      <c r="BP188" s="23">
        <f t="shared" si="129"/>
        <v>5200</v>
      </c>
      <c r="BQ188" s="23">
        <f t="shared" si="129"/>
        <v>0</v>
      </c>
      <c r="BR188" s="23">
        <f t="shared" si="129"/>
        <v>30000</v>
      </c>
      <c r="BS188" s="23">
        <f t="shared" si="129"/>
        <v>0</v>
      </c>
      <c r="BT188" s="23">
        <f t="shared" si="129"/>
        <v>0</v>
      </c>
      <c r="BU188" s="23">
        <f t="shared" si="129"/>
        <v>0</v>
      </c>
      <c r="BV188" s="23">
        <f t="shared" si="129"/>
        <v>0</v>
      </c>
      <c r="BW188" s="23">
        <f t="shared" si="129"/>
        <v>0</v>
      </c>
    </row>
    <row r="189" spans="1:75" ht="18" hidden="1" customHeight="1" outlineLevel="1">
      <c r="D189" s="7" t="s">
        <v>11</v>
      </c>
      <c r="F189" s="8">
        <v>4717</v>
      </c>
      <c r="G189" s="8">
        <v>5848</v>
      </c>
      <c r="K189" s="8">
        <v>2400</v>
      </c>
      <c r="L189" s="8">
        <f t="shared" ref="L189:L194" si="130">K189*12</f>
        <v>28800</v>
      </c>
      <c r="M189" s="8">
        <f t="shared" ref="M189:M194" si="131">L189*1.13</f>
        <v>32543.999999999996</v>
      </c>
      <c r="N189" s="8">
        <v>21014</v>
      </c>
      <c r="O189" s="9">
        <f t="shared" ref="O189:O194" si="132">N189/M189</f>
        <v>0.64571042281219282</v>
      </c>
      <c r="Q189" s="5">
        <v>2021</v>
      </c>
      <c r="R189" s="5">
        <v>12</v>
      </c>
      <c r="S189" s="14" t="s">
        <v>54</v>
      </c>
      <c r="T189" s="15">
        <f t="shared" ref="T189:T201" si="133">IF(U189=U189-BB189,0,U189-BB189)</f>
        <v>4434005</v>
      </c>
      <c r="U189" s="15">
        <f t="shared" ref="U189:U201" si="134">SUM(V189:BA189)</f>
        <v>5475670</v>
      </c>
      <c r="V189" s="16">
        <v>3630000</v>
      </c>
      <c r="W189" s="16">
        <v>1355670</v>
      </c>
      <c r="X189" s="16">
        <v>0</v>
      </c>
      <c r="Y189" s="16">
        <v>0</v>
      </c>
      <c r="Z189" s="16">
        <v>0</v>
      </c>
      <c r="AA189" s="16">
        <v>0</v>
      </c>
      <c r="AB189" s="16">
        <v>0</v>
      </c>
      <c r="AC189" s="16">
        <v>0</v>
      </c>
      <c r="AD189" s="16">
        <v>0</v>
      </c>
      <c r="AE189" s="16">
        <v>0</v>
      </c>
      <c r="AF189" s="16">
        <v>50000</v>
      </c>
      <c r="AG189" s="16">
        <v>0</v>
      </c>
      <c r="AH189" s="16">
        <v>100000</v>
      </c>
      <c r="AI189" s="16">
        <v>220000</v>
      </c>
      <c r="AJ189" s="16">
        <v>0</v>
      </c>
      <c r="AK189" s="16">
        <v>0</v>
      </c>
      <c r="AL189" s="16">
        <v>50000</v>
      </c>
      <c r="AM189" s="16">
        <v>0</v>
      </c>
      <c r="AN189" s="16">
        <v>70000</v>
      </c>
      <c r="AO189" s="16">
        <v>0</v>
      </c>
      <c r="AP189" s="16">
        <v>0</v>
      </c>
      <c r="AQ189" s="16">
        <v>0</v>
      </c>
      <c r="AR189" s="16">
        <v>0</v>
      </c>
      <c r="AS189" s="16">
        <v>0</v>
      </c>
      <c r="AT189" s="16">
        <v>0</v>
      </c>
      <c r="AU189" s="16">
        <v>0</v>
      </c>
      <c r="AV189" s="16">
        <v>0</v>
      </c>
      <c r="AW189" s="16">
        <v>0</v>
      </c>
      <c r="AX189" s="16">
        <v>0</v>
      </c>
      <c r="AY189" s="16">
        <v>0</v>
      </c>
      <c r="AZ189" s="16">
        <v>0</v>
      </c>
      <c r="BA189" s="16"/>
      <c r="BB189" s="15">
        <f t="shared" ref="BB189:BB201" si="135">SUM(BC189:BW189)</f>
        <v>1041665</v>
      </c>
      <c r="BC189" s="15">
        <v>0</v>
      </c>
      <c r="BD189" s="16">
        <v>286380</v>
      </c>
      <c r="BE189" s="16">
        <v>0</v>
      </c>
      <c r="BF189" s="16">
        <v>28630</v>
      </c>
      <c r="BG189" s="16">
        <v>0</v>
      </c>
      <c r="BH189" s="16">
        <v>221450</v>
      </c>
      <c r="BI189" s="16">
        <v>235800</v>
      </c>
      <c r="BJ189" s="16">
        <v>42205</v>
      </c>
      <c r="BK189" s="16">
        <v>18200</v>
      </c>
      <c r="BL189" s="16">
        <v>140000</v>
      </c>
      <c r="BM189" s="16">
        <v>0</v>
      </c>
      <c r="BN189" s="16">
        <v>69000</v>
      </c>
      <c r="BO189" s="16">
        <v>0</v>
      </c>
      <c r="BP189" s="16">
        <v>0</v>
      </c>
      <c r="BQ189" s="16">
        <v>0</v>
      </c>
      <c r="BR189" s="16">
        <v>0</v>
      </c>
      <c r="BS189" s="16">
        <v>0</v>
      </c>
      <c r="BT189" s="16">
        <v>0</v>
      </c>
      <c r="BU189" s="16">
        <v>0</v>
      </c>
      <c r="BV189" s="16">
        <v>0</v>
      </c>
      <c r="BW189" s="16">
        <v>0</v>
      </c>
    </row>
    <row r="190" spans="1:75" ht="18" hidden="1" customHeight="1" outlineLevel="1">
      <c r="D190" s="7" t="s">
        <v>11</v>
      </c>
      <c r="F190" s="8">
        <v>4717</v>
      </c>
      <c r="G190" s="8">
        <v>5848</v>
      </c>
      <c r="K190" s="8">
        <v>2400</v>
      </c>
      <c r="L190" s="8">
        <f t="shared" si="130"/>
        <v>28800</v>
      </c>
      <c r="M190" s="8">
        <f t="shared" si="131"/>
        <v>32543.999999999996</v>
      </c>
      <c r="N190" s="8">
        <v>21014</v>
      </c>
      <c r="O190" s="9">
        <f t="shared" si="132"/>
        <v>0.64571042281219282</v>
      </c>
      <c r="Q190" s="5">
        <v>2021</v>
      </c>
      <c r="R190" s="5">
        <v>11</v>
      </c>
      <c r="S190" s="14" t="s">
        <v>54</v>
      </c>
      <c r="T190" s="15">
        <f t="shared" si="133"/>
        <v>4443005</v>
      </c>
      <c r="U190" s="15">
        <f t="shared" si="134"/>
        <v>5475670</v>
      </c>
      <c r="V190" s="16">
        <v>3630000</v>
      </c>
      <c r="W190" s="16">
        <v>1355670</v>
      </c>
      <c r="X190" s="16">
        <v>0</v>
      </c>
      <c r="Y190" s="16">
        <v>0</v>
      </c>
      <c r="Z190" s="16">
        <v>0</v>
      </c>
      <c r="AA190" s="16">
        <v>0</v>
      </c>
      <c r="AB190" s="16">
        <v>0</v>
      </c>
      <c r="AC190" s="16">
        <v>0</v>
      </c>
      <c r="AD190" s="16">
        <v>0</v>
      </c>
      <c r="AE190" s="16">
        <v>0</v>
      </c>
      <c r="AF190" s="16">
        <v>50000</v>
      </c>
      <c r="AG190" s="16">
        <v>0</v>
      </c>
      <c r="AH190" s="16">
        <v>100000</v>
      </c>
      <c r="AI190" s="16">
        <v>220000</v>
      </c>
      <c r="AJ190" s="16">
        <v>0</v>
      </c>
      <c r="AK190" s="16">
        <v>0</v>
      </c>
      <c r="AL190" s="16">
        <v>50000</v>
      </c>
      <c r="AM190" s="16">
        <v>0</v>
      </c>
      <c r="AN190" s="16">
        <v>70000</v>
      </c>
      <c r="AO190" s="16">
        <v>0</v>
      </c>
      <c r="AP190" s="16">
        <v>0</v>
      </c>
      <c r="AQ190" s="16">
        <v>0</v>
      </c>
      <c r="AR190" s="16">
        <v>0</v>
      </c>
      <c r="AS190" s="16">
        <v>0</v>
      </c>
      <c r="AT190" s="16">
        <v>0</v>
      </c>
      <c r="AU190" s="16">
        <v>0</v>
      </c>
      <c r="AV190" s="16">
        <v>0</v>
      </c>
      <c r="AW190" s="16">
        <v>0</v>
      </c>
      <c r="AX190" s="16">
        <v>0</v>
      </c>
      <c r="AY190" s="16">
        <v>0</v>
      </c>
      <c r="AZ190" s="16">
        <v>0</v>
      </c>
      <c r="BA190" s="16"/>
      <c r="BB190" s="15">
        <f t="shared" si="135"/>
        <v>1032665</v>
      </c>
      <c r="BC190" s="15">
        <v>0</v>
      </c>
      <c r="BD190" s="16">
        <v>286380</v>
      </c>
      <c r="BE190" s="16">
        <v>0</v>
      </c>
      <c r="BF190" s="16">
        <v>28630</v>
      </c>
      <c r="BG190" s="16">
        <v>0</v>
      </c>
      <c r="BH190" s="16">
        <v>221450</v>
      </c>
      <c r="BI190" s="16">
        <v>235800</v>
      </c>
      <c r="BJ190" s="16">
        <v>42205</v>
      </c>
      <c r="BK190" s="16">
        <v>18200</v>
      </c>
      <c r="BL190" s="16">
        <v>140000</v>
      </c>
      <c r="BM190" s="16">
        <v>0</v>
      </c>
      <c r="BN190" s="16">
        <v>60000</v>
      </c>
      <c r="BO190" s="16">
        <v>0</v>
      </c>
      <c r="BP190" s="16">
        <v>0</v>
      </c>
      <c r="BQ190" s="16">
        <v>0</v>
      </c>
      <c r="BR190" s="16">
        <v>0</v>
      </c>
      <c r="BS190" s="16">
        <v>0</v>
      </c>
      <c r="BT190" s="16">
        <v>0</v>
      </c>
      <c r="BU190" s="16">
        <v>0</v>
      </c>
      <c r="BV190" s="16">
        <v>0</v>
      </c>
      <c r="BW190" s="16">
        <v>0</v>
      </c>
    </row>
    <row r="191" spans="1:75" ht="18" hidden="1" customHeight="1" outlineLevel="1">
      <c r="D191" s="7" t="s">
        <v>11</v>
      </c>
      <c r="F191" s="8">
        <v>4717</v>
      </c>
      <c r="G191" s="8">
        <v>5848</v>
      </c>
      <c r="K191" s="8">
        <v>2400</v>
      </c>
      <c r="L191" s="8">
        <f t="shared" si="130"/>
        <v>28800</v>
      </c>
      <c r="M191" s="8">
        <f t="shared" si="131"/>
        <v>32543.999999999996</v>
      </c>
      <c r="N191" s="8">
        <v>21014</v>
      </c>
      <c r="O191" s="9">
        <f t="shared" si="132"/>
        <v>0.64571042281219282</v>
      </c>
      <c r="Q191" s="5">
        <v>2021</v>
      </c>
      <c r="R191" s="5">
        <v>10</v>
      </c>
      <c r="S191" s="14" t="s">
        <v>54</v>
      </c>
      <c r="T191" s="15">
        <f t="shared" si="133"/>
        <v>4638505</v>
      </c>
      <c r="U191" s="15">
        <f t="shared" si="134"/>
        <v>5675670</v>
      </c>
      <c r="V191" s="16">
        <v>3630000</v>
      </c>
      <c r="W191" s="16">
        <v>1355670</v>
      </c>
      <c r="X191" s="16">
        <v>0</v>
      </c>
      <c r="Y191" s="16">
        <v>0</v>
      </c>
      <c r="Z191" s="16">
        <v>0</v>
      </c>
      <c r="AA191" s="16">
        <v>0</v>
      </c>
      <c r="AB191" s="16">
        <v>0</v>
      </c>
      <c r="AC191" s="16">
        <v>0</v>
      </c>
      <c r="AD191" s="16">
        <v>0</v>
      </c>
      <c r="AE191" s="16">
        <v>0</v>
      </c>
      <c r="AF191" s="16">
        <v>50000</v>
      </c>
      <c r="AG191" s="16">
        <v>0</v>
      </c>
      <c r="AH191" s="16">
        <v>100000</v>
      </c>
      <c r="AI191" s="16">
        <v>220000</v>
      </c>
      <c r="AJ191" s="16">
        <v>0</v>
      </c>
      <c r="AK191" s="16">
        <v>0</v>
      </c>
      <c r="AL191" s="16">
        <v>50000</v>
      </c>
      <c r="AM191" s="16">
        <v>0</v>
      </c>
      <c r="AN191" s="16">
        <v>70000</v>
      </c>
      <c r="AO191" s="16">
        <v>50000</v>
      </c>
      <c r="AP191" s="16">
        <v>150000</v>
      </c>
      <c r="AQ191" s="16">
        <v>0</v>
      </c>
      <c r="AR191" s="16">
        <v>0</v>
      </c>
      <c r="AS191" s="16">
        <v>0</v>
      </c>
      <c r="AT191" s="16">
        <v>0</v>
      </c>
      <c r="AU191" s="16">
        <v>0</v>
      </c>
      <c r="AV191" s="16">
        <v>0</v>
      </c>
      <c r="AW191" s="16">
        <v>0</v>
      </c>
      <c r="AX191" s="16">
        <v>0</v>
      </c>
      <c r="AY191" s="16">
        <v>0</v>
      </c>
      <c r="AZ191" s="16">
        <v>0</v>
      </c>
      <c r="BA191" s="16"/>
      <c r="BB191" s="15">
        <f t="shared" si="135"/>
        <v>1037165</v>
      </c>
      <c r="BC191" s="15">
        <v>0</v>
      </c>
      <c r="BD191" s="16">
        <v>286380</v>
      </c>
      <c r="BE191" s="16">
        <v>0</v>
      </c>
      <c r="BF191" s="16">
        <v>28630</v>
      </c>
      <c r="BG191" s="16">
        <v>0</v>
      </c>
      <c r="BH191" s="16">
        <v>221450</v>
      </c>
      <c r="BI191" s="16">
        <v>235800</v>
      </c>
      <c r="BJ191" s="16">
        <v>42205</v>
      </c>
      <c r="BK191" s="16">
        <v>18200</v>
      </c>
      <c r="BL191" s="16">
        <v>140000</v>
      </c>
      <c r="BM191" s="16">
        <v>0</v>
      </c>
      <c r="BN191" s="16">
        <v>64500</v>
      </c>
      <c r="BO191" s="16">
        <v>0</v>
      </c>
      <c r="BP191" s="16">
        <v>0</v>
      </c>
      <c r="BQ191" s="16">
        <v>0</v>
      </c>
      <c r="BR191" s="16">
        <v>0</v>
      </c>
      <c r="BS191" s="16">
        <v>0</v>
      </c>
      <c r="BT191" s="16">
        <v>0</v>
      </c>
      <c r="BU191" s="16">
        <v>0</v>
      </c>
      <c r="BV191" s="16">
        <v>0</v>
      </c>
      <c r="BW191" s="16">
        <v>0</v>
      </c>
    </row>
    <row r="192" spans="1:75" ht="18" hidden="1" customHeight="1" outlineLevel="1">
      <c r="D192" s="7" t="s">
        <v>12</v>
      </c>
      <c r="F192" s="8">
        <v>6867</v>
      </c>
      <c r="G192" s="8">
        <v>6867</v>
      </c>
      <c r="K192" s="8">
        <v>2400</v>
      </c>
      <c r="L192" s="8">
        <f t="shared" si="130"/>
        <v>28800</v>
      </c>
      <c r="M192" s="8">
        <f t="shared" si="131"/>
        <v>32543.999999999996</v>
      </c>
      <c r="N192" s="8">
        <v>21014</v>
      </c>
      <c r="O192" s="9">
        <f t="shared" si="132"/>
        <v>0.64571042281219282</v>
      </c>
      <c r="Q192" s="5">
        <v>2021</v>
      </c>
      <c r="R192" s="5">
        <v>9</v>
      </c>
      <c r="S192" s="14" t="s">
        <v>54</v>
      </c>
      <c r="T192" s="15">
        <f t="shared" si="133"/>
        <v>4470155</v>
      </c>
      <c r="U192" s="15">
        <f t="shared" si="134"/>
        <v>5625670</v>
      </c>
      <c r="V192" s="16">
        <v>3630000</v>
      </c>
      <c r="W192" s="16">
        <v>1355670</v>
      </c>
      <c r="X192" s="16">
        <v>0</v>
      </c>
      <c r="Y192" s="16">
        <v>0</v>
      </c>
      <c r="Z192" s="16">
        <v>0</v>
      </c>
      <c r="AA192" s="16">
        <v>0</v>
      </c>
      <c r="AB192" s="16">
        <v>0</v>
      </c>
      <c r="AC192" s="16">
        <v>0</v>
      </c>
      <c r="AD192" s="16">
        <v>0</v>
      </c>
      <c r="AE192" s="16">
        <v>0</v>
      </c>
      <c r="AF192" s="16">
        <v>50000</v>
      </c>
      <c r="AG192" s="16">
        <v>0</v>
      </c>
      <c r="AH192" s="16">
        <v>100000</v>
      </c>
      <c r="AI192" s="16">
        <v>220000</v>
      </c>
      <c r="AJ192" s="16">
        <v>150000</v>
      </c>
      <c r="AK192" s="16">
        <v>0</v>
      </c>
      <c r="AL192" s="16">
        <v>50000</v>
      </c>
      <c r="AM192" s="16">
        <v>0</v>
      </c>
      <c r="AN192" s="16">
        <v>70000</v>
      </c>
      <c r="AO192" s="16">
        <v>0</v>
      </c>
      <c r="AP192" s="16">
        <v>0</v>
      </c>
      <c r="AQ192" s="16">
        <v>0</v>
      </c>
      <c r="AR192" s="16">
        <v>0</v>
      </c>
      <c r="AS192" s="16">
        <v>0</v>
      </c>
      <c r="AT192" s="16">
        <v>0</v>
      </c>
      <c r="AU192" s="16">
        <v>0</v>
      </c>
      <c r="AV192" s="16">
        <v>0</v>
      </c>
      <c r="AW192" s="16">
        <v>0</v>
      </c>
      <c r="AX192" s="16">
        <v>0</v>
      </c>
      <c r="AY192" s="16">
        <v>0</v>
      </c>
      <c r="AZ192" s="16">
        <v>0</v>
      </c>
      <c r="BA192" s="16"/>
      <c r="BB192" s="15">
        <f t="shared" si="135"/>
        <v>1155515</v>
      </c>
      <c r="BC192" s="15">
        <v>0</v>
      </c>
      <c r="BD192" s="16">
        <v>304240</v>
      </c>
      <c r="BE192" s="16">
        <v>0</v>
      </c>
      <c r="BF192" s="16">
        <v>30420</v>
      </c>
      <c r="BG192" s="16">
        <v>0</v>
      </c>
      <c r="BH192" s="16">
        <v>221450</v>
      </c>
      <c r="BI192" s="16">
        <v>235800</v>
      </c>
      <c r="BJ192" s="16">
        <v>43405</v>
      </c>
      <c r="BK192" s="16">
        <v>18200</v>
      </c>
      <c r="BL192" s="16">
        <v>140000</v>
      </c>
      <c r="BM192" s="16">
        <v>150000</v>
      </c>
      <c r="BN192" s="16">
        <v>12000</v>
      </c>
      <c r="BO192" s="16">
        <v>0</v>
      </c>
      <c r="BP192" s="16">
        <v>0</v>
      </c>
      <c r="BQ192" s="16">
        <v>0</v>
      </c>
      <c r="BR192" s="16">
        <v>0</v>
      </c>
      <c r="BS192" s="16">
        <v>0</v>
      </c>
      <c r="BT192" s="16">
        <v>0</v>
      </c>
      <c r="BU192" s="16">
        <v>0</v>
      </c>
      <c r="BV192" s="16">
        <v>0</v>
      </c>
      <c r="BW192" s="16">
        <v>0</v>
      </c>
    </row>
    <row r="193" spans="1:75" ht="18" hidden="1" customHeight="1" outlineLevel="1">
      <c r="D193" s="7" t="s">
        <v>13</v>
      </c>
      <c r="F193" s="8">
        <v>7988</v>
      </c>
      <c r="G193" s="8" t="s">
        <v>2</v>
      </c>
      <c r="H193" s="8" t="s">
        <v>17</v>
      </c>
      <c r="I193" s="8">
        <v>171</v>
      </c>
      <c r="K193" s="8">
        <v>2400</v>
      </c>
      <c r="L193" s="8">
        <f t="shared" si="130"/>
        <v>28800</v>
      </c>
      <c r="M193" s="8">
        <f t="shared" si="131"/>
        <v>32543.999999999996</v>
      </c>
      <c r="N193" s="8">
        <v>21014</v>
      </c>
      <c r="O193" s="9">
        <f t="shared" si="132"/>
        <v>0.64571042281219282</v>
      </c>
      <c r="Q193" s="5">
        <v>2021</v>
      </c>
      <c r="R193" s="5">
        <v>8</v>
      </c>
      <c r="S193" s="14" t="s">
        <v>54</v>
      </c>
      <c r="T193" s="15">
        <f t="shared" si="133"/>
        <v>4465505</v>
      </c>
      <c r="U193" s="15">
        <f t="shared" si="134"/>
        <v>5475670</v>
      </c>
      <c r="V193" s="16">
        <v>3630000</v>
      </c>
      <c r="W193" s="16">
        <v>1355670</v>
      </c>
      <c r="X193" s="16">
        <v>0</v>
      </c>
      <c r="Y193" s="16">
        <v>0</v>
      </c>
      <c r="Z193" s="16">
        <v>0</v>
      </c>
      <c r="AA193" s="16">
        <v>0</v>
      </c>
      <c r="AB193" s="16">
        <v>0</v>
      </c>
      <c r="AC193" s="16">
        <v>0</v>
      </c>
      <c r="AD193" s="16">
        <v>0</v>
      </c>
      <c r="AE193" s="16">
        <v>0</v>
      </c>
      <c r="AF193" s="16">
        <v>50000</v>
      </c>
      <c r="AG193" s="16">
        <v>0</v>
      </c>
      <c r="AH193" s="16">
        <v>100000</v>
      </c>
      <c r="AI193" s="16">
        <v>220000</v>
      </c>
      <c r="AJ193" s="16">
        <v>0</v>
      </c>
      <c r="AK193" s="16">
        <v>0</v>
      </c>
      <c r="AL193" s="16">
        <v>50000</v>
      </c>
      <c r="AM193" s="16">
        <v>0</v>
      </c>
      <c r="AN193" s="16">
        <v>70000</v>
      </c>
      <c r="AO193" s="16">
        <v>0</v>
      </c>
      <c r="AP193" s="16">
        <v>0</v>
      </c>
      <c r="AQ193" s="16">
        <v>0</v>
      </c>
      <c r="AR193" s="16">
        <v>0</v>
      </c>
      <c r="AS193" s="16">
        <v>0</v>
      </c>
      <c r="AT193" s="16">
        <v>0</v>
      </c>
      <c r="AU193" s="16">
        <v>0</v>
      </c>
      <c r="AV193" s="16">
        <v>0</v>
      </c>
      <c r="AW193" s="16">
        <v>0</v>
      </c>
      <c r="AX193" s="16">
        <v>0</v>
      </c>
      <c r="AY193" s="16">
        <v>0</v>
      </c>
      <c r="AZ193" s="16">
        <v>0</v>
      </c>
      <c r="BA193" s="16"/>
      <c r="BB193" s="15">
        <f t="shared" si="135"/>
        <v>1010165</v>
      </c>
      <c r="BC193" s="15">
        <v>0</v>
      </c>
      <c r="BD193" s="16">
        <v>286380</v>
      </c>
      <c r="BE193" s="16">
        <v>0</v>
      </c>
      <c r="BF193" s="16">
        <v>28630</v>
      </c>
      <c r="BG193" s="16">
        <v>0</v>
      </c>
      <c r="BH193" s="16">
        <v>221450</v>
      </c>
      <c r="BI193" s="16">
        <v>235800</v>
      </c>
      <c r="BJ193" s="16">
        <v>42205</v>
      </c>
      <c r="BK193" s="16">
        <v>18200</v>
      </c>
      <c r="BL193" s="16">
        <v>140000</v>
      </c>
      <c r="BM193" s="16">
        <v>0</v>
      </c>
      <c r="BN193" s="16">
        <v>37500</v>
      </c>
      <c r="BO193" s="16">
        <v>0</v>
      </c>
      <c r="BP193" s="16">
        <v>0</v>
      </c>
      <c r="BQ193" s="16">
        <v>0</v>
      </c>
      <c r="BR193" s="16">
        <v>0</v>
      </c>
      <c r="BS193" s="16">
        <v>0</v>
      </c>
      <c r="BT193" s="16">
        <v>0</v>
      </c>
      <c r="BU193" s="16">
        <v>0</v>
      </c>
      <c r="BV193" s="16">
        <v>0</v>
      </c>
      <c r="BW193" s="16">
        <v>0</v>
      </c>
    </row>
    <row r="194" spans="1:75" ht="18" hidden="1" customHeight="1" outlineLevel="1">
      <c r="D194" s="7" t="s">
        <v>13</v>
      </c>
      <c r="F194" s="8">
        <v>7988</v>
      </c>
      <c r="G194" s="8" t="s">
        <v>2</v>
      </c>
      <c r="H194" s="8" t="s">
        <v>17</v>
      </c>
      <c r="I194" s="8">
        <v>171</v>
      </c>
      <c r="K194" s="8">
        <v>2400</v>
      </c>
      <c r="L194" s="8">
        <f t="shared" si="130"/>
        <v>28800</v>
      </c>
      <c r="M194" s="8">
        <f t="shared" si="131"/>
        <v>32543.999999999996</v>
      </c>
      <c r="N194" s="8">
        <v>21014</v>
      </c>
      <c r="O194" s="9">
        <f t="shared" si="132"/>
        <v>0.64571042281219282</v>
      </c>
      <c r="Q194" s="5">
        <v>2021</v>
      </c>
      <c r="R194" s="5">
        <v>7</v>
      </c>
      <c r="S194" s="14" t="s">
        <v>54</v>
      </c>
      <c r="T194" s="15">
        <f t="shared" si="133"/>
        <v>4718775</v>
      </c>
      <c r="U194" s="15">
        <f t="shared" si="134"/>
        <v>5775670</v>
      </c>
      <c r="V194" s="16">
        <v>3630000</v>
      </c>
      <c r="W194" s="16">
        <v>1355670</v>
      </c>
      <c r="X194" s="16">
        <v>0</v>
      </c>
      <c r="Y194" s="16">
        <v>0</v>
      </c>
      <c r="Z194" s="16">
        <v>0</v>
      </c>
      <c r="AA194" s="16">
        <v>0</v>
      </c>
      <c r="AB194" s="16">
        <v>0</v>
      </c>
      <c r="AC194" s="16">
        <v>0</v>
      </c>
      <c r="AD194" s="16">
        <v>0</v>
      </c>
      <c r="AE194" s="16">
        <v>0</v>
      </c>
      <c r="AF194" s="16">
        <v>50000</v>
      </c>
      <c r="AG194" s="16">
        <v>0</v>
      </c>
      <c r="AH194" s="16">
        <v>100000</v>
      </c>
      <c r="AI194" s="16">
        <v>220000</v>
      </c>
      <c r="AJ194" s="16">
        <v>0</v>
      </c>
      <c r="AK194" s="16">
        <v>300000</v>
      </c>
      <c r="AL194" s="16">
        <v>50000</v>
      </c>
      <c r="AM194" s="16">
        <v>0</v>
      </c>
      <c r="AN194" s="16">
        <v>70000</v>
      </c>
      <c r="AO194" s="16">
        <v>0</v>
      </c>
      <c r="AP194" s="16">
        <v>0</v>
      </c>
      <c r="AQ194" s="16">
        <v>0</v>
      </c>
      <c r="AR194" s="16">
        <v>0</v>
      </c>
      <c r="AS194" s="16">
        <v>0</v>
      </c>
      <c r="AT194" s="16">
        <v>0</v>
      </c>
      <c r="AU194" s="16">
        <v>0</v>
      </c>
      <c r="AV194" s="16">
        <v>0</v>
      </c>
      <c r="AW194" s="16">
        <v>0</v>
      </c>
      <c r="AX194" s="16">
        <v>0</v>
      </c>
      <c r="AY194" s="16">
        <v>0</v>
      </c>
      <c r="AZ194" s="16">
        <v>0</v>
      </c>
      <c r="BA194" s="16"/>
      <c r="BB194" s="15">
        <f t="shared" si="135"/>
        <v>1056895</v>
      </c>
      <c r="BC194" s="15">
        <v>0</v>
      </c>
      <c r="BD194" s="16">
        <v>319860</v>
      </c>
      <c r="BE194" s="16">
        <v>0</v>
      </c>
      <c r="BF194" s="16">
        <v>31980</v>
      </c>
      <c r="BG194" s="16">
        <v>0</v>
      </c>
      <c r="BH194" s="16">
        <v>221450</v>
      </c>
      <c r="BI194" s="16">
        <v>235800</v>
      </c>
      <c r="BJ194" s="16">
        <v>44605</v>
      </c>
      <c r="BK194" s="16">
        <v>18200</v>
      </c>
      <c r="BL194" s="16">
        <v>140000</v>
      </c>
      <c r="BM194" s="16">
        <v>0</v>
      </c>
      <c r="BN194" s="16">
        <v>45000</v>
      </c>
      <c r="BO194" s="16">
        <v>0</v>
      </c>
      <c r="BP194" s="16">
        <v>0</v>
      </c>
      <c r="BQ194" s="16">
        <v>0</v>
      </c>
      <c r="BR194" s="16">
        <v>0</v>
      </c>
      <c r="BS194" s="16">
        <v>0</v>
      </c>
      <c r="BT194" s="16">
        <v>0</v>
      </c>
      <c r="BU194" s="16">
        <v>0</v>
      </c>
      <c r="BV194" s="16">
        <v>0</v>
      </c>
      <c r="BW194" s="16">
        <v>0</v>
      </c>
    </row>
    <row r="195" spans="1:75" ht="18" hidden="1" customHeight="1" outlineLevel="1">
      <c r="H195" s="8" t="s">
        <v>18</v>
      </c>
      <c r="I195" s="8">
        <v>122</v>
      </c>
      <c r="J195" s="9"/>
      <c r="Q195" s="5">
        <v>2021</v>
      </c>
      <c r="R195" s="5">
        <v>6</v>
      </c>
      <c r="S195" s="14" t="s">
        <v>54</v>
      </c>
      <c r="T195" s="15">
        <f t="shared" si="133"/>
        <v>4643725</v>
      </c>
      <c r="U195" s="15">
        <f t="shared" si="134"/>
        <v>5715670</v>
      </c>
      <c r="V195" s="16">
        <v>3630000</v>
      </c>
      <c r="W195" s="16">
        <v>1355670</v>
      </c>
      <c r="X195" s="16">
        <v>0</v>
      </c>
      <c r="Y195" s="16">
        <v>0</v>
      </c>
      <c r="Z195" s="16">
        <v>0</v>
      </c>
      <c r="AA195" s="16">
        <v>0</v>
      </c>
      <c r="AB195" s="16">
        <v>0</v>
      </c>
      <c r="AC195" s="16">
        <v>0</v>
      </c>
      <c r="AD195" s="16">
        <v>0</v>
      </c>
      <c r="AE195" s="16">
        <v>0</v>
      </c>
      <c r="AF195" s="16">
        <v>50000</v>
      </c>
      <c r="AG195" s="16">
        <v>0</v>
      </c>
      <c r="AH195" s="16">
        <v>100000</v>
      </c>
      <c r="AI195" s="16">
        <v>220000</v>
      </c>
      <c r="AJ195" s="16">
        <v>0</v>
      </c>
      <c r="AK195" s="16">
        <v>0</v>
      </c>
      <c r="AL195" s="16">
        <v>50000</v>
      </c>
      <c r="AM195" s="16">
        <v>0</v>
      </c>
      <c r="AN195" s="16">
        <v>70000</v>
      </c>
      <c r="AO195" s="16">
        <v>50000</v>
      </c>
      <c r="AP195" s="16">
        <v>150000</v>
      </c>
      <c r="AQ195" s="16">
        <v>40000</v>
      </c>
      <c r="AR195" s="16">
        <v>0</v>
      </c>
      <c r="AS195" s="16">
        <v>0</v>
      </c>
      <c r="AT195" s="16">
        <v>0</v>
      </c>
      <c r="AU195" s="16">
        <v>0</v>
      </c>
      <c r="AV195" s="16">
        <v>0</v>
      </c>
      <c r="AW195" s="16">
        <v>0</v>
      </c>
      <c r="AX195" s="16">
        <v>0</v>
      </c>
      <c r="AY195" s="16">
        <v>0</v>
      </c>
      <c r="AZ195" s="16">
        <v>0</v>
      </c>
      <c r="BA195" s="16"/>
      <c r="BB195" s="15">
        <f t="shared" si="135"/>
        <v>1071945</v>
      </c>
      <c r="BC195" s="15">
        <v>0</v>
      </c>
      <c r="BD195" s="16">
        <v>290840</v>
      </c>
      <c r="BE195" s="16">
        <v>0</v>
      </c>
      <c r="BF195" s="16">
        <v>29080</v>
      </c>
      <c r="BG195" s="16">
        <v>0</v>
      </c>
      <c r="BH195" s="16">
        <v>221450</v>
      </c>
      <c r="BI195" s="16">
        <v>226350</v>
      </c>
      <c r="BJ195" s="16">
        <v>42525</v>
      </c>
      <c r="BK195" s="16">
        <v>18200</v>
      </c>
      <c r="BL195" s="16">
        <v>140000</v>
      </c>
      <c r="BM195" s="16">
        <v>0</v>
      </c>
      <c r="BN195" s="16">
        <v>73500</v>
      </c>
      <c r="BO195" s="16">
        <v>0</v>
      </c>
      <c r="BP195" s="16">
        <v>0</v>
      </c>
      <c r="BQ195" s="16">
        <v>0</v>
      </c>
      <c r="BR195" s="16">
        <v>30000</v>
      </c>
      <c r="BS195" s="16">
        <v>0</v>
      </c>
      <c r="BT195" s="16">
        <v>0</v>
      </c>
      <c r="BU195" s="16">
        <v>0</v>
      </c>
      <c r="BV195" s="16">
        <v>0</v>
      </c>
      <c r="BW195" s="16">
        <v>0</v>
      </c>
    </row>
    <row r="196" spans="1:75" ht="18" hidden="1" customHeight="1" outlineLevel="1">
      <c r="J196" s="9"/>
      <c r="Q196" s="5">
        <v>2021</v>
      </c>
      <c r="R196" s="5">
        <v>5</v>
      </c>
      <c r="S196" s="14" t="s">
        <v>54</v>
      </c>
      <c r="T196" s="15">
        <f t="shared" si="133"/>
        <v>4753916</v>
      </c>
      <c r="U196" s="15">
        <f t="shared" si="134"/>
        <v>6074350</v>
      </c>
      <c r="V196" s="16">
        <v>3630000</v>
      </c>
      <c r="W196" s="16">
        <v>1355670</v>
      </c>
      <c r="X196" s="16">
        <v>0</v>
      </c>
      <c r="Y196" s="16">
        <v>0</v>
      </c>
      <c r="Z196" s="16">
        <v>0</v>
      </c>
      <c r="AA196" s="16">
        <v>0</v>
      </c>
      <c r="AB196" s="16">
        <v>0</v>
      </c>
      <c r="AC196" s="16">
        <v>448680</v>
      </c>
      <c r="AD196" s="16">
        <v>0</v>
      </c>
      <c r="AE196" s="16">
        <v>0</v>
      </c>
      <c r="AF196" s="16">
        <v>50000</v>
      </c>
      <c r="AG196" s="16">
        <v>0</v>
      </c>
      <c r="AH196" s="16">
        <v>100000</v>
      </c>
      <c r="AI196" s="16">
        <v>220000</v>
      </c>
      <c r="AJ196" s="16">
        <v>150000</v>
      </c>
      <c r="AK196" s="16">
        <v>0</v>
      </c>
      <c r="AL196" s="16">
        <v>50000</v>
      </c>
      <c r="AM196" s="16">
        <v>0</v>
      </c>
      <c r="AN196" s="16">
        <v>70000</v>
      </c>
      <c r="AO196" s="16">
        <v>0</v>
      </c>
      <c r="AP196" s="16">
        <v>0</v>
      </c>
      <c r="AQ196" s="16">
        <v>0</v>
      </c>
      <c r="AR196" s="16">
        <v>0</v>
      </c>
      <c r="AS196" s="16">
        <v>0</v>
      </c>
      <c r="AT196" s="16">
        <v>0</v>
      </c>
      <c r="AU196" s="16">
        <v>0</v>
      </c>
      <c r="AV196" s="16">
        <v>0</v>
      </c>
      <c r="AW196" s="16">
        <v>0</v>
      </c>
      <c r="AX196" s="16">
        <v>0</v>
      </c>
      <c r="AY196" s="16">
        <v>0</v>
      </c>
      <c r="AZ196" s="16">
        <v>0</v>
      </c>
      <c r="BA196" s="16"/>
      <c r="BB196" s="15">
        <f t="shared" si="135"/>
        <v>1320434</v>
      </c>
      <c r="BC196" s="15">
        <v>0</v>
      </c>
      <c r="BD196" s="16">
        <v>377680</v>
      </c>
      <c r="BE196" s="16">
        <v>0</v>
      </c>
      <c r="BF196" s="16">
        <v>37760</v>
      </c>
      <c r="BG196" s="16">
        <v>0</v>
      </c>
      <c r="BH196" s="16">
        <v>221450</v>
      </c>
      <c r="BI196" s="16">
        <v>226350</v>
      </c>
      <c r="BJ196" s="16">
        <v>46994</v>
      </c>
      <c r="BK196" s="16">
        <v>18200</v>
      </c>
      <c r="BL196" s="16">
        <v>140000</v>
      </c>
      <c r="BM196" s="16">
        <v>150000</v>
      </c>
      <c r="BN196" s="16">
        <v>102000</v>
      </c>
      <c r="BO196" s="16">
        <v>0</v>
      </c>
      <c r="BP196" s="16">
        <v>0</v>
      </c>
      <c r="BQ196" s="16">
        <v>0</v>
      </c>
      <c r="BR196" s="16">
        <v>0</v>
      </c>
      <c r="BS196" s="16">
        <v>0</v>
      </c>
      <c r="BT196" s="16">
        <v>0</v>
      </c>
      <c r="BU196" s="16">
        <v>0</v>
      </c>
      <c r="BV196" s="16">
        <v>0</v>
      </c>
      <c r="BW196" s="16">
        <v>0</v>
      </c>
    </row>
    <row r="197" spans="1:75" ht="18" hidden="1" customHeight="1" outlineLevel="1">
      <c r="B197" s="7">
        <v>2021</v>
      </c>
      <c r="C197" s="8" t="s">
        <v>12</v>
      </c>
      <c r="E197" s="8">
        <v>6867</v>
      </c>
      <c r="J197" s="9"/>
      <c r="Q197" s="5">
        <v>2021</v>
      </c>
      <c r="R197" s="5">
        <v>4</v>
      </c>
      <c r="S197" s="14" t="s">
        <v>54</v>
      </c>
      <c r="T197" s="15">
        <f t="shared" si="133"/>
        <v>4267492</v>
      </c>
      <c r="U197" s="15">
        <f t="shared" si="134"/>
        <v>5343500</v>
      </c>
      <c r="V197" s="16">
        <v>3548000</v>
      </c>
      <c r="W197" s="16">
        <v>1325500</v>
      </c>
      <c r="X197" s="16">
        <v>0</v>
      </c>
      <c r="Y197" s="16">
        <v>0</v>
      </c>
      <c r="Z197" s="16">
        <v>0</v>
      </c>
      <c r="AA197" s="16">
        <v>0</v>
      </c>
      <c r="AB197" s="16">
        <v>0</v>
      </c>
      <c r="AC197" s="16">
        <v>0</v>
      </c>
      <c r="AD197" s="16">
        <v>0</v>
      </c>
      <c r="AE197" s="16">
        <v>0</v>
      </c>
      <c r="AF197" s="16">
        <v>50000</v>
      </c>
      <c r="AG197" s="16">
        <v>0</v>
      </c>
      <c r="AH197" s="16">
        <v>100000</v>
      </c>
      <c r="AI197" s="16">
        <v>200000</v>
      </c>
      <c r="AJ197" s="16">
        <v>0</v>
      </c>
      <c r="AK197" s="16">
        <v>0</v>
      </c>
      <c r="AL197" s="16">
        <v>50000</v>
      </c>
      <c r="AM197" s="16">
        <v>0</v>
      </c>
      <c r="AN197" s="16">
        <v>70000</v>
      </c>
      <c r="AO197" s="16">
        <v>0</v>
      </c>
      <c r="AP197" s="16">
        <v>0</v>
      </c>
      <c r="AQ197" s="16">
        <v>0</v>
      </c>
      <c r="AR197" s="16">
        <v>0</v>
      </c>
      <c r="AS197" s="16">
        <v>0</v>
      </c>
      <c r="AT197" s="16">
        <v>0</v>
      </c>
      <c r="AU197" s="16">
        <v>0</v>
      </c>
      <c r="AV197" s="16">
        <v>0</v>
      </c>
      <c r="AW197" s="16">
        <v>0</v>
      </c>
      <c r="AX197" s="16">
        <v>0</v>
      </c>
      <c r="AY197" s="16">
        <v>0</v>
      </c>
      <c r="AZ197" s="16">
        <v>0</v>
      </c>
      <c r="BA197" s="16"/>
      <c r="BB197" s="15">
        <f t="shared" si="135"/>
        <v>1076008</v>
      </c>
      <c r="BC197" s="15">
        <v>0</v>
      </c>
      <c r="BD197" s="16">
        <v>272990</v>
      </c>
      <c r="BE197" s="16">
        <v>0</v>
      </c>
      <c r="BF197" s="16">
        <v>27290</v>
      </c>
      <c r="BG197" s="16">
        <v>0</v>
      </c>
      <c r="BH197" s="16">
        <v>221450</v>
      </c>
      <c r="BI197" s="16">
        <v>226350</v>
      </c>
      <c r="BJ197" s="16">
        <v>41148</v>
      </c>
      <c r="BK197" s="16">
        <v>17800</v>
      </c>
      <c r="BL197" s="16">
        <v>140000</v>
      </c>
      <c r="BM197" s="16">
        <v>0</v>
      </c>
      <c r="BN197" s="16">
        <v>110800</v>
      </c>
      <c r="BO197" s="16">
        <v>18180</v>
      </c>
      <c r="BP197" s="16">
        <v>0</v>
      </c>
      <c r="BQ197" s="16">
        <v>0</v>
      </c>
      <c r="BR197" s="16">
        <v>0</v>
      </c>
      <c r="BS197" s="16">
        <v>0</v>
      </c>
      <c r="BT197" s="16">
        <v>0</v>
      </c>
      <c r="BU197" s="16">
        <v>0</v>
      </c>
      <c r="BV197" s="16">
        <v>0</v>
      </c>
      <c r="BW197" s="16">
        <v>0</v>
      </c>
    </row>
    <row r="198" spans="1:75" ht="18" hidden="1" customHeight="1" outlineLevel="1">
      <c r="B198" s="7">
        <v>2021</v>
      </c>
      <c r="C198" s="8" t="s">
        <v>12</v>
      </c>
      <c r="E198" s="8">
        <v>6867</v>
      </c>
      <c r="J198" s="9"/>
      <c r="Q198" s="5">
        <v>2021</v>
      </c>
      <c r="R198" s="5">
        <v>4</v>
      </c>
      <c r="S198" s="14" t="s">
        <v>28</v>
      </c>
      <c r="T198" s="15">
        <f t="shared" si="133"/>
        <v>6100910</v>
      </c>
      <c r="U198" s="15">
        <f t="shared" si="134"/>
        <v>7699092</v>
      </c>
      <c r="V198" s="16">
        <v>0</v>
      </c>
      <c r="W198" s="16">
        <v>0</v>
      </c>
      <c r="X198" s="16">
        <v>0</v>
      </c>
      <c r="Y198" s="16">
        <v>0</v>
      </c>
      <c r="Z198" s="16">
        <v>0</v>
      </c>
      <c r="AA198" s="16">
        <v>0</v>
      </c>
      <c r="AB198" s="16">
        <v>0</v>
      </c>
      <c r="AC198" s="16">
        <v>0</v>
      </c>
      <c r="AD198" s="16">
        <v>6199092</v>
      </c>
      <c r="AE198" s="16">
        <v>1500000</v>
      </c>
      <c r="AF198" s="16">
        <v>0</v>
      </c>
      <c r="AG198" s="16">
        <v>0</v>
      </c>
      <c r="AH198" s="16">
        <v>0</v>
      </c>
      <c r="AI198" s="16">
        <v>0</v>
      </c>
      <c r="AJ198" s="16">
        <v>0</v>
      </c>
      <c r="AK198" s="16">
        <v>0</v>
      </c>
      <c r="AL198" s="16">
        <v>0</v>
      </c>
      <c r="AM198" s="16">
        <v>0</v>
      </c>
      <c r="AN198" s="16">
        <v>0</v>
      </c>
      <c r="AO198" s="16">
        <v>0</v>
      </c>
      <c r="AP198" s="16">
        <v>0</v>
      </c>
      <c r="AQ198" s="16">
        <v>0</v>
      </c>
      <c r="AR198" s="16">
        <v>0</v>
      </c>
      <c r="AS198" s="16">
        <v>0</v>
      </c>
      <c r="AT198" s="16">
        <v>0</v>
      </c>
      <c r="AU198" s="16">
        <v>0</v>
      </c>
      <c r="AV198" s="16">
        <v>0</v>
      </c>
      <c r="AW198" s="16">
        <v>0</v>
      </c>
      <c r="AX198" s="16">
        <v>0</v>
      </c>
      <c r="AY198" s="16">
        <v>0</v>
      </c>
      <c r="AZ198" s="16">
        <v>0</v>
      </c>
      <c r="BA198" s="16"/>
      <c r="BB198" s="15">
        <f t="shared" si="135"/>
        <v>1598182</v>
      </c>
      <c r="BC198" s="15">
        <v>0</v>
      </c>
      <c r="BD198" s="16">
        <v>1396900</v>
      </c>
      <c r="BE198" s="16">
        <v>0</v>
      </c>
      <c r="BF198" s="16">
        <v>139690</v>
      </c>
      <c r="BG198" s="16">
        <v>0</v>
      </c>
      <c r="BH198" s="16">
        <v>0</v>
      </c>
      <c r="BI198" s="16">
        <v>0</v>
      </c>
      <c r="BJ198" s="16">
        <v>61592</v>
      </c>
      <c r="BK198" s="16">
        <v>0</v>
      </c>
      <c r="BL198" s="16">
        <v>0</v>
      </c>
      <c r="BM198" s="16">
        <v>0</v>
      </c>
      <c r="BN198" s="16">
        <v>0</v>
      </c>
      <c r="BO198" s="16">
        <v>0</v>
      </c>
      <c r="BP198" s="16">
        <v>0</v>
      </c>
      <c r="BQ198" s="16">
        <v>0</v>
      </c>
      <c r="BR198" s="16">
        <v>0</v>
      </c>
      <c r="BS198" s="16">
        <v>0</v>
      </c>
      <c r="BT198" s="16">
        <v>0</v>
      </c>
      <c r="BU198" s="16">
        <v>0</v>
      </c>
      <c r="BV198" s="16">
        <v>0</v>
      </c>
      <c r="BW198" s="16">
        <v>0</v>
      </c>
    </row>
    <row r="199" spans="1:75" ht="18" hidden="1" customHeight="1" outlineLevel="1">
      <c r="B199" s="7">
        <v>2022</v>
      </c>
      <c r="C199" s="8" t="s">
        <v>12</v>
      </c>
      <c r="E199" s="8">
        <v>6867</v>
      </c>
      <c r="J199" s="9"/>
      <c r="Q199" s="5">
        <v>2021</v>
      </c>
      <c r="R199" s="5">
        <v>3</v>
      </c>
      <c r="S199" s="14" t="s">
        <v>54</v>
      </c>
      <c r="T199" s="15">
        <f t="shared" si="133"/>
        <v>4422402</v>
      </c>
      <c r="U199" s="15">
        <f t="shared" si="134"/>
        <v>5273500</v>
      </c>
      <c r="V199" s="16">
        <v>3548000</v>
      </c>
      <c r="W199" s="16">
        <v>1325500</v>
      </c>
      <c r="X199" s="16">
        <v>0</v>
      </c>
      <c r="Y199" s="16">
        <v>0</v>
      </c>
      <c r="Z199" s="16">
        <v>0</v>
      </c>
      <c r="AA199" s="16">
        <v>0</v>
      </c>
      <c r="AB199" s="16">
        <v>0</v>
      </c>
      <c r="AC199" s="16">
        <v>0</v>
      </c>
      <c r="AD199" s="16">
        <v>0</v>
      </c>
      <c r="AE199" s="16">
        <v>0</v>
      </c>
      <c r="AF199" s="16">
        <v>50000</v>
      </c>
      <c r="AG199" s="16">
        <v>0</v>
      </c>
      <c r="AH199" s="16">
        <v>100000</v>
      </c>
      <c r="AI199" s="16">
        <v>200000</v>
      </c>
      <c r="AJ199" s="16">
        <v>0</v>
      </c>
      <c r="AK199" s="16">
        <v>0</v>
      </c>
      <c r="AL199" s="16">
        <v>50000</v>
      </c>
      <c r="AM199" s="16">
        <v>0</v>
      </c>
      <c r="AN199" s="16">
        <v>0</v>
      </c>
      <c r="AO199" s="16">
        <v>0</v>
      </c>
      <c r="AP199" s="16">
        <v>0</v>
      </c>
      <c r="AQ199" s="16">
        <v>0</v>
      </c>
      <c r="AR199" s="16">
        <v>0</v>
      </c>
      <c r="AS199" s="16">
        <v>0</v>
      </c>
      <c r="AT199" s="16">
        <v>0</v>
      </c>
      <c r="AU199" s="16">
        <v>0</v>
      </c>
      <c r="AV199" s="16">
        <v>0</v>
      </c>
      <c r="AW199" s="16">
        <v>0</v>
      </c>
      <c r="AX199" s="16">
        <v>0</v>
      </c>
      <c r="AY199" s="16">
        <v>0</v>
      </c>
      <c r="AZ199" s="16">
        <v>0</v>
      </c>
      <c r="BA199" s="16"/>
      <c r="BB199" s="15">
        <f t="shared" si="135"/>
        <v>851098</v>
      </c>
      <c r="BC199" s="15">
        <v>0</v>
      </c>
      <c r="BD199" s="16">
        <v>264060</v>
      </c>
      <c r="BE199" s="16">
        <v>0</v>
      </c>
      <c r="BF199" s="16">
        <v>26400</v>
      </c>
      <c r="BG199" s="16">
        <v>0</v>
      </c>
      <c r="BH199" s="16">
        <v>220900</v>
      </c>
      <c r="BI199" s="16">
        <v>226350</v>
      </c>
      <c r="BJ199" s="16">
        <v>40588</v>
      </c>
      <c r="BK199" s="16">
        <v>17800</v>
      </c>
      <c r="BL199" s="16">
        <v>0</v>
      </c>
      <c r="BM199" s="16">
        <v>0</v>
      </c>
      <c r="BN199" s="16">
        <v>55000</v>
      </c>
      <c r="BO199" s="16">
        <v>0</v>
      </c>
      <c r="BP199" s="16">
        <v>0</v>
      </c>
      <c r="BQ199" s="16">
        <v>0</v>
      </c>
      <c r="BR199" s="16">
        <v>0</v>
      </c>
      <c r="BS199" s="16">
        <v>0</v>
      </c>
      <c r="BT199" s="16">
        <v>0</v>
      </c>
      <c r="BU199" s="16">
        <v>0</v>
      </c>
      <c r="BV199" s="16">
        <v>0</v>
      </c>
      <c r="BW199" s="16">
        <v>0</v>
      </c>
    </row>
    <row r="200" spans="1:75" ht="18" hidden="1" customHeight="1" outlineLevel="1">
      <c r="B200" s="7">
        <v>2023</v>
      </c>
      <c r="C200" s="8" t="s">
        <v>12</v>
      </c>
      <c r="E200" s="8">
        <v>6867</v>
      </c>
      <c r="J200" s="9"/>
      <c r="Q200" s="5">
        <v>2021</v>
      </c>
      <c r="R200" s="5">
        <v>2</v>
      </c>
      <c r="S200" s="14" t="s">
        <v>54</v>
      </c>
      <c r="T200" s="15">
        <f t="shared" si="133"/>
        <v>4295752</v>
      </c>
      <c r="U200" s="15">
        <f t="shared" si="134"/>
        <v>5423500</v>
      </c>
      <c r="V200" s="16">
        <v>3548000</v>
      </c>
      <c r="W200" s="16">
        <v>1325500</v>
      </c>
      <c r="X200" s="16">
        <v>0</v>
      </c>
      <c r="Y200" s="16">
        <v>0</v>
      </c>
      <c r="Z200" s="16">
        <v>0</v>
      </c>
      <c r="AA200" s="16">
        <v>0</v>
      </c>
      <c r="AB200" s="16">
        <v>0</v>
      </c>
      <c r="AC200" s="16">
        <v>0</v>
      </c>
      <c r="AD200" s="16">
        <v>0</v>
      </c>
      <c r="AE200" s="16">
        <v>0</v>
      </c>
      <c r="AF200" s="16">
        <v>50000</v>
      </c>
      <c r="AG200" s="16">
        <v>0</v>
      </c>
      <c r="AH200" s="16">
        <v>100000</v>
      </c>
      <c r="AI200" s="16">
        <v>200000</v>
      </c>
      <c r="AJ200" s="16">
        <v>150000</v>
      </c>
      <c r="AK200" s="16">
        <v>0</v>
      </c>
      <c r="AL200" s="16">
        <v>50000</v>
      </c>
      <c r="AM200" s="16">
        <v>0</v>
      </c>
      <c r="AN200" s="16">
        <v>0</v>
      </c>
      <c r="AO200" s="16">
        <v>0</v>
      </c>
      <c r="AP200" s="16">
        <v>0</v>
      </c>
      <c r="AQ200" s="16">
        <v>0</v>
      </c>
      <c r="AR200" s="16">
        <v>0</v>
      </c>
      <c r="AS200" s="16">
        <v>0</v>
      </c>
      <c r="AT200" s="16">
        <v>0</v>
      </c>
      <c r="AU200" s="16">
        <v>0</v>
      </c>
      <c r="AV200" s="16">
        <v>0</v>
      </c>
      <c r="AW200" s="16">
        <v>0</v>
      </c>
      <c r="AX200" s="16">
        <v>0</v>
      </c>
      <c r="AY200" s="16">
        <v>0</v>
      </c>
      <c r="AZ200" s="16">
        <v>0</v>
      </c>
      <c r="BA200" s="16"/>
      <c r="BB200" s="15">
        <f t="shared" si="135"/>
        <v>1127748</v>
      </c>
      <c r="BC200" s="15">
        <v>142440</v>
      </c>
      <c r="BD200" s="16">
        <v>224980</v>
      </c>
      <c r="BE200" s="16">
        <v>0</v>
      </c>
      <c r="BF200" s="16">
        <v>22490</v>
      </c>
      <c r="BG200" s="16">
        <v>0</v>
      </c>
      <c r="BH200" s="16">
        <v>220900</v>
      </c>
      <c r="BI200" s="16">
        <v>226350</v>
      </c>
      <c r="BJ200" s="16">
        <v>41788</v>
      </c>
      <c r="BK200" s="16">
        <v>17800</v>
      </c>
      <c r="BL200" s="16">
        <v>0</v>
      </c>
      <c r="BM200" s="16">
        <v>150000</v>
      </c>
      <c r="BN200" s="16">
        <v>75800</v>
      </c>
      <c r="BO200" s="16">
        <v>0</v>
      </c>
      <c r="BP200" s="16">
        <v>5200</v>
      </c>
      <c r="BQ200" s="16">
        <v>0</v>
      </c>
      <c r="BR200" s="16">
        <v>0</v>
      </c>
      <c r="BS200" s="16">
        <v>0</v>
      </c>
      <c r="BT200" s="16">
        <v>0</v>
      </c>
      <c r="BU200" s="16">
        <v>0</v>
      </c>
      <c r="BV200" s="16">
        <v>0</v>
      </c>
      <c r="BW200" s="16">
        <v>0</v>
      </c>
    </row>
    <row r="201" spans="1:75" ht="18" hidden="1" customHeight="1" outlineLevel="1">
      <c r="B201" s="7">
        <v>2024</v>
      </c>
      <c r="C201" s="8" t="s">
        <v>12</v>
      </c>
      <c r="E201" s="8">
        <v>6867</v>
      </c>
      <c r="J201" s="9"/>
      <c r="Q201" s="5">
        <v>2021</v>
      </c>
      <c r="R201" s="5">
        <v>1</v>
      </c>
      <c r="S201" s="14" t="s">
        <v>54</v>
      </c>
      <c r="T201" s="15">
        <f t="shared" si="133"/>
        <v>4535984</v>
      </c>
      <c r="U201" s="15">
        <f t="shared" si="134"/>
        <v>5307453</v>
      </c>
      <c r="V201" s="16">
        <v>3548000</v>
      </c>
      <c r="W201" s="16">
        <v>1325500</v>
      </c>
      <c r="X201" s="16">
        <v>0</v>
      </c>
      <c r="Y201" s="16">
        <v>0</v>
      </c>
      <c r="Z201" s="16">
        <v>0</v>
      </c>
      <c r="AA201" s="16">
        <v>0</v>
      </c>
      <c r="AB201" s="16">
        <v>0</v>
      </c>
      <c r="AC201" s="16">
        <v>0</v>
      </c>
      <c r="AD201" s="16">
        <v>0</v>
      </c>
      <c r="AE201" s="16">
        <v>0</v>
      </c>
      <c r="AF201" s="16">
        <v>50000</v>
      </c>
      <c r="AG201" s="16">
        <v>0</v>
      </c>
      <c r="AH201" s="16">
        <v>100000</v>
      </c>
      <c r="AI201" s="16">
        <v>200000</v>
      </c>
      <c r="AJ201" s="16">
        <v>0</v>
      </c>
      <c r="AK201" s="16">
        <v>0</v>
      </c>
      <c r="AL201" s="16">
        <v>50000</v>
      </c>
      <c r="AM201" s="16">
        <v>0</v>
      </c>
      <c r="AN201" s="16">
        <v>0</v>
      </c>
      <c r="AO201" s="16">
        <v>0</v>
      </c>
      <c r="AP201" s="16">
        <v>0</v>
      </c>
      <c r="AQ201" s="16">
        <v>0</v>
      </c>
      <c r="AR201" s="16">
        <v>0</v>
      </c>
      <c r="AS201" s="16">
        <v>33953</v>
      </c>
      <c r="AT201" s="16">
        <v>0</v>
      </c>
      <c r="AU201" s="16">
        <v>0</v>
      </c>
      <c r="AV201" s="16">
        <v>0</v>
      </c>
      <c r="AW201" s="16">
        <v>0</v>
      </c>
      <c r="AX201" s="16">
        <v>0</v>
      </c>
      <c r="AY201" s="16">
        <v>0</v>
      </c>
      <c r="AZ201" s="16">
        <v>0</v>
      </c>
      <c r="BA201" s="16"/>
      <c r="BB201" s="15">
        <f t="shared" si="135"/>
        <v>771469</v>
      </c>
      <c r="BC201" s="15">
        <v>0</v>
      </c>
      <c r="BD201" s="16">
        <v>212600</v>
      </c>
      <c r="BE201" s="16">
        <v>0</v>
      </c>
      <c r="BF201" s="16">
        <v>21260</v>
      </c>
      <c r="BG201" s="16">
        <v>0</v>
      </c>
      <c r="BH201" s="16">
        <v>220900</v>
      </c>
      <c r="BI201" s="16">
        <v>226350</v>
      </c>
      <c r="BJ201" s="16">
        <v>40859</v>
      </c>
      <c r="BK201" s="16">
        <v>17800</v>
      </c>
      <c r="BL201" s="16">
        <v>0</v>
      </c>
      <c r="BM201" s="16">
        <v>0</v>
      </c>
      <c r="BN201" s="16">
        <v>15600</v>
      </c>
      <c r="BO201" s="16">
        <v>16100</v>
      </c>
      <c r="BP201" s="16">
        <v>0</v>
      </c>
      <c r="BQ201" s="16">
        <v>0</v>
      </c>
      <c r="BR201" s="16">
        <v>0</v>
      </c>
      <c r="BS201" s="16">
        <v>0</v>
      </c>
      <c r="BT201" s="16">
        <v>0</v>
      </c>
      <c r="BU201" s="16">
        <v>0</v>
      </c>
      <c r="BV201" s="16">
        <v>0</v>
      </c>
      <c r="BW201" s="16">
        <v>0</v>
      </c>
    </row>
    <row r="202" spans="1:75" s="1" customFormat="1" ht="18" customHeight="1" collapsed="1">
      <c r="A202" s="10"/>
      <c r="B202" s="11"/>
      <c r="C202" s="12"/>
      <c r="D202" s="11"/>
      <c r="E202" s="12"/>
      <c r="F202" s="12"/>
      <c r="G202" s="12"/>
      <c r="H202" s="12"/>
      <c r="I202" s="12"/>
      <c r="J202" s="3"/>
      <c r="K202" s="12"/>
      <c r="L202" s="12"/>
      <c r="M202" s="12"/>
      <c r="N202" s="12"/>
      <c r="O202" s="13"/>
      <c r="Q202" s="628" t="s">
        <v>61</v>
      </c>
      <c r="R202" s="628"/>
      <c r="S202" s="628"/>
      <c r="T202" s="23">
        <f t="shared" ref="T202:AZ202" si="136">SUMIF($Q$2:$Q$793,$Q203,T$2:T$793)</f>
        <v>63727008</v>
      </c>
      <c r="U202" s="23">
        <f t="shared" si="136"/>
        <v>71875468</v>
      </c>
      <c r="V202" s="23">
        <f t="shared" si="136"/>
        <v>42520000</v>
      </c>
      <c r="W202" s="23">
        <f t="shared" si="136"/>
        <v>15884360</v>
      </c>
      <c r="X202" s="23">
        <f t="shared" si="136"/>
        <v>0</v>
      </c>
      <c r="Y202" s="23">
        <f t="shared" si="136"/>
        <v>0</v>
      </c>
      <c r="Z202" s="23">
        <f t="shared" si="136"/>
        <v>0</v>
      </c>
      <c r="AA202" s="23">
        <f t="shared" si="136"/>
        <v>0</v>
      </c>
      <c r="AB202" s="23">
        <f t="shared" si="136"/>
        <v>0</v>
      </c>
      <c r="AC202" s="23">
        <f t="shared" si="136"/>
        <v>77640</v>
      </c>
      <c r="AD202" s="23">
        <f t="shared" si="136"/>
        <v>8043468</v>
      </c>
      <c r="AE202" s="23">
        <f t="shared" si="136"/>
        <v>0</v>
      </c>
      <c r="AF202" s="23">
        <f t="shared" si="136"/>
        <v>400000</v>
      </c>
      <c r="AG202" s="23">
        <f t="shared" si="136"/>
        <v>0</v>
      </c>
      <c r="AH202" s="23">
        <f t="shared" si="136"/>
        <v>1200000</v>
      </c>
      <c r="AI202" s="23">
        <f t="shared" si="136"/>
        <v>2400000</v>
      </c>
      <c r="AJ202" s="23">
        <f t="shared" si="136"/>
        <v>450000</v>
      </c>
      <c r="AK202" s="23">
        <f t="shared" si="136"/>
        <v>300000</v>
      </c>
      <c r="AL202" s="23">
        <f t="shared" si="136"/>
        <v>600000</v>
      </c>
      <c r="AM202" s="23">
        <f t="shared" si="136"/>
        <v>0</v>
      </c>
      <c r="AN202" s="23">
        <f t="shared" si="136"/>
        <v>0</v>
      </c>
      <c r="AO202" s="23">
        <f t="shared" si="136"/>
        <v>0</v>
      </c>
      <c r="AP202" s="23">
        <f t="shared" si="136"/>
        <v>0</v>
      </c>
      <c r="AQ202" s="23">
        <f t="shared" si="136"/>
        <v>0</v>
      </c>
      <c r="AR202" s="23">
        <f t="shared" si="136"/>
        <v>0</v>
      </c>
      <c r="AS202" s="23">
        <f t="shared" si="136"/>
        <v>0</v>
      </c>
      <c r="AT202" s="23">
        <f t="shared" si="136"/>
        <v>0</v>
      </c>
      <c r="AU202" s="23">
        <f t="shared" si="136"/>
        <v>0</v>
      </c>
      <c r="AV202" s="23">
        <f t="shared" si="136"/>
        <v>0</v>
      </c>
      <c r="AW202" s="23">
        <f t="shared" si="136"/>
        <v>0</v>
      </c>
      <c r="AX202" s="23">
        <f t="shared" si="136"/>
        <v>0</v>
      </c>
      <c r="AY202" s="23">
        <f t="shared" si="136"/>
        <v>0</v>
      </c>
      <c r="AZ202" s="23">
        <f t="shared" si="136"/>
        <v>0</v>
      </c>
      <c r="BA202" s="23"/>
      <c r="BB202" s="23">
        <f t="shared" ref="BB202:BW202" si="137">SUMIF($Q$2:$Q$793,$Q203,BB$2:BB$793)</f>
        <v>8148460</v>
      </c>
      <c r="BC202" s="23">
        <f t="shared" si="137"/>
        <v>-2670690</v>
      </c>
      <c r="BD202" s="23">
        <f t="shared" si="137"/>
        <v>3695630</v>
      </c>
      <c r="BE202" s="23">
        <f t="shared" si="137"/>
        <v>0</v>
      </c>
      <c r="BF202" s="23">
        <f t="shared" si="137"/>
        <v>369520</v>
      </c>
      <c r="BG202" s="23">
        <f t="shared" si="137"/>
        <v>0</v>
      </c>
      <c r="BH202" s="23">
        <f t="shared" si="137"/>
        <v>2536260</v>
      </c>
      <c r="BI202" s="23">
        <f t="shared" si="137"/>
        <v>2670300</v>
      </c>
      <c r="BJ202" s="23">
        <f t="shared" si="137"/>
        <v>555800</v>
      </c>
      <c r="BK202" s="23">
        <f t="shared" si="137"/>
        <v>213200</v>
      </c>
      <c r="BL202" s="23">
        <f t="shared" si="137"/>
        <v>0</v>
      </c>
      <c r="BM202" s="23">
        <f t="shared" si="137"/>
        <v>450000</v>
      </c>
      <c r="BN202" s="23">
        <f t="shared" si="137"/>
        <v>178300</v>
      </c>
      <c r="BO202" s="23">
        <f t="shared" si="137"/>
        <v>144940</v>
      </c>
      <c r="BP202" s="23">
        <f t="shared" si="137"/>
        <v>5200</v>
      </c>
      <c r="BQ202" s="23">
        <f t="shared" si="137"/>
        <v>0</v>
      </c>
      <c r="BR202" s="23">
        <f t="shared" si="137"/>
        <v>0</v>
      </c>
      <c r="BS202" s="23">
        <f t="shared" si="137"/>
        <v>0</v>
      </c>
      <c r="BT202" s="23">
        <f t="shared" si="137"/>
        <v>0</v>
      </c>
      <c r="BU202" s="23">
        <f t="shared" si="137"/>
        <v>0</v>
      </c>
      <c r="BV202" s="23">
        <f t="shared" si="137"/>
        <v>0</v>
      </c>
      <c r="BW202" s="23">
        <f t="shared" si="137"/>
        <v>0</v>
      </c>
    </row>
    <row r="203" spans="1:75" ht="18" hidden="1" customHeight="1" outlineLevel="1">
      <c r="D203" s="7" t="s">
        <v>11</v>
      </c>
      <c r="F203" s="8">
        <v>4717</v>
      </c>
      <c r="G203" s="8">
        <v>5848</v>
      </c>
      <c r="K203" s="8">
        <v>2400</v>
      </c>
      <c r="L203" s="8">
        <f t="shared" ref="L203:L208" si="138">K203*12</f>
        <v>28800</v>
      </c>
      <c r="M203" s="8">
        <f t="shared" ref="M203:M208" si="139">L203*1.13</f>
        <v>32543.999999999996</v>
      </c>
      <c r="N203" s="8">
        <v>21014</v>
      </c>
      <c r="O203" s="9">
        <f t="shared" ref="O203:O208" si="140">N203/M203</f>
        <v>0.64571042281219282</v>
      </c>
      <c r="Q203" s="5">
        <v>2020</v>
      </c>
      <c r="R203" s="5">
        <v>12</v>
      </c>
      <c r="S203" s="14" t="s">
        <v>54</v>
      </c>
      <c r="T203" s="15">
        <f t="shared" ref="T203:T215" si="141">IF(U203=U203-BB203,0,U203-BB203)</f>
        <v>4484212</v>
      </c>
      <c r="U203" s="15">
        <f t="shared" ref="U203:U215" si="142">SUM(V203:BA203)</f>
        <v>5273500</v>
      </c>
      <c r="V203" s="16">
        <v>3548000</v>
      </c>
      <c r="W203" s="16">
        <v>1325500</v>
      </c>
      <c r="X203" s="16">
        <v>0</v>
      </c>
      <c r="Y203" s="16">
        <v>0</v>
      </c>
      <c r="Z203" s="16">
        <v>0</v>
      </c>
      <c r="AA203" s="16">
        <v>0</v>
      </c>
      <c r="AB203" s="16">
        <v>0</v>
      </c>
      <c r="AC203" s="16">
        <v>0</v>
      </c>
      <c r="AD203" s="16">
        <v>0</v>
      </c>
      <c r="AE203" s="16">
        <v>0</v>
      </c>
      <c r="AF203" s="16">
        <v>50000</v>
      </c>
      <c r="AG203" s="16">
        <v>0</v>
      </c>
      <c r="AH203" s="16">
        <v>100000</v>
      </c>
      <c r="AI203" s="16">
        <v>200000</v>
      </c>
      <c r="AJ203" s="16">
        <v>0</v>
      </c>
      <c r="AK203" s="16">
        <v>0</v>
      </c>
      <c r="AL203" s="16">
        <v>50000</v>
      </c>
      <c r="AM203" s="16">
        <v>0</v>
      </c>
      <c r="AN203" s="16">
        <v>0</v>
      </c>
      <c r="AO203" s="16">
        <v>0</v>
      </c>
      <c r="AP203" s="16">
        <v>0</v>
      </c>
      <c r="AQ203" s="16">
        <v>0</v>
      </c>
      <c r="AR203" s="16">
        <v>0</v>
      </c>
      <c r="AS203" s="16">
        <v>0</v>
      </c>
      <c r="AT203" s="16">
        <v>0</v>
      </c>
      <c r="AU203" s="16">
        <v>0</v>
      </c>
      <c r="AV203" s="16">
        <v>0</v>
      </c>
      <c r="AW203" s="16">
        <v>0</v>
      </c>
      <c r="AX203" s="16">
        <v>0</v>
      </c>
      <c r="AY203" s="16">
        <v>0</v>
      </c>
      <c r="AZ203" s="16">
        <v>0</v>
      </c>
      <c r="BA203" s="16"/>
      <c r="BB203" s="15">
        <f t="shared" ref="BB203:BB215" si="143">SUM(BC203:BW203)</f>
        <v>789288</v>
      </c>
      <c r="BC203" s="15">
        <v>0</v>
      </c>
      <c r="BD203" s="16">
        <v>208470</v>
      </c>
      <c r="BE203" s="16">
        <v>0</v>
      </c>
      <c r="BF203" s="16">
        <v>20840</v>
      </c>
      <c r="BG203" s="16">
        <v>0</v>
      </c>
      <c r="BH203" s="16">
        <v>212340</v>
      </c>
      <c r="BI203" s="16">
        <v>226350</v>
      </c>
      <c r="BJ203" s="16">
        <v>40588</v>
      </c>
      <c r="BK203" s="16">
        <v>17800</v>
      </c>
      <c r="BL203" s="16">
        <v>0</v>
      </c>
      <c r="BM203" s="16">
        <v>0</v>
      </c>
      <c r="BN203" s="16">
        <v>46800</v>
      </c>
      <c r="BO203" s="16">
        <v>16100</v>
      </c>
      <c r="BP203" s="16">
        <v>0</v>
      </c>
      <c r="BQ203" s="16">
        <v>0</v>
      </c>
      <c r="BR203" s="16">
        <v>0</v>
      </c>
      <c r="BS203" s="16">
        <v>0</v>
      </c>
      <c r="BT203" s="16">
        <v>0</v>
      </c>
      <c r="BU203" s="16">
        <v>0</v>
      </c>
      <c r="BV203" s="16">
        <v>0</v>
      </c>
      <c r="BW203" s="16">
        <v>0</v>
      </c>
    </row>
    <row r="204" spans="1:75" ht="18" hidden="1" customHeight="1" outlineLevel="1">
      <c r="D204" s="7" t="s">
        <v>11</v>
      </c>
      <c r="F204" s="8">
        <v>4717</v>
      </c>
      <c r="G204" s="8">
        <v>5848</v>
      </c>
      <c r="K204" s="8">
        <v>2400</v>
      </c>
      <c r="L204" s="8">
        <f t="shared" si="138"/>
        <v>28800</v>
      </c>
      <c r="M204" s="8">
        <f t="shared" si="139"/>
        <v>32543.999999999996</v>
      </c>
      <c r="N204" s="8">
        <v>21014</v>
      </c>
      <c r="O204" s="9">
        <f t="shared" si="140"/>
        <v>0.64571042281219282</v>
      </c>
      <c r="Q204" s="5">
        <v>2020</v>
      </c>
      <c r="R204" s="5">
        <v>11</v>
      </c>
      <c r="S204" s="14" t="s">
        <v>54</v>
      </c>
      <c r="T204" s="15">
        <f t="shared" si="141"/>
        <v>4456712</v>
      </c>
      <c r="U204" s="15">
        <f t="shared" si="142"/>
        <v>5273500</v>
      </c>
      <c r="V204" s="16">
        <v>3548000</v>
      </c>
      <c r="W204" s="16">
        <v>1325500</v>
      </c>
      <c r="X204" s="16">
        <v>0</v>
      </c>
      <c r="Y204" s="16">
        <v>0</v>
      </c>
      <c r="Z204" s="16">
        <v>0</v>
      </c>
      <c r="AA204" s="16">
        <v>0</v>
      </c>
      <c r="AB204" s="16">
        <v>0</v>
      </c>
      <c r="AC204" s="16">
        <v>0</v>
      </c>
      <c r="AD204" s="16">
        <v>0</v>
      </c>
      <c r="AE204" s="16">
        <v>0</v>
      </c>
      <c r="AF204" s="16">
        <v>50000</v>
      </c>
      <c r="AG204" s="16">
        <v>0</v>
      </c>
      <c r="AH204" s="16">
        <v>100000</v>
      </c>
      <c r="AI204" s="16">
        <v>200000</v>
      </c>
      <c r="AJ204" s="16">
        <v>0</v>
      </c>
      <c r="AK204" s="16">
        <v>0</v>
      </c>
      <c r="AL204" s="16">
        <v>50000</v>
      </c>
      <c r="AM204" s="16">
        <v>0</v>
      </c>
      <c r="AN204" s="16">
        <v>0</v>
      </c>
      <c r="AO204" s="16">
        <v>0</v>
      </c>
      <c r="AP204" s="16">
        <v>0</v>
      </c>
      <c r="AQ204" s="16">
        <v>0</v>
      </c>
      <c r="AR204" s="16">
        <v>0</v>
      </c>
      <c r="AS204" s="16">
        <v>0</v>
      </c>
      <c r="AT204" s="16">
        <v>0</v>
      </c>
      <c r="AU204" s="16">
        <v>0</v>
      </c>
      <c r="AV204" s="16">
        <v>0</v>
      </c>
      <c r="AW204" s="16">
        <v>0</v>
      </c>
      <c r="AX204" s="16">
        <v>0</v>
      </c>
      <c r="AY204" s="16">
        <v>0</v>
      </c>
      <c r="AZ204" s="16">
        <v>0</v>
      </c>
      <c r="BA204" s="16"/>
      <c r="BB204" s="15">
        <f t="shared" si="143"/>
        <v>816788</v>
      </c>
      <c r="BC204" s="15">
        <v>0</v>
      </c>
      <c r="BD204" s="16">
        <v>208470</v>
      </c>
      <c r="BE204" s="16">
        <v>0</v>
      </c>
      <c r="BF204" s="16">
        <v>20840</v>
      </c>
      <c r="BG204" s="16">
        <v>0</v>
      </c>
      <c r="BH204" s="16">
        <v>212340</v>
      </c>
      <c r="BI204" s="16">
        <v>226350</v>
      </c>
      <c r="BJ204" s="16">
        <v>40588</v>
      </c>
      <c r="BK204" s="16">
        <v>17800</v>
      </c>
      <c r="BL204" s="16">
        <v>0</v>
      </c>
      <c r="BM204" s="16">
        <v>0</v>
      </c>
      <c r="BN204" s="16">
        <v>74300</v>
      </c>
      <c r="BO204" s="16">
        <v>16100</v>
      </c>
      <c r="BP204" s="16">
        <v>0</v>
      </c>
      <c r="BQ204" s="16">
        <v>0</v>
      </c>
      <c r="BR204" s="16">
        <v>0</v>
      </c>
      <c r="BS204" s="16">
        <v>0</v>
      </c>
      <c r="BT204" s="16">
        <v>0</v>
      </c>
      <c r="BU204" s="16">
        <v>0</v>
      </c>
      <c r="BV204" s="16">
        <v>0</v>
      </c>
      <c r="BW204" s="16">
        <v>0</v>
      </c>
    </row>
    <row r="205" spans="1:75" ht="18" hidden="1" customHeight="1" outlineLevel="1">
      <c r="D205" s="7" t="s">
        <v>11</v>
      </c>
      <c r="F205" s="8">
        <v>4717</v>
      </c>
      <c r="G205" s="8">
        <v>5848</v>
      </c>
      <c r="K205" s="8">
        <v>2400</v>
      </c>
      <c r="L205" s="8">
        <f t="shared" si="138"/>
        <v>28800</v>
      </c>
      <c r="M205" s="8">
        <f t="shared" si="139"/>
        <v>32543.999999999996</v>
      </c>
      <c r="N205" s="8">
        <v>21014</v>
      </c>
      <c r="O205" s="9">
        <f t="shared" si="140"/>
        <v>0.64571042281219282</v>
      </c>
      <c r="Q205" s="5">
        <v>2020</v>
      </c>
      <c r="R205" s="5">
        <v>10</v>
      </c>
      <c r="S205" s="14" t="s">
        <v>54</v>
      </c>
      <c r="T205" s="15">
        <f t="shared" si="141"/>
        <v>4496342</v>
      </c>
      <c r="U205" s="15">
        <f t="shared" si="142"/>
        <v>5298500</v>
      </c>
      <c r="V205" s="16">
        <v>3548000</v>
      </c>
      <c r="W205" s="16">
        <v>1325500</v>
      </c>
      <c r="X205" s="16">
        <v>0</v>
      </c>
      <c r="Y205" s="16">
        <v>0</v>
      </c>
      <c r="Z205" s="16">
        <v>0</v>
      </c>
      <c r="AA205" s="16">
        <v>0</v>
      </c>
      <c r="AB205" s="16">
        <v>0</v>
      </c>
      <c r="AC205" s="16">
        <v>0</v>
      </c>
      <c r="AD205" s="16">
        <v>0</v>
      </c>
      <c r="AE205" s="16">
        <v>0</v>
      </c>
      <c r="AF205" s="16">
        <v>75000</v>
      </c>
      <c r="AG205" s="16">
        <v>0</v>
      </c>
      <c r="AH205" s="16">
        <v>100000</v>
      </c>
      <c r="AI205" s="16">
        <v>200000</v>
      </c>
      <c r="AJ205" s="16">
        <v>0</v>
      </c>
      <c r="AK205" s="16">
        <v>0</v>
      </c>
      <c r="AL205" s="16">
        <v>50000</v>
      </c>
      <c r="AM205" s="16">
        <v>0</v>
      </c>
      <c r="AN205" s="16">
        <v>0</v>
      </c>
      <c r="AO205" s="16">
        <v>0</v>
      </c>
      <c r="AP205" s="16">
        <v>0</v>
      </c>
      <c r="AQ205" s="16">
        <v>0</v>
      </c>
      <c r="AR205" s="16">
        <v>0</v>
      </c>
      <c r="AS205" s="16">
        <v>0</v>
      </c>
      <c r="AT205" s="16">
        <v>0</v>
      </c>
      <c r="AU205" s="16">
        <v>0</v>
      </c>
      <c r="AV205" s="16">
        <v>0</v>
      </c>
      <c r="AW205" s="16">
        <v>0</v>
      </c>
      <c r="AX205" s="16">
        <v>0</v>
      </c>
      <c r="AY205" s="16">
        <v>0</v>
      </c>
      <c r="AZ205" s="16">
        <v>0</v>
      </c>
      <c r="BA205" s="16"/>
      <c r="BB205" s="15">
        <f t="shared" si="143"/>
        <v>802158</v>
      </c>
      <c r="BC205" s="15">
        <v>0</v>
      </c>
      <c r="BD205" s="16">
        <v>210530</v>
      </c>
      <c r="BE205" s="16">
        <v>0</v>
      </c>
      <c r="BF205" s="16">
        <v>21050</v>
      </c>
      <c r="BG205" s="16">
        <v>0</v>
      </c>
      <c r="BH205" s="16">
        <v>212340</v>
      </c>
      <c r="BI205" s="16">
        <v>226350</v>
      </c>
      <c r="BJ205" s="16">
        <v>40788</v>
      </c>
      <c r="BK205" s="16">
        <v>17800</v>
      </c>
      <c r="BL205" s="16">
        <v>0</v>
      </c>
      <c r="BM205" s="16">
        <v>0</v>
      </c>
      <c r="BN205" s="16">
        <v>57200</v>
      </c>
      <c r="BO205" s="16">
        <v>16100</v>
      </c>
      <c r="BP205" s="16">
        <v>0</v>
      </c>
      <c r="BQ205" s="16">
        <v>0</v>
      </c>
      <c r="BR205" s="16">
        <v>0</v>
      </c>
      <c r="BS205" s="16">
        <v>0</v>
      </c>
      <c r="BT205" s="16">
        <v>0</v>
      </c>
      <c r="BU205" s="16">
        <v>0</v>
      </c>
      <c r="BV205" s="16">
        <v>0</v>
      </c>
      <c r="BW205" s="16">
        <v>0</v>
      </c>
    </row>
    <row r="206" spans="1:75" ht="18" hidden="1" customHeight="1" outlineLevel="1">
      <c r="D206" s="7" t="s">
        <v>12</v>
      </c>
      <c r="F206" s="8">
        <v>6867</v>
      </c>
      <c r="G206" s="8">
        <v>6867</v>
      </c>
      <c r="K206" s="8">
        <v>2400</v>
      </c>
      <c r="L206" s="8">
        <f t="shared" si="138"/>
        <v>28800</v>
      </c>
      <c r="M206" s="8">
        <f t="shared" si="139"/>
        <v>32543.999999999996</v>
      </c>
      <c r="N206" s="8">
        <v>21014</v>
      </c>
      <c r="O206" s="9">
        <f t="shared" si="140"/>
        <v>0.64571042281219282</v>
      </c>
      <c r="Q206" s="5">
        <v>2020</v>
      </c>
      <c r="R206" s="5">
        <v>9</v>
      </c>
      <c r="S206" s="14" t="s">
        <v>54</v>
      </c>
      <c r="T206" s="15">
        <f t="shared" si="141"/>
        <v>4491392</v>
      </c>
      <c r="U206" s="15">
        <f t="shared" si="142"/>
        <v>5398500</v>
      </c>
      <c r="V206" s="16">
        <v>3548000</v>
      </c>
      <c r="W206" s="16">
        <v>1325500</v>
      </c>
      <c r="X206" s="16">
        <v>0</v>
      </c>
      <c r="Y206" s="16">
        <v>0</v>
      </c>
      <c r="Z206" s="16">
        <v>0</v>
      </c>
      <c r="AA206" s="16">
        <v>0</v>
      </c>
      <c r="AB206" s="16">
        <v>0</v>
      </c>
      <c r="AC206" s="16">
        <v>0</v>
      </c>
      <c r="AD206" s="16">
        <v>0</v>
      </c>
      <c r="AE206" s="16">
        <v>0</v>
      </c>
      <c r="AF206" s="16">
        <v>25000</v>
      </c>
      <c r="AG206" s="16">
        <v>0</v>
      </c>
      <c r="AH206" s="16">
        <v>100000</v>
      </c>
      <c r="AI206" s="16">
        <v>200000</v>
      </c>
      <c r="AJ206" s="16">
        <v>150000</v>
      </c>
      <c r="AK206" s="16">
        <v>0</v>
      </c>
      <c r="AL206" s="16">
        <v>50000</v>
      </c>
      <c r="AM206" s="16">
        <v>0</v>
      </c>
      <c r="AN206" s="16">
        <v>0</v>
      </c>
      <c r="AO206" s="16">
        <v>0</v>
      </c>
      <c r="AP206" s="16">
        <v>0</v>
      </c>
      <c r="AQ206" s="16">
        <v>0</v>
      </c>
      <c r="AR206" s="16">
        <v>0</v>
      </c>
      <c r="AS206" s="16">
        <v>0</v>
      </c>
      <c r="AT206" s="16">
        <v>0</v>
      </c>
      <c r="AU206" s="16">
        <v>0</v>
      </c>
      <c r="AV206" s="16">
        <v>0</v>
      </c>
      <c r="AW206" s="16">
        <v>0</v>
      </c>
      <c r="AX206" s="16">
        <v>0</v>
      </c>
      <c r="AY206" s="16">
        <v>0</v>
      </c>
      <c r="AZ206" s="16">
        <v>0</v>
      </c>
      <c r="BA206" s="16"/>
      <c r="BB206" s="15">
        <f t="shared" si="143"/>
        <v>907108</v>
      </c>
      <c r="BC206" s="15">
        <v>0</v>
      </c>
      <c r="BD206" s="16">
        <v>220850</v>
      </c>
      <c r="BE206" s="16">
        <v>0</v>
      </c>
      <c r="BF206" s="16">
        <v>22080</v>
      </c>
      <c r="BG206" s="16">
        <v>0</v>
      </c>
      <c r="BH206" s="16">
        <v>212340</v>
      </c>
      <c r="BI206" s="16">
        <v>226350</v>
      </c>
      <c r="BJ206" s="16">
        <v>41588</v>
      </c>
      <c r="BK206" s="16">
        <v>17800</v>
      </c>
      <c r="BL206" s="16">
        <v>0</v>
      </c>
      <c r="BM206" s="16">
        <v>150000</v>
      </c>
      <c r="BN206" s="16">
        <v>0</v>
      </c>
      <c r="BO206" s="16">
        <v>16100</v>
      </c>
      <c r="BP206" s="16">
        <v>0</v>
      </c>
      <c r="BQ206" s="16">
        <v>0</v>
      </c>
      <c r="BR206" s="16">
        <v>0</v>
      </c>
      <c r="BS206" s="16">
        <v>0</v>
      </c>
      <c r="BT206" s="16">
        <v>0</v>
      </c>
      <c r="BU206" s="16">
        <v>0</v>
      </c>
      <c r="BV206" s="16">
        <v>0</v>
      </c>
      <c r="BW206" s="16">
        <v>0</v>
      </c>
    </row>
    <row r="207" spans="1:75" ht="18" hidden="1" customHeight="1" outlineLevel="1">
      <c r="D207" s="7" t="s">
        <v>13</v>
      </c>
      <c r="F207" s="8">
        <v>7988</v>
      </c>
      <c r="G207" s="8" t="s">
        <v>2</v>
      </c>
      <c r="H207" s="8" t="s">
        <v>17</v>
      </c>
      <c r="I207" s="8">
        <v>171</v>
      </c>
      <c r="K207" s="8">
        <v>2400</v>
      </c>
      <c r="L207" s="8">
        <f t="shared" si="138"/>
        <v>28800</v>
      </c>
      <c r="M207" s="8">
        <f t="shared" si="139"/>
        <v>32543.999999999996</v>
      </c>
      <c r="N207" s="8">
        <v>21014</v>
      </c>
      <c r="O207" s="9">
        <f t="shared" si="140"/>
        <v>0.64571042281219282</v>
      </c>
      <c r="Q207" s="5">
        <v>2020</v>
      </c>
      <c r="R207" s="5">
        <v>8</v>
      </c>
      <c r="S207" s="14" t="s">
        <v>54</v>
      </c>
      <c r="T207" s="15">
        <f t="shared" si="141"/>
        <v>4508482</v>
      </c>
      <c r="U207" s="15">
        <f t="shared" si="142"/>
        <v>5248500</v>
      </c>
      <c r="V207" s="16">
        <v>3548000</v>
      </c>
      <c r="W207" s="16">
        <v>1325500</v>
      </c>
      <c r="X207" s="16">
        <v>0</v>
      </c>
      <c r="Y207" s="16">
        <v>0</v>
      </c>
      <c r="Z207" s="16">
        <v>0</v>
      </c>
      <c r="AA207" s="16">
        <v>0</v>
      </c>
      <c r="AB207" s="16">
        <v>0</v>
      </c>
      <c r="AC207" s="16">
        <v>0</v>
      </c>
      <c r="AD207" s="16">
        <v>0</v>
      </c>
      <c r="AE207" s="16">
        <v>0</v>
      </c>
      <c r="AF207" s="16">
        <v>25000</v>
      </c>
      <c r="AG207" s="16">
        <v>0</v>
      </c>
      <c r="AH207" s="16">
        <v>100000</v>
      </c>
      <c r="AI207" s="16">
        <v>200000</v>
      </c>
      <c r="AJ207" s="16">
        <v>0</v>
      </c>
      <c r="AK207" s="16">
        <v>0</v>
      </c>
      <c r="AL207" s="16">
        <v>50000</v>
      </c>
      <c r="AM207" s="16">
        <v>0</v>
      </c>
      <c r="AN207" s="16">
        <v>0</v>
      </c>
      <c r="AO207" s="16">
        <v>0</v>
      </c>
      <c r="AP207" s="16">
        <v>0</v>
      </c>
      <c r="AQ207" s="16">
        <v>0</v>
      </c>
      <c r="AR207" s="16">
        <v>0</v>
      </c>
      <c r="AS207" s="16">
        <v>0</v>
      </c>
      <c r="AT207" s="16">
        <v>0</v>
      </c>
      <c r="AU207" s="16">
        <v>0</v>
      </c>
      <c r="AV207" s="16">
        <v>0</v>
      </c>
      <c r="AW207" s="16">
        <v>0</v>
      </c>
      <c r="AX207" s="16">
        <v>0</v>
      </c>
      <c r="AY207" s="16">
        <v>0</v>
      </c>
      <c r="AZ207" s="16">
        <v>0</v>
      </c>
      <c r="BA207" s="16"/>
      <c r="BB207" s="15">
        <f t="shared" si="143"/>
        <v>740018</v>
      </c>
      <c r="BC207" s="15">
        <v>0</v>
      </c>
      <c r="BD207" s="16">
        <v>206400</v>
      </c>
      <c r="BE207" s="16">
        <v>0</v>
      </c>
      <c r="BF207" s="16">
        <v>20640</v>
      </c>
      <c r="BG207" s="16">
        <v>0</v>
      </c>
      <c r="BH207" s="16">
        <v>212340</v>
      </c>
      <c r="BI207" s="16">
        <v>226350</v>
      </c>
      <c r="BJ207" s="16">
        <v>40388</v>
      </c>
      <c r="BK207" s="16">
        <v>17800</v>
      </c>
      <c r="BL207" s="16">
        <v>0</v>
      </c>
      <c r="BM207" s="16">
        <v>0</v>
      </c>
      <c r="BN207" s="16">
        <v>0</v>
      </c>
      <c r="BO207" s="16">
        <v>16100</v>
      </c>
      <c r="BP207" s="16">
        <v>0</v>
      </c>
      <c r="BQ207" s="16">
        <v>0</v>
      </c>
      <c r="BR207" s="16">
        <v>0</v>
      </c>
      <c r="BS207" s="16">
        <v>0</v>
      </c>
      <c r="BT207" s="16">
        <v>0</v>
      </c>
      <c r="BU207" s="16">
        <v>0</v>
      </c>
      <c r="BV207" s="16">
        <v>0</v>
      </c>
      <c r="BW207" s="16">
        <v>0</v>
      </c>
    </row>
    <row r="208" spans="1:75" ht="18" hidden="1" customHeight="1" outlineLevel="1">
      <c r="D208" s="7" t="s">
        <v>13</v>
      </c>
      <c r="F208" s="8">
        <v>7988</v>
      </c>
      <c r="G208" s="8" t="s">
        <v>2</v>
      </c>
      <c r="H208" s="8" t="s">
        <v>17</v>
      </c>
      <c r="I208" s="8">
        <v>171</v>
      </c>
      <c r="K208" s="8">
        <v>2400</v>
      </c>
      <c r="L208" s="8">
        <f t="shared" si="138"/>
        <v>28800</v>
      </c>
      <c r="M208" s="8">
        <f t="shared" si="139"/>
        <v>32543.999999999996</v>
      </c>
      <c r="N208" s="8">
        <v>21014</v>
      </c>
      <c r="O208" s="9">
        <f t="shared" si="140"/>
        <v>0.64571042281219282</v>
      </c>
      <c r="Q208" s="5">
        <v>2020</v>
      </c>
      <c r="R208" s="5">
        <v>7</v>
      </c>
      <c r="S208" s="14" t="s">
        <v>54</v>
      </c>
      <c r="T208" s="15">
        <f t="shared" si="141"/>
        <v>4772032</v>
      </c>
      <c r="U208" s="15">
        <f t="shared" si="142"/>
        <v>5548500</v>
      </c>
      <c r="V208" s="16">
        <v>3548000</v>
      </c>
      <c r="W208" s="16">
        <v>1325500</v>
      </c>
      <c r="X208" s="16">
        <v>0</v>
      </c>
      <c r="Y208" s="16">
        <v>0</v>
      </c>
      <c r="Z208" s="16">
        <v>0</v>
      </c>
      <c r="AA208" s="16">
        <v>0</v>
      </c>
      <c r="AB208" s="16">
        <v>0</v>
      </c>
      <c r="AC208" s="16">
        <v>0</v>
      </c>
      <c r="AD208" s="16">
        <v>0</v>
      </c>
      <c r="AE208" s="16">
        <v>0</v>
      </c>
      <c r="AF208" s="16">
        <v>25000</v>
      </c>
      <c r="AG208" s="16">
        <v>0</v>
      </c>
      <c r="AH208" s="16">
        <v>100000</v>
      </c>
      <c r="AI208" s="16">
        <v>200000</v>
      </c>
      <c r="AJ208" s="16">
        <v>0</v>
      </c>
      <c r="AK208" s="16">
        <v>300000</v>
      </c>
      <c r="AL208" s="16">
        <v>50000</v>
      </c>
      <c r="AM208" s="16">
        <v>0</v>
      </c>
      <c r="AN208" s="16">
        <v>0</v>
      </c>
      <c r="AO208" s="16">
        <v>0</v>
      </c>
      <c r="AP208" s="16">
        <v>0</v>
      </c>
      <c r="AQ208" s="16">
        <v>0</v>
      </c>
      <c r="AR208" s="16">
        <v>0</v>
      </c>
      <c r="AS208" s="16">
        <v>0</v>
      </c>
      <c r="AT208" s="16">
        <v>0</v>
      </c>
      <c r="AU208" s="16">
        <v>0</v>
      </c>
      <c r="AV208" s="16">
        <v>0</v>
      </c>
      <c r="AW208" s="16">
        <v>0</v>
      </c>
      <c r="AX208" s="16">
        <v>0</v>
      </c>
      <c r="AY208" s="16">
        <v>0</v>
      </c>
      <c r="AZ208" s="16">
        <v>0</v>
      </c>
      <c r="BA208" s="16"/>
      <c r="BB208" s="15">
        <f t="shared" si="143"/>
        <v>776468</v>
      </c>
      <c r="BC208" s="15">
        <v>0</v>
      </c>
      <c r="BD208" s="16">
        <v>237360</v>
      </c>
      <c r="BE208" s="16">
        <v>0</v>
      </c>
      <c r="BF208" s="16">
        <v>23730</v>
      </c>
      <c r="BG208" s="16">
        <v>0</v>
      </c>
      <c r="BH208" s="16">
        <v>212340</v>
      </c>
      <c r="BI208" s="16">
        <v>226350</v>
      </c>
      <c r="BJ208" s="16">
        <v>42788</v>
      </c>
      <c r="BK208" s="16">
        <v>17800</v>
      </c>
      <c r="BL208" s="16">
        <v>0</v>
      </c>
      <c r="BM208" s="16">
        <v>0</v>
      </c>
      <c r="BN208" s="16">
        <v>0</v>
      </c>
      <c r="BO208" s="16">
        <v>16100</v>
      </c>
      <c r="BP208" s="16">
        <v>0</v>
      </c>
      <c r="BQ208" s="16">
        <v>0</v>
      </c>
      <c r="BR208" s="16">
        <v>0</v>
      </c>
      <c r="BS208" s="16">
        <v>0</v>
      </c>
      <c r="BT208" s="16">
        <v>0</v>
      </c>
      <c r="BU208" s="16">
        <v>0</v>
      </c>
      <c r="BV208" s="16">
        <v>0</v>
      </c>
      <c r="BW208" s="16">
        <v>0</v>
      </c>
    </row>
    <row r="209" spans="1:75" ht="18" hidden="1" customHeight="1" outlineLevel="1">
      <c r="H209" s="8" t="s">
        <v>18</v>
      </c>
      <c r="I209" s="8">
        <v>122</v>
      </c>
      <c r="J209" s="9"/>
      <c r="Q209" s="5">
        <v>2020</v>
      </c>
      <c r="R209" s="5">
        <v>6</v>
      </c>
      <c r="S209" s="14" t="s">
        <v>54</v>
      </c>
      <c r="T209" s="15">
        <f t="shared" si="141"/>
        <v>4516132</v>
      </c>
      <c r="U209" s="15">
        <f t="shared" si="142"/>
        <v>5248500</v>
      </c>
      <c r="V209" s="16">
        <v>3548000</v>
      </c>
      <c r="W209" s="16">
        <v>1325500</v>
      </c>
      <c r="X209" s="16">
        <v>0</v>
      </c>
      <c r="Y209" s="16">
        <v>0</v>
      </c>
      <c r="Z209" s="16">
        <v>0</v>
      </c>
      <c r="AA209" s="16">
        <v>0</v>
      </c>
      <c r="AB209" s="16">
        <v>0</v>
      </c>
      <c r="AC209" s="16">
        <v>0</v>
      </c>
      <c r="AD209" s="16">
        <v>0</v>
      </c>
      <c r="AE209" s="16">
        <v>0</v>
      </c>
      <c r="AF209" s="16">
        <v>25000</v>
      </c>
      <c r="AG209" s="16">
        <v>0</v>
      </c>
      <c r="AH209" s="16">
        <v>100000</v>
      </c>
      <c r="AI209" s="16">
        <v>200000</v>
      </c>
      <c r="AJ209" s="16">
        <v>0</v>
      </c>
      <c r="AK209" s="16">
        <v>0</v>
      </c>
      <c r="AL209" s="16">
        <v>50000</v>
      </c>
      <c r="AM209" s="16">
        <v>0</v>
      </c>
      <c r="AN209" s="16">
        <v>0</v>
      </c>
      <c r="AO209" s="16">
        <v>0</v>
      </c>
      <c r="AP209" s="16">
        <v>0</v>
      </c>
      <c r="AQ209" s="16">
        <v>0</v>
      </c>
      <c r="AR209" s="16">
        <v>0</v>
      </c>
      <c r="AS209" s="16">
        <v>0</v>
      </c>
      <c r="AT209" s="16">
        <v>0</v>
      </c>
      <c r="AU209" s="16">
        <v>0</v>
      </c>
      <c r="AV209" s="16">
        <v>0</v>
      </c>
      <c r="AW209" s="16">
        <v>0</v>
      </c>
      <c r="AX209" s="16">
        <v>0</v>
      </c>
      <c r="AY209" s="16">
        <v>0</v>
      </c>
      <c r="AZ209" s="16">
        <v>0</v>
      </c>
      <c r="BA209" s="16"/>
      <c r="BB209" s="15">
        <f t="shared" si="143"/>
        <v>732368</v>
      </c>
      <c r="BC209" s="15">
        <v>0</v>
      </c>
      <c r="BD209" s="16">
        <v>206400</v>
      </c>
      <c r="BE209" s="16">
        <v>0</v>
      </c>
      <c r="BF209" s="16">
        <v>20640</v>
      </c>
      <c r="BG209" s="16">
        <v>0</v>
      </c>
      <c r="BH209" s="16">
        <v>212340</v>
      </c>
      <c r="BI209" s="16">
        <v>218700</v>
      </c>
      <c r="BJ209" s="16">
        <v>40388</v>
      </c>
      <c r="BK209" s="16">
        <v>17800</v>
      </c>
      <c r="BL209" s="16">
        <v>0</v>
      </c>
      <c r="BM209" s="16">
        <v>0</v>
      </c>
      <c r="BN209" s="16">
        <v>0</v>
      </c>
      <c r="BO209" s="16">
        <v>16100</v>
      </c>
      <c r="BP209" s="16">
        <v>0</v>
      </c>
      <c r="BQ209" s="16">
        <v>0</v>
      </c>
      <c r="BR209" s="16">
        <v>0</v>
      </c>
      <c r="BS209" s="16">
        <v>0</v>
      </c>
      <c r="BT209" s="16">
        <v>0</v>
      </c>
      <c r="BU209" s="16">
        <v>0</v>
      </c>
      <c r="BV209" s="16">
        <v>0</v>
      </c>
      <c r="BW209" s="16">
        <v>0</v>
      </c>
    </row>
    <row r="210" spans="1:75" ht="18" hidden="1" customHeight="1" outlineLevel="1">
      <c r="J210" s="9"/>
      <c r="Q210" s="5">
        <v>2020</v>
      </c>
      <c r="R210" s="5">
        <v>5</v>
      </c>
      <c r="S210" s="14" t="s">
        <v>54</v>
      </c>
      <c r="T210" s="15">
        <f t="shared" si="141"/>
        <v>4566971</v>
      </c>
      <c r="U210" s="15">
        <f t="shared" si="142"/>
        <v>5476140</v>
      </c>
      <c r="V210" s="16">
        <v>3548000</v>
      </c>
      <c r="W210" s="16">
        <v>1325500</v>
      </c>
      <c r="X210" s="16">
        <v>0</v>
      </c>
      <c r="Y210" s="16">
        <v>0</v>
      </c>
      <c r="Z210" s="16">
        <v>0</v>
      </c>
      <c r="AA210" s="16">
        <v>0</v>
      </c>
      <c r="AB210" s="16">
        <v>0</v>
      </c>
      <c r="AC210" s="16">
        <v>77640</v>
      </c>
      <c r="AD210" s="16">
        <v>0</v>
      </c>
      <c r="AE210" s="16">
        <v>0</v>
      </c>
      <c r="AF210" s="16">
        <v>25000</v>
      </c>
      <c r="AG210" s="16">
        <v>0</v>
      </c>
      <c r="AH210" s="16">
        <v>100000</v>
      </c>
      <c r="AI210" s="16">
        <v>200000</v>
      </c>
      <c r="AJ210" s="16">
        <v>150000</v>
      </c>
      <c r="AK210" s="16">
        <v>0</v>
      </c>
      <c r="AL210" s="16">
        <v>50000</v>
      </c>
      <c r="AM210" s="16">
        <v>0</v>
      </c>
      <c r="AN210" s="16">
        <v>0</v>
      </c>
      <c r="AO210" s="16">
        <v>0</v>
      </c>
      <c r="AP210" s="16">
        <v>0</v>
      </c>
      <c r="AQ210" s="16">
        <v>0</v>
      </c>
      <c r="AR210" s="16">
        <v>0</v>
      </c>
      <c r="AS210" s="16">
        <v>0</v>
      </c>
      <c r="AT210" s="16">
        <v>0</v>
      </c>
      <c r="AU210" s="16">
        <v>0</v>
      </c>
      <c r="AV210" s="16">
        <v>0</v>
      </c>
      <c r="AW210" s="16">
        <v>0</v>
      </c>
      <c r="AX210" s="16">
        <v>0</v>
      </c>
      <c r="AY210" s="16">
        <v>0</v>
      </c>
      <c r="AZ210" s="16">
        <v>0</v>
      </c>
      <c r="BA210" s="16"/>
      <c r="BB210" s="15">
        <f t="shared" si="143"/>
        <v>909169</v>
      </c>
      <c r="BC210" s="15">
        <v>0</v>
      </c>
      <c r="BD210" s="16">
        <v>229110</v>
      </c>
      <c r="BE210" s="16">
        <v>0</v>
      </c>
      <c r="BF210" s="16">
        <v>22910</v>
      </c>
      <c r="BG210" s="16">
        <v>0</v>
      </c>
      <c r="BH210" s="16">
        <v>212340</v>
      </c>
      <c r="BI210" s="16">
        <v>218700</v>
      </c>
      <c r="BJ210" s="16">
        <v>42209</v>
      </c>
      <c r="BK210" s="16">
        <v>17800</v>
      </c>
      <c r="BL210" s="16">
        <v>0</v>
      </c>
      <c r="BM210" s="16">
        <v>150000</v>
      </c>
      <c r="BN210" s="16">
        <v>0</v>
      </c>
      <c r="BO210" s="16">
        <v>16100</v>
      </c>
      <c r="BP210" s="16">
        <v>0</v>
      </c>
      <c r="BQ210" s="16">
        <v>0</v>
      </c>
      <c r="BR210" s="16">
        <v>0</v>
      </c>
      <c r="BS210" s="16">
        <v>0</v>
      </c>
      <c r="BT210" s="16">
        <v>0</v>
      </c>
      <c r="BU210" s="16">
        <v>0</v>
      </c>
      <c r="BV210" s="16">
        <v>0</v>
      </c>
      <c r="BW210" s="16">
        <v>0</v>
      </c>
    </row>
    <row r="211" spans="1:75" ht="18" hidden="1" customHeight="1" outlineLevel="1">
      <c r="B211" s="7">
        <v>2021</v>
      </c>
      <c r="C211" s="8" t="s">
        <v>12</v>
      </c>
      <c r="E211" s="8">
        <v>6867</v>
      </c>
      <c r="J211" s="9"/>
      <c r="Q211" s="5">
        <v>2020</v>
      </c>
      <c r="R211" s="5">
        <v>4</v>
      </c>
      <c r="S211" s="14" t="s">
        <v>28</v>
      </c>
      <c r="T211" s="15">
        <f t="shared" si="141"/>
        <v>6902851</v>
      </c>
      <c r="U211" s="15">
        <f t="shared" si="142"/>
        <v>8043468</v>
      </c>
      <c r="V211" s="16">
        <v>0</v>
      </c>
      <c r="W211" s="16">
        <v>0</v>
      </c>
      <c r="X211" s="16">
        <v>0</v>
      </c>
      <c r="Y211" s="16">
        <v>0</v>
      </c>
      <c r="Z211" s="16">
        <v>0</v>
      </c>
      <c r="AA211" s="16">
        <v>0</v>
      </c>
      <c r="AB211" s="16">
        <v>0</v>
      </c>
      <c r="AC211" s="16">
        <v>0</v>
      </c>
      <c r="AD211" s="16">
        <v>8043468</v>
      </c>
      <c r="AE211" s="16">
        <v>0</v>
      </c>
      <c r="AF211" s="16">
        <v>0</v>
      </c>
      <c r="AG211" s="16">
        <v>0</v>
      </c>
      <c r="AH211" s="16">
        <v>0</v>
      </c>
      <c r="AI211" s="16">
        <v>0</v>
      </c>
      <c r="AJ211" s="16">
        <v>0</v>
      </c>
      <c r="AK211" s="16">
        <v>0</v>
      </c>
      <c r="AL211" s="16">
        <v>0</v>
      </c>
      <c r="AM211" s="16">
        <v>0</v>
      </c>
      <c r="AN211" s="16">
        <v>0</v>
      </c>
      <c r="AO211" s="16">
        <v>0</v>
      </c>
      <c r="AP211" s="16">
        <v>0</v>
      </c>
      <c r="AQ211" s="16">
        <v>0</v>
      </c>
      <c r="AR211" s="16">
        <v>0</v>
      </c>
      <c r="AS211" s="16">
        <v>0</v>
      </c>
      <c r="AT211" s="16">
        <v>0</v>
      </c>
      <c r="AU211" s="16">
        <v>0</v>
      </c>
      <c r="AV211" s="16">
        <v>0</v>
      </c>
      <c r="AW211" s="16">
        <v>0</v>
      </c>
      <c r="AX211" s="16">
        <v>0</v>
      </c>
      <c r="AY211" s="16">
        <v>0</v>
      </c>
      <c r="AZ211" s="16">
        <v>0</v>
      </c>
      <c r="BA211" s="16"/>
      <c r="BB211" s="15">
        <f t="shared" si="143"/>
        <v>1140617</v>
      </c>
      <c r="BC211" s="15">
        <v>0</v>
      </c>
      <c r="BD211" s="16">
        <v>978430</v>
      </c>
      <c r="BE211" s="16">
        <v>0</v>
      </c>
      <c r="BF211" s="16">
        <v>97840</v>
      </c>
      <c r="BG211" s="16">
        <v>0</v>
      </c>
      <c r="BH211" s="16">
        <v>0</v>
      </c>
      <c r="BI211" s="16">
        <v>0</v>
      </c>
      <c r="BJ211" s="16">
        <v>64347</v>
      </c>
      <c r="BK211" s="16">
        <v>0</v>
      </c>
      <c r="BL211" s="16">
        <v>0</v>
      </c>
      <c r="BM211" s="16">
        <v>0</v>
      </c>
      <c r="BN211" s="16">
        <v>0</v>
      </c>
      <c r="BO211" s="16">
        <v>0</v>
      </c>
      <c r="BP211" s="16">
        <v>0</v>
      </c>
      <c r="BQ211" s="16">
        <v>0</v>
      </c>
      <c r="BR211" s="16">
        <v>0</v>
      </c>
      <c r="BS211" s="16">
        <v>0</v>
      </c>
      <c r="BT211" s="16">
        <v>0</v>
      </c>
      <c r="BU211" s="16">
        <v>0</v>
      </c>
      <c r="BV211" s="16">
        <v>0</v>
      </c>
      <c r="BW211" s="16">
        <v>0</v>
      </c>
    </row>
    <row r="212" spans="1:75" ht="18" hidden="1" customHeight="1" outlineLevel="1">
      <c r="B212" s="7">
        <v>2021</v>
      </c>
      <c r="C212" s="8" t="s">
        <v>12</v>
      </c>
      <c r="E212" s="8">
        <v>6867</v>
      </c>
      <c r="J212" s="9"/>
      <c r="Q212" s="5">
        <v>2020</v>
      </c>
      <c r="R212" s="5">
        <v>4</v>
      </c>
      <c r="S212" s="14" t="s">
        <v>54</v>
      </c>
      <c r="T212" s="15">
        <f t="shared" si="141"/>
        <v>4499208</v>
      </c>
      <c r="U212" s="15">
        <f t="shared" si="142"/>
        <v>5229090</v>
      </c>
      <c r="V212" s="16">
        <v>3534000</v>
      </c>
      <c r="W212" s="16">
        <v>1320090</v>
      </c>
      <c r="X212" s="16">
        <v>0</v>
      </c>
      <c r="Y212" s="16">
        <v>0</v>
      </c>
      <c r="Z212" s="16">
        <v>0</v>
      </c>
      <c r="AA212" s="16">
        <v>0</v>
      </c>
      <c r="AB212" s="16">
        <v>0</v>
      </c>
      <c r="AC212" s="16">
        <v>0</v>
      </c>
      <c r="AD212" s="16">
        <v>0</v>
      </c>
      <c r="AE212" s="16">
        <v>0</v>
      </c>
      <c r="AF212" s="16">
        <v>25000</v>
      </c>
      <c r="AG212" s="16">
        <v>0</v>
      </c>
      <c r="AH212" s="16">
        <v>100000</v>
      </c>
      <c r="AI212" s="16">
        <v>200000</v>
      </c>
      <c r="AJ212" s="16">
        <v>0</v>
      </c>
      <c r="AK212" s="16">
        <v>0</v>
      </c>
      <c r="AL212" s="16">
        <v>50000</v>
      </c>
      <c r="AM212" s="16">
        <v>0</v>
      </c>
      <c r="AN212" s="16">
        <v>0</v>
      </c>
      <c r="AO212" s="16">
        <v>0</v>
      </c>
      <c r="AP212" s="16">
        <v>0</v>
      </c>
      <c r="AQ212" s="16">
        <v>0</v>
      </c>
      <c r="AR212" s="16">
        <v>0</v>
      </c>
      <c r="AS212" s="16">
        <v>0</v>
      </c>
      <c r="AT212" s="16">
        <v>0</v>
      </c>
      <c r="AU212" s="16">
        <v>0</v>
      </c>
      <c r="AV212" s="16">
        <v>0</v>
      </c>
      <c r="AW212" s="16">
        <v>0</v>
      </c>
      <c r="AX212" s="16">
        <v>0</v>
      </c>
      <c r="AY212" s="16">
        <v>0</v>
      </c>
      <c r="AZ212" s="16">
        <v>0</v>
      </c>
      <c r="BA212" s="16"/>
      <c r="BB212" s="15">
        <f t="shared" si="143"/>
        <v>729882</v>
      </c>
      <c r="BC212" s="15">
        <v>0</v>
      </c>
      <c r="BD212" s="16">
        <v>204340</v>
      </c>
      <c r="BE212" s="16">
        <v>0</v>
      </c>
      <c r="BF212" s="16">
        <v>20430</v>
      </c>
      <c r="BG212" s="16">
        <v>0</v>
      </c>
      <c r="BH212" s="16">
        <v>212340</v>
      </c>
      <c r="BI212" s="16">
        <v>218700</v>
      </c>
      <c r="BJ212" s="16">
        <v>40232</v>
      </c>
      <c r="BK212" s="16">
        <v>17700</v>
      </c>
      <c r="BL212" s="16">
        <v>0</v>
      </c>
      <c r="BM212" s="16">
        <v>0</v>
      </c>
      <c r="BN212" s="16">
        <v>0</v>
      </c>
      <c r="BO212" s="16">
        <v>16140</v>
      </c>
      <c r="BP212" s="16">
        <v>0</v>
      </c>
      <c r="BQ212" s="16">
        <v>0</v>
      </c>
      <c r="BR212" s="16">
        <v>0</v>
      </c>
      <c r="BS212" s="16">
        <v>0</v>
      </c>
      <c r="BT212" s="16">
        <v>0</v>
      </c>
      <c r="BU212" s="16">
        <v>0</v>
      </c>
      <c r="BV212" s="16">
        <v>0</v>
      </c>
      <c r="BW212" s="16">
        <v>0</v>
      </c>
    </row>
    <row r="213" spans="1:75" ht="18" hidden="1" customHeight="1" outlineLevel="1">
      <c r="B213" s="7">
        <v>2022</v>
      </c>
      <c r="C213" s="8" t="s">
        <v>12</v>
      </c>
      <c r="E213" s="8">
        <v>6867</v>
      </c>
      <c r="J213" s="9"/>
      <c r="Q213" s="5">
        <v>2020</v>
      </c>
      <c r="R213" s="5">
        <v>3</v>
      </c>
      <c r="S213" s="14" t="s">
        <v>54</v>
      </c>
      <c r="T213" s="15">
        <f t="shared" si="141"/>
        <v>4519288</v>
      </c>
      <c r="U213" s="15">
        <f t="shared" si="142"/>
        <v>5229090</v>
      </c>
      <c r="V213" s="16">
        <v>3534000</v>
      </c>
      <c r="W213" s="16">
        <v>1320090</v>
      </c>
      <c r="X213" s="16">
        <v>0</v>
      </c>
      <c r="Y213" s="16">
        <v>0</v>
      </c>
      <c r="Z213" s="16">
        <v>0</v>
      </c>
      <c r="AA213" s="16">
        <v>0</v>
      </c>
      <c r="AB213" s="16">
        <v>0</v>
      </c>
      <c r="AC213" s="16">
        <v>0</v>
      </c>
      <c r="AD213" s="16">
        <v>0</v>
      </c>
      <c r="AE213" s="16">
        <v>0</v>
      </c>
      <c r="AF213" s="16">
        <v>25000</v>
      </c>
      <c r="AG213" s="16">
        <v>0</v>
      </c>
      <c r="AH213" s="16">
        <v>100000</v>
      </c>
      <c r="AI213" s="16">
        <v>200000</v>
      </c>
      <c r="AJ213" s="16">
        <v>0</v>
      </c>
      <c r="AK213" s="16">
        <v>0</v>
      </c>
      <c r="AL213" s="16">
        <v>50000</v>
      </c>
      <c r="AM213" s="16">
        <v>0</v>
      </c>
      <c r="AN213" s="16">
        <v>0</v>
      </c>
      <c r="AO213" s="16">
        <v>0</v>
      </c>
      <c r="AP213" s="16">
        <v>0</v>
      </c>
      <c r="AQ213" s="16">
        <v>0</v>
      </c>
      <c r="AR213" s="16">
        <v>0</v>
      </c>
      <c r="AS213" s="16">
        <v>0</v>
      </c>
      <c r="AT213" s="16">
        <v>0</v>
      </c>
      <c r="AU213" s="16">
        <v>0</v>
      </c>
      <c r="AV213" s="16">
        <v>0</v>
      </c>
      <c r="AW213" s="16">
        <v>0</v>
      </c>
      <c r="AX213" s="16">
        <v>0</v>
      </c>
      <c r="AY213" s="16">
        <v>0</v>
      </c>
      <c r="AZ213" s="16">
        <v>0</v>
      </c>
      <c r="BA213" s="16"/>
      <c r="BB213" s="15">
        <f t="shared" si="143"/>
        <v>709802</v>
      </c>
      <c r="BC213" s="15">
        <v>0</v>
      </c>
      <c r="BD213" s="16">
        <v>204340</v>
      </c>
      <c r="BE213" s="16">
        <v>0</v>
      </c>
      <c r="BF213" s="16">
        <v>20430</v>
      </c>
      <c r="BG213" s="16">
        <v>0</v>
      </c>
      <c r="BH213" s="16">
        <v>208400</v>
      </c>
      <c r="BI213" s="16">
        <v>218700</v>
      </c>
      <c r="BJ213" s="16">
        <v>40232</v>
      </c>
      <c r="BK213" s="16">
        <v>17700</v>
      </c>
      <c r="BL213" s="16">
        <v>0</v>
      </c>
      <c r="BM213" s="16">
        <v>0</v>
      </c>
      <c r="BN213" s="16">
        <v>0</v>
      </c>
      <c r="BO213" s="16">
        <v>0</v>
      </c>
      <c r="BP213" s="16">
        <v>0</v>
      </c>
      <c r="BQ213" s="16">
        <v>0</v>
      </c>
      <c r="BR213" s="16">
        <v>0</v>
      </c>
      <c r="BS213" s="16">
        <v>0</v>
      </c>
      <c r="BT213" s="16">
        <v>0</v>
      </c>
      <c r="BU213" s="16">
        <v>0</v>
      </c>
      <c r="BV213" s="16">
        <v>0</v>
      </c>
      <c r="BW213" s="16">
        <v>0</v>
      </c>
    </row>
    <row r="214" spans="1:75" ht="18" hidden="1" customHeight="1" outlineLevel="1">
      <c r="B214" s="7">
        <v>2023</v>
      </c>
      <c r="C214" s="8" t="s">
        <v>12</v>
      </c>
      <c r="E214" s="8">
        <v>6867</v>
      </c>
      <c r="J214" s="9"/>
      <c r="Q214" s="5">
        <v>2020</v>
      </c>
      <c r="R214" s="5">
        <v>2</v>
      </c>
      <c r="S214" s="14" t="s">
        <v>54</v>
      </c>
      <c r="T214" s="15">
        <f t="shared" si="141"/>
        <v>7098678</v>
      </c>
      <c r="U214" s="15">
        <f t="shared" si="142"/>
        <v>5229090</v>
      </c>
      <c r="V214" s="16">
        <v>3534000</v>
      </c>
      <c r="W214" s="16">
        <v>1320090</v>
      </c>
      <c r="X214" s="16">
        <v>0</v>
      </c>
      <c r="Y214" s="16">
        <v>0</v>
      </c>
      <c r="Z214" s="16">
        <v>0</v>
      </c>
      <c r="AA214" s="16">
        <v>0</v>
      </c>
      <c r="AB214" s="16">
        <v>0</v>
      </c>
      <c r="AC214" s="16">
        <v>0</v>
      </c>
      <c r="AD214" s="16">
        <v>0</v>
      </c>
      <c r="AE214" s="16">
        <v>0</v>
      </c>
      <c r="AF214" s="16">
        <v>25000</v>
      </c>
      <c r="AG214" s="16">
        <v>0</v>
      </c>
      <c r="AH214" s="16">
        <v>100000</v>
      </c>
      <c r="AI214" s="16">
        <v>200000</v>
      </c>
      <c r="AJ214" s="16">
        <v>0</v>
      </c>
      <c r="AK214" s="16">
        <v>0</v>
      </c>
      <c r="AL214" s="16">
        <v>50000</v>
      </c>
      <c r="AM214" s="16">
        <v>0</v>
      </c>
      <c r="AN214" s="16">
        <v>0</v>
      </c>
      <c r="AO214" s="16">
        <v>0</v>
      </c>
      <c r="AP214" s="16">
        <v>0</v>
      </c>
      <c r="AQ214" s="16">
        <v>0</v>
      </c>
      <c r="AR214" s="16">
        <v>0</v>
      </c>
      <c r="AS214" s="16">
        <v>0</v>
      </c>
      <c r="AT214" s="16">
        <v>0</v>
      </c>
      <c r="AU214" s="16">
        <v>0</v>
      </c>
      <c r="AV214" s="16">
        <v>0</v>
      </c>
      <c r="AW214" s="16">
        <v>0</v>
      </c>
      <c r="AX214" s="16">
        <v>0</v>
      </c>
      <c r="AY214" s="16">
        <v>0</v>
      </c>
      <c r="AZ214" s="16">
        <v>0</v>
      </c>
      <c r="BA214" s="16"/>
      <c r="BB214" s="15">
        <f t="shared" si="143"/>
        <v>-1869588</v>
      </c>
      <c r="BC214" s="15">
        <v>-2670690</v>
      </c>
      <c r="BD214" s="16">
        <v>282610</v>
      </c>
      <c r="BE214" s="16">
        <v>0</v>
      </c>
      <c r="BF214" s="16">
        <v>28260</v>
      </c>
      <c r="BG214" s="16">
        <v>0</v>
      </c>
      <c r="BH214" s="16">
        <v>208400</v>
      </c>
      <c r="BI214" s="16">
        <v>218700</v>
      </c>
      <c r="BJ214" s="16">
        <v>40232</v>
      </c>
      <c r="BK214" s="16">
        <v>17700</v>
      </c>
      <c r="BL214" s="16">
        <v>0</v>
      </c>
      <c r="BM214" s="16">
        <v>0</v>
      </c>
      <c r="BN214" s="16">
        <v>0</v>
      </c>
      <c r="BO214" s="16">
        <v>0</v>
      </c>
      <c r="BP214" s="16">
        <v>5200</v>
      </c>
      <c r="BQ214" s="16">
        <v>0</v>
      </c>
      <c r="BR214" s="16">
        <v>0</v>
      </c>
      <c r="BS214" s="16">
        <v>0</v>
      </c>
      <c r="BT214" s="16">
        <v>0</v>
      </c>
      <c r="BU214" s="16">
        <v>0</v>
      </c>
      <c r="BV214" s="16">
        <v>0</v>
      </c>
      <c r="BW214" s="16">
        <v>0</v>
      </c>
    </row>
    <row r="215" spans="1:75" ht="18" hidden="1" customHeight="1" outlineLevel="1">
      <c r="B215" s="7">
        <v>2024</v>
      </c>
      <c r="C215" s="8" t="s">
        <v>12</v>
      </c>
      <c r="E215" s="8">
        <v>6867</v>
      </c>
      <c r="J215" s="9"/>
      <c r="Q215" s="5">
        <v>2020</v>
      </c>
      <c r="R215" s="5">
        <v>1</v>
      </c>
      <c r="S215" s="14" t="s">
        <v>54</v>
      </c>
      <c r="T215" s="15">
        <f t="shared" si="141"/>
        <v>4414708</v>
      </c>
      <c r="U215" s="15">
        <f t="shared" si="142"/>
        <v>5379090</v>
      </c>
      <c r="V215" s="16">
        <v>3534000</v>
      </c>
      <c r="W215" s="16">
        <v>1320090</v>
      </c>
      <c r="X215" s="16">
        <v>0</v>
      </c>
      <c r="Y215" s="16">
        <v>0</v>
      </c>
      <c r="Z215" s="16">
        <v>0</v>
      </c>
      <c r="AA215" s="16">
        <v>0</v>
      </c>
      <c r="AB215" s="16">
        <v>0</v>
      </c>
      <c r="AC215" s="16">
        <v>0</v>
      </c>
      <c r="AD215" s="16">
        <v>0</v>
      </c>
      <c r="AE215" s="16">
        <v>0</v>
      </c>
      <c r="AF215" s="16">
        <v>25000</v>
      </c>
      <c r="AG215" s="16">
        <v>0</v>
      </c>
      <c r="AH215" s="16">
        <v>100000</v>
      </c>
      <c r="AI215" s="16">
        <v>200000</v>
      </c>
      <c r="AJ215" s="16">
        <v>150000</v>
      </c>
      <c r="AK215" s="16">
        <v>0</v>
      </c>
      <c r="AL215" s="16">
        <v>50000</v>
      </c>
      <c r="AM215" s="16">
        <v>0</v>
      </c>
      <c r="AN215" s="16">
        <v>0</v>
      </c>
      <c r="AO215" s="16">
        <v>0</v>
      </c>
      <c r="AP215" s="16">
        <v>0</v>
      </c>
      <c r="AQ215" s="16">
        <v>0</v>
      </c>
      <c r="AR215" s="16">
        <v>0</v>
      </c>
      <c r="AS215" s="16">
        <v>0</v>
      </c>
      <c r="AT215" s="16">
        <v>0</v>
      </c>
      <c r="AU215" s="16">
        <v>0</v>
      </c>
      <c r="AV215" s="16">
        <v>0</v>
      </c>
      <c r="AW215" s="16">
        <v>0</v>
      </c>
      <c r="AX215" s="16">
        <v>0</v>
      </c>
      <c r="AY215" s="16">
        <v>0</v>
      </c>
      <c r="AZ215" s="16">
        <v>0</v>
      </c>
      <c r="BA215" s="16"/>
      <c r="BB215" s="15">
        <f t="shared" si="143"/>
        <v>964382</v>
      </c>
      <c r="BC215" s="15">
        <v>0</v>
      </c>
      <c r="BD215" s="16">
        <v>298320</v>
      </c>
      <c r="BE215" s="16">
        <v>0</v>
      </c>
      <c r="BF215" s="16">
        <v>29830</v>
      </c>
      <c r="BG215" s="16">
        <v>0</v>
      </c>
      <c r="BH215" s="16">
        <v>208400</v>
      </c>
      <c r="BI215" s="16">
        <v>218700</v>
      </c>
      <c r="BJ215" s="16">
        <v>41432</v>
      </c>
      <c r="BK215" s="16">
        <v>17700</v>
      </c>
      <c r="BL215" s="16">
        <v>0</v>
      </c>
      <c r="BM215" s="16">
        <v>150000</v>
      </c>
      <c r="BN215" s="16">
        <v>0</v>
      </c>
      <c r="BO215" s="16">
        <v>0</v>
      </c>
      <c r="BP215" s="16">
        <v>0</v>
      </c>
      <c r="BQ215" s="16">
        <v>0</v>
      </c>
      <c r="BR215" s="16">
        <v>0</v>
      </c>
      <c r="BS215" s="16">
        <v>0</v>
      </c>
      <c r="BT215" s="16">
        <v>0</v>
      </c>
      <c r="BU215" s="16">
        <v>0</v>
      </c>
      <c r="BV215" s="16">
        <v>0</v>
      </c>
      <c r="BW215" s="16">
        <v>0</v>
      </c>
    </row>
    <row r="216" spans="1:75" s="1" customFormat="1" ht="18" customHeight="1" collapsed="1">
      <c r="A216" s="10"/>
      <c r="B216" s="18"/>
      <c r="C216" s="19"/>
      <c r="D216" s="18"/>
      <c r="E216" s="19"/>
      <c r="F216" s="19"/>
      <c r="G216" s="19"/>
      <c r="H216" s="19"/>
      <c r="I216" s="19"/>
      <c r="J216" s="20"/>
      <c r="K216" s="19"/>
      <c r="L216" s="19"/>
      <c r="M216" s="19"/>
      <c r="N216" s="19"/>
      <c r="O216" s="21"/>
      <c r="P216" s="22"/>
      <c r="Q216" s="628" t="s">
        <v>126</v>
      </c>
      <c r="R216" s="628"/>
      <c r="S216" s="628"/>
      <c r="T216" s="23">
        <f t="shared" ref="T216:AZ216" si="144">SUMIF($Q$2:$Q$793,$Q217,T$2:T$793)</f>
        <v>58780949</v>
      </c>
      <c r="U216" s="23">
        <f t="shared" si="144"/>
        <v>71353975</v>
      </c>
      <c r="V216" s="23">
        <f t="shared" si="144"/>
        <v>42200000</v>
      </c>
      <c r="W216" s="23">
        <f t="shared" si="144"/>
        <v>15762080</v>
      </c>
      <c r="X216" s="23">
        <f t="shared" si="144"/>
        <v>0</v>
      </c>
      <c r="Y216" s="23">
        <f t="shared" si="144"/>
        <v>0</v>
      </c>
      <c r="Z216" s="23">
        <f t="shared" si="144"/>
        <v>0</v>
      </c>
      <c r="AA216" s="23">
        <f t="shared" si="144"/>
        <v>0</v>
      </c>
      <c r="AB216" s="23">
        <f t="shared" si="144"/>
        <v>0</v>
      </c>
      <c r="AC216" s="23">
        <f t="shared" si="144"/>
        <v>287000</v>
      </c>
      <c r="AD216" s="23">
        <f t="shared" si="144"/>
        <v>6427454</v>
      </c>
      <c r="AE216" s="23">
        <f t="shared" si="144"/>
        <v>800000</v>
      </c>
      <c r="AF216" s="23">
        <f t="shared" si="144"/>
        <v>534676</v>
      </c>
      <c r="AG216" s="23">
        <f t="shared" si="144"/>
        <v>0</v>
      </c>
      <c r="AH216" s="23">
        <f t="shared" si="144"/>
        <v>200000</v>
      </c>
      <c r="AI216" s="23">
        <f t="shared" si="144"/>
        <v>2400000</v>
      </c>
      <c r="AJ216" s="23">
        <f t="shared" si="144"/>
        <v>450000</v>
      </c>
      <c r="AK216" s="23">
        <f t="shared" si="144"/>
        <v>300000</v>
      </c>
      <c r="AL216" s="23">
        <f t="shared" si="144"/>
        <v>600000</v>
      </c>
      <c r="AM216" s="23">
        <f t="shared" si="144"/>
        <v>0</v>
      </c>
      <c r="AN216" s="23">
        <f t="shared" si="144"/>
        <v>0</v>
      </c>
      <c r="AO216" s="23">
        <f t="shared" si="144"/>
        <v>600000</v>
      </c>
      <c r="AP216" s="23">
        <f t="shared" si="144"/>
        <v>50000</v>
      </c>
      <c r="AQ216" s="23">
        <f t="shared" si="144"/>
        <v>40000</v>
      </c>
      <c r="AR216" s="23">
        <f t="shared" si="144"/>
        <v>702765</v>
      </c>
      <c r="AS216" s="23">
        <f t="shared" si="144"/>
        <v>0</v>
      </c>
      <c r="AT216" s="23">
        <f t="shared" si="144"/>
        <v>0</v>
      </c>
      <c r="AU216" s="23">
        <f t="shared" si="144"/>
        <v>0</v>
      </c>
      <c r="AV216" s="23">
        <f t="shared" si="144"/>
        <v>0</v>
      </c>
      <c r="AW216" s="23">
        <f t="shared" si="144"/>
        <v>0</v>
      </c>
      <c r="AX216" s="23">
        <f t="shared" si="144"/>
        <v>0</v>
      </c>
      <c r="AY216" s="23">
        <f t="shared" si="144"/>
        <v>0</v>
      </c>
      <c r="AZ216" s="23">
        <f t="shared" si="144"/>
        <v>0</v>
      </c>
      <c r="BA216" s="23"/>
      <c r="BB216" s="23">
        <f t="shared" ref="BB216:BW216" si="145">SUMIF($Q$2:$Q$793,$Q217,BB$2:BB$793)</f>
        <v>12573026</v>
      </c>
      <c r="BC216" s="23">
        <f t="shared" si="145"/>
        <v>-725380</v>
      </c>
      <c r="BD216" s="23">
        <f t="shared" si="145"/>
        <v>6082850</v>
      </c>
      <c r="BE216" s="23">
        <f t="shared" si="145"/>
        <v>0</v>
      </c>
      <c r="BF216" s="23">
        <f t="shared" si="145"/>
        <v>608200</v>
      </c>
      <c r="BG216" s="23">
        <f t="shared" si="145"/>
        <v>0</v>
      </c>
      <c r="BH216" s="23">
        <f t="shared" si="145"/>
        <v>2267880</v>
      </c>
      <c r="BI216" s="23">
        <f t="shared" si="145"/>
        <v>2527740</v>
      </c>
      <c r="BJ216" s="23">
        <f t="shared" si="145"/>
        <v>473116</v>
      </c>
      <c r="BK216" s="23">
        <f t="shared" si="145"/>
        <v>211600</v>
      </c>
      <c r="BL216" s="23">
        <f t="shared" si="145"/>
        <v>0</v>
      </c>
      <c r="BM216" s="23">
        <f t="shared" si="145"/>
        <v>450000</v>
      </c>
      <c r="BN216" s="23">
        <f t="shared" si="145"/>
        <v>181400</v>
      </c>
      <c r="BO216" s="23">
        <f t="shared" si="145"/>
        <v>460080</v>
      </c>
      <c r="BP216" s="23">
        <f t="shared" si="145"/>
        <v>5540</v>
      </c>
      <c r="BQ216" s="23">
        <f t="shared" si="145"/>
        <v>0</v>
      </c>
      <c r="BR216" s="23">
        <f t="shared" si="145"/>
        <v>30000</v>
      </c>
      <c r="BS216" s="23">
        <f t="shared" si="145"/>
        <v>0</v>
      </c>
      <c r="BT216" s="23">
        <f t="shared" si="145"/>
        <v>0</v>
      </c>
      <c r="BU216" s="23">
        <f t="shared" si="145"/>
        <v>0</v>
      </c>
      <c r="BV216" s="23">
        <f t="shared" si="145"/>
        <v>0</v>
      </c>
      <c r="BW216" s="23">
        <f t="shared" si="145"/>
        <v>0</v>
      </c>
    </row>
    <row r="217" spans="1:75" ht="18" hidden="1" customHeight="1" outlineLevel="1">
      <c r="B217" s="7">
        <v>2025</v>
      </c>
      <c r="C217" s="8" t="s">
        <v>13</v>
      </c>
      <c r="D217" s="7">
        <v>4</v>
      </c>
      <c r="E217" s="8">
        <v>7988</v>
      </c>
      <c r="Q217" s="5">
        <v>2019</v>
      </c>
      <c r="R217" s="5">
        <v>12</v>
      </c>
      <c r="S217" s="14" t="s">
        <v>54</v>
      </c>
      <c r="T217" s="15">
        <f t="shared" ref="T217:T230" si="146">IF(U217=U217-BB217,0,U217-BB217)</f>
        <v>4365208</v>
      </c>
      <c r="U217" s="15">
        <f t="shared" ref="U217:U230" si="147">SUM(V217:BA217)</f>
        <v>5229090</v>
      </c>
      <c r="V217" s="16">
        <v>3534000</v>
      </c>
      <c r="W217" s="16">
        <v>1320090</v>
      </c>
      <c r="X217" s="16">
        <v>0</v>
      </c>
      <c r="Y217" s="16">
        <v>0</v>
      </c>
      <c r="Z217" s="16">
        <v>0</v>
      </c>
      <c r="AA217" s="16">
        <v>0</v>
      </c>
      <c r="AB217" s="16">
        <v>0</v>
      </c>
      <c r="AC217" s="16">
        <v>0</v>
      </c>
      <c r="AD217" s="16">
        <v>0</v>
      </c>
      <c r="AE217" s="16">
        <v>0</v>
      </c>
      <c r="AF217" s="16">
        <v>25000</v>
      </c>
      <c r="AG217" s="16">
        <v>0</v>
      </c>
      <c r="AH217" s="16">
        <v>100000</v>
      </c>
      <c r="AI217" s="16">
        <v>200000</v>
      </c>
      <c r="AJ217" s="16">
        <v>0</v>
      </c>
      <c r="AK217" s="16">
        <v>0</v>
      </c>
      <c r="AL217" s="16">
        <v>50000</v>
      </c>
      <c r="AM217" s="16">
        <v>0</v>
      </c>
      <c r="AN217" s="16">
        <v>0</v>
      </c>
      <c r="AO217" s="16">
        <v>0</v>
      </c>
      <c r="AP217" s="16">
        <v>0</v>
      </c>
      <c r="AQ217" s="16">
        <v>0</v>
      </c>
      <c r="AR217" s="16">
        <v>0</v>
      </c>
      <c r="AS217" s="16">
        <v>0</v>
      </c>
      <c r="AT217" s="16">
        <v>0</v>
      </c>
      <c r="AU217" s="16">
        <v>0</v>
      </c>
      <c r="AV217" s="16">
        <v>0</v>
      </c>
      <c r="AW217" s="16">
        <v>0</v>
      </c>
      <c r="AX217" s="16">
        <v>0</v>
      </c>
      <c r="AY217" s="16">
        <v>0</v>
      </c>
      <c r="AZ217" s="16">
        <v>0</v>
      </c>
      <c r="BA217" s="16"/>
      <c r="BB217" s="15">
        <f t="shared" ref="BB217:BB230" si="148">SUM(BC217:BW217)</f>
        <v>863882</v>
      </c>
      <c r="BC217" s="15">
        <v>0</v>
      </c>
      <c r="BD217" s="16">
        <v>353270</v>
      </c>
      <c r="BE217" s="16">
        <v>0</v>
      </c>
      <c r="BF217" s="16">
        <v>35320</v>
      </c>
      <c r="BG217" s="16">
        <v>0</v>
      </c>
      <c r="BH217" s="16">
        <v>198660</v>
      </c>
      <c r="BI217" s="16">
        <v>218700</v>
      </c>
      <c r="BJ217" s="16">
        <v>40232</v>
      </c>
      <c r="BK217" s="16">
        <v>17700</v>
      </c>
      <c r="BL217" s="16">
        <v>0</v>
      </c>
      <c r="BM217" s="16">
        <v>0</v>
      </c>
      <c r="BN217" s="16">
        <v>0</v>
      </c>
      <c r="BO217" s="16">
        <v>0</v>
      </c>
      <c r="BP217" s="16">
        <v>0</v>
      </c>
      <c r="BQ217" s="16">
        <v>0</v>
      </c>
      <c r="BR217" s="16">
        <v>0</v>
      </c>
      <c r="BS217" s="16">
        <v>0</v>
      </c>
      <c r="BT217" s="16">
        <v>0</v>
      </c>
      <c r="BU217" s="16">
        <v>0</v>
      </c>
      <c r="BV217" s="16">
        <v>0</v>
      </c>
      <c r="BW217" s="16">
        <v>0</v>
      </c>
    </row>
    <row r="218" spans="1:75" ht="18" hidden="1" customHeight="1" outlineLevel="1">
      <c r="B218" s="7">
        <v>2026</v>
      </c>
      <c r="C218" s="8" t="s">
        <v>13</v>
      </c>
      <c r="D218" s="7">
        <v>4</v>
      </c>
      <c r="E218" s="8">
        <v>7988</v>
      </c>
      <c r="Q218" s="5">
        <v>2019</v>
      </c>
      <c r="R218" s="5">
        <v>11</v>
      </c>
      <c r="S218" s="14" t="s">
        <v>54</v>
      </c>
      <c r="T218" s="15">
        <f t="shared" si="146"/>
        <v>4353086</v>
      </c>
      <c r="U218" s="15">
        <f t="shared" si="147"/>
        <v>5213766</v>
      </c>
      <c r="V218" s="16">
        <v>3534000</v>
      </c>
      <c r="W218" s="16">
        <v>1320090</v>
      </c>
      <c r="X218" s="16">
        <v>0</v>
      </c>
      <c r="Y218" s="16">
        <v>0</v>
      </c>
      <c r="Z218" s="16">
        <v>0</v>
      </c>
      <c r="AA218" s="16">
        <v>0</v>
      </c>
      <c r="AB218" s="16">
        <v>0</v>
      </c>
      <c r="AC218" s="16">
        <v>0</v>
      </c>
      <c r="AD218" s="16">
        <v>0</v>
      </c>
      <c r="AE218" s="16">
        <v>0</v>
      </c>
      <c r="AF218" s="16">
        <v>9676</v>
      </c>
      <c r="AG218" s="16">
        <v>0</v>
      </c>
      <c r="AH218" s="16">
        <v>100000</v>
      </c>
      <c r="AI218" s="16">
        <v>200000</v>
      </c>
      <c r="AJ218" s="16">
        <v>0</v>
      </c>
      <c r="AK218" s="16">
        <v>0</v>
      </c>
      <c r="AL218" s="16">
        <v>50000</v>
      </c>
      <c r="AM218" s="16">
        <v>0</v>
      </c>
      <c r="AN218" s="16">
        <v>0</v>
      </c>
      <c r="AO218" s="16">
        <v>0</v>
      </c>
      <c r="AP218" s="16">
        <v>0</v>
      </c>
      <c r="AQ218" s="16">
        <v>0</v>
      </c>
      <c r="AR218" s="16">
        <v>0</v>
      </c>
      <c r="AS218" s="16">
        <v>0</v>
      </c>
      <c r="AT218" s="16">
        <v>0</v>
      </c>
      <c r="AU218" s="16">
        <v>0</v>
      </c>
      <c r="AV218" s="16">
        <v>0</v>
      </c>
      <c r="AW218" s="16">
        <v>0</v>
      </c>
      <c r="AX218" s="16">
        <v>0</v>
      </c>
      <c r="AY218" s="16">
        <v>0</v>
      </c>
      <c r="AZ218" s="16">
        <v>0</v>
      </c>
      <c r="BA218" s="16"/>
      <c r="BB218" s="15">
        <f t="shared" si="148"/>
        <v>860680</v>
      </c>
      <c r="BC218" s="15">
        <v>0</v>
      </c>
      <c r="BD218" s="16">
        <v>350470</v>
      </c>
      <c r="BE218" s="16">
        <v>0</v>
      </c>
      <c r="BF218" s="16">
        <v>35040</v>
      </c>
      <c r="BG218" s="16">
        <v>0</v>
      </c>
      <c r="BH218" s="16">
        <v>198660</v>
      </c>
      <c r="BI218" s="16">
        <v>218700</v>
      </c>
      <c r="BJ218" s="16">
        <v>40110</v>
      </c>
      <c r="BK218" s="16">
        <v>17700</v>
      </c>
      <c r="BL218" s="16">
        <v>0</v>
      </c>
      <c r="BM218" s="16">
        <v>0</v>
      </c>
      <c r="BN218" s="16">
        <v>0</v>
      </c>
      <c r="BO218" s="16">
        <v>0</v>
      </c>
      <c r="BP218" s="16">
        <v>0</v>
      </c>
      <c r="BQ218" s="16">
        <v>0</v>
      </c>
      <c r="BR218" s="16">
        <v>0</v>
      </c>
      <c r="BS218" s="16">
        <v>0</v>
      </c>
      <c r="BT218" s="16">
        <v>0</v>
      </c>
      <c r="BU218" s="16">
        <v>0</v>
      </c>
      <c r="BV218" s="16">
        <v>0</v>
      </c>
      <c r="BW218" s="16">
        <v>0</v>
      </c>
    </row>
    <row r="219" spans="1:75" ht="18" hidden="1" customHeight="1" outlineLevel="1">
      <c r="B219" s="7">
        <v>2027</v>
      </c>
      <c r="C219" s="8" t="s">
        <v>13</v>
      </c>
      <c r="Q219" s="5">
        <v>2019</v>
      </c>
      <c r="R219" s="5">
        <v>10</v>
      </c>
      <c r="S219" s="14" t="s">
        <v>54</v>
      </c>
      <c r="T219" s="15">
        <f t="shared" si="146"/>
        <v>4907318</v>
      </c>
      <c r="U219" s="15">
        <f t="shared" si="147"/>
        <v>5804090</v>
      </c>
      <c r="V219" s="16">
        <v>3534000</v>
      </c>
      <c r="W219" s="16">
        <v>1320090</v>
      </c>
      <c r="X219" s="16">
        <v>0</v>
      </c>
      <c r="Y219" s="16">
        <v>0</v>
      </c>
      <c r="Z219" s="16">
        <v>0</v>
      </c>
      <c r="AA219" s="16">
        <v>0</v>
      </c>
      <c r="AB219" s="16">
        <v>0</v>
      </c>
      <c r="AC219" s="16">
        <v>0</v>
      </c>
      <c r="AD219" s="16">
        <v>0</v>
      </c>
      <c r="AE219" s="16">
        <v>0</v>
      </c>
      <c r="AF219" s="16">
        <v>50000</v>
      </c>
      <c r="AG219" s="16">
        <v>0</v>
      </c>
      <c r="AH219" s="16">
        <v>0</v>
      </c>
      <c r="AI219" s="16">
        <v>200000</v>
      </c>
      <c r="AJ219" s="16">
        <v>0</v>
      </c>
      <c r="AK219" s="16">
        <v>0</v>
      </c>
      <c r="AL219" s="16">
        <v>50000</v>
      </c>
      <c r="AM219" s="16">
        <v>0</v>
      </c>
      <c r="AN219" s="16">
        <v>0</v>
      </c>
      <c r="AO219" s="16">
        <v>600000</v>
      </c>
      <c r="AP219" s="16">
        <v>50000</v>
      </c>
      <c r="AQ219" s="16">
        <v>0</v>
      </c>
      <c r="AR219" s="16">
        <v>0</v>
      </c>
      <c r="AS219" s="16">
        <v>0</v>
      </c>
      <c r="AT219" s="16">
        <v>0</v>
      </c>
      <c r="AU219" s="16">
        <v>0</v>
      </c>
      <c r="AV219" s="16">
        <v>0</v>
      </c>
      <c r="AW219" s="16">
        <v>0</v>
      </c>
      <c r="AX219" s="16">
        <v>0</v>
      </c>
      <c r="AY219" s="16">
        <v>0</v>
      </c>
      <c r="AZ219" s="16">
        <v>0</v>
      </c>
      <c r="BA219" s="16"/>
      <c r="BB219" s="15">
        <f t="shared" si="148"/>
        <v>896772</v>
      </c>
      <c r="BC219" s="15">
        <v>0</v>
      </c>
      <c r="BD219" s="16">
        <v>356080</v>
      </c>
      <c r="BE219" s="16">
        <v>0</v>
      </c>
      <c r="BF219" s="16">
        <v>35600</v>
      </c>
      <c r="BG219" s="16">
        <v>0</v>
      </c>
      <c r="BH219" s="16">
        <v>198660</v>
      </c>
      <c r="BI219" s="16">
        <v>218700</v>
      </c>
      <c r="BJ219" s="16">
        <v>40432</v>
      </c>
      <c r="BK219" s="16">
        <v>17700</v>
      </c>
      <c r="BL219" s="16">
        <v>0</v>
      </c>
      <c r="BM219" s="16">
        <v>0</v>
      </c>
      <c r="BN219" s="16">
        <v>29100</v>
      </c>
      <c r="BO219" s="16">
        <v>0</v>
      </c>
      <c r="BP219" s="16">
        <v>500</v>
      </c>
      <c r="BQ219" s="16">
        <v>0</v>
      </c>
      <c r="BR219" s="16">
        <v>0</v>
      </c>
      <c r="BS219" s="16">
        <v>0</v>
      </c>
      <c r="BT219" s="16">
        <v>0</v>
      </c>
      <c r="BU219" s="16">
        <v>0</v>
      </c>
      <c r="BV219" s="16">
        <v>0</v>
      </c>
      <c r="BW219" s="16">
        <v>0</v>
      </c>
    </row>
    <row r="220" spans="1:75" ht="18" hidden="1" customHeight="1" outlineLevel="1">
      <c r="B220" s="7">
        <v>2028</v>
      </c>
      <c r="C220" s="8" t="s">
        <v>13</v>
      </c>
      <c r="Q220" s="5">
        <v>2019</v>
      </c>
      <c r="R220" s="5">
        <v>9</v>
      </c>
      <c r="S220" s="14" t="s">
        <v>54</v>
      </c>
      <c r="T220" s="15">
        <f t="shared" si="146"/>
        <v>4220604</v>
      </c>
      <c r="U220" s="15">
        <f t="shared" si="147"/>
        <v>5344090</v>
      </c>
      <c r="V220" s="16">
        <v>3534000</v>
      </c>
      <c r="W220" s="16">
        <v>1320090</v>
      </c>
      <c r="X220" s="16">
        <v>0</v>
      </c>
      <c r="Y220" s="16">
        <v>0</v>
      </c>
      <c r="Z220" s="16">
        <v>0</v>
      </c>
      <c r="AA220" s="16">
        <v>0</v>
      </c>
      <c r="AB220" s="16">
        <v>0</v>
      </c>
      <c r="AC220" s="16">
        <v>0</v>
      </c>
      <c r="AD220" s="16">
        <v>0</v>
      </c>
      <c r="AE220" s="16">
        <v>0</v>
      </c>
      <c r="AF220" s="16">
        <v>50000</v>
      </c>
      <c r="AG220" s="16">
        <v>0</v>
      </c>
      <c r="AH220" s="16">
        <v>0</v>
      </c>
      <c r="AI220" s="16">
        <v>200000</v>
      </c>
      <c r="AJ220" s="16">
        <v>150000</v>
      </c>
      <c r="AK220" s="16">
        <v>0</v>
      </c>
      <c r="AL220" s="16">
        <v>50000</v>
      </c>
      <c r="AM220" s="16">
        <v>0</v>
      </c>
      <c r="AN220" s="16">
        <v>0</v>
      </c>
      <c r="AO220" s="16">
        <v>0</v>
      </c>
      <c r="AP220" s="16">
        <v>0</v>
      </c>
      <c r="AQ220" s="16">
        <v>40000</v>
      </c>
      <c r="AR220" s="16">
        <v>0</v>
      </c>
      <c r="AS220" s="16">
        <v>0</v>
      </c>
      <c r="AT220" s="16">
        <v>0</v>
      </c>
      <c r="AU220" s="16">
        <v>0</v>
      </c>
      <c r="AV220" s="16">
        <v>0</v>
      </c>
      <c r="AW220" s="16">
        <v>0</v>
      </c>
      <c r="AX220" s="16">
        <v>0</v>
      </c>
      <c r="AY220" s="16">
        <v>0</v>
      </c>
      <c r="AZ220" s="16">
        <v>0</v>
      </c>
      <c r="BA220" s="16"/>
      <c r="BB220" s="15">
        <f t="shared" si="148"/>
        <v>1123486</v>
      </c>
      <c r="BC220" s="15">
        <v>0</v>
      </c>
      <c r="BD220" s="16">
        <v>384130</v>
      </c>
      <c r="BE220" s="16">
        <v>0</v>
      </c>
      <c r="BF220" s="16">
        <v>38410</v>
      </c>
      <c r="BG220" s="16">
        <v>0</v>
      </c>
      <c r="BH220" s="16">
        <v>198660</v>
      </c>
      <c r="BI220" s="16">
        <v>218700</v>
      </c>
      <c r="BJ220" s="16">
        <v>34086</v>
      </c>
      <c r="BK220" s="16">
        <v>17700</v>
      </c>
      <c r="BL220" s="16">
        <v>0</v>
      </c>
      <c r="BM220" s="16">
        <v>150000</v>
      </c>
      <c r="BN220" s="16">
        <v>81800</v>
      </c>
      <c r="BO220" s="16">
        <v>0</v>
      </c>
      <c r="BP220" s="16">
        <v>0</v>
      </c>
      <c r="BQ220" s="16">
        <v>0</v>
      </c>
      <c r="BR220" s="16">
        <v>0</v>
      </c>
      <c r="BS220" s="16">
        <v>0</v>
      </c>
      <c r="BT220" s="16">
        <v>0</v>
      </c>
      <c r="BU220" s="16">
        <v>0</v>
      </c>
      <c r="BV220" s="16">
        <v>0</v>
      </c>
      <c r="BW220" s="16">
        <v>0</v>
      </c>
    </row>
    <row r="221" spans="1:75" ht="18" hidden="1" customHeight="1" outlineLevel="1">
      <c r="B221" s="7">
        <v>2029</v>
      </c>
      <c r="C221" s="8" t="s">
        <v>13</v>
      </c>
      <c r="Q221" s="5">
        <v>2019</v>
      </c>
      <c r="R221" s="5">
        <v>8</v>
      </c>
      <c r="S221" s="14" t="s">
        <v>54</v>
      </c>
      <c r="T221" s="15">
        <f t="shared" si="146"/>
        <v>4101989</v>
      </c>
      <c r="U221" s="15">
        <f t="shared" si="147"/>
        <v>5154090</v>
      </c>
      <c r="V221" s="16">
        <v>3534000</v>
      </c>
      <c r="W221" s="16">
        <v>1320090</v>
      </c>
      <c r="X221" s="16">
        <v>0</v>
      </c>
      <c r="Y221" s="16">
        <v>0</v>
      </c>
      <c r="Z221" s="16">
        <v>0</v>
      </c>
      <c r="AA221" s="16">
        <v>0</v>
      </c>
      <c r="AB221" s="16">
        <v>0</v>
      </c>
      <c r="AC221" s="16">
        <v>0</v>
      </c>
      <c r="AD221" s="16">
        <v>0</v>
      </c>
      <c r="AE221" s="16">
        <v>0</v>
      </c>
      <c r="AF221" s="16">
        <v>50000</v>
      </c>
      <c r="AG221" s="16">
        <v>0</v>
      </c>
      <c r="AH221" s="16">
        <v>0</v>
      </c>
      <c r="AI221" s="16">
        <v>200000</v>
      </c>
      <c r="AJ221" s="16">
        <v>0</v>
      </c>
      <c r="AK221" s="16">
        <v>0</v>
      </c>
      <c r="AL221" s="16">
        <v>50000</v>
      </c>
      <c r="AM221" s="16">
        <v>0</v>
      </c>
      <c r="AN221" s="16">
        <v>0</v>
      </c>
      <c r="AO221" s="16">
        <v>0</v>
      </c>
      <c r="AP221" s="16">
        <v>0</v>
      </c>
      <c r="AQ221" s="16">
        <v>0</v>
      </c>
      <c r="AR221" s="16">
        <v>0</v>
      </c>
      <c r="AS221" s="16">
        <v>0</v>
      </c>
      <c r="AT221" s="16">
        <v>0</v>
      </c>
      <c r="AU221" s="16">
        <v>0</v>
      </c>
      <c r="AV221" s="16">
        <v>0</v>
      </c>
      <c r="AW221" s="16">
        <v>0</v>
      </c>
      <c r="AX221" s="16">
        <v>0</v>
      </c>
      <c r="AY221" s="16">
        <v>0</v>
      </c>
      <c r="AZ221" s="16">
        <v>0</v>
      </c>
      <c r="BA221" s="16"/>
      <c r="BB221" s="15">
        <f t="shared" si="148"/>
        <v>1052101</v>
      </c>
      <c r="BC221" s="15">
        <v>0</v>
      </c>
      <c r="BD221" s="16">
        <v>356080</v>
      </c>
      <c r="BE221" s="16">
        <v>0</v>
      </c>
      <c r="BF221" s="16">
        <v>35600</v>
      </c>
      <c r="BG221" s="16">
        <v>0</v>
      </c>
      <c r="BH221" s="16">
        <v>198660</v>
      </c>
      <c r="BI221" s="16">
        <v>218700</v>
      </c>
      <c r="BJ221" s="16">
        <v>32851</v>
      </c>
      <c r="BK221" s="16">
        <v>17700</v>
      </c>
      <c r="BL221" s="16">
        <v>0</v>
      </c>
      <c r="BM221" s="16">
        <v>0</v>
      </c>
      <c r="BN221" s="16">
        <v>70500</v>
      </c>
      <c r="BO221" s="16">
        <v>92010</v>
      </c>
      <c r="BP221" s="16">
        <v>0</v>
      </c>
      <c r="BQ221" s="16">
        <v>0</v>
      </c>
      <c r="BR221" s="16">
        <v>30000</v>
      </c>
      <c r="BS221" s="16">
        <v>0</v>
      </c>
      <c r="BT221" s="16">
        <v>0</v>
      </c>
      <c r="BU221" s="16">
        <v>0</v>
      </c>
      <c r="BV221" s="16">
        <v>0</v>
      </c>
      <c r="BW221" s="16">
        <v>0</v>
      </c>
    </row>
    <row r="222" spans="1:75" ht="18" hidden="1" customHeight="1" outlineLevel="1">
      <c r="B222" s="7">
        <v>2030</v>
      </c>
      <c r="C222" s="8" t="s">
        <v>13</v>
      </c>
      <c r="Q222" s="5">
        <v>2019</v>
      </c>
      <c r="R222" s="5">
        <v>7</v>
      </c>
      <c r="S222" s="14" t="s">
        <v>54</v>
      </c>
      <c r="T222" s="15">
        <f t="shared" si="146"/>
        <v>4453759</v>
      </c>
      <c r="U222" s="15">
        <f t="shared" si="147"/>
        <v>5454090</v>
      </c>
      <c r="V222" s="16">
        <v>3534000</v>
      </c>
      <c r="W222" s="16">
        <v>1320090</v>
      </c>
      <c r="X222" s="16">
        <v>0</v>
      </c>
      <c r="Y222" s="16">
        <v>0</v>
      </c>
      <c r="Z222" s="16">
        <v>0</v>
      </c>
      <c r="AA222" s="16">
        <v>0</v>
      </c>
      <c r="AB222" s="16">
        <v>0</v>
      </c>
      <c r="AC222" s="16">
        <v>0</v>
      </c>
      <c r="AD222" s="16">
        <v>0</v>
      </c>
      <c r="AE222" s="16">
        <v>0</v>
      </c>
      <c r="AF222" s="16">
        <v>50000</v>
      </c>
      <c r="AG222" s="16">
        <v>0</v>
      </c>
      <c r="AH222" s="16">
        <v>0</v>
      </c>
      <c r="AI222" s="16">
        <v>200000</v>
      </c>
      <c r="AJ222" s="16">
        <v>0</v>
      </c>
      <c r="AK222" s="16">
        <v>300000</v>
      </c>
      <c r="AL222" s="16">
        <v>50000</v>
      </c>
      <c r="AM222" s="16">
        <v>0</v>
      </c>
      <c r="AN222" s="16">
        <v>0</v>
      </c>
      <c r="AO222" s="16">
        <v>0</v>
      </c>
      <c r="AP222" s="16">
        <v>0</v>
      </c>
      <c r="AQ222" s="16">
        <v>0</v>
      </c>
      <c r="AR222" s="16">
        <v>0</v>
      </c>
      <c r="AS222" s="16">
        <v>0</v>
      </c>
      <c r="AT222" s="16">
        <v>0</v>
      </c>
      <c r="AU222" s="16">
        <v>0</v>
      </c>
      <c r="AV222" s="16">
        <v>0</v>
      </c>
      <c r="AW222" s="16">
        <v>0</v>
      </c>
      <c r="AX222" s="16">
        <v>0</v>
      </c>
      <c r="AY222" s="16">
        <v>0</v>
      </c>
      <c r="AZ222" s="16">
        <v>0</v>
      </c>
      <c r="BA222" s="16"/>
      <c r="BB222" s="15">
        <f t="shared" si="148"/>
        <v>1000331</v>
      </c>
      <c r="BC222" s="15">
        <v>0</v>
      </c>
      <c r="BD222" s="16">
        <v>398150</v>
      </c>
      <c r="BE222" s="16">
        <v>0</v>
      </c>
      <c r="BF222" s="16">
        <v>39810</v>
      </c>
      <c r="BG222" s="16">
        <v>0</v>
      </c>
      <c r="BH222" s="16">
        <v>198660</v>
      </c>
      <c r="BI222" s="16">
        <v>218700</v>
      </c>
      <c r="BJ222" s="16">
        <v>34801</v>
      </c>
      <c r="BK222" s="16">
        <v>17700</v>
      </c>
      <c r="BL222" s="16">
        <v>0</v>
      </c>
      <c r="BM222" s="16">
        <v>0</v>
      </c>
      <c r="BN222" s="16">
        <v>0</v>
      </c>
      <c r="BO222" s="16">
        <v>92010</v>
      </c>
      <c r="BP222" s="16">
        <v>500</v>
      </c>
      <c r="BQ222" s="16">
        <v>0</v>
      </c>
      <c r="BR222" s="16">
        <v>0</v>
      </c>
      <c r="BS222" s="16">
        <v>0</v>
      </c>
      <c r="BT222" s="16">
        <v>0</v>
      </c>
      <c r="BU222" s="16">
        <v>0</v>
      </c>
      <c r="BV222" s="16">
        <v>0</v>
      </c>
      <c r="BW222" s="16">
        <v>0</v>
      </c>
    </row>
    <row r="223" spans="1:75" ht="18" hidden="1" customHeight="1" outlineLevel="1">
      <c r="B223" s="7">
        <v>2031</v>
      </c>
      <c r="C223" s="8" t="s">
        <v>13</v>
      </c>
      <c r="J223" s="9"/>
      <c r="Q223" s="5">
        <v>2019</v>
      </c>
      <c r="R223" s="5">
        <v>6</v>
      </c>
      <c r="S223" s="14" t="s">
        <v>54</v>
      </c>
      <c r="T223" s="15">
        <f t="shared" si="146"/>
        <v>4218599</v>
      </c>
      <c r="U223" s="15">
        <f t="shared" si="147"/>
        <v>5154090</v>
      </c>
      <c r="V223" s="16">
        <v>3534000</v>
      </c>
      <c r="W223" s="16">
        <v>1320090</v>
      </c>
      <c r="X223" s="16">
        <v>0</v>
      </c>
      <c r="Y223" s="16">
        <v>0</v>
      </c>
      <c r="Z223" s="16">
        <v>0</v>
      </c>
      <c r="AA223" s="16">
        <v>0</v>
      </c>
      <c r="AB223" s="16">
        <v>0</v>
      </c>
      <c r="AC223" s="16">
        <v>0</v>
      </c>
      <c r="AD223" s="16">
        <v>0</v>
      </c>
      <c r="AE223" s="16">
        <v>0</v>
      </c>
      <c r="AF223" s="16">
        <v>50000</v>
      </c>
      <c r="AG223" s="16">
        <v>0</v>
      </c>
      <c r="AH223" s="16">
        <v>0</v>
      </c>
      <c r="AI223" s="16">
        <v>200000</v>
      </c>
      <c r="AJ223" s="16">
        <v>0</v>
      </c>
      <c r="AK223" s="16">
        <v>0</v>
      </c>
      <c r="AL223" s="16">
        <v>50000</v>
      </c>
      <c r="AM223" s="16">
        <v>0</v>
      </c>
      <c r="AN223" s="16">
        <v>0</v>
      </c>
      <c r="AO223" s="16">
        <v>0</v>
      </c>
      <c r="AP223" s="16">
        <v>0</v>
      </c>
      <c r="AQ223" s="16">
        <v>0</v>
      </c>
      <c r="AR223" s="16">
        <v>0</v>
      </c>
      <c r="AS223" s="16">
        <v>0</v>
      </c>
      <c r="AT223" s="16">
        <v>0</v>
      </c>
      <c r="AU223" s="16">
        <v>0</v>
      </c>
      <c r="AV223" s="16">
        <v>0</v>
      </c>
      <c r="AW223" s="16">
        <v>0</v>
      </c>
      <c r="AX223" s="16">
        <v>0</v>
      </c>
      <c r="AY223" s="16">
        <v>0</v>
      </c>
      <c r="AZ223" s="16">
        <v>0</v>
      </c>
      <c r="BA223" s="16"/>
      <c r="BB223" s="15">
        <f t="shared" si="148"/>
        <v>935491</v>
      </c>
      <c r="BC223" s="15">
        <v>0</v>
      </c>
      <c r="BD223" s="16">
        <v>356080</v>
      </c>
      <c r="BE223" s="16">
        <v>0</v>
      </c>
      <c r="BF223" s="16">
        <v>35600</v>
      </c>
      <c r="BG223" s="16">
        <v>0</v>
      </c>
      <c r="BH223" s="16">
        <v>198660</v>
      </c>
      <c r="BI223" s="16">
        <v>202590</v>
      </c>
      <c r="BJ223" s="16">
        <v>32851</v>
      </c>
      <c r="BK223" s="16">
        <v>17700</v>
      </c>
      <c r="BL223" s="16">
        <v>0</v>
      </c>
      <c r="BM223" s="16">
        <v>0</v>
      </c>
      <c r="BN223" s="16">
        <v>0</v>
      </c>
      <c r="BO223" s="16">
        <v>92010</v>
      </c>
      <c r="BP223" s="16">
        <v>0</v>
      </c>
      <c r="BQ223" s="16">
        <v>0</v>
      </c>
      <c r="BR223" s="16">
        <v>0</v>
      </c>
      <c r="BS223" s="16">
        <v>0</v>
      </c>
      <c r="BT223" s="16">
        <v>0</v>
      </c>
      <c r="BU223" s="16">
        <v>0</v>
      </c>
      <c r="BV223" s="16">
        <v>0</v>
      </c>
      <c r="BW223" s="16">
        <v>0</v>
      </c>
    </row>
    <row r="224" spans="1:75" ht="18" hidden="1" customHeight="1" outlineLevel="1">
      <c r="B224" s="7">
        <v>2032</v>
      </c>
      <c r="C224" s="8" t="s">
        <v>13</v>
      </c>
      <c r="J224" s="9"/>
      <c r="Q224" s="5">
        <v>2019</v>
      </c>
      <c r="R224" s="5">
        <v>5</v>
      </c>
      <c r="S224" s="14" t="s">
        <v>54</v>
      </c>
      <c r="T224" s="15">
        <f t="shared" si="146"/>
        <v>4434878</v>
      </c>
      <c r="U224" s="15">
        <f t="shared" si="147"/>
        <v>5591090</v>
      </c>
      <c r="V224" s="16">
        <v>3534000</v>
      </c>
      <c r="W224" s="16">
        <v>1320090</v>
      </c>
      <c r="X224" s="16">
        <v>0</v>
      </c>
      <c r="Y224" s="16">
        <v>0</v>
      </c>
      <c r="Z224" s="16">
        <v>0</v>
      </c>
      <c r="AA224" s="16">
        <v>0</v>
      </c>
      <c r="AB224" s="16">
        <v>0</v>
      </c>
      <c r="AC224" s="16">
        <v>287000</v>
      </c>
      <c r="AD224" s="16">
        <v>0</v>
      </c>
      <c r="AE224" s="16">
        <v>0</v>
      </c>
      <c r="AF224" s="16">
        <v>50000</v>
      </c>
      <c r="AG224" s="16">
        <v>0</v>
      </c>
      <c r="AH224" s="16">
        <v>0</v>
      </c>
      <c r="AI224" s="16">
        <v>200000</v>
      </c>
      <c r="AJ224" s="16">
        <v>150000</v>
      </c>
      <c r="AK224" s="16">
        <v>0</v>
      </c>
      <c r="AL224" s="16">
        <v>50000</v>
      </c>
      <c r="AM224" s="16">
        <v>0</v>
      </c>
      <c r="AN224" s="16">
        <v>0</v>
      </c>
      <c r="AO224" s="16">
        <v>0</v>
      </c>
      <c r="AP224" s="16">
        <v>0</v>
      </c>
      <c r="AQ224" s="16">
        <v>0</v>
      </c>
      <c r="AR224" s="16">
        <v>0</v>
      </c>
      <c r="AS224" s="16">
        <v>0</v>
      </c>
      <c r="AT224" s="16">
        <v>0</v>
      </c>
      <c r="AU224" s="16">
        <v>0</v>
      </c>
      <c r="AV224" s="16">
        <v>0</v>
      </c>
      <c r="AW224" s="16">
        <v>0</v>
      </c>
      <c r="AX224" s="16">
        <v>0</v>
      </c>
      <c r="AY224" s="16">
        <v>0</v>
      </c>
      <c r="AZ224" s="16">
        <v>0</v>
      </c>
      <c r="BA224" s="16"/>
      <c r="BB224" s="15">
        <f t="shared" si="148"/>
        <v>1156212</v>
      </c>
      <c r="BC224" s="15">
        <v>0</v>
      </c>
      <c r="BD224" s="16">
        <v>417790</v>
      </c>
      <c r="BE224" s="16">
        <v>0</v>
      </c>
      <c r="BF224" s="16">
        <v>41770</v>
      </c>
      <c r="BG224" s="16">
        <v>0</v>
      </c>
      <c r="BH224" s="16">
        <v>198660</v>
      </c>
      <c r="BI224" s="16">
        <v>202590</v>
      </c>
      <c r="BJ224" s="16">
        <v>35692</v>
      </c>
      <c r="BK224" s="16">
        <v>17700</v>
      </c>
      <c r="BL224" s="16">
        <v>0</v>
      </c>
      <c r="BM224" s="16">
        <v>150000</v>
      </c>
      <c r="BN224" s="16">
        <v>0</v>
      </c>
      <c r="BO224" s="16">
        <v>92010</v>
      </c>
      <c r="BP224" s="16">
        <v>0</v>
      </c>
      <c r="BQ224" s="16">
        <v>0</v>
      </c>
      <c r="BR224" s="16">
        <v>0</v>
      </c>
      <c r="BS224" s="16">
        <v>0</v>
      </c>
      <c r="BT224" s="16">
        <v>0</v>
      </c>
      <c r="BU224" s="16">
        <v>0</v>
      </c>
      <c r="BV224" s="16">
        <v>0</v>
      </c>
      <c r="BW224" s="16">
        <v>0</v>
      </c>
    </row>
    <row r="225" spans="1:75" ht="18" hidden="1" customHeight="1" outlineLevel="1">
      <c r="B225" s="7">
        <v>2033</v>
      </c>
      <c r="C225" s="8" t="s">
        <v>13</v>
      </c>
      <c r="J225" s="9"/>
      <c r="Q225" s="5">
        <v>2019</v>
      </c>
      <c r="R225" s="5">
        <v>4</v>
      </c>
      <c r="S225" s="5" t="s">
        <v>28</v>
      </c>
      <c r="T225" s="15">
        <f t="shared" si="146"/>
        <v>4644866</v>
      </c>
      <c r="U225" s="15">
        <f t="shared" si="147"/>
        <v>6427454</v>
      </c>
      <c r="V225" s="16">
        <v>0</v>
      </c>
      <c r="W225" s="16">
        <v>0</v>
      </c>
      <c r="X225" s="16">
        <v>0</v>
      </c>
      <c r="Y225" s="16">
        <v>0</v>
      </c>
      <c r="Z225" s="16">
        <v>0</v>
      </c>
      <c r="AA225" s="16">
        <v>0</v>
      </c>
      <c r="AB225" s="16">
        <v>0</v>
      </c>
      <c r="AC225" s="16">
        <v>0</v>
      </c>
      <c r="AD225" s="16">
        <v>6427454</v>
      </c>
      <c r="AE225" s="16">
        <v>0</v>
      </c>
      <c r="AF225" s="16">
        <v>0</v>
      </c>
      <c r="AG225" s="16">
        <v>0</v>
      </c>
      <c r="AH225" s="16">
        <v>0</v>
      </c>
      <c r="AI225" s="16">
        <v>0</v>
      </c>
      <c r="AJ225" s="16">
        <v>0</v>
      </c>
      <c r="AK225" s="16">
        <v>0</v>
      </c>
      <c r="AL225" s="16">
        <v>0</v>
      </c>
      <c r="AM225" s="16">
        <v>0</v>
      </c>
      <c r="AN225" s="16">
        <v>0</v>
      </c>
      <c r="AO225" s="16">
        <v>0</v>
      </c>
      <c r="AP225" s="16">
        <v>0</v>
      </c>
      <c r="AQ225" s="16">
        <v>0</v>
      </c>
      <c r="AR225" s="16">
        <v>0</v>
      </c>
      <c r="AS225" s="16">
        <v>0</v>
      </c>
      <c r="AT225" s="16">
        <v>0</v>
      </c>
      <c r="AU225" s="16">
        <v>0</v>
      </c>
      <c r="AV225" s="16">
        <v>0</v>
      </c>
      <c r="AW225" s="16">
        <v>0</v>
      </c>
      <c r="AX225" s="16">
        <v>0</v>
      </c>
      <c r="AY225" s="16">
        <v>0</v>
      </c>
      <c r="AZ225" s="16">
        <v>0</v>
      </c>
      <c r="BA225" s="16"/>
      <c r="BB225" s="15">
        <f t="shared" si="148"/>
        <v>1782588</v>
      </c>
      <c r="BC225" s="15">
        <v>0</v>
      </c>
      <c r="BD225" s="16">
        <v>1582560</v>
      </c>
      <c r="BE225" s="16">
        <v>0</v>
      </c>
      <c r="BF225" s="16">
        <v>158250</v>
      </c>
      <c r="BG225" s="16">
        <v>0</v>
      </c>
      <c r="BH225" s="16">
        <v>0</v>
      </c>
      <c r="BI225" s="16">
        <v>0</v>
      </c>
      <c r="BJ225" s="16">
        <v>41778</v>
      </c>
      <c r="BK225" s="16">
        <v>0</v>
      </c>
      <c r="BL225" s="16">
        <v>0</v>
      </c>
      <c r="BM225" s="16">
        <v>0</v>
      </c>
      <c r="BN225" s="16">
        <v>0</v>
      </c>
      <c r="BO225" s="16">
        <v>0</v>
      </c>
      <c r="BP225" s="16">
        <v>0</v>
      </c>
      <c r="BQ225" s="16">
        <v>0</v>
      </c>
      <c r="BR225" s="16">
        <v>0</v>
      </c>
      <c r="BS225" s="16">
        <v>0</v>
      </c>
      <c r="BT225" s="16">
        <v>0</v>
      </c>
      <c r="BU225" s="16">
        <v>0</v>
      </c>
      <c r="BV225" s="16">
        <v>0</v>
      </c>
      <c r="BW225" s="16">
        <v>0</v>
      </c>
    </row>
    <row r="226" spans="1:75" ht="18" hidden="1" customHeight="1" outlineLevel="1">
      <c r="B226" s="7">
        <v>2033</v>
      </c>
      <c r="C226" s="8" t="s">
        <v>13</v>
      </c>
      <c r="J226" s="9"/>
      <c r="Q226" s="5">
        <v>2019</v>
      </c>
      <c r="R226" s="5">
        <v>4</v>
      </c>
      <c r="S226" s="5" t="s">
        <v>29</v>
      </c>
      <c r="T226" s="15">
        <f t="shared" si="146"/>
        <v>794800</v>
      </c>
      <c r="U226" s="15">
        <f t="shared" si="147"/>
        <v>800000</v>
      </c>
      <c r="V226" s="16">
        <v>0</v>
      </c>
      <c r="W226" s="16">
        <v>0</v>
      </c>
      <c r="X226" s="16">
        <v>0</v>
      </c>
      <c r="Y226" s="16">
        <v>0</v>
      </c>
      <c r="Z226" s="16">
        <v>0</v>
      </c>
      <c r="AA226" s="16">
        <v>0</v>
      </c>
      <c r="AB226" s="16">
        <v>0</v>
      </c>
      <c r="AC226" s="16">
        <v>0</v>
      </c>
      <c r="AD226" s="16">
        <v>0</v>
      </c>
      <c r="AE226" s="16">
        <v>800000</v>
      </c>
      <c r="AF226" s="16">
        <v>0</v>
      </c>
      <c r="AG226" s="16">
        <v>0</v>
      </c>
      <c r="AH226" s="16">
        <v>0</v>
      </c>
      <c r="AI226" s="16">
        <v>0</v>
      </c>
      <c r="AJ226" s="16">
        <v>0</v>
      </c>
      <c r="AK226" s="16">
        <v>0</v>
      </c>
      <c r="AL226" s="16">
        <v>0</v>
      </c>
      <c r="AM226" s="16">
        <v>0</v>
      </c>
      <c r="AN226" s="16">
        <v>0</v>
      </c>
      <c r="AO226" s="16">
        <v>0</v>
      </c>
      <c r="AP226" s="16">
        <v>0</v>
      </c>
      <c r="AQ226" s="16">
        <v>0</v>
      </c>
      <c r="AR226" s="16">
        <v>0</v>
      </c>
      <c r="AS226" s="16">
        <v>0</v>
      </c>
      <c r="AT226" s="16">
        <v>0</v>
      </c>
      <c r="AU226" s="16">
        <v>0</v>
      </c>
      <c r="AV226" s="16">
        <v>0</v>
      </c>
      <c r="AW226" s="16">
        <v>0</v>
      </c>
      <c r="AX226" s="16">
        <v>0</v>
      </c>
      <c r="AY226" s="16">
        <v>0</v>
      </c>
      <c r="AZ226" s="16">
        <v>0</v>
      </c>
      <c r="BA226" s="16"/>
      <c r="BB226" s="15">
        <f t="shared" si="148"/>
        <v>5200</v>
      </c>
      <c r="BC226" s="15">
        <v>0</v>
      </c>
      <c r="BD226" s="16">
        <v>0</v>
      </c>
      <c r="BE226" s="16">
        <v>0</v>
      </c>
      <c r="BF226" s="16">
        <v>0</v>
      </c>
      <c r="BG226" s="16">
        <v>0</v>
      </c>
      <c r="BH226" s="16">
        <v>0</v>
      </c>
      <c r="BI226" s="16">
        <v>0</v>
      </c>
      <c r="BJ226" s="16">
        <v>5200</v>
      </c>
      <c r="BK226" s="16">
        <v>0</v>
      </c>
      <c r="BL226" s="16">
        <v>0</v>
      </c>
      <c r="BM226" s="16">
        <v>0</v>
      </c>
      <c r="BN226" s="16">
        <v>0</v>
      </c>
      <c r="BO226" s="16">
        <v>0</v>
      </c>
      <c r="BP226" s="16">
        <v>0</v>
      </c>
      <c r="BQ226" s="16">
        <v>0</v>
      </c>
      <c r="BR226" s="16">
        <v>0</v>
      </c>
      <c r="BS226" s="16">
        <v>0</v>
      </c>
      <c r="BT226" s="16">
        <v>0</v>
      </c>
      <c r="BU226" s="16">
        <v>0</v>
      </c>
      <c r="BV226" s="16">
        <v>0</v>
      </c>
      <c r="BW226" s="16">
        <v>0</v>
      </c>
    </row>
    <row r="227" spans="1:75" ht="18" hidden="1" customHeight="1" outlineLevel="1">
      <c r="B227" s="7">
        <v>2033</v>
      </c>
      <c r="C227" s="8" t="s">
        <v>13</v>
      </c>
      <c r="J227" s="9"/>
      <c r="Q227" s="5">
        <v>2019</v>
      </c>
      <c r="R227" s="5">
        <v>4</v>
      </c>
      <c r="S227" s="14" t="s">
        <v>54</v>
      </c>
      <c r="T227" s="15">
        <f t="shared" si="146"/>
        <v>4156245</v>
      </c>
      <c r="U227" s="15">
        <f t="shared" si="147"/>
        <v>5082340</v>
      </c>
      <c r="V227" s="16">
        <v>3482000</v>
      </c>
      <c r="W227" s="16">
        <v>1300340</v>
      </c>
      <c r="X227" s="16">
        <v>0</v>
      </c>
      <c r="Y227" s="16">
        <v>0</v>
      </c>
      <c r="Z227" s="16">
        <v>0</v>
      </c>
      <c r="AA227" s="16">
        <v>0</v>
      </c>
      <c r="AB227" s="16">
        <v>0</v>
      </c>
      <c r="AC227" s="16">
        <v>0</v>
      </c>
      <c r="AD227" s="16">
        <v>0</v>
      </c>
      <c r="AE227" s="16">
        <v>0</v>
      </c>
      <c r="AF227" s="16">
        <v>50000</v>
      </c>
      <c r="AG227" s="16">
        <v>0</v>
      </c>
      <c r="AH227" s="16">
        <v>0</v>
      </c>
      <c r="AI227" s="16">
        <v>200000</v>
      </c>
      <c r="AJ227" s="16">
        <v>0</v>
      </c>
      <c r="AK227" s="16">
        <v>0</v>
      </c>
      <c r="AL227" s="16">
        <v>50000</v>
      </c>
      <c r="AM227" s="16">
        <v>0</v>
      </c>
      <c r="AN227" s="16">
        <v>0</v>
      </c>
      <c r="AO227" s="16">
        <v>0</v>
      </c>
      <c r="AP227" s="16">
        <v>0</v>
      </c>
      <c r="AQ227" s="16">
        <v>0</v>
      </c>
      <c r="AR227" s="16">
        <v>0</v>
      </c>
      <c r="AS227" s="16">
        <v>0</v>
      </c>
      <c r="AT227" s="16">
        <v>0</v>
      </c>
      <c r="AU227" s="16">
        <v>0</v>
      </c>
      <c r="AV227" s="16">
        <v>0</v>
      </c>
      <c r="AW227" s="16">
        <v>0</v>
      </c>
      <c r="AX227" s="16">
        <v>0</v>
      </c>
      <c r="AY227" s="16">
        <v>0</v>
      </c>
      <c r="AZ227" s="16">
        <v>0</v>
      </c>
      <c r="BA227" s="16"/>
      <c r="BB227" s="15">
        <f t="shared" si="148"/>
        <v>926095</v>
      </c>
      <c r="BC227" s="15">
        <v>0</v>
      </c>
      <c r="BD227" s="16">
        <v>347660</v>
      </c>
      <c r="BE227" s="16">
        <v>0</v>
      </c>
      <c r="BF227" s="16">
        <v>34760</v>
      </c>
      <c r="BG227" s="16">
        <v>0</v>
      </c>
      <c r="BH227" s="16">
        <v>198660</v>
      </c>
      <c r="BI227" s="16">
        <v>202590</v>
      </c>
      <c r="BJ227" s="16">
        <v>32385</v>
      </c>
      <c r="BK227" s="16">
        <v>17500</v>
      </c>
      <c r="BL227" s="16">
        <v>0</v>
      </c>
      <c r="BM227" s="16">
        <v>0</v>
      </c>
      <c r="BN227" s="16">
        <v>0</v>
      </c>
      <c r="BO227" s="16">
        <v>92040</v>
      </c>
      <c r="BP227" s="16">
        <v>500</v>
      </c>
      <c r="BQ227" s="16">
        <v>0</v>
      </c>
      <c r="BR227" s="16">
        <v>0</v>
      </c>
      <c r="BS227" s="16">
        <v>0</v>
      </c>
      <c r="BT227" s="16">
        <v>0</v>
      </c>
      <c r="BU227" s="16">
        <v>0</v>
      </c>
      <c r="BV227" s="16">
        <v>0</v>
      </c>
      <c r="BW227" s="16">
        <v>0</v>
      </c>
    </row>
    <row r="228" spans="1:75" ht="18" hidden="1" customHeight="1" outlineLevel="1">
      <c r="B228" s="7">
        <v>2034</v>
      </c>
      <c r="C228" s="8" t="s">
        <v>21</v>
      </c>
      <c r="J228" s="9"/>
      <c r="Q228" s="5">
        <v>2019</v>
      </c>
      <c r="R228" s="5">
        <v>3</v>
      </c>
      <c r="S228" s="14" t="s">
        <v>54</v>
      </c>
      <c r="T228" s="15">
        <f t="shared" si="146"/>
        <v>4287465</v>
      </c>
      <c r="U228" s="15">
        <f t="shared" si="147"/>
        <v>5082340</v>
      </c>
      <c r="V228" s="16">
        <v>3482000</v>
      </c>
      <c r="W228" s="16">
        <v>1300340</v>
      </c>
      <c r="X228" s="16">
        <v>0</v>
      </c>
      <c r="Y228" s="16">
        <v>0</v>
      </c>
      <c r="Z228" s="16">
        <v>0</v>
      </c>
      <c r="AA228" s="16">
        <v>0</v>
      </c>
      <c r="AB228" s="16">
        <v>0</v>
      </c>
      <c r="AC228" s="16">
        <v>0</v>
      </c>
      <c r="AD228" s="16">
        <v>0</v>
      </c>
      <c r="AE228" s="16">
        <v>0</v>
      </c>
      <c r="AF228" s="16">
        <v>50000</v>
      </c>
      <c r="AG228" s="16">
        <v>0</v>
      </c>
      <c r="AH228" s="16">
        <v>0</v>
      </c>
      <c r="AI228" s="16">
        <v>200000</v>
      </c>
      <c r="AJ228" s="16">
        <v>0</v>
      </c>
      <c r="AK228" s="16">
        <v>0</v>
      </c>
      <c r="AL228" s="16">
        <v>50000</v>
      </c>
      <c r="AM228" s="16">
        <v>0</v>
      </c>
      <c r="AN228" s="16">
        <v>0</v>
      </c>
      <c r="AO228" s="16">
        <v>0</v>
      </c>
      <c r="AP228" s="16">
        <v>0</v>
      </c>
      <c r="AQ228" s="16">
        <v>0</v>
      </c>
      <c r="AR228" s="16">
        <v>0</v>
      </c>
      <c r="AS228" s="16">
        <v>0</v>
      </c>
      <c r="AT228" s="16">
        <v>0</v>
      </c>
      <c r="AU228" s="16">
        <v>0</v>
      </c>
      <c r="AV228" s="16">
        <v>0</v>
      </c>
      <c r="AW228" s="16">
        <v>0</v>
      </c>
      <c r="AX228" s="16">
        <v>0</v>
      </c>
      <c r="AY228" s="16">
        <v>0</v>
      </c>
      <c r="AZ228" s="16">
        <v>0</v>
      </c>
      <c r="BA228" s="16"/>
      <c r="BB228" s="15">
        <f t="shared" si="148"/>
        <v>794875</v>
      </c>
      <c r="BC228" s="15">
        <v>0</v>
      </c>
      <c r="BD228" s="16">
        <v>347660</v>
      </c>
      <c r="BE228" s="16">
        <v>0</v>
      </c>
      <c r="BF228" s="16">
        <v>34760</v>
      </c>
      <c r="BG228" s="16">
        <v>0</v>
      </c>
      <c r="BH228" s="16">
        <v>159980</v>
      </c>
      <c r="BI228" s="16">
        <v>202590</v>
      </c>
      <c r="BJ228" s="16">
        <v>32385</v>
      </c>
      <c r="BK228" s="16">
        <v>17500</v>
      </c>
      <c r="BL228" s="16">
        <v>0</v>
      </c>
      <c r="BM228" s="16">
        <v>0</v>
      </c>
      <c r="BN228" s="16">
        <v>0</v>
      </c>
      <c r="BO228" s="16">
        <v>0</v>
      </c>
      <c r="BP228" s="16">
        <v>0</v>
      </c>
      <c r="BQ228" s="16">
        <v>0</v>
      </c>
      <c r="BR228" s="16">
        <v>0</v>
      </c>
      <c r="BS228" s="16">
        <v>0</v>
      </c>
      <c r="BT228" s="16">
        <v>0</v>
      </c>
      <c r="BU228" s="16">
        <v>0</v>
      </c>
      <c r="BV228" s="16">
        <v>0</v>
      </c>
      <c r="BW228" s="16">
        <v>0</v>
      </c>
    </row>
    <row r="229" spans="1:75" ht="18" hidden="1" customHeight="1" outlineLevel="1">
      <c r="B229" s="7">
        <v>2035</v>
      </c>
      <c r="J229" s="9"/>
      <c r="Q229" s="5">
        <v>2019</v>
      </c>
      <c r="R229" s="5">
        <v>2</v>
      </c>
      <c r="S229" s="14" t="s">
        <v>54</v>
      </c>
      <c r="T229" s="15">
        <f t="shared" si="146"/>
        <v>5008805</v>
      </c>
      <c r="U229" s="15">
        <f t="shared" si="147"/>
        <v>5082340</v>
      </c>
      <c r="V229" s="16">
        <v>3482000</v>
      </c>
      <c r="W229" s="16">
        <v>1300340</v>
      </c>
      <c r="X229" s="16">
        <v>0</v>
      </c>
      <c r="Y229" s="16">
        <v>0</v>
      </c>
      <c r="Z229" s="16">
        <v>0</v>
      </c>
      <c r="AA229" s="16">
        <v>0</v>
      </c>
      <c r="AB229" s="16">
        <v>0</v>
      </c>
      <c r="AC229" s="16">
        <v>0</v>
      </c>
      <c r="AD229" s="16">
        <v>0</v>
      </c>
      <c r="AE229" s="16">
        <v>0</v>
      </c>
      <c r="AF229" s="16">
        <v>50000</v>
      </c>
      <c r="AG229" s="16">
        <v>0</v>
      </c>
      <c r="AH229" s="16">
        <v>0</v>
      </c>
      <c r="AI229" s="16">
        <v>200000</v>
      </c>
      <c r="AJ229" s="16">
        <v>0</v>
      </c>
      <c r="AK229" s="16">
        <v>0</v>
      </c>
      <c r="AL229" s="16">
        <v>50000</v>
      </c>
      <c r="AM229" s="16">
        <v>0</v>
      </c>
      <c r="AN229" s="16">
        <v>0</v>
      </c>
      <c r="AO229" s="16">
        <v>0</v>
      </c>
      <c r="AP229" s="16">
        <v>0</v>
      </c>
      <c r="AQ229" s="16">
        <v>0</v>
      </c>
      <c r="AR229" s="16">
        <v>0</v>
      </c>
      <c r="AS229" s="16">
        <v>0</v>
      </c>
      <c r="AT229" s="16">
        <v>0</v>
      </c>
      <c r="AU229" s="16">
        <v>0</v>
      </c>
      <c r="AV229" s="16">
        <v>0</v>
      </c>
      <c r="AW229" s="16">
        <v>0</v>
      </c>
      <c r="AX229" s="16">
        <v>0</v>
      </c>
      <c r="AY229" s="16">
        <v>0</v>
      </c>
      <c r="AZ229" s="16">
        <v>0</v>
      </c>
      <c r="BA229" s="16"/>
      <c r="BB229" s="15">
        <f t="shared" si="148"/>
        <v>73535</v>
      </c>
      <c r="BC229" s="16">
        <v>-725380</v>
      </c>
      <c r="BD229" s="16">
        <v>347660</v>
      </c>
      <c r="BE229" s="16">
        <v>0</v>
      </c>
      <c r="BF229" s="16">
        <v>34760</v>
      </c>
      <c r="BG229" s="16">
        <v>0</v>
      </c>
      <c r="BH229" s="16">
        <v>159980</v>
      </c>
      <c r="BI229" s="16">
        <v>202590</v>
      </c>
      <c r="BJ229" s="16">
        <v>32385</v>
      </c>
      <c r="BK229" s="16">
        <v>17500</v>
      </c>
      <c r="BL229" s="16">
        <v>0</v>
      </c>
      <c r="BM229" s="16">
        <v>0</v>
      </c>
      <c r="BN229" s="16">
        <v>0</v>
      </c>
      <c r="BO229" s="16">
        <v>0</v>
      </c>
      <c r="BP229" s="16">
        <v>4040</v>
      </c>
      <c r="BQ229" s="16">
        <v>0</v>
      </c>
      <c r="BR229" s="16">
        <v>0</v>
      </c>
      <c r="BS229" s="16">
        <v>0</v>
      </c>
      <c r="BT229" s="16">
        <v>0</v>
      </c>
      <c r="BU229" s="16">
        <v>0</v>
      </c>
      <c r="BV229" s="16">
        <v>0</v>
      </c>
      <c r="BW229" s="16">
        <v>0</v>
      </c>
    </row>
    <row r="230" spans="1:75" ht="18" hidden="1" customHeight="1" outlineLevel="1">
      <c r="B230" s="7">
        <v>2036</v>
      </c>
      <c r="J230" s="9"/>
      <c r="Q230" s="5">
        <v>2019</v>
      </c>
      <c r="R230" s="5">
        <v>1</v>
      </c>
      <c r="S230" s="14" t="s">
        <v>54</v>
      </c>
      <c r="T230" s="15">
        <f t="shared" si="146"/>
        <v>4833327</v>
      </c>
      <c r="U230" s="15">
        <f t="shared" si="147"/>
        <v>5935105</v>
      </c>
      <c r="V230" s="16">
        <v>3482000</v>
      </c>
      <c r="W230" s="16">
        <v>1300340</v>
      </c>
      <c r="X230" s="16">
        <v>0</v>
      </c>
      <c r="Y230" s="16">
        <v>0</v>
      </c>
      <c r="Z230" s="16">
        <v>0</v>
      </c>
      <c r="AA230" s="16">
        <v>0</v>
      </c>
      <c r="AB230" s="16">
        <v>0</v>
      </c>
      <c r="AC230" s="16">
        <v>0</v>
      </c>
      <c r="AD230" s="16">
        <v>0</v>
      </c>
      <c r="AE230" s="16">
        <v>0</v>
      </c>
      <c r="AF230" s="16">
        <v>50000</v>
      </c>
      <c r="AG230" s="16">
        <v>0</v>
      </c>
      <c r="AH230" s="16">
        <v>0</v>
      </c>
      <c r="AI230" s="16">
        <v>200000</v>
      </c>
      <c r="AJ230" s="16">
        <v>150000</v>
      </c>
      <c r="AK230" s="16">
        <v>0</v>
      </c>
      <c r="AL230" s="16">
        <v>50000</v>
      </c>
      <c r="AM230" s="16">
        <v>0</v>
      </c>
      <c r="AN230" s="16">
        <v>0</v>
      </c>
      <c r="AO230" s="16">
        <v>0</v>
      </c>
      <c r="AP230" s="16">
        <v>0</v>
      </c>
      <c r="AQ230" s="16">
        <v>0</v>
      </c>
      <c r="AR230" s="16">
        <v>702765</v>
      </c>
      <c r="AS230" s="16">
        <v>0</v>
      </c>
      <c r="AT230" s="16">
        <v>0</v>
      </c>
      <c r="AU230" s="16">
        <v>0</v>
      </c>
      <c r="AV230" s="16">
        <v>0</v>
      </c>
      <c r="AW230" s="16">
        <v>0</v>
      </c>
      <c r="AX230" s="16">
        <v>0</v>
      </c>
      <c r="AY230" s="16">
        <v>0</v>
      </c>
      <c r="AZ230" s="16">
        <v>0</v>
      </c>
      <c r="BA230" s="16"/>
      <c r="BB230" s="15">
        <f t="shared" si="148"/>
        <v>1101778</v>
      </c>
      <c r="BC230" s="16">
        <v>0</v>
      </c>
      <c r="BD230" s="16">
        <v>485260</v>
      </c>
      <c r="BE230" s="16">
        <v>0</v>
      </c>
      <c r="BF230" s="16">
        <v>48520</v>
      </c>
      <c r="BG230" s="16">
        <v>0</v>
      </c>
      <c r="BH230" s="16">
        <v>159980</v>
      </c>
      <c r="BI230" s="16">
        <v>202590</v>
      </c>
      <c r="BJ230" s="16">
        <v>37928</v>
      </c>
      <c r="BK230" s="16">
        <v>17500</v>
      </c>
      <c r="BL230" s="16">
        <v>0</v>
      </c>
      <c r="BM230" s="16">
        <v>150000</v>
      </c>
      <c r="BN230" s="16">
        <v>0</v>
      </c>
      <c r="BO230" s="16">
        <v>0</v>
      </c>
      <c r="BP230" s="16">
        <v>0</v>
      </c>
      <c r="BQ230" s="16">
        <v>0</v>
      </c>
      <c r="BR230" s="16">
        <v>0</v>
      </c>
      <c r="BS230" s="16">
        <v>0</v>
      </c>
      <c r="BT230" s="16">
        <v>0</v>
      </c>
      <c r="BU230" s="16">
        <v>0</v>
      </c>
      <c r="BV230" s="16">
        <v>0</v>
      </c>
      <c r="BW230" s="16">
        <v>0</v>
      </c>
    </row>
    <row r="231" spans="1:75" s="1" customFormat="1" ht="18" customHeight="1" collapsed="1">
      <c r="A231" s="10"/>
      <c r="B231" s="18"/>
      <c r="C231" s="19"/>
      <c r="D231" s="18"/>
      <c r="E231" s="19"/>
      <c r="F231" s="19"/>
      <c r="G231" s="19"/>
      <c r="H231" s="19"/>
      <c r="I231" s="19"/>
      <c r="J231" s="20"/>
      <c r="K231" s="19"/>
      <c r="L231" s="19"/>
      <c r="M231" s="19"/>
      <c r="N231" s="19"/>
      <c r="O231" s="21"/>
      <c r="P231" s="22"/>
      <c r="Q231" s="628" t="s">
        <v>127</v>
      </c>
      <c r="R231" s="628"/>
      <c r="S231" s="628"/>
      <c r="T231" s="23">
        <f t="shared" ref="T231:AZ231" si="149">SUMIF($Q$2:$Q$793,$Q232,T$2:T$793)</f>
        <v>60891846</v>
      </c>
      <c r="U231" s="23">
        <f t="shared" si="149"/>
        <v>70219448</v>
      </c>
      <c r="V231" s="23">
        <f t="shared" si="149"/>
        <v>41478000</v>
      </c>
      <c r="W231" s="23">
        <f t="shared" si="149"/>
        <v>15487840</v>
      </c>
      <c r="X231" s="23">
        <f t="shared" si="149"/>
        <v>0</v>
      </c>
      <c r="Y231" s="23">
        <f t="shared" si="149"/>
        <v>0</v>
      </c>
      <c r="Z231" s="23">
        <f t="shared" si="149"/>
        <v>0</v>
      </c>
      <c r="AA231" s="23">
        <f t="shared" si="149"/>
        <v>0</v>
      </c>
      <c r="AB231" s="23">
        <f t="shared" si="149"/>
        <v>0</v>
      </c>
      <c r="AC231" s="23">
        <f t="shared" si="149"/>
        <v>422240</v>
      </c>
      <c r="AD231" s="23">
        <f t="shared" si="149"/>
        <v>6481368</v>
      </c>
      <c r="AE231" s="23">
        <f t="shared" si="149"/>
        <v>1000000</v>
      </c>
      <c r="AF231" s="23">
        <f t="shared" si="149"/>
        <v>600000</v>
      </c>
      <c r="AG231" s="23">
        <f t="shared" si="149"/>
        <v>0</v>
      </c>
      <c r="AH231" s="23">
        <f t="shared" si="149"/>
        <v>0</v>
      </c>
      <c r="AI231" s="23">
        <f t="shared" si="149"/>
        <v>2400000</v>
      </c>
      <c r="AJ231" s="23">
        <f t="shared" si="149"/>
        <v>450000</v>
      </c>
      <c r="AK231" s="23">
        <f t="shared" si="149"/>
        <v>300000</v>
      </c>
      <c r="AL231" s="23">
        <f t="shared" si="149"/>
        <v>600000</v>
      </c>
      <c r="AM231" s="23">
        <f t="shared" si="149"/>
        <v>0</v>
      </c>
      <c r="AN231" s="23">
        <f t="shared" si="149"/>
        <v>0</v>
      </c>
      <c r="AO231" s="23">
        <f t="shared" si="149"/>
        <v>600000</v>
      </c>
      <c r="AP231" s="23">
        <f t="shared" si="149"/>
        <v>400000</v>
      </c>
      <c r="AQ231" s="23">
        <f t="shared" si="149"/>
        <v>0</v>
      </c>
      <c r="AR231" s="23">
        <f t="shared" si="149"/>
        <v>0</v>
      </c>
      <c r="AS231" s="23">
        <f t="shared" si="149"/>
        <v>0</v>
      </c>
      <c r="AT231" s="23">
        <f t="shared" si="149"/>
        <v>0</v>
      </c>
      <c r="AU231" s="23">
        <f t="shared" si="149"/>
        <v>0</v>
      </c>
      <c r="AV231" s="23">
        <f t="shared" si="149"/>
        <v>0</v>
      </c>
      <c r="AW231" s="23">
        <f t="shared" si="149"/>
        <v>0</v>
      </c>
      <c r="AX231" s="23">
        <f t="shared" si="149"/>
        <v>0</v>
      </c>
      <c r="AY231" s="23">
        <f t="shared" si="149"/>
        <v>0</v>
      </c>
      <c r="AZ231" s="23">
        <f t="shared" si="149"/>
        <v>0</v>
      </c>
      <c r="BA231" s="23"/>
      <c r="BB231" s="23">
        <f t="shared" ref="BB231:BW231" si="150">SUMIF($Q$2:$Q$793,$Q232,BB$2:BB$793)</f>
        <v>9327602</v>
      </c>
      <c r="BC231" s="23">
        <f t="shared" si="150"/>
        <v>-1184660</v>
      </c>
      <c r="BD231" s="23">
        <f t="shared" si="150"/>
        <v>4659440</v>
      </c>
      <c r="BE231" s="23">
        <f t="shared" si="150"/>
        <v>0</v>
      </c>
      <c r="BF231" s="23">
        <f t="shared" si="150"/>
        <v>465900</v>
      </c>
      <c r="BG231" s="23">
        <f t="shared" si="150"/>
        <v>0</v>
      </c>
      <c r="BH231" s="23">
        <f t="shared" si="150"/>
        <v>1818720</v>
      </c>
      <c r="BI231" s="23">
        <f t="shared" si="150"/>
        <v>2384880</v>
      </c>
      <c r="BJ231" s="23">
        <f t="shared" si="150"/>
        <v>442122</v>
      </c>
      <c r="BK231" s="23">
        <f t="shared" si="150"/>
        <v>208200</v>
      </c>
      <c r="BL231" s="23">
        <f t="shared" si="150"/>
        <v>0</v>
      </c>
      <c r="BM231" s="23">
        <f t="shared" si="150"/>
        <v>450000</v>
      </c>
      <c r="BN231" s="23">
        <f t="shared" si="150"/>
        <v>0</v>
      </c>
      <c r="BO231" s="23">
        <f t="shared" si="150"/>
        <v>47460</v>
      </c>
      <c r="BP231" s="23">
        <f t="shared" si="150"/>
        <v>5540</v>
      </c>
      <c r="BQ231" s="23">
        <f t="shared" si="150"/>
        <v>0</v>
      </c>
      <c r="BR231" s="23">
        <f t="shared" si="150"/>
        <v>0</v>
      </c>
      <c r="BS231" s="23">
        <f t="shared" si="150"/>
        <v>0</v>
      </c>
      <c r="BT231" s="23">
        <f t="shared" si="150"/>
        <v>30000</v>
      </c>
      <c r="BU231" s="23">
        <f t="shared" si="150"/>
        <v>0</v>
      </c>
      <c r="BV231" s="23">
        <f t="shared" si="150"/>
        <v>0</v>
      </c>
      <c r="BW231" s="23">
        <f t="shared" si="150"/>
        <v>0</v>
      </c>
    </row>
    <row r="232" spans="1:75" ht="18" hidden="1" customHeight="1" outlineLevel="1">
      <c r="B232" s="7">
        <v>2037</v>
      </c>
      <c r="Q232" s="5">
        <v>2018</v>
      </c>
      <c r="R232" s="5">
        <v>12</v>
      </c>
      <c r="S232" s="14" t="s">
        <v>54</v>
      </c>
      <c r="T232" s="15">
        <f t="shared" ref="T232:T245" si="151">IF(U232=U232-BB232,0,U232-BB232)</f>
        <v>4371025</v>
      </c>
      <c r="U232" s="15">
        <f t="shared" ref="U232:U245" si="152">SUM(V232:BA232)</f>
        <v>5082340</v>
      </c>
      <c r="V232" s="16">
        <v>3482000</v>
      </c>
      <c r="W232" s="16">
        <v>1300340</v>
      </c>
      <c r="X232" s="16">
        <v>0</v>
      </c>
      <c r="Y232" s="16">
        <v>0</v>
      </c>
      <c r="Z232" s="16">
        <v>0</v>
      </c>
      <c r="AA232" s="16">
        <v>0</v>
      </c>
      <c r="AB232" s="16">
        <v>0</v>
      </c>
      <c r="AC232" s="16">
        <v>0</v>
      </c>
      <c r="AD232" s="16">
        <v>0</v>
      </c>
      <c r="AE232" s="16">
        <v>0</v>
      </c>
      <c r="AF232" s="16">
        <v>50000</v>
      </c>
      <c r="AG232" s="16">
        <v>0</v>
      </c>
      <c r="AH232" s="16">
        <v>0</v>
      </c>
      <c r="AI232" s="16">
        <v>200000</v>
      </c>
      <c r="AJ232" s="16">
        <v>0</v>
      </c>
      <c r="AK232" s="16">
        <v>0</v>
      </c>
      <c r="AL232" s="16">
        <v>50000</v>
      </c>
      <c r="AM232" s="16">
        <v>0</v>
      </c>
      <c r="AN232" s="16">
        <v>0</v>
      </c>
      <c r="AO232" s="16">
        <v>0</v>
      </c>
      <c r="AP232" s="16">
        <v>0</v>
      </c>
      <c r="AQ232" s="16">
        <v>0</v>
      </c>
      <c r="AR232" s="16">
        <v>0</v>
      </c>
      <c r="AS232" s="16">
        <v>0</v>
      </c>
      <c r="AT232" s="16">
        <v>0</v>
      </c>
      <c r="AU232" s="16">
        <v>0</v>
      </c>
      <c r="AV232" s="16">
        <v>0</v>
      </c>
      <c r="AW232" s="16">
        <v>0</v>
      </c>
      <c r="AX232" s="16">
        <v>0</v>
      </c>
      <c r="AY232" s="16">
        <v>0</v>
      </c>
      <c r="AZ232" s="16">
        <v>0</v>
      </c>
      <c r="BA232" s="16"/>
      <c r="BB232" s="15">
        <f t="shared" ref="BB232:BB245" si="153">SUM(BC232:BW232)</f>
        <v>711315</v>
      </c>
      <c r="BC232" s="16">
        <v>0</v>
      </c>
      <c r="BD232" s="16">
        <v>278120</v>
      </c>
      <c r="BE232" s="16">
        <v>0</v>
      </c>
      <c r="BF232" s="16">
        <v>27810</v>
      </c>
      <c r="BG232" s="16">
        <v>0</v>
      </c>
      <c r="BH232" s="16">
        <v>152910</v>
      </c>
      <c r="BI232" s="16">
        <v>202590</v>
      </c>
      <c r="BJ232" s="16">
        <v>32385</v>
      </c>
      <c r="BK232" s="16">
        <v>17500</v>
      </c>
      <c r="BL232" s="16">
        <v>0</v>
      </c>
      <c r="BM232" s="16">
        <v>0</v>
      </c>
      <c r="BN232" s="16">
        <v>0</v>
      </c>
      <c r="BO232" s="16">
        <v>0</v>
      </c>
      <c r="BP232" s="16">
        <v>0</v>
      </c>
      <c r="BQ232" s="16">
        <v>0</v>
      </c>
      <c r="BR232" s="16">
        <v>0</v>
      </c>
      <c r="BS232" s="16">
        <v>0</v>
      </c>
      <c r="BT232" s="16">
        <v>0</v>
      </c>
      <c r="BU232" s="16">
        <v>0</v>
      </c>
      <c r="BV232" s="16">
        <v>0</v>
      </c>
      <c r="BW232" s="16">
        <v>0</v>
      </c>
    </row>
    <row r="233" spans="1:75" ht="18" hidden="1" customHeight="1" outlineLevel="1">
      <c r="B233" s="7">
        <v>2038</v>
      </c>
      <c r="Q233" s="5">
        <v>2018</v>
      </c>
      <c r="R233" s="5">
        <v>11</v>
      </c>
      <c r="S233" s="14" t="s">
        <v>54</v>
      </c>
      <c r="T233" s="15">
        <f t="shared" si="151"/>
        <v>4371025</v>
      </c>
      <c r="U233" s="15">
        <f t="shared" si="152"/>
        <v>5082340</v>
      </c>
      <c r="V233" s="16">
        <v>3482000</v>
      </c>
      <c r="W233" s="16">
        <v>1300340</v>
      </c>
      <c r="X233" s="16">
        <v>0</v>
      </c>
      <c r="Y233" s="16">
        <v>0</v>
      </c>
      <c r="Z233" s="16">
        <v>0</v>
      </c>
      <c r="AA233" s="16">
        <v>0</v>
      </c>
      <c r="AB233" s="16">
        <v>0</v>
      </c>
      <c r="AC233" s="16">
        <v>0</v>
      </c>
      <c r="AD233" s="16">
        <v>0</v>
      </c>
      <c r="AE233" s="16">
        <v>0</v>
      </c>
      <c r="AF233" s="16">
        <v>50000</v>
      </c>
      <c r="AG233" s="16">
        <v>0</v>
      </c>
      <c r="AH233" s="16">
        <v>0</v>
      </c>
      <c r="AI233" s="16">
        <v>200000</v>
      </c>
      <c r="AJ233" s="16">
        <v>0</v>
      </c>
      <c r="AK233" s="16">
        <v>0</v>
      </c>
      <c r="AL233" s="16">
        <v>50000</v>
      </c>
      <c r="AM233" s="16">
        <v>0</v>
      </c>
      <c r="AN233" s="16">
        <v>0</v>
      </c>
      <c r="AO233" s="16">
        <v>0</v>
      </c>
      <c r="AP233" s="16">
        <v>0</v>
      </c>
      <c r="AQ233" s="16">
        <v>0</v>
      </c>
      <c r="AR233" s="16">
        <v>0</v>
      </c>
      <c r="AS233" s="16">
        <v>0</v>
      </c>
      <c r="AT233" s="16">
        <v>0</v>
      </c>
      <c r="AU233" s="16">
        <v>0</v>
      </c>
      <c r="AV233" s="16">
        <v>0</v>
      </c>
      <c r="AW233" s="16">
        <v>0</v>
      </c>
      <c r="AX233" s="16">
        <v>0</v>
      </c>
      <c r="AY233" s="16">
        <v>0</v>
      </c>
      <c r="AZ233" s="16">
        <v>0</v>
      </c>
      <c r="BA233" s="16"/>
      <c r="BB233" s="15">
        <f t="shared" si="153"/>
        <v>711315</v>
      </c>
      <c r="BC233" s="16">
        <v>0</v>
      </c>
      <c r="BD233" s="16">
        <v>278120</v>
      </c>
      <c r="BE233" s="16">
        <v>0</v>
      </c>
      <c r="BF233" s="16">
        <v>27810</v>
      </c>
      <c r="BG233" s="16">
        <v>0</v>
      </c>
      <c r="BH233" s="16">
        <v>152910</v>
      </c>
      <c r="BI233" s="16">
        <v>202590</v>
      </c>
      <c r="BJ233" s="16">
        <v>32385</v>
      </c>
      <c r="BK233" s="16">
        <v>17500</v>
      </c>
      <c r="BL233" s="16">
        <v>0</v>
      </c>
      <c r="BM233" s="16">
        <v>0</v>
      </c>
      <c r="BN233" s="16">
        <v>0</v>
      </c>
      <c r="BO233" s="16">
        <v>0</v>
      </c>
      <c r="BP233" s="16">
        <v>0</v>
      </c>
      <c r="BQ233" s="16">
        <v>0</v>
      </c>
      <c r="BR233" s="16">
        <v>0</v>
      </c>
      <c r="BS233" s="16">
        <v>0</v>
      </c>
      <c r="BT233" s="16">
        <v>0</v>
      </c>
      <c r="BU233" s="16">
        <v>0</v>
      </c>
      <c r="BV233" s="16">
        <v>0</v>
      </c>
      <c r="BW233" s="16">
        <v>0</v>
      </c>
    </row>
    <row r="234" spans="1:75" ht="18" hidden="1" customHeight="1" outlineLevel="1">
      <c r="B234" s="7">
        <v>2039</v>
      </c>
      <c r="Q234" s="5">
        <v>2018</v>
      </c>
      <c r="R234" s="5">
        <v>10</v>
      </c>
      <c r="S234" s="14" t="s">
        <v>54</v>
      </c>
      <c r="T234" s="15">
        <f t="shared" si="151"/>
        <v>4370525</v>
      </c>
      <c r="U234" s="15">
        <f t="shared" si="152"/>
        <v>5082340</v>
      </c>
      <c r="V234" s="16">
        <v>3482000</v>
      </c>
      <c r="W234" s="16">
        <v>1300340</v>
      </c>
      <c r="X234" s="16">
        <v>0</v>
      </c>
      <c r="Y234" s="16">
        <v>0</v>
      </c>
      <c r="Z234" s="16">
        <v>0</v>
      </c>
      <c r="AA234" s="16">
        <v>0</v>
      </c>
      <c r="AB234" s="16">
        <v>0</v>
      </c>
      <c r="AC234" s="16">
        <v>0</v>
      </c>
      <c r="AD234" s="16">
        <v>0</v>
      </c>
      <c r="AE234" s="16">
        <v>0</v>
      </c>
      <c r="AF234" s="16">
        <v>50000</v>
      </c>
      <c r="AG234" s="16">
        <v>0</v>
      </c>
      <c r="AH234" s="16">
        <v>0</v>
      </c>
      <c r="AI234" s="16">
        <v>200000</v>
      </c>
      <c r="AJ234" s="16">
        <v>0</v>
      </c>
      <c r="AK234" s="16">
        <v>0</v>
      </c>
      <c r="AL234" s="16">
        <v>50000</v>
      </c>
      <c r="AM234" s="16">
        <v>0</v>
      </c>
      <c r="AN234" s="16">
        <v>0</v>
      </c>
      <c r="AO234" s="16">
        <v>0</v>
      </c>
      <c r="AP234" s="16">
        <v>0</v>
      </c>
      <c r="AQ234" s="16">
        <v>0</v>
      </c>
      <c r="AR234" s="16">
        <v>0</v>
      </c>
      <c r="AS234" s="16">
        <v>0</v>
      </c>
      <c r="AT234" s="16">
        <v>0</v>
      </c>
      <c r="AU234" s="16">
        <v>0</v>
      </c>
      <c r="AV234" s="16">
        <v>0</v>
      </c>
      <c r="AW234" s="16">
        <v>0</v>
      </c>
      <c r="AX234" s="16">
        <v>0</v>
      </c>
      <c r="AY234" s="16">
        <v>0</v>
      </c>
      <c r="AZ234" s="16">
        <v>0</v>
      </c>
      <c r="BA234" s="16"/>
      <c r="BB234" s="15">
        <f t="shared" si="153"/>
        <v>711815</v>
      </c>
      <c r="BC234" s="16">
        <v>0</v>
      </c>
      <c r="BD234" s="16">
        <v>278120</v>
      </c>
      <c r="BE234" s="16">
        <v>0</v>
      </c>
      <c r="BF234" s="16">
        <v>27810</v>
      </c>
      <c r="BG234" s="16">
        <v>0</v>
      </c>
      <c r="BH234" s="16">
        <v>152910</v>
      </c>
      <c r="BI234" s="16">
        <v>202590</v>
      </c>
      <c r="BJ234" s="16">
        <v>32385</v>
      </c>
      <c r="BK234" s="16">
        <v>17500</v>
      </c>
      <c r="BL234" s="16">
        <v>0</v>
      </c>
      <c r="BM234" s="16">
        <v>0</v>
      </c>
      <c r="BN234" s="16">
        <v>0</v>
      </c>
      <c r="BO234" s="16">
        <v>0</v>
      </c>
      <c r="BP234" s="16">
        <v>500</v>
      </c>
      <c r="BQ234" s="16">
        <v>0</v>
      </c>
      <c r="BR234" s="16">
        <v>0</v>
      </c>
      <c r="BS234" s="16">
        <v>0</v>
      </c>
      <c r="BT234" s="16">
        <v>0</v>
      </c>
      <c r="BU234" s="16">
        <v>0</v>
      </c>
      <c r="BV234" s="16">
        <v>0</v>
      </c>
      <c r="BW234" s="16">
        <v>0</v>
      </c>
    </row>
    <row r="235" spans="1:75" ht="18" hidden="1" customHeight="1" outlineLevel="1">
      <c r="B235" s="7">
        <v>2040</v>
      </c>
      <c r="Q235" s="5">
        <v>2018</v>
      </c>
      <c r="R235" s="5">
        <v>9</v>
      </c>
      <c r="S235" s="14" t="s">
        <v>54</v>
      </c>
      <c r="T235" s="15">
        <f t="shared" si="151"/>
        <v>4352760</v>
      </c>
      <c r="U235" s="15">
        <f t="shared" si="152"/>
        <v>5232340</v>
      </c>
      <c r="V235" s="16">
        <v>3482000</v>
      </c>
      <c r="W235" s="16">
        <v>1300340</v>
      </c>
      <c r="X235" s="16">
        <v>0</v>
      </c>
      <c r="Y235" s="16">
        <v>0</v>
      </c>
      <c r="Z235" s="16">
        <v>0</v>
      </c>
      <c r="AA235" s="16">
        <v>0</v>
      </c>
      <c r="AB235" s="16">
        <v>0</v>
      </c>
      <c r="AC235" s="16">
        <v>0</v>
      </c>
      <c r="AD235" s="16">
        <v>0</v>
      </c>
      <c r="AE235" s="16">
        <v>0</v>
      </c>
      <c r="AF235" s="16">
        <v>50000</v>
      </c>
      <c r="AG235" s="16">
        <v>0</v>
      </c>
      <c r="AH235" s="16">
        <v>0</v>
      </c>
      <c r="AI235" s="16">
        <v>200000</v>
      </c>
      <c r="AJ235" s="16">
        <v>150000</v>
      </c>
      <c r="AK235" s="16">
        <v>0</v>
      </c>
      <c r="AL235" s="16">
        <v>50000</v>
      </c>
      <c r="AM235" s="16">
        <v>0</v>
      </c>
      <c r="AN235" s="16">
        <v>0</v>
      </c>
      <c r="AO235" s="16">
        <v>0</v>
      </c>
      <c r="AP235" s="16">
        <v>0</v>
      </c>
      <c r="AQ235" s="16">
        <v>0</v>
      </c>
      <c r="AR235" s="16">
        <v>0</v>
      </c>
      <c r="AS235" s="16">
        <v>0</v>
      </c>
      <c r="AT235" s="16">
        <v>0</v>
      </c>
      <c r="AU235" s="16">
        <v>0</v>
      </c>
      <c r="AV235" s="16">
        <v>0</v>
      </c>
      <c r="AW235" s="16">
        <v>0</v>
      </c>
      <c r="AX235" s="16">
        <v>0</v>
      </c>
      <c r="AY235" s="16">
        <v>0</v>
      </c>
      <c r="AZ235" s="16">
        <v>0</v>
      </c>
      <c r="BA235" s="16"/>
      <c r="BB235" s="15">
        <f t="shared" si="153"/>
        <v>879580</v>
      </c>
      <c r="BC235" s="16">
        <v>0</v>
      </c>
      <c r="BD235" s="16">
        <v>293840</v>
      </c>
      <c r="BE235" s="16">
        <v>0</v>
      </c>
      <c r="BF235" s="16">
        <v>29380</v>
      </c>
      <c r="BG235" s="16">
        <v>0</v>
      </c>
      <c r="BH235" s="16">
        <v>152910</v>
      </c>
      <c r="BI235" s="16">
        <v>202590</v>
      </c>
      <c r="BJ235" s="16">
        <v>33360</v>
      </c>
      <c r="BK235" s="16">
        <v>17500</v>
      </c>
      <c r="BL235" s="16">
        <v>0</v>
      </c>
      <c r="BM235" s="16">
        <v>150000</v>
      </c>
      <c r="BN235" s="16">
        <v>0</v>
      </c>
      <c r="BO235" s="16">
        <v>0</v>
      </c>
      <c r="BP235" s="16">
        <v>0</v>
      </c>
      <c r="BQ235" s="16">
        <v>0</v>
      </c>
      <c r="BR235" s="16">
        <v>0</v>
      </c>
      <c r="BS235" s="16">
        <v>0</v>
      </c>
      <c r="BT235" s="16">
        <v>0</v>
      </c>
      <c r="BU235" s="16">
        <v>0</v>
      </c>
      <c r="BV235" s="16">
        <v>0</v>
      </c>
      <c r="BW235" s="16">
        <v>0</v>
      </c>
    </row>
    <row r="236" spans="1:75" ht="18" hidden="1" customHeight="1" outlineLevel="1">
      <c r="B236" s="7">
        <v>2041</v>
      </c>
      <c r="Q236" s="5">
        <v>2018</v>
      </c>
      <c r="R236" s="5">
        <v>8</v>
      </c>
      <c r="S236" s="14" t="s">
        <v>54</v>
      </c>
      <c r="T236" s="15">
        <f t="shared" si="151"/>
        <v>4371025</v>
      </c>
      <c r="U236" s="15">
        <f t="shared" si="152"/>
        <v>5082340</v>
      </c>
      <c r="V236" s="16">
        <v>3482000</v>
      </c>
      <c r="W236" s="16">
        <v>1300340</v>
      </c>
      <c r="X236" s="16">
        <v>0</v>
      </c>
      <c r="Y236" s="16">
        <v>0</v>
      </c>
      <c r="Z236" s="16">
        <v>0</v>
      </c>
      <c r="AA236" s="16">
        <v>0</v>
      </c>
      <c r="AB236" s="16">
        <v>0</v>
      </c>
      <c r="AC236" s="16">
        <v>0</v>
      </c>
      <c r="AD236" s="16">
        <v>0</v>
      </c>
      <c r="AE236" s="16">
        <v>0</v>
      </c>
      <c r="AF236" s="16">
        <v>50000</v>
      </c>
      <c r="AG236" s="16">
        <v>0</v>
      </c>
      <c r="AH236" s="16">
        <v>0</v>
      </c>
      <c r="AI236" s="16">
        <v>200000</v>
      </c>
      <c r="AJ236" s="16">
        <v>0</v>
      </c>
      <c r="AK236" s="16">
        <v>0</v>
      </c>
      <c r="AL236" s="16">
        <v>50000</v>
      </c>
      <c r="AM236" s="16">
        <v>0</v>
      </c>
      <c r="AN236" s="16">
        <v>0</v>
      </c>
      <c r="AO236" s="16">
        <v>0</v>
      </c>
      <c r="AP236" s="16">
        <v>0</v>
      </c>
      <c r="AQ236" s="16">
        <v>0</v>
      </c>
      <c r="AR236" s="16">
        <v>0</v>
      </c>
      <c r="AS236" s="16">
        <v>0</v>
      </c>
      <c r="AT236" s="16">
        <v>0</v>
      </c>
      <c r="AU236" s="16">
        <v>0</v>
      </c>
      <c r="AV236" s="16">
        <v>0</v>
      </c>
      <c r="AW236" s="16">
        <v>0</v>
      </c>
      <c r="AX236" s="16">
        <v>0</v>
      </c>
      <c r="AY236" s="16">
        <v>0</v>
      </c>
      <c r="AZ236" s="16">
        <v>0</v>
      </c>
      <c r="BA236" s="16"/>
      <c r="BB236" s="15">
        <f t="shared" si="153"/>
        <v>711315</v>
      </c>
      <c r="BC236" s="16">
        <v>0</v>
      </c>
      <c r="BD236" s="16">
        <v>278120</v>
      </c>
      <c r="BE236" s="16">
        <v>0</v>
      </c>
      <c r="BF236" s="16">
        <v>27810</v>
      </c>
      <c r="BG236" s="16">
        <v>0</v>
      </c>
      <c r="BH236" s="16">
        <v>152910</v>
      </c>
      <c r="BI236" s="16">
        <v>202590</v>
      </c>
      <c r="BJ236" s="16">
        <v>32385</v>
      </c>
      <c r="BK236" s="16">
        <v>17500</v>
      </c>
      <c r="BL236" s="16">
        <v>0</v>
      </c>
      <c r="BM236" s="16">
        <v>0</v>
      </c>
      <c r="BN236" s="16">
        <v>0</v>
      </c>
      <c r="BO236" s="16">
        <v>0</v>
      </c>
      <c r="BP236" s="16">
        <v>0</v>
      </c>
      <c r="BQ236" s="16">
        <v>0</v>
      </c>
      <c r="BR236" s="16">
        <v>0</v>
      </c>
      <c r="BS236" s="16">
        <v>0</v>
      </c>
      <c r="BT236" s="16">
        <v>0</v>
      </c>
      <c r="BU236" s="16">
        <v>0</v>
      </c>
      <c r="BV236" s="16">
        <v>0</v>
      </c>
      <c r="BW236" s="16">
        <v>0</v>
      </c>
    </row>
    <row r="237" spans="1:75" ht="18" hidden="1" customHeight="1" outlineLevel="1">
      <c r="B237" s="7">
        <v>2042</v>
      </c>
      <c r="Q237" s="5">
        <v>2018</v>
      </c>
      <c r="R237" s="5">
        <v>7</v>
      </c>
      <c r="S237" s="14" t="s">
        <v>54</v>
      </c>
      <c r="T237" s="15">
        <f t="shared" si="151"/>
        <v>4753882</v>
      </c>
      <c r="U237" s="15">
        <f t="shared" si="152"/>
        <v>5522860</v>
      </c>
      <c r="V237" s="16">
        <v>3482000</v>
      </c>
      <c r="W237" s="16">
        <v>1300340</v>
      </c>
      <c r="X237" s="16">
        <v>0</v>
      </c>
      <c r="Y237" s="16">
        <v>0</v>
      </c>
      <c r="Z237" s="16">
        <v>0</v>
      </c>
      <c r="AA237" s="16">
        <v>0</v>
      </c>
      <c r="AB237" s="16">
        <v>0</v>
      </c>
      <c r="AC237" s="16">
        <v>140520</v>
      </c>
      <c r="AD237" s="16">
        <v>0</v>
      </c>
      <c r="AE237" s="16">
        <v>0</v>
      </c>
      <c r="AF237" s="16">
        <v>50000</v>
      </c>
      <c r="AG237" s="16">
        <v>0</v>
      </c>
      <c r="AH237" s="16">
        <v>0</v>
      </c>
      <c r="AI237" s="16">
        <v>200000</v>
      </c>
      <c r="AJ237" s="16">
        <v>0</v>
      </c>
      <c r="AK237" s="16">
        <v>300000</v>
      </c>
      <c r="AL237" s="16">
        <v>50000</v>
      </c>
      <c r="AM237" s="16">
        <v>0</v>
      </c>
      <c r="AN237" s="16">
        <v>0</v>
      </c>
      <c r="AO237" s="16">
        <v>0</v>
      </c>
      <c r="AP237" s="16">
        <v>0</v>
      </c>
      <c r="AQ237" s="16">
        <v>0</v>
      </c>
      <c r="AR237" s="16">
        <v>0</v>
      </c>
      <c r="AS237" s="16">
        <v>0</v>
      </c>
      <c r="AT237" s="16">
        <v>0</v>
      </c>
      <c r="AU237" s="16">
        <v>0</v>
      </c>
      <c r="AV237" s="16">
        <v>0</v>
      </c>
      <c r="AW237" s="16">
        <v>0</v>
      </c>
      <c r="AX237" s="16">
        <v>0</v>
      </c>
      <c r="AY237" s="16">
        <v>0</v>
      </c>
      <c r="AZ237" s="16">
        <v>0</v>
      </c>
      <c r="BA237" s="16"/>
      <c r="BB237" s="15">
        <f t="shared" si="153"/>
        <v>768978</v>
      </c>
      <c r="BC237" s="16">
        <v>0</v>
      </c>
      <c r="BD237" s="16">
        <v>327490</v>
      </c>
      <c r="BE237" s="16">
        <v>0</v>
      </c>
      <c r="BF237" s="16">
        <v>32740</v>
      </c>
      <c r="BG237" s="16">
        <v>0</v>
      </c>
      <c r="BH237" s="16">
        <v>152910</v>
      </c>
      <c r="BI237" s="16">
        <v>202590</v>
      </c>
      <c r="BJ237" s="16">
        <v>35248</v>
      </c>
      <c r="BK237" s="16">
        <v>17500</v>
      </c>
      <c r="BL237" s="16">
        <v>0</v>
      </c>
      <c r="BM237" s="16">
        <v>0</v>
      </c>
      <c r="BN237" s="16">
        <v>0</v>
      </c>
      <c r="BO237" s="16">
        <v>0</v>
      </c>
      <c r="BP237" s="16">
        <v>500</v>
      </c>
      <c r="BQ237" s="16">
        <v>0</v>
      </c>
      <c r="BR237" s="16">
        <v>0</v>
      </c>
      <c r="BS237" s="16">
        <v>0</v>
      </c>
      <c r="BT237" s="16">
        <v>0</v>
      </c>
      <c r="BU237" s="16">
        <v>0</v>
      </c>
      <c r="BV237" s="16">
        <v>0</v>
      </c>
      <c r="BW237" s="16">
        <v>0</v>
      </c>
    </row>
    <row r="238" spans="1:75" ht="18" hidden="1" customHeight="1" outlineLevel="1">
      <c r="B238" s="7">
        <v>2043</v>
      </c>
      <c r="Q238" s="5">
        <v>2018</v>
      </c>
      <c r="R238" s="5">
        <v>6</v>
      </c>
      <c r="S238" s="14" t="s">
        <v>54</v>
      </c>
      <c r="T238" s="15">
        <f t="shared" si="151"/>
        <v>4360488</v>
      </c>
      <c r="U238" s="15">
        <f t="shared" si="152"/>
        <v>5058920</v>
      </c>
      <c r="V238" s="16">
        <v>3465000</v>
      </c>
      <c r="W238" s="16">
        <v>1293920</v>
      </c>
      <c r="X238" s="16">
        <v>0</v>
      </c>
      <c r="Y238" s="16">
        <v>0</v>
      </c>
      <c r="Z238" s="16">
        <v>0</v>
      </c>
      <c r="AA238" s="16">
        <v>0</v>
      </c>
      <c r="AB238" s="16">
        <v>0</v>
      </c>
      <c r="AC238" s="16">
        <v>0</v>
      </c>
      <c r="AD238" s="16">
        <v>0</v>
      </c>
      <c r="AE238" s="16">
        <v>0</v>
      </c>
      <c r="AF238" s="16">
        <v>50000</v>
      </c>
      <c r="AG238" s="16">
        <v>0</v>
      </c>
      <c r="AH238" s="16">
        <v>0</v>
      </c>
      <c r="AI238" s="16">
        <v>200000</v>
      </c>
      <c r="AJ238" s="16">
        <v>0</v>
      </c>
      <c r="AK238" s="16">
        <v>0</v>
      </c>
      <c r="AL238" s="16">
        <v>50000</v>
      </c>
      <c r="AM238" s="16">
        <v>0</v>
      </c>
      <c r="AN238" s="16">
        <v>0</v>
      </c>
      <c r="AO238" s="16">
        <v>0</v>
      </c>
      <c r="AP238" s="16">
        <v>0</v>
      </c>
      <c r="AQ238" s="16">
        <v>0</v>
      </c>
      <c r="AR238" s="16">
        <v>0</v>
      </c>
      <c r="AS238" s="16">
        <v>0</v>
      </c>
      <c r="AT238" s="16">
        <v>0</v>
      </c>
      <c r="AU238" s="16">
        <v>0</v>
      </c>
      <c r="AV238" s="16">
        <v>0</v>
      </c>
      <c r="AW238" s="16">
        <v>0</v>
      </c>
      <c r="AX238" s="16">
        <v>0</v>
      </c>
      <c r="AY238" s="16">
        <v>0</v>
      </c>
      <c r="AZ238" s="16">
        <v>0</v>
      </c>
      <c r="BA238" s="16"/>
      <c r="BB238" s="15">
        <f t="shared" si="153"/>
        <v>698432</v>
      </c>
      <c r="BC238" s="16">
        <v>0</v>
      </c>
      <c r="BD238" s="16">
        <v>273640</v>
      </c>
      <c r="BE238" s="16">
        <v>0</v>
      </c>
      <c r="BF238" s="16">
        <v>27360</v>
      </c>
      <c r="BG238" s="16">
        <v>0</v>
      </c>
      <c r="BH238" s="16">
        <v>152910</v>
      </c>
      <c r="BI238" s="16">
        <v>194890</v>
      </c>
      <c r="BJ238" s="16">
        <v>32232</v>
      </c>
      <c r="BK238" s="16">
        <v>17400</v>
      </c>
      <c r="BL238" s="16">
        <v>0</v>
      </c>
      <c r="BM238" s="16">
        <v>0</v>
      </c>
      <c r="BN238" s="16">
        <v>0</v>
      </c>
      <c r="BO238" s="16">
        <v>0</v>
      </c>
      <c r="BP238" s="16">
        <v>0</v>
      </c>
      <c r="BQ238" s="16">
        <v>0</v>
      </c>
      <c r="BR238" s="16">
        <v>0</v>
      </c>
      <c r="BS238" s="16">
        <v>0</v>
      </c>
      <c r="BT238" s="16">
        <v>0</v>
      </c>
      <c r="BU238" s="16">
        <v>0</v>
      </c>
      <c r="BV238" s="16">
        <v>0</v>
      </c>
      <c r="BW238" s="16">
        <v>0</v>
      </c>
    </row>
    <row r="239" spans="1:75" ht="18" hidden="1" customHeight="1" outlineLevel="1">
      <c r="B239" s="7">
        <v>2044</v>
      </c>
      <c r="Q239" s="5">
        <v>2018</v>
      </c>
      <c r="R239" s="5">
        <v>5</v>
      </c>
      <c r="S239" s="14" t="s">
        <v>54</v>
      </c>
      <c r="T239" s="15">
        <f t="shared" si="151"/>
        <v>5585101</v>
      </c>
      <c r="U239" s="15">
        <f t="shared" si="152"/>
        <v>6490640</v>
      </c>
      <c r="V239" s="16">
        <v>3465000</v>
      </c>
      <c r="W239" s="16">
        <v>1293920</v>
      </c>
      <c r="X239" s="16">
        <v>0</v>
      </c>
      <c r="Y239" s="16">
        <v>0</v>
      </c>
      <c r="Z239" s="16">
        <v>0</v>
      </c>
      <c r="AA239" s="16">
        <v>0</v>
      </c>
      <c r="AB239" s="16">
        <v>0</v>
      </c>
      <c r="AC239" s="16">
        <v>281720</v>
      </c>
      <c r="AD239" s="16">
        <v>0</v>
      </c>
      <c r="AE239" s="16">
        <v>0</v>
      </c>
      <c r="AF239" s="16">
        <v>50000</v>
      </c>
      <c r="AG239" s="16">
        <v>0</v>
      </c>
      <c r="AH239" s="16">
        <v>0</v>
      </c>
      <c r="AI239" s="16">
        <v>200000</v>
      </c>
      <c r="AJ239" s="16">
        <v>150000</v>
      </c>
      <c r="AK239" s="16">
        <v>0</v>
      </c>
      <c r="AL239" s="16">
        <v>50000</v>
      </c>
      <c r="AM239" s="16">
        <v>0</v>
      </c>
      <c r="AN239" s="16">
        <v>0</v>
      </c>
      <c r="AO239" s="16">
        <v>600000</v>
      </c>
      <c r="AP239" s="16">
        <v>400000</v>
      </c>
      <c r="AQ239" s="16">
        <v>0</v>
      </c>
      <c r="AR239" s="16">
        <v>0</v>
      </c>
      <c r="AS239" s="16">
        <v>0</v>
      </c>
      <c r="AT239" s="16">
        <v>0</v>
      </c>
      <c r="AU239" s="16">
        <v>0</v>
      </c>
      <c r="AV239" s="16">
        <v>0</v>
      </c>
      <c r="AW239" s="16">
        <v>0</v>
      </c>
      <c r="AX239" s="16">
        <v>0</v>
      </c>
      <c r="AY239" s="16">
        <v>0</v>
      </c>
      <c r="AZ239" s="16">
        <v>0</v>
      </c>
      <c r="BA239" s="16"/>
      <c r="BB239" s="15">
        <f t="shared" si="153"/>
        <v>905539</v>
      </c>
      <c r="BC239" s="16">
        <v>0</v>
      </c>
      <c r="BD239" s="16">
        <v>323000</v>
      </c>
      <c r="BE239" s="16">
        <v>0</v>
      </c>
      <c r="BF239" s="16">
        <v>32300</v>
      </c>
      <c r="BG239" s="16">
        <v>0</v>
      </c>
      <c r="BH239" s="16">
        <v>152910</v>
      </c>
      <c r="BI239" s="16">
        <v>194890</v>
      </c>
      <c r="BJ239" s="16">
        <v>35039</v>
      </c>
      <c r="BK239" s="16">
        <v>17400</v>
      </c>
      <c r="BL239" s="16">
        <v>0</v>
      </c>
      <c r="BM239" s="16">
        <v>150000</v>
      </c>
      <c r="BN239" s="16">
        <v>0</v>
      </c>
      <c r="BO239" s="16">
        <v>0</v>
      </c>
      <c r="BP239" s="16">
        <v>0</v>
      </c>
      <c r="BQ239" s="16">
        <v>0</v>
      </c>
      <c r="BR239" s="16">
        <v>0</v>
      </c>
      <c r="BS239" s="16">
        <v>0</v>
      </c>
      <c r="BT239" s="16">
        <v>0</v>
      </c>
      <c r="BU239" s="16">
        <v>0</v>
      </c>
      <c r="BV239" s="16">
        <v>0</v>
      </c>
      <c r="BW239" s="16">
        <v>0</v>
      </c>
    </row>
    <row r="240" spans="1:75" ht="18" hidden="1" customHeight="1" outlineLevel="1">
      <c r="B240" s="7">
        <v>2033</v>
      </c>
      <c r="C240" s="8" t="s">
        <v>13</v>
      </c>
      <c r="J240" s="9"/>
      <c r="Q240" s="5">
        <v>2018</v>
      </c>
      <c r="R240" s="5">
        <v>4</v>
      </c>
      <c r="S240" s="5" t="s">
        <v>28</v>
      </c>
      <c r="T240" s="15">
        <f t="shared" si="151"/>
        <v>5223940</v>
      </c>
      <c r="U240" s="15">
        <f t="shared" si="152"/>
        <v>6481368</v>
      </c>
      <c r="V240" s="16">
        <v>0</v>
      </c>
      <c r="W240" s="16">
        <v>0</v>
      </c>
      <c r="X240" s="16">
        <v>0</v>
      </c>
      <c r="Y240" s="16">
        <v>0</v>
      </c>
      <c r="Z240" s="16">
        <v>0</v>
      </c>
      <c r="AA240" s="16">
        <v>0</v>
      </c>
      <c r="AB240" s="16">
        <v>0</v>
      </c>
      <c r="AC240" s="16">
        <v>0</v>
      </c>
      <c r="AD240" s="16">
        <v>6481368</v>
      </c>
      <c r="AE240" s="16">
        <v>0</v>
      </c>
      <c r="AF240" s="16">
        <v>0</v>
      </c>
      <c r="AG240" s="16">
        <v>0</v>
      </c>
      <c r="AH240" s="16">
        <v>0</v>
      </c>
      <c r="AI240" s="16">
        <v>0</v>
      </c>
      <c r="AJ240" s="16">
        <v>0</v>
      </c>
      <c r="AK240" s="16">
        <v>0</v>
      </c>
      <c r="AL240" s="16">
        <v>0</v>
      </c>
      <c r="AM240" s="16">
        <v>0</v>
      </c>
      <c r="AN240" s="16">
        <v>0</v>
      </c>
      <c r="AO240" s="16">
        <v>0</v>
      </c>
      <c r="AP240" s="16">
        <v>0</v>
      </c>
      <c r="AQ240" s="16">
        <v>0</v>
      </c>
      <c r="AR240" s="16">
        <v>0</v>
      </c>
      <c r="AS240" s="16">
        <v>0</v>
      </c>
      <c r="AT240" s="16">
        <v>0</v>
      </c>
      <c r="AU240" s="16">
        <v>0</v>
      </c>
      <c r="AV240" s="16">
        <v>0</v>
      </c>
      <c r="AW240" s="16">
        <v>0</v>
      </c>
      <c r="AX240" s="16">
        <v>0</v>
      </c>
      <c r="AY240" s="16">
        <v>0</v>
      </c>
      <c r="AZ240" s="16">
        <v>0</v>
      </c>
      <c r="BA240" s="16"/>
      <c r="BB240" s="15">
        <f t="shared" si="153"/>
        <v>1257428</v>
      </c>
      <c r="BC240" s="15"/>
      <c r="BD240" s="16">
        <v>1104820</v>
      </c>
      <c r="BE240" s="16">
        <v>0</v>
      </c>
      <c r="BF240" s="16">
        <v>110480</v>
      </c>
      <c r="BG240" s="16">
        <v>0</v>
      </c>
      <c r="BH240" s="16">
        <v>0</v>
      </c>
      <c r="BI240" s="16">
        <v>0</v>
      </c>
      <c r="BJ240" s="16">
        <v>42128</v>
      </c>
      <c r="BK240" s="16">
        <v>0</v>
      </c>
      <c r="BL240" s="16">
        <v>0</v>
      </c>
      <c r="BM240" s="16">
        <v>0</v>
      </c>
      <c r="BN240" s="16">
        <v>0</v>
      </c>
      <c r="BO240" s="16">
        <v>0</v>
      </c>
      <c r="BP240" s="16">
        <v>0</v>
      </c>
      <c r="BQ240" s="16">
        <v>0</v>
      </c>
      <c r="BR240" s="16">
        <v>0</v>
      </c>
      <c r="BS240" s="16">
        <v>0</v>
      </c>
      <c r="BT240" s="16">
        <v>0</v>
      </c>
      <c r="BU240" s="16">
        <v>0</v>
      </c>
      <c r="BV240" s="16">
        <v>0</v>
      </c>
      <c r="BW240" s="16">
        <v>0</v>
      </c>
    </row>
    <row r="241" spans="1:75" ht="18" hidden="1" customHeight="1" outlineLevel="1">
      <c r="B241" s="7">
        <v>2033</v>
      </c>
      <c r="C241" s="8" t="s">
        <v>13</v>
      </c>
      <c r="J241" s="9"/>
      <c r="Q241" s="5">
        <v>2018</v>
      </c>
      <c r="R241" s="5">
        <v>4</v>
      </c>
      <c r="S241" s="5" t="s">
        <v>29</v>
      </c>
      <c r="T241" s="15">
        <f t="shared" si="151"/>
        <v>993500</v>
      </c>
      <c r="U241" s="15">
        <f t="shared" si="152"/>
        <v>1000000</v>
      </c>
      <c r="V241" s="16">
        <v>0</v>
      </c>
      <c r="W241" s="16">
        <v>0</v>
      </c>
      <c r="X241" s="16">
        <v>0</v>
      </c>
      <c r="Y241" s="16">
        <v>0</v>
      </c>
      <c r="Z241" s="16">
        <v>0</v>
      </c>
      <c r="AA241" s="16">
        <v>0</v>
      </c>
      <c r="AB241" s="16">
        <v>0</v>
      </c>
      <c r="AC241" s="16">
        <v>0</v>
      </c>
      <c r="AD241" s="16">
        <v>0</v>
      </c>
      <c r="AE241" s="16">
        <v>1000000</v>
      </c>
      <c r="AF241" s="16">
        <v>0</v>
      </c>
      <c r="AG241" s="16">
        <v>0</v>
      </c>
      <c r="AH241" s="16">
        <v>0</v>
      </c>
      <c r="AI241" s="16">
        <v>0</v>
      </c>
      <c r="AJ241" s="16">
        <v>0</v>
      </c>
      <c r="AK241" s="16">
        <v>0</v>
      </c>
      <c r="AL241" s="16">
        <v>0</v>
      </c>
      <c r="AM241" s="16">
        <v>0</v>
      </c>
      <c r="AN241" s="16">
        <v>0</v>
      </c>
      <c r="AO241" s="16">
        <v>0</v>
      </c>
      <c r="AP241" s="16">
        <v>0</v>
      </c>
      <c r="AQ241" s="16">
        <v>0</v>
      </c>
      <c r="AR241" s="16">
        <v>0</v>
      </c>
      <c r="AS241" s="16">
        <v>0</v>
      </c>
      <c r="AT241" s="16">
        <v>0</v>
      </c>
      <c r="AU241" s="16">
        <v>0</v>
      </c>
      <c r="AV241" s="16">
        <v>0</v>
      </c>
      <c r="AW241" s="16">
        <v>0</v>
      </c>
      <c r="AX241" s="16">
        <v>0</v>
      </c>
      <c r="AY241" s="16">
        <v>0</v>
      </c>
      <c r="AZ241" s="16">
        <v>0</v>
      </c>
      <c r="BA241" s="16"/>
      <c r="BB241" s="15">
        <f t="shared" si="153"/>
        <v>6500</v>
      </c>
      <c r="BC241" s="15">
        <v>0</v>
      </c>
      <c r="BD241" s="16">
        <v>0</v>
      </c>
      <c r="BE241" s="16">
        <v>0</v>
      </c>
      <c r="BF241" s="16">
        <v>0</v>
      </c>
      <c r="BG241" s="16">
        <v>0</v>
      </c>
      <c r="BH241" s="16">
        <v>0</v>
      </c>
      <c r="BI241" s="16">
        <v>0</v>
      </c>
      <c r="BJ241" s="16">
        <v>6500</v>
      </c>
      <c r="BK241" s="16">
        <v>0</v>
      </c>
      <c r="BL241" s="16">
        <v>0</v>
      </c>
      <c r="BM241" s="16">
        <v>0</v>
      </c>
      <c r="BN241" s="16">
        <v>0</v>
      </c>
      <c r="BO241" s="16">
        <v>0</v>
      </c>
      <c r="BP241" s="16">
        <v>0</v>
      </c>
      <c r="BQ241" s="16">
        <v>0</v>
      </c>
      <c r="BR241" s="16">
        <v>0</v>
      </c>
      <c r="BS241" s="16">
        <v>0</v>
      </c>
      <c r="BT241" s="16">
        <v>0</v>
      </c>
      <c r="BU241" s="16">
        <v>0</v>
      </c>
      <c r="BV241" s="16">
        <v>0</v>
      </c>
      <c r="BW241" s="16">
        <v>0</v>
      </c>
    </row>
    <row r="242" spans="1:75" ht="18" hidden="1" customHeight="1" outlineLevel="1">
      <c r="B242" s="7">
        <v>2045</v>
      </c>
      <c r="Q242" s="5">
        <v>2018</v>
      </c>
      <c r="R242" s="5">
        <v>4</v>
      </c>
      <c r="S242" s="14" t="s">
        <v>54</v>
      </c>
      <c r="T242" s="15">
        <f t="shared" si="151"/>
        <v>4250255</v>
      </c>
      <c r="U242" s="15">
        <f t="shared" si="152"/>
        <v>4988490</v>
      </c>
      <c r="V242" s="16">
        <v>3414000</v>
      </c>
      <c r="W242" s="16">
        <v>1274490</v>
      </c>
      <c r="X242" s="16">
        <v>0</v>
      </c>
      <c r="Y242" s="16">
        <v>0</v>
      </c>
      <c r="Z242" s="16">
        <v>0</v>
      </c>
      <c r="AA242" s="16">
        <v>0</v>
      </c>
      <c r="AB242" s="16">
        <v>0</v>
      </c>
      <c r="AC242" s="16">
        <v>0</v>
      </c>
      <c r="AD242" s="16">
        <v>0</v>
      </c>
      <c r="AE242" s="16">
        <v>0</v>
      </c>
      <c r="AF242" s="16">
        <v>50000</v>
      </c>
      <c r="AG242" s="16">
        <v>0</v>
      </c>
      <c r="AH242" s="16">
        <v>0</v>
      </c>
      <c r="AI242" s="16">
        <v>200000</v>
      </c>
      <c r="AJ242" s="16">
        <v>0</v>
      </c>
      <c r="AK242" s="16">
        <v>0</v>
      </c>
      <c r="AL242" s="16">
        <v>50000</v>
      </c>
      <c r="AM242" s="16">
        <v>0</v>
      </c>
      <c r="AN242" s="16">
        <v>0</v>
      </c>
      <c r="AO242" s="16">
        <v>0</v>
      </c>
      <c r="AP242" s="16">
        <v>0</v>
      </c>
      <c r="AQ242" s="16">
        <v>0</v>
      </c>
      <c r="AR242" s="16">
        <v>0</v>
      </c>
      <c r="AS242" s="16">
        <v>0</v>
      </c>
      <c r="AT242" s="16">
        <v>0</v>
      </c>
      <c r="AU242" s="16">
        <v>0</v>
      </c>
      <c r="AV242" s="16">
        <v>0</v>
      </c>
      <c r="AW242" s="16">
        <v>0</v>
      </c>
      <c r="AX242" s="16">
        <v>0</v>
      </c>
      <c r="AY242" s="16">
        <v>0</v>
      </c>
      <c r="AZ242" s="16">
        <v>0</v>
      </c>
      <c r="BA242" s="16"/>
      <c r="BB242" s="15">
        <f t="shared" si="153"/>
        <v>738235</v>
      </c>
      <c r="BC242" s="16">
        <v>0</v>
      </c>
      <c r="BD242" s="16">
        <v>266910</v>
      </c>
      <c r="BE242" s="16">
        <v>0</v>
      </c>
      <c r="BF242" s="16">
        <v>26690</v>
      </c>
      <c r="BG242" s="16">
        <v>0</v>
      </c>
      <c r="BH242" s="16">
        <v>152910</v>
      </c>
      <c r="BI242" s="16">
        <v>194890</v>
      </c>
      <c r="BJ242" s="16">
        <v>31775</v>
      </c>
      <c r="BK242" s="16">
        <v>17100</v>
      </c>
      <c r="BL242" s="16">
        <v>0</v>
      </c>
      <c r="BM242" s="16">
        <v>0</v>
      </c>
      <c r="BN242" s="16">
        <v>0</v>
      </c>
      <c r="BO242" s="16">
        <v>47460</v>
      </c>
      <c r="BP242" s="16">
        <v>500</v>
      </c>
      <c r="BQ242" s="16">
        <v>0</v>
      </c>
      <c r="BR242" s="16">
        <v>0</v>
      </c>
      <c r="BS242" s="16">
        <v>0</v>
      </c>
      <c r="BT242" s="16">
        <v>0</v>
      </c>
      <c r="BU242" s="16">
        <v>0</v>
      </c>
      <c r="BV242" s="16">
        <v>0</v>
      </c>
      <c r="BW242" s="16">
        <v>0</v>
      </c>
    </row>
    <row r="243" spans="1:75" ht="18" hidden="1" customHeight="1" outlineLevel="1">
      <c r="B243" s="7">
        <v>2046</v>
      </c>
      <c r="Q243" s="5">
        <v>2018</v>
      </c>
      <c r="R243" s="5">
        <v>3</v>
      </c>
      <c r="S243" s="14" t="s">
        <v>54</v>
      </c>
      <c r="T243" s="15">
        <f t="shared" si="151"/>
        <v>4299575</v>
      </c>
      <c r="U243" s="15">
        <f t="shared" si="152"/>
        <v>4988490</v>
      </c>
      <c r="V243" s="16">
        <v>3414000</v>
      </c>
      <c r="W243" s="16">
        <v>1274490</v>
      </c>
      <c r="X243" s="16">
        <v>0</v>
      </c>
      <c r="Y243" s="16">
        <v>0</v>
      </c>
      <c r="Z243" s="16">
        <v>0</v>
      </c>
      <c r="AA243" s="16">
        <v>0</v>
      </c>
      <c r="AB243" s="16">
        <v>0</v>
      </c>
      <c r="AC243" s="16">
        <v>0</v>
      </c>
      <c r="AD243" s="16">
        <v>0</v>
      </c>
      <c r="AE243" s="16">
        <v>0</v>
      </c>
      <c r="AF243" s="16">
        <v>50000</v>
      </c>
      <c r="AG243" s="16">
        <v>0</v>
      </c>
      <c r="AH243" s="16">
        <v>0</v>
      </c>
      <c r="AI243" s="16">
        <v>200000</v>
      </c>
      <c r="AJ243" s="16">
        <v>0</v>
      </c>
      <c r="AK243" s="16">
        <v>0</v>
      </c>
      <c r="AL243" s="16">
        <v>50000</v>
      </c>
      <c r="AM243" s="16">
        <v>0</v>
      </c>
      <c r="AN243" s="16">
        <v>0</v>
      </c>
      <c r="AO243" s="16">
        <v>0</v>
      </c>
      <c r="AP243" s="16">
        <v>0</v>
      </c>
      <c r="AQ243" s="16">
        <v>0</v>
      </c>
      <c r="AR243" s="16">
        <v>0</v>
      </c>
      <c r="AS243" s="16">
        <v>0</v>
      </c>
      <c r="AT243" s="16">
        <v>0</v>
      </c>
      <c r="AU243" s="16">
        <v>0</v>
      </c>
      <c r="AV243" s="16">
        <v>0</v>
      </c>
      <c r="AW243" s="16">
        <v>0</v>
      </c>
      <c r="AX243" s="16">
        <v>0</v>
      </c>
      <c r="AY243" s="16">
        <v>0</v>
      </c>
      <c r="AZ243" s="16">
        <v>0</v>
      </c>
      <c r="BA243" s="16"/>
      <c r="BB243" s="15">
        <f t="shared" si="153"/>
        <v>688915</v>
      </c>
      <c r="BC243" s="16">
        <v>0</v>
      </c>
      <c r="BD243" s="16">
        <v>266910</v>
      </c>
      <c r="BE243" s="16">
        <v>0</v>
      </c>
      <c r="BF243" s="16">
        <v>26690</v>
      </c>
      <c r="BG243" s="16">
        <v>0</v>
      </c>
      <c r="BH243" s="16">
        <v>147510</v>
      </c>
      <c r="BI243" s="16">
        <v>194890</v>
      </c>
      <c r="BJ243" s="16">
        <v>31775</v>
      </c>
      <c r="BK243" s="16">
        <v>17100</v>
      </c>
      <c r="BL243" s="16">
        <v>0</v>
      </c>
      <c r="BM243" s="16">
        <v>0</v>
      </c>
      <c r="BN243" s="16">
        <v>0</v>
      </c>
      <c r="BO243" s="16">
        <v>0</v>
      </c>
      <c r="BP243" s="16">
        <v>4040</v>
      </c>
      <c r="BQ243" s="16">
        <v>0</v>
      </c>
      <c r="BR243" s="16">
        <v>0</v>
      </c>
      <c r="BS243" s="16">
        <v>0</v>
      </c>
      <c r="BT243" s="16">
        <v>0</v>
      </c>
      <c r="BU243" s="16">
        <v>0</v>
      </c>
      <c r="BV243" s="16">
        <v>0</v>
      </c>
      <c r="BW243" s="16">
        <v>0</v>
      </c>
    </row>
    <row r="244" spans="1:75" ht="18" hidden="1" customHeight="1" outlineLevel="1">
      <c r="B244" s="7">
        <v>2047</v>
      </c>
      <c r="Q244" s="5">
        <v>2018</v>
      </c>
      <c r="R244" s="5">
        <v>2</v>
      </c>
      <c r="S244" s="14" t="s">
        <v>54</v>
      </c>
      <c r="T244" s="15">
        <f t="shared" si="151"/>
        <v>5392310</v>
      </c>
      <c r="U244" s="15">
        <f t="shared" si="152"/>
        <v>5138490</v>
      </c>
      <c r="V244" s="16">
        <v>3414000</v>
      </c>
      <c r="W244" s="16">
        <v>1274490</v>
      </c>
      <c r="X244" s="16">
        <v>0</v>
      </c>
      <c r="Y244" s="16">
        <v>0</v>
      </c>
      <c r="Z244" s="16">
        <v>0</v>
      </c>
      <c r="AA244" s="16">
        <v>0</v>
      </c>
      <c r="AB244" s="16">
        <v>0</v>
      </c>
      <c r="AC244" s="16">
        <v>0</v>
      </c>
      <c r="AD244" s="16">
        <v>0</v>
      </c>
      <c r="AE244" s="16">
        <v>0</v>
      </c>
      <c r="AF244" s="16">
        <v>50000</v>
      </c>
      <c r="AG244" s="16">
        <v>0</v>
      </c>
      <c r="AH244" s="16">
        <v>0</v>
      </c>
      <c r="AI244" s="16">
        <v>200000</v>
      </c>
      <c r="AJ244" s="16">
        <v>150000</v>
      </c>
      <c r="AK244" s="16">
        <v>0</v>
      </c>
      <c r="AL244" s="16">
        <v>50000</v>
      </c>
      <c r="AM244" s="16">
        <v>0</v>
      </c>
      <c r="AN244" s="16">
        <v>0</v>
      </c>
      <c r="AO244" s="16">
        <v>0</v>
      </c>
      <c r="AP244" s="16">
        <v>0</v>
      </c>
      <c r="AQ244" s="16">
        <v>0</v>
      </c>
      <c r="AR244" s="16">
        <v>0</v>
      </c>
      <c r="AS244" s="16">
        <v>0</v>
      </c>
      <c r="AT244" s="16">
        <v>0</v>
      </c>
      <c r="AU244" s="16">
        <v>0</v>
      </c>
      <c r="AV244" s="16">
        <v>0</v>
      </c>
      <c r="AW244" s="16">
        <v>0</v>
      </c>
      <c r="AX244" s="16">
        <v>0</v>
      </c>
      <c r="AY244" s="16">
        <v>0</v>
      </c>
      <c r="AZ244" s="16">
        <v>0</v>
      </c>
      <c r="BA244" s="16"/>
      <c r="BB244" s="15">
        <f t="shared" si="153"/>
        <v>-253820</v>
      </c>
      <c r="BC244" s="16">
        <v>-1184660</v>
      </c>
      <c r="BD244" s="16">
        <v>353270</v>
      </c>
      <c r="BE244" s="16">
        <v>0</v>
      </c>
      <c r="BF244" s="16">
        <v>35320</v>
      </c>
      <c r="BG244" s="16">
        <v>0</v>
      </c>
      <c r="BH244" s="16">
        <v>147510</v>
      </c>
      <c r="BI244" s="16">
        <v>194890</v>
      </c>
      <c r="BJ244" s="16">
        <v>32750</v>
      </c>
      <c r="BK244" s="16">
        <v>17100</v>
      </c>
      <c r="BL244" s="16">
        <v>0</v>
      </c>
      <c r="BM244" s="16">
        <v>150000</v>
      </c>
      <c r="BN244" s="16">
        <v>0</v>
      </c>
      <c r="BO244" s="16">
        <v>0</v>
      </c>
      <c r="BP244" s="16">
        <v>0</v>
      </c>
      <c r="BQ244" s="16">
        <v>0</v>
      </c>
      <c r="BR244" s="16">
        <v>0</v>
      </c>
      <c r="BS244" s="16">
        <v>0</v>
      </c>
      <c r="BT244" s="16">
        <v>0</v>
      </c>
      <c r="BU244" s="16">
        <v>0</v>
      </c>
      <c r="BV244" s="16">
        <v>0</v>
      </c>
      <c r="BW244" s="16">
        <v>0</v>
      </c>
    </row>
    <row r="245" spans="1:75" ht="18" hidden="1" customHeight="1" outlineLevel="1">
      <c r="B245" s="7">
        <v>2048</v>
      </c>
      <c r="Q245" s="5">
        <v>2018</v>
      </c>
      <c r="R245" s="5">
        <v>1</v>
      </c>
      <c r="S245" s="14" t="s">
        <v>54</v>
      </c>
      <c r="T245" s="15">
        <f t="shared" si="151"/>
        <v>4196435</v>
      </c>
      <c r="U245" s="15">
        <f t="shared" si="152"/>
        <v>4988490</v>
      </c>
      <c r="V245" s="16">
        <v>3414000</v>
      </c>
      <c r="W245" s="16">
        <v>1274490</v>
      </c>
      <c r="X245" s="16">
        <v>0</v>
      </c>
      <c r="Y245" s="16">
        <v>0</v>
      </c>
      <c r="Z245" s="16">
        <v>0</v>
      </c>
      <c r="AA245" s="16">
        <v>0</v>
      </c>
      <c r="AB245" s="16">
        <v>0</v>
      </c>
      <c r="AC245" s="16">
        <v>0</v>
      </c>
      <c r="AD245" s="16">
        <v>0</v>
      </c>
      <c r="AE245" s="16">
        <v>0</v>
      </c>
      <c r="AF245" s="16">
        <v>50000</v>
      </c>
      <c r="AG245" s="16">
        <v>0</v>
      </c>
      <c r="AH245" s="16">
        <v>0</v>
      </c>
      <c r="AI245" s="16">
        <v>200000</v>
      </c>
      <c r="AJ245" s="16">
        <v>0</v>
      </c>
      <c r="AK245" s="16">
        <v>0</v>
      </c>
      <c r="AL245" s="16">
        <v>50000</v>
      </c>
      <c r="AM245" s="16">
        <v>0</v>
      </c>
      <c r="AN245" s="16">
        <v>0</v>
      </c>
      <c r="AO245" s="16">
        <v>0</v>
      </c>
      <c r="AP245" s="16">
        <v>0</v>
      </c>
      <c r="AQ245" s="16">
        <v>0</v>
      </c>
      <c r="AR245" s="16">
        <v>0</v>
      </c>
      <c r="AS245" s="16">
        <v>0</v>
      </c>
      <c r="AT245" s="16">
        <v>0</v>
      </c>
      <c r="AU245" s="16">
        <v>0</v>
      </c>
      <c r="AV245" s="16">
        <v>0</v>
      </c>
      <c r="AW245" s="16">
        <v>0</v>
      </c>
      <c r="AX245" s="16">
        <v>0</v>
      </c>
      <c r="AY245" s="16">
        <v>0</v>
      </c>
      <c r="AZ245" s="16">
        <v>0</v>
      </c>
      <c r="BA245" s="16"/>
      <c r="BB245" s="15">
        <f t="shared" si="153"/>
        <v>792055</v>
      </c>
      <c r="BC245" s="16">
        <v>0</v>
      </c>
      <c r="BD245" s="16">
        <v>337080</v>
      </c>
      <c r="BE245" s="16">
        <v>0</v>
      </c>
      <c r="BF245" s="16">
        <v>33700</v>
      </c>
      <c r="BG245" s="16">
        <v>0</v>
      </c>
      <c r="BH245" s="16">
        <v>147510</v>
      </c>
      <c r="BI245" s="16">
        <v>194890</v>
      </c>
      <c r="BJ245" s="16">
        <v>31775</v>
      </c>
      <c r="BK245" s="16">
        <v>17100</v>
      </c>
      <c r="BL245" s="16">
        <v>0</v>
      </c>
      <c r="BM245" s="16">
        <v>0</v>
      </c>
      <c r="BN245" s="16">
        <v>0</v>
      </c>
      <c r="BO245" s="16">
        <v>0</v>
      </c>
      <c r="BP245" s="16">
        <v>0</v>
      </c>
      <c r="BQ245" s="16">
        <v>0</v>
      </c>
      <c r="BR245" s="16">
        <v>0</v>
      </c>
      <c r="BS245" s="16">
        <v>0</v>
      </c>
      <c r="BT245" s="16">
        <v>30000</v>
      </c>
      <c r="BU245" s="16">
        <v>0</v>
      </c>
      <c r="BV245" s="16">
        <v>0</v>
      </c>
      <c r="BW245" s="16">
        <v>0</v>
      </c>
    </row>
    <row r="246" spans="1:75" s="1" customFormat="1" ht="18" customHeight="1" collapsed="1">
      <c r="A246" s="10"/>
      <c r="B246" s="18"/>
      <c r="C246" s="19"/>
      <c r="D246" s="18"/>
      <c r="E246" s="19"/>
      <c r="F246" s="19"/>
      <c r="G246" s="19"/>
      <c r="H246" s="19"/>
      <c r="I246" s="19"/>
      <c r="J246" s="20"/>
      <c r="K246" s="19"/>
      <c r="L246" s="19"/>
      <c r="M246" s="19"/>
      <c r="N246" s="19"/>
      <c r="O246" s="21"/>
      <c r="P246" s="22"/>
      <c r="Q246" s="628" t="s">
        <v>128</v>
      </c>
      <c r="R246" s="628"/>
      <c r="S246" s="628"/>
      <c r="T246" s="23">
        <f t="shared" ref="T246:AZ246" si="154">SUMIF($Q$2:$Q$793,$Q247,T$2:T$793)</f>
        <v>48155406</v>
      </c>
      <c r="U246" s="23">
        <f t="shared" si="154"/>
        <v>55976620</v>
      </c>
      <c r="V246" s="23">
        <f t="shared" si="154"/>
        <v>32340000</v>
      </c>
      <c r="W246" s="23">
        <f t="shared" si="154"/>
        <v>12080880</v>
      </c>
      <c r="X246" s="23">
        <f t="shared" si="154"/>
        <v>0</v>
      </c>
      <c r="Y246" s="23">
        <f t="shared" si="154"/>
        <v>0</v>
      </c>
      <c r="Z246" s="23">
        <f t="shared" si="154"/>
        <v>0</v>
      </c>
      <c r="AA246" s="23">
        <f t="shared" si="154"/>
        <v>0</v>
      </c>
      <c r="AB246" s="23">
        <f t="shared" si="154"/>
        <v>0</v>
      </c>
      <c r="AC246" s="23">
        <f t="shared" si="154"/>
        <v>0</v>
      </c>
      <c r="AD246" s="23">
        <f t="shared" si="154"/>
        <v>6481005</v>
      </c>
      <c r="AE246" s="23">
        <f t="shared" si="154"/>
        <v>1000000</v>
      </c>
      <c r="AF246" s="23">
        <f t="shared" si="154"/>
        <v>150000</v>
      </c>
      <c r="AG246" s="23">
        <f t="shared" si="154"/>
        <v>0</v>
      </c>
      <c r="AH246" s="23">
        <f t="shared" si="154"/>
        <v>0</v>
      </c>
      <c r="AI246" s="23">
        <f t="shared" si="154"/>
        <v>2400000</v>
      </c>
      <c r="AJ246" s="23">
        <f t="shared" si="154"/>
        <v>450000</v>
      </c>
      <c r="AK246" s="23">
        <f t="shared" si="154"/>
        <v>300000</v>
      </c>
      <c r="AL246" s="23">
        <f t="shared" si="154"/>
        <v>600000</v>
      </c>
      <c r="AM246" s="23">
        <f t="shared" si="154"/>
        <v>0</v>
      </c>
      <c r="AN246" s="23">
        <f t="shared" si="154"/>
        <v>0</v>
      </c>
      <c r="AO246" s="23">
        <f t="shared" si="154"/>
        <v>0</v>
      </c>
      <c r="AP246" s="23">
        <f t="shared" si="154"/>
        <v>0</v>
      </c>
      <c r="AQ246" s="23">
        <f t="shared" si="154"/>
        <v>20000</v>
      </c>
      <c r="AR246" s="23">
        <f t="shared" si="154"/>
        <v>0</v>
      </c>
      <c r="AS246" s="23">
        <f t="shared" si="154"/>
        <v>154735</v>
      </c>
      <c r="AT246" s="23">
        <f t="shared" si="154"/>
        <v>0</v>
      </c>
      <c r="AU246" s="23">
        <f t="shared" si="154"/>
        <v>0</v>
      </c>
      <c r="AV246" s="23">
        <f t="shared" si="154"/>
        <v>0</v>
      </c>
      <c r="AW246" s="23">
        <f t="shared" si="154"/>
        <v>0</v>
      </c>
      <c r="AX246" s="23">
        <f t="shared" si="154"/>
        <v>0</v>
      </c>
      <c r="AY246" s="23">
        <f t="shared" si="154"/>
        <v>0</v>
      </c>
      <c r="AZ246" s="23">
        <f t="shared" si="154"/>
        <v>0</v>
      </c>
      <c r="BA246" s="23"/>
      <c r="BB246" s="23">
        <f t="shared" ref="BB246:BW246" si="155">SUMIF($Q$2:$Q$793,$Q247,BB$2:BB$793)</f>
        <v>7821214</v>
      </c>
      <c r="BC246" s="23">
        <f t="shared" si="155"/>
        <v>-1100880</v>
      </c>
      <c r="BD246" s="23">
        <f t="shared" si="155"/>
        <v>3481130</v>
      </c>
      <c r="BE246" s="23">
        <f t="shared" si="155"/>
        <v>0</v>
      </c>
      <c r="BF246" s="23">
        <f t="shared" si="155"/>
        <v>348070</v>
      </c>
      <c r="BG246" s="23">
        <f t="shared" si="155"/>
        <v>0</v>
      </c>
      <c r="BH246" s="23">
        <f t="shared" si="155"/>
        <v>1738380</v>
      </c>
      <c r="BI246" s="23">
        <f t="shared" si="155"/>
        <v>2341140</v>
      </c>
      <c r="BJ246" s="23">
        <f t="shared" si="155"/>
        <v>356044</v>
      </c>
      <c r="BK246" s="23">
        <f t="shared" si="155"/>
        <v>162000</v>
      </c>
      <c r="BL246" s="23">
        <f t="shared" si="155"/>
        <v>0</v>
      </c>
      <c r="BM246" s="23">
        <f t="shared" si="155"/>
        <v>450000</v>
      </c>
      <c r="BN246" s="23">
        <f t="shared" si="155"/>
        <v>0</v>
      </c>
      <c r="BO246" s="23">
        <f t="shared" si="155"/>
        <v>39790</v>
      </c>
      <c r="BP246" s="23">
        <f t="shared" si="155"/>
        <v>5540</v>
      </c>
      <c r="BQ246" s="23">
        <f t="shared" si="155"/>
        <v>0</v>
      </c>
      <c r="BR246" s="23">
        <f t="shared" si="155"/>
        <v>0</v>
      </c>
      <c r="BS246" s="23">
        <f t="shared" si="155"/>
        <v>0</v>
      </c>
      <c r="BT246" s="23">
        <f t="shared" si="155"/>
        <v>0</v>
      </c>
      <c r="BU246" s="23">
        <f t="shared" si="155"/>
        <v>0</v>
      </c>
      <c r="BV246" s="23">
        <f t="shared" si="155"/>
        <v>0</v>
      </c>
      <c r="BW246" s="23">
        <f t="shared" si="155"/>
        <v>0</v>
      </c>
    </row>
    <row r="247" spans="1:75" ht="18" hidden="1" customHeight="1" outlineLevel="1">
      <c r="B247" s="7">
        <v>2049</v>
      </c>
      <c r="Q247" s="5">
        <v>2017</v>
      </c>
      <c r="R247" s="5">
        <v>12</v>
      </c>
      <c r="S247" s="14" t="s">
        <v>54</v>
      </c>
      <c r="T247" s="15">
        <f t="shared" ref="T247:T259" si="156">IF(U247=U247-BB247,0,U247-BB247)</f>
        <v>3407059</v>
      </c>
      <c r="U247" s="15">
        <f t="shared" ref="U247:U259" si="157">SUM(V247:BA247)</f>
        <v>4001740</v>
      </c>
      <c r="V247" s="16">
        <v>2695000</v>
      </c>
      <c r="W247" s="16">
        <v>1006740</v>
      </c>
      <c r="X247" s="16">
        <v>0</v>
      </c>
      <c r="Y247" s="16">
        <v>0</v>
      </c>
      <c r="Z247" s="16">
        <v>0</v>
      </c>
      <c r="AA247" s="16">
        <v>0</v>
      </c>
      <c r="AB247" s="16">
        <v>0</v>
      </c>
      <c r="AC247" s="16">
        <v>0</v>
      </c>
      <c r="AD247" s="16">
        <v>0</v>
      </c>
      <c r="AE247" s="16">
        <v>0</v>
      </c>
      <c r="AF247" s="16">
        <v>50000</v>
      </c>
      <c r="AG247" s="16">
        <v>0</v>
      </c>
      <c r="AH247" s="16">
        <v>0</v>
      </c>
      <c r="AI247" s="16">
        <v>200000</v>
      </c>
      <c r="AJ247" s="16">
        <v>0</v>
      </c>
      <c r="AK247" s="16">
        <v>0</v>
      </c>
      <c r="AL247" s="16">
        <v>50000</v>
      </c>
      <c r="AM247" s="16">
        <v>0</v>
      </c>
      <c r="AN247" s="16">
        <v>0</v>
      </c>
      <c r="AO247" s="16">
        <v>0</v>
      </c>
      <c r="AP247" s="16">
        <v>0</v>
      </c>
      <c r="AQ247" s="16">
        <v>0</v>
      </c>
      <c r="AR247" s="16">
        <v>0</v>
      </c>
      <c r="AS247" s="16">
        <v>0</v>
      </c>
      <c r="AT247" s="16">
        <v>0</v>
      </c>
      <c r="AU247" s="16">
        <v>0</v>
      </c>
      <c r="AV247" s="16">
        <v>0</v>
      </c>
      <c r="AW247" s="16">
        <v>0</v>
      </c>
      <c r="AX247" s="16">
        <v>0</v>
      </c>
      <c r="AY247" s="16">
        <v>0</v>
      </c>
      <c r="AZ247" s="16">
        <v>0</v>
      </c>
      <c r="BA247" s="16"/>
      <c r="BB247" s="15">
        <f t="shared" ref="BB247:BB259" si="158">SUM(BC247:BW247)</f>
        <v>594681</v>
      </c>
      <c r="BC247" s="16">
        <v>0</v>
      </c>
      <c r="BD247" s="16">
        <v>197610</v>
      </c>
      <c r="BE247" s="16">
        <v>0</v>
      </c>
      <c r="BF247" s="16">
        <v>19760</v>
      </c>
      <c r="BG247" s="16">
        <v>0</v>
      </c>
      <c r="BH247" s="16">
        <v>143560</v>
      </c>
      <c r="BI247" s="16">
        <v>194890</v>
      </c>
      <c r="BJ247" s="16">
        <v>25361</v>
      </c>
      <c r="BK247" s="16">
        <v>13500</v>
      </c>
      <c r="BL247" s="16">
        <v>0</v>
      </c>
      <c r="BM247" s="16">
        <v>0</v>
      </c>
      <c r="BN247" s="16">
        <v>0</v>
      </c>
      <c r="BO247" s="16">
        <v>0</v>
      </c>
      <c r="BP247" s="16">
        <v>0</v>
      </c>
      <c r="BQ247" s="16">
        <v>0</v>
      </c>
      <c r="BR247" s="16">
        <v>0</v>
      </c>
      <c r="BS247" s="16">
        <v>0</v>
      </c>
      <c r="BT247" s="16">
        <v>0</v>
      </c>
      <c r="BU247" s="16">
        <v>0</v>
      </c>
      <c r="BV247" s="16">
        <v>0</v>
      </c>
      <c r="BW247" s="16">
        <v>0</v>
      </c>
    </row>
    <row r="248" spans="1:75" ht="18" hidden="1" customHeight="1" outlineLevel="1">
      <c r="Q248" s="5">
        <v>2017</v>
      </c>
      <c r="R248" s="5">
        <v>11</v>
      </c>
      <c r="S248" s="14" t="s">
        <v>54</v>
      </c>
      <c r="T248" s="15">
        <f t="shared" si="156"/>
        <v>3407059</v>
      </c>
      <c r="U248" s="15">
        <f t="shared" si="157"/>
        <v>4001740</v>
      </c>
      <c r="V248" s="16">
        <v>2695000</v>
      </c>
      <c r="W248" s="16">
        <v>1006740</v>
      </c>
      <c r="X248" s="16">
        <v>0</v>
      </c>
      <c r="Y248" s="16">
        <v>0</v>
      </c>
      <c r="Z248" s="16">
        <v>0</v>
      </c>
      <c r="AA248" s="16">
        <v>0</v>
      </c>
      <c r="AB248" s="16">
        <v>0</v>
      </c>
      <c r="AC248" s="16">
        <v>0</v>
      </c>
      <c r="AD248" s="16">
        <v>0</v>
      </c>
      <c r="AE248" s="16">
        <v>0</v>
      </c>
      <c r="AF248" s="16">
        <v>50000</v>
      </c>
      <c r="AG248" s="16">
        <v>0</v>
      </c>
      <c r="AH248" s="16">
        <v>0</v>
      </c>
      <c r="AI248" s="16">
        <v>200000</v>
      </c>
      <c r="AJ248" s="16">
        <v>0</v>
      </c>
      <c r="AK248" s="16">
        <v>0</v>
      </c>
      <c r="AL248" s="16">
        <v>50000</v>
      </c>
      <c r="AM248" s="16">
        <v>0</v>
      </c>
      <c r="AN248" s="16">
        <v>0</v>
      </c>
      <c r="AO248" s="16">
        <v>0</v>
      </c>
      <c r="AP248" s="16">
        <v>0</v>
      </c>
      <c r="AQ248" s="16">
        <v>0</v>
      </c>
      <c r="AR248" s="16">
        <v>0</v>
      </c>
      <c r="AS248" s="16">
        <v>0</v>
      </c>
      <c r="AT248" s="16">
        <v>0</v>
      </c>
      <c r="AU248" s="16">
        <v>0</v>
      </c>
      <c r="AV248" s="16">
        <v>0</v>
      </c>
      <c r="AW248" s="16">
        <v>0</v>
      </c>
      <c r="AX248" s="16">
        <v>0</v>
      </c>
      <c r="AY248" s="16">
        <v>0</v>
      </c>
      <c r="AZ248" s="16">
        <v>0</v>
      </c>
      <c r="BA248" s="16"/>
      <c r="BB248" s="15">
        <f t="shared" si="158"/>
        <v>594681</v>
      </c>
      <c r="BC248" s="16">
        <v>0</v>
      </c>
      <c r="BD248" s="16">
        <v>197610</v>
      </c>
      <c r="BE248" s="16">
        <v>0</v>
      </c>
      <c r="BF248" s="16">
        <v>19760</v>
      </c>
      <c r="BG248" s="16">
        <v>0</v>
      </c>
      <c r="BH248" s="16">
        <v>143560</v>
      </c>
      <c r="BI248" s="16">
        <v>194890</v>
      </c>
      <c r="BJ248" s="16">
        <v>25361</v>
      </c>
      <c r="BK248" s="16">
        <v>13500</v>
      </c>
      <c r="BL248" s="16">
        <v>0</v>
      </c>
      <c r="BM248" s="16">
        <v>0</v>
      </c>
      <c r="BN248" s="16">
        <v>0</v>
      </c>
      <c r="BO248" s="16">
        <v>0</v>
      </c>
      <c r="BP248" s="16">
        <v>0</v>
      </c>
      <c r="BQ248" s="16">
        <v>0</v>
      </c>
      <c r="BR248" s="16">
        <v>0</v>
      </c>
      <c r="BS248" s="16">
        <v>0</v>
      </c>
      <c r="BT248" s="16">
        <v>0</v>
      </c>
      <c r="BU248" s="16">
        <v>0</v>
      </c>
      <c r="BV248" s="16">
        <v>0</v>
      </c>
      <c r="BW248" s="16">
        <v>0</v>
      </c>
    </row>
    <row r="249" spans="1:75" ht="18" hidden="1" customHeight="1" outlineLevel="1">
      <c r="Q249" s="5">
        <v>2017</v>
      </c>
      <c r="R249" s="5">
        <v>10</v>
      </c>
      <c r="S249" s="14" t="s">
        <v>54</v>
      </c>
      <c r="T249" s="15">
        <f t="shared" si="156"/>
        <v>3384514</v>
      </c>
      <c r="U249" s="15">
        <f t="shared" si="157"/>
        <v>4151740</v>
      </c>
      <c r="V249" s="16">
        <v>2695000</v>
      </c>
      <c r="W249" s="16">
        <v>1006740</v>
      </c>
      <c r="X249" s="16">
        <v>0</v>
      </c>
      <c r="Y249" s="16">
        <v>0</v>
      </c>
      <c r="Z249" s="16">
        <v>0</v>
      </c>
      <c r="AA249" s="16">
        <v>0</v>
      </c>
      <c r="AB249" s="16">
        <v>0</v>
      </c>
      <c r="AC249" s="16">
        <v>0</v>
      </c>
      <c r="AD249" s="16">
        <v>0</v>
      </c>
      <c r="AE249" s="16">
        <v>0</v>
      </c>
      <c r="AF249" s="16">
        <v>50000</v>
      </c>
      <c r="AG249" s="16">
        <v>0</v>
      </c>
      <c r="AH249" s="16">
        <v>0</v>
      </c>
      <c r="AI249" s="16">
        <v>200000</v>
      </c>
      <c r="AJ249" s="16">
        <v>150000</v>
      </c>
      <c r="AK249" s="16">
        <v>0</v>
      </c>
      <c r="AL249" s="16">
        <v>50000</v>
      </c>
      <c r="AM249" s="16">
        <v>0</v>
      </c>
      <c r="AN249" s="16">
        <v>0</v>
      </c>
      <c r="AO249" s="16">
        <v>0</v>
      </c>
      <c r="AP249" s="16">
        <v>0</v>
      </c>
      <c r="AQ249" s="16">
        <v>0</v>
      </c>
      <c r="AR249" s="16">
        <v>0</v>
      </c>
      <c r="AS249" s="16">
        <v>0</v>
      </c>
      <c r="AT249" s="16">
        <v>0</v>
      </c>
      <c r="AU249" s="16">
        <v>0</v>
      </c>
      <c r="AV249" s="16">
        <v>0</v>
      </c>
      <c r="AW249" s="16">
        <v>0</v>
      </c>
      <c r="AX249" s="16">
        <v>0</v>
      </c>
      <c r="AY249" s="16">
        <v>0</v>
      </c>
      <c r="AZ249" s="16">
        <v>0</v>
      </c>
      <c r="BA249" s="16"/>
      <c r="BB249" s="15">
        <f t="shared" si="158"/>
        <v>767226</v>
      </c>
      <c r="BC249" s="16">
        <v>0</v>
      </c>
      <c r="BD249" s="16">
        <v>216770</v>
      </c>
      <c r="BE249" s="16">
        <v>0</v>
      </c>
      <c r="BF249" s="16">
        <v>21670</v>
      </c>
      <c r="BG249" s="16">
        <v>0</v>
      </c>
      <c r="BH249" s="16">
        <v>143560</v>
      </c>
      <c r="BI249" s="16">
        <v>194890</v>
      </c>
      <c r="BJ249" s="16">
        <v>26336</v>
      </c>
      <c r="BK249" s="16">
        <v>13500</v>
      </c>
      <c r="BL249" s="16">
        <v>0</v>
      </c>
      <c r="BM249" s="16">
        <v>150000</v>
      </c>
      <c r="BN249" s="16">
        <v>0</v>
      </c>
      <c r="BO249" s="16">
        <v>0</v>
      </c>
      <c r="BP249" s="16">
        <v>500</v>
      </c>
      <c r="BQ249" s="16">
        <v>0</v>
      </c>
      <c r="BR249" s="16">
        <v>0</v>
      </c>
      <c r="BS249" s="16">
        <v>0</v>
      </c>
      <c r="BT249" s="16">
        <v>0</v>
      </c>
      <c r="BU249" s="16">
        <v>0</v>
      </c>
      <c r="BV249" s="16">
        <v>0</v>
      </c>
      <c r="BW249" s="16">
        <v>0</v>
      </c>
    </row>
    <row r="250" spans="1:75" ht="18" hidden="1" customHeight="1" outlineLevel="1">
      <c r="Q250" s="5">
        <v>2017</v>
      </c>
      <c r="R250" s="5">
        <v>9</v>
      </c>
      <c r="S250" s="14" t="s">
        <v>54</v>
      </c>
      <c r="T250" s="15">
        <f t="shared" si="156"/>
        <v>3366194</v>
      </c>
      <c r="U250" s="15">
        <f t="shared" si="157"/>
        <v>3951740</v>
      </c>
      <c r="V250" s="16">
        <v>2695000</v>
      </c>
      <c r="W250" s="16">
        <v>1006740</v>
      </c>
      <c r="X250" s="16">
        <v>0</v>
      </c>
      <c r="Y250" s="16">
        <v>0</v>
      </c>
      <c r="Z250" s="16">
        <v>0</v>
      </c>
      <c r="AA250" s="16">
        <v>0</v>
      </c>
      <c r="AB250" s="16">
        <v>0</v>
      </c>
      <c r="AC250" s="16">
        <v>0</v>
      </c>
      <c r="AD250" s="16">
        <v>0</v>
      </c>
      <c r="AE250" s="16">
        <v>0</v>
      </c>
      <c r="AF250" s="16">
        <v>0</v>
      </c>
      <c r="AG250" s="16">
        <v>0</v>
      </c>
      <c r="AH250" s="16">
        <v>0</v>
      </c>
      <c r="AI250" s="16">
        <v>200000</v>
      </c>
      <c r="AJ250" s="16">
        <v>0</v>
      </c>
      <c r="AK250" s="16">
        <v>0</v>
      </c>
      <c r="AL250" s="16">
        <v>50000</v>
      </c>
      <c r="AM250" s="16">
        <v>0</v>
      </c>
      <c r="AN250" s="16">
        <v>0</v>
      </c>
      <c r="AO250" s="16">
        <v>0</v>
      </c>
      <c r="AP250" s="16">
        <v>0</v>
      </c>
      <c r="AQ250" s="16">
        <v>0</v>
      </c>
      <c r="AR250" s="16">
        <v>0</v>
      </c>
      <c r="AS250" s="16">
        <v>0</v>
      </c>
      <c r="AT250" s="16">
        <v>0</v>
      </c>
      <c r="AU250" s="16">
        <v>0</v>
      </c>
      <c r="AV250" s="16">
        <v>0</v>
      </c>
      <c r="AW250" s="16">
        <v>0</v>
      </c>
      <c r="AX250" s="16">
        <v>0</v>
      </c>
      <c r="AY250" s="16">
        <v>0</v>
      </c>
      <c r="AZ250" s="16">
        <v>0</v>
      </c>
      <c r="BA250" s="16"/>
      <c r="BB250" s="15">
        <f t="shared" si="158"/>
        <v>585546</v>
      </c>
      <c r="BC250" s="16">
        <v>0</v>
      </c>
      <c r="BD250" s="16">
        <v>189600</v>
      </c>
      <c r="BE250" s="16">
        <v>0</v>
      </c>
      <c r="BF250" s="16">
        <v>18960</v>
      </c>
      <c r="BG250" s="16">
        <v>0</v>
      </c>
      <c r="BH250" s="16">
        <v>143560</v>
      </c>
      <c r="BI250" s="16">
        <v>194890</v>
      </c>
      <c r="BJ250" s="16">
        <v>25036</v>
      </c>
      <c r="BK250" s="16">
        <v>13500</v>
      </c>
      <c r="BL250" s="16">
        <v>0</v>
      </c>
      <c r="BM250" s="16">
        <v>0</v>
      </c>
      <c r="BN250" s="16">
        <v>0</v>
      </c>
      <c r="BO250" s="16">
        <v>0</v>
      </c>
      <c r="BP250" s="16">
        <v>0</v>
      </c>
      <c r="BQ250" s="16">
        <v>0</v>
      </c>
      <c r="BR250" s="16">
        <v>0</v>
      </c>
      <c r="BS250" s="16">
        <v>0</v>
      </c>
      <c r="BT250" s="16">
        <v>0</v>
      </c>
      <c r="BU250" s="16">
        <v>0</v>
      </c>
      <c r="BV250" s="16">
        <v>0</v>
      </c>
      <c r="BW250" s="16">
        <v>0</v>
      </c>
    </row>
    <row r="251" spans="1:75" ht="18" hidden="1" customHeight="1" outlineLevel="1">
      <c r="Q251" s="5">
        <v>2017</v>
      </c>
      <c r="R251" s="5">
        <v>8</v>
      </c>
      <c r="S251" s="14" t="s">
        <v>54</v>
      </c>
      <c r="T251" s="15">
        <f t="shared" si="156"/>
        <v>3383134</v>
      </c>
      <c r="U251" s="15">
        <f t="shared" si="157"/>
        <v>3971740</v>
      </c>
      <c r="V251" s="16">
        <v>2695000</v>
      </c>
      <c r="W251" s="16">
        <v>1006740</v>
      </c>
      <c r="X251" s="16">
        <v>0</v>
      </c>
      <c r="Y251" s="16">
        <v>0</v>
      </c>
      <c r="Z251" s="16">
        <v>0</v>
      </c>
      <c r="AA251" s="16">
        <v>0</v>
      </c>
      <c r="AB251" s="16">
        <v>0</v>
      </c>
      <c r="AC251" s="16">
        <v>0</v>
      </c>
      <c r="AD251" s="16">
        <v>0</v>
      </c>
      <c r="AE251" s="16">
        <v>0</v>
      </c>
      <c r="AF251" s="16">
        <v>0</v>
      </c>
      <c r="AG251" s="16">
        <v>0</v>
      </c>
      <c r="AH251" s="16">
        <v>0</v>
      </c>
      <c r="AI251" s="16">
        <v>200000</v>
      </c>
      <c r="AJ251" s="16">
        <v>0</v>
      </c>
      <c r="AK251" s="16">
        <v>0</v>
      </c>
      <c r="AL251" s="16">
        <v>50000</v>
      </c>
      <c r="AM251" s="16">
        <v>0</v>
      </c>
      <c r="AN251" s="16">
        <v>0</v>
      </c>
      <c r="AO251" s="16">
        <v>0</v>
      </c>
      <c r="AP251" s="16">
        <v>0</v>
      </c>
      <c r="AQ251" s="16">
        <v>20000</v>
      </c>
      <c r="AR251" s="16">
        <v>0</v>
      </c>
      <c r="AS251" s="16">
        <v>0</v>
      </c>
      <c r="AT251" s="16">
        <v>0</v>
      </c>
      <c r="AU251" s="16">
        <v>0</v>
      </c>
      <c r="AV251" s="16">
        <v>0</v>
      </c>
      <c r="AW251" s="16">
        <v>0</v>
      </c>
      <c r="AX251" s="16">
        <v>0</v>
      </c>
      <c r="AY251" s="16">
        <v>0</v>
      </c>
      <c r="AZ251" s="16">
        <v>0</v>
      </c>
      <c r="BA251" s="16"/>
      <c r="BB251" s="15">
        <f t="shared" si="158"/>
        <v>588606</v>
      </c>
      <c r="BC251" s="16">
        <v>0</v>
      </c>
      <c r="BD251" s="16">
        <v>192270</v>
      </c>
      <c r="BE251" s="16">
        <v>0</v>
      </c>
      <c r="BF251" s="16">
        <v>19220</v>
      </c>
      <c r="BG251" s="16">
        <v>0</v>
      </c>
      <c r="BH251" s="16">
        <v>143560</v>
      </c>
      <c r="BI251" s="16">
        <v>194890</v>
      </c>
      <c r="BJ251" s="16">
        <v>25166</v>
      </c>
      <c r="BK251" s="16">
        <v>13500</v>
      </c>
      <c r="BL251" s="16">
        <v>0</v>
      </c>
      <c r="BM251" s="16">
        <v>0</v>
      </c>
      <c r="BN251" s="16">
        <v>0</v>
      </c>
      <c r="BO251" s="16">
        <v>0</v>
      </c>
      <c r="BP251" s="16">
        <v>0</v>
      </c>
      <c r="BQ251" s="16">
        <v>0</v>
      </c>
      <c r="BR251" s="16">
        <v>0</v>
      </c>
      <c r="BS251" s="16">
        <v>0</v>
      </c>
      <c r="BT251" s="16">
        <v>0</v>
      </c>
      <c r="BU251" s="16">
        <v>0</v>
      </c>
      <c r="BV251" s="16">
        <v>0</v>
      </c>
      <c r="BW251" s="16">
        <v>0</v>
      </c>
    </row>
    <row r="252" spans="1:75" ht="18" hidden="1" customHeight="1" outlineLevel="1">
      <c r="Q252" s="5">
        <v>2017</v>
      </c>
      <c r="R252" s="5">
        <v>7</v>
      </c>
      <c r="S252" s="14" t="s">
        <v>54</v>
      </c>
      <c r="T252" s="15">
        <f t="shared" si="156"/>
        <v>3618444</v>
      </c>
      <c r="U252" s="15">
        <f t="shared" si="157"/>
        <v>4251740</v>
      </c>
      <c r="V252" s="16">
        <v>2695000</v>
      </c>
      <c r="W252" s="16">
        <v>1006740</v>
      </c>
      <c r="X252" s="16">
        <v>0</v>
      </c>
      <c r="Y252" s="16">
        <v>0</v>
      </c>
      <c r="Z252" s="16">
        <v>0</v>
      </c>
      <c r="AA252" s="16">
        <v>0</v>
      </c>
      <c r="AB252" s="16">
        <v>0</v>
      </c>
      <c r="AC252" s="16">
        <v>0</v>
      </c>
      <c r="AD252" s="16">
        <v>0</v>
      </c>
      <c r="AE252" s="16">
        <v>0</v>
      </c>
      <c r="AF252" s="16">
        <v>0</v>
      </c>
      <c r="AG252" s="16">
        <v>0</v>
      </c>
      <c r="AH252" s="16">
        <v>0</v>
      </c>
      <c r="AI252" s="16">
        <v>200000</v>
      </c>
      <c r="AJ252" s="16">
        <v>0</v>
      </c>
      <c r="AK252" s="16">
        <v>300000</v>
      </c>
      <c r="AL252" s="16">
        <v>50000</v>
      </c>
      <c r="AM252" s="16">
        <v>0</v>
      </c>
      <c r="AN252" s="16">
        <v>0</v>
      </c>
      <c r="AO252" s="16">
        <v>0</v>
      </c>
      <c r="AP252" s="16">
        <v>0</v>
      </c>
      <c r="AQ252" s="16">
        <v>0</v>
      </c>
      <c r="AR252" s="16">
        <v>0</v>
      </c>
      <c r="AS252" s="16">
        <v>0</v>
      </c>
      <c r="AT252" s="16">
        <v>0</v>
      </c>
      <c r="AU252" s="16">
        <v>0</v>
      </c>
      <c r="AV252" s="16">
        <v>0</v>
      </c>
      <c r="AW252" s="16">
        <v>0</v>
      </c>
      <c r="AX252" s="16">
        <v>0</v>
      </c>
      <c r="AY252" s="16">
        <v>0</v>
      </c>
      <c r="AZ252" s="16">
        <v>0</v>
      </c>
      <c r="BA252" s="16"/>
      <c r="BB252" s="15">
        <f t="shared" si="158"/>
        <v>633296</v>
      </c>
      <c r="BC252" s="16">
        <v>0</v>
      </c>
      <c r="BD252" s="16">
        <v>230790</v>
      </c>
      <c r="BE252" s="16"/>
      <c r="BF252" s="16">
        <v>23070</v>
      </c>
      <c r="BG252" s="16"/>
      <c r="BH252" s="16">
        <v>143560</v>
      </c>
      <c r="BI252" s="16">
        <v>194890</v>
      </c>
      <c r="BJ252" s="16">
        <v>26986</v>
      </c>
      <c r="BK252" s="16">
        <v>13500</v>
      </c>
      <c r="BL252" s="16">
        <v>0</v>
      </c>
      <c r="BM252" s="16">
        <v>0</v>
      </c>
      <c r="BN252" s="16">
        <v>0</v>
      </c>
      <c r="BO252" s="16">
        <v>0</v>
      </c>
      <c r="BP252" s="16">
        <v>500</v>
      </c>
      <c r="BQ252" s="16">
        <v>0</v>
      </c>
      <c r="BR252" s="16">
        <v>0</v>
      </c>
      <c r="BS252" s="16"/>
      <c r="BT252" s="16"/>
      <c r="BU252" s="16"/>
      <c r="BV252" s="16"/>
      <c r="BW252" s="16"/>
    </row>
    <row r="253" spans="1:75" ht="18" hidden="1" customHeight="1" outlineLevel="1">
      <c r="Q253" s="5">
        <v>2017</v>
      </c>
      <c r="R253" s="5">
        <v>6</v>
      </c>
      <c r="S253" s="14" t="s">
        <v>54</v>
      </c>
      <c r="T253" s="15">
        <f t="shared" si="156"/>
        <v>3365784</v>
      </c>
      <c r="U253" s="15">
        <f t="shared" si="157"/>
        <v>3951740</v>
      </c>
      <c r="V253" s="16">
        <v>2695000</v>
      </c>
      <c r="W253" s="16">
        <v>1006740</v>
      </c>
      <c r="X253" s="16">
        <v>0</v>
      </c>
      <c r="Y253" s="16">
        <v>0</v>
      </c>
      <c r="Z253" s="16">
        <v>0</v>
      </c>
      <c r="AA253" s="16">
        <v>0</v>
      </c>
      <c r="AB253" s="16">
        <v>0</v>
      </c>
      <c r="AC253" s="16">
        <v>0</v>
      </c>
      <c r="AD253" s="16">
        <v>0</v>
      </c>
      <c r="AE253" s="16">
        <v>0</v>
      </c>
      <c r="AF253" s="16">
        <v>0</v>
      </c>
      <c r="AG253" s="16">
        <v>0</v>
      </c>
      <c r="AH253" s="16">
        <v>0</v>
      </c>
      <c r="AI253" s="16">
        <v>200000</v>
      </c>
      <c r="AJ253" s="16">
        <v>0</v>
      </c>
      <c r="AK253" s="16">
        <v>0</v>
      </c>
      <c r="AL253" s="16">
        <v>50000</v>
      </c>
      <c r="AM253" s="16">
        <v>0</v>
      </c>
      <c r="AN253" s="16">
        <v>0</v>
      </c>
      <c r="AO253" s="16">
        <v>0</v>
      </c>
      <c r="AP253" s="16">
        <v>0</v>
      </c>
      <c r="AQ253" s="16">
        <v>0</v>
      </c>
      <c r="AR253" s="16">
        <v>0</v>
      </c>
      <c r="AS253" s="16">
        <v>0</v>
      </c>
      <c r="AT253" s="16">
        <v>0</v>
      </c>
      <c r="AU253" s="16">
        <v>0</v>
      </c>
      <c r="AV253" s="16">
        <v>0</v>
      </c>
      <c r="AW253" s="16">
        <v>0</v>
      </c>
      <c r="AX253" s="16">
        <v>0</v>
      </c>
      <c r="AY253" s="16">
        <v>0</v>
      </c>
      <c r="AZ253" s="16">
        <v>0</v>
      </c>
      <c r="BA253" s="16"/>
      <c r="BB253" s="15">
        <f t="shared" si="158"/>
        <v>585956</v>
      </c>
      <c r="BC253" s="16">
        <v>0</v>
      </c>
      <c r="BD253" s="16">
        <v>189600</v>
      </c>
      <c r="BE253" s="16">
        <v>0</v>
      </c>
      <c r="BF253" s="16">
        <v>18960</v>
      </c>
      <c r="BG253" s="16">
        <v>0</v>
      </c>
      <c r="BH253" s="16">
        <v>143560</v>
      </c>
      <c r="BI253" s="16">
        <v>195300</v>
      </c>
      <c r="BJ253" s="16">
        <v>25036</v>
      </c>
      <c r="BK253" s="16">
        <v>13500</v>
      </c>
      <c r="BL253" s="16">
        <v>0</v>
      </c>
      <c r="BM253" s="16">
        <v>0</v>
      </c>
      <c r="BN253" s="16">
        <v>0</v>
      </c>
      <c r="BO253" s="16">
        <v>0</v>
      </c>
      <c r="BP253" s="16">
        <v>0</v>
      </c>
      <c r="BQ253" s="16">
        <v>0</v>
      </c>
      <c r="BR253" s="16">
        <v>0</v>
      </c>
      <c r="BS253" s="16">
        <v>0</v>
      </c>
      <c r="BT253" s="16">
        <v>0</v>
      </c>
      <c r="BU253" s="16">
        <v>0</v>
      </c>
      <c r="BV253" s="16">
        <v>0</v>
      </c>
      <c r="BW253" s="16">
        <v>0</v>
      </c>
    </row>
    <row r="254" spans="1:75" ht="18" hidden="1" customHeight="1" outlineLevel="1">
      <c r="Q254" s="5">
        <v>2017</v>
      </c>
      <c r="R254" s="5">
        <v>5</v>
      </c>
      <c r="S254" s="14" t="s">
        <v>54</v>
      </c>
      <c r="T254" s="15">
        <f t="shared" si="156"/>
        <v>4171074</v>
      </c>
      <c r="U254" s="15">
        <f t="shared" si="157"/>
        <v>5151740</v>
      </c>
      <c r="V254" s="16">
        <v>2695000</v>
      </c>
      <c r="W254" s="16">
        <v>1006740</v>
      </c>
      <c r="X254" s="16">
        <v>0</v>
      </c>
      <c r="Y254" s="16">
        <v>0</v>
      </c>
      <c r="Z254" s="16">
        <v>0</v>
      </c>
      <c r="AA254" s="16">
        <v>0</v>
      </c>
      <c r="AB254" s="16">
        <v>0</v>
      </c>
      <c r="AC254" s="16">
        <v>0</v>
      </c>
      <c r="AD254" s="16">
        <v>0</v>
      </c>
      <c r="AE254" s="16">
        <v>1000000</v>
      </c>
      <c r="AF254" s="16">
        <v>0</v>
      </c>
      <c r="AG254" s="16">
        <v>0</v>
      </c>
      <c r="AH254" s="16">
        <v>0</v>
      </c>
      <c r="AI254" s="16">
        <v>200000</v>
      </c>
      <c r="AJ254" s="16">
        <v>200000</v>
      </c>
      <c r="AK254" s="16">
        <v>0</v>
      </c>
      <c r="AL254" s="16">
        <v>50000</v>
      </c>
      <c r="AM254" s="16">
        <v>0</v>
      </c>
      <c r="AN254" s="16">
        <v>0</v>
      </c>
      <c r="AO254" s="16">
        <v>0</v>
      </c>
      <c r="AP254" s="16">
        <v>0</v>
      </c>
      <c r="AQ254" s="16">
        <v>0</v>
      </c>
      <c r="AR254" s="16">
        <v>0</v>
      </c>
      <c r="AS254" s="16">
        <v>0</v>
      </c>
      <c r="AT254" s="16">
        <v>0</v>
      </c>
      <c r="AU254" s="16">
        <v>0</v>
      </c>
      <c r="AV254" s="16">
        <v>0</v>
      </c>
      <c r="AW254" s="16">
        <v>0</v>
      </c>
      <c r="AX254" s="16">
        <v>0</v>
      </c>
      <c r="AY254" s="16">
        <v>0</v>
      </c>
      <c r="AZ254" s="16">
        <v>0</v>
      </c>
      <c r="BA254" s="16"/>
      <c r="BB254" s="15">
        <f t="shared" si="158"/>
        <v>980666</v>
      </c>
      <c r="BC254" s="16">
        <v>0</v>
      </c>
      <c r="BD254" s="16">
        <v>359520</v>
      </c>
      <c r="BE254" s="16">
        <v>0</v>
      </c>
      <c r="BF254" s="16">
        <v>35950</v>
      </c>
      <c r="BG254" s="16">
        <v>0</v>
      </c>
      <c r="BH254" s="16">
        <v>143560</v>
      </c>
      <c r="BI254" s="16">
        <v>195300</v>
      </c>
      <c r="BJ254" s="16">
        <v>32836</v>
      </c>
      <c r="BK254" s="16">
        <v>13500</v>
      </c>
      <c r="BL254" s="16">
        <v>0</v>
      </c>
      <c r="BM254" s="16">
        <v>200000</v>
      </c>
      <c r="BN254" s="16">
        <v>0</v>
      </c>
      <c r="BO254" s="16">
        <v>0</v>
      </c>
      <c r="BP254" s="16">
        <v>0</v>
      </c>
      <c r="BQ254" s="16">
        <v>0</v>
      </c>
      <c r="BR254" s="16">
        <v>0</v>
      </c>
      <c r="BS254" s="16">
        <v>0</v>
      </c>
      <c r="BT254" s="16">
        <v>0</v>
      </c>
      <c r="BU254" s="16">
        <v>0</v>
      </c>
      <c r="BV254" s="16">
        <v>0</v>
      </c>
      <c r="BW254" s="16">
        <v>0</v>
      </c>
    </row>
    <row r="255" spans="1:75" ht="18" hidden="1" customHeight="1" outlineLevel="1">
      <c r="Q255" s="5">
        <v>2017</v>
      </c>
      <c r="R255" s="5">
        <v>4</v>
      </c>
      <c r="S255" s="5" t="s">
        <v>28</v>
      </c>
      <c r="T255" s="15">
        <f t="shared" si="156"/>
        <v>5433429</v>
      </c>
      <c r="U255" s="15">
        <f t="shared" si="157"/>
        <v>6481005</v>
      </c>
      <c r="V255" s="16">
        <v>0</v>
      </c>
      <c r="W255" s="16">
        <v>0</v>
      </c>
      <c r="X255" s="16">
        <v>0</v>
      </c>
      <c r="Y255" s="16">
        <v>0</v>
      </c>
      <c r="Z255" s="16">
        <v>0</v>
      </c>
      <c r="AA255" s="16">
        <v>0</v>
      </c>
      <c r="AB255" s="16">
        <v>0</v>
      </c>
      <c r="AC255" s="16">
        <v>0</v>
      </c>
      <c r="AD255" s="16">
        <v>6481005</v>
      </c>
      <c r="AE255" s="16">
        <v>0</v>
      </c>
      <c r="AF255" s="16">
        <v>0</v>
      </c>
      <c r="AG255" s="16">
        <v>0</v>
      </c>
      <c r="AH255" s="16">
        <v>0</v>
      </c>
      <c r="AI255" s="16">
        <v>0</v>
      </c>
      <c r="AJ255" s="16">
        <v>0</v>
      </c>
      <c r="AK255" s="16">
        <v>0</v>
      </c>
      <c r="AL255" s="16">
        <v>0</v>
      </c>
      <c r="AM255" s="16">
        <v>0</v>
      </c>
      <c r="AN255" s="16">
        <v>0</v>
      </c>
      <c r="AO255" s="16">
        <v>0</v>
      </c>
      <c r="AP255" s="16">
        <v>0</v>
      </c>
      <c r="AQ255" s="16">
        <v>0</v>
      </c>
      <c r="AR255" s="16">
        <v>0</v>
      </c>
      <c r="AS255" s="16">
        <v>0</v>
      </c>
      <c r="AT255" s="16">
        <v>0</v>
      </c>
      <c r="AU255" s="16">
        <v>0</v>
      </c>
      <c r="AV255" s="16">
        <v>0</v>
      </c>
      <c r="AW255" s="16">
        <v>0</v>
      </c>
      <c r="AX255" s="16">
        <v>0</v>
      </c>
      <c r="AY255" s="16">
        <v>0</v>
      </c>
      <c r="AZ255" s="16">
        <v>0</v>
      </c>
      <c r="BA255" s="16"/>
      <c r="BB255" s="15">
        <f t="shared" si="158"/>
        <v>1047576</v>
      </c>
      <c r="BC255" s="16">
        <v>0</v>
      </c>
      <c r="BD255" s="16">
        <v>914050</v>
      </c>
      <c r="BE255" s="16">
        <v>0</v>
      </c>
      <c r="BF255" s="16">
        <v>91400</v>
      </c>
      <c r="BG255" s="16">
        <v>0</v>
      </c>
      <c r="BH255" s="16">
        <v>0</v>
      </c>
      <c r="BI255" s="16">
        <v>0</v>
      </c>
      <c r="BJ255" s="16">
        <v>42126</v>
      </c>
      <c r="BK255" s="16">
        <v>0</v>
      </c>
      <c r="BL255" s="16">
        <v>0</v>
      </c>
      <c r="BM255" s="16">
        <v>0</v>
      </c>
      <c r="BN255" s="16">
        <v>0</v>
      </c>
      <c r="BO255" s="16">
        <v>0</v>
      </c>
      <c r="BP255" s="16">
        <v>0</v>
      </c>
      <c r="BQ255" s="16">
        <v>0</v>
      </c>
      <c r="BR255" s="16">
        <v>0</v>
      </c>
      <c r="BS255" s="16">
        <v>0</v>
      </c>
      <c r="BT255" s="16">
        <v>0</v>
      </c>
      <c r="BU255" s="16">
        <v>0</v>
      </c>
      <c r="BV255" s="16">
        <v>0</v>
      </c>
      <c r="BW255" s="16">
        <v>0</v>
      </c>
    </row>
    <row r="256" spans="1:75" ht="18" hidden="1" customHeight="1" outlineLevel="1">
      <c r="Q256" s="5">
        <v>2017</v>
      </c>
      <c r="R256" s="5">
        <v>4</v>
      </c>
      <c r="S256" s="14" t="s">
        <v>54</v>
      </c>
      <c r="T256" s="15">
        <f t="shared" si="156"/>
        <v>3353194</v>
      </c>
      <c r="U256" s="15">
        <f t="shared" si="157"/>
        <v>3951740</v>
      </c>
      <c r="V256" s="16">
        <v>2695000</v>
      </c>
      <c r="W256" s="16">
        <v>1006740</v>
      </c>
      <c r="X256" s="16">
        <v>0</v>
      </c>
      <c r="Y256" s="16">
        <v>0</v>
      </c>
      <c r="Z256" s="16">
        <v>0</v>
      </c>
      <c r="AA256" s="16">
        <v>0</v>
      </c>
      <c r="AB256" s="16">
        <v>0</v>
      </c>
      <c r="AC256" s="16">
        <v>0</v>
      </c>
      <c r="AD256" s="16">
        <v>0</v>
      </c>
      <c r="AE256" s="16">
        <v>0</v>
      </c>
      <c r="AF256" s="16">
        <v>0</v>
      </c>
      <c r="AG256" s="16">
        <v>0</v>
      </c>
      <c r="AH256" s="16">
        <v>0</v>
      </c>
      <c r="AI256" s="16">
        <v>200000</v>
      </c>
      <c r="AJ256" s="16">
        <v>0</v>
      </c>
      <c r="AK256" s="16">
        <v>0</v>
      </c>
      <c r="AL256" s="16">
        <v>50000</v>
      </c>
      <c r="AM256" s="16">
        <v>0</v>
      </c>
      <c r="AN256" s="16">
        <v>0</v>
      </c>
      <c r="AO256" s="16">
        <v>0</v>
      </c>
      <c r="AP256" s="16">
        <v>0</v>
      </c>
      <c r="AQ256" s="16">
        <v>0</v>
      </c>
      <c r="AR256" s="16">
        <v>0</v>
      </c>
      <c r="AS256" s="16">
        <v>0</v>
      </c>
      <c r="AT256" s="16">
        <v>0</v>
      </c>
      <c r="AU256" s="16">
        <v>0</v>
      </c>
      <c r="AV256" s="16">
        <v>0</v>
      </c>
      <c r="AW256" s="16">
        <v>0</v>
      </c>
      <c r="AX256" s="16">
        <v>0</v>
      </c>
      <c r="AY256" s="16">
        <v>0</v>
      </c>
      <c r="AZ256" s="16">
        <v>0</v>
      </c>
      <c r="BA256" s="16"/>
      <c r="BB256" s="15">
        <f t="shared" si="158"/>
        <v>598546</v>
      </c>
      <c r="BC256" s="16">
        <v>0</v>
      </c>
      <c r="BD256" s="16">
        <v>189600</v>
      </c>
      <c r="BE256" s="16">
        <v>0</v>
      </c>
      <c r="BF256" s="16">
        <v>18960</v>
      </c>
      <c r="BG256" s="16">
        <v>0</v>
      </c>
      <c r="BH256" s="16">
        <v>143560</v>
      </c>
      <c r="BI256" s="16">
        <v>195300</v>
      </c>
      <c r="BJ256" s="16">
        <v>25036</v>
      </c>
      <c r="BK256" s="16">
        <v>13500</v>
      </c>
      <c r="BL256" s="16">
        <v>0</v>
      </c>
      <c r="BM256" s="16">
        <v>0</v>
      </c>
      <c r="BN256" s="16">
        <v>0</v>
      </c>
      <c r="BO256" s="16">
        <v>12090</v>
      </c>
      <c r="BP256" s="16">
        <v>500</v>
      </c>
      <c r="BQ256" s="16">
        <v>0</v>
      </c>
      <c r="BR256" s="16">
        <v>0</v>
      </c>
      <c r="BS256" s="16">
        <v>0</v>
      </c>
      <c r="BT256" s="16">
        <v>0</v>
      </c>
      <c r="BU256" s="16">
        <v>0</v>
      </c>
      <c r="BV256" s="16">
        <v>0</v>
      </c>
      <c r="BW256" s="16">
        <v>0</v>
      </c>
    </row>
    <row r="257" spans="1:75" ht="18" hidden="1" customHeight="1" outlineLevel="1">
      <c r="Q257" s="5">
        <v>2017</v>
      </c>
      <c r="R257" s="5">
        <v>3</v>
      </c>
      <c r="S257" s="14" t="s">
        <v>54</v>
      </c>
      <c r="T257" s="15">
        <f t="shared" si="156"/>
        <v>3360564</v>
      </c>
      <c r="U257" s="15">
        <f t="shared" si="157"/>
        <v>3951740</v>
      </c>
      <c r="V257" s="16">
        <v>2695000</v>
      </c>
      <c r="W257" s="16">
        <v>1006740</v>
      </c>
      <c r="X257" s="16">
        <v>0</v>
      </c>
      <c r="Y257" s="16">
        <v>0</v>
      </c>
      <c r="Z257" s="16">
        <v>0</v>
      </c>
      <c r="AA257" s="16">
        <v>0</v>
      </c>
      <c r="AB257" s="16">
        <v>0</v>
      </c>
      <c r="AC257" s="16">
        <v>0</v>
      </c>
      <c r="AD257" s="16">
        <v>0</v>
      </c>
      <c r="AE257" s="16">
        <v>0</v>
      </c>
      <c r="AF257" s="16">
        <v>0</v>
      </c>
      <c r="AG257" s="16">
        <v>0</v>
      </c>
      <c r="AH257" s="16">
        <v>0</v>
      </c>
      <c r="AI257" s="16">
        <v>200000</v>
      </c>
      <c r="AJ257" s="16">
        <v>0</v>
      </c>
      <c r="AK257" s="16">
        <v>0</v>
      </c>
      <c r="AL257" s="16">
        <v>50000</v>
      </c>
      <c r="AM257" s="16">
        <v>0</v>
      </c>
      <c r="AN257" s="16">
        <v>0</v>
      </c>
      <c r="AO257" s="16">
        <v>0</v>
      </c>
      <c r="AP257" s="16">
        <v>0</v>
      </c>
      <c r="AQ257" s="16">
        <v>0</v>
      </c>
      <c r="AR257" s="16">
        <v>0</v>
      </c>
      <c r="AS257" s="16">
        <v>0</v>
      </c>
      <c r="AT257" s="16">
        <v>0</v>
      </c>
      <c r="AU257" s="16">
        <v>0</v>
      </c>
      <c r="AV257" s="16">
        <v>0</v>
      </c>
      <c r="AW257" s="16">
        <v>0</v>
      </c>
      <c r="AX257" s="16">
        <v>0</v>
      </c>
      <c r="AY257" s="16">
        <v>0</v>
      </c>
      <c r="AZ257" s="16">
        <v>0</v>
      </c>
      <c r="BA257" s="16"/>
      <c r="BB257" s="15">
        <f t="shared" si="158"/>
        <v>591176</v>
      </c>
      <c r="BC257" s="16">
        <v>0</v>
      </c>
      <c r="BD257" s="16">
        <v>189600</v>
      </c>
      <c r="BE257" s="16">
        <v>0</v>
      </c>
      <c r="BF257" s="16">
        <v>18960</v>
      </c>
      <c r="BG257" s="16">
        <v>0</v>
      </c>
      <c r="BH257" s="16">
        <v>148780</v>
      </c>
      <c r="BI257" s="16">
        <v>195300</v>
      </c>
      <c r="BJ257" s="16">
        <v>25036</v>
      </c>
      <c r="BK257" s="16">
        <v>13500</v>
      </c>
      <c r="BL257" s="16">
        <v>0</v>
      </c>
      <c r="BM257" s="16">
        <v>0</v>
      </c>
      <c r="BN257" s="16">
        <v>0</v>
      </c>
      <c r="BO257" s="16">
        <v>0</v>
      </c>
      <c r="BP257" s="16">
        <v>0</v>
      </c>
      <c r="BQ257" s="16">
        <v>0</v>
      </c>
      <c r="BR257" s="16">
        <v>0</v>
      </c>
      <c r="BS257" s="16">
        <v>0</v>
      </c>
      <c r="BT257" s="16">
        <v>0</v>
      </c>
      <c r="BU257" s="16">
        <v>0</v>
      </c>
      <c r="BV257" s="16">
        <v>0</v>
      </c>
      <c r="BW257" s="16">
        <v>0</v>
      </c>
    </row>
    <row r="258" spans="1:75" ht="18" hidden="1" customHeight="1" outlineLevel="1">
      <c r="Q258" s="5">
        <v>2017</v>
      </c>
      <c r="R258" s="5">
        <v>2</v>
      </c>
      <c r="S258" s="14" t="s">
        <v>54</v>
      </c>
      <c r="T258" s="15">
        <f t="shared" si="156"/>
        <v>4442074</v>
      </c>
      <c r="U258" s="15">
        <f t="shared" si="157"/>
        <v>4051740</v>
      </c>
      <c r="V258" s="16">
        <v>2695000</v>
      </c>
      <c r="W258" s="16">
        <v>1006740</v>
      </c>
      <c r="X258" s="16">
        <v>0</v>
      </c>
      <c r="Y258" s="16">
        <v>0</v>
      </c>
      <c r="Z258" s="16">
        <v>0</v>
      </c>
      <c r="AA258" s="16">
        <v>0</v>
      </c>
      <c r="AB258" s="16">
        <v>0</v>
      </c>
      <c r="AC258" s="16">
        <v>0</v>
      </c>
      <c r="AD258" s="16">
        <v>0</v>
      </c>
      <c r="AE258" s="16">
        <v>0</v>
      </c>
      <c r="AF258" s="16">
        <v>0</v>
      </c>
      <c r="AG258" s="16">
        <v>0</v>
      </c>
      <c r="AH258" s="16">
        <v>0</v>
      </c>
      <c r="AI258" s="16">
        <v>200000</v>
      </c>
      <c r="AJ258" s="16">
        <v>100000</v>
      </c>
      <c r="AK258" s="16">
        <v>0</v>
      </c>
      <c r="AL258" s="16">
        <v>50000</v>
      </c>
      <c r="AM258" s="16">
        <v>0</v>
      </c>
      <c r="AN258" s="16">
        <v>0</v>
      </c>
      <c r="AO258" s="16">
        <v>0</v>
      </c>
      <c r="AP258" s="16">
        <v>0</v>
      </c>
      <c r="AQ258" s="16">
        <v>0</v>
      </c>
      <c r="AR258" s="16">
        <v>0</v>
      </c>
      <c r="AS258" s="16">
        <v>0</v>
      </c>
      <c r="AT258" s="16">
        <v>0</v>
      </c>
      <c r="AU258" s="16">
        <v>0</v>
      </c>
      <c r="AV258" s="16">
        <v>0</v>
      </c>
      <c r="AW258" s="16">
        <v>0</v>
      </c>
      <c r="AX258" s="16">
        <v>0</v>
      </c>
      <c r="AY258" s="16">
        <v>0</v>
      </c>
      <c r="AZ258" s="16">
        <v>0</v>
      </c>
      <c r="BA258" s="16"/>
      <c r="BB258" s="15">
        <f t="shared" si="158"/>
        <v>-390334</v>
      </c>
      <c r="BC258" s="16">
        <v>-1100880</v>
      </c>
      <c r="BD258" s="16">
        <v>202950</v>
      </c>
      <c r="BE258" s="16">
        <v>0</v>
      </c>
      <c r="BF258" s="16">
        <v>20290</v>
      </c>
      <c r="BG258" s="16">
        <v>0</v>
      </c>
      <c r="BH258" s="16">
        <v>148780</v>
      </c>
      <c r="BI258" s="16">
        <v>195300</v>
      </c>
      <c r="BJ258" s="16">
        <v>25686</v>
      </c>
      <c r="BK258" s="16">
        <v>13500</v>
      </c>
      <c r="BL258" s="16">
        <v>0</v>
      </c>
      <c r="BM258" s="16">
        <v>100000</v>
      </c>
      <c r="BN258" s="16">
        <v>0</v>
      </c>
      <c r="BO258" s="16">
        <v>0</v>
      </c>
      <c r="BP258" s="16">
        <v>4040</v>
      </c>
      <c r="BQ258" s="16">
        <v>0</v>
      </c>
      <c r="BR258" s="16">
        <v>0</v>
      </c>
      <c r="BS258" s="16">
        <v>0</v>
      </c>
      <c r="BT258" s="16">
        <v>0</v>
      </c>
      <c r="BU258" s="16">
        <v>0</v>
      </c>
      <c r="BV258" s="16">
        <v>0</v>
      </c>
      <c r="BW258" s="16">
        <v>0</v>
      </c>
    </row>
    <row r="259" spans="1:75" ht="18" hidden="1" customHeight="1" outlineLevel="1">
      <c r="Q259" s="5">
        <v>2017</v>
      </c>
      <c r="R259" s="5">
        <v>1</v>
      </c>
      <c r="S259" s="14" t="s">
        <v>54</v>
      </c>
      <c r="T259" s="15">
        <f t="shared" si="156"/>
        <v>3462883</v>
      </c>
      <c r="U259" s="15">
        <f t="shared" si="157"/>
        <v>4106475</v>
      </c>
      <c r="V259" s="16">
        <v>2695000</v>
      </c>
      <c r="W259" s="16">
        <v>1006740</v>
      </c>
      <c r="X259" s="16">
        <v>0</v>
      </c>
      <c r="Y259" s="16">
        <v>0</v>
      </c>
      <c r="Z259" s="16">
        <v>0</v>
      </c>
      <c r="AA259" s="16">
        <v>0</v>
      </c>
      <c r="AB259" s="16">
        <v>0</v>
      </c>
      <c r="AC259" s="16">
        <v>0</v>
      </c>
      <c r="AD259" s="16">
        <v>0</v>
      </c>
      <c r="AE259" s="16">
        <v>0</v>
      </c>
      <c r="AF259" s="16">
        <v>0</v>
      </c>
      <c r="AG259" s="16">
        <v>0</v>
      </c>
      <c r="AH259" s="16">
        <v>0</v>
      </c>
      <c r="AI259" s="16">
        <v>200000</v>
      </c>
      <c r="AJ259" s="16">
        <v>0</v>
      </c>
      <c r="AK259" s="16">
        <v>0</v>
      </c>
      <c r="AL259" s="16">
        <v>50000</v>
      </c>
      <c r="AM259" s="16">
        <v>0</v>
      </c>
      <c r="AN259" s="16">
        <v>0</v>
      </c>
      <c r="AO259" s="16">
        <v>0</v>
      </c>
      <c r="AP259" s="16">
        <v>0</v>
      </c>
      <c r="AQ259" s="16">
        <v>0</v>
      </c>
      <c r="AR259" s="16">
        <v>0</v>
      </c>
      <c r="AS259" s="16">
        <v>154735</v>
      </c>
      <c r="AT259" s="16">
        <v>0</v>
      </c>
      <c r="AU259" s="16">
        <v>0</v>
      </c>
      <c r="AV259" s="16">
        <v>0</v>
      </c>
      <c r="AW259" s="16">
        <v>0</v>
      </c>
      <c r="AX259" s="16">
        <v>0</v>
      </c>
      <c r="AY259" s="16">
        <v>0</v>
      </c>
      <c r="AZ259" s="16">
        <v>0</v>
      </c>
      <c r="BA259" s="16"/>
      <c r="BB259" s="15">
        <f t="shared" si="158"/>
        <v>643592</v>
      </c>
      <c r="BC259" s="16">
        <v>0</v>
      </c>
      <c r="BD259" s="16">
        <v>211160</v>
      </c>
      <c r="BE259" s="16">
        <v>0</v>
      </c>
      <c r="BF259" s="16">
        <v>21110</v>
      </c>
      <c r="BG259" s="16">
        <v>0</v>
      </c>
      <c r="BH259" s="16">
        <v>148780</v>
      </c>
      <c r="BI259" s="16">
        <v>195300</v>
      </c>
      <c r="BJ259" s="16">
        <v>26042</v>
      </c>
      <c r="BK259" s="16">
        <v>13500</v>
      </c>
      <c r="BL259" s="16">
        <v>0</v>
      </c>
      <c r="BM259" s="16">
        <v>0</v>
      </c>
      <c r="BN259" s="16">
        <v>0</v>
      </c>
      <c r="BO259" s="16">
        <v>27700</v>
      </c>
      <c r="BP259" s="16">
        <v>0</v>
      </c>
      <c r="BQ259" s="16">
        <v>0</v>
      </c>
      <c r="BR259" s="16">
        <v>0</v>
      </c>
      <c r="BS259" s="16">
        <v>0</v>
      </c>
      <c r="BT259" s="16">
        <v>0</v>
      </c>
      <c r="BU259" s="16">
        <v>0</v>
      </c>
      <c r="BV259" s="16">
        <v>0</v>
      </c>
      <c r="BW259" s="16">
        <v>0</v>
      </c>
    </row>
    <row r="260" spans="1:75" s="1" customFormat="1" ht="18" customHeight="1" collapsed="1">
      <c r="A260" s="10"/>
      <c r="B260" s="18"/>
      <c r="C260" s="19"/>
      <c r="D260" s="18"/>
      <c r="E260" s="19"/>
      <c r="F260" s="19"/>
      <c r="G260" s="19"/>
      <c r="H260" s="19"/>
      <c r="I260" s="19"/>
      <c r="J260" s="20"/>
      <c r="K260" s="19"/>
      <c r="L260" s="19"/>
      <c r="M260" s="19"/>
      <c r="N260" s="19"/>
      <c r="O260" s="21"/>
      <c r="P260" s="22"/>
      <c r="Q260" s="628" t="s">
        <v>62</v>
      </c>
      <c r="R260" s="628"/>
      <c r="S260" s="628"/>
      <c r="T260" s="23">
        <f t="shared" ref="T260:AZ260" si="159">SUMIF($Q$2:$Q$793,$Q261,T$2:T$793)</f>
        <v>46516938</v>
      </c>
      <c r="U260" s="23">
        <f t="shared" si="159"/>
        <v>54039978</v>
      </c>
      <c r="V260" s="23">
        <f t="shared" si="159"/>
        <v>32340000</v>
      </c>
      <c r="W260" s="23">
        <f t="shared" si="159"/>
        <v>12080880</v>
      </c>
      <c r="X260" s="23">
        <f t="shared" si="159"/>
        <v>0</v>
      </c>
      <c r="Y260" s="23">
        <f t="shared" si="159"/>
        <v>0</v>
      </c>
      <c r="Z260" s="23">
        <f t="shared" si="159"/>
        <v>0</v>
      </c>
      <c r="AA260" s="23">
        <f t="shared" si="159"/>
        <v>0</v>
      </c>
      <c r="AB260" s="23">
        <f t="shared" si="159"/>
        <v>0</v>
      </c>
      <c r="AC260" s="23">
        <f t="shared" si="159"/>
        <v>0</v>
      </c>
      <c r="AD260" s="23">
        <f t="shared" si="159"/>
        <v>5969098</v>
      </c>
      <c r="AE260" s="23">
        <f t="shared" si="159"/>
        <v>0</v>
      </c>
      <c r="AF260" s="23">
        <f t="shared" si="159"/>
        <v>0</v>
      </c>
      <c r="AG260" s="23">
        <f t="shared" si="159"/>
        <v>0</v>
      </c>
      <c r="AH260" s="23">
        <f t="shared" si="159"/>
        <v>0</v>
      </c>
      <c r="AI260" s="23">
        <f t="shared" si="159"/>
        <v>2400000</v>
      </c>
      <c r="AJ260" s="23">
        <f t="shared" si="159"/>
        <v>350000</v>
      </c>
      <c r="AK260" s="23">
        <f t="shared" si="159"/>
        <v>300000</v>
      </c>
      <c r="AL260" s="23">
        <f t="shared" si="159"/>
        <v>600000</v>
      </c>
      <c r="AM260" s="23">
        <f t="shared" si="159"/>
        <v>0</v>
      </c>
      <c r="AN260" s="23">
        <f t="shared" si="159"/>
        <v>0</v>
      </c>
      <c r="AO260" s="23">
        <f t="shared" si="159"/>
        <v>0</v>
      </c>
      <c r="AP260" s="23">
        <f t="shared" si="159"/>
        <v>0</v>
      </c>
      <c r="AQ260" s="23">
        <f t="shared" si="159"/>
        <v>0</v>
      </c>
      <c r="AR260" s="23">
        <f t="shared" si="159"/>
        <v>0</v>
      </c>
      <c r="AS260" s="23">
        <f t="shared" si="159"/>
        <v>0</v>
      </c>
      <c r="AT260" s="23">
        <f t="shared" si="159"/>
        <v>0</v>
      </c>
      <c r="AU260" s="23">
        <f t="shared" si="159"/>
        <v>0</v>
      </c>
      <c r="AV260" s="23">
        <f t="shared" si="159"/>
        <v>0</v>
      </c>
      <c r="AW260" s="23">
        <f t="shared" si="159"/>
        <v>0</v>
      </c>
      <c r="AX260" s="23">
        <f t="shared" si="159"/>
        <v>0</v>
      </c>
      <c r="AY260" s="23">
        <f t="shared" si="159"/>
        <v>0</v>
      </c>
      <c r="AZ260" s="23">
        <f t="shared" si="159"/>
        <v>0</v>
      </c>
      <c r="BA260" s="23"/>
      <c r="BB260" s="23">
        <f t="shared" ref="BB260:BW260" si="160">SUMIF($Q$2:$Q$793,$Q261,BB$2:BB$793)</f>
        <v>7523040</v>
      </c>
      <c r="BC260" s="23">
        <f t="shared" si="160"/>
        <v>-1159400</v>
      </c>
      <c r="BD260" s="23">
        <f t="shared" si="160"/>
        <v>3214900</v>
      </c>
      <c r="BE260" s="23">
        <f t="shared" si="160"/>
        <v>0</v>
      </c>
      <c r="BF260" s="23">
        <f t="shared" si="160"/>
        <v>321460</v>
      </c>
      <c r="BG260" s="23">
        <f t="shared" si="160"/>
        <v>0</v>
      </c>
      <c r="BH260" s="23">
        <f t="shared" si="160"/>
        <v>1710630</v>
      </c>
      <c r="BI260" s="23">
        <f t="shared" si="160"/>
        <v>2197500</v>
      </c>
      <c r="BJ260" s="23">
        <f t="shared" si="160"/>
        <v>343456</v>
      </c>
      <c r="BK260" s="23">
        <f t="shared" si="160"/>
        <v>97200</v>
      </c>
      <c r="BL260" s="23">
        <f t="shared" si="160"/>
        <v>0</v>
      </c>
      <c r="BM260" s="23">
        <f t="shared" si="160"/>
        <v>350000</v>
      </c>
      <c r="BN260" s="23">
        <f t="shared" si="160"/>
        <v>192400</v>
      </c>
      <c r="BO260" s="23">
        <f t="shared" si="160"/>
        <v>249350</v>
      </c>
      <c r="BP260" s="23">
        <f t="shared" si="160"/>
        <v>5540</v>
      </c>
      <c r="BQ260" s="23">
        <f t="shared" si="160"/>
        <v>4</v>
      </c>
      <c r="BR260" s="23">
        <f t="shared" si="160"/>
        <v>0</v>
      </c>
      <c r="BS260" s="23">
        <f t="shared" si="160"/>
        <v>0</v>
      </c>
      <c r="BT260" s="23">
        <f t="shared" si="160"/>
        <v>0</v>
      </c>
      <c r="BU260" s="23">
        <f t="shared" si="160"/>
        <v>0</v>
      </c>
      <c r="BV260" s="23">
        <f t="shared" si="160"/>
        <v>0</v>
      </c>
      <c r="BW260" s="23">
        <f t="shared" si="160"/>
        <v>0</v>
      </c>
    </row>
    <row r="261" spans="1:75" ht="18" hidden="1" customHeight="1" outlineLevel="1">
      <c r="Q261" s="5">
        <v>2016</v>
      </c>
      <c r="R261" s="5">
        <v>12</v>
      </c>
      <c r="S261" s="5" t="s">
        <v>56</v>
      </c>
      <c r="T261" s="15">
        <f t="shared" ref="T261:T273" si="161">IF(U261=U261-BB261,0,U261-BB261)</f>
        <v>3338264</v>
      </c>
      <c r="U261" s="15">
        <f t="shared" ref="U261:U273" si="162">SUM(V261:BA261)</f>
        <v>3951740</v>
      </c>
      <c r="V261" s="16">
        <v>2695000</v>
      </c>
      <c r="W261" s="16">
        <v>1006740</v>
      </c>
      <c r="X261" s="16">
        <v>0</v>
      </c>
      <c r="Y261" s="16">
        <v>0</v>
      </c>
      <c r="Z261" s="16">
        <v>0</v>
      </c>
      <c r="AA261" s="16">
        <v>0</v>
      </c>
      <c r="AB261" s="16">
        <v>0</v>
      </c>
      <c r="AC261" s="16">
        <v>0</v>
      </c>
      <c r="AD261" s="16">
        <v>0</v>
      </c>
      <c r="AE261" s="16">
        <v>0</v>
      </c>
      <c r="AF261" s="16">
        <v>0</v>
      </c>
      <c r="AG261" s="16">
        <v>0</v>
      </c>
      <c r="AH261" s="16">
        <v>0</v>
      </c>
      <c r="AI261" s="16">
        <v>200000</v>
      </c>
      <c r="AJ261" s="16">
        <v>0</v>
      </c>
      <c r="AK261" s="16">
        <v>0</v>
      </c>
      <c r="AL261" s="16">
        <v>50000</v>
      </c>
      <c r="AM261" s="16">
        <v>0</v>
      </c>
      <c r="AN261" s="16">
        <v>0</v>
      </c>
      <c r="AO261" s="16">
        <v>0</v>
      </c>
      <c r="AP261" s="16">
        <v>0</v>
      </c>
      <c r="AQ261" s="16">
        <v>0</v>
      </c>
      <c r="AR261" s="16">
        <v>0</v>
      </c>
      <c r="AS261" s="16">
        <v>0</v>
      </c>
      <c r="AT261" s="16">
        <v>0</v>
      </c>
      <c r="AU261" s="16">
        <v>0</v>
      </c>
      <c r="AV261" s="16">
        <v>0</v>
      </c>
      <c r="AW261" s="16">
        <v>0</v>
      </c>
      <c r="AX261" s="16">
        <v>0</v>
      </c>
      <c r="AY261" s="16">
        <v>0</v>
      </c>
      <c r="AZ261" s="16">
        <v>0</v>
      </c>
      <c r="BA261" s="16"/>
      <c r="BB261" s="15">
        <f t="shared" ref="BB261:BB273" si="163">SUM(BC261:BW261)</f>
        <v>613476</v>
      </c>
      <c r="BC261" s="16">
        <v>0</v>
      </c>
      <c r="BD261" s="16">
        <v>189600</v>
      </c>
      <c r="BE261" s="16">
        <v>0</v>
      </c>
      <c r="BF261" s="16">
        <v>18960</v>
      </c>
      <c r="BG261" s="16">
        <v>0</v>
      </c>
      <c r="BH261" s="16">
        <v>148780</v>
      </c>
      <c r="BI261" s="16">
        <v>195300</v>
      </c>
      <c r="BJ261" s="16">
        <v>25036</v>
      </c>
      <c r="BK261" s="16">
        <v>8100</v>
      </c>
      <c r="BL261" s="16">
        <v>0</v>
      </c>
      <c r="BM261" s="16">
        <v>0</v>
      </c>
      <c r="BN261" s="16">
        <v>0</v>
      </c>
      <c r="BO261" s="16">
        <v>27700</v>
      </c>
      <c r="BP261" s="16">
        <v>0</v>
      </c>
      <c r="BQ261" s="16">
        <v>0</v>
      </c>
      <c r="BR261" s="16">
        <v>0</v>
      </c>
      <c r="BS261" s="16">
        <v>0</v>
      </c>
      <c r="BT261" s="16">
        <v>0</v>
      </c>
      <c r="BU261" s="16">
        <v>0</v>
      </c>
      <c r="BV261" s="16">
        <v>0</v>
      </c>
      <c r="BW261" s="16">
        <v>0</v>
      </c>
    </row>
    <row r="262" spans="1:75" ht="18" hidden="1" customHeight="1" outlineLevel="1">
      <c r="Q262" s="5">
        <v>2016</v>
      </c>
      <c r="R262" s="5">
        <v>11</v>
      </c>
      <c r="S262" s="5" t="s">
        <v>56</v>
      </c>
      <c r="T262" s="15">
        <f t="shared" si="161"/>
        <v>3338264</v>
      </c>
      <c r="U262" s="15">
        <f t="shared" si="162"/>
        <v>3951740</v>
      </c>
      <c r="V262" s="16">
        <v>2695000</v>
      </c>
      <c r="W262" s="16">
        <v>1006740</v>
      </c>
      <c r="X262" s="16">
        <v>0</v>
      </c>
      <c r="Y262" s="16">
        <v>0</v>
      </c>
      <c r="Z262" s="16">
        <v>0</v>
      </c>
      <c r="AA262" s="16">
        <v>0</v>
      </c>
      <c r="AB262" s="16">
        <v>0</v>
      </c>
      <c r="AC262" s="16">
        <v>0</v>
      </c>
      <c r="AD262" s="16">
        <v>0</v>
      </c>
      <c r="AE262" s="16">
        <v>0</v>
      </c>
      <c r="AF262" s="16">
        <v>0</v>
      </c>
      <c r="AG262" s="16">
        <v>0</v>
      </c>
      <c r="AH262" s="16">
        <v>0</v>
      </c>
      <c r="AI262" s="16">
        <v>200000</v>
      </c>
      <c r="AJ262" s="16">
        <v>0</v>
      </c>
      <c r="AK262" s="16">
        <v>0</v>
      </c>
      <c r="AL262" s="16">
        <v>50000</v>
      </c>
      <c r="AM262" s="16">
        <v>0</v>
      </c>
      <c r="AN262" s="16">
        <v>0</v>
      </c>
      <c r="AO262" s="16">
        <v>0</v>
      </c>
      <c r="AP262" s="16">
        <v>0</v>
      </c>
      <c r="AQ262" s="16">
        <v>0</v>
      </c>
      <c r="AR262" s="16">
        <v>0</v>
      </c>
      <c r="AS262" s="16">
        <v>0</v>
      </c>
      <c r="AT262" s="16">
        <v>0</v>
      </c>
      <c r="AU262" s="16">
        <v>0</v>
      </c>
      <c r="AV262" s="16">
        <v>0</v>
      </c>
      <c r="AW262" s="16">
        <v>0</v>
      </c>
      <c r="AX262" s="16">
        <v>0</v>
      </c>
      <c r="AY262" s="16">
        <v>0</v>
      </c>
      <c r="AZ262" s="16">
        <v>0</v>
      </c>
      <c r="BA262" s="16"/>
      <c r="BB262" s="15">
        <f t="shared" si="163"/>
        <v>613476</v>
      </c>
      <c r="BC262" s="16">
        <v>0</v>
      </c>
      <c r="BD262" s="16">
        <v>189600</v>
      </c>
      <c r="BE262" s="16">
        <v>0</v>
      </c>
      <c r="BF262" s="16">
        <v>18960</v>
      </c>
      <c r="BG262" s="16">
        <v>0</v>
      </c>
      <c r="BH262" s="16">
        <v>148780</v>
      </c>
      <c r="BI262" s="16">
        <v>195300</v>
      </c>
      <c r="BJ262" s="16">
        <v>25036</v>
      </c>
      <c r="BK262" s="16">
        <v>8100</v>
      </c>
      <c r="BL262" s="16">
        <v>0</v>
      </c>
      <c r="BM262" s="16">
        <v>0</v>
      </c>
      <c r="BN262" s="16">
        <v>0</v>
      </c>
      <c r="BO262" s="16">
        <v>27700</v>
      </c>
      <c r="BP262" s="16">
        <v>0</v>
      </c>
      <c r="BQ262" s="16">
        <v>0</v>
      </c>
      <c r="BR262" s="16">
        <v>0</v>
      </c>
      <c r="BS262" s="16">
        <v>0</v>
      </c>
      <c r="BT262" s="16">
        <v>0</v>
      </c>
      <c r="BU262" s="16">
        <v>0</v>
      </c>
      <c r="BV262" s="16">
        <v>0</v>
      </c>
      <c r="BW262" s="16">
        <v>0</v>
      </c>
    </row>
    <row r="263" spans="1:75" ht="18" hidden="1" customHeight="1" outlineLevel="1">
      <c r="Q263" s="5">
        <v>2016</v>
      </c>
      <c r="R263" s="5">
        <v>10</v>
      </c>
      <c r="S263" s="5" t="s">
        <v>56</v>
      </c>
      <c r="T263" s="15">
        <f t="shared" si="161"/>
        <v>3337764</v>
      </c>
      <c r="U263" s="15">
        <f t="shared" si="162"/>
        <v>3951740</v>
      </c>
      <c r="V263" s="16">
        <v>2695000</v>
      </c>
      <c r="W263" s="16">
        <v>1006740</v>
      </c>
      <c r="X263" s="16">
        <v>0</v>
      </c>
      <c r="Y263" s="16">
        <v>0</v>
      </c>
      <c r="Z263" s="16">
        <v>0</v>
      </c>
      <c r="AA263" s="16">
        <v>0</v>
      </c>
      <c r="AB263" s="16">
        <v>0</v>
      </c>
      <c r="AC263" s="16">
        <v>0</v>
      </c>
      <c r="AD263" s="16">
        <v>0</v>
      </c>
      <c r="AE263" s="16">
        <v>0</v>
      </c>
      <c r="AF263" s="16">
        <v>0</v>
      </c>
      <c r="AG263" s="16">
        <v>0</v>
      </c>
      <c r="AH263" s="16">
        <v>0</v>
      </c>
      <c r="AI263" s="16">
        <v>200000</v>
      </c>
      <c r="AJ263" s="16">
        <v>0</v>
      </c>
      <c r="AK263" s="16">
        <v>0</v>
      </c>
      <c r="AL263" s="16">
        <v>50000</v>
      </c>
      <c r="AM263" s="16">
        <v>0</v>
      </c>
      <c r="AN263" s="16">
        <v>0</v>
      </c>
      <c r="AO263" s="16">
        <v>0</v>
      </c>
      <c r="AP263" s="16">
        <v>0</v>
      </c>
      <c r="AQ263" s="16">
        <v>0</v>
      </c>
      <c r="AR263" s="16">
        <v>0</v>
      </c>
      <c r="AS263" s="16">
        <v>0</v>
      </c>
      <c r="AT263" s="16">
        <v>0</v>
      </c>
      <c r="AU263" s="16">
        <v>0</v>
      </c>
      <c r="AV263" s="16">
        <v>0</v>
      </c>
      <c r="AW263" s="16">
        <v>0</v>
      </c>
      <c r="AX263" s="16">
        <v>0</v>
      </c>
      <c r="AY263" s="16">
        <v>0</v>
      </c>
      <c r="AZ263" s="16">
        <v>0</v>
      </c>
      <c r="BA263" s="16"/>
      <c r="BB263" s="15">
        <f t="shared" si="163"/>
        <v>613976</v>
      </c>
      <c r="BC263" s="16">
        <v>0</v>
      </c>
      <c r="BD263" s="16">
        <v>189600</v>
      </c>
      <c r="BE263" s="16">
        <v>0</v>
      </c>
      <c r="BF263" s="16">
        <v>18960</v>
      </c>
      <c r="BG263" s="16">
        <v>0</v>
      </c>
      <c r="BH263" s="16">
        <v>148780</v>
      </c>
      <c r="BI263" s="16">
        <v>195300</v>
      </c>
      <c r="BJ263" s="16">
        <v>25036</v>
      </c>
      <c r="BK263" s="16">
        <v>8100</v>
      </c>
      <c r="BL263" s="16">
        <v>0</v>
      </c>
      <c r="BM263" s="16">
        <v>0</v>
      </c>
      <c r="BN263" s="16">
        <v>0</v>
      </c>
      <c r="BO263" s="16">
        <v>27700</v>
      </c>
      <c r="BP263" s="16">
        <v>500</v>
      </c>
      <c r="BQ263" s="16">
        <v>0</v>
      </c>
      <c r="BR263" s="16">
        <v>0</v>
      </c>
      <c r="BS263" s="16">
        <v>0</v>
      </c>
      <c r="BT263" s="16">
        <v>0</v>
      </c>
      <c r="BU263" s="16">
        <v>0</v>
      </c>
      <c r="BV263" s="16">
        <v>0</v>
      </c>
      <c r="BW263" s="16">
        <v>0</v>
      </c>
    </row>
    <row r="264" spans="1:75" ht="18" hidden="1" customHeight="1" outlineLevel="1">
      <c r="Q264" s="5">
        <v>2016</v>
      </c>
      <c r="R264" s="5">
        <v>9</v>
      </c>
      <c r="S264" s="5" t="s">
        <v>56</v>
      </c>
      <c r="T264" s="15">
        <f t="shared" si="161"/>
        <v>3322934</v>
      </c>
      <c r="U264" s="15">
        <f t="shared" si="162"/>
        <v>4051740</v>
      </c>
      <c r="V264" s="16">
        <v>2695000</v>
      </c>
      <c r="W264" s="16">
        <v>1006740</v>
      </c>
      <c r="X264" s="16">
        <v>0</v>
      </c>
      <c r="Y264" s="16">
        <v>0</v>
      </c>
      <c r="Z264" s="16">
        <v>0</v>
      </c>
      <c r="AA264" s="16">
        <v>0</v>
      </c>
      <c r="AB264" s="16">
        <v>0</v>
      </c>
      <c r="AC264" s="16">
        <v>0</v>
      </c>
      <c r="AD264" s="16">
        <v>0</v>
      </c>
      <c r="AE264" s="16">
        <v>0</v>
      </c>
      <c r="AF264" s="16">
        <v>0</v>
      </c>
      <c r="AG264" s="16">
        <v>0</v>
      </c>
      <c r="AH264" s="16">
        <v>0</v>
      </c>
      <c r="AI264" s="16">
        <v>200000</v>
      </c>
      <c r="AJ264" s="16">
        <v>100000</v>
      </c>
      <c r="AK264" s="16">
        <v>0</v>
      </c>
      <c r="AL264" s="16">
        <v>50000</v>
      </c>
      <c r="AM264" s="16">
        <v>0</v>
      </c>
      <c r="AN264" s="16">
        <v>0</v>
      </c>
      <c r="AO264" s="16">
        <v>0</v>
      </c>
      <c r="AP264" s="16">
        <v>0</v>
      </c>
      <c r="AQ264" s="16">
        <v>0</v>
      </c>
      <c r="AR264" s="16">
        <v>0</v>
      </c>
      <c r="AS264" s="16">
        <v>0</v>
      </c>
      <c r="AT264" s="16">
        <v>0</v>
      </c>
      <c r="AU264" s="16">
        <v>0</v>
      </c>
      <c r="AV264" s="16">
        <v>0</v>
      </c>
      <c r="AW264" s="16">
        <v>0</v>
      </c>
      <c r="AX264" s="16">
        <v>0</v>
      </c>
      <c r="AY264" s="16">
        <v>0</v>
      </c>
      <c r="AZ264" s="16">
        <v>0</v>
      </c>
      <c r="BA264" s="16"/>
      <c r="BB264" s="15">
        <f t="shared" si="163"/>
        <v>728806</v>
      </c>
      <c r="BC264" s="16">
        <v>0</v>
      </c>
      <c r="BD264" s="16">
        <v>202950</v>
      </c>
      <c r="BE264" s="16">
        <v>0</v>
      </c>
      <c r="BF264" s="16">
        <v>20290</v>
      </c>
      <c r="BG264" s="16">
        <v>0</v>
      </c>
      <c r="BH264" s="16">
        <v>148780</v>
      </c>
      <c r="BI264" s="16">
        <v>195300</v>
      </c>
      <c r="BJ264" s="16">
        <v>25686</v>
      </c>
      <c r="BK264" s="16">
        <v>8100</v>
      </c>
      <c r="BL264" s="16">
        <v>0</v>
      </c>
      <c r="BM264" s="16">
        <v>100000</v>
      </c>
      <c r="BN264" s="16">
        <v>0</v>
      </c>
      <c r="BO264" s="16">
        <v>27700</v>
      </c>
      <c r="BP264" s="16">
        <v>0</v>
      </c>
      <c r="BQ264" s="16">
        <v>0</v>
      </c>
      <c r="BR264" s="16">
        <v>0</v>
      </c>
      <c r="BS264" s="16">
        <v>0</v>
      </c>
      <c r="BT264" s="16">
        <v>0</v>
      </c>
      <c r="BU264" s="16">
        <v>0</v>
      </c>
      <c r="BV264" s="16">
        <v>0</v>
      </c>
      <c r="BW264" s="16">
        <v>0</v>
      </c>
    </row>
    <row r="265" spans="1:75" ht="18" hidden="1" customHeight="1" outlineLevel="1">
      <c r="Q265" s="5">
        <v>2016</v>
      </c>
      <c r="R265" s="5">
        <v>8</v>
      </c>
      <c r="S265" s="5" t="s">
        <v>56</v>
      </c>
      <c r="T265" s="15">
        <f t="shared" si="161"/>
        <v>3338264</v>
      </c>
      <c r="U265" s="15">
        <f t="shared" si="162"/>
        <v>3951740</v>
      </c>
      <c r="V265" s="16">
        <v>2695000</v>
      </c>
      <c r="W265" s="16">
        <v>1006740</v>
      </c>
      <c r="X265" s="16">
        <v>0</v>
      </c>
      <c r="Y265" s="16">
        <v>0</v>
      </c>
      <c r="Z265" s="16">
        <v>0</v>
      </c>
      <c r="AA265" s="16">
        <v>0</v>
      </c>
      <c r="AB265" s="16">
        <v>0</v>
      </c>
      <c r="AC265" s="16">
        <v>0</v>
      </c>
      <c r="AD265" s="16">
        <v>0</v>
      </c>
      <c r="AE265" s="16">
        <v>0</v>
      </c>
      <c r="AF265" s="16">
        <v>0</v>
      </c>
      <c r="AG265" s="16">
        <v>0</v>
      </c>
      <c r="AH265" s="16">
        <v>0</v>
      </c>
      <c r="AI265" s="16">
        <v>200000</v>
      </c>
      <c r="AJ265" s="16">
        <v>0</v>
      </c>
      <c r="AK265" s="16">
        <v>0</v>
      </c>
      <c r="AL265" s="16">
        <v>50000</v>
      </c>
      <c r="AM265" s="16">
        <v>0</v>
      </c>
      <c r="AN265" s="16">
        <v>0</v>
      </c>
      <c r="AO265" s="16">
        <v>0</v>
      </c>
      <c r="AP265" s="16">
        <v>0</v>
      </c>
      <c r="AQ265" s="16">
        <v>0</v>
      </c>
      <c r="AR265" s="16">
        <v>0</v>
      </c>
      <c r="AS265" s="16">
        <v>0</v>
      </c>
      <c r="AT265" s="16">
        <v>0</v>
      </c>
      <c r="AU265" s="16">
        <v>0</v>
      </c>
      <c r="AV265" s="16">
        <v>0</v>
      </c>
      <c r="AW265" s="16">
        <v>0</v>
      </c>
      <c r="AX265" s="16">
        <v>0</v>
      </c>
      <c r="AY265" s="16">
        <v>0</v>
      </c>
      <c r="AZ265" s="16">
        <v>0</v>
      </c>
      <c r="BA265" s="16"/>
      <c r="BB265" s="15">
        <f t="shared" si="163"/>
        <v>613476</v>
      </c>
      <c r="BC265" s="16">
        <v>0</v>
      </c>
      <c r="BD265" s="16">
        <v>189600</v>
      </c>
      <c r="BE265" s="16">
        <v>0</v>
      </c>
      <c r="BF265" s="16">
        <v>18960</v>
      </c>
      <c r="BG265" s="16">
        <v>0</v>
      </c>
      <c r="BH265" s="16">
        <v>148780</v>
      </c>
      <c r="BI265" s="16">
        <v>195300</v>
      </c>
      <c r="BJ265" s="16">
        <v>25036</v>
      </c>
      <c r="BK265" s="16">
        <v>8100</v>
      </c>
      <c r="BL265" s="16">
        <v>0</v>
      </c>
      <c r="BM265" s="16">
        <v>0</v>
      </c>
      <c r="BN265" s="16">
        <v>0</v>
      </c>
      <c r="BO265" s="16">
        <v>27700</v>
      </c>
      <c r="BP265" s="16">
        <v>0</v>
      </c>
      <c r="BQ265" s="16">
        <v>0</v>
      </c>
      <c r="BR265" s="16">
        <v>0</v>
      </c>
      <c r="BS265" s="16">
        <v>0</v>
      </c>
      <c r="BT265" s="16">
        <v>0</v>
      </c>
      <c r="BU265" s="16">
        <v>0</v>
      </c>
      <c r="BV265" s="16">
        <v>0</v>
      </c>
      <c r="BW265" s="16">
        <v>0</v>
      </c>
    </row>
    <row r="266" spans="1:75" ht="18" hidden="1" customHeight="1" outlineLevel="1">
      <c r="Q266" s="5">
        <v>2016</v>
      </c>
      <c r="R266" s="5">
        <v>7</v>
      </c>
      <c r="S266" s="5" t="s">
        <v>56</v>
      </c>
      <c r="T266" s="15">
        <f t="shared" si="161"/>
        <v>3590514</v>
      </c>
      <c r="U266" s="15">
        <f t="shared" si="162"/>
        <v>4251740</v>
      </c>
      <c r="V266" s="16">
        <v>2695000</v>
      </c>
      <c r="W266" s="16">
        <v>1006740</v>
      </c>
      <c r="X266" s="16">
        <v>0</v>
      </c>
      <c r="Y266" s="16">
        <v>0</v>
      </c>
      <c r="Z266" s="16">
        <v>0</v>
      </c>
      <c r="AA266" s="16">
        <v>0</v>
      </c>
      <c r="AB266" s="16">
        <v>0</v>
      </c>
      <c r="AC266" s="16">
        <v>0</v>
      </c>
      <c r="AD266" s="16">
        <v>0</v>
      </c>
      <c r="AE266" s="16">
        <v>0</v>
      </c>
      <c r="AF266" s="16">
        <v>0</v>
      </c>
      <c r="AG266" s="16">
        <v>0</v>
      </c>
      <c r="AH266" s="16">
        <v>0</v>
      </c>
      <c r="AI266" s="16">
        <v>200000</v>
      </c>
      <c r="AJ266" s="16">
        <v>0</v>
      </c>
      <c r="AK266" s="16">
        <v>300000</v>
      </c>
      <c r="AL266" s="16">
        <v>50000</v>
      </c>
      <c r="AM266" s="16">
        <v>0</v>
      </c>
      <c r="AN266" s="16">
        <v>0</v>
      </c>
      <c r="AO266" s="16">
        <v>0</v>
      </c>
      <c r="AP266" s="16">
        <v>0</v>
      </c>
      <c r="AQ266" s="16">
        <v>0</v>
      </c>
      <c r="AR266" s="16">
        <v>0</v>
      </c>
      <c r="AS266" s="16">
        <v>0</v>
      </c>
      <c r="AT266" s="16">
        <v>0</v>
      </c>
      <c r="AU266" s="16">
        <v>0</v>
      </c>
      <c r="AV266" s="16">
        <v>0</v>
      </c>
      <c r="AW266" s="16">
        <v>0</v>
      </c>
      <c r="AX266" s="16">
        <v>0</v>
      </c>
      <c r="AY266" s="16">
        <v>0</v>
      </c>
      <c r="AZ266" s="16">
        <v>0</v>
      </c>
      <c r="BA266" s="16"/>
      <c r="BB266" s="15">
        <f t="shared" si="163"/>
        <v>661226</v>
      </c>
      <c r="BC266" s="16">
        <v>0</v>
      </c>
      <c r="BD266" s="16">
        <v>230790</v>
      </c>
      <c r="BE266" s="16">
        <v>0</v>
      </c>
      <c r="BF266" s="16">
        <v>23070</v>
      </c>
      <c r="BG266" s="16">
        <v>0</v>
      </c>
      <c r="BH266" s="16">
        <v>148780</v>
      </c>
      <c r="BI266" s="16">
        <v>195300</v>
      </c>
      <c r="BJ266" s="16">
        <v>26986</v>
      </c>
      <c r="BK266" s="16">
        <v>8100</v>
      </c>
      <c r="BL266" s="16">
        <v>0</v>
      </c>
      <c r="BM266" s="16">
        <v>0</v>
      </c>
      <c r="BN266" s="16">
        <v>0</v>
      </c>
      <c r="BO266" s="16">
        <v>27700</v>
      </c>
      <c r="BP266" s="16">
        <v>500</v>
      </c>
      <c r="BQ266" s="16">
        <v>0</v>
      </c>
      <c r="BR266" s="16">
        <v>0</v>
      </c>
      <c r="BS266" s="16">
        <v>0</v>
      </c>
      <c r="BT266" s="16">
        <v>0</v>
      </c>
      <c r="BU266" s="16">
        <v>0</v>
      </c>
      <c r="BV266" s="16">
        <v>0</v>
      </c>
      <c r="BW266" s="16">
        <v>0</v>
      </c>
    </row>
    <row r="267" spans="1:75" ht="18" hidden="1" customHeight="1" outlineLevel="1">
      <c r="Q267" s="5">
        <v>2016</v>
      </c>
      <c r="R267" s="5">
        <v>6</v>
      </c>
      <c r="S267" s="5" t="s">
        <v>56</v>
      </c>
      <c r="T267" s="15">
        <f t="shared" si="161"/>
        <v>3362614</v>
      </c>
      <c r="U267" s="15">
        <f t="shared" si="162"/>
        <v>3951740</v>
      </c>
      <c r="V267" s="16">
        <v>2695000</v>
      </c>
      <c r="W267" s="16">
        <v>1006740</v>
      </c>
      <c r="X267" s="16">
        <v>0</v>
      </c>
      <c r="Y267" s="16">
        <v>0</v>
      </c>
      <c r="Z267" s="16">
        <v>0</v>
      </c>
      <c r="AA267" s="16">
        <v>0</v>
      </c>
      <c r="AB267" s="16">
        <v>0</v>
      </c>
      <c r="AC267" s="16">
        <v>0</v>
      </c>
      <c r="AD267" s="16">
        <v>0</v>
      </c>
      <c r="AE267" s="16">
        <v>0</v>
      </c>
      <c r="AF267" s="16">
        <v>0</v>
      </c>
      <c r="AG267" s="16">
        <v>0</v>
      </c>
      <c r="AH267" s="16">
        <v>0</v>
      </c>
      <c r="AI267" s="16">
        <v>200000</v>
      </c>
      <c r="AJ267" s="16">
        <v>0</v>
      </c>
      <c r="AK267" s="16">
        <v>0</v>
      </c>
      <c r="AL267" s="16">
        <v>50000</v>
      </c>
      <c r="AM267" s="16">
        <v>0</v>
      </c>
      <c r="AN267" s="16">
        <v>0</v>
      </c>
      <c r="AO267" s="16">
        <v>0</v>
      </c>
      <c r="AP267" s="16">
        <v>0</v>
      </c>
      <c r="AQ267" s="16">
        <v>0</v>
      </c>
      <c r="AR267" s="16">
        <v>0</v>
      </c>
      <c r="AS267" s="16">
        <v>0</v>
      </c>
      <c r="AT267" s="16">
        <v>0</v>
      </c>
      <c r="AU267" s="16">
        <v>0</v>
      </c>
      <c r="AV267" s="16">
        <v>0</v>
      </c>
      <c r="AW267" s="16">
        <v>0</v>
      </c>
      <c r="AX267" s="16">
        <v>0</v>
      </c>
      <c r="AY267" s="16">
        <v>0</v>
      </c>
      <c r="AZ267" s="16">
        <v>0</v>
      </c>
      <c r="BA267" s="16"/>
      <c r="BB267" s="15">
        <f t="shared" si="163"/>
        <v>589126</v>
      </c>
      <c r="BC267" s="16">
        <v>0</v>
      </c>
      <c r="BD267" s="16">
        <v>189600</v>
      </c>
      <c r="BE267" s="16">
        <v>0</v>
      </c>
      <c r="BF267" s="16">
        <v>18960</v>
      </c>
      <c r="BG267" s="16">
        <v>0</v>
      </c>
      <c r="BH267" s="16">
        <v>148780</v>
      </c>
      <c r="BI267" s="16">
        <v>170950</v>
      </c>
      <c r="BJ267" s="16">
        <v>25036</v>
      </c>
      <c r="BK267" s="16">
        <v>8100</v>
      </c>
      <c r="BL267" s="16">
        <v>0</v>
      </c>
      <c r="BM267" s="16">
        <v>0</v>
      </c>
      <c r="BN267" s="16">
        <v>0</v>
      </c>
      <c r="BO267" s="16">
        <v>27700</v>
      </c>
      <c r="BP267" s="16">
        <v>0</v>
      </c>
      <c r="BQ267" s="16">
        <v>0</v>
      </c>
      <c r="BR267" s="16">
        <v>0</v>
      </c>
      <c r="BS267" s="16">
        <v>0</v>
      </c>
      <c r="BT267" s="16">
        <v>0</v>
      </c>
      <c r="BU267" s="16">
        <v>0</v>
      </c>
      <c r="BV267" s="16">
        <v>0</v>
      </c>
      <c r="BW267" s="16">
        <v>0</v>
      </c>
    </row>
    <row r="268" spans="1:75" ht="18" hidden="1" customHeight="1" outlineLevel="1">
      <c r="Q268" s="5">
        <v>2016</v>
      </c>
      <c r="R268" s="5">
        <v>5</v>
      </c>
      <c r="S268" s="5" t="s">
        <v>28</v>
      </c>
      <c r="T268" s="15">
        <f t="shared" si="161"/>
        <v>4995029</v>
      </c>
      <c r="U268" s="15">
        <f t="shared" si="162"/>
        <v>5969098</v>
      </c>
      <c r="V268" s="16">
        <v>0</v>
      </c>
      <c r="W268" s="16">
        <v>0</v>
      </c>
      <c r="X268" s="16">
        <v>0</v>
      </c>
      <c r="Y268" s="16">
        <v>0</v>
      </c>
      <c r="Z268" s="16">
        <v>0</v>
      </c>
      <c r="AA268" s="16">
        <v>0</v>
      </c>
      <c r="AB268" s="16">
        <v>0</v>
      </c>
      <c r="AC268" s="16">
        <v>0</v>
      </c>
      <c r="AD268" s="16">
        <v>5969098</v>
      </c>
      <c r="AE268" s="16">
        <v>0</v>
      </c>
      <c r="AF268" s="16">
        <v>0</v>
      </c>
      <c r="AG268" s="16">
        <v>0</v>
      </c>
      <c r="AH268" s="16">
        <v>0</v>
      </c>
      <c r="AI268" s="16">
        <v>0</v>
      </c>
      <c r="AJ268" s="16">
        <v>0</v>
      </c>
      <c r="AK268" s="16">
        <v>0</v>
      </c>
      <c r="AL268" s="16">
        <v>0</v>
      </c>
      <c r="AM268" s="16">
        <v>0</v>
      </c>
      <c r="AN268" s="16">
        <v>0</v>
      </c>
      <c r="AO268" s="16">
        <v>0</v>
      </c>
      <c r="AP268" s="16">
        <v>0</v>
      </c>
      <c r="AQ268" s="16">
        <v>0</v>
      </c>
      <c r="AR268" s="16">
        <v>0</v>
      </c>
      <c r="AS268" s="16">
        <v>0</v>
      </c>
      <c r="AT268" s="16">
        <v>0</v>
      </c>
      <c r="AU268" s="16">
        <v>0</v>
      </c>
      <c r="AV268" s="16">
        <v>0</v>
      </c>
      <c r="AW268" s="16">
        <v>0</v>
      </c>
      <c r="AX268" s="16">
        <v>0</v>
      </c>
      <c r="AY268" s="16">
        <v>0</v>
      </c>
      <c r="AZ268" s="16">
        <v>0</v>
      </c>
      <c r="BA268" s="16"/>
      <c r="BB268" s="15">
        <f t="shared" si="163"/>
        <v>974069</v>
      </c>
      <c r="BC268" s="16">
        <v>0</v>
      </c>
      <c r="BD268" s="16">
        <v>850250</v>
      </c>
      <c r="BE268" s="16">
        <v>0</v>
      </c>
      <c r="BF268" s="16">
        <v>85020</v>
      </c>
      <c r="BG268" s="16">
        <v>0</v>
      </c>
      <c r="BH268" s="16">
        <v>0</v>
      </c>
      <c r="BI268" s="16">
        <v>0</v>
      </c>
      <c r="BJ268" s="16">
        <v>38799</v>
      </c>
      <c r="BK268" s="16">
        <v>0</v>
      </c>
      <c r="BL268" s="16">
        <v>0</v>
      </c>
      <c r="BM268" s="16">
        <v>0</v>
      </c>
      <c r="BN268" s="16">
        <v>0</v>
      </c>
      <c r="BO268" s="16">
        <v>0</v>
      </c>
      <c r="BP268" s="16">
        <v>0</v>
      </c>
      <c r="BQ268" s="16">
        <v>0</v>
      </c>
      <c r="BR268" s="16">
        <v>0</v>
      </c>
      <c r="BS268" s="16">
        <v>0</v>
      </c>
      <c r="BT268" s="16">
        <v>0</v>
      </c>
      <c r="BU268" s="16">
        <v>0</v>
      </c>
      <c r="BV268" s="16">
        <v>0</v>
      </c>
      <c r="BW268" s="16">
        <v>0</v>
      </c>
    </row>
    <row r="269" spans="1:75" ht="18" hidden="1" customHeight="1" outlineLevel="1">
      <c r="Q269" s="5">
        <v>2016</v>
      </c>
      <c r="R269" s="5">
        <v>5</v>
      </c>
      <c r="S269" s="5" t="s">
        <v>56</v>
      </c>
      <c r="T269" s="15">
        <f t="shared" si="161"/>
        <v>3337929</v>
      </c>
      <c r="U269" s="15">
        <f t="shared" si="162"/>
        <v>4101740</v>
      </c>
      <c r="V269" s="16">
        <v>2695000</v>
      </c>
      <c r="W269" s="16">
        <v>1006740</v>
      </c>
      <c r="X269" s="16">
        <v>0</v>
      </c>
      <c r="Y269" s="16">
        <v>0</v>
      </c>
      <c r="Z269" s="16">
        <v>0</v>
      </c>
      <c r="AA269" s="16">
        <v>0</v>
      </c>
      <c r="AB269" s="16">
        <v>0</v>
      </c>
      <c r="AC269" s="16">
        <v>0</v>
      </c>
      <c r="AD269" s="16">
        <v>0</v>
      </c>
      <c r="AE269" s="16">
        <v>0</v>
      </c>
      <c r="AF269" s="16">
        <v>0</v>
      </c>
      <c r="AG269" s="16">
        <v>0</v>
      </c>
      <c r="AH269" s="16">
        <v>0</v>
      </c>
      <c r="AI269" s="16">
        <v>200000</v>
      </c>
      <c r="AJ269" s="16">
        <v>150000</v>
      </c>
      <c r="AK269" s="16">
        <v>0</v>
      </c>
      <c r="AL269" s="16">
        <v>50000</v>
      </c>
      <c r="AM269" s="16">
        <v>0</v>
      </c>
      <c r="AN269" s="16">
        <v>0</v>
      </c>
      <c r="AO269" s="16">
        <v>0</v>
      </c>
      <c r="AP269" s="16">
        <v>0</v>
      </c>
      <c r="AQ269" s="16">
        <v>0</v>
      </c>
      <c r="AR269" s="16">
        <v>0</v>
      </c>
      <c r="AS269" s="16">
        <v>0</v>
      </c>
      <c r="AT269" s="16">
        <v>0</v>
      </c>
      <c r="AU269" s="16">
        <v>0</v>
      </c>
      <c r="AV269" s="16">
        <v>0</v>
      </c>
      <c r="AW269" s="16">
        <v>0</v>
      </c>
      <c r="AX269" s="16">
        <v>0</v>
      </c>
      <c r="AY269" s="16">
        <v>0</v>
      </c>
      <c r="AZ269" s="16">
        <v>0</v>
      </c>
      <c r="BA269" s="16"/>
      <c r="BB269" s="15">
        <f t="shared" si="163"/>
        <v>763811</v>
      </c>
      <c r="BC269" s="16">
        <v>0</v>
      </c>
      <c r="BD269" s="16">
        <v>211160</v>
      </c>
      <c r="BE269" s="16">
        <v>0</v>
      </c>
      <c r="BF269" s="16">
        <v>21110</v>
      </c>
      <c r="BG269" s="16">
        <v>0</v>
      </c>
      <c r="BH269" s="16">
        <v>148780</v>
      </c>
      <c r="BI269" s="16">
        <v>170950</v>
      </c>
      <c r="BJ269" s="16">
        <v>26011</v>
      </c>
      <c r="BK269" s="16">
        <v>8100</v>
      </c>
      <c r="BL269" s="16">
        <v>0</v>
      </c>
      <c r="BM269" s="16">
        <v>150000</v>
      </c>
      <c r="BN269" s="16">
        <v>0</v>
      </c>
      <c r="BO269" s="16">
        <v>27700</v>
      </c>
      <c r="BP269" s="16">
        <v>0</v>
      </c>
      <c r="BQ269" s="16">
        <v>0</v>
      </c>
      <c r="BR269" s="16">
        <v>0</v>
      </c>
      <c r="BS269" s="16">
        <v>0</v>
      </c>
      <c r="BT269" s="16">
        <v>0</v>
      </c>
      <c r="BU269" s="16">
        <v>0</v>
      </c>
      <c r="BV269" s="16">
        <v>0</v>
      </c>
      <c r="BW269" s="16">
        <v>0</v>
      </c>
    </row>
    <row r="270" spans="1:75" ht="18" hidden="1" customHeight="1" outlineLevel="1">
      <c r="Q270" s="5">
        <v>2016</v>
      </c>
      <c r="R270" s="5">
        <v>4</v>
      </c>
      <c r="S270" s="5" t="s">
        <v>56</v>
      </c>
      <c r="T270" s="15">
        <f t="shared" si="161"/>
        <v>3330560</v>
      </c>
      <c r="U270" s="15">
        <f t="shared" si="162"/>
        <v>3951740</v>
      </c>
      <c r="V270" s="16">
        <v>2695000</v>
      </c>
      <c r="W270" s="16">
        <v>1006740</v>
      </c>
      <c r="X270" s="16">
        <v>0</v>
      </c>
      <c r="Y270" s="16">
        <v>0</v>
      </c>
      <c r="Z270" s="16">
        <v>0</v>
      </c>
      <c r="AA270" s="16">
        <v>0</v>
      </c>
      <c r="AB270" s="16">
        <v>0</v>
      </c>
      <c r="AC270" s="16">
        <v>0</v>
      </c>
      <c r="AD270" s="16">
        <v>0</v>
      </c>
      <c r="AE270" s="16">
        <v>0</v>
      </c>
      <c r="AF270" s="16">
        <v>0</v>
      </c>
      <c r="AG270" s="16">
        <v>0</v>
      </c>
      <c r="AH270" s="16">
        <v>0</v>
      </c>
      <c r="AI270" s="16">
        <v>200000</v>
      </c>
      <c r="AJ270" s="16">
        <v>0</v>
      </c>
      <c r="AK270" s="16">
        <v>0</v>
      </c>
      <c r="AL270" s="16">
        <v>50000</v>
      </c>
      <c r="AM270" s="16">
        <v>0</v>
      </c>
      <c r="AN270" s="16">
        <v>0</v>
      </c>
      <c r="AO270" s="16">
        <v>0</v>
      </c>
      <c r="AP270" s="16">
        <v>0</v>
      </c>
      <c r="AQ270" s="16">
        <v>0</v>
      </c>
      <c r="AR270" s="16">
        <v>0</v>
      </c>
      <c r="AS270" s="16">
        <v>0</v>
      </c>
      <c r="AT270" s="16">
        <v>0</v>
      </c>
      <c r="AU270" s="16">
        <v>0</v>
      </c>
      <c r="AV270" s="16">
        <v>0</v>
      </c>
      <c r="AW270" s="16">
        <v>0</v>
      </c>
      <c r="AX270" s="16">
        <v>0</v>
      </c>
      <c r="AY270" s="16">
        <v>0</v>
      </c>
      <c r="AZ270" s="16">
        <v>0</v>
      </c>
      <c r="BA270" s="16"/>
      <c r="BB270" s="15">
        <f t="shared" si="163"/>
        <v>621180</v>
      </c>
      <c r="BC270" s="16">
        <v>0</v>
      </c>
      <c r="BD270" s="16">
        <v>189600</v>
      </c>
      <c r="BE270" s="16">
        <v>0</v>
      </c>
      <c r="BF270" s="16">
        <v>18960</v>
      </c>
      <c r="BG270" s="16">
        <v>0</v>
      </c>
      <c r="BH270" s="16">
        <v>148780</v>
      </c>
      <c r="BI270" s="16">
        <v>170950</v>
      </c>
      <c r="BJ270" s="16">
        <v>25036</v>
      </c>
      <c r="BK270" s="16">
        <v>8100</v>
      </c>
      <c r="BL270" s="16">
        <v>0</v>
      </c>
      <c r="BM270" s="16">
        <v>0</v>
      </c>
      <c r="BN270" s="16">
        <v>31500</v>
      </c>
      <c r="BO270" s="16">
        <v>27750</v>
      </c>
      <c r="BP270" s="16">
        <v>500</v>
      </c>
      <c r="BQ270" s="16">
        <v>4</v>
      </c>
      <c r="BR270" s="16">
        <v>0</v>
      </c>
      <c r="BS270" s="16">
        <v>0</v>
      </c>
      <c r="BT270" s="16">
        <v>0</v>
      </c>
      <c r="BU270" s="16">
        <v>0</v>
      </c>
      <c r="BV270" s="16">
        <v>0</v>
      </c>
      <c r="BW270" s="16">
        <v>0</v>
      </c>
    </row>
    <row r="271" spans="1:75" ht="18" hidden="1" customHeight="1" outlineLevel="1">
      <c r="Q271" s="5">
        <v>2016</v>
      </c>
      <c r="R271" s="5">
        <v>3</v>
      </c>
      <c r="S271" s="5" t="s">
        <v>56</v>
      </c>
      <c r="T271" s="15">
        <f t="shared" si="161"/>
        <v>3382524</v>
      </c>
      <c r="U271" s="15">
        <f t="shared" si="162"/>
        <v>3951740</v>
      </c>
      <c r="V271" s="16">
        <v>2695000</v>
      </c>
      <c r="W271" s="16">
        <v>1006740</v>
      </c>
      <c r="X271" s="16">
        <v>0</v>
      </c>
      <c r="Y271" s="16">
        <v>0</v>
      </c>
      <c r="Z271" s="16">
        <v>0</v>
      </c>
      <c r="AA271" s="16">
        <v>0</v>
      </c>
      <c r="AB271" s="16">
        <v>0</v>
      </c>
      <c r="AC271" s="16">
        <v>0</v>
      </c>
      <c r="AD271" s="16">
        <v>0</v>
      </c>
      <c r="AE271" s="16">
        <v>0</v>
      </c>
      <c r="AF271" s="16">
        <v>0</v>
      </c>
      <c r="AG271" s="16">
        <v>0</v>
      </c>
      <c r="AH271" s="16">
        <v>0</v>
      </c>
      <c r="AI271" s="16">
        <v>200000</v>
      </c>
      <c r="AJ271" s="16">
        <v>0</v>
      </c>
      <c r="AK271" s="16">
        <v>0</v>
      </c>
      <c r="AL271" s="16">
        <v>50000</v>
      </c>
      <c r="AM271" s="16">
        <v>0</v>
      </c>
      <c r="AN271" s="16">
        <v>0</v>
      </c>
      <c r="AO271" s="16">
        <v>0</v>
      </c>
      <c r="AP271" s="16">
        <v>0</v>
      </c>
      <c r="AQ271" s="16">
        <v>0</v>
      </c>
      <c r="AR271" s="16">
        <v>0</v>
      </c>
      <c r="AS271" s="16">
        <v>0</v>
      </c>
      <c r="AT271" s="16">
        <v>0</v>
      </c>
      <c r="AU271" s="16">
        <v>0</v>
      </c>
      <c r="AV271" s="16">
        <v>0</v>
      </c>
      <c r="AW271" s="16">
        <v>0</v>
      </c>
      <c r="AX271" s="16">
        <v>0</v>
      </c>
      <c r="AY271" s="16">
        <v>0</v>
      </c>
      <c r="AZ271" s="16">
        <v>0</v>
      </c>
      <c r="BA271" s="16"/>
      <c r="BB271" s="15">
        <f t="shared" si="163"/>
        <v>569216</v>
      </c>
      <c r="BC271" s="16">
        <v>0</v>
      </c>
      <c r="BD271" s="16">
        <v>189600</v>
      </c>
      <c r="BE271" s="16">
        <v>0</v>
      </c>
      <c r="BF271" s="16">
        <v>18960</v>
      </c>
      <c r="BG271" s="16">
        <v>0</v>
      </c>
      <c r="BH271" s="16">
        <v>123870</v>
      </c>
      <c r="BI271" s="16">
        <v>170950</v>
      </c>
      <c r="BJ271" s="16">
        <v>25036</v>
      </c>
      <c r="BK271" s="16">
        <v>8100</v>
      </c>
      <c r="BL271" s="16">
        <v>0</v>
      </c>
      <c r="BM271" s="16">
        <v>0</v>
      </c>
      <c r="BN271" s="16">
        <v>32700</v>
      </c>
      <c r="BO271" s="16">
        <v>0</v>
      </c>
      <c r="BP271" s="16">
        <v>0</v>
      </c>
      <c r="BQ271" s="16">
        <v>0</v>
      </c>
      <c r="BR271" s="16">
        <v>0</v>
      </c>
      <c r="BS271" s="16">
        <v>0</v>
      </c>
      <c r="BT271" s="16">
        <v>0</v>
      </c>
      <c r="BU271" s="16">
        <v>0</v>
      </c>
      <c r="BV271" s="16">
        <v>0</v>
      </c>
      <c r="BW271" s="16">
        <v>0</v>
      </c>
    </row>
    <row r="272" spans="1:75" ht="18" hidden="1" customHeight="1" outlineLevel="1">
      <c r="Q272" s="5">
        <v>2016</v>
      </c>
      <c r="R272" s="5">
        <v>2</v>
      </c>
      <c r="S272" s="5" t="s">
        <v>56</v>
      </c>
      <c r="T272" s="15">
        <f t="shared" si="161"/>
        <v>4494554</v>
      </c>
      <c r="U272" s="15">
        <f t="shared" si="162"/>
        <v>4051740</v>
      </c>
      <c r="V272" s="16">
        <v>2695000</v>
      </c>
      <c r="W272" s="16">
        <v>1006740</v>
      </c>
      <c r="X272" s="16">
        <v>0</v>
      </c>
      <c r="Y272" s="16">
        <v>0</v>
      </c>
      <c r="Z272" s="16">
        <v>0</v>
      </c>
      <c r="AA272" s="16">
        <v>0</v>
      </c>
      <c r="AB272" s="16">
        <v>0</v>
      </c>
      <c r="AC272" s="16">
        <v>0</v>
      </c>
      <c r="AD272" s="16">
        <v>0</v>
      </c>
      <c r="AE272" s="16">
        <v>0</v>
      </c>
      <c r="AF272" s="16">
        <v>0</v>
      </c>
      <c r="AG272" s="16">
        <v>0</v>
      </c>
      <c r="AH272" s="16">
        <v>0</v>
      </c>
      <c r="AI272" s="16">
        <v>200000</v>
      </c>
      <c r="AJ272" s="16">
        <v>100000</v>
      </c>
      <c r="AK272" s="16">
        <v>0</v>
      </c>
      <c r="AL272" s="16">
        <v>50000</v>
      </c>
      <c r="AM272" s="16">
        <v>0</v>
      </c>
      <c r="AN272" s="16">
        <v>0</v>
      </c>
      <c r="AO272" s="16">
        <v>0</v>
      </c>
      <c r="AP272" s="16">
        <v>0</v>
      </c>
      <c r="AQ272" s="16">
        <v>0</v>
      </c>
      <c r="AR272" s="16">
        <v>0</v>
      </c>
      <c r="AS272" s="16">
        <v>0</v>
      </c>
      <c r="AT272" s="16">
        <v>0</v>
      </c>
      <c r="AU272" s="16">
        <v>0</v>
      </c>
      <c r="AV272" s="16">
        <v>0</v>
      </c>
      <c r="AW272" s="16">
        <v>0</v>
      </c>
      <c r="AX272" s="16">
        <v>0</v>
      </c>
      <c r="AY272" s="16">
        <v>0</v>
      </c>
      <c r="AZ272" s="16">
        <v>0</v>
      </c>
      <c r="BA272" s="16"/>
      <c r="BB272" s="15">
        <f t="shared" si="163"/>
        <v>-442814</v>
      </c>
      <c r="BC272" s="16">
        <v>-1159400</v>
      </c>
      <c r="BD272" s="16">
        <v>202950</v>
      </c>
      <c r="BE272" s="16">
        <v>0</v>
      </c>
      <c r="BF272" s="16">
        <v>20290</v>
      </c>
      <c r="BG272" s="16">
        <v>0</v>
      </c>
      <c r="BH272" s="16">
        <v>123870</v>
      </c>
      <c r="BI272" s="16">
        <v>170950</v>
      </c>
      <c r="BJ272" s="16">
        <v>25686</v>
      </c>
      <c r="BK272" s="16">
        <v>8100</v>
      </c>
      <c r="BL272" s="16">
        <v>0</v>
      </c>
      <c r="BM272" s="16">
        <v>100000</v>
      </c>
      <c r="BN272" s="16">
        <v>60700</v>
      </c>
      <c r="BO272" s="16">
        <v>0</v>
      </c>
      <c r="BP272" s="16">
        <v>4040</v>
      </c>
      <c r="BQ272" s="16">
        <v>0</v>
      </c>
      <c r="BR272" s="16">
        <v>0</v>
      </c>
      <c r="BS272" s="16">
        <v>0</v>
      </c>
      <c r="BT272" s="16">
        <v>0</v>
      </c>
      <c r="BU272" s="16">
        <v>0</v>
      </c>
      <c r="BV272" s="16">
        <v>0</v>
      </c>
      <c r="BW272" s="16">
        <v>0</v>
      </c>
    </row>
    <row r="273" spans="1:75" ht="18" hidden="1" customHeight="1" outlineLevel="1">
      <c r="Q273" s="5">
        <v>2016</v>
      </c>
      <c r="R273" s="5">
        <v>1</v>
      </c>
      <c r="S273" s="5" t="s">
        <v>56</v>
      </c>
      <c r="T273" s="15">
        <f t="shared" si="161"/>
        <v>3347724</v>
      </c>
      <c r="U273" s="15">
        <f t="shared" si="162"/>
        <v>3951740</v>
      </c>
      <c r="V273" s="16">
        <v>2695000</v>
      </c>
      <c r="W273" s="16">
        <v>1006740</v>
      </c>
      <c r="X273" s="16">
        <v>0</v>
      </c>
      <c r="Y273" s="16">
        <v>0</v>
      </c>
      <c r="Z273" s="16">
        <v>0</v>
      </c>
      <c r="AA273" s="16">
        <v>0</v>
      </c>
      <c r="AB273" s="16">
        <v>0</v>
      </c>
      <c r="AC273" s="16">
        <v>0</v>
      </c>
      <c r="AD273" s="16">
        <v>0</v>
      </c>
      <c r="AE273" s="16">
        <v>0</v>
      </c>
      <c r="AF273" s="16">
        <v>0</v>
      </c>
      <c r="AG273" s="16">
        <v>0</v>
      </c>
      <c r="AH273" s="16">
        <v>0</v>
      </c>
      <c r="AI273" s="16">
        <v>200000</v>
      </c>
      <c r="AJ273" s="16">
        <v>0</v>
      </c>
      <c r="AK273" s="16">
        <v>0</v>
      </c>
      <c r="AL273" s="16">
        <v>50000</v>
      </c>
      <c r="AM273" s="16">
        <v>0</v>
      </c>
      <c r="AN273" s="16">
        <v>0</v>
      </c>
      <c r="AO273" s="16">
        <v>0</v>
      </c>
      <c r="AP273" s="16">
        <v>0</v>
      </c>
      <c r="AQ273" s="16">
        <v>0</v>
      </c>
      <c r="AR273" s="16">
        <v>0</v>
      </c>
      <c r="AS273" s="16">
        <v>0</v>
      </c>
      <c r="AT273" s="16">
        <v>0</v>
      </c>
      <c r="AU273" s="16">
        <v>0</v>
      </c>
      <c r="AV273" s="16">
        <v>0</v>
      </c>
      <c r="AW273" s="16">
        <v>0</v>
      </c>
      <c r="AX273" s="16">
        <v>0</v>
      </c>
      <c r="AY273" s="16">
        <v>0</v>
      </c>
      <c r="AZ273" s="16">
        <v>0</v>
      </c>
      <c r="BA273" s="16"/>
      <c r="BB273" s="15">
        <f t="shared" si="163"/>
        <v>604016</v>
      </c>
      <c r="BC273" s="16">
        <v>0</v>
      </c>
      <c r="BD273" s="16">
        <v>189600</v>
      </c>
      <c r="BE273" s="16">
        <v>0</v>
      </c>
      <c r="BF273" s="16">
        <v>18960</v>
      </c>
      <c r="BG273" s="16">
        <v>0</v>
      </c>
      <c r="BH273" s="16">
        <v>123870</v>
      </c>
      <c r="BI273" s="16">
        <v>170950</v>
      </c>
      <c r="BJ273" s="16">
        <v>25036</v>
      </c>
      <c r="BK273" s="16">
        <v>8100</v>
      </c>
      <c r="BL273" s="16">
        <v>0</v>
      </c>
      <c r="BM273" s="16">
        <v>0</v>
      </c>
      <c r="BN273" s="16">
        <v>67500</v>
      </c>
      <c r="BO273" s="16">
        <v>0</v>
      </c>
      <c r="BP273" s="16">
        <v>0</v>
      </c>
      <c r="BQ273" s="16">
        <v>0</v>
      </c>
      <c r="BR273" s="16">
        <v>0</v>
      </c>
      <c r="BS273" s="16">
        <v>0</v>
      </c>
      <c r="BT273" s="16">
        <v>0</v>
      </c>
      <c r="BU273" s="16">
        <v>0</v>
      </c>
      <c r="BV273" s="16">
        <v>0</v>
      </c>
      <c r="BW273" s="16">
        <v>0</v>
      </c>
    </row>
    <row r="274" spans="1:75" s="1" customFormat="1" ht="18" customHeight="1" collapsed="1">
      <c r="A274" s="10"/>
      <c r="B274" s="18"/>
      <c r="C274" s="19"/>
      <c r="D274" s="18"/>
      <c r="E274" s="19"/>
      <c r="F274" s="19"/>
      <c r="G274" s="19"/>
      <c r="H274" s="19"/>
      <c r="I274" s="19"/>
      <c r="J274" s="20"/>
      <c r="K274" s="19"/>
      <c r="L274" s="19"/>
      <c r="M274" s="19"/>
      <c r="N274" s="19"/>
      <c r="O274" s="21"/>
      <c r="P274" s="22"/>
      <c r="Q274" s="628" t="s">
        <v>63</v>
      </c>
      <c r="R274" s="628"/>
      <c r="S274" s="628"/>
      <c r="T274" s="23">
        <f t="shared" ref="T274:AZ274" si="164">SUMIF($Q$2:$Q$793,$Q275,T$2:T$793)</f>
        <v>48936160</v>
      </c>
      <c r="U274" s="23">
        <f t="shared" si="164"/>
        <v>56164173</v>
      </c>
      <c r="V274" s="23">
        <f t="shared" si="164"/>
        <v>32340000</v>
      </c>
      <c r="W274" s="23">
        <f t="shared" si="164"/>
        <v>12080880</v>
      </c>
      <c r="X274" s="23">
        <f t="shared" si="164"/>
        <v>0</v>
      </c>
      <c r="Y274" s="23">
        <f t="shared" si="164"/>
        <v>0</v>
      </c>
      <c r="Z274" s="23">
        <f t="shared" si="164"/>
        <v>0</v>
      </c>
      <c r="AA274" s="23">
        <f t="shared" si="164"/>
        <v>0</v>
      </c>
      <c r="AB274" s="23">
        <f t="shared" si="164"/>
        <v>0</v>
      </c>
      <c r="AC274" s="23">
        <f t="shared" si="164"/>
        <v>0</v>
      </c>
      <c r="AD274" s="23">
        <f t="shared" si="164"/>
        <v>6703293</v>
      </c>
      <c r="AE274" s="23">
        <f t="shared" si="164"/>
        <v>1100000</v>
      </c>
      <c r="AF274" s="23">
        <f t="shared" si="164"/>
        <v>0</v>
      </c>
      <c r="AG274" s="23">
        <f t="shared" si="164"/>
        <v>0</v>
      </c>
      <c r="AH274" s="23">
        <f t="shared" si="164"/>
        <v>0</v>
      </c>
      <c r="AI274" s="23">
        <f t="shared" si="164"/>
        <v>2400000</v>
      </c>
      <c r="AJ274" s="23">
        <f t="shared" si="164"/>
        <v>350000</v>
      </c>
      <c r="AK274" s="23">
        <f t="shared" si="164"/>
        <v>300000</v>
      </c>
      <c r="AL274" s="23">
        <f t="shared" si="164"/>
        <v>600000</v>
      </c>
      <c r="AM274" s="23">
        <f t="shared" si="164"/>
        <v>0</v>
      </c>
      <c r="AN274" s="23">
        <f t="shared" si="164"/>
        <v>0</v>
      </c>
      <c r="AO274" s="23">
        <f t="shared" si="164"/>
        <v>50000</v>
      </c>
      <c r="AP274" s="23">
        <f t="shared" si="164"/>
        <v>150000</v>
      </c>
      <c r="AQ274" s="23">
        <f t="shared" si="164"/>
        <v>90000</v>
      </c>
      <c r="AR274" s="23">
        <f t="shared" si="164"/>
        <v>0</v>
      </c>
      <c r="AS274" s="23">
        <f t="shared" si="164"/>
        <v>0</v>
      </c>
      <c r="AT274" s="23">
        <f t="shared" si="164"/>
        <v>0</v>
      </c>
      <c r="AU274" s="23">
        <f t="shared" si="164"/>
        <v>0</v>
      </c>
      <c r="AV274" s="23">
        <f t="shared" si="164"/>
        <v>0</v>
      </c>
      <c r="AW274" s="23">
        <f t="shared" si="164"/>
        <v>0</v>
      </c>
      <c r="AX274" s="23">
        <f t="shared" si="164"/>
        <v>0</v>
      </c>
      <c r="AY274" s="23">
        <f t="shared" si="164"/>
        <v>0</v>
      </c>
      <c r="AZ274" s="23">
        <f t="shared" si="164"/>
        <v>0</v>
      </c>
      <c r="BA274" s="23"/>
      <c r="BB274" s="23">
        <f t="shared" ref="BB274:BW274" si="165">SUMIF($Q$2:$Q$793,$Q275,BB$2:BB$793)</f>
        <v>7228013</v>
      </c>
      <c r="BC274" s="23">
        <f t="shared" si="165"/>
        <v>-957550</v>
      </c>
      <c r="BD274" s="23">
        <f t="shared" si="165"/>
        <v>3427920</v>
      </c>
      <c r="BE274" s="23">
        <f t="shared" si="165"/>
        <v>0</v>
      </c>
      <c r="BF274" s="23">
        <f t="shared" si="165"/>
        <v>342740</v>
      </c>
      <c r="BG274" s="23">
        <f t="shared" si="165"/>
        <v>0</v>
      </c>
      <c r="BH274" s="23">
        <f t="shared" si="165"/>
        <v>1493790</v>
      </c>
      <c r="BI274" s="23">
        <f t="shared" si="165"/>
        <v>2100300</v>
      </c>
      <c r="BJ274" s="23">
        <f t="shared" si="165"/>
        <v>355963</v>
      </c>
      <c r="BK274" s="23">
        <f t="shared" si="165"/>
        <v>97200</v>
      </c>
      <c r="BL274" s="23">
        <f t="shared" si="165"/>
        <v>0</v>
      </c>
      <c r="BM274" s="23">
        <f t="shared" si="165"/>
        <v>350000</v>
      </c>
      <c r="BN274" s="23">
        <f t="shared" si="165"/>
        <v>73500</v>
      </c>
      <c r="BO274" s="23">
        <f t="shared" si="165"/>
        <v>-70400</v>
      </c>
      <c r="BP274" s="23">
        <f t="shared" si="165"/>
        <v>6550</v>
      </c>
      <c r="BQ274" s="23">
        <f t="shared" si="165"/>
        <v>0</v>
      </c>
      <c r="BR274" s="23">
        <f t="shared" si="165"/>
        <v>0</v>
      </c>
      <c r="BS274" s="23">
        <f t="shared" si="165"/>
        <v>8000</v>
      </c>
      <c r="BT274" s="23">
        <f t="shared" si="165"/>
        <v>0</v>
      </c>
      <c r="BU274" s="23">
        <f t="shared" si="165"/>
        <v>0</v>
      </c>
      <c r="BV274" s="23">
        <f t="shared" si="165"/>
        <v>0</v>
      </c>
      <c r="BW274" s="23">
        <f t="shared" si="165"/>
        <v>0</v>
      </c>
    </row>
    <row r="275" spans="1:75" ht="18" hidden="1" customHeight="1" outlineLevel="1">
      <c r="Q275" s="5">
        <v>2015</v>
      </c>
      <c r="R275" s="5">
        <v>12</v>
      </c>
      <c r="S275" s="5" t="s">
        <v>56</v>
      </c>
      <c r="T275" s="15">
        <f t="shared" ref="T275:T287" si="166">IF(U275=U275-BB275,0,U275-BB275)</f>
        <v>3589234</v>
      </c>
      <c r="U275" s="15">
        <f t="shared" ref="U275:U287" si="167">SUM(V275:BA275)</f>
        <v>4151740</v>
      </c>
      <c r="V275" s="16">
        <v>2695000</v>
      </c>
      <c r="W275" s="16">
        <v>1006740</v>
      </c>
      <c r="X275" s="16">
        <v>0</v>
      </c>
      <c r="Y275" s="16">
        <v>0</v>
      </c>
      <c r="Z275" s="16">
        <v>0</v>
      </c>
      <c r="AA275" s="16">
        <v>0</v>
      </c>
      <c r="AB275" s="16">
        <v>0</v>
      </c>
      <c r="AC275" s="16">
        <v>0</v>
      </c>
      <c r="AD275" s="16">
        <v>0</v>
      </c>
      <c r="AE275" s="16">
        <v>0</v>
      </c>
      <c r="AF275" s="16">
        <v>0</v>
      </c>
      <c r="AG275" s="16">
        <v>0</v>
      </c>
      <c r="AH275" s="16">
        <v>0</v>
      </c>
      <c r="AI275" s="16">
        <v>200000</v>
      </c>
      <c r="AJ275" s="16">
        <v>0</v>
      </c>
      <c r="AK275" s="16">
        <v>0</v>
      </c>
      <c r="AL275" s="16">
        <v>50000</v>
      </c>
      <c r="AM275" s="16">
        <v>0</v>
      </c>
      <c r="AN275" s="16">
        <v>0</v>
      </c>
      <c r="AO275" s="16">
        <v>50000</v>
      </c>
      <c r="AP275" s="16">
        <v>150000</v>
      </c>
      <c r="AQ275" s="16">
        <v>0</v>
      </c>
      <c r="AR275" s="16">
        <v>0</v>
      </c>
      <c r="AS275" s="16">
        <v>0</v>
      </c>
      <c r="AT275" s="16">
        <v>0</v>
      </c>
      <c r="AU275" s="16">
        <v>0</v>
      </c>
      <c r="AV275" s="16">
        <v>0</v>
      </c>
      <c r="AW275" s="16">
        <v>0</v>
      </c>
      <c r="AX275" s="16">
        <v>0</v>
      </c>
      <c r="AY275" s="16">
        <v>0</v>
      </c>
      <c r="AZ275" s="16">
        <v>0</v>
      </c>
      <c r="BA275" s="16"/>
      <c r="BB275" s="15">
        <f t="shared" ref="BB275:BB287" si="168">SUM(BC275:BW275)</f>
        <v>562506</v>
      </c>
      <c r="BC275" s="16">
        <v>0</v>
      </c>
      <c r="BD275" s="16">
        <v>189600</v>
      </c>
      <c r="BE275" s="16">
        <v>0</v>
      </c>
      <c r="BF275" s="16">
        <v>18960</v>
      </c>
      <c r="BG275" s="16">
        <v>0</v>
      </c>
      <c r="BH275" s="16">
        <v>122860</v>
      </c>
      <c r="BI275" s="16">
        <v>170950</v>
      </c>
      <c r="BJ275" s="16">
        <v>25036</v>
      </c>
      <c r="BK275" s="16">
        <v>8100</v>
      </c>
      <c r="BL275" s="16">
        <v>0</v>
      </c>
      <c r="BM275" s="16">
        <v>0</v>
      </c>
      <c r="BN275" s="16">
        <v>27000</v>
      </c>
      <c r="BO275" s="16">
        <v>0</v>
      </c>
      <c r="BP275" s="16">
        <v>0</v>
      </c>
      <c r="BQ275" s="16">
        <v>0</v>
      </c>
      <c r="BR275" s="16">
        <v>0</v>
      </c>
      <c r="BS275" s="16">
        <v>0</v>
      </c>
      <c r="BT275" s="16">
        <v>0</v>
      </c>
      <c r="BU275" s="16">
        <v>0</v>
      </c>
      <c r="BV275" s="16">
        <v>0</v>
      </c>
      <c r="BW275" s="16">
        <v>0</v>
      </c>
    </row>
    <row r="276" spans="1:75" ht="18" hidden="1" customHeight="1" outlineLevel="1">
      <c r="Q276" s="5">
        <v>2015</v>
      </c>
      <c r="R276" s="5">
        <v>11</v>
      </c>
      <c r="S276" s="5" t="s">
        <v>56</v>
      </c>
      <c r="T276" s="15">
        <f t="shared" si="166"/>
        <v>3482969</v>
      </c>
      <c r="U276" s="15">
        <f t="shared" si="167"/>
        <v>4041740</v>
      </c>
      <c r="V276" s="16">
        <v>2695000</v>
      </c>
      <c r="W276" s="16">
        <v>1006740</v>
      </c>
      <c r="X276" s="16">
        <v>0</v>
      </c>
      <c r="Y276" s="16">
        <v>0</v>
      </c>
      <c r="Z276" s="16">
        <v>0</v>
      </c>
      <c r="AA276" s="16">
        <v>0</v>
      </c>
      <c r="AB276" s="16">
        <v>0</v>
      </c>
      <c r="AC276" s="16">
        <v>0</v>
      </c>
      <c r="AD276" s="16">
        <v>0</v>
      </c>
      <c r="AE276" s="16">
        <v>0</v>
      </c>
      <c r="AF276" s="16">
        <v>0</v>
      </c>
      <c r="AG276" s="16">
        <v>0</v>
      </c>
      <c r="AH276" s="16">
        <v>0</v>
      </c>
      <c r="AI276" s="16">
        <v>200000</v>
      </c>
      <c r="AJ276" s="16">
        <v>0</v>
      </c>
      <c r="AK276" s="16">
        <v>0</v>
      </c>
      <c r="AL276" s="16">
        <v>50000</v>
      </c>
      <c r="AM276" s="16">
        <v>0</v>
      </c>
      <c r="AN276" s="16">
        <v>0</v>
      </c>
      <c r="AO276" s="16">
        <v>0</v>
      </c>
      <c r="AP276" s="16">
        <v>0</v>
      </c>
      <c r="AQ276" s="16">
        <v>90000</v>
      </c>
      <c r="AR276" s="16">
        <v>0</v>
      </c>
      <c r="AS276" s="16">
        <v>0</v>
      </c>
      <c r="AT276" s="16">
        <v>0</v>
      </c>
      <c r="AU276" s="16">
        <v>0</v>
      </c>
      <c r="AV276" s="16">
        <v>0</v>
      </c>
      <c r="AW276" s="16">
        <v>0</v>
      </c>
      <c r="AX276" s="16">
        <v>0</v>
      </c>
      <c r="AY276" s="16">
        <v>0</v>
      </c>
      <c r="AZ276" s="16">
        <v>0</v>
      </c>
      <c r="BA276" s="16"/>
      <c r="BB276" s="15">
        <f t="shared" si="168"/>
        <v>558771</v>
      </c>
      <c r="BC276" s="16">
        <v>0</v>
      </c>
      <c r="BD276" s="16">
        <v>202950</v>
      </c>
      <c r="BE276" s="16">
        <v>0</v>
      </c>
      <c r="BF276" s="16">
        <v>20290</v>
      </c>
      <c r="BG276" s="16">
        <v>0</v>
      </c>
      <c r="BH276" s="16">
        <v>122860</v>
      </c>
      <c r="BI276" s="16">
        <v>170950</v>
      </c>
      <c r="BJ276" s="16">
        <v>25621</v>
      </c>
      <c r="BK276" s="16">
        <v>8100</v>
      </c>
      <c r="BL276" s="16">
        <v>0</v>
      </c>
      <c r="BM276" s="16">
        <v>0</v>
      </c>
      <c r="BN276" s="16">
        <v>0</v>
      </c>
      <c r="BO276" s="16">
        <v>0</v>
      </c>
      <c r="BP276" s="16">
        <v>0</v>
      </c>
      <c r="BQ276" s="16">
        <v>0</v>
      </c>
      <c r="BR276" s="16">
        <v>0</v>
      </c>
      <c r="BS276" s="16">
        <v>8000</v>
      </c>
      <c r="BT276" s="16">
        <v>0</v>
      </c>
      <c r="BU276" s="16">
        <v>0</v>
      </c>
      <c r="BV276" s="16">
        <v>0</v>
      </c>
      <c r="BW276" s="16">
        <v>0</v>
      </c>
    </row>
    <row r="277" spans="1:75" ht="18" hidden="1" customHeight="1" outlineLevel="1">
      <c r="Q277" s="5">
        <v>2015</v>
      </c>
      <c r="R277" s="5">
        <v>10</v>
      </c>
      <c r="S277" s="5" t="s">
        <v>56</v>
      </c>
      <c r="T277" s="15">
        <f t="shared" si="166"/>
        <v>3415734</v>
      </c>
      <c r="U277" s="15">
        <f t="shared" si="167"/>
        <v>3951740</v>
      </c>
      <c r="V277" s="16">
        <v>2695000</v>
      </c>
      <c r="W277" s="16">
        <v>1006740</v>
      </c>
      <c r="X277" s="16">
        <v>0</v>
      </c>
      <c r="Y277" s="16">
        <v>0</v>
      </c>
      <c r="Z277" s="16">
        <v>0</v>
      </c>
      <c r="AA277" s="16">
        <v>0</v>
      </c>
      <c r="AB277" s="16">
        <v>0</v>
      </c>
      <c r="AC277" s="16">
        <v>0</v>
      </c>
      <c r="AD277" s="16">
        <v>0</v>
      </c>
      <c r="AE277" s="16">
        <v>0</v>
      </c>
      <c r="AF277" s="16">
        <v>0</v>
      </c>
      <c r="AG277" s="16">
        <v>0</v>
      </c>
      <c r="AH277" s="16">
        <v>0</v>
      </c>
      <c r="AI277" s="16">
        <v>200000</v>
      </c>
      <c r="AJ277" s="16">
        <v>0</v>
      </c>
      <c r="AK277" s="16">
        <v>0</v>
      </c>
      <c r="AL277" s="16">
        <v>50000</v>
      </c>
      <c r="AM277" s="16">
        <v>0</v>
      </c>
      <c r="AN277" s="16">
        <v>0</v>
      </c>
      <c r="AO277" s="16">
        <v>0</v>
      </c>
      <c r="AP277" s="16">
        <v>0</v>
      </c>
      <c r="AQ277" s="16">
        <v>0</v>
      </c>
      <c r="AR277" s="16">
        <v>0</v>
      </c>
      <c r="AS277" s="16">
        <v>0</v>
      </c>
      <c r="AT277" s="16">
        <v>0</v>
      </c>
      <c r="AU277" s="16">
        <v>0</v>
      </c>
      <c r="AV277" s="16">
        <v>0</v>
      </c>
      <c r="AW277" s="16">
        <v>0</v>
      </c>
      <c r="AX277" s="16">
        <v>0</v>
      </c>
      <c r="AY277" s="16">
        <v>0</v>
      </c>
      <c r="AZ277" s="16">
        <v>0</v>
      </c>
      <c r="BA277" s="16"/>
      <c r="BB277" s="15">
        <f t="shared" si="168"/>
        <v>536006</v>
      </c>
      <c r="BC277" s="16">
        <v>0</v>
      </c>
      <c r="BD277" s="16">
        <v>189600</v>
      </c>
      <c r="BE277" s="16">
        <v>0</v>
      </c>
      <c r="BF277" s="16">
        <v>18960</v>
      </c>
      <c r="BG277" s="16">
        <v>0</v>
      </c>
      <c r="BH277" s="16">
        <v>122860</v>
      </c>
      <c r="BI277" s="16">
        <v>170950</v>
      </c>
      <c r="BJ277" s="16">
        <v>25036</v>
      </c>
      <c r="BK277" s="16">
        <v>8100</v>
      </c>
      <c r="BL277" s="16">
        <v>0</v>
      </c>
      <c r="BM277" s="16">
        <v>0</v>
      </c>
      <c r="BN277" s="16">
        <v>0</v>
      </c>
      <c r="BO277" s="16">
        <v>0</v>
      </c>
      <c r="BP277" s="16">
        <v>500</v>
      </c>
      <c r="BQ277" s="16">
        <v>0</v>
      </c>
      <c r="BR277" s="16">
        <v>0</v>
      </c>
      <c r="BS277" s="16">
        <v>0</v>
      </c>
      <c r="BT277" s="16">
        <v>0</v>
      </c>
      <c r="BU277" s="16">
        <v>0</v>
      </c>
      <c r="BV277" s="16">
        <v>0</v>
      </c>
      <c r="BW277" s="16">
        <v>0</v>
      </c>
    </row>
    <row r="278" spans="1:75" ht="18" hidden="1" customHeight="1" outlineLevel="1">
      <c r="Q278" s="5">
        <v>2015</v>
      </c>
      <c r="R278" s="5">
        <v>9</v>
      </c>
      <c r="S278" s="5" t="s">
        <v>56</v>
      </c>
      <c r="T278" s="15">
        <f t="shared" si="166"/>
        <v>3396404</v>
      </c>
      <c r="U278" s="15">
        <f t="shared" si="167"/>
        <v>4051740</v>
      </c>
      <c r="V278" s="16">
        <v>2695000</v>
      </c>
      <c r="W278" s="16">
        <v>1006740</v>
      </c>
      <c r="X278" s="16">
        <v>0</v>
      </c>
      <c r="Y278" s="16">
        <v>0</v>
      </c>
      <c r="Z278" s="16">
        <v>0</v>
      </c>
      <c r="AA278" s="16">
        <v>0</v>
      </c>
      <c r="AB278" s="16">
        <v>0</v>
      </c>
      <c r="AC278" s="16">
        <v>0</v>
      </c>
      <c r="AD278" s="16">
        <v>0</v>
      </c>
      <c r="AE278" s="16">
        <v>0</v>
      </c>
      <c r="AF278" s="16">
        <v>0</v>
      </c>
      <c r="AG278" s="16">
        <v>0</v>
      </c>
      <c r="AH278" s="16">
        <v>0</v>
      </c>
      <c r="AI278" s="16">
        <v>200000</v>
      </c>
      <c r="AJ278" s="16">
        <v>100000</v>
      </c>
      <c r="AK278" s="16">
        <v>0</v>
      </c>
      <c r="AL278" s="16">
        <v>50000</v>
      </c>
      <c r="AM278" s="16">
        <v>0</v>
      </c>
      <c r="AN278" s="16">
        <v>0</v>
      </c>
      <c r="AO278" s="16">
        <v>0</v>
      </c>
      <c r="AP278" s="16">
        <v>0</v>
      </c>
      <c r="AQ278" s="16">
        <v>0</v>
      </c>
      <c r="AR278" s="16">
        <v>0</v>
      </c>
      <c r="AS278" s="16">
        <v>0</v>
      </c>
      <c r="AT278" s="16">
        <v>0</v>
      </c>
      <c r="AU278" s="16">
        <v>0</v>
      </c>
      <c r="AV278" s="16">
        <v>0</v>
      </c>
      <c r="AW278" s="16">
        <v>0</v>
      </c>
      <c r="AX278" s="16">
        <v>0</v>
      </c>
      <c r="AY278" s="16">
        <v>0</v>
      </c>
      <c r="AZ278" s="16">
        <v>0</v>
      </c>
      <c r="BA278" s="16"/>
      <c r="BB278" s="15">
        <f t="shared" si="168"/>
        <v>655336</v>
      </c>
      <c r="BC278" s="16">
        <v>0</v>
      </c>
      <c r="BD278" s="16">
        <v>202950</v>
      </c>
      <c r="BE278" s="16">
        <v>0</v>
      </c>
      <c r="BF278" s="16">
        <v>20290</v>
      </c>
      <c r="BG278" s="16">
        <v>0</v>
      </c>
      <c r="BH278" s="16">
        <v>122860</v>
      </c>
      <c r="BI278" s="16">
        <v>170950</v>
      </c>
      <c r="BJ278" s="16">
        <v>25686</v>
      </c>
      <c r="BK278" s="16">
        <v>8100</v>
      </c>
      <c r="BL278" s="16">
        <v>0</v>
      </c>
      <c r="BM278" s="16">
        <v>100000</v>
      </c>
      <c r="BN278" s="16">
        <v>4500</v>
      </c>
      <c r="BO278" s="16">
        <v>0</v>
      </c>
      <c r="BP278" s="16">
        <v>0</v>
      </c>
      <c r="BQ278" s="16">
        <v>0</v>
      </c>
      <c r="BR278" s="16">
        <v>0</v>
      </c>
      <c r="BS278" s="16">
        <v>0</v>
      </c>
      <c r="BT278" s="16">
        <v>0</v>
      </c>
      <c r="BU278" s="16">
        <v>0</v>
      </c>
      <c r="BV278" s="16">
        <v>0</v>
      </c>
      <c r="BW278" s="16">
        <v>0</v>
      </c>
    </row>
    <row r="279" spans="1:75" ht="18" hidden="1" customHeight="1" outlineLevel="1">
      <c r="Q279" s="5">
        <v>2015</v>
      </c>
      <c r="R279" s="5">
        <v>8</v>
      </c>
      <c r="S279" s="5" t="s">
        <v>56</v>
      </c>
      <c r="T279" s="15">
        <f t="shared" si="166"/>
        <v>3407234</v>
      </c>
      <c r="U279" s="15">
        <f t="shared" si="167"/>
        <v>3951740</v>
      </c>
      <c r="V279" s="16">
        <v>2695000</v>
      </c>
      <c r="W279" s="16">
        <v>1006740</v>
      </c>
      <c r="X279" s="16">
        <v>0</v>
      </c>
      <c r="Y279" s="16">
        <v>0</v>
      </c>
      <c r="Z279" s="16">
        <v>0</v>
      </c>
      <c r="AA279" s="16">
        <v>0</v>
      </c>
      <c r="AB279" s="16">
        <v>0</v>
      </c>
      <c r="AC279" s="16">
        <v>0</v>
      </c>
      <c r="AD279" s="16">
        <v>0</v>
      </c>
      <c r="AE279" s="16">
        <v>0</v>
      </c>
      <c r="AF279" s="16">
        <v>0</v>
      </c>
      <c r="AG279" s="16">
        <v>0</v>
      </c>
      <c r="AH279" s="16">
        <v>0</v>
      </c>
      <c r="AI279" s="16">
        <v>200000</v>
      </c>
      <c r="AJ279" s="16">
        <v>0</v>
      </c>
      <c r="AK279" s="16">
        <v>0</v>
      </c>
      <c r="AL279" s="16">
        <v>50000</v>
      </c>
      <c r="AM279" s="16">
        <v>0</v>
      </c>
      <c r="AN279" s="16">
        <v>0</v>
      </c>
      <c r="AO279" s="16">
        <v>0</v>
      </c>
      <c r="AP279" s="16">
        <v>0</v>
      </c>
      <c r="AQ279" s="16">
        <v>0</v>
      </c>
      <c r="AR279" s="16">
        <v>0</v>
      </c>
      <c r="AS279" s="16">
        <v>0</v>
      </c>
      <c r="AT279" s="16">
        <v>0</v>
      </c>
      <c r="AU279" s="16">
        <v>0</v>
      </c>
      <c r="AV279" s="16">
        <v>0</v>
      </c>
      <c r="AW279" s="16">
        <v>0</v>
      </c>
      <c r="AX279" s="16">
        <v>0</v>
      </c>
      <c r="AY279" s="16">
        <v>0</v>
      </c>
      <c r="AZ279" s="16">
        <v>0</v>
      </c>
      <c r="BA279" s="16"/>
      <c r="BB279" s="15">
        <f t="shared" si="168"/>
        <v>544506</v>
      </c>
      <c r="BC279" s="16">
        <v>0</v>
      </c>
      <c r="BD279" s="16">
        <v>189600</v>
      </c>
      <c r="BE279" s="16">
        <v>0</v>
      </c>
      <c r="BF279" s="16">
        <v>18960</v>
      </c>
      <c r="BG279" s="16">
        <v>0</v>
      </c>
      <c r="BH279" s="16">
        <v>122860</v>
      </c>
      <c r="BI279" s="16">
        <v>170950</v>
      </c>
      <c r="BJ279" s="16">
        <v>25036</v>
      </c>
      <c r="BK279" s="16">
        <v>8100</v>
      </c>
      <c r="BL279" s="16">
        <v>0</v>
      </c>
      <c r="BM279" s="16">
        <v>0</v>
      </c>
      <c r="BN279" s="16">
        <v>9000</v>
      </c>
      <c r="BO279" s="16">
        <v>0</v>
      </c>
      <c r="BP279" s="16">
        <v>0</v>
      </c>
      <c r="BQ279" s="16">
        <v>0</v>
      </c>
      <c r="BR279" s="16">
        <v>0</v>
      </c>
      <c r="BS279" s="16">
        <v>0</v>
      </c>
      <c r="BT279" s="16">
        <v>0</v>
      </c>
      <c r="BU279" s="16">
        <v>0</v>
      </c>
      <c r="BV279" s="16">
        <v>0</v>
      </c>
      <c r="BW279" s="16">
        <v>0</v>
      </c>
    </row>
    <row r="280" spans="1:75" ht="18" hidden="1" customHeight="1" outlineLevel="1">
      <c r="Q280" s="5">
        <v>2015</v>
      </c>
      <c r="R280" s="5">
        <v>7</v>
      </c>
      <c r="S280" s="5" t="s">
        <v>56</v>
      </c>
      <c r="T280" s="15">
        <f t="shared" si="166"/>
        <v>3668134</v>
      </c>
      <c r="U280" s="15">
        <f t="shared" si="167"/>
        <v>4251740</v>
      </c>
      <c r="V280" s="16">
        <v>2695000</v>
      </c>
      <c r="W280" s="16">
        <v>1006740</v>
      </c>
      <c r="X280" s="16">
        <v>0</v>
      </c>
      <c r="Y280" s="16">
        <v>0</v>
      </c>
      <c r="Z280" s="16">
        <v>0</v>
      </c>
      <c r="AA280" s="16">
        <v>0</v>
      </c>
      <c r="AB280" s="16">
        <v>0</v>
      </c>
      <c r="AC280" s="16">
        <v>0</v>
      </c>
      <c r="AD280" s="16">
        <v>0</v>
      </c>
      <c r="AE280" s="16">
        <v>0</v>
      </c>
      <c r="AF280" s="16">
        <v>0</v>
      </c>
      <c r="AG280" s="16">
        <v>0</v>
      </c>
      <c r="AH280" s="16">
        <v>0</v>
      </c>
      <c r="AI280" s="16">
        <v>200000</v>
      </c>
      <c r="AJ280" s="16">
        <v>0</v>
      </c>
      <c r="AK280" s="16">
        <v>300000</v>
      </c>
      <c r="AL280" s="16">
        <v>50000</v>
      </c>
      <c r="AM280" s="16">
        <v>0</v>
      </c>
      <c r="AN280" s="16">
        <v>0</v>
      </c>
      <c r="AO280" s="16">
        <v>0</v>
      </c>
      <c r="AP280" s="16">
        <v>0</v>
      </c>
      <c r="AQ280" s="16">
        <v>0</v>
      </c>
      <c r="AR280" s="16">
        <v>0</v>
      </c>
      <c r="AS280" s="16">
        <v>0</v>
      </c>
      <c r="AT280" s="16">
        <v>0</v>
      </c>
      <c r="AU280" s="16">
        <v>0</v>
      </c>
      <c r="AV280" s="16">
        <v>0</v>
      </c>
      <c r="AW280" s="16">
        <v>0</v>
      </c>
      <c r="AX280" s="16">
        <v>0</v>
      </c>
      <c r="AY280" s="16">
        <v>0</v>
      </c>
      <c r="AZ280" s="16">
        <v>0</v>
      </c>
      <c r="BA280" s="16"/>
      <c r="BB280" s="15">
        <f t="shared" si="168"/>
        <v>583606</v>
      </c>
      <c r="BC280" s="16">
        <v>0</v>
      </c>
      <c r="BD280" s="16">
        <v>230790</v>
      </c>
      <c r="BE280" s="16">
        <v>0</v>
      </c>
      <c r="BF280" s="16">
        <v>23070</v>
      </c>
      <c r="BG280" s="16">
        <v>0</v>
      </c>
      <c r="BH280" s="16">
        <v>122860</v>
      </c>
      <c r="BI280" s="16">
        <v>170950</v>
      </c>
      <c r="BJ280" s="16">
        <v>26986</v>
      </c>
      <c r="BK280" s="16">
        <v>8100</v>
      </c>
      <c r="BL280" s="16">
        <v>0</v>
      </c>
      <c r="BM280" s="16">
        <v>0</v>
      </c>
      <c r="BN280" s="16">
        <v>0</v>
      </c>
      <c r="BO280" s="16">
        <v>0</v>
      </c>
      <c r="BP280" s="16">
        <v>850</v>
      </c>
      <c r="BQ280" s="16">
        <v>0</v>
      </c>
      <c r="BR280" s="16">
        <v>0</v>
      </c>
      <c r="BS280" s="16">
        <v>0</v>
      </c>
      <c r="BT280" s="16">
        <v>0</v>
      </c>
      <c r="BU280" s="16">
        <v>0</v>
      </c>
      <c r="BV280" s="16">
        <v>0</v>
      </c>
      <c r="BW280" s="16">
        <v>0</v>
      </c>
    </row>
    <row r="281" spans="1:75" ht="18" hidden="1" customHeight="1" outlineLevel="1">
      <c r="Q281" s="5">
        <v>2015</v>
      </c>
      <c r="R281" s="5">
        <v>6</v>
      </c>
      <c r="S281" s="5" t="s">
        <v>56</v>
      </c>
      <c r="T281" s="15">
        <f t="shared" si="166"/>
        <v>4410814</v>
      </c>
      <c r="U281" s="15">
        <f t="shared" si="167"/>
        <v>5051740</v>
      </c>
      <c r="V281" s="16">
        <v>2695000</v>
      </c>
      <c r="W281" s="16">
        <v>1006740</v>
      </c>
      <c r="X281" s="16">
        <v>0</v>
      </c>
      <c r="Y281" s="16">
        <v>0</v>
      </c>
      <c r="Z281" s="16">
        <v>0</v>
      </c>
      <c r="AA281" s="16">
        <v>0</v>
      </c>
      <c r="AB281" s="16">
        <v>0</v>
      </c>
      <c r="AC281" s="16">
        <v>0</v>
      </c>
      <c r="AD281" s="16">
        <v>0</v>
      </c>
      <c r="AE281" s="16">
        <v>1100000</v>
      </c>
      <c r="AF281" s="16">
        <v>0</v>
      </c>
      <c r="AG281" s="16">
        <v>0</v>
      </c>
      <c r="AH281" s="16">
        <v>0</v>
      </c>
      <c r="AI281" s="16">
        <v>200000</v>
      </c>
      <c r="AJ281" s="16">
        <v>0</v>
      </c>
      <c r="AK281" s="16">
        <v>0</v>
      </c>
      <c r="AL281" s="16">
        <v>50000</v>
      </c>
      <c r="AM281" s="16">
        <v>0</v>
      </c>
      <c r="AN281" s="16">
        <v>0</v>
      </c>
      <c r="AO281" s="16">
        <v>0</v>
      </c>
      <c r="AP281" s="16">
        <v>0</v>
      </c>
      <c r="AQ281" s="16">
        <v>0</v>
      </c>
      <c r="AR281" s="16">
        <v>0</v>
      </c>
      <c r="AS281" s="16">
        <v>0</v>
      </c>
      <c r="AT281" s="16">
        <v>0</v>
      </c>
      <c r="AU281" s="16">
        <v>0</v>
      </c>
      <c r="AV281" s="16">
        <v>0</v>
      </c>
      <c r="AW281" s="16">
        <v>0</v>
      </c>
      <c r="AX281" s="16">
        <v>0</v>
      </c>
      <c r="AY281" s="16">
        <v>0</v>
      </c>
      <c r="AZ281" s="16">
        <v>0</v>
      </c>
      <c r="BA281" s="16"/>
      <c r="BB281" s="15">
        <f t="shared" si="168"/>
        <v>640926</v>
      </c>
      <c r="BC281" s="16">
        <v>0</v>
      </c>
      <c r="BD281" s="16">
        <v>335530</v>
      </c>
      <c r="BE281" s="16">
        <v>0</v>
      </c>
      <c r="BF281" s="16">
        <v>33550</v>
      </c>
      <c r="BG281" s="16">
        <v>0</v>
      </c>
      <c r="BH281" s="16">
        <v>122860</v>
      </c>
      <c r="BI281" s="16">
        <v>179100</v>
      </c>
      <c r="BJ281" s="16">
        <v>32186</v>
      </c>
      <c r="BK281" s="16">
        <v>8100</v>
      </c>
      <c r="BL281" s="16">
        <v>0</v>
      </c>
      <c r="BM281" s="16">
        <v>0</v>
      </c>
      <c r="BN281" s="16">
        <v>0</v>
      </c>
      <c r="BO281" s="16">
        <v>-70400</v>
      </c>
      <c r="BP281" s="16">
        <v>0</v>
      </c>
      <c r="BQ281" s="16">
        <v>0</v>
      </c>
      <c r="BR281" s="16">
        <v>0</v>
      </c>
      <c r="BS281" s="16">
        <v>0</v>
      </c>
      <c r="BT281" s="16">
        <v>0</v>
      </c>
      <c r="BU281" s="16">
        <v>0</v>
      </c>
      <c r="BV281" s="16">
        <v>0</v>
      </c>
      <c r="BW281" s="16">
        <v>0</v>
      </c>
    </row>
    <row r="282" spans="1:75" ht="18" hidden="1" customHeight="1" outlineLevel="1">
      <c r="Q282" s="5">
        <v>2015</v>
      </c>
      <c r="R282" s="5">
        <v>5</v>
      </c>
      <c r="S282" s="5" t="s">
        <v>28</v>
      </c>
      <c r="T282" s="15">
        <f t="shared" si="166"/>
        <v>5614852</v>
      </c>
      <c r="U282" s="15">
        <f t="shared" si="167"/>
        <v>6703293</v>
      </c>
      <c r="V282" s="16">
        <v>0</v>
      </c>
      <c r="W282" s="16">
        <v>0</v>
      </c>
      <c r="X282" s="16">
        <v>0</v>
      </c>
      <c r="Y282" s="16">
        <v>0</v>
      </c>
      <c r="Z282" s="16">
        <v>0</v>
      </c>
      <c r="AA282" s="16">
        <v>0</v>
      </c>
      <c r="AB282" s="16">
        <v>0</v>
      </c>
      <c r="AC282" s="16">
        <v>0</v>
      </c>
      <c r="AD282" s="16">
        <v>6703293</v>
      </c>
      <c r="AE282" s="16">
        <v>0</v>
      </c>
      <c r="AF282" s="16">
        <v>0</v>
      </c>
      <c r="AG282" s="16">
        <v>0</v>
      </c>
      <c r="AH282" s="16">
        <v>0</v>
      </c>
      <c r="AI282" s="16">
        <v>0</v>
      </c>
      <c r="AJ282" s="16">
        <v>0</v>
      </c>
      <c r="AK282" s="16">
        <v>0</v>
      </c>
      <c r="AL282" s="16">
        <v>0</v>
      </c>
      <c r="AM282" s="16">
        <v>0</v>
      </c>
      <c r="AN282" s="16">
        <v>0</v>
      </c>
      <c r="AO282" s="16">
        <v>0</v>
      </c>
      <c r="AP282" s="16">
        <v>0</v>
      </c>
      <c r="AQ282" s="16">
        <v>0</v>
      </c>
      <c r="AR282" s="16">
        <v>0</v>
      </c>
      <c r="AS282" s="16">
        <v>0</v>
      </c>
      <c r="AT282" s="16">
        <v>0</v>
      </c>
      <c r="AU282" s="16">
        <v>0</v>
      </c>
      <c r="AV282" s="16">
        <v>0</v>
      </c>
      <c r="AW282" s="16">
        <v>0</v>
      </c>
      <c r="AX282" s="16">
        <v>0</v>
      </c>
      <c r="AY282" s="16">
        <v>0</v>
      </c>
      <c r="AZ282" s="16">
        <v>0</v>
      </c>
      <c r="BA282" s="16"/>
      <c r="BB282" s="15">
        <f t="shared" si="168"/>
        <v>1088441</v>
      </c>
      <c r="BC282" s="16">
        <v>0</v>
      </c>
      <c r="BD282" s="16">
        <v>949890</v>
      </c>
      <c r="BE282" s="16">
        <v>0</v>
      </c>
      <c r="BF282" s="16">
        <v>94980</v>
      </c>
      <c r="BG282" s="16">
        <v>0</v>
      </c>
      <c r="BH282" s="16">
        <v>0</v>
      </c>
      <c r="BI282" s="16">
        <v>0</v>
      </c>
      <c r="BJ282" s="16">
        <v>43571</v>
      </c>
      <c r="BK282" s="16">
        <v>0</v>
      </c>
      <c r="BL282" s="16">
        <v>0</v>
      </c>
      <c r="BM282" s="16">
        <v>0</v>
      </c>
      <c r="BN282" s="16">
        <v>0</v>
      </c>
      <c r="BO282" s="16">
        <v>0</v>
      </c>
      <c r="BP282" s="16">
        <v>0</v>
      </c>
      <c r="BQ282" s="16">
        <v>0</v>
      </c>
      <c r="BR282" s="16">
        <v>0</v>
      </c>
      <c r="BS282" s="16">
        <v>0</v>
      </c>
      <c r="BT282" s="16">
        <v>0</v>
      </c>
      <c r="BU282" s="16">
        <v>0</v>
      </c>
      <c r="BV282" s="16">
        <v>0</v>
      </c>
      <c r="BW282" s="16">
        <v>0</v>
      </c>
    </row>
    <row r="283" spans="1:75" ht="18" hidden="1" customHeight="1" outlineLevel="1">
      <c r="Q283" s="5">
        <v>2015</v>
      </c>
      <c r="R283" s="5">
        <v>5</v>
      </c>
      <c r="S283" s="5" t="s">
        <v>56</v>
      </c>
      <c r="T283" s="15">
        <f t="shared" si="166"/>
        <v>3396329</v>
      </c>
      <c r="U283" s="15">
        <f t="shared" si="167"/>
        <v>4101740</v>
      </c>
      <c r="V283" s="16">
        <v>2695000</v>
      </c>
      <c r="W283" s="16">
        <v>1006740</v>
      </c>
      <c r="X283" s="16">
        <v>0</v>
      </c>
      <c r="Y283" s="16">
        <v>0</v>
      </c>
      <c r="Z283" s="16">
        <v>0</v>
      </c>
      <c r="AA283" s="16">
        <v>0</v>
      </c>
      <c r="AB283" s="16">
        <v>0</v>
      </c>
      <c r="AC283" s="16">
        <v>0</v>
      </c>
      <c r="AD283" s="16">
        <v>0</v>
      </c>
      <c r="AE283" s="16">
        <v>0</v>
      </c>
      <c r="AF283" s="16">
        <v>0</v>
      </c>
      <c r="AG283" s="16">
        <v>0</v>
      </c>
      <c r="AH283" s="16">
        <v>0</v>
      </c>
      <c r="AI283" s="16">
        <v>200000</v>
      </c>
      <c r="AJ283" s="16">
        <v>150000</v>
      </c>
      <c r="AK283" s="16">
        <v>0</v>
      </c>
      <c r="AL283" s="16">
        <v>50000</v>
      </c>
      <c r="AM283" s="16">
        <v>0</v>
      </c>
      <c r="AN283" s="16">
        <v>0</v>
      </c>
      <c r="AO283" s="16">
        <v>0</v>
      </c>
      <c r="AP283" s="16">
        <v>0</v>
      </c>
      <c r="AQ283" s="16">
        <v>0</v>
      </c>
      <c r="AR283" s="16">
        <v>0</v>
      </c>
      <c r="AS283" s="16">
        <v>0</v>
      </c>
      <c r="AT283" s="16">
        <v>0</v>
      </c>
      <c r="AU283" s="16">
        <v>0</v>
      </c>
      <c r="AV283" s="16">
        <v>0</v>
      </c>
      <c r="AW283" s="16">
        <v>0</v>
      </c>
      <c r="AX283" s="16">
        <v>0</v>
      </c>
      <c r="AY283" s="16">
        <v>0</v>
      </c>
      <c r="AZ283" s="16">
        <v>0</v>
      </c>
      <c r="BA283" s="16"/>
      <c r="BB283" s="15">
        <f t="shared" si="168"/>
        <v>705411</v>
      </c>
      <c r="BC283" s="16">
        <v>-2750</v>
      </c>
      <c r="BD283" s="16">
        <v>201900</v>
      </c>
      <c r="BE283" s="16">
        <v>0</v>
      </c>
      <c r="BF283" s="16">
        <v>20190</v>
      </c>
      <c r="BG283" s="16">
        <v>0</v>
      </c>
      <c r="BH283" s="16">
        <v>122860</v>
      </c>
      <c r="BI283" s="16">
        <v>179100</v>
      </c>
      <c r="BJ283" s="16">
        <v>26011</v>
      </c>
      <c r="BK283" s="16">
        <v>8100</v>
      </c>
      <c r="BL283" s="16">
        <v>0</v>
      </c>
      <c r="BM283" s="16">
        <v>150000</v>
      </c>
      <c r="BN283" s="16">
        <v>0</v>
      </c>
      <c r="BO283" s="16">
        <v>0</v>
      </c>
      <c r="BP283" s="16">
        <v>0</v>
      </c>
      <c r="BQ283" s="16">
        <v>0</v>
      </c>
      <c r="BR283" s="16">
        <v>0</v>
      </c>
      <c r="BS283" s="16">
        <v>0</v>
      </c>
      <c r="BT283" s="16">
        <v>0</v>
      </c>
      <c r="BU283" s="16">
        <v>0</v>
      </c>
      <c r="BV283" s="16">
        <v>0</v>
      </c>
      <c r="BW283" s="16">
        <v>0</v>
      </c>
    </row>
    <row r="284" spans="1:75" ht="18" hidden="1" customHeight="1" outlineLevel="1">
      <c r="Q284" s="5">
        <v>2015</v>
      </c>
      <c r="R284" s="5">
        <v>4</v>
      </c>
      <c r="S284" s="5" t="s">
        <v>56</v>
      </c>
      <c r="T284" s="15">
        <f t="shared" si="166"/>
        <v>3414944</v>
      </c>
      <c r="U284" s="15">
        <f t="shared" si="167"/>
        <v>3951740</v>
      </c>
      <c r="V284" s="16">
        <v>2695000</v>
      </c>
      <c r="W284" s="16">
        <v>1006740</v>
      </c>
      <c r="X284" s="16">
        <v>0</v>
      </c>
      <c r="Y284" s="16">
        <v>0</v>
      </c>
      <c r="Z284" s="16">
        <v>0</v>
      </c>
      <c r="AA284" s="16">
        <v>0</v>
      </c>
      <c r="AB284" s="16">
        <v>0</v>
      </c>
      <c r="AC284" s="16">
        <v>0</v>
      </c>
      <c r="AD284" s="16">
        <v>0</v>
      </c>
      <c r="AE284" s="16">
        <v>0</v>
      </c>
      <c r="AF284" s="16">
        <v>0</v>
      </c>
      <c r="AG284" s="16">
        <v>0</v>
      </c>
      <c r="AH284" s="16">
        <v>0</v>
      </c>
      <c r="AI284" s="16">
        <v>200000</v>
      </c>
      <c r="AJ284" s="16">
        <v>0</v>
      </c>
      <c r="AK284" s="16">
        <v>0</v>
      </c>
      <c r="AL284" s="16">
        <v>50000</v>
      </c>
      <c r="AM284" s="16">
        <v>0</v>
      </c>
      <c r="AN284" s="16">
        <v>0</v>
      </c>
      <c r="AO284" s="16">
        <v>0</v>
      </c>
      <c r="AP284" s="16">
        <v>0</v>
      </c>
      <c r="AQ284" s="16">
        <v>0</v>
      </c>
      <c r="AR284" s="16">
        <v>0</v>
      </c>
      <c r="AS284" s="16">
        <v>0</v>
      </c>
      <c r="AT284" s="16">
        <v>0</v>
      </c>
      <c r="AU284" s="16">
        <v>0</v>
      </c>
      <c r="AV284" s="16">
        <v>0</v>
      </c>
      <c r="AW284" s="16">
        <v>0</v>
      </c>
      <c r="AX284" s="16">
        <v>0</v>
      </c>
      <c r="AY284" s="16">
        <v>0</v>
      </c>
      <c r="AZ284" s="16">
        <v>0</v>
      </c>
      <c r="BA284" s="16"/>
      <c r="BB284" s="15">
        <f t="shared" si="168"/>
        <v>536796</v>
      </c>
      <c r="BC284" s="16">
        <v>0</v>
      </c>
      <c r="BD284" s="16">
        <v>180460</v>
      </c>
      <c r="BE284" s="16">
        <v>0</v>
      </c>
      <c r="BF284" s="16">
        <v>18040</v>
      </c>
      <c r="BG284" s="16">
        <v>0</v>
      </c>
      <c r="BH284" s="16">
        <v>122860</v>
      </c>
      <c r="BI284" s="16">
        <v>179100</v>
      </c>
      <c r="BJ284" s="16">
        <v>25036</v>
      </c>
      <c r="BK284" s="16">
        <v>8100</v>
      </c>
      <c r="BL284" s="16">
        <v>0</v>
      </c>
      <c r="BM284" s="16">
        <v>0</v>
      </c>
      <c r="BN284" s="16">
        <v>2200</v>
      </c>
      <c r="BO284" s="16">
        <v>0</v>
      </c>
      <c r="BP284" s="16">
        <v>1000</v>
      </c>
      <c r="BQ284" s="16">
        <v>0</v>
      </c>
      <c r="BR284" s="16">
        <v>0</v>
      </c>
      <c r="BS284" s="16">
        <v>0</v>
      </c>
      <c r="BT284" s="16">
        <v>0</v>
      </c>
      <c r="BU284" s="16">
        <v>0</v>
      </c>
      <c r="BV284" s="16">
        <v>0</v>
      </c>
      <c r="BW284" s="16">
        <v>0</v>
      </c>
    </row>
    <row r="285" spans="1:75" ht="18" hidden="1" customHeight="1" outlineLevel="1">
      <c r="Q285" s="5">
        <v>2015</v>
      </c>
      <c r="R285" s="5">
        <v>3</v>
      </c>
      <c r="S285" s="5" t="s">
        <v>56</v>
      </c>
      <c r="T285" s="15">
        <f t="shared" si="166"/>
        <v>3402654</v>
      </c>
      <c r="U285" s="15">
        <f t="shared" si="167"/>
        <v>3951740</v>
      </c>
      <c r="V285" s="16">
        <v>2695000</v>
      </c>
      <c r="W285" s="16">
        <v>1006740</v>
      </c>
      <c r="X285" s="16">
        <v>0</v>
      </c>
      <c r="Y285" s="16">
        <v>0</v>
      </c>
      <c r="Z285" s="16">
        <v>0</v>
      </c>
      <c r="AA285" s="16">
        <v>0</v>
      </c>
      <c r="AB285" s="16">
        <v>0</v>
      </c>
      <c r="AC285" s="16">
        <v>0</v>
      </c>
      <c r="AD285" s="16">
        <v>0</v>
      </c>
      <c r="AE285" s="16">
        <v>0</v>
      </c>
      <c r="AF285" s="16">
        <v>0</v>
      </c>
      <c r="AG285" s="16">
        <v>0</v>
      </c>
      <c r="AH285" s="16">
        <v>0</v>
      </c>
      <c r="AI285" s="16">
        <v>200000</v>
      </c>
      <c r="AJ285" s="16">
        <v>0</v>
      </c>
      <c r="AK285" s="16">
        <v>0</v>
      </c>
      <c r="AL285" s="16">
        <v>50000</v>
      </c>
      <c r="AM285" s="16">
        <v>0</v>
      </c>
      <c r="AN285" s="16">
        <v>0</v>
      </c>
      <c r="AO285" s="16">
        <v>0</v>
      </c>
      <c r="AP285" s="16">
        <v>0</v>
      </c>
      <c r="AQ285" s="16">
        <v>0</v>
      </c>
      <c r="AR285" s="16">
        <v>0</v>
      </c>
      <c r="AS285" s="16">
        <v>0</v>
      </c>
      <c r="AT285" s="16">
        <v>0</v>
      </c>
      <c r="AU285" s="16">
        <v>0</v>
      </c>
      <c r="AV285" s="16">
        <v>0</v>
      </c>
      <c r="AW285" s="16">
        <v>0</v>
      </c>
      <c r="AX285" s="16">
        <v>0</v>
      </c>
      <c r="AY285" s="16">
        <v>0</v>
      </c>
      <c r="AZ285" s="16">
        <v>0</v>
      </c>
      <c r="BA285" s="16"/>
      <c r="BB285" s="15">
        <f t="shared" si="168"/>
        <v>549086</v>
      </c>
      <c r="BC285" s="16">
        <v>0</v>
      </c>
      <c r="BD285" s="16">
        <v>180460</v>
      </c>
      <c r="BE285" s="16">
        <v>0</v>
      </c>
      <c r="BF285" s="16">
        <v>18040</v>
      </c>
      <c r="BG285" s="16">
        <v>0</v>
      </c>
      <c r="BH285" s="16">
        <v>129350</v>
      </c>
      <c r="BI285" s="16">
        <v>179100</v>
      </c>
      <c r="BJ285" s="16">
        <v>25036</v>
      </c>
      <c r="BK285" s="16">
        <v>8100</v>
      </c>
      <c r="BL285" s="16">
        <v>0</v>
      </c>
      <c r="BM285" s="16">
        <v>0</v>
      </c>
      <c r="BN285" s="16">
        <v>9000</v>
      </c>
      <c r="BO285" s="16">
        <v>0</v>
      </c>
      <c r="BP285" s="16">
        <v>0</v>
      </c>
      <c r="BQ285" s="16">
        <v>0</v>
      </c>
      <c r="BR285" s="16">
        <v>0</v>
      </c>
      <c r="BS285" s="16">
        <v>0</v>
      </c>
      <c r="BT285" s="16">
        <v>0</v>
      </c>
      <c r="BU285" s="16">
        <v>0</v>
      </c>
      <c r="BV285" s="16">
        <v>0</v>
      </c>
      <c r="BW285" s="16">
        <v>0</v>
      </c>
    </row>
    <row r="286" spans="1:75" ht="18" hidden="1" customHeight="1" outlineLevel="1">
      <c r="Q286" s="5">
        <v>2015</v>
      </c>
      <c r="R286" s="5">
        <v>2</v>
      </c>
      <c r="S286" s="5" t="s">
        <v>56</v>
      </c>
      <c r="T286" s="15">
        <f t="shared" si="166"/>
        <v>4342504</v>
      </c>
      <c r="U286" s="15">
        <f t="shared" si="167"/>
        <v>4051740</v>
      </c>
      <c r="V286" s="16">
        <v>2695000</v>
      </c>
      <c r="W286" s="16">
        <v>1006740</v>
      </c>
      <c r="X286" s="16">
        <v>0</v>
      </c>
      <c r="Y286" s="16">
        <v>0</v>
      </c>
      <c r="Z286" s="16">
        <v>0</v>
      </c>
      <c r="AA286" s="16">
        <v>0</v>
      </c>
      <c r="AB286" s="16">
        <v>0</v>
      </c>
      <c r="AC286" s="16">
        <v>0</v>
      </c>
      <c r="AD286" s="16">
        <v>0</v>
      </c>
      <c r="AE286" s="16">
        <v>0</v>
      </c>
      <c r="AF286" s="16">
        <v>0</v>
      </c>
      <c r="AG286" s="16">
        <v>0</v>
      </c>
      <c r="AH286" s="16">
        <v>0</v>
      </c>
      <c r="AI286" s="16">
        <v>200000</v>
      </c>
      <c r="AJ286" s="16">
        <v>100000</v>
      </c>
      <c r="AK286" s="16">
        <v>0</v>
      </c>
      <c r="AL286" s="16">
        <v>50000</v>
      </c>
      <c r="AM286" s="16">
        <v>0</v>
      </c>
      <c r="AN286" s="16">
        <v>0</v>
      </c>
      <c r="AO286" s="16">
        <v>0</v>
      </c>
      <c r="AP286" s="16">
        <v>0</v>
      </c>
      <c r="AQ286" s="16">
        <v>0</v>
      </c>
      <c r="AR286" s="16">
        <v>0</v>
      </c>
      <c r="AS286" s="16">
        <v>0</v>
      </c>
      <c r="AT286" s="16">
        <v>0</v>
      </c>
      <c r="AU286" s="16">
        <v>0</v>
      </c>
      <c r="AV286" s="16">
        <v>0</v>
      </c>
      <c r="AW286" s="16">
        <v>0</v>
      </c>
      <c r="AX286" s="16">
        <v>0</v>
      </c>
      <c r="AY286" s="16">
        <v>0</v>
      </c>
      <c r="AZ286" s="16">
        <v>0</v>
      </c>
      <c r="BA286" s="16"/>
      <c r="BB286" s="15">
        <f t="shared" si="168"/>
        <v>-290764</v>
      </c>
      <c r="BC286" s="16">
        <v>-954800</v>
      </c>
      <c r="BD286" s="16">
        <v>193730</v>
      </c>
      <c r="BE286" s="16">
        <v>0</v>
      </c>
      <c r="BF286" s="16">
        <v>19370</v>
      </c>
      <c r="BG286" s="16">
        <v>0</v>
      </c>
      <c r="BH286" s="16">
        <v>129350</v>
      </c>
      <c r="BI286" s="16">
        <v>179100</v>
      </c>
      <c r="BJ286" s="16">
        <v>25686</v>
      </c>
      <c r="BK286" s="16">
        <v>8100</v>
      </c>
      <c r="BL286" s="16">
        <v>0</v>
      </c>
      <c r="BM286" s="16">
        <v>100000</v>
      </c>
      <c r="BN286" s="16">
        <v>4500</v>
      </c>
      <c r="BO286" s="16">
        <v>0</v>
      </c>
      <c r="BP286" s="16">
        <v>4200</v>
      </c>
      <c r="BQ286" s="16">
        <v>0</v>
      </c>
      <c r="BR286" s="16">
        <v>0</v>
      </c>
      <c r="BS286" s="16">
        <v>0</v>
      </c>
      <c r="BT286" s="16">
        <v>0</v>
      </c>
      <c r="BU286" s="16">
        <v>0</v>
      </c>
      <c r="BV286" s="16">
        <v>0</v>
      </c>
      <c r="BW286" s="16">
        <v>0</v>
      </c>
    </row>
    <row r="287" spans="1:75" ht="18" hidden="1" customHeight="1" outlineLevel="1">
      <c r="Q287" s="5">
        <v>2015</v>
      </c>
      <c r="R287" s="5">
        <v>1</v>
      </c>
      <c r="S287" s="5" t="s">
        <v>56</v>
      </c>
      <c r="T287" s="15">
        <f t="shared" si="166"/>
        <v>3394354</v>
      </c>
      <c r="U287" s="15">
        <f t="shared" si="167"/>
        <v>3951740</v>
      </c>
      <c r="V287" s="16">
        <v>2695000</v>
      </c>
      <c r="W287" s="16">
        <v>1006740</v>
      </c>
      <c r="X287" s="16">
        <v>0</v>
      </c>
      <c r="Y287" s="16">
        <v>0</v>
      </c>
      <c r="Z287" s="16">
        <v>0</v>
      </c>
      <c r="AA287" s="16">
        <v>0</v>
      </c>
      <c r="AB287" s="16">
        <v>0</v>
      </c>
      <c r="AC287" s="16">
        <v>0</v>
      </c>
      <c r="AD287" s="16">
        <v>0</v>
      </c>
      <c r="AE287" s="16">
        <v>0</v>
      </c>
      <c r="AF287" s="16">
        <v>0</v>
      </c>
      <c r="AG287" s="16">
        <v>0</v>
      </c>
      <c r="AH287" s="16">
        <v>0</v>
      </c>
      <c r="AI287" s="16">
        <v>200000</v>
      </c>
      <c r="AJ287" s="16">
        <v>0</v>
      </c>
      <c r="AK287" s="16">
        <v>0</v>
      </c>
      <c r="AL287" s="16">
        <v>50000</v>
      </c>
      <c r="AM287" s="16">
        <v>0</v>
      </c>
      <c r="AN287" s="16">
        <v>0</v>
      </c>
      <c r="AO287" s="16">
        <v>0</v>
      </c>
      <c r="AP287" s="16">
        <v>0</v>
      </c>
      <c r="AQ287" s="16">
        <v>0</v>
      </c>
      <c r="AR287" s="16">
        <v>0</v>
      </c>
      <c r="AS287" s="16">
        <v>0</v>
      </c>
      <c r="AT287" s="16">
        <v>0</v>
      </c>
      <c r="AU287" s="16">
        <v>0</v>
      </c>
      <c r="AV287" s="16">
        <v>0</v>
      </c>
      <c r="AW287" s="16">
        <v>0</v>
      </c>
      <c r="AX287" s="16">
        <v>0</v>
      </c>
      <c r="AY287" s="16">
        <v>0</v>
      </c>
      <c r="AZ287" s="16">
        <v>0</v>
      </c>
      <c r="BA287" s="16"/>
      <c r="BB287" s="15">
        <f t="shared" si="168"/>
        <v>557386</v>
      </c>
      <c r="BC287" s="16">
        <v>0</v>
      </c>
      <c r="BD287" s="16">
        <v>180460</v>
      </c>
      <c r="BE287" s="16">
        <v>0</v>
      </c>
      <c r="BF287" s="16">
        <v>18040</v>
      </c>
      <c r="BG287" s="16">
        <v>0</v>
      </c>
      <c r="BH287" s="16">
        <v>129350</v>
      </c>
      <c r="BI287" s="16">
        <v>179100</v>
      </c>
      <c r="BJ287" s="16">
        <v>25036</v>
      </c>
      <c r="BK287" s="16">
        <v>8100</v>
      </c>
      <c r="BL287" s="16">
        <v>0</v>
      </c>
      <c r="BM287" s="16">
        <v>0</v>
      </c>
      <c r="BN287" s="16">
        <v>17300</v>
      </c>
      <c r="BO287" s="16">
        <v>0</v>
      </c>
      <c r="BP287" s="16">
        <v>0</v>
      </c>
      <c r="BQ287" s="16">
        <v>0</v>
      </c>
      <c r="BR287" s="16">
        <v>0</v>
      </c>
      <c r="BS287" s="16">
        <v>0</v>
      </c>
      <c r="BT287" s="16">
        <v>0</v>
      </c>
      <c r="BU287" s="16">
        <v>0</v>
      </c>
      <c r="BV287" s="16">
        <v>0</v>
      </c>
      <c r="BW287" s="16">
        <v>0</v>
      </c>
    </row>
    <row r="288" spans="1:75" s="1" customFormat="1" ht="18" customHeight="1" collapsed="1">
      <c r="A288" s="10"/>
      <c r="B288" s="18"/>
      <c r="C288" s="19"/>
      <c r="D288" s="18"/>
      <c r="E288" s="19"/>
      <c r="F288" s="19"/>
      <c r="G288" s="19"/>
      <c r="H288" s="19"/>
      <c r="I288" s="19"/>
      <c r="J288" s="20"/>
      <c r="K288" s="19"/>
      <c r="L288" s="19"/>
      <c r="M288" s="19"/>
      <c r="N288" s="19"/>
      <c r="O288" s="21"/>
      <c r="P288" s="22"/>
      <c r="Q288" s="628" t="s">
        <v>129</v>
      </c>
      <c r="R288" s="628"/>
      <c r="S288" s="628"/>
      <c r="T288" s="23">
        <f t="shared" ref="T288:AZ288" si="169">SUMIF($Q$2:$Q$793,$Q289,T$2:T$793)</f>
        <v>39560603</v>
      </c>
      <c r="U288" s="23">
        <f t="shared" si="169"/>
        <v>46593124</v>
      </c>
      <c r="V288" s="23">
        <f t="shared" si="169"/>
        <v>30572875</v>
      </c>
      <c r="W288" s="23">
        <f t="shared" si="169"/>
        <v>11421187</v>
      </c>
      <c r="X288" s="23">
        <f t="shared" si="169"/>
        <v>0</v>
      </c>
      <c r="Y288" s="23">
        <f t="shared" si="169"/>
        <v>0</v>
      </c>
      <c r="Z288" s="23">
        <f t="shared" si="169"/>
        <v>0</v>
      </c>
      <c r="AA288" s="23">
        <f t="shared" si="169"/>
        <v>0</v>
      </c>
      <c r="AB288" s="23">
        <f t="shared" si="169"/>
        <v>0</v>
      </c>
      <c r="AC288" s="23">
        <f t="shared" si="169"/>
        <v>371741</v>
      </c>
      <c r="AD288" s="23">
        <f t="shared" si="169"/>
        <v>0</v>
      </c>
      <c r="AE288" s="23">
        <f t="shared" si="169"/>
        <v>1100000</v>
      </c>
      <c r="AF288" s="23">
        <f t="shared" si="169"/>
        <v>0</v>
      </c>
      <c r="AG288" s="23">
        <f t="shared" si="169"/>
        <v>0</v>
      </c>
      <c r="AH288" s="23">
        <f t="shared" si="169"/>
        <v>0</v>
      </c>
      <c r="AI288" s="23">
        <f t="shared" si="169"/>
        <v>2000000</v>
      </c>
      <c r="AJ288" s="23">
        <f t="shared" si="169"/>
        <v>350000</v>
      </c>
      <c r="AK288" s="23">
        <f t="shared" si="169"/>
        <v>300000</v>
      </c>
      <c r="AL288" s="23">
        <f t="shared" si="169"/>
        <v>500000</v>
      </c>
      <c r="AM288" s="23">
        <f t="shared" si="169"/>
        <v>0</v>
      </c>
      <c r="AN288" s="23">
        <f t="shared" si="169"/>
        <v>0</v>
      </c>
      <c r="AO288" s="23">
        <f t="shared" si="169"/>
        <v>0</v>
      </c>
      <c r="AP288" s="23">
        <f t="shared" si="169"/>
        <v>0</v>
      </c>
      <c r="AQ288" s="23">
        <f t="shared" si="169"/>
        <v>0</v>
      </c>
      <c r="AR288" s="23">
        <f t="shared" si="169"/>
        <v>0</v>
      </c>
      <c r="AS288" s="23">
        <f t="shared" si="169"/>
        <v>0</v>
      </c>
      <c r="AT288" s="23">
        <f t="shared" si="169"/>
        <v>-22679</v>
      </c>
      <c r="AU288" s="23">
        <f t="shared" si="169"/>
        <v>0</v>
      </c>
      <c r="AV288" s="23">
        <f t="shared" si="169"/>
        <v>0</v>
      </c>
      <c r="AW288" s="23">
        <f t="shared" si="169"/>
        <v>0</v>
      </c>
      <c r="AX288" s="23">
        <f t="shared" si="169"/>
        <v>0</v>
      </c>
      <c r="AY288" s="23">
        <f t="shared" si="169"/>
        <v>0</v>
      </c>
      <c r="AZ288" s="23">
        <f t="shared" si="169"/>
        <v>0</v>
      </c>
      <c r="BA288" s="23"/>
      <c r="BB288" s="23">
        <f t="shared" ref="BB288:BW288" si="170">SUMIF($Q$2:$Q$793,$Q289,BB$2:BB$793)</f>
        <v>7032521</v>
      </c>
      <c r="BC288" s="23">
        <f t="shared" si="170"/>
        <v>-8140</v>
      </c>
      <c r="BD288" s="23">
        <f t="shared" si="170"/>
        <v>2154770</v>
      </c>
      <c r="BE288" s="23">
        <f t="shared" si="170"/>
        <v>0</v>
      </c>
      <c r="BF288" s="23">
        <f t="shared" si="170"/>
        <v>215400</v>
      </c>
      <c r="BG288" s="23">
        <f t="shared" si="170"/>
        <v>0</v>
      </c>
      <c r="BH288" s="23">
        <f t="shared" si="170"/>
        <v>1404040</v>
      </c>
      <c r="BI288" s="23">
        <f t="shared" si="170"/>
        <v>2149200</v>
      </c>
      <c r="BJ288" s="23">
        <f t="shared" si="170"/>
        <v>296351</v>
      </c>
      <c r="BK288" s="23">
        <f t="shared" si="170"/>
        <v>96000</v>
      </c>
      <c r="BL288" s="23">
        <f t="shared" si="170"/>
        <v>0</v>
      </c>
      <c r="BM288" s="23">
        <f t="shared" si="170"/>
        <v>350000</v>
      </c>
      <c r="BN288" s="23">
        <f t="shared" si="170"/>
        <v>367800</v>
      </c>
      <c r="BO288" s="23">
        <f t="shared" si="170"/>
        <v>0</v>
      </c>
      <c r="BP288" s="23">
        <f t="shared" si="170"/>
        <v>7100</v>
      </c>
      <c r="BQ288" s="23">
        <f t="shared" si="170"/>
        <v>0</v>
      </c>
      <c r="BR288" s="23">
        <f t="shared" si="170"/>
        <v>0</v>
      </c>
      <c r="BS288" s="23">
        <f t="shared" si="170"/>
        <v>0</v>
      </c>
      <c r="BT288" s="23">
        <f t="shared" si="170"/>
        <v>0</v>
      </c>
      <c r="BU288" s="23">
        <f t="shared" si="170"/>
        <v>0</v>
      </c>
      <c r="BV288" s="23">
        <f t="shared" si="170"/>
        <v>0</v>
      </c>
      <c r="BW288" s="23">
        <f t="shared" si="170"/>
        <v>0</v>
      </c>
    </row>
    <row r="289" spans="17:75" ht="18" hidden="1" customHeight="1" outlineLevel="1">
      <c r="Q289" s="5">
        <v>2014</v>
      </c>
      <c r="R289" s="5">
        <v>12</v>
      </c>
      <c r="S289" s="5" t="s">
        <v>56</v>
      </c>
      <c r="T289" s="15">
        <f t="shared" ref="T289:T300" si="171">IF(U289=U289-BB289,0,U289-BB289)</f>
        <v>3400464</v>
      </c>
      <c r="U289" s="15">
        <f t="shared" ref="U289:U300" si="172">SUM(V289:BA289)</f>
        <v>3951740</v>
      </c>
      <c r="V289" s="16">
        <v>2695000</v>
      </c>
      <c r="W289" s="16">
        <v>1006740</v>
      </c>
      <c r="X289" s="16">
        <v>0</v>
      </c>
      <c r="Y289" s="16">
        <v>0</v>
      </c>
      <c r="Z289" s="16">
        <v>0</v>
      </c>
      <c r="AA289" s="16">
        <v>0</v>
      </c>
      <c r="AB289" s="16">
        <v>0</v>
      </c>
      <c r="AC289" s="16">
        <v>0</v>
      </c>
      <c r="AD289" s="16">
        <v>0</v>
      </c>
      <c r="AE289" s="16">
        <v>0</v>
      </c>
      <c r="AF289" s="16">
        <v>0</v>
      </c>
      <c r="AG289" s="16">
        <v>0</v>
      </c>
      <c r="AH289" s="16">
        <v>0</v>
      </c>
      <c r="AI289" s="16">
        <v>200000</v>
      </c>
      <c r="AJ289" s="16">
        <v>0</v>
      </c>
      <c r="AK289" s="16">
        <v>0</v>
      </c>
      <c r="AL289" s="16">
        <v>50000</v>
      </c>
      <c r="AM289" s="16">
        <v>0</v>
      </c>
      <c r="AN289" s="16">
        <v>0</v>
      </c>
      <c r="AO289" s="16">
        <v>0</v>
      </c>
      <c r="AP289" s="16">
        <v>0</v>
      </c>
      <c r="AQ289" s="16">
        <v>0</v>
      </c>
      <c r="AR289" s="16">
        <v>0</v>
      </c>
      <c r="AS289" s="16">
        <v>0</v>
      </c>
      <c r="AT289" s="16">
        <v>0</v>
      </c>
      <c r="AU289" s="16">
        <v>0</v>
      </c>
      <c r="AV289" s="16">
        <v>0</v>
      </c>
      <c r="AW289" s="16">
        <v>0</v>
      </c>
      <c r="AX289" s="16">
        <v>0</v>
      </c>
      <c r="AY289" s="16">
        <v>0</v>
      </c>
      <c r="AZ289" s="16">
        <v>0</v>
      </c>
      <c r="BA289" s="16"/>
      <c r="BB289" s="15">
        <f t="shared" ref="BB289:BB300" si="173">SUM(BC289:BW289)</f>
        <v>551276</v>
      </c>
      <c r="BC289" s="16">
        <v>0</v>
      </c>
      <c r="BD289" s="16">
        <v>180460</v>
      </c>
      <c r="BE289" s="16">
        <v>0</v>
      </c>
      <c r="BF289" s="16">
        <v>18040</v>
      </c>
      <c r="BG289" s="16">
        <v>0</v>
      </c>
      <c r="BH289" s="16">
        <v>127640</v>
      </c>
      <c r="BI289" s="16">
        <v>179100</v>
      </c>
      <c r="BJ289" s="16">
        <v>25036</v>
      </c>
      <c r="BK289" s="16">
        <v>8100</v>
      </c>
      <c r="BL289" s="16">
        <v>0</v>
      </c>
      <c r="BM289" s="16">
        <v>0</v>
      </c>
      <c r="BN289" s="16">
        <v>12900</v>
      </c>
      <c r="BO289" s="16">
        <v>0</v>
      </c>
      <c r="BP289" s="16">
        <v>0</v>
      </c>
      <c r="BQ289" s="16">
        <v>0</v>
      </c>
      <c r="BR289" s="16">
        <v>0</v>
      </c>
      <c r="BS289" s="16">
        <v>0</v>
      </c>
      <c r="BT289" s="16">
        <v>0</v>
      </c>
      <c r="BU289" s="16">
        <v>0</v>
      </c>
      <c r="BV289" s="16">
        <v>0</v>
      </c>
      <c r="BW289" s="16">
        <v>0</v>
      </c>
    </row>
    <row r="290" spans="17:75" ht="18" hidden="1" customHeight="1" outlineLevel="1">
      <c r="Q290" s="5">
        <v>2014</v>
      </c>
      <c r="R290" s="5">
        <v>11</v>
      </c>
      <c r="S290" s="5" t="s">
        <v>56</v>
      </c>
      <c r="T290" s="15">
        <f t="shared" si="171"/>
        <v>3374564</v>
      </c>
      <c r="U290" s="15">
        <f t="shared" si="172"/>
        <v>3951740</v>
      </c>
      <c r="V290" s="16">
        <v>2695000</v>
      </c>
      <c r="W290" s="16">
        <v>1006740</v>
      </c>
      <c r="X290" s="16">
        <v>0</v>
      </c>
      <c r="Y290" s="16">
        <v>0</v>
      </c>
      <c r="Z290" s="16">
        <v>0</v>
      </c>
      <c r="AA290" s="16">
        <v>0</v>
      </c>
      <c r="AB290" s="16">
        <v>0</v>
      </c>
      <c r="AC290" s="16">
        <v>0</v>
      </c>
      <c r="AD290" s="16">
        <v>0</v>
      </c>
      <c r="AE290" s="16">
        <v>0</v>
      </c>
      <c r="AF290" s="16">
        <v>0</v>
      </c>
      <c r="AG290" s="16">
        <v>0</v>
      </c>
      <c r="AH290" s="16">
        <v>0</v>
      </c>
      <c r="AI290" s="16">
        <v>200000</v>
      </c>
      <c r="AJ290" s="16">
        <v>0</v>
      </c>
      <c r="AK290" s="16">
        <v>0</v>
      </c>
      <c r="AL290" s="16">
        <v>50000</v>
      </c>
      <c r="AM290" s="16">
        <v>0</v>
      </c>
      <c r="AN290" s="16">
        <v>0</v>
      </c>
      <c r="AO290" s="16">
        <v>0</v>
      </c>
      <c r="AP290" s="16">
        <v>0</v>
      </c>
      <c r="AQ290" s="16">
        <v>0</v>
      </c>
      <c r="AR290" s="16">
        <v>0</v>
      </c>
      <c r="AS290" s="16">
        <v>0</v>
      </c>
      <c r="AT290" s="16">
        <v>0</v>
      </c>
      <c r="AU290" s="16">
        <v>0</v>
      </c>
      <c r="AV290" s="16">
        <v>0</v>
      </c>
      <c r="AW290" s="16">
        <v>0</v>
      </c>
      <c r="AX290" s="16">
        <v>0</v>
      </c>
      <c r="AY290" s="16">
        <v>0</v>
      </c>
      <c r="AZ290" s="16">
        <v>0</v>
      </c>
      <c r="BA290" s="16"/>
      <c r="BB290" s="15">
        <f t="shared" si="173"/>
        <v>577176</v>
      </c>
      <c r="BC290" s="16">
        <v>0</v>
      </c>
      <c r="BD290" s="16">
        <v>180460</v>
      </c>
      <c r="BE290" s="16">
        <v>0</v>
      </c>
      <c r="BF290" s="16">
        <v>18040</v>
      </c>
      <c r="BG290" s="16">
        <v>0</v>
      </c>
      <c r="BH290" s="16">
        <v>127640</v>
      </c>
      <c r="BI290" s="16">
        <v>179100</v>
      </c>
      <c r="BJ290" s="16">
        <v>25036</v>
      </c>
      <c r="BK290" s="16">
        <v>8100</v>
      </c>
      <c r="BL290" s="16">
        <v>0</v>
      </c>
      <c r="BM290" s="16">
        <v>0</v>
      </c>
      <c r="BN290" s="16">
        <v>38800</v>
      </c>
      <c r="BO290" s="16">
        <v>0</v>
      </c>
      <c r="BP290" s="16">
        <v>0</v>
      </c>
      <c r="BQ290" s="16">
        <v>0</v>
      </c>
      <c r="BR290" s="16">
        <v>0</v>
      </c>
      <c r="BS290" s="16">
        <v>0</v>
      </c>
      <c r="BT290" s="16">
        <v>0</v>
      </c>
      <c r="BU290" s="16">
        <v>0</v>
      </c>
      <c r="BV290" s="16">
        <v>0</v>
      </c>
      <c r="BW290" s="16">
        <v>0</v>
      </c>
    </row>
    <row r="291" spans="17:75" ht="18" hidden="1" customHeight="1" outlineLevel="1">
      <c r="Q291" s="5">
        <v>2014</v>
      </c>
      <c r="R291" s="5">
        <v>10</v>
      </c>
      <c r="S291" s="5" t="s">
        <v>56</v>
      </c>
      <c r="T291" s="15">
        <f t="shared" si="171"/>
        <v>3387064</v>
      </c>
      <c r="U291" s="15">
        <f t="shared" si="172"/>
        <v>3951740</v>
      </c>
      <c r="V291" s="16">
        <v>2695000</v>
      </c>
      <c r="W291" s="16">
        <v>1006740</v>
      </c>
      <c r="X291" s="16">
        <v>0</v>
      </c>
      <c r="Y291" s="16">
        <v>0</v>
      </c>
      <c r="Z291" s="16">
        <v>0</v>
      </c>
      <c r="AA291" s="16">
        <v>0</v>
      </c>
      <c r="AB291" s="16">
        <v>0</v>
      </c>
      <c r="AC291" s="16">
        <v>0</v>
      </c>
      <c r="AD291" s="16">
        <v>0</v>
      </c>
      <c r="AE291" s="16">
        <v>0</v>
      </c>
      <c r="AF291" s="16">
        <v>0</v>
      </c>
      <c r="AG291" s="16">
        <v>0</v>
      </c>
      <c r="AH291" s="16">
        <v>0</v>
      </c>
      <c r="AI291" s="16">
        <v>200000</v>
      </c>
      <c r="AJ291" s="16">
        <v>0</v>
      </c>
      <c r="AK291" s="16">
        <v>0</v>
      </c>
      <c r="AL291" s="16">
        <v>50000</v>
      </c>
      <c r="AM291" s="16">
        <v>0</v>
      </c>
      <c r="AN291" s="16">
        <v>0</v>
      </c>
      <c r="AO291" s="16">
        <v>0</v>
      </c>
      <c r="AP291" s="16">
        <v>0</v>
      </c>
      <c r="AQ291" s="16">
        <v>0</v>
      </c>
      <c r="AR291" s="16">
        <v>0</v>
      </c>
      <c r="AS291" s="16">
        <v>0</v>
      </c>
      <c r="AT291" s="16">
        <v>0</v>
      </c>
      <c r="AU291" s="16">
        <v>0</v>
      </c>
      <c r="AV291" s="16">
        <v>0</v>
      </c>
      <c r="AW291" s="16">
        <v>0</v>
      </c>
      <c r="AX291" s="16">
        <v>0</v>
      </c>
      <c r="AY291" s="16">
        <v>0</v>
      </c>
      <c r="AZ291" s="16">
        <v>0</v>
      </c>
      <c r="BA291" s="16"/>
      <c r="BB291" s="15">
        <f t="shared" si="173"/>
        <v>564676</v>
      </c>
      <c r="BC291" s="16">
        <v>0</v>
      </c>
      <c r="BD291" s="16">
        <v>180460</v>
      </c>
      <c r="BE291" s="16">
        <v>0</v>
      </c>
      <c r="BF291" s="16">
        <v>18040</v>
      </c>
      <c r="BG291" s="16">
        <v>0</v>
      </c>
      <c r="BH291" s="16">
        <v>127640</v>
      </c>
      <c r="BI291" s="16">
        <v>179100</v>
      </c>
      <c r="BJ291" s="16">
        <v>25036</v>
      </c>
      <c r="BK291" s="16">
        <v>8100</v>
      </c>
      <c r="BL291" s="16">
        <v>0</v>
      </c>
      <c r="BM291" s="16">
        <v>0</v>
      </c>
      <c r="BN291" s="16">
        <v>25800</v>
      </c>
      <c r="BO291" s="16">
        <v>0</v>
      </c>
      <c r="BP291" s="16">
        <v>500</v>
      </c>
      <c r="BQ291" s="16">
        <v>0</v>
      </c>
      <c r="BR291" s="16">
        <v>0</v>
      </c>
      <c r="BS291" s="16">
        <v>0</v>
      </c>
      <c r="BT291" s="16">
        <v>0</v>
      </c>
      <c r="BU291" s="16">
        <v>0</v>
      </c>
      <c r="BV291" s="16">
        <v>0</v>
      </c>
      <c r="BW291" s="16">
        <v>0</v>
      </c>
    </row>
    <row r="292" spans="17:75" ht="18" hidden="1" customHeight="1" outlineLevel="1">
      <c r="Q292" s="5">
        <v>2014</v>
      </c>
      <c r="R292" s="5">
        <v>9</v>
      </c>
      <c r="S292" s="5" t="s">
        <v>56</v>
      </c>
      <c r="T292" s="15">
        <f t="shared" si="171"/>
        <v>3346514</v>
      </c>
      <c r="U292" s="15">
        <f t="shared" si="172"/>
        <v>4051740</v>
      </c>
      <c r="V292" s="16">
        <v>2695000</v>
      </c>
      <c r="W292" s="16">
        <v>1006740</v>
      </c>
      <c r="X292" s="16">
        <v>0</v>
      </c>
      <c r="Y292" s="16">
        <v>0</v>
      </c>
      <c r="Z292" s="16">
        <v>0</v>
      </c>
      <c r="AA292" s="16">
        <v>0</v>
      </c>
      <c r="AB292" s="16">
        <v>0</v>
      </c>
      <c r="AC292" s="16">
        <v>0</v>
      </c>
      <c r="AD292" s="16">
        <v>0</v>
      </c>
      <c r="AE292" s="16">
        <v>0</v>
      </c>
      <c r="AF292" s="16">
        <v>0</v>
      </c>
      <c r="AG292" s="16">
        <v>0</v>
      </c>
      <c r="AH292" s="16">
        <v>0</v>
      </c>
      <c r="AI292" s="16">
        <v>200000</v>
      </c>
      <c r="AJ292" s="16">
        <v>100000</v>
      </c>
      <c r="AK292" s="16">
        <v>0</v>
      </c>
      <c r="AL292" s="16">
        <v>50000</v>
      </c>
      <c r="AM292" s="16">
        <v>0</v>
      </c>
      <c r="AN292" s="16">
        <v>0</v>
      </c>
      <c r="AO292" s="16">
        <v>0</v>
      </c>
      <c r="AP292" s="16">
        <v>0</v>
      </c>
      <c r="AQ292" s="16">
        <v>0</v>
      </c>
      <c r="AR292" s="16">
        <v>0</v>
      </c>
      <c r="AS292" s="16">
        <v>0</v>
      </c>
      <c r="AT292" s="16">
        <v>0</v>
      </c>
      <c r="AU292" s="16">
        <v>0</v>
      </c>
      <c r="AV292" s="16">
        <v>0</v>
      </c>
      <c r="AW292" s="16">
        <v>0</v>
      </c>
      <c r="AX292" s="16">
        <v>0</v>
      </c>
      <c r="AY292" s="16">
        <v>0</v>
      </c>
      <c r="AZ292" s="16">
        <v>0</v>
      </c>
      <c r="BA292" s="16"/>
      <c r="BB292" s="15">
        <f t="shared" si="173"/>
        <v>705226</v>
      </c>
      <c r="BC292" s="16">
        <v>0</v>
      </c>
      <c r="BD292" s="16">
        <v>193730</v>
      </c>
      <c r="BE292" s="16">
        <v>0</v>
      </c>
      <c r="BF292" s="16">
        <v>19370</v>
      </c>
      <c r="BG292" s="16">
        <v>0</v>
      </c>
      <c r="BH292" s="16">
        <v>127640</v>
      </c>
      <c r="BI292" s="16">
        <v>179100</v>
      </c>
      <c r="BJ292" s="16">
        <v>25686</v>
      </c>
      <c r="BK292" s="16">
        <v>8100</v>
      </c>
      <c r="BL292" s="16">
        <v>0</v>
      </c>
      <c r="BM292" s="16">
        <v>100000</v>
      </c>
      <c r="BN292" s="16">
        <v>51600</v>
      </c>
      <c r="BO292" s="16">
        <v>0</v>
      </c>
      <c r="BP292" s="16">
        <v>0</v>
      </c>
      <c r="BQ292" s="16">
        <v>0</v>
      </c>
      <c r="BR292" s="16">
        <v>0</v>
      </c>
      <c r="BS292" s="16">
        <v>0</v>
      </c>
      <c r="BT292" s="16">
        <v>0</v>
      </c>
      <c r="BU292" s="16">
        <v>0</v>
      </c>
      <c r="BV292" s="16">
        <v>0</v>
      </c>
      <c r="BW292" s="16">
        <v>0</v>
      </c>
    </row>
    <row r="293" spans="17:75" ht="18" hidden="1" customHeight="1" outlineLevel="1">
      <c r="Q293" s="5">
        <v>2014</v>
      </c>
      <c r="R293" s="5">
        <v>8</v>
      </c>
      <c r="S293" s="5" t="s">
        <v>56</v>
      </c>
      <c r="T293" s="15">
        <f t="shared" si="171"/>
        <v>3350964</v>
      </c>
      <c r="U293" s="15">
        <f t="shared" si="172"/>
        <v>3951740</v>
      </c>
      <c r="V293" s="16">
        <v>2695000</v>
      </c>
      <c r="W293" s="16">
        <v>1006740</v>
      </c>
      <c r="X293" s="16">
        <v>0</v>
      </c>
      <c r="Y293" s="16">
        <v>0</v>
      </c>
      <c r="Z293" s="16">
        <v>0</v>
      </c>
      <c r="AA293" s="16">
        <v>0</v>
      </c>
      <c r="AB293" s="16">
        <v>0</v>
      </c>
      <c r="AC293" s="16">
        <v>0</v>
      </c>
      <c r="AD293" s="16">
        <v>0</v>
      </c>
      <c r="AE293" s="16">
        <v>0</v>
      </c>
      <c r="AF293" s="16">
        <v>0</v>
      </c>
      <c r="AG293" s="16">
        <v>0</v>
      </c>
      <c r="AH293" s="16">
        <v>0</v>
      </c>
      <c r="AI293" s="16">
        <v>200000</v>
      </c>
      <c r="AJ293" s="16">
        <v>0</v>
      </c>
      <c r="AK293" s="16">
        <v>0</v>
      </c>
      <c r="AL293" s="16">
        <v>50000</v>
      </c>
      <c r="AM293" s="16">
        <v>0</v>
      </c>
      <c r="AN293" s="16">
        <v>0</v>
      </c>
      <c r="AO293" s="16">
        <v>0</v>
      </c>
      <c r="AP293" s="16">
        <v>0</v>
      </c>
      <c r="AQ293" s="16">
        <v>0</v>
      </c>
      <c r="AR293" s="16">
        <v>0</v>
      </c>
      <c r="AS293" s="16">
        <v>0</v>
      </c>
      <c r="AT293" s="16">
        <v>0</v>
      </c>
      <c r="AU293" s="16">
        <v>0</v>
      </c>
      <c r="AV293" s="16">
        <v>0</v>
      </c>
      <c r="AW293" s="16">
        <v>0</v>
      </c>
      <c r="AX293" s="16">
        <v>0</v>
      </c>
      <c r="AY293" s="16">
        <v>0</v>
      </c>
      <c r="AZ293" s="16">
        <v>0</v>
      </c>
      <c r="BA293" s="16"/>
      <c r="BB293" s="15">
        <f t="shared" si="173"/>
        <v>600776</v>
      </c>
      <c r="BC293" s="16">
        <v>0</v>
      </c>
      <c r="BD293" s="16">
        <v>180460</v>
      </c>
      <c r="BE293" s="16">
        <v>0</v>
      </c>
      <c r="BF293" s="16">
        <v>18040</v>
      </c>
      <c r="BG293" s="16">
        <v>0</v>
      </c>
      <c r="BH293" s="16">
        <v>127640</v>
      </c>
      <c r="BI293" s="16">
        <v>179100</v>
      </c>
      <c r="BJ293" s="16">
        <v>25036</v>
      </c>
      <c r="BK293" s="16">
        <v>8100</v>
      </c>
      <c r="BL293" s="16">
        <v>0</v>
      </c>
      <c r="BM293" s="16">
        <v>0</v>
      </c>
      <c r="BN293" s="16">
        <v>62400</v>
      </c>
      <c r="BO293" s="16">
        <v>0</v>
      </c>
      <c r="BP293" s="16">
        <v>0</v>
      </c>
      <c r="BQ293" s="16">
        <v>0</v>
      </c>
      <c r="BR293" s="16">
        <v>0</v>
      </c>
      <c r="BS293" s="16">
        <v>0</v>
      </c>
      <c r="BT293" s="16">
        <v>0</v>
      </c>
      <c r="BU293" s="16">
        <v>0</v>
      </c>
      <c r="BV293" s="16">
        <v>0</v>
      </c>
      <c r="BW293" s="16">
        <v>0</v>
      </c>
    </row>
    <row r="294" spans="17:75" ht="18" hidden="1" customHeight="1" outlineLevel="1">
      <c r="Q294" s="5">
        <v>2014</v>
      </c>
      <c r="R294" s="5">
        <v>7</v>
      </c>
      <c r="S294" s="5" t="s">
        <v>56</v>
      </c>
      <c r="T294" s="15">
        <f t="shared" si="171"/>
        <v>4532943</v>
      </c>
      <c r="U294" s="15">
        <f t="shared" si="172"/>
        <v>5329061</v>
      </c>
      <c r="V294" s="16">
        <v>2695000</v>
      </c>
      <c r="W294" s="16">
        <v>1006740</v>
      </c>
      <c r="X294" s="16">
        <v>0</v>
      </c>
      <c r="Y294" s="16">
        <v>0</v>
      </c>
      <c r="Z294" s="16">
        <v>0</v>
      </c>
      <c r="AA294" s="16">
        <v>0</v>
      </c>
      <c r="AB294" s="16">
        <v>0</v>
      </c>
      <c r="AC294" s="16">
        <v>0</v>
      </c>
      <c r="AD294" s="16">
        <v>0</v>
      </c>
      <c r="AE294" s="16">
        <v>1100000</v>
      </c>
      <c r="AF294" s="16">
        <v>0</v>
      </c>
      <c r="AG294" s="16">
        <v>0</v>
      </c>
      <c r="AH294" s="16">
        <v>0</v>
      </c>
      <c r="AI294" s="16">
        <v>200000</v>
      </c>
      <c r="AJ294" s="16">
        <v>0</v>
      </c>
      <c r="AK294" s="16">
        <v>300000</v>
      </c>
      <c r="AL294" s="16">
        <v>50000</v>
      </c>
      <c r="AM294" s="16">
        <v>0</v>
      </c>
      <c r="AN294" s="16">
        <v>0</v>
      </c>
      <c r="AO294" s="16">
        <v>0</v>
      </c>
      <c r="AP294" s="16">
        <v>0</v>
      </c>
      <c r="AQ294" s="16">
        <v>0</v>
      </c>
      <c r="AR294" s="16">
        <v>0</v>
      </c>
      <c r="AS294" s="16">
        <v>0</v>
      </c>
      <c r="AT294" s="16">
        <v>-22679</v>
      </c>
      <c r="AU294" s="16">
        <v>0</v>
      </c>
      <c r="AV294" s="16">
        <v>0</v>
      </c>
      <c r="AW294" s="16">
        <v>0</v>
      </c>
      <c r="AX294" s="16">
        <v>0</v>
      </c>
      <c r="AY294" s="16">
        <v>0</v>
      </c>
      <c r="AZ294" s="16">
        <v>0</v>
      </c>
      <c r="BA294" s="16"/>
      <c r="BB294" s="15">
        <f t="shared" si="173"/>
        <v>796118</v>
      </c>
      <c r="BC294" s="16">
        <v>0</v>
      </c>
      <c r="BD294" s="16">
        <v>374590</v>
      </c>
      <c r="BE294" s="16">
        <v>0</v>
      </c>
      <c r="BF294" s="16">
        <v>37450</v>
      </c>
      <c r="BG294" s="16">
        <v>0</v>
      </c>
      <c r="BH294" s="16">
        <v>127640</v>
      </c>
      <c r="BI294" s="16">
        <v>179100</v>
      </c>
      <c r="BJ294" s="16">
        <v>33988</v>
      </c>
      <c r="BK294" s="16">
        <v>8100</v>
      </c>
      <c r="BL294" s="16">
        <v>0</v>
      </c>
      <c r="BM294" s="16">
        <v>0</v>
      </c>
      <c r="BN294" s="16">
        <v>34400</v>
      </c>
      <c r="BO294" s="16">
        <v>0</v>
      </c>
      <c r="BP294" s="16">
        <v>850</v>
      </c>
      <c r="BQ294" s="16">
        <v>0</v>
      </c>
      <c r="BR294" s="16">
        <v>0</v>
      </c>
      <c r="BS294" s="16">
        <v>0</v>
      </c>
      <c r="BT294" s="16">
        <v>0</v>
      </c>
      <c r="BU294" s="16">
        <v>0</v>
      </c>
      <c r="BV294" s="16">
        <v>0</v>
      </c>
      <c r="BW294" s="16">
        <v>0</v>
      </c>
    </row>
    <row r="295" spans="17:75" ht="18" hidden="1" customHeight="1" outlineLevel="1">
      <c r="Q295" s="5">
        <v>2014</v>
      </c>
      <c r="R295" s="5">
        <v>6</v>
      </c>
      <c r="S295" s="5" t="s">
        <v>56</v>
      </c>
      <c r="T295" s="15">
        <f t="shared" si="171"/>
        <v>3686492</v>
      </c>
      <c r="U295" s="15">
        <f t="shared" si="172"/>
        <v>4327651</v>
      </c>
      <c r="V295" s="16">
        <v>2698000</v>
      </c>
      <c r="W295" s="16">
        <v>1007910</v>
      </c>
      <c r="X295" s="16">
        <v>0</v>
      </c>
      <c r="Y295" s="16">
        <v>0</v>
      </c>
      <c r="Z295" s="16">
        <v>0</v>
      </c>
      <c r="AA295" s="16">
        <v>0</v>
      </c>
      <c r="AB295" s="16">
        <v>0</v>
      </c>
      <c r="AC295" s="16">
        <v>371741</v>
      </c>
      <c r="AD295" s="16">
        <v>0</v>
      </c>
      <c r="AE295" s="16">
        <v>0</v>
      </c>
      <c r="AF295" s="16">
        <v>0</v>
      </c>
      <c r="AG295" s="16">
        <v>0</v>
      </c>
      <c r="AH295" s="16">
        <v>0</v>
      </c>
      <c r="AI295" s="16">
        <v>200000</v>
      </c>
      <c r="AJ295" s="16">
        <v>0</v>
      </c>
      <c r="AK295" s="16">
        <v>0</v>
      </c>
      <c r="AL295" s="16">
        <v>50000</v>
      </c>
      <c r="AM295" s="16">
        <v>0</v>
      </c>
      <c r="AN295" s="16">
        <v>0</v>
      </c>
      <c r="AO295" s="16">
        <v>0</v>
      </c>
      <c r="AP295" s="16">
        <v>0</v>
      </c>
      <c r="AQ295" s="16">
        <v>0</v>
      </c>
      <c r="AR295" s="16">
        <v>0</v>
      </c>
      <c r="AS295" s="16">
        <v>0</v>
      </c>
      <c r="AT295" s="16">
        <v>0</v>
      </c>
      <c r="AU295" s="16">
        <v>0</v>
      </c>
      <c r="AV295" s="16">
        <v>0</v>
      </c>
      <c r="AW295" s="16">
        <v>0</v>
      </c>
      <c r="AX295" s="16">
        <v>0</v>
      </c>
      <c r="AY295" s="16">
        <v>0</v>
      </c>
      <c r="AZ295" s="16">
        <v>0</v>
      </c>
      <c r="BA295" s="16"/>
      <c r="BB295" s="15">
        <f t="shared" si="173"/>
        <v>641159</v>
      </c>
      <c r="BC295" s="16">
        <v>0</v>
      </c>
      <c r="BD295" s="16">
        <v>232590</v>
      </c>
      <c r="BE295" s="16">
        <v>0</v>
      </c>
      <c r="BF295" s="16">
        <v>23250</v>
      </c>
      <c r="BG295" s="16">
        <v>0</v>
      </c>
      <c r="BH295" s="16">
        <v>127640</v>
      </c>
      <c r="BI295" s="16">
        <v>179100</v>
      </c>
      <c r="BJ295" s="16">
        <v>27479</v>
      </c>
      <c r="BK295" s="16">
        <v>8100</v>
      </c>
      <c r="BL295" s="16">
        <v>0</v>
      </c>
      <c r="BM295" s="16">
        <v>0</v>
      </c>
      <c r="BN295" s="16">
        <v>43000</v>
      </c>
      <c r="BO295" s="16">
        <v>0</v>
      </c>
      <c r="BP295" s="16">
        <v>0</v>
      </c>
      <c r="BQ295" s="16">
        <v>0</v>
      </c>
      <c r="BR295" s="16">
        <v>0</v>
      </c>
      <c r="BS295" s="16">
        <v>0</v>
      </c>
      <c r="BT295" s="16">
        <v>0</v>
      </c>
      <c r="BU295" s="16">
        <v>0</v>
      </c>
      <c r="BV295" s="16">
        <v>0</v>
      </c>
      <c r="BW295" s="16">
        <v>0</v>
      </c>
    </row>
    <row r="296" spans="17:75" ht="18" hidden="1" customHeight="1" outlineLevel="1">
      <c r="Q296" s="5">
        <v>2014</v>
      </c>
      <c r="R296" s="5">
        <v>5</v>
      </c>
      <c r="S296" s="5" t="s">
        <v>56</v>
      </c>
      <c r="T296" s="15">
        <f t="shared" si="171"/>
        <v>3261546</v>
      </c>
      <c r="U296" s="15">
        <f t="shared" si="172"/>
        <v>4022160</v>
      </c>
      <c r="V296" s="16">
        <v>2637000</v>
      </c>
      <c r="W296" s="16">
        <v>985160</v>
      </c>
      <c r="X296" s="16">
        <v>0</v>
      </c>
      <c r="Y296" s="16">
        <v>0</v>
      </c>
      <c r="Z296" s="16">
        <v>0</v>
      </c>
      <c r="AA296" s="16">
        <v>0</v>
      </c>
      <c r="AB296" s="16">
        <v>0</v>
      </c>
      <c r="AC296" s="16">
        <v>0</v>
      </c>
      <c r="AD296" s="16">
        <v>0</v>
      </c>
      <c r="AE296" s="16">
        <v>0</v>
      </c>
      <c r="AF296" s="16">
        <v>0</v>
      </c>
      <c r="AG296" s="16">
        <v>0</v>
      </c>
      <c r="AH296" s="16">
        <v>0</v>
      </c>
      <c r="AI296" s="16">
        <v>200000</v>
      </c>
      <c r="AJ296" s="16">
        <v>150000</v>
      </c>
      <c r="AK296" s="16">
        <v>0</v>
      </c>
      <c r="AL296" s="16">
        <v>50000</v>
      </c>
      <c r="AM296" s="16">
        <v>0</v>
      </c>
      <c r="AN296" s="16">
        <v>0</v>
      </c>
      <c r="AO296" s="16">
        <v>0</v>
      </c>
      <c r="AP296" s="16">
        <v>0</v>
      </c>
      <c r="AQ296" s="16">
        <v>0</v>
      </c>
      <c r="AR296" s="16">
        <v>0</v>
      </c>
      <c r="AS296" s="16">
        <v>0</v>
      </c>
      <c r="AT296" s="16">
        <v>0</v>
      </c>
      <c r="AU296" s="16">
        <v>0</v>
      </c>
      <c r="AV296" s="16">
        <v>0</v>
      </c>
      <c r="AW296" s="16">
        <v>0</v>
      </c>
      <c r="AX296" s="16">
        <v>0</v>
      </c>
      <c r="AY296" s="16">
        <v>0</v>
      </c>
      <c r="AZ296" s="16">
        <v>0</v>
      </c>
      <c r="BA296" s="16"/>
      <c r="BB296" s="15">
        <f t="shared" si="173"/>
        <v>760614</v>
      </c>
      <c r="BC296" s="16">
        <v>0</v>
      </c>
      <c r="BD296" s="16">
        <v>191080</v>
      </c>
      <c r="BE296" s="16">
        <v>0</v>
      </c>
      <c r="BF296" s="16">
        <v>19100</v>
      </c>
      <c r="BG296" s="16">
        <v>0</v>
      </c>
      <c r="BH296" s="16">
        <v>127640</v>
      </c>
      <c r="BI296" s="16">
        <v>179100</v>
      </c>
      <c r="BJ296" s="16">
        <v>25494</v>
      </c>
      <c r="BK296" s="16">
        <v>8000</v>
      </c>
      <c r="BL296" s="16">
        <v>0</v>
      </c>
      <c r="BM296" s="16">
        <v>150000</v>
      </c>
      <c r="BN296" s="16">
        <v>60200</v>
      </c>
      <c r="BO296" s="16">
        <v>0</v>
      </c>
      <c r="BP296" s="16">
        <v>0</v>
      </c>
      <c r="BQ296" s="16">
        <v>0</v>
      </c>
      <c r="BR296" s="16">
        <v>0</v>
      </c>
      <c r="BS296" s="16">
        <v>0</v>
      </c>
      <c r="BT296" s="16">
        <v>0</v>
      </c>
      <c r="BU296" s="16">
        <v>0</v>
      </c>
      <c r="BV296" s="16">
        <v>0</v>
      </c>
      <c r="BW296" s="16">
        <v>0</v>
      </c>
    </row>
    <row r="297" spans="17:75" ht="18" hidden="1" customHeight="1" outlineLevel="1">
      <c r="Q297" s="5">
        <v>2014</v>
      </c>
      <c r="R297" s="5">
        <v>4</v>
      </c>
      <c r="S297" s="5" t="s">
        <v>56</v>
      </c>
      <c r="T297" s="15">
        <f t="shared" si="171"/>
        <v>3306381</v>
      </c>
      <c r="U297" s="15">
        <f t="shared" si="172"/>
        <v>3872160</v>
      </c>
      <c r="V297" s="16">
        <v>2637000</v>
      </c>
      <c r="W297" s="16">
        <v>985160</v>
      </c>
      <c r="X297" s="16">
        <v>0</v>
      </c>
      <c r="Y297" s="16">
        <v>0</v>
      </c>
      <c r="Z297" s="16">
        <v>0</v>
      </c>
      <c r="AA297" s="16">
        <v>0</v>
      </c>
      <c r="AB297" s="16">
        <v>0</v>
      </c>
      <c r="AC297" s="16">
        <v>0</v>
      </c>
      <c r="AD297" s="16">
        <v>0</v>
      </c>
      <c r="AE297" s="16">
        <v>0</v>
      </c>
      <c r="AF297" s="16">
        <v>0</v>
      </c>
      <c r="AG297" s="16">
        <v>0</v>
      </c>
      <c r="AH297" s="16">
        <v>0</v>
      </c>
      <c r="AI297" s="16">
        <v>200000</v>
      </c>
      <c r="AJ297" s="16">
        <v>0</v>
      </c>
      <c r="AK297" s="16">
        <v>0</v>
      </c>
      <c r="AL297" s="16">
        <v>50000</v>
      </c>
      <c r="AM297" s="16">
        <v>0</v>
      </c>
      <c r="AN297" s="16">
        <v>0</v>
      </c>
      <c r="AO297" s="16">
        <v>0</v>
      </c>
      <c r="AP297" s="16">
        <v>0</v>
      </c>
      <c r="AQ297" s="16">
        <v>0</v>
      </c>
      <c r="AR297" s="16">
        <v>0</v>
      </c>
      <c r="AS297" s="16">
        <v>0</v>
      </c>
      <c r="AT297" s="16">
        <v>0</v>
      </c>
      <c r="AU297" s="16">
        <v>0</v>
      </c>
      <c r="AV297" s="16">
        <v>0</v>
      </c>
      <c r="AW297" s="16">
        <v>0</v>
      </c>
      <c r="AX297" s="16">
        <v>0</v>
      </c>
      <c r="AY297" s="16">
        <v>0</v>
      </c>
      <c r="AZ297" s="16">
        <v>0</v>
      </c>
      <c r="BA297" s="16"/>
      <c r="BB297" s="15">
        <f t="shared" si="173"/>
        <v>565779</v>
      </c>
      <c r="BC297" s="16">
        <v>0</v>
      </c>
      <c r="BD297" s="16">
        <v>169840</v>
      </c>
      <c r="BE297" s="16">
        <v>0</v>
      </c>
      <c r="BF297" s="16">
        <v>16980</v>
      </c>
      <c r="BG297" s="16">
        <v>0</v>
      </c>
      <c r="BH297" s="16">
        <v>127640</v>
      </c>
      <c r="BI297" s="16">
        <v>179100</v>
      </c>
      <c r="BJ297" s="16">
        <v>24519</v>
      </c>
      <c r="BK297" s="16">
        <v>8000</v>
      </c>
      <c r="BL297" s="16">
        <v>0</v>
      </c>
      <c r="BM297" s="16">
        <v>0</v>
      </c>
      <c r="BN297" s="16">
        <v>38700</v>
      </c>
      <c r="BO297" s="16">
        <v>0</v>
      </c>
      <c r="BP297" s="16">
        <v>1000</v>
      </c>
      <c r="BQ297" s="16">
        <v>0</v>
      </c>
      <c r="BR297" s="16">
        <v>0</v>
      </c>
      <c r="BS297" s="16">
        <v>0</v>
      </c>
      <c r="BT297" s="16">
        <v>0</v>
      </c>
      <c r="BU297" s="16">
        <v>0</v>
      </c>
      <c r="BV297" s="16">
        <v>0</v>
      </c>
      <c r="BW297" s="16">
        <v>0</v>
      </c>
    </row>
    <row r="298" spans="17:75" ht="18" hidden="1" customHeight="1" outlineLevel="1">
      <c r="Q298" s="5">
        <v>2014</v>
      </c>
      <c r="R298" s="5">
        <v>3</v>
      </c>
      <c r="S298" s="5" t="s">
        <v>56</v>
      </c>
      <c r="T298" s="15">
        <f t="shared" si="171"/>
        <v>3256874</v>
      </c>
      <c r="U298" s="15">
        <f t="shared" si="172"/>
        <v>3755313</v>
      </c>
      <c r="V298" s="16">
        <v>2551934</v>
      </c>
      <c r="W298" s="16">
        <v>953379</v>
      </c>
      <c r="X298" s="16">
        <v>0</v>
      </c>
      <c r="Y298" s="16">
        <v>0</v>
      </c>
      <c r="Z298" s="16">
        <v>0</v>
      </c>
      <c r="AA298" s="16">
        <v>0</v>
      </c>
      <c r="AB298" s="16">
        <v>0</v>
      </c>
      <c r="AC298" s="16">
        <v>0</v>
      </c>
      <c r="AD298" s="16">
        <v>0</v>
      </c>
      <c r="AE298" s="16">
        <v>0</v>
      </c>
      <c r="AF298" s="16">
        <v>0</v>
      </c>
      <c r="AG298" s="16">
        <v>0</v>
      </c>
      <c r="AH298" s="16">
        <v>0</v>
      </c>
      <c r="AI298" s="16">
        <v>200000</v>
      </c>
      <c r="AJ298" s="16">
        <v>0</v>
      </c>
      <c r="AK298" s="16">
        <v>0</v>
      </c>
      <c r="AL298" s="16">
        <v>50000</v>
      </c>
      <c r="AM298" s="16">
        <v>0</v>
      </c>
      <c r="AN298" s="16">
        <v>0</v>
      </c>
      <c r="AO298" s="16">
        <v>0</v>
      </c>
      <c r="AP298" s="16">
        <v>0</v>
      </c>
      <c r="AQ298" s="16">
        <v>0</v>
      </c>
      <c r="AR298" s="16">
        <v>0</v>
      </c>
      <c r="AS298" s="16">
        <v>0</v>
      </c>
      <c r="AT298" s="16">
        <v>0</v>
      </c>
      <c r="AU298" s="16">
        <v>0</v>
      </c>
      <c r="AV298" s="16">
        <v>0</v>
      </c>
      <c r="AW298" s="16">
        <v>0</v>
      </c>
      <c r="AX298" s="16">
        <v>0</v>
      </c>
      <c r="AY298" s="16">
        <v>0</v>
      </c>
      <c r="AZ298" s="16">
        <v>0</v>
      </c>
      <c r="BA298" s="16"/>
      <c r="BB298" s="15">
        <f t="shared" si="173"/>
        <v>498439</v>
      </c>
      <c r="BC298" s="16">
        <v>-8140</v>
      </c>
      <c r="BD298" s="16">
        <v>153080</v>
      </c>
      <c r="BE298" s="16">
        <v>0</v>
      </c>
      <c r="BF298" s="16">
        <v>15300</v>
      </c>
      <c r="BG298" s="16">
        <v>0</v>
      </c>
      <c r="BH298" s="16">
        <v>127640</v>
      </c>
      <c r="BI298" s="16">
        <v>179100</v>
      </c>
      <c r="BJ298" s="16">
        <v>23759</v>
      </c>
      <c r="BK298" s="16">
        <v>7700</v>
      </c>
      <c r="BL298" s="16">
        <v>0</v>
      </c>
      <c r="BM298" s="16">
        <v>0</v>
      </c>
      <c r="BN298" s="16">
        <v>0</v>
      </c>
      <c r="BO298" s="16">
        <v>0</v>
      </c>
      <c r="BP298" s="16">
        <v>0</v>
      </c>
      <c r="BQ298" s="16">
        <v>0</v>
      </c>
      <c r="BR298" s="16">
        <v>0</v>
      </c>
      <c r="BS298" s="16">
        <v>0</v>
      </c>
      <c r="BT298" s="16">
        <v>0</v>
      </c>
      <c r="BU298" s="16">
        <v>0</v>
      </c>
      <c r="BV298" s="16">
        <v>0</v>
      </c>
      <c r="BW298" s="16">
        <v>0</v>
      </c>
    </row>
    <row r="299" spans="17:75" ht="18" hidden="1" customHeight="1" outlineLevel="1">
      <c r="Q299" s="5">
        <v>2014</v>
      </c>
      <c r="R299" s="5">
        <v>2</v>
      </c>
      <c r="S299" s="5" t="s">
        <v>56</v>
      </c>
      <c r="T299" s="15">
        <f t="shared" si="171"/>
        <v>2393823</v>
      </c>
      <c r="U299" s="15">
        <f t="shared" si="172"/>
        <v>2997728</v>
      </c>
      <c r="V299" s="16">
        <v>2109600</v>
      </c>
      <c r="W299" s="16">
        <v>788128</v>
      </c>
      <c r="X299" s="16">
        <v>0</v>
      </c>
      <c r="Y299" s="16">
        <v>0</v>
      </c>
      <c r="Z299" s="16">
        <v>0</v>
      </c>
      <c r="AA299" s="16">
        <v>0</v>
      </c>
      <c r="AB299" s="16">
        <v>0</v>
      </c>
      <c r="AC299" s="16">
        <v>0</v>
      </c>
      <c r="AD299" s="16">
        <v>0</v>
      </c>
      <c r="AE299" s="16">
        <v>0</v>
      </c>
      <c r="AF299" s="16">
        <v>0</v>
      </c>
      <c r="AG299" s="16">
        <v>0</v>
      </c>
      <c r="AH299" s="16">
        <v>0</v>
      </c>
      <c r="AI299" s="16">
        <v>0</v>
      </c>
      <c r="AJ299" s="16">
        <v>100000</v>
      </c>
      <c r="AK299" s="16">
        <v>0</v>
      </c>
      <c r="AL299" s="16">
        <v>0</v>
      </c>
      <c r="AM299" s="16">
        <v>0</v>
      </c>
      <c r="AN299" s="16">
        <v>0</v>
      </c>
      <c r="AO299" s="16">
        <v>0</v>
      </c>
      <c r="AP299" s="16">
        <v>0</v>
      </c>
      <c r="AQ299" s="16">
        <v>0</v>
      </c>
      <c r="AR299" s="16">
        <v>0</v>
      </c>
      <c r="AS299" s="16">
        <v>0</v>
      </c>
      <c r="AT299" s="16">
        <v>0</v>
      </c>
      <c r="AU299" s="16">
        <v>0</v>
      </c>
      <c r="AV299" s="16">
        <v>0</v>
      </c>
      <c r="AW299" s="16">
        <v>0</v>
      </c>
      <c r="AX299" s="16">
        <v>0</v>
      </c>
      <c r="AY299" s="16">
        <v>0</v>
      </c>
      <c r="AZ299" s="16">
        <v>0</v>
      </c>
      <c r="BA299" s="16"/>
      <c r="BB299" s="15">
        <f t="shared" si="173"/>
        <v>603905</v>
      </c>
      <c r="BC299" s="16">
        <v>0</v>
      </c>
      <c r="BD299" s="16">
        <v>86590</v>
      </c>
      <c r="BE299" s="16">
        <v>0</v>
      </c>
      <c r="BF299" s="16">
        <v>8650</v>
      </c>
      <c r="BG299" s="16">
        <v>0</v>
      </c>
      <c r="BH299" s="16">
        <v>127640</v>
      </c>
      <c r="BI299" s="16">
        <v>248840</v>
      </c>
      <c r="BJ299" s="16">
        <v>19485</v>
      </c>
      <c r="BK299" s="16">
        <v>8500</v>
      </c>
      <c r="BL299" s="16">
        <v>0</v>
      </c>
      <c r="BM299" s="16">
        <v>100000</v>
      </c>
      <c r="BN299" s="16">
        <v>0</v>
      </c>
      <c r="BO299" s="16">
        <v>0</v>
      </c>
      <c r="BP299" s="16">
        <v>4200</v>
      </c>
      <c r="BQ299" s="16">
        <v>0</v>
      </c>
      <c r="BR299" s="16">
        <v>0</v>
      </c>
      <c r="BS299" s="16">
        <v>0</v>
      </c>
      <c r="BT299" s="16">
        <v>0</v>
      </c>
      <c r="BU299" s="16">
        <v>0</v>
      </c>
      <c r="BV299" s="16">
        <v>0</v>
      </c>
      <c r="BW299" s="16">
        <v>0</v>
      </c>
    </row>
    <row r="300" spans="17:75" ht="18" hidden="1" customHeight="1" outlineLevel="1">
      <c r="Q300" s="5">
        <v>2014</v>
      </c>
      <c r="R300" s="5">
        <v>1</v>
      </c>
      <c r="S300" s="5" t="s">
        <v>56</v>
      </c>
      <c r="T300" s="15">
        <f t="shared" si="171"/>
        <v>2262974</v>
      </c>
      <c r="U300" s="15">
        <f t="shared" si="172"/>
        <v>2430351</v>
      </c>
      <c r="V300" s="16">
        <v>1769341</v>
      </c>
      <c r="W300" s="16">
        <v>661010</v>
      </c>
      <c r="X300" s="16">
        <v>0</v>
      </c>
      <c r="Y300" s="16">
        <v>0</v>
      </c>
      <c r="Z300" s="16">
        <v>0</v>
      </c>
      <c r="AA300" s="16">
        <v>0</v>
      </c>
      <c r="AB300" s="16">
        <v>0</v>
      </c>
      <c r="AC300" s="16">
        <v>0</v>
      </c>
      <c r="AD300" s="16">
        <v>0</v>
      </c>
      <c r="AE300" s="16">
        <v>0</v>
      </c>
      <c r="AF300" s="16">
        <v>0</v>
      </c>
      <c r="AG300" s="16">
        <v>0</v>
      </c>
      <c r="AH300" s="16">
        <v>0</v>
      </c>
      <c r="AI300" s="16">
        <v>0</v>
      </c>
      <c r="AJ300" s="16">
        <v>0</v>
      </c>
      <c r="AK300" s="16">
        <v>0</v>
      </c>
      <c r="AL300" s="16">
        <v>0</v>
      </c>
      <c r="AM300" s="16">
        <v>0</v>
      </c>
      <c r="AN300" s="16">
        <v>0</v>
      </c>
      <c r="AO300" s="16">
        <v>0</v>
      </c>
      <c r="AP300" s="16">
        <v>0</v>
      </c>
      <c r="AQ300" s="16">
        <v>0</v>
      </c>
      <c r="AR300" s="16">
        <v>0</v>
      </c>
      <c r="AS300" s="16">
        <v>0</v>
      </c>
      <c r="AT300" s="16">
        <v>0</v>
      </c>
      <c r="AU300" s="16">
        <v>0</v>
      </c>
      <c r="AV300" s="16">
        <v>0</v>
      </c>
      <c r="AW300" s="16">
        <v>0</v>
      </c>
      <c r="AX300" s="16">
        <v>0</v>
      </c>
      <c r="AY300" s="16">
        <v>0</v>
      </c>
      <c r="AZ300" s="16">
        <v>0</v>
      </c>
      <c r="BA300" s="16"/>
      <c r="BB300" s="15">
        <f t="shared" si="173"/>
        <v>167377</v>
      </c>
      <c r="BC300" s="16">
        <v>0</v>
      </c>
      <c r="BD300" s="16">
        <v>31430</v>
      </c>
      <c r="BE300" s="16">
        <v>0</v>
      </c>
      <c r="BF300" s="16">
        <v>3140</v>
      </c>
      <c r="BG300" s="16">
        <v>0</v>
      </c>
      <c r="BH300" s="16">
        <v>0</v>
      </c>
      <c r="BI300" s="16">
        <v>109360</v>
      </c>
      <c r="BJ300" s="16">
        <v>15797</v>
      </c>
      <c r="BK300" s="16">
        <v>7100</v>
      </c>
      <c r="BL300" s="16">
        <v>0</v>
      </c>
      <c r="BM300" s="16">
        <v>0</v>
      </c>
      <c r="BN300" s="16">
        <v>0</v>
      </c>
      <c r="BO300" s="16">
        <v>0</v>
      </c>
      <c r="BP300" s="16">
        <v>550</v>
      </c>
      <c r="BQ300" s="16">
        <v>0</v>
      </c>
      <c r="BR300" s="16">
        <v>0</v>
      </c>
      <c r="BS300" s="16">
        <v>0</v>
      </c>
      <c r="BT300" s="16">
        <v>0</v>
      </c>
      <c r="BU300" s="16">
        <v>0</v>
      </c>
      <c r="BV300" s="16">
        <v>0</v>
      </c>
      <c r="BW300" s="16">
        <v>0</v>
      </c>
    </row>
    <row r="301" spans="17:75" ht="18" customHeight="1" collapsed="1">
      <c r="Q301" s="5"/>
      <c r="R301" s="5"/>
      <c r="S301" s="5"/>
    </row>
    <row r="302" spans="17:75" ht="18" customHeight="1">
      <c r="Q302" s="5"/>
      <c r="R302" s="5"/>
      <c r="S302" s="5"/>
      <c r="T302" s="57"/>
    </row>
    <row r="303" spans="17:75" ht="18" customHeight="1">
      <c r="Q303" s="5"/>
      <c r="R303" s="5"/>
      <c r="S303" s="5"/>
      <c r="V303" s="9"/>
    </row>
    <row r="304" spans="17:75" ht="18" customHeight="1">
      <c r="Q304" s="5"/>
      <c r="R304" s="5"/>
      <c r="S304" s="5"/>
      <c r="V304" s="9"/>
    </row>
    <row r="305" spans="17:19" ht="18" customHeight="1">
      <c r="Q305" s="5"/>
      <c r="R305" s="5"/>
      <c r="S305" s="5"/>
    </row>
    <row r="306" spans="17:19" ht="18" customHeight="1">
      <c r="Q306" s="5"/>
      <c r="R306" s="5"/>
      <c r="S306" s="5"/>
    </row>
  </sheetData>
  <mergeCells count="22">
    <mergeCell ref="Q74:S74"/>
    <mergeCell ref="Q60:S60"/>
    <mergeCell ref="Q32:S32"/>
    <mergeCell ref="Q46:S46"/>
    <mergeCell ref="Q4:S4"/>
    <mergeCell ref="Q18:S18"/>
    <mergeCell ref="Q3:S3"/>
    <mergeCell ref="Q145:S145"/>
    <mergeCell ref="Q188:S188"/>
    <mergeCell ref="Q288:S288"/>
    <mergeCell ref="Q202:S202"/>
    <mergeCell ref="Q216:S216"/>
    <mergeCell ref="Q231:S231"/>
    <mergeCell ref="Q246:S246"/>
    <mergeCell ref="Q260:S260"/>
    <mergeCell ref="Q274:S274"/>
    <mergeCell ref="Q174:S174"/>
    <mergeCell ref="Q160:S160"/>
    <mergeCell ref="Q130:S130"/>
    <mergeCell ref="Q116:S116"/>
    <mergeCell ref="Q102:S102"/>
    <mergeCell ref="Q88:S88"/>
  </mergeCells>
  <phoneticPr fontId="5" type="noConversion"/>
  <pageMargins left="0.7" right="0.7" top="0.75" bottom="0.75" header="0.3" footer="0.3"/>
  <pageSetup paperSize="9" scale="14" orientation="portrait" horizontalDpi="300" verticalDpi="1200" r:id="rId1"/>
  <headerFooter>
    <oddHeader>&amp;R&amp;"Aptos"&amp;13&amp;K000000 [ RESTRICTED ]&amp;1#_x000D_</oddHeader>
    <oddFooter>&amp;R_x000D_&amp;1#&amp;"Aptos"&amp;5&amp;K000000 [Secure Minds, Secure Finds] 본 문서는 현대건설㈜의 정보자산이므로 무단 전제 및 복제할 수 없으며, 이를 위반할 시에는 당사 사규 및 관련 법규에 의해 제지를 받을 수 있습니다.</oddFooter>
  </headerFooter>
  <colBreaks count="1" manualBreakCount="1">
    <brk id="8" max="159" man="1"/>
  </colBreaks>
  <ignoredErrors>
    <ignoredError sqref="AZ188:BC288 T174 T160 T145:U145 AN188:AS288 BB174 T102 BB157:BB160 U275:W287 T288:W288 U261:W273 T274:W274 U247:W259 T260:W260 U232:W245 T246:W246 U217:W230 T231:W231 U203:W215 T216:W216 U189:W201 T202:W202 T188:W188 U157:U174 U142:U144 BB151:BB155 U151:U155 T130 T116 T18:U88 U146:U149 BB142:BB149 AH188:AL288 BB140 U140 U135:U138 BB135:BB138 BB127:BB133 U127:U133 AD188:AF288 U102:U124 BB102:BB124 U125 BB125" formula="1"/>
    <ignoredError sqref="AC111 AC55" formulaRange="1"/>
  </ignoredError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3"/>
  <dimension ref="A1:DZ160"/>
  <sheetViews>
    <sheetView tabSelected="1" zoomScale="70" zoomScaleNormal="70" zoomScaleSheetLayoutView="50" workbookViewId="0">
      <pane xSplit="5" ySplit="4" topLeftCell="AX150" activePane="bottomRight" state="frozen"/>
      <selection activeCell="E8" sqref="E8"/>
      <selection pane="topRight" activeCell="E8" sqref="E8"/>
      <selection pane="bottomLeft" activeCell="E8" sqref="E8"/>
      <selection pane="bottomRight" activeCell="BN176" sqref="BN176"/>
    </sheetView>
  </sheetViews>
  <sheetFormatPr defaultColWidth="8.75" defaultRowHeight="12.75" outlineLevelRow="2" outlineLevelCol="1"/>
  <cols>
    <col min="1" max="1" width="7.75" style="5" customWidth="1"/>
    <col min="2" max="2" width="20.75" style="3" customWidth="1"/>
    <col min="3" max="3" width="15.25" style="3" customWidth="1"/>
    <col min="4" max="4" width="12.375" style="5" customWidth="1"/>
    <col min="5" max="5" width="8.375" style="5" customWidth="1"/>
    <col min="6" max="6" width="11.75" style="5" hidden="1" customWidth="1" outlineLevel="1"/>
    <col min="7" max="7" width="11.75" style="5" customWidth="1" collapsed="1"/>
    <col min="8" max="8" width="8.375" style="5" customWidth="1"/>
    <col min="9" max="20" width="11.75" style="5" hidden="1" customWidth="1" outlineLevel="1"/>
    <col min="21" max="21" width="11.75" style="5" customWidth="1" collapsed="1"/>
    <col min="22" max="22" width="8.375" style="5" customWidth="1"/>
    <col min="23" max="34" width="11.75" style="5" hidden="1" customWidth="1" outlineLevel="1"/>
    <col min="35" max="35" width="11.75" style="5" customWidth="1" collapsed="1"/>
    <col min="36" max="36" width="8.375" style="5" customWidth="1"/>
    <col min="37" max="48" width="11.75" style="5" hidden="1" customWidth="1" outlineLevel="1"/>
    <col min="49" max="49" width="11.75" style="5" customWidth="1" collapsed="1"/>
    <col min="50" max="50" width="8.375" style="5" customWidth="1"/>
    <col min="51" max="62" width="11.75" style="5" hidden="1" customWidth="1" outlineLevel="1"/>
    <col min="63" max="63" width="11.75" style="5" customWidth="1" collapsed="1"/>
    <col min="64" max="64" width="8.375" style="5" customWidth="1"/>
    <col min="65" max="76" width="11.75" style="5" customWidth="1" outlineLevel="1"/>
    <col min="77" max="77" width="11.75" style="5" customWidth="1"/>
    <col min="78" max="78" width="8.375" style="5" customWidth="1"/>
    <col min="79" max="90" width="11.75" style="5" customWidth="1" outlineLevel="1"/>
    <col min="91" max="91" width="11.75" style="5" customWidth="1"/>
    <col min="92" max="103" width="11.75" style="5" customWidth="1" outlineLevel="1"/>
    <col min="104" max="104" width="11.75" style="5" customWidth="1"/>
    <col min="105" max="116" width="11.75" style="5" customWidth="1" outlineLevel="1"/>
    <col min="117" max="117" width="11.75" style="5" customWidth="1"/>
    <col min="118" max="129" width="11.75" style="5" customWidth="1" outlineLevel="1"/>
    <col min="130" max="130" width="11.75" style="5" customWidth="1"/>
    <col min="131" max="16384" width="8.75" style="5"/>
  </cols>
  <sheetData>
    <row r="1" spans="1:130" ht="13.5">
      <c r="A1" s="329" t="s">
        <v>3632</v>
      </c>
      <c r="B1" s="204"/>
      <c r="C1" s="492" t="s">
        <v>3304</v>
      </c>
      <c r="D1" s="340">
        <v>0</v>
      </c>
      <c r="E1" s="218"/>
      <c r="F1" s="218"/>
      <c r="G1" s="218"/>
      <c r="H1" s="218"/>
      <c r="I1" s="218"/>
      <c r="J1" s="218"/>
      <c r="K1" s="218"/>
      <c r="L1" s="218"/>
      <c r="M1" s="218"/>
      <c r="N1" s="218"/>
      <c r="O1" s="218"/>
      <c r="P1" s="218"/>
      <c r="Q1" s="218"/>
      <c r="R1" s="218"/>
      <c r="S1" s="218"/>
      <c r="T1" s="218"/>
      <c r="U1" s="218"/>
      <c r="V1" s="218"/>
      <c r="W1" s="218"/>
      <c r="X1" s="218"/>
      <c r="Y1" s="218"/>
      <c r="Z1" s="218"/>
      <c r="AA1" s="218"/>
      <c r="AB1" s="218"/>
      <c r="AC1" s="218"/>
      <c r="AD1" s="218"/>
      <c r="AE1" s="218"/>
      <c r="AF1" s="218"/>
      <c r="AG1" s="218"/>
      <c r="AH1" s="218"/>
      <c r="AI1" s="218"/>
      <c r="AJ1" s="218"/>
      <c r="AK1" s="218"/>
      <c r="AL1" s="218"/>
      <c r="AM1" s="218"/>
      <c r="AN1" s="218"/>
      <c r="AO1" s="218"/>
      <c r="AP1" s="218"/>
      <c r="AQ1" s="218"/>
      <c r="AR1" s="218"/>
      <c r="AS1" s="218"/>
      <c r="AT1" s="218"/>
      <c r="AU1" s="218"/>
      <c r="AV1" s="218"/>
      <c r="AW1" s="218"/>
      <c r="AX1" s="218"/>
      <c r="AY1" s="218"/>
      <c r="AZ1" s="218"/>
      <c r="BA1" s="218"/>
      <c r="BB1" s="218"/>
      <c r="BC1" s="218"/>
      <c r="BD1" s="218"/>
      <c r="BE1" s="218"/>
      <c r="BF1" s="218"/>
      <c r="BG1" s="218"/>
      <c r="BH1" s="218"/>
      <c r="BI1" s="218"/>
      <c r="BJ1" s="218"/>
      <c r="BK1" s="218"/>
      <c r="BL1" s="218"/>
      <c r="BM1" s="218"/>
      <c r="BN1" s="218"/>
      <c r="BO1" s="218"/>
      <c r="BP1" s="218"/>
      <c r="BQ1" s="218"/>
      <c r="BR1" s="218"/>
      <c r="BS1" s="218"/>
      <c r="BT1" s="218"/>
      <c r="BU1" s="218"/>
      <c r="BV1" s="218"/>
      <c r="BW1" s="218"/>
      <c r="BX1" s="218"/>
      <c r="BY1" s="218"/>
      <c r="BZ1" s="218"/>
      <c r="CA1" s="218"/>
      <c r="CB1" s="218"/>
      <c r="CC1" s="218"/>
      <c r="CD1" s="218"/>
      <c r="CE1" s="218"/>
      <c r="CF1" s="218"/>
      <c r="CG1" s="218"/>
      <c r="CH1" s="218"/>
      <c r="CI1" s="218"/>
      <c r="CJ1" s="218"/>
      <c r="CK1" s="218"/>
      <c r="CL1" s="218"/>
      <c r="CM1" s="218"/>
      <c r="CN1" s="218"/>
      <c r="CO1" s="218"/>
      <c r="CP1" s="218"/>
      <c r="CQ1" s="218"/>
      <c r="CR1" s="218"/>
      <c r="CS1" s="218"/>
      <c r="CT1" s="218"/>
      <c r="CU1" s="218"/>
      <c r="CV1" s="218"/>
      <c r="CW1" s="218"/>
      <c r="CX1" s="218"/>
      <c r="CY1" s="218"/>
      <c r="CZ1" s="218"/>
      <c r="DA1" s="218"/>
      <c r="DB1" s="218"/>
      <c r="DC1" s="218"/>
      <c r="DD1" s="218"/>
      <c r="DE1" s="218"/>
      <c r="DF1" s="218"/>
      <c r="DG1" s="218"/>
      <c r="DH1" s="218"/>
      <c r="DI1" s="218"/>
      <c r="DJ1" s="218"/>
      <c r="DK1" s="218"/>
      <c r="DL1" s="218"/>
      <c r="DM1" s="218"/>
      <c r="DN1" s="218"/>
      <c r="DO1" s="218"/>
      <c r="DP1" s="218"/>
      <c r="DQ1" s="218"/>
      <c r="DR1" s="218"/>
      <c r="DS1" s="218"/>
      <c r="DT1" s="218"/>
      <c r="DU1" s="218"/>
      <c r="DV1" s="218"/>
      <c r="DW1" s="218"/>
      <c r="DX1" s="218"/>
      <c r="DY1" s="218"/>
      <c r="DZ1" s="218"/>
    </row>
    <row r="2" spans="1:130" ht="13.5">
      <c r="A2" s="218"/>
      <c r="B2" s="204"/>
      <c r="C2" s="204" t="s">
        <v>3305</v>
      </c>
      <c r="D2" s="340">
        <v>68787017</v>
      </c>
      <c r="E2" s="218"/>
      <c r="F2" s="218"/>
      <c r="G2" s="218"/>
      <c r="H2" s="218"/>
      <c r="I2" s="218"/>
      <c r="J2" s="218"/>
      <c r="K2" s="218"/>
      <c r="L2" s="218"/>
      <c r="M2" s="218"/>
      <c r="N2" s="218"/>
      <c r="O2" s="218"/>
      <c r="P2" s="218"/>
      <c r="Q2" s="218"/>
      <c r="R2" s="218"/>
      <c r="S2" s="218"/>
      <c r="T2" s="218"/>
      <c r="U2" s="218"/>
      <c r="V2" s="218"/>
      <c r="W2" s="218"/>
      <c r="X2" s="218"/>
      <c r="Y2" s="218"/>
      <c r="Z2" s="218"/>
      <c r="AA2" s="218"/>
      <c r="AB2" s="218"/>
      <c r="AC2" s="218"/>
      <c r="AD2" s="218"/>
      <c r="AE2" s="218"/>
      <c r="AF2" s="218"/>
      <c r="AG2" s="218"/>
      <c r="AH2" s="218"/>
      <c r="AI2" s="218"/>
      <c r="AJ2" s="218"/>
      <c r="AK2" s="218"/>
      <c r="AL2" s="218"/>
      <c r="AM2" s="218"/>
      <c r="AN2" s="218"/>
      <c r="AO2" s="218"/>
      <c r="AP2" s="218"/>
      <c r="AQ2" s="218"/>
      <c r="AR2" s="218"/>
      <c r="AS2" s="218"/>
      <c r="AT2" s="218"/>
      <c r="AU2" s="218"/>
      <c r="AV2" s="218"/>
      <c r="AW2" s="218"/>
      <c r="AX2" s="218"/>
      <c r="AY2" s="218"/>
      <c r="AZ2" s="218"/>
      <c r="BA2" s="218"/>
      <c r="BB2" s="218"/>
      <c r="BC2" s="218"/>
      <c r="BD2" s="218"/>
      <c r="BE2" s="218"/>
      <c r="BF2" s="218"/>
      <c r="BG2" s="218"/>
      <c r="BH2" s="218"/>
      <c r="BI2" s="218"/>
      <c r="BJ2" s="218"/>
      <c r="BK2" s="218"/>
      <c r="BL2" s="218"/>
      <c r="BM2" s="218"/>
      <c r="BN2" s="218"/>
      <c r="BO2" s="218"/>
      <c r="BP2" s="218"/>
      <c r="BQ2" s="218"/>
      <c r="BR2" s="218"/>
      <c r="BS2" s="218"/>
      <c r="BT2" s="218"/>
      <c r="BU2" s="218"/>
      <c r="BV2" s="218"/>
      <c r="BW2" s="218"/>
      <c r="BX2" s="218"/>
      <c r="BY2" s="218"/>
      <c r="BZ2" s="218"/>
      <c r="CA2" s="218"/>
      <c r="CB2" s="218"/>
      <c r="CC2" s="218"/>
      <c r="CD2" s="218"/>
      <c r="CE2" s="218"/>
      <c r="CF2" s="218"/>
      <c r="CG2" s="218"/>
      <c r="CH2" s="218"/>
      <c r="CI2" s="218"/>
      <c r="CJ2" s="218"/>
      <c r="CK2" s="218"/>
      <c r="CL2" s="218"/>
      <c r="CM2" s="218"/>
      <c r="CN2" s="218"/>
      <c r="CO2" s="218"/>
      <c r="CP2" s="218"/>
      <c r="CQ2" s="218"/>
      <c r="CR2" s="218"/>
      <c r="CS2" s="218"/>
      <c r="CT2" s="218"/>
      <c r="CU2" s="218"/>
      <c r="CV2" s="218"/>
      <c r="CW2" s="218"/>
      <c r="CX2" s="218"/>
      <c r="CY2" s="218"/>
      <c r="CZ2" s="218"/>
      <c r="DA2" s="218"/>
      <c r="DB2" s="218"/>
      <c r="DC2" s="218"/>
      <c r="DD2" s="218"/>
      <c r="DE2" s="218"/>
      <c r="DF2" s="218"/>
      <c r="DG2" s="218"/>
      <c r="DH2" s="218"/>
      <c r="DI2" s="218"/>
      <c r="DJ2" s="218"/>
      <c r="DK2" s="218"/>
      <c r="DL2" s="218"/>
      <c r="DM2" s="218"/>
      <c r="DN2" s="218"/>
      <c r="DO2" s="218"/>
      <c r="DP2" s="218"/>
      <c r="DQ2" s="218"/>
      <c r="DR2" s="218"/>
      <c r="DS2" s="218"/>
      <c r="DT2" s="218"/>
      <c r="DU2" s="218"/>
      <c r="DV2" s="218"/>
      <c r="DW2" s="218"/>
      <c r="DX2" s="218"/>
      <c r="DY2" s="218"/>
      <c r="DZ2" s="218"/>
    </row>
    <row r="3" spans="1:130" ht="20.45" customHeight="1">
      <c r="A3" s="59" t="s">
        <v>279</v>
      </c>
      <c r="B3" s="59" t="s">
        <v>280</v>
      </c>
      <c r="C3" s="59" t="s">
        <v>281</v>
      </c>
      <c r="D3" s="59" t="s">
        <v>282</v>
      </c>
      <c r="E3" s="59" t="s">
        <v>283</v>
      </c>
      <c r="F3" s="60" t="s">
        <v>284</v>
      </c>
      <c r="G3" s="189" t="s">
        <v>2500</v>
      </c>
      <c r="H3" s="198" t="s">
        <v>283</v>
      </c>
      <c r="I3" s="60" t="s">
        <v>285</v>
      </c>
      <c r="J3" s="60" t="s">
        <v>286</v>
      </c>
      <c r="K3" s="60" t="s">
        <v>287</v>
      </c>
      <c r="L3" s="60" t="s">
        <v>288</v>
      </c>
      <c r="M3" s="60" t="s">
        <v>289</v>
      </c>
      <c r="N3" s="60" t="s">
        <v>290</v>
      </c>
      <c r="O3" s="60" t="s">
        <v>291</v>
      </c>
      <c r="P3" s="60" t="s">
        <v>292</v>
      </c>
      <c r="Q3" s="60" t="s">
        <v>293</v>
      </c>
      <c r="R3" s="60" t="s">
        <v>294</v>
      </c>
      <c r="S3" s="60" t="s">
        <v>295</v>
      </c>
      <c r="T3" s="60" t="s">
        <v>296</v>
      </c>
      <c r="U3" s="189" t="s">
        <v>1677</v>
      </c>
      <c r="V3" s="198" t="s">
        <v>283</v>
      </c>
      <c r="W3" s="60" t="s">
        <v>297</v>
      </c>
      <c r="X3" s="60" t="s">
        <v>298</v>
      </c>
      <c r="Y3" s="60" t="s">
        <v>299</v>
      </c>
      <c r="Z3" s="60" t="s">
        <v>300</v>
      </c>
      <c r="AA3" s="60" t="s">
        <v>2501</v>
      </c>
      <c r="AB3" s="60" t="s">
        <v>2502</v>
      </c>
      <c r="AC3" s="60" t="s">
        <v>2503</v>
      </c>
      <c r="AD3" s="60" t="s">
        <v>2504</v>
      </c>
      <c r="AE3" s="60" t="s">
        <v>2505</v>
      </c>
      <c r="AF3" s="60" t="s">
        <v>2506</v>
      </c>
      <c r="AG3" s="60" t="s">
        <v>1674</v>
      </c>
      <c r="AH3" s="60" t="s">
        <v>1675</v>
      </c>
      <c r="AI3" s="189" t="s">
        <v>1678</v>
      </c>
      <c r="AJ3" s="198" t="s">
        <v>283</v>
      </c>
      <c r="AK3" s="60" t="s">
        <v>1676</v>
      </c>
      <c r="AL3" s="60" t="s">
        <v>2507</v>
      </c>
      <c r="AM3" s="60" t="s">
        <v>2508</v>
      </c>
      <c r="AN3" s="60" t="s">
        <v>2509</v>
      </c>
      <c r="AO3" s="60" t="s">
        <v>2510</v>
      </c>
      <c r="AP3" s="60" t="s">
        <v>2511</v>
      </c>
      <c r="AQ3" s="60" t="s">
        <v>2512</v>
      </c>
      <c r="AR3" s="60" t="s">
        <v>2513</v>
      </c>
      <c r="AS3" s="60" t="s">
        <v>2514</v>
      </c>
      <c r="AT3" s="60" t="s">
        <v>2515</v>
      </c>
      <c r="AU3" s="60" t="s">
        <v>2516</v>
      </c>
      <c r="AV3" s="60" t="s">
        <v>2517</v>
      </c>
      <c r="AW3" s="189" t="s">
        <v>1679</v>
      </c>
      <c r="AX3" s="198" t="s">
        <v>283</v>
      </c>
      <c r="AY3" s="60" t="s">
        <v>2518</v>
      </c>
      <c r="AZ3" s="60" t="s">
        <v>2519</v>
      </c>
      <c r="BA3" s="60" t="s">
        <v>2520</v>
      </c>
      <c r="BB3" s="60" t="s">
        <v>2521</v>
      </c>
      <c r="BC3" s="60" t="s">
        <v>2522</v>
      </c>
      <c r="BD3" s="60" t="s">
        <v>2523</v>
      </c>
      <c r="BE3" s="60" t="s">
        <v>2524</v>
      </c>
      <c r="BF3" s="60" t="s">
        <v>2525</v>
      </c>
      <c r="BG3" s="60" t="s">
        <v>2526</v>
      </c>
      <c r="BH3" s="60" t="s">
        <v>2527</v>
      </c>
      <c r="BI3" s="60" t="s">
        <v>2528</v>
      </c>
      <c r="BJ3" s="60" t="s">
        <v>2529</v>
      </c>
      <c r="BK3" s="189" t="s">
        <v>2530</v>
      </c>
      <c r="BL3" s="198" t="s">
        <v>283</v>
      </c>
      <c r="BM3" s="60" t="s">
        <v>2531</v>
      </c>
      <c r="BN3" s="60" t="s">
        <v>2532</v>
      </c>
      <c r="BO3" s="60" t="s">
        <v>2533</v>
      </c>
      <c r="BP3" s="60" t="s">
        <v>2534</v>
      </c>
      <c r="BQ3" s="60" t="s">
        <v>2535</v>
      </c>
      <c r="BR3" s="60" t="s">
        <v>2536</v>
      </c>
      <c r="BS3" s="60" t="s">
        <v>2537</v>
      </c>
      <c r="BT3" s="60" t="s">
        <v>2538</v>
      </c>
      <c r="BU3" s="60" t="s">
        <v>2539</v>
      </c>
      <c r="BV3" s="60" t="s">
        <v>2540</v>
      </c>
      <c r="BW3" s="60" t="s">
        <v>2541</v>
      </c>
      <c r="BX3" s="60" t="s">
        <v>2542</v>
      </c>
      <c r="BY3" s="189" t="s">
        <v>2543</v>
      </c>
      <c r="BZ3" s="198" t="s">
        <v>283</v>
      </c>
      <c r="CA3" s="60" t="s">
        <v>2544</v>
      </c>
      <c r="CB3" s="60" t="s">
        <v>2545</v>
      </c>
      <c r="CC3" s="60" t="s">
        <v>2546</v>
      </c>
      <c r="CD3" s="60" t="s">
        <v>2547</v>
      </c>
      <c r="CE3" s="60" t="s">
        <v>2548</v>
      </c>
      <c r="CF3" s="60" t="s">
        <v>2549</v>
      </c>
      <c r="CG3" s="60" t="s">
        <v>2550</v>
      </c>
      <c r="CH3" s="60" t="s">
        <v>2551</v>
      </c>
      <c r="CI3" s="60" t="s">
        <v>2552</v>
      </c>
      <c r="CJ3" s="60" t="s">
        <v>2553</v>
      </c>
      <c r="CK3" s="60" t="s">
        <v>2554</v>
      </c>
      <c r="CL3" s="60" t="s">
        <v>2555</v>
      </c>
      <c r="CM3" s="189" t="s">
        <v>2556</v>
      </c>
      <c r="CN3" s="60" t="s">
        <v>2557</v>
      </c>
      <c r="CO3" s="60" t="s">
        <v>2558</v>
      </c>
      <c r="CP3" s="60" t="s">
        <v>2559</v>
      </c>
      <c r="CQ3" s="60" t="s">
        <v>2560</v>
      </c>
      <c r="CR3" s="60" t="s">
        <v>2561</v>
      </c>
      <c r="CS3" s="60" t="s">
        <v>2562</v>
      </c>
      <c r="CT3" s="60" t="s">
        <v>2563</v>
      </c>
      <c r="CU3" s="60" t="s">
        <v>2564</v>
      </c>
      <c r="CV3" s="60" t="s">
        <v>2565</v>
      </c>
      <c r="CW3" s="60" t="s">
        <v>2566</v>
      </c>
      <c r="CX3" s="60" t="s">
        <v>2567</v>
      </c>
      <c r="CY3" s="60" t="s">
        <v>2568</v>
      </c>
      <c r="CZ3" s="189" t="s">
        <v>2569</v>
      </c>
      <c r="DA3" s="60" t="s">
        <v>2570</v>
      </c>
      <c r="DB3" s="60" t="s">
        <v>2571</v>
      </c>
      <c r="DC3" s="60" t="s">
        <v>2572</v>
      </c>
      <c r="DD3" s="60" t="s">
        <v>2573</v>
      </c>
      <c r="DE3" s="60" t="s">
        <v>2574</v>
      </c>
      <c r="DF3" s="60" t="s">
        <v>2575</v>
      </c>
      <c r="DG3" s="60" t="s">
        <v>2576</v>
      </c>
      <c r="DH3" s="60" t="s">
        <v>2577</v>
      </c>
      <c r="DI3" s="60" t="s">
        <v>2578</v>
      </c>
      <c r="DJ3" s="60" t="s">
        <v>2579</v>
      </c>
      <c r="DK3" s="60" t="s">
        <v>2580</v>
      </c>
      <c r="DL3" s="60" t="s">
        <v>2581</v>
      </c>
      <c r="DM3" s="189" t="s">
        <v>2582</v>
      </c>
      <c r="DN3" s="60" t="s">
        <v>2583</v>
      </c>
      <c r="DO3" s="60" t="s">
        <v>2584</v>
      </c>
      <c r="DP3" s="60" t="s">
        <v>2585</v>
      </c>
      <c r="DQ3" s="60" t="s">
        <v>2586</v>
      </c>
      <c r="DR3" s="60" t="s">
        <v>2587</v>
      </c>
      <c r="DS3" s="60" t="s">
        <v>2588</v>
      </c>
      <c r="DT3" s="60" t="s">
        <v>2589</v>
      </c>
      <c r="DU3" s="60" t="s">
        <v>2590</v>
      </c>
      <c r="DV3" s="60" t="s">
        <v>2591</v>
      </c>
      <c r="DW3" s="60" t="s">
        <v>2592</v>
      </c>
      <c r="DX3" s="60" t="s">
        <v>2593</v>
      </c>
      <c r="DY3" s="60" t="s">
        <v>2594</v>
      </c>
      <c r="DZ3" s="189" t="s">
        <v>2595</v>
      </c>
    </row>
    <row r="4" spans="1:130" s="194" customFormat="1" ht="20.45" customHeight="1">
      <c r="A4" s="648" t="s">
        <v>301</v>
      </c>
      <c r="B4" s="191"/>
      <c r="C4" s="327" t="s">
        <v>2596</v>
      </c>
      <c r="D4" s="61">
        <f t="shared" ref="D4:D68" si="0">SUM(F4:FJ4)-G4-U4-AI4-AW4-BK4-BY4-CM4-CZ4-DM4-DZ4-H4-V4-AJ4-AX4-BL4-BZ4</f>
        <v>358826145</v>
      </c>
      <c r="E4" s="185">
        <f>SUM(E5:E24)</f>
        <v>0.99999999999999967</v>
      </c>
      <c r="F4" s="62">
        <f>SUM(F5:F24)</f>
        <v>4377905</v>
      </c>
      <c r="G4" s="193">
        <f t="shared" ref="G4" si="1">SUM(F4)</f>
        <v>4377905</v>
      </c>
      <c r="H4" s="196">
        <f t="shared" ref="H4:T4" si="2">SUM(H5:H24)</f>
        <v>1</v>
      </c>
      <c r="I4" s="192">
        <f t="shared" si="2"/>
        <v>4894615</v>
      </c>
      <c r="J4" s="192">
        <f t="shared" si="2"/>
        <v>4525241</v>
      </c>
      <c r="K4" s="192">
        <f t="shared" si="2"/>
        <v>4326795</v>
      </c>
      <c r="L4" s="192">
        <f t="shared" si="2"/>
        <v>5063647</v>
      </c>
      <c r="M4" s="192">
        <f t="shared" si="2"/>
        <v>4508988</v>
      </c>
      <c r="N4" s="192">
        <f t="shared" si="2"/>
        <v>4519080</v>
      </c>
      <c r="O4" s="192">
        <f t="shared" si="2"/>
        <v>4729700</v>
      </c>
      <c r="P4" s="192">
        <f t="shared" si="2"/>
        <v>4755407</v>
      </c>
      <c r="Q4" s="192">
        <f t="shared" si="2"/>
        <v>4788160</v>
      </c>
      <c r="R4" s="192">
        <f t="shared" si="2"/>
        <v>4498510</v>
      </c>
      <c r="S4" s="192">
        <f t="shared" si="2"/>
        <v>4564198</v>
      </c>
      <c r="T4" s="192">
        <f t="shared" si="2"/>
        <v>8784705</v>
      </c>
      <c r="U4" s="193">
        <f>SUM(I4:T4)</f>
        <v>59959046</v>
      </c>
      <c r="V4" s="196">
        <f t="shared" ref="V4" si="3">SUM(V5:V24)</f>
        <v>0.99999999999999989</v>
      </c>
      <c r="W4" s="192">
        <f t="shared" ref="W4:AH4" si="4">SUM(W5:W24)</f>
        <v>5559784</v>
      </c>
      <c r="X4" s="192">
        <f t="shared" si="4"/>
        <v>4732013</v>
      </c>
      <c r="Y4" s="192">
        <f t="shared" si="4"/>
        <v>8521849</v>
      </c>
      <c r="Z4" s="192">
        <f t="shared" si="4"/>
        <v>6472112</v>
      </c>
      <c r="AA4" s="192">
        <f t="shared" si="4"/>
        <v>6843556</v>
      </c>
      <c r="AB4" s="192">
        <f t="shared" si="4"/>
        <v>7103153</v>
      </c>
      <c r="AC4" s="192">
        <f t="shared" si="4"/>
        <v>16975591</v>
      </c>
      <c r="AD4" s="192">
        <f t="shared" si="4"/>
        <v>5895919</v>
      </c>
      <c r="AE4" s="192">
        <f t="shared" si="4"/>
        <v>5845771</v>
      </c>
      <c r="AF4" s="192">
        <f t="shared" si="4"/>
        <v>5969411</v>
      </c>
      <c r="AG4" s="192">
        <f t="shared" si="4"/>
        <v>5903110</v>
      </c>
      <c r="AH4" s="192">
        <f t="shared" si="4"/>
        <v>5895911</v>
      </c>
      <c r="AI4" s="193">
        <f>SUM(W4:AH4)</f>
        <v>85718180</v>
      </c>
      <c r="AJ4" s="196">
        <f t="shared" ref="AJ4" si="5">SUM(AJ5:AJ24)</f>
        <v>1</v>
      </c>
      <c r="AK4" s="192">
        <f t="shared" ref="AK4:AV4" si="6">SUM(AK5:AK24)</f>
        <v>6119996</v>
      </c>
      <c r="AL4" s="192">
        <f t="shared" si="6"/>
        <v>7615191</v>
      </c>
      <c r="AM4" s="192">
        <f t="shared" si="6"/>
        <v>6058871</v>
      </c>
      <c r="AN4" s="192">
        <f t="shared" si="6"/>
        <v>6155871</v>
      </c>
      <c r="AO4" s="192">
        <f t="shared" si="6"/>
        <v>6676207</v>
      </c>
      <c r="AP4" s="192">
        <f t="shared" si="6"/>
        <v>5987005</v>
      </c>
      <c r="AQ4" s="192">
        <f t="shared" si="6"/>
        <v>6281700</v>
      </c>
      <c r="AR4" s="192">
        <f t="shared" si="6"/>
        <v>6054033</v>
      </c>
      <c r="AS4" s="192">
        <f t="shared" si="6"/>
        <v>5808550</v>
      </c>
      <c r="AT4" s="192">
        <f t="shared" si="6"/>
        <v>8023566</v>
      </c>
      <c r="AU4" s="192">
        <f t="shared" si="6"/>
        <v>2105903</v>
      </c>
      <c r="AV4" s="192">
        <f t="shared" si="6"/>
        <v>5651498</v>
      </c>
      <c r="AW4" s="193">
        <f>SUM(AK4:AV4)</f>
        <v>72538391</v>
      </c>
      <c r="AX4" s="196">
        <f t="shared" ref="AX4" si="7">SUM(AX5:AX24)</f>
        <v>1.0000000000000002</v>
      </c>
      <c r="AY4" s="192">
        <f t="shared" ref="AY4:BJ4" si="8">SUM(AY5:AY24)</f>
        <v>3079666</v>
      </c>
      <c r="AZ4" s="192">
        <f t="shared" si="8"/>
        <v>9803308</v>
      </c>
      <c r="BA4" s="192">
        <f t="shared" si="8"/>
        <v>5072364</v>
      </c>
      <c r="BB4" s="192">
        <f t="shared" si="8"/>
        <v>10607324</v>
      </c>
      <c r="BC4" s="192">
        <f t="shared" si="8"/>
        <v>4562657</v>
      </c>
      <c r="BD4" s="192">
        <f t="shared" si="8"/>
        <v>6337748</v>
      </c>
      <c r="BE4" s="192">
        <f t="shared" si="8"/>
        <v>-779814</v>
      </c>
      <c r="BF4" s="192">
        <f t="shared" si="8"/>
        <v>5902776</v>
      </c>
      <c r="BG4" s="192">
        <f t="shared" si="8"/>
        <v>8514252</v>
      </c>
      <c r="BH4" s="192">
        <f t="shared" si="8"/>
        <v>3491293</v>
      </c>
      <c r="BI4" s="192">
        <f t="shared" si="8"/>
        <v>9065065</v>
      </c>
      <c r="BJ4" s="192">
        <f t="shared" si="8"/>
        <v>12299433</v>
      </c>
      <c r="BK4" s="193">
        <f>SUM(AY4:BJ4)</f>
        <v>77956072</v>
      </c>
      <c r="BL4" s="196">
        <f t="shared" ref="BL4" si="9">SUM(BL5:BL24)</f>
        <v>1</v>
      </c>
      <c r="BM4" s="192">
        <f t="shared" ref="BM4:BX4" si="10">SUM(BM5:BM24)</f>
        <v>4202419</v>
      </c>
      <c r="BN4" s="192">
        <f t="shared" si="10"/>
        <v>8906591</v>
      </c>
      <c r="BO4" s="192">
        <f t="shared" si="10"/>
        <v>11294036</v>
      </c>
      <c r="BP4" s="192">
        <f t="shared" si="10"/>
        <v>20168579</v>
      </c>
      <c r="BQ4" s="192">
        <f t="shared" si="10"/>
        <v>13704925.999999996</v>
      </c>
      <c r="BR4" s="192">
        <f t="shared" si="10"/>
        <v>0</v>
      </c>
      <c r="BS4" s="192">
        <f t="shared" si="10"/>
        <v>0</v>
      </c>
      <c r="BT4" s="192">
        <f t="shared" si="10"/>
        <v>0</v>
      </c>
      <c r="BU4" s="192">
        <f t="shared" si="10"/>
        <v>0</v>
      </c>
      <c r="BV4" s="192">
        <f t="shared" si="10"/>
        <v>0</v>
      </c>
      <c r="BW4" s="192">
        <f t="shared" si="10"/>
        <v>0</v>
      </c>
      <c r="BX4" s="192">
        <f t="shared" si="10"/>
        <v>0</v>
      </c>
      <c r="BY4" s="193">
        <f>SUM(BM4:BX4)</f>
        <v>58276551</v>
      </c>
      <c r="BZ4" s="196">
        <f t="shared" ref="BZ4" si="11">SUM(BZ5:BZ24)</f>
        <v>0.99999999999999989</v>
      </c>
      <c r="CA4" s="192">
        <f t="shared" ref="CA4:CL4" si="12">SUM(CA5:CA24)</f>
        <v>0</v>
      </c>
      <c r="CB4" s="192">
        <f t="shared" si="12"/>
        <v>0</v>
      </c>
      <c r="CC4" s="192">
        <f t="shared" si="12"/>
        <v>0</v>
      </c>
      <c r="CD4" s="192">
        <f t="shared" si="12"/>
        <v>0</v>
      </c>
      <c r="CE4" s="192">
        <f t="shared" si="12"/>
        <v>0</v>
      </c>
      <c r="CF4" s="192">
        <f t="shared" si="12"/>
        <v>0</v>
      </c>
      <c r="CG4" s="192">
        <f t="shared" si="12"/>
        <v>0</v>
      </c>
      <c r="CH4" s="192">
        <f t="shared" si="12"/>
        <v>0</v>
      </c>
      <c r="CI4" s="192">
        <f t="shared" si="12"/>
        <v>0</v>
      </c>
      <c r="CJ4" s="192">
        <f t="shared" si="12"/>
        <v>0</v>
      </c>
      <c r="CK4" s="192">
        <f t="shared" si="12"/>
        <v>0</v>
      </c>
      <c r="CL4" s="192">
        <f t="shared" si="12"/>
        <v>0</v>
      </c>
      <c r="CM4" s="193">
        <f>SUM(CA4:CL4)</f>
        <v>0</v>
      </c>
      <c r="CN4" s="192">
        <f t="shared" ref="CN4:CY4" si="13">SUM(CN5:CN24)</f>
        <v>0</v>
      </c>
      <c r="CO4" s="192">
        <f t="shared" si="13"/>
        <v>0</v>
      </c>
      <c r="CP4" s="192">
        <f t="shared" si="13"/>
        <v>0</v>
      </c>
      <c r="CQ4" s="192">
        <f t="shared" si="13"/>
        <v>0</v>
      </c>
      <c r="CR4" s="192">
        <f t="shared" si="13"/>
        <v>0</v>
      </c>
      <c r="CS4" s="192">
        <f t="shared" si="13"/>
        <v>0</v>
      </c>
      <c r="CT4" s="192">
        <f t="shared" si="13"/>
        <v>0</v>
      </c>
      <c r="CU4" s="192">
        <f t="shared" si="13"/>
        <v>0</v>
      </c>
      <c r="CV4" s="192">
        <f t="shared" si="13"/>
        <v>0</v>
      </c>
      <c r="CW4" s="192">
        <f t="shared" si="13"/>
        <v>0</v>
      </c>
      <c r="CX4" s="192">
        <f t="shared" si="13"/>
        <v>0</v>
      </c>
      <c r="CY4" s="192">
        <f t="shared" si="13"/>
        <v>0</v>
      </c>
      <c r="CZ4" s="193">
        <f>SUM(CN4:CY4)</f>
        <v>0</v>
      </c>
      <c r="DA4" s="192">
        <f t="shared" ref="DA4:DL4" si="14">SUM(DA5:DA24)</f>
        <v>0</v>
      </c>
      <c r="DB4" s="192">
        <f t="shared" si="14"/>
        <v>0</v>
      </c>
      <c r="DC4" s="192">
        <f t="shared" si="14"/>
        <v>0</v>
      </c>
      <c r="DD4" s="192">
        <f t="shared" si="14"/>
        <v>0</v>
      </c>
      <c r="DE4" s="192">
        <f t="shared" si="14"/>
        <v>0</v>
      </c>
      <c r="DF4" s="192">
        <f t="shared" si="14"/>
        <v>0</v>
      </c>
      <c r="DG4" s="192">
        <f t="shared" si="14"/>
        <v>0</v>
      </c>
      <c r="DH4" s="192">
        <f t="shared" si="14"/>
        <v>0</v>
      </c>
      <c r="DI4" s="192">
        <f t="shared" si="14"/>
        <v>0</v>
      </c>
      <c r="DJ4" s="192">
        <f t="shared" si="14"/>
        <v>0</v>
      </c>
      <c r="DK4" s="192">
        <f t="shared" si="14"/>
        <v>0</v>
      </c>
      <c r="DL4" s="192">
        <f t="shared" si="14"/>
        <v>0</v>
      </c>
      <c r="DM4" s="193">
        <f>SUM(DA4:DL4)</f>
        <v>0</v>
      </c>
      <c r="DN4" s="192">
        <f t="shared" ref="DN4:DY4" si="15">SUM(DN5:DN24)</f>
        <v>0</v>
      </c>
      <c r="DO4" s="192">
        <f t="shared" si="15"/>
        <v>0</v>
      </c>
      <c r="DP4" s="192">
        <f t="shared" si="15"/>
        <v>0</v>
      </c>
      <c r="DQ4" s="192">
        <f t="shared" si="15"/>
        <v>0</v>
      </c>
      <c r="DR4" s="192">
        <f t="shared" si="15"/>
        <v>0</v>
      </c>
      <c r="DS4" s="192">
        <f t="shared" si="15"/>
        <v>0</v>
      </c>
      <c r="DT4" s="192">
        <f t="shared" si="15"/>
        <v>0</v>
      </c>
      <c r="DU4" s="192">
        <f t="shared" si="15"/>
        <v>0</v>
      </c>
      <c r="DV4" s="192">
        <f t="shared" si="15"/>
        <v>0</v>
      </c>
      <c r="DW4" s="192">
        <f t="shared" si="15"/>
        <v>0</v>
      </c>
      <c r="DX4" s="192">
        <f t="shared" si="15"/>
        <v>0</v>
      </c>
      <c r="DY4" s="192">
        <f t="shared" si="15"/>
        <v>0</v>
      </c>
      <c r="DZ4" s="193">
        <f>SUM(DN4:DY4)</f>
        <v>0</v>
      </c>
    </row>
    <row r="5" spans="1:130" ht="20.45" customHeight="1" outlineLevel="1">
      <c r="A5" s="649"/>
      <c r="B5" s="640" t="s">
        <v>2597</v>
      </c>
      <c r="C5" s="641"/>
      <c r="D5" s="62">
        <f t="shared" si="0"/>
        <v>299082097.99999994</v>
      </c>
      <c r="E5" s="184">
        <f>D5/D$4</f>
        <v>0.83350141055078342</v>
      </c>
      <c r="F5" s="62">
        <f>4334005+43900</f>
        <v>4377905</v>
      </c>
      <c r="G5" s="190">
        <f>SUM(F5)</f>
        <v>4377905</v>
      </c>
      <c r="H5" s="197">
        <f>G5/G$4</f>
        <v>1</v>
      </c>
      <c r="I5" s="62">
        <v>4320945</v>
      </c>
      <c r="J5" s="62">
        <v>4524675</v>
      </c>
      <c r="K5" s="62">
        <v>4326795</v>
      </c>
      <c r="L5" s="62">
        <v>5063647</v>
      </c>
      <c r="M5" s="62">
        <v>4507930</v>
      </c>
      <c r="N5" s="62">
        <v>4519080</v>
      </c>
      <c r="O5" s="62">
        <v>4729700</v>
      </c>
      <c r="P5" s="62">
        <v>4454430</v>
      </c>
      <c r="Q5" s="62">
        <v>4517660</v>
      </c>
      <c r="R5" s="62">
        <v>4498510</v>
      </c>
      <c r="S5" s="62">
        <v>4563510</v>
      </c>
      <c r="T5" s="62">
        <v>4879445</v>
      </c>
      <c r="U5" s="190">
        <f t="shared" ref="U5:U87" si="16">SUM(I5:T5)</f>
        <v>54906327</v>
      </c>
      <c r="V5" s="197">
        <f>U5/U$4</f>
        <v>0.91573049711297938</v>
      </c>
      <c r="W5" s="62">
        <v>5559784</v>
      </c>
      <c r="X5" s="62">
        <f>4731477-577720</f>
        <v>4153757</v>
      </c>
      <c r="Y5" s="62">
        <v>5620894</v>
      </c>
      <c r="Z5" s="62">
        <v>6389412</v>
      </c>
      <c r="AA5" s="62">
        <v>5766661</v>
      </c>
      <c r="AB5" s="62">
        <v>5897561</v>
      </c>
      <c r="AC5" s="62">
        <v>6136791</v>
      </c>
      <c r="AD5" s="62">
        <v>5894271</v>
      </c>
      <c r="AE5" s="62">
        <v>5845771</v>
      </c>
      <c r="AF5" s="62">
        <v>5916911</v>
      </c>
      <c r="AG5" s="62">
        <v>5901271</v>
      </c>
      <c r="AH5" s="62">
        <v>5895911</v>
      </c>
      <c r="AI5" s="190">
        <f t="shared" ref="AI5:AI87" si="17">SUM(W5:AH5)</f>
        <v>68978995</v>
      </c>
      <c r="AJ5" s="197">
        <f>AI5/AI$4</f>
        <v>0.80471838062824008</v>
      </c>
      <c r="AK5" s="62">
        <v>6119996</v>
      </c>
      <c r="AL5" s="62">
        <v>5840341</v>
      </c>
      <c r="AM5" s="62">
        <v>6058871</v>
      </c>
      <c r="AN5" s="62">
        <v>5832171</v>
      </c>
      <c r="AO5" s="62">
        <v>6674414</v>
      </c>
      <c r="AP5" s="62">
        <v>5987005</v>
      </c>
      <c r="AQ5" s="62">
        <v>6281700</v>
      </c>
      <c r="AR5" s="62">
        <v>6051950</v>
      </c>
      <c r="AS5" s="62">
        <v>5808550</v>
      </c>
      <c r="AT5" s="62">
        <v>6037350</v>
      </c>
      <c r="AU5" s="62">
        <v>6034950</v>
      </c>
      <c r="AV5" s="62">
        <v>6500850</v>
      </c>
      <c r="AW5" s="190">
        <f t="shared" ref="AW5:AW87" si="18">SUM(AK5:AV5)</f>
        <v>73228148</v>
      </c>
      <c r="AX5" s="197">
        <f>AW5/AW$4</f>
        <v>1.0095088544216537</v>
      </c>
      <c r="AY5" s="62">
        <v>6109890</v>
      </c>
      <c r="AZ5" s="62">
        <v>6108470</v>
      </c>
      <c r="BA5" s="62">
        <v>6102788</v>
      </c>
      <c r="BB5" s="62">
        <v>8311835</v>
      </c>
      <c r="BC5" s="62">
        <v>6187900</v>
      </c>
      <c r="BD5" s="62">
        <v>0</v>
      </c>
      <c r="BE5" s="62">
        <v>297300</v>
      </c>
      <c r="BF5" s="62">
        <v>0</v>
      </c>
      <c r="BG5" s="62">
        <v>6692690</v>
      </c>
      <c r="BH5" s="62">
        <v>8478985</v>
      </c>
      <c r="BI5" s="62">
        <v>6642107</v>
      </c>
      <c r="BJ5" s="62">
        <v>6544037</v>
      </c>
      <c r="BK5" s="190">
        <f t="shared" ref="BK5:BK87" si="19">SUM(AY5:BJ5)</f>
        <v>61476002</v>
      </c>
      <c r="BL5" s="197">
        <f>BK5/BK$4</f>
        <v>0.78859799400872843</v>
      </c>
      <c r="BM5" s="62">
        <v>7832817</v>
      </c>
      <c r="BN5" s="62">
        <v>6606207</v>
      </c>
      <c r="BO5" s="62">
        <v>6725227</v>
      </c>
      <c r="BP5" s="62">
        <v>6689092</v>
      </c>
      <c r="BQ5" s="62">
        <v>8261378</v>
      </c>
      <c r="BR5" s="62">
        <v>0</v>
      </c>
      <c r="BS5" s="62">
        <v>0</v>
      </c>
      <c r="BT5" s="62">
        <v>0</v>
      </c>
      <c r="BU5" s="62">
        <v>0</v>
      </c>
      <c r="BV5" s="62">
        <v>0</v>
      </c>
      <c r="BW5" s="62">
        <v>0</v>
      </c>
      <c r="BX5" s="62">
        <v>0</v>
      </c>
      <c r="BY5" s="190">
        <f t="shared" ref="BY5:BY87" si="20">SUM(BM5:BX5)</f>
        <v>36114721</v>
      </c>
      <c r="BZ5" s="197">
        <f>BY5/BY$4</f>
        <v>0.61971273831905394</v>
      </c>
      <c r="CA5" s="62">
        <v>0</v>
      </c>
      <c r="CB5" s="62">
        <v>0</v>
      </c>
      <c r="CC5" s="62">
        <v>0</v>
      </c>
      <c r="CD5" s="62">
        <v>0</v>
      </c>
      <c r="CE5" s="62">
        <v>0</v>
      </c>
      <c r="CF5" s="62">
        <v>0</v>
      </c>
      <c r="CG5" s="62">
        <v>0</v>
      </c>
      <c r="CH5" s="62">
        <v>0</v>
      </c>
      <c r="CI5" s="62">
        <v>0</v>
      </c>
      <c r="CJ5" s="62">
        <v>0</v>
      </c>
      <c r="CK5" s="62">
        <v>0</v>
      </c>
      <c r="CL5" s="62">
        <v>0</v>
      </c>
      <c r="CM5" s="190">
        <f t="shared" ref="CM5:CM87" si="21">SUM(CA5:CL5)</f>
        <v>0</v>
      </c>
      <c r="CN5" s="62">
        <v>0</v>
      </c>
      <c r="CO5" s="62">
        <v>0</v>
      </c>
      <c r="CP5" s="62">
        <v>0</v>
      </c>
      <c r="CQ5" s="62">
        <v>0</v>
      </c>
      <c r="CR5" s="62">
        <v>0</v>
      </c>
      <c r="CS5" s="62">
        <v>0</v>
      </c>
      <c r="CT5" s="62">
        <v>0</v>
      </c>
      <c r="CU5" s="62">
        <v>0</v>
      </c>
      <c r="CV5" s="62">
        <v>0</v>
      </c>
      <c r="CW5" s="62">
        <v>0</v>
      </c>
      <c r="CX5" s="62">
        <v>0</v>
      </c>
      <c r="CY5" s="62">
        <v>0</v>
      </c>
      <c r="CZ5" s="190">
        <f t="shared" ref="CZ5:CZ87" si="22">SUM(CN5:CY5)</f>
        <v>0</v>
      </c>
      <c r="DA5" s="62">
        <v>0</v>
      </c>
      <c r="DB5" s="62">
        <v>0</v>
      </c>
      <c r="DC5" s="62">
        <v>0</v>
      </c>
      <c r="DD5" s="62">
        <v>0</v>
      </c>
      <c r="DE5" s="62">
        <v>0</v>
      </c>
      <c r="DF5" s="62">
        <v>0</v>
      </c>
      <c r="DG5" s="62">
        <v>0</v>
      </c>
      <c r="DH5" s="62">
        <v>0</v>
      </c>
      <c r="DI5" s="62">
        <v>0</v>
      </c>
      <c r="DJ5" s="62">
        <v>0</v>
      </c>
      <c r="DK5" s="62">
        <v>0</v>
      </c>
      <c r="DL5" s="62">
        <v>0</v>
      </c>
      <c r="DM5" s="190">
        <f t="shared" ref="DM5:DM87" si="23">SUM(DA5:DL5)</f>
        <v>0</v>
      </c>
      <c r="DN5" s="62">
        <v>0</v>
      </c>
      <c r="DO5" s="62">
        <v>0</v>
      </c>
      <c r="DP5" s="62">
        <v>0</v>
      </c>
      <c r="DQ5" s="62">
        <v>0</v>
      </c>
      <c r="DR5" s="62">
        <v>0</v>
      </c>
      <c r="DS5" s="62">
        <v>0</v>
      </c>
      <c r="DT5" s="62">
        <v>0</v>
      </c>
      <c r="DU5" s="62">
        <v>0</v>
      </c>
      <c r="DV5" s="62">
        <v>0</v>
      </c>
      <c r="DW5" s="62">
        <v>0</v>
      </c>
      <c r="DX5" s="62">
        <v>0</v>
      </c>
      <c r="DY5" s="62">
        <v>0</v>
      </c>
      <c r="DZ5" s="190">
        <f t="shared" ref="DZ5:DZ87" si="24">SUM(DN5:DY5)</f>
        <v>0</v>
      </c>
    </row>
    <row r="6" spans="1:130" ht="20.45" customHeight="1" outlineLevel="1">
      <c r="A6" s="650"/>
      <c r="B6" s="647" t="s">
        <v>3596</v>
      </c>
      <c r="C6" s="641"/>
      <c r="D6" s="62">
        <f t="shared" ref="D6" si="25">SUM(F6:FJ6)-G6-U6-AI6-AW6-BK6-BY6-CM6-CZ6-DM6-DZ6-H6-V6-AJ6-AX6-BL6-BZ6</f>
        <v>4752569</v>
      </c>
      <c r="E6" s="184">
        <f>D6/D$4</f>
        <v>1.3244767880556752E-2</v>
      </c>
      <c r="F6" s="62">
        <v>0</v>
      </c>
      <c r="G6" s="190">
        <f>SUM(F6)</f>
        <v>0</v>
      </c>
      <c r="H6" s="197">
        <f>G6/G$4</f>
        <v>0</v>
      </c>
      <c r="I6" s="62">
        <v>0</v>
      </c>
      <c r="J6" s="62">
        <v>0</v>
      </c>
      <c r="K6" s="62">
        <v>0</v>
      </c>
      <c r="L6" s="62">
        <v>0</v>
      </c>
      <c r="M6" s="62">
        <v>0</v>
      </c>
      <c r="N6" s="62">
        <v>0</v>
      </c>
      <c r="O6" s="62">
        <v>0</v>
      </c>
      <c r="P6" s="62">
        <v>0</v>
      </c>
      <c r="Q6" s="62">
        <v>0</v>
      </c>
      <c r="R6" s="62">
        <v>0</v>
      </c>
      <c r="S6" s="62">
        <v>0</v>
      </c>
      <c r="T6" s="62">
        <v>0</v>
      </c>
      <c r="U6" s="190">
        <f t="shared" ref="U6" si="26">SUM(I6:T6)</f>
        <v>0</v>
      </c>
      <c r="V6" s="197">
        <f>U6/U$4</f>
        <v>0</v>
      </c>
      <c r="W6" s="62">
        <v>0</v>
      </c>
      <c r="X6" s="62">
        <v>0</v>
      </c>
      <c r="Y6" s="62">
        <v>0</v>
      </c>
      <c r="Z6" s="62">
        <v>0</v>
      </c>
      <c r="AA6" s="62">
        <v>0</v>
      </c>
      <c r="AB6" s="62">
        <v>0</v>
      </c>
      <c r="AC6" s="62">
        <v>0</v>
      </c>
      <c r="AD6" s="62">
        <v>0</v>
      </c>
      <c r="AE6" s="62">
        <v>0</v>
      </c>
      <c r="AF6" s="62">
        <v>0</v>
      </c>
      <c r="AG6" s="62">
        <v>0</v>
      </c>
      <c r="AH6" s="62">
        <v>0</v>
      </c>
      <c r="AI6" s="190">
        <f t="shared" ref="AI6" si="27">SUM(W6:AH6)</f>
        <v>0</v>
      </c>
      <c r="AJ6" s="197">
        <f>AI6/AI$4</f>
        <v>0</v>
      </c>
      <c r="AK6" s="62">
        <v>0</v>
      </c>
      <c r="AL6" s="62">
        <v>0</v>
      </c>
      <c r="AM6" s="62">
        <v>0</v>
      </c>
      <c r="AN6" s="62">
        <v>0</v>
      </c>
      <c r="AO6" s="62">
        <v>0</v>
      </c>
      <c r="AP6" s="62">
        <v>0</v>
      </c>
      <c r="AQ6" s="62">
        <v>0</v>
      </c>
      <c r="AR6" s="62">
        <v>0</v>
      </c>
      <c r="AS6" s="62">
        <v>0</v>
      </c>
      <c r="AT6" s="62">
        <v>0</v>
      </c>
      <c r="AU6" s="62">
        <v>0</v>
      </c>
      <c r="AV6" s="62">
        <v>0</v>
      </c>
      <c r="AW6" s="190">
        <f t="shared" ref="AW6" si="28">SUM(AK6:AV6)</f>
        <v>0</v>
      </c>
      <c r="AX6" s="197">
        <f>AW6/AW$4</f>
        <v>0</v>
      </c>
      <c r="AY6" s="62">
        <v>0</v>
      </c>
      <c r="AZ6" s="62">
        <v>0</v>
      </c>
      <c r="BA6" s="62">
        <v>0</v>
      </c>
      <c r="BB6" s="62">
        <v>0</v>
      </c>
      <c r="BC6" s="62">
        <v>0</v>
      </c>
      <c r="BD6" s="62">
        <v>0</v>
      </c>
      <c r="BE6" s="62">
        <v>0</v>
      </c>
      <c r="BF6" s="62">
        <v>0</v>
      </c>
      <c r="BG6" s="62">
        <v>0</v>
      </c>
      <c r="BH6" s="62">
        <v>0</v>
      </c>
      <c r="BI6" s="62">
        <v>0</v>
      </c>
      <c r="BJ6" s="62">
        <v>0</v>
      </c>
      <c r="BK6" s="190">
        <f t="shared" ref="BK6" si="29">SUM(AY6:BJ6)</f>
        <v>0</v>
      </c>
      <c r="BL6" s="197">
        <f>BK6/BK$4</f>
        <v>0</v>
      </c>
      <c r="BM6" s="62">
        <v>0</v>
      </c>
      <c r="BN6" s="62">
        <v>0</v>
      </c>
      <c r="BO6" s="62">
        <v>0</v>
      </c>
      <c r="BP6" s="62">
        <v>4752569</v>
      </c>
      <c r="BQ6" s="62">
        <v>0</v>
      </c>
      <c r="BR6" s="62">
        <v>0</v>
      </c>
      <c r="BS6" s="62">
        <v>0</v>
      </c>
      <c r="BT6" s="62">
        <v>0</v>
      </c>
      <c r="BU6" s="62">
        <v>0</v>
      </c>
      <c r="BV6" s="62">
        <v>0</v>
      </c>
      <c r="BW6" s="62">
        <v>0</v>
      </c>
      <c r="BX6" s="62">
        <v>0</v>
      </c>
      <c r="BY6" s="190">
        <f t="shared" ref="BY6" si="30">SUM(BM6:BX6)</f>
        <v>4752569</v>
      </c>
      <c r="BZ6" s="197">
        <f>BY6/BY$4</f>
        <v>8.1551995072597902E-2</v>
      </c>
      <c r="CA6" s="62">
        <v>0</v>
      </c>
      <c r="CB6" s="62">
        <v>0</v>
      </c>
      <c r="CC6" s="62">
        <v>0</v>
      </c>
      <c r="CD6" s="62">
        <v>0</v>
      </c>
      <c r="CE6" s="62">
        <v>0</v>
      </c>
      <c r="CF6" s="62">
        <v>0</v>
      </c>
      <c r="CG6" s="62">
        <v>0</v>
      </c>
      <c r="CH6" s="62">
        <v>0</v>
      </c>
      <c r="CI6" s="62">
        <v>0</v>
      </c>
      <c r="CJ6" s="62">
        <v>0</v>
      </c>
      <c r="CK6" s="62">
        <v>0</v>
      </c>
      <c r="CL6" s="62">
        <v>0</v>
      </c>
      <c r="CM6" s="190">
        <f t="shared" ref="CM6" si="31">SUM(CA6:CL6)</f>
        <v>0</v>
      </c>
      <c r="CN6" s="62">
        <v>0</v>
      </c>
      <c r="CO6" s="62">
        <v>0</v>
      </c>
      <c r="CP6" s="62">
        <v>0</v>
      </c>
      <c r="CQ6" s="62">
        <v>0</v>
      </c>
      <c r="CR6" s="62">
        <v>0</v>
      </c>
      <c r="CS6" s="62">
        <v>0</v>
      </c>
      <c r="CT6" s="62">
        <v>0</v>
      </c>
      <c r="CU6" s="62">
        <v>0</v>
      </c>
      <c r="CV6" s="62">
        <v>0</v>
      </c>
      <c r="CW6" s="62">
        <v>0</v>
      </c>
      <c r="CX6" s="62">
        <v>0</v>
      </c>
      <c r="CY6" s="62">
        <v>0</v>
      </c>
      <c r="CZ6" s="190">
        <f t="shared" ref="CZ6" si="32">SUM(CN6:CY6)</f>
        <v>0</v>
      </c>
      <c r="DA6" s="62">
        <v>0</v>
      </c>
      <c r="DB6" s="62">
        <v>0</v>
      </c>
      <c r="DC6" s="62">
        <v>0</v>
      </c>
      <c r="DD6" s="62">
        <v>0</v>
      </c>
      <c r="DE6" s="62">
        <v>0</v>
      </c>
      <c r="DF6" s="62">
        <v>0</v>
      </c>
      <c r="DG6" s="62">
        <v>0</v>
      </c>
      <c r="DH6" s="62">
        <v>0</v>
      </c>
      <c r="DI6" s="62">
        <v>0</v>
      </c>
      <c r="DJ6" s="62">
        <v>0</v>
      </c>
      <c r="DK6" s="62">
        <v>0</v>
      </c>
      <c r="DL6" s="62">
        <v>0</v>
      </c>
      <c r="DM6" s="190">
        <f t="shared" ref="DM6" si="33">SUM(DA6:DL6)</f>
        <v>0</v>
      </c>
      <c r="DN6" s="62">
        <v>0</v>
      </c>
      <c r="DO6" s="62">
        <v>0</v>
      </c>
      <c r="DP6" s="62">
        <v>0</v>
      </c>
      <c r="DQ6" s="62">
        <v>0</v>
      </c>
      <c r="DR6" s="62">
        <v>0</v>
      </c>
      <c r="DS6" s="62">
        <v>0</v>
      </c>
      <c r="DT6" s="62">
        <v>0</v>
      </c>
      <c r="DU6" s="62">
        <v>0</v>
      </c>
      <c r="DV6" s="62">
        <v>0</v>
      </c>
      <c r="DW6" s="62">
        <v>0</v>
      </c>
      <c r="DX6" s="62">
        <v>0</v>
      </c>
      <c r="DY6" s="62">
        <v>0</v>
      </c>
      <c r="DZ6" s="190">
        <f t="shared" ref="DZ6" si="34">SUM(DN6:DY6)</f>
        <v>0</v>
      </c>
    </row>
    <row r="7" spans="1:130" ht="20.45" customHeight="1" outlineLevel="1">
      <c r="A7" s="650"/>
      <c r="B7" s="640" t="s">
        <v>2598</v>
      </c>
      <c r="C7" s="641"/>
      <c r="D7" s="62">
        <f t="shared" si="0"/>
        <v>6240595.9999999991</v>
      </c>
      <c r="E7" s="184">
        <f t="shared" ref="E7:E24" si="35">D7/D$4</f>
        <v>1.7391698143957707E-2</v>
      </c>
      <c r="F7" s="62">
        <v>0</v>
      </c>
      <c r="G7" s="190">
        <f t="shared" ref="G7:G88" si="36">SUM(F7)</f>
        <v>0</v>
      </c>
      <c r="H7" s="197">
        <f t="shared" ref="H7:H24" si="37">G7/G$4</f>
        <v>0</v>
      </c>
      <c r="I7" s="62">
        <v>0</v>
      </c>
      <c r="J7" s="62">
        <v>0</v>
      </c>
      <c r="K7" s="62">
        <v>0</v>
      </c>
      <c r="L7" s="62">
        <v>0</v>
      </c>
      <c r="M7" s="62">
        <v>0</v>
      </c>
      <c r="N7" s="62">
        <v>0</v>
      </c>
      <c r="O7" s="62">
        <v>0</v>
      </c>
      <c r="P7" s="62">
        <v>0</v>
      </c>
      <c r="Q7" s="62">
        <v>0</v>
      </c>
      <c r="R7" s="62">
        <v>0</v>
      </c>
      <c r="S7" s="62">
        <v>0</v>
      </c>
      <c r="T7" s="62">
        <v>0</v>
      </c>
      <c r="U7" s="190">
        <f t="shared" si="16"/>
        <v>0</v>
      </c>
      <c r="V7" s="197">
        <f t="shared" ref="V7:V24" si="38">U7/U$4</f>
        <v>0</v>
      </c>
      <c r="W7" s="62">
        <v>0</v>
      </c>
      <c r="X7" s="62">
        <v>0</v>
      </c>
      <c r="Y7" s="62">
        <v>2900955</v>
      </c>
      <c r="Z7" s="62">
        <v>0</v>
      </c>
      <c r="AA7" s="62">
        <v>812032</v>
      </c>
      <c r="AB7" s="62">
        <v>0</v>
      </c>
      <c r="AC7" s="62">
        <v>0</v>
      </c>
      <c r="AD7" s="62">
        <v>0</v>
      </c>
      <c r="AE7" s="62">
        <v>0</v>
      </c>
      <c r="AF7" s="62">
        <v>0</v>
      </c>
      <c r="AG7" s="62">
        <v>0</v>
      </c>
      <c r="AH7" s="62">
        <v>0</v>
      </c>
      <c r="AI7" s="190">
        <f t="shared" si="17"/>
        <v>3712987</v>
      </c>
      <c r="AJ7" s="197">
        <f t="shared" ref="AJ7:AJ24" si="39">AI7/AI$4</f>
        <v>4.3316213666692409E-2</v>
      </c>
      <c r="AK7" s="62">
        <v>0</v>
      </c>
      <c r="AL7" s="62">
        <v>0</v>
      </c>
      <c r="AM7" s="62">
        <v>0</v>
      </c>
      <c r="AN7" s="62">
        <v>0</v>
      </c>
      <c r="AO7" s="62">
        <v>0</v>
      </c>
      <c r="AP7" s="62">
        <v>0</v>
      </c>
      <c r="AQ7" s="62">
        <v>0</v>
      </c>
      <c r="AR7" s="62">
        <v>0</v>
      </c>
      <c r="AS7" s="62">
        <v>0</v>
      </c>
      <c r="AT7" s="62">
        <v>0</v>
      </c>
      <c r="AU7" s="62">
        <v>0</v>
      </c>
      <c r="AV7" s="62">
        <f>877190+768659</f>
        <v>1645849</v>
      </c>
      <c r="AW7" s="190">
        <f t="shared" si="18"/>
        <v>1645849</v>
      </c>
      <c r="AX7" s="197">
        <f t="shared" ref="AX7:AX24" si="40">AW7/AW$4</f>
        <v>2.268935080183954E-2</v>
      </c>
      <c r="AY7" s="62">
        <v>0</v>
      </c>
      <c r="AZ7" s="62">
        <v>0</v>
      </c>
      <c r="BA7" s="62">
        <v>0</v>
      </c>
      <c r="BB7" s="62">
        <v>0</v>
      </c>
      <c r="BC7" s="62">
        <v>0</v>
      </c>
      <c r="BD7" s="62">
        <v>0</v>
      </c>
      <c r="BE7" s="62">
        <v>0</v>
      </c>
      <c r="BF7" s="62">
        <v>0</v>
      </c>
      <c r="BG7" s="62">
        <v>0</v>
      </c>
      <c r="BH7" s="62">
        <v>0</v>
      </c>
      <c r="BI7" s="62">
        <v>881760</v>
      </c>
      <c r="BJ7" s="62">
        <v>0</v>
      </c>
      <c r="BK7" s="190">
        <f t="shared" si="19"/>
        <v>881760</v>
      </c>
      <c r="BL7" s="197">
        <f t="shared" ref="BL7:BL24" si="41">BK7/BK$4</f>
        <v>1.131098549962856E-2</v>
      </c>
      <c r="BM7" s="62">
        <v>0</v>
      </c>
      <c r="BN7" s="62">
        <v>0</v>
      </c>
      <c r="BO7" s="62">
        <v>0</v>
      </c>
      <c r="BP7" s="62">
        <v>0</v>
      </c>
      <c r="BQ7" s="62">
        <v>0</v>
      </c>
      <c r="BR7" s="62">
        <v>0</v>
      </c>
      <c r="BS7" s="62">
        <v>0</v>
      </c>
      <c r="BT7" s="62">
        <v>0</v>
      </c>
      <c r="BU7" s="62">
        <v>0</v>
      </c>
      <c r="BV7" s="62">
        <v>0</v>
      </c>
      <c r="BW7" s="62">
        <v>0</v>
      </c>
      <c r="BX7" s="62">
        <v>0</v>
      </c>
      <c r="BY7" s="190">
        <f t="shared" si="20"/>
        <v>0</v>
      </c>
      <c r="BZ7" s="197">
        <f t="shared" ref="BZ7:BZ24" si="42">BY7/BY$4</f>
        <v>0</v>
      </c>
      <c r="CA7" s="62">
        <v>0</v>
      </c>
      <c r="CB7" s="62">
        <v>0</v>
      </c>
      <c r="CC7" s="62">
        <v>0</v>
      </c>
      <c r="CD7" s="62">
        <v>0</v>
      </c>
      <c r="CE7" s="62">
        <v>0</v>
      </c>
      <c r="CF7" s="62">
        <v>0</v>
      </c>
      <c r="CG7" s="62">
        <v>0</v>
      </c>
      <c r="CH7" s="62">
        <v>0</v>
      </c>
      <c r="CI7" s="62">
        <v>0</v>
      </c>
      <c r="CJ7" s="62">
        <v>0</v>
      </c>
      <c r="CK7" s="62">
        <v>0</v>
      </c>
      <c r="CL7" s="62">
        <v>0</v>
      </c>
      <c r="CM7" s="190">
        <f t="shared" si="21"/>
        <v>0</v>
      </c>
      <c r="CN7" s="62">
        <v>0</v>
      </c>
      <c r="CO7" s="62">
        <v>0</v>
      </c>
      <c r="CP7" s="62">
        <v>0</v>
      </c>
      <c r="CQ7" s="62">
        <v>0</v>
      </c>
      <c r="CR7" s="62">
        <v>0</v>
      </c>
      <c r="CS7" s="62">
        <v>0</v>
      </c>
      <c r="CT7" s="62">
        <v>0</v>
      </c>
      <c r="CU7" s="62">
        <v>0</v>
      </c>
      <c r="CV7" s="62">
        <v>0</v>
      </c>
      <c r="CW7" s="62">
        <v>0</v>
      </c>
      <c r="CX7" s="62">
        <v>0</v>
      </c>
      <c r="CY7" s="62">
        <v>0</v>
      </c>
      <c r="CZ7" s="190">
        <f t="shared" si="22"/>
        <v>0</v>
      </c>
      <c r="DA7" s="62">
        <v>0</v>
      </c>
      <c r="DB7" s="62">
        <v>0</v>
      </c>
      <c r="DC7" s="62">
        <v>0</v>
      </c>
      <c r="DD7" s="62">
        <v>0</v>
      </c>
      <c r="DE7" s="62">
        <v>0</v>
      </c>
      <c r="DF7" s="62">
        <v>0</v>
      </c>
      <c r="DG7" s="62">
        <v>0</v>
      </c>
      <c r="DH7" s="62">
        <v>0</v>
      </c>
      <c r="DI7" s="62">
        <v>0</v>
      </c>
      <c r="DJ7" s="62">
        <v>0</v>
      </c>
      <c r="DK7" s="62">
        <v>0</v>
      </c>
      <c r="DL7" s="62">
        <v>0</v>
      </c>
      <c r="DM7" s="190">
        <f t="shared" si="23"/>
        <v>0</v>
      </c>
      <c r="DN7" s="62">
        <v>0</v>
      </c>
      <c r="DO7" s="62">
        <v>0</v>
      </c>
      <c r="DP7" s="62">
        <v>0</v>
      </c>
      <c r="DQ7" s="62">
        <v>0</v>
      </c>
      <c r="DR7" s="62">
        <v>0</v>
      </c>
      <c r="DS7" s="62">
        <v>0</v>
      </c>
      <c r="DT7" s="62">
        <v>0</v>
      </c>
      <c r="DU7" s="62">
        <v>0</v>
      </c>
      <c r="DV7" s="62">
        <v>0</v>
      </c>
      <c r="DW7" s="62">
        <v>0</v>
      </c>
      <c r="DX7" s="62">
        <v>0</v>
      </c>
      <c r="DY7" s="62">
        <v>0</v>
      </c>
      <c r="DZ7" s="190">
        <f t="shared" si="24"/>
        <v>0</v>
      </c>
    </row>
    <row r="8" spans="1:130" ht="20.45" customHeight="1" outlineLevel="1">
      <c r="A8" s="650"/>
      <c r="B8" s="640" t="s">
        <v>2599</v>
      </c>
      <c r="C8" s="641"/>
      <c r="D8" s="62">
        <f t="shared" si="0"/>
        <v>308999.99999999994</v>
      </c>
      <c r="E8" s="184">
        <f t="shared" si="35"/>
        <v>8.6114126382847583E-4</v>
      </c>
      <c r="F8" s="62">
        <v>0</v>
      </c>
      <c r="G8" s="190">
        <f t="shared" si="36"/>
        <v>0</v>
      </c>
      <c r="H8" s="197">
        <f t="shared" si="37"/>
        <v>0</v>
      </c>
      <c r="I8" s="62">
        <v>0</v>
      </c>
      <c r="J8" s="62">
        <v>0</v>
      </c>
      <c r="K8" s="62">
        <v>0</v>
      </c>
      <c r="L8" s="62">
        <v>0</v>
      </c>
      <c r="M8" s="62">
        <v>0</v>
      </c>
      <c r="N8" s="62">
        <v>0</v>
      </c>
      <c r="O8" s="62">
        <v>0</v>
      </c>
      <c r="P8" s="62">
        <v>0</v>
      </c>
      <c r="Q8" s="62">
        <v>0</v>
      </c>
      <c r="R8" s="62">
        <v>0</v>
      </c>
      <c r="S8" s="62">
        <v>0</v>
      </c>
      <c r="T8" s="62">
        <v>0</v>
      </c>
      <c r="U8" s="190">
        <f t="shared" si="16"/>
        <v>0</v>
      </c>
      <c r="V8" s="197">
        <f t="shared" si="38"/>
        <v>0</v>
      </c>
      <c r="W8" s="62">
        <v>0</v>
      </c>
      <c r="X8" s="62">
        <v>0</v>
      </c>
      <c r="Y8" s="62">
        <v>0</v>
      </c>
      <c r="Z8" s="62">
        <v>45100</v>
      </c>
      <c r="AA8" s="62">
        <f>45400+218500</f>
        <v>263900</v>
      </c>
      <c r="AB8" s="62">
        <v>0</v>
      </c>
      <c r="AC8" s="62">
        <v>0</v>
      </c>
      <c r="AD8" s="62">
        <v>0</v>
      </c>
      <c r="AE8" s="62">
        <v>0</v>
      </c>
      <c r="AF8" s="62">
        <v>0</v>
      </c>
      <c r="AG8" s="62">
        <v>0</v>
      </c>
      <c r="AH8" s="62">
        <v>0</v>
      </c>
      <c r="AI8" s="190">
        <f t="shared" si="17"/>
        <v>309000</v>
      </c>
      <c r="AJ8" s="197">
        <f t="shared" si="39"/>
        <v>3.6048362202743922E-3</v>
      </c>
      <c r="AK8" s="62">
        <v>0</v>
      </c>
      <c r="AL8" s="62">
        <v>0</v>
      </c>
      <c r="AM8" s="62">
        <v>0</v>
      </c>
      <c r="AN8" s="62">
        <v>0</v>
      </c>
      <c r="AO8" s="62">
        <v>0</v>
      </c>
      <c r="AP8" s="62">
        <v>0</v>
      </c>
      <c r="AQ8" s="62">
        <v>0</v>
      </c>
      <c r="AR8" s="62">
        <v>0</v>
      </c>
      <c r="AS8" s="62">
        <v>0</v>
      </c>
      <c r="AT8" s="62">
        <v>0</v>
      </c>
      <c r="AU8" s="62">
        <v>0</v>
      </c>
      <c r="AV8" s="62">
        <v>0</v>
      </c>
      <c r="AW8" s="190">
        <f t="shared" si="18"/>
        <v>0</v>
      </c>
      <c r="AX8" s="197">
        <f t="shared" si="40"/>
        <v>0</v>
      </c>
      <c r="AY8" s="62">
        <v>0</v>
      </c>
      <c r="AZ8" s="62">
        <v>0</v>
      </c>
      <c r="BA8" s="62">
        <v>0</v>
      </c>
      <c r="BB8" s="62">
        <v>0</v>
      </c>
      <c r="BC8" s="62">
        <v>0</v>
      </c>
      <c r="BD8" s="62">
        <v>0</v>
      </c>
      <c r="BE8" s="62">
        <v>0</v>
      </c>
      <c r="BF8" s="62">
        <v>0</v>
      </c>
      <c r="BG8" s="62">
        <v>0</v>
      </c>
      <c r="BH8" s="62">
        <v>0</v>
      </c>
      <c r="BI8" s="62">
        <v>0</v>
      </c>
      <c r="BJ8" s="62">
        <v>0</v>
      </c>
      <c r="BK8" s="190">
        <f t="shared" si="19"/>
        <v>0</v>
      </c>
      <c r="BL8" s="197">
        <f t="shared" si="41"/>
        <v>0</v>
      </c>
      <c r="BM8" s="62">
        <v>0</v>
      </c>
      <c r="BN8" s="62">
        <v>0</v>
      </c>
      <c r="BO8" s="62">
        <v>0</v>
      </c>
      <c r="BP8" s="62">
        <v>0</v>
      </c>
      <c r="BQ8" s="62">
        <v>0</v>
      </c>
      <c r="BR8" s="62">
        <v>0</v>
      </c>
      <c r="BS8" s="62">
        <v>0</v>
      </c>
      <c r="BT8" s="62">
        <v>0</v>
      </c>
      <c r="BU8" s="62">
        <v>0</v>
      </c>
      <c r="BV8" s="62">
        <v>0</v>
      </c>
      <c r="BW8" s="62">
        <v>0</v>
      </c>
      <c r="BX8" s="62">
        <v>0</v>
      </c>
      <c r="BY8" s="190">
        <f t="shared" si="20"/>
        <v>0</v>
      </c>
      <c r="BZ8" s="197">
        <f t="shared" si="42"/>
        <v>0</v>
      </c>
      <c r="CA8" s="62">
        <v>0</v>
      </c>
      <c r="CB8" s="62">
        <v>0</v>
      </c>
      <c r="CC8" s="62">
        <v>0</v>
      </c>
      <c r="CD8" s="62">
        <v>0</v>
      </c>
      <c r="CE8" s="62">
        <v>0</v>
      </c>
      <c r="CF8" s="62">
        <v>0</v>
      </c>
      <c r="CG8" s="62">
        <v>0</v>
      </c>
      <c r="CH8" s="62">
        <v>0</v>
      </c>
      <c r="CI8" s="62">
        <v>0</v>
      </c>
      <c r="CJ8" s="62">
        <v>0</v>
      </c>
      <c r="CK8" s="62">
        <v>0</v>
      </c>
      <c r="CL8" s="62">
        <v>0</v>
      </c>
      <c r="CM8" s="190">
        <f t="shared" si="21"/>
        <v>0</v>
      </c>
      <c r="CN8" s="62">
        <v>0</v>
      </c>
      <c r="CO8" s="62">
        <v>0</v>
      </c>
      <c r="CP8" s="62">
        <v>0</v>
      </c>
      <c r="CQ8" s="62">
        <v>0</v>
      </c>
      <c r="CR8" s="62">
        <v>0</v>
      </c>
      <c r="CS8" s="62">
        <v>0</v>
      </c>
      <c r="CT8" s="62">
        <v>0</v>
      </c>
      <c r="CU8" s="62">
        <v>0</v>
      </c>
      <c r="CV8" s="62">
        <v>0</v>
      </c>
      <c r="CW8" s="62">
        <v>0</v>
      </c>
      <c r="CX8" s="62">
        <v>0</v>
      </c>
      <c r="CY8" s="62">
        <v>0</v>
      </c>
      <c r="CZ8" s="190">
        <f t="shared" si="22"/>
        <v>0</v>
      </c>
      <c r="DA8" s="62">
        <v>0</v>
      </c>
      <c r="DB8" s="62">
        <v>0</v>
      </c>
      <c r="DC8" s="62">
        <v>0</v>
      </c>
      <c r="DD8" s="62">
        <v>0</v>
      </c>
      <c r="DE8" s="62">
        <v>0</v>
      </c>
      <c r="DF8" s="62">
        <v>0</v>
      </c>
      <c r="DG8" s="62">
        <v>0</v>
      </c>
      <c r="DH8" s="62">
        <v>0</v>
      </c>
      <c r="DI8" s="62">
        <v>0</v>
      </c>
      <c r="DJ8" s="62">
        <v>0</v>
      </c>
      <c r="DK8" s="62">
        <v>0</v>
      </c>
      <c r="DL8" s="62">
        <v>0</v>
      </c>
      <c r="DM8" s="190">
        <f t="shared" si="23"/>
        <v>0</v>
      </c>
      <c r="DN8" s="62">
        <v>0</v>
      </c>
      <c r="DO8" s="62">
        <v>0</v>
      </c>
      <c r="DP8" s="62">
        <v>0</v>
      </c>
      <c r="DQ8" s="62">
        <v>0</v>
      </c>
      <c r="DR8" s="62">
        <v>0</v>
      </c>
      <c r="DS8" s="62">
        <v>0</v>
      </c>
      <c r="DT8" s="62">
        <v>0</v>
      </c>
      <c r="DU8" s="62">
        <v>0</v>
      </c>
      <c r="DV8" s="62">
        <v>0</v>
      </c>
      <c r="DW8" s="62">
        <v>0</v>
      </c>
      <c r="DX8" s="62">
        <v>0</v>
      </c>
      <c r="DY8" s="62">
        <v>0</v>
      </c>
      <c r="DZ8" s="190">
        <f t="shared" si="24"/>
        <v>0</v>
      </c>
    </row>
    <row r="9" spans="1:130" ht="20.45" customHeight="1" outlineLevel="1">
      <c r="A9" s="650"/>
      <c r="B9" s="640" t="s">
        <v>3218</v>
      </c>
      <c r="C9" s="641"/>
      <c r="D9" s="62">
        <f t="shared" si="0"/>
        <v>7629030</v>
      </c>
      <c r="E9" s="184">
        <f t="shared" si="35"/>
        <v>2.1261076168237407E-2</v>
      </c>
      <c r="F9" s="62">
        <v>0</v>
      </c>
      <c r="G9" s="190">
        <f t="shared" si="36"/>
        <v>0</v>
      </c>
      <c r="H9" s="197">
        <f t="shared" si="37"/>
        <v>0</v>
      </c>
      <c r="I9" s="62">
        <v>0</v>
      </c>
      <c r="J9" s="62">
        <v>0</v>
      </c>
      <c r="K9" s="62">
        <v>0</v>
      </c>
      <c r="L9" s="62">
        <v>0</v>
      </c>
      <c r="M9" s="62">
        <v>0</v>
      </c>
      <c r="N9" s="62">
        <v>0</v>
      </c>
      <c r="O9" s="62">
        <v>0</v>
      </c>
      <c r="P9" s="62">
        <v>0</v>
      </c>
      <c r="Q9" s="62">
        <v>0</v>
      </c>
      <c r="R9" s="62">
        <v>0</v>
      </c>
      <c r="S9" s="62">
        <v>0</v>
      </c>
      <c r="T9" s="62">
        <v>0</v>
      </c>
      <c r="U9" s="190">
        <f t="shared" ref="U9" si="43">SUM(I9:T9)</f>
        <v>0</v>
      </c>
      <c r="V9" s="197">
        <f t="shared" si="38"/>
        <v>0</v>
      </c>
      <c r="W9" s="62">
        <v>0</v>
      </c>
      <c r="X9" s="62">
        <v>0</v>
      </c>
      <c r="Y9" s="62">
        <v>0</v>
      </c>
      <c r="Z9" s="62">
        <v>0</v>
      </c>
      <c r="AA9" s="62">
        <v>0</v>
      </c>
      <c r="AB9" s="62">
        <v>0</v>
      </c>
      <c r="AC9" s="62">
        <v>0</v>
      </c>
      <c r="AD9" s="62">
        <v>0</v>
      </c>
      <c r="AE9" s="62">
        <v>0</v>
      </c>
      <c r="AF9" s="62">
        <v>0</v>
      </c>
      <c r="AG9" s="62">
        <v>0</v>
      </c>
      <c r="AH9" s="62">
        <v>0</v>
      </c>
      <c r="AI9" s="190">
        <f t="shared" ref="AI9" si="44">SUM(W9:AH9)</f>
        <v>0</v>
      </c>
      <c r="AJ9" s="197">
        <f t="shared" si="39"/>
        <v>0</v>
      </c>
      <c r="AK9" s="62">
        <v>0</v>
      </c>
      <c r="AL9" s="62">
        <v>0</v>
      </c>
      <c r="AM9" s="62">
        <v>0</v>
      </c>
      <c r="AN9" s="62">
        <v>0</v>
      </c>
      <c r="AO9" s="62">
        <v>0</v>
      </c>
      <c r="AP9" s="62">
        <v>0</v>
      </c>
      <c r="AQ9" s="62">
        <v>0</v>
      </c>
      <c r="AR9" s="62">
        <v>0</v>
      </c>
      <c r="AS9" s="62">
        <v>0</v>
      </c>
      <c r="AT9" s="62">
        <v>0</v>
      </c>
      <c r="AU9" s="62">
        <v>0</v>
      </c>
      <c r="AV9" s="62">
        <v>0</v>
      </c>
      <c r="AW9" s="190">
        <f t="shared" ref="AW9" si="45">SUM(AK9:AV9)</f>
        <v>0</v>
      </c>
      <c r="AX9" s="197">
        <f t="shared" si="40"/>
        <v>0</v>
      </c>
      <c r="AY9" s="62">
        <v>0</v>
      </c>
      <c r="AZ9" s="62">
        <v>0</v>
      </c>
      <c r="BA9" s="62">
        <v>0</v>
      </c>
      <c r="BB9" s="62">
        <v>0</v>
      </c>
      <c r="BC9" s="62">
        <v>0</v>
      </c>
      <c r="BD9" s="62">
        <v>2500000</v>
      </c>
      <c r="BE9" s="62">
        <v>0</v>
      </c>
      <c r="BF9" s="62">
        <v>5129030</v>
      </c>
      <c r="BG9" s="62">
        <v>0</v>
      </c>
      <c r="BH9" s="62">
        <v>0</v>
      </c>
      <c r="BI9" s="62">
        <v>0</v>
      </c>
      <c r="BJ9" s="62">
        <v>0</v>
      </c>
      <c r="BK9" s="190">
        <f t="shared" ref="BK9" si="46">SUM(AY9:BJ9)</f>
        <v>7629030</v>
      </c>
      <c r="BL9" s="197">
        <f t="shared" si="41"/>
        <v>9.7863191465059965E-2</v>
      </c>
      <c r="BM9" s="62">
        <v>0</v>
      </c>
      <c r="BN9" s="62">
        <v>0</v>
      </c>
      <c r="BO9" s="62">
        <v>0</v>
      </c>
      <c r="BP9" s="62">
        <v>0</v>
      </c>
      <c r="BQ9" s="62">
        <v>0</v>
      </c>
      <c r="BR9" s="62">
        <v>0</v>
      </c>
      <c r="BS9" s="62">
        <v>0</v>
      </c>
      <c r="BT9" s="62">
        <v>0</v>
      </c>
      <c r="BU9" s="62">
        <v>0</v>
      </c>
      <c r="BV9" s="62">
        <v>0</v>
      </c>
      <c r="BW9" s="62">
        <v>0</v>
      </c>
      <c r="BX9" s="62">
        <v>0</v>
      </c>
      <c r="BY9" s="190">
        <f t="shared" ref="BY9" si="47">SUM(BM9:BX9)</f>
        <v>0</v>
      </c>
      <c r="BZ9" s="197">
        <f t="shared" si="42"/>
        <v>0</v>
      </c>
      <c r="CA9" s="62">
        <v>0</v>
      </c>
      <c r="CB9" s="62">
        <v>0</v>
      </c>
      <c r="CC9" s="62">
        <v>0</v>
      </c>
      <c r="CD9" s="62">
        <v>0</v>
      </c>
      <c r="CE9" s="62">
        <v>0</v>
      </c>
      <c r="CF9" s="62">
        <v>0</v>
      </c>
      <c r="CG9" s="62">
        <v>0</v>
      </c>
      <c r="CH9" s="62">
        <v>0</v>
      </c>
      <c r="CI9" s="62">
        <v>0</v>
      </c>
      <c r="CJ9" s="62">
        <v>0</v>
      </c>
      <c r="CK9" s="62">
        <v>0</v>
      </c>
      <c r="CL9" s="62">
        <v>0</v>
      </c>
      <c r="CM9" s="190">
        <f t="shared" ref="CM9" si="48">SUM(CA9:CL9)</f>
        <v>0</v>
      </c>
      <c r="CN9" s="62">
        <v>0</v>
      </c>
      <c r="CO9" s="62">
        <v>0</v>
      </c>
      <c r="CP9" s="62">
        <v>0</v>
      </c>
      <c r="CQ9" s="62">
        <v>0</v>
      </c>
      <c r="CR9" s="62">
        <v>0</v>
      </c>
      <c r="CS9" s="62">
        <v>0</v>
      </c>
      <c r="CT9" s="62">
        <v>0</v>
      </c>
      <c r="CU9" s="62">
        <v>0</v>
      </c>
      <c r="CV9" s="62">
        <v>0</v>
      </c>
      <c r="CW9" s="62">
        <v>0</v>
      </c>
      <c r="CX9" s="62">
        <v>0</v>
      </c>
      <c r="CY9" s="62">
        <v>0</v>
      </c>
      <c r="CZ9" s="190">
        <f t="shared" ref="CZ9" si="49">SUM(CN9:CY9)</f>
        <v>0</v>
      </c>
      <c r="DA9" s="62">
        <v>0</v>
      </c>
      <c r="DB9" s="62">
        <v>0</v>
      </c>
      <c r="DC9" s="62">
        <v>0</v>
      </c>
      <c r="DD9" s="62">
        <v>0</v>
      </c>
      <c r="DE9" s="62">
        <v>0</v>
      </c>
      <c r="DF9" s="62">
        <v>0</v>
      </c>
      <c r="DG9" s="62">
        <v>0</v>
      </c>
      <c r="DH9" s="62">
        <v>0</v>
      </c>
      <c r="DI9" s="62">
        <v>0</v>
      </c>
      <c r="DJ9" s="62">
        <v>0</v>
      </c>
      <c r="DK9" s="62">
        <v>0</v>
      </c>
      <c r="DL9" s="62">
        <v>0</v>
      </c>
      <c r="DM9" s="190">
        <f t="shared" ref="DM9" si="50">SUM(DA9:DL9)</f>
        <v>0</v>
      </c>
      <c r="DN9" s="62">
        <v>0</v>
      </c>
      <c r="DO9" s="62">
        <v>0</v>
      </c>
      <c r="DP9" s="62">
        <v>0</v>
      </c>
      <c r="DQ9" s="62">
        <v>0</v>
      </c>
      <c r="DR9" s="62">
        <v>0</v>
      </c>
      <c r="DS9" s="62">
        <v>0</v>
      </c>
      <c r="DT9" s="62">
        <v>0</v>
      </c>
      <c r="DU9" s="62">
        <v>0</v>
      </c>
      <c r="DV9" s="62">
        <v>0</v>
      </c>
      <c r="DW9" s="62">
        <v>0</v>
      </c>
      <c r="DX9" s="62">
        <v>0</v>
      </c>
      <c r="DY9" s="62">
        <v>0</v>
      </c>
      <c r="DZ9" s="190">
        <f t="shared" ref="DZ9" si="51">SUM(DN9:DY9)</f>
        <v>0</v>
      </c>
    </row>
    <row r="10" spans="1:130" ht="20.45" customHeight="1" outlineLevel="1">
      <c r="A10" s="649"/>
      <c r="B10" s="640" t="s">
        <v>42</v>
      </c>
      <c r="C10" s="641"/>
      <c r="D10" s="62">
        <f t="shared" si="0"/>
        <v>5192560.0000000019</v>
      </c>
      <c r="E10" s="184">
        <f t="shared" si="35"/>
        <v>1.4470963368625221E-2</v>
      </c>
      <c r="F10" s="62">
        <v>0</v>
      </c>
      <c r="G10" s="190">
        <f t="shared" si="36"/>
        <v>0</v>
      </c>
      <c r="H10" s="197">
        <f t="shared" si="37"/>
        <v>0</v>
      </c>
      <c r="I10" s="62">
        <v>573670</v>
      </c>
      <c r="J10" s="62">
        <v>0</v>
      </c>
      <c r="K10" s="62">
        <v>0</v>
      </c>
      <c r="L10" s="62">
        <v>0</v>
      </c>
      <c r="M10" s="62">
        <v>0</v>
      </c>
      <c r="N10" s="62">
        <v>0</v>
      </c>
      <c r="O10" s="62">
        <v>0</v>
      </c>
      <c r="P10" s="62">
        <v>0</v>
      </c>
      <c r="Q10" s="62">
        <v>0</v>
      </c>
      <c r="R10" s="62">
        <v>0</v>
      </c>
      <c r="S10" s="62">
        <v>0</v>
      </c>
      <c r="T10" s="62">
        <v>0</v>
      </c>
      <c r="U10" s="190">
        <f t="shared" si="16"/>
        <v>573670</v>
      </c>
      <c r="V10" s="197">
        <f t="shared" si="38"/>
        <v>9.5676972578916612E-3</v>
      </c>
      <c r="W10" s="62">
        <v>0</v>
      </c>
      <c r="X10" s="62">
        <v>577720</v>
      </c>
      <c r="Y10" s="62">
        <v>0</v>
      </c>
      <c r="Z10" s="62">
        <v>0</v>
      </c>
      <c r="AA10" s="62">
        <v>0</v>
      </c>
      <c r="AB10" s="62">
        <v>0</v>
      </c>
      <c r="AC10" s="62">
        <v>0</v>
      </c>
      <c r="AD10" s="62">
        <v>0</v>
      </c>
      <c r="AE10" s="62">
        <v>0</v>
      </c>
      <c r="AF10" s="62">
        <v>0</v>
      </c>
      <c r="AG10" s="62">
        <v>0</v>
      </c>
      <c r="AH10" s="62">
        <v>0</v>
      </c>
      <c r="AI10" s="190">
        <f t="shared" si="17"/>
        <v>577720</v>
      </c>
      <c r="AJ10" s="197">
        <f t="shared" si="39"/>
        <v>6.7397604568832422E-3</v>
      </c>
      <c r="AK10" s="62">
        <v>0</v>
      </c>
      <c r="AL10" s="62">
        <v>1413340</v>
      </c>
      <c r="AM10" s="62">
        <v>0</v>
      </c>
      <c r="AN10" s="62">
        <v>0</v>
      </c>
      <c r="AO10" s="62">
        <v>0</v>
      </c>
      <c r="AP10" s="62">
        <v>0</v>
      </c>
      <c r="AQ10" s="62">
        <v>0</v>
      </c>
      <c r="AR10" s="62">
        <v>0</v>
      </c>
      <c r="AS10" s="62">
        <v>0</v>
      </c>
      <c r="AT10" s="62">
        <v>0</v>
      </c>
      <c r="AU10" s="62">
        <v>0</v>
      </c>
      <c r="AV10" s="62">
        <v>0</v>
      </c>
      <c r="AW10" s="190">
        <f t="shared" si="18"/>
        <v>1413340</v>
      </c>
      <c r="AX10" s="197">
        <f t="shared" si="40"/>
        <v>1.9484027430385104E-2</v>
      </c>
      <c r="AY10" s="62">
        <v>0</v>
      </c>
      <c r="AZ10" s="62">
        <v>-230270</v>
      </c>
      <c r="BA10" s="62">
        <v>0</v>
      </c>
      <c r="BB10" s="62">
        <v>0</v>
      </c>
      <c r="BC10" s="62">
        <v>73090</v>
      </c>
      <c r="BD10" s="62">
        <f>7300</f>
        <v>7300</v>
      </c>
      <c r="BE10" s="62">
        <f>1920+190</f>
        <v>2110</v>
      </c>
      <c r="BF10" s="62">
        <v>0</v>
      </c>
      <c r="BG10" s="62">
        <v>0</v>
      </c>
      <c r="BH10" s="62">
        <v>0</v>
      </c>
      <c r="BI10" s="62">
        <v>0</v>
      </c>
      <c r="BJ10" s="62">
        <v>0</v>
      </c>
      <c r="BK10" s="190">
        <f t="shared" si="19"/>
        <v>-147770</v>
      </c>
      <c r="BL10" s="197">
        <f t="shared" si="41"/>
        <v>-1.8955547170206319E-3</v>
      </c>
      <c r="BM10" s="62">
        <v>0</v>
      </c>
      <c r="BN10" s="62">
        <v>2775600</v>
      </c>
      <c r="BO10" s="62">
        <v>0</v>
      </c>
      <c r="BP10" s="62">
        <v>0</v>
      </c>
      <c r="BQ10" s="62">
        <v>0</v>
      </c>
      <c r="BR10" s="62">
        <v>0</v>
      </c>
      <c r="BS10" s="62">
        <v>0</v>
      </c>
      <c r="BT10" s="62">
        <v>0</v>
      </c>
      <c r="BU10" s="62">
        <v>0</v>
      </c>
      <c r="BV10" s="62">
        <v>0</v>
      </c>
      <c r="BW10" s="62">
        <v>0</v>
      </c>
      <c r="BX10" s="62">
        <v>0</v>
      </c>
      <c r="BY10" s="190">
        <f t="shared" si="20"/>
        <v>2775600</v>
      </c>
      <c r="BZ10" s="197">
        <f t="shared" si="42"/>
        <v>4.7628075999212788E-2</v>
      </c>
      <c r="CA10" s="62">
        <v>0</v>
      </c>
      <c r="CB10" s="62">
        <v>0</v>
      </c>
      <c r="CC10" s="62">
        <v>0</v>
      </c>
      <c r="CD10" s="62">
        <v>0</v>
      </c>
      <c r="CE10" s="62">
        <v>0</v>
      </c>
      <c r="CF10" s="62">
        <v>0</v>
      </c>
      <c r="CG10" s="62">
        <v>0</v>
      </c>
      <c r="CH10" s="62">
        <v>0</v>
      </c>
      <c r="CI10" s="62">
        <v>0</v>
      </c>
      <c r="CJ10" s="62">
        <v>0</v>
      </c>
      <c r="CK10" s="62">
        <v>0</v>
      </c>
      <c r="CL10" s="62">
        <v>0</v>
      </c>
      <c r="CM10" s="190">
        <f t="shared" si="21"/>
        <v>0</v>
      </c>
      <c r="CN10" s="62">
        <v>0</v>
      </c>
      <c r="CO10" s="62">
        <v>0</v>
      </c>
      <c r="CP10" s="62">
        <v>0</v>
      </c>
      <c r="CQ10" s="62">
        <v>0</v>
      </c>
      <c r="CR10" s="62">
        <v>0</v>
      </c>
      <c r="CS10" s="62">
        <v>0</v>
      </c>
      <c r="CT10" s="62">
        <v>0</v>
      </c>
      <c r="CU10" s="62">
        <v>0</v>
      </c>
      <c r="CV10" s="62">
        <v>0</v>
      </c>
      <c r="CW10" s="62">
        <v>0</v>
      </c>
      <c r="CX10" s="62">
        <v>0</v>
      </c>
      <c r="CY10" s="62">
        <v>0</v>
      </c>
      <c r="CZ10" s="190">
        <f t="shared" si="22"/>
        <v>0</v>
      </c>
      <c r="DA10" s="62">
        <v>0</v>
      </c>
      <c r="DB10" s="62">
        <v>0</v>
      </c>
      <c r="DC10" s="62">
        <v>0</v>
      </c>
      <c r="DD10" s="62">
        <v>0</v>
      </c>
      <c r="DE10" s="62">
        <v>0</v>
      </c>
      <c r="DF10" s="62">
        <v>0</v>
      </c>
      <c r="DG10" s="62">
        <v>0</v>
      </c>
      <c r="DH10" s="62">
        <v>0</v>
      </c>
      <c r="DI10" s="62">
        <v>0</v>
      </c>
      <c r="DJ10" s="62">
        <v>0</v>
      </c>
      <c r="DK10" s="62">
        <v>0</v>
      </c>
      <c r="DL10" s="62">
        <v>0</v>
      </c>
      <c r="DM10" s="190">
        <f t="shared" si="23"/>
        <v>0</v>
      </c>
      <c r="DN10" s="62">
        <v>0</v>
      </c>
      <c r="DO10" s="62">
        <v>0</v>
      </c>
      <c r="DP10" s="62">
        <v>0</v>
      </c>
      <c r="DQ10" s="62">
        <v>0</v>
      </c>
      <c r="DR10" s="62">
        <v>0</v>
      </c>
      <c r="DS10" s="62">
        <v>0</v>
      </c>
      <c r="DT10" s="62">
        <v>0</v>
      </c>
      <c r="DU10" s="62">
        <v>0</v>
      </c>
      <c r="DV10" s="62">
        <v>0</v>
      </c>
      <c r="DW10" s="62">
        <v>0</v>
      </c>
      <c r="DX10" s="62">
        <v>0</v>
      </c>
      <c r="DY10" s="62">
        <v>0</v>
      </c>
      <c r="DZ10" s="190">
        <f t="shared" si="24"/>
        <v>0</v>
      </c>
    </row>
    <row r="11" spans="1:130" ht="20.45" customHeight="1" outlineLevel="1">
      <c r="A11" s="650"/>
      <c r="B11" s="640" t="s">
        <v>2781</v>
      </c>
      <c r="C11" s="641"/>
      <c r="D11" s="62">
        <f t="shared" si="0"/>
        <v>230270</v>
      </c>
      <c r="E11" s="184">
        <f t="shared" ref="E11" si="52">D11/D$4</f>
        <v>6.4173138777276104E-4</v>
      </c>
      <c r="F11" s="62">
        <v>0</v>
      </c>
      <c r="G11" s="190">
        <f t="shared" ref="G11" si="53">SUM(F11)</f>
        <v>0</v>
      </c>
      <c r="H11" s="197">
        <f t="shared" ref="H11" si="54">G11/G$4</f>
        <v>0</v>
      </c>
      <c r="I11" s="62">
        <v>0</v>
      </c>
      <c r="J11" s="62">
        <v>0</v>
      </c>
      <c r="K11" s="62">
        <v>0</v>
      </c>
      <c r="L11" s="62">
        <v>0</v>
      </c>
      <c r="M11" s="62">
        <v>0</v>
      </c>
      <c r="N11" s="62">
        <v>0</v>
      </c>
      <c r="O11" s="62">
        <v>0</v>
      </c>
      <c r="P11" s="62">
        <v>0</v>
      </c>
      <c r="Q11" s="62">
        <v>0</v>
      </c>
      <c r="R11" s="62">
        <v>0</v>
      </c>
      <c r="S11" s="62">
        <v>0</v>
      </c>
      <c r="T11" s="62">
        <v>0</v>
      </c>
      <c r="U11" s="190">
        <f t="shared" ref="U11" si="55">SUM(I11:T11)</f>
        <v>0</v>
      </c>
      <c r="V11" s="197">
        <f t="shared" si="38"/>
        <v>0</v>
      </c>
      <c r="W11" s="62">
        <v>0</v>
      </c>
      <c r="X11" s="62">
        <v>0</v>
      </c>
      <c r="Y11" s="62">
        <v>0</v>
      </c>
      <c r="Z11" s="62">
        <v>0</v>
      </c>
      <c r="AA11" s="62">
        <v>0</v>
      </c>
      <c r="AB11" s="62">
        <v>0</v>
      </c>
      <c r="AC11" s="62">
        <v>0</v>
      </c>
      <c r="AD11" s="62">
        <v>0</v>
      </c>
      <c r="AE11" s="62">
        <v>0</v>
      </c>
      <c r="AF11" s="62">
        <v>0</v>
      </c>
      <c r="AG11" s="62">
        <v>0</v>
      </c>
      <c r="AH11" s="62">
        <v>0</v>
      </c>
      <c r="AI11" s="190">
        <f t="shared" ref="AI11" si="56">SUM(W11:AH11)</f>
        <v>0</v>
      </c>
      <c r="AJ11" s="197">
        <f t="shared" si="39"/>
        <v>0</v>
      </c>
      <c r="AK11" s="62">
        <v>0</v>
      </c>
      <c r="AL11" s="62">
        <v>0</v>
      </c>
      <c r="AM11" s="62">
        <v>0</v>
      </c>
      <c r="AN11" s="62">
        <v>0</v>
      </c>
      <c r="AO11" s="62">
        <v>0</v>
      </c>
      <c r="AP11" s="62">
        <v>0</v>
      </c>
      <c r="AQ11" s="62">
        <v>0</v>
      </c>
      <c r="AR11" s="62">
        <v>0</v>
      </c>
      <c r="AS11" s="62">
        <v>0</v>
      </c>
      <c r="AT11" s="62">
        <v>0</v>
      </c>
      <c r="AU11" s="62">
        <v>0</v>
      </c>
      <c r="AV11" s="62">
        <v>0</v>
      </c>
      <c r="AW11" s="190">
        <f t="shared" ref="AW11" si="57">SUM(AK11:AV11)</f>
        <v>0</v>
      </c>
      <c r="AX11" s="197">
        <f t="shared" si="40"/>
        <v>0</v>
      </c>
      <c r="AY11" s="62">
        <v>0</v>
      </c>
      <c r="AZ11" s="62">
        <v>230270</v>
      </c>
      <c r="BA11" s="62">
        <v>0</v>
      </c>
      <c r="BB11" s="62">
        <v>0</v>
      </c>
      <c r="BC11" s="62">
        <v>0</v>
      </c>
      <c r="BD11" s="62">
        <v>0</v>
      </c>
      <c r="BE11" s="62">
        <v>0</v>
      </c>
      <c r="BF11" s="62">
        <v>0</v>
      </c>
      <c r="BG11" s="62">
        <v>0</v>
      </c>
      <c r="BH11" s="62">
        <v>0</v>
      </c>
      <c r="BI11" s="62">
        <v>0</v>
      </c>
      <c r="BJ11" s="62">
        <v>0</v>
      </c>
      <c r="BK11" s="190">
        <f t="shared" ref="BK11" si="58">SUM(AY11:BJ11)</f>
        <v>230270</v>
      </c>
      <c r="BL11" s="197">
        <f t="shared" si="41"/>
        <v>2.9538430309828849E-3</v>
      </c>
      <c r="BM11" s="62">
        <v>0</v>
      </c>
      <c r="BN11" s="62">
        <v>0</v>
      </c>
      <c r="BO11" s="62">
        <v>0</v>
      </c>
      <c r="BP11" s="62">
        <v>0</v>
      </c>
      <c r="BQ11" s="62">
        <v>0</v>
      </c>
      <c r="BR11" s="62">
        <v>0</v>
      </c>
      <c r="BS11" s="62">
        <v>0</v>
      </c>
      <c r="BT11" s="62">
        <v>0</v>
      </c>
      <c r="BU11" s="62">
        <v>0</v>
      </c>
      <c r="BV11" s="62">
        <v>0</v>
      </c>
      <c r="BW11" s="62">
        <v>0</v>
      </c>
      <c r="BX11" s="62">
        <v>0</v>
      </c>
      <c r="BY11" s="190">
        <f t="shared" ref="BY11" si="59">SUM(BM11:BX11)</f>
        <v>0</v>
      </c>
      <c r="BZ11" s="197">
        <f t="shared" si="42"/>
        <v>0</v>
      </c>
      <c r="CA11" s="62">
        <v>0</v>
      </c>
      <c r="CB11" s="62">
        <v>0</v>
      </c>
      <c r="CC11" s="62">
        <v>0</v>
      </c>
      <c r="CD11" s="62">
        <v>0</v>
      </c>
      <c r="CE11" s="62">
        <v>0</v>
      </c>
      <c r="CF11" s="62">
        <v>0</v>
      </c>
      <c r="CG11" s="62">
        <v>0</v>
      </c>
      <c r="CH11" s="62">
        <v>0</v>
      </c>
      <c r="CI11" s="62">
        <v>0</v>
      </c>
      <c r="CJ11" s="62">
        <v>0</v>
      </c>
      <c r="CK11" s="62">
        <v>0</v>
      </c>
      <c r="CL11" s="62">
        <v>0</v>
      </c>
      <c r="CM11" s="190">
        <f t="shared" ref="CM11" si="60">SUM(CA11:CL11)</f>
        <v>0</v>
      </c>
      <c r="CN11" s="62">
        <v>0</v>
      </c>
      <c r="CO11" s="62">
        <v>0</v>
      </c>
      <c r="CP11" s="62">
        <v>0</v>
      </c>
      <c r="CQ11" s="62">
        <v>0</v>
      </c>
      <c r="CR11" s="62">
        <v>0</v>
      </c>
      <c r="CS11" s="62">
        <v>0</v>
      </c>
      <c r="CT11" s="62">
        <v>0</v>
      </c>
      <c r="CU11" s="62">
        <v>0</v>
      </c>
      <c r="CV11" s="62">
        <v>0</v>
      </c>
      <c r="CW11" s="62">
        <v>0</v>
      </c>
      <c r="CX11" s="62">
        <v>0</v>
      </c>
      <c r="CY11" s="62">
        <v>0</v>
      </c>
      <c r="CZ11" s="190">
        <f t="shared" ref="CZ11" si="61">SUM(CN11:CY11)</f>
        <v>0</v>
      </c>
      <c r="DA11" s="62">
        <v>0</v>
      </c>
      <c r="DB11" s="62">
        <v>0</v>
      </c>
      <c r="DC11" s="62">
        <v>0</v>
      </c>
      <c r="DD11" s="62">
        <v>0</v>
      </c>
      <c r="DE11" s="62">
        <v>0</v>
      </c>
      <c r="DF11" s="62">
        <v>0</v>
      </c>
      <c r="DG11" s="62">
        <v>0</v>
      </c>
      <c r="DH11" s="62">
        <v>0</v>
      </c>
      <c r="DI11" s="62">
        <v>0</v>
      </c>
      <c r="DJ11" s="62">
        <v>0</v>
      </c>
      <c r="DK11" s="62">
        <v>0</v>
      </c>
      <c r="DL11" s="62">
        <v>0</v>
      </c>
      <c r="DM11" s="190">
        <f t="shared" ref="DM11" si="62">SUM(DA11:DL11)</f>
        <v>0</v>
      </c>
      <c r="DN11" s="62">
        <v>0</v>
      </c>
      <c r="DO11" s="62">
        <v>0</v>
      </c>
      <c r="DP11" s="62">
        <v>0</v>
      </c>
      <c r="DQ11" s="62">
        <v>0</v>
      </c>
      <c r="DR11" s="62">
        <v>0</v>
      </c>
      <c r="DS11" s="62">
        <v>0</v>
      </c>
      <c r="DT11" s="62">
        <v>0</v>
      </c>
      <c r="DU11" s="62">
        <v>0</v>
      </c>
      <c r="DV11" s="62">
        <v>0</v>
      </c>
      <c r="DW11" s="62">
        <v>0</v>
      </c>
      <c r="DX11" s="62">
        <v>0</v>
      </c>
      <c r="DY11" s="62">
        <v>0</v>
      </c>
      <c r="DZ11" s="190">
        <f t="shared" ref="DZ11" si="63">SUM(DN11:DY11)</f>
        <v>0</v>
      </c>
    </row>
    <row r="12" spans="1:130" ht="20.45" customHeight="1" outlineLevel="1">
      <c r="A12" s="649"/>
      <c r="B12" s="640" t="s">
        <v>3219</v>
      </c>
      <c r="C12" s="641"/>
      <c r="D12" s="62">
        <f t="shared" si="0"/>
        <v>131300.00000000003</v>
      </c>
      <c r="E12" s="184">
        <f t="shared" si="35"/>
        <v>3.6591536550381528E-4</v>
      </c>
      <c r="F12" s="62">
        <v>0</v>
      </c>
      <c r="G12" s="190">
        <f t="shared" si="36"/>
        <v>0</v>
      </c>
      <c r="H12" s="197">
        <f t="shared" si="37"/>
        <v>0</v>
      </c>
      <c r="I12" s="62">
        <v>0</v>
      </c>
      <c r="J12" s="62">
        <v>566</v>
      </c>
      <c r="K12" s="62">
        <v>0</v>
      </c>
      <c r="L12" s="62">
        <v>0</v>
      </c>
      <c r="M12" s="62">
        <v>1058</v>
      </c>
      <c r="N12" s="62">
        <v>0</v>
      </c>
      <c r="O12" s="62">
        <v>0</v>
      </c>
      <c r="P12" s="62">
        <v>977</v>
      </c>
      <c r="Q12" s="62">
        <v>0</v>
      </c>
      <c r="R12" s="62">
        <v>0</v>
      </c>
      <c r="S12" s="62">
        <v>688</v>
      </c>
      <c r="T12" s="62">
        <v>0</v>
      </c>
      <c r="U12" s="190">
        <f t="shared" si="16"/>
        <v>3289</v>
      </c>
      <c r="V12" s="197">
        <f t="shared" si="38"/>
        <v>5.485410825248954E-5</v>
      </c>
      <c r="W12" s="62">
        <v>0</v>
      </c>
      <c r="X12" s="62">
        <v>536</v>
      </c>
      <c r="Y12" s="62">
        <v>0</v>
      </c>
      <c r="Z12" s="62">
        <v>0</v>
      </c>
      <c r="AA12" s="62">
        <v>963</v>
      </c>
      <c r="AB12" s="62">
        <v>0</v>
      </c>
      <c r="AC12" s="62">
        <v>0</v>
      </c>
      <c r="AD12" s="62">
        <v>1648</v>
      </c>
      <c r="AE12" s="62">
        <v>0</v>
      </c>
      <c r="AF12" s="62">
        <v>0</v>
      </c>
      <c r="AG12" s="62">
        <v>1839</v>
      </c>
      <c r="AH12" s="62">
        <v>0</v>
      </c>
      <c r="AI12" s="190">
        <f t="shared" si="17"/>
        <v>4986</v>
      </c>
      <c r="AJ12" s="197">
        <f t="shared" si="39"/>
        <v>5.8167357263068346E-5</v>
      </c>
      <c r="AK12" s="62">
        <v>0</v>
      </c>
      <c r="AL12" s="62">
        <v>1510</v>
      </c>
      <c r="AM12" s="62">
        <v>0</v>
      </c>
      <c r="AN12" s="62">
        <v>0</v>
      </c>
      <c r="AO12" s="62">
        <v>1793</v>
      </c>
      <c r="AP12" s="62">
        <v>0</v>
      </c>
      <c r="AQ12" s="62">
        <v>0</v>
      </c>
      <c r="AR12" s="62">
        <v>2083</v>
      </c>
      <c r="AS12" s="62">
        <v>0</v>
      </c>
      <c r="AT12" s="62">
        <v>0</v>
      </c>
      <c r="AU12" s="62">
        <v>1589</v>
      </c>
      <c r="AV12" s="62">
        <v>0</v>
      </c>
      <c r="AW12" s="190">
        <f t="shared" si="18"/>
        <v>6975</v>
      </c>
      <c r="AX12" s="197">
        <f t="shared" si="40"/>
        <v>9.6155978976704895E-5</v>
      </c>
      <c r="AY12" s="62">
        <v>110735</v>
      </c>
      <c r="AZ12" s="62">
        <v>860</v>
      </c>
      <c r="BA12" s="62">
        <v>248</v>
      </c>
      <c r="BB12" s="62">
        <v>0</v>
      </c>
      <c r="BC12" s="62">
        <v>1396</v>
      </c>
      <c r="BD12" s="62">
        <v>0</v>
      </c>
      <c r="BE12" s="62">
        <v>0</v>
      </c>
      <c r="BF12" s="62">
        <v>841</v>
      </c>
      <c r="BG12" s="62">
        <v>0</v>
      </c>
      <c r="BH12" s="62">
        <v>0</v>
      </c>
      <c r="BI12" s="62">
        <f>1298</f>
        <v>1298</v>
      </c>
      <c r="BJ12" s="62">
        <v>0</v>
      </c>
      <c r="BK12" s="190">
        <f t="shared" si="19"/>
        <v>115378</v>
      </c>
      <c r="BL12" s="197">
        <f t="shared" si="41"/>
        <v>1.480038655616204E-3</v>
      </c>
      <c r="BM12" s="62">
        <v>0</v>
      </c>
      <c r="BN12" s="62">
        <v>672</v>
      </c>
      <c r="BO12" s="62">
        <v>0</v>
      </c>
      <c r="BP12" s="62">
        <v>0</v>
      </c>
      <c r="BQ12" s="62">
        <v>0</v>
      </c>
      <c r="BR12" s="62">
        <v>0</v>
      </c>
      <c r="BS12" s="62">
        <v>0</v>
      </c>
      <c r="BT12" s="62">
        <v>0</v>
      </c>
      <c r="BU12" s="62">
        <v>0</v>
      </c>
      <c r="BV12" s="62">
        <v>0</v>
      </c>
      <c r="BW12" s="62">
        <v>0</v>
      </c>
      <c r="BX12" s="62">
        <v>0</v>
      </c>
      <c r="BY12" s="190">
        <f t="shared" si="20"/>
        <v>672</v>
      </c>
      <c r="BZ12" s="197">
        <f t="shared" si="42"/>
        <v>1.1531224625836213E-5</v>
      </c>
      <c r="CA12" s="62">
        <v>0</v>
      </c>
      <c r="CB12" s="62">
        <v>0</v>
      </c>
      <c r="CC12" s="62">
        <v>0</v>
      </c>
      <c r="CD12" s="62">
        <v>0</v>
      </c>
      <c r="CE12" s="62">
        <v>0</v>
      </c>
      <c r="CF12" s="62">
        <v>0</v>
      </c>
      <c r="CG12" s="62">
        <v>0</v>
      </c>
      <c r="CH12" s="62">
        <v>0</v>
      </c>
      <c r="CI12" s="62">
        <v>0</v>
      </c>
      <c r="CJ12" s="62">
        <v>0</v>
      </c>
      <c r="CK12" s="62">
        <v>0</v>
      </c>
      <c r="CL12" s="62">
        <v>0</v>
      </c>
      <c r="CM12" s="190">
        <f t="shared" si="21"/>
        <v>0</v>
      </c>
      <c r="CN12" s="62">
        <v>0</v>
      </c>
      <c r="CO12" s="62">
        <v>0</v>
      </c>
      <c r="CP12" s="62">
        <v>0</v>
      </c>
      <c r="CQ12" s="62">
        <v>0</v>
      </c>
      <c r="CR12" s="62">
        <v>0</v>
      </c>
      <c r="CS12" s="62">
        <v>0</v>
      </c>
      <c r="CT12" s="62">
        <v>0</v>
      </c>
      <c r="CU12" s="62">
        <v>0</v>
      </c>
      <c r="CV12" s="62">
        <v>0</v>
      </c>
      <c r="CW12" s="62">
        <v>0</v>
      </c>
      <c r="CX12" s="62">
        <v>0</v>
      </c>
      <c r="CY12" s="62">
        <v>0</v>
      </c>
      <c r="CZ12" s="190">
        <f t="shared" si="22"/>
        <v>0</v>
      </c>
      <c r="DA12" s="62">
        <v>0</v>
      </c>
      <c r="DB12" s="62">
        <v>0</v>
      </c>
      <c r="DC12" s="62">
        <v>0</v>
      </c>
      <c r="DD12" s="62">
        <v>0</v>
      </c>
      <c r="DE12" s="62">
        <v>0</v>
      </c>
      <c r="DF12" s="62">
        <v>0</v>
      </c>
      <c r="DG12" s="62">
        <v>0</v>
      </c>
      <c r="DH12" s="62">
        <v>0</v>
      </c>
      <c r="DI12" s="62">
        <v>0</v>
      </c>
      <c r="DJ12" s="62">
        <v>0</v>
      </c>
      <c r="DK12" s="62">
        <v>0</v>
      </c>
      <c r="DL12" s="62">
        <v>0</v>
      </c>
      <c r="DM12" s="190">
        <f t="shared" si="23"/>
        <v>0</v>
      </c>
      <c r="DN12" s="62">
        <v>0</v>
      </c>
      <c r="DO12" s="62">
        <v>0</v>
      </c>
      <c r="DP12" s="62">
        <v>0</v>
      </c>
      <c r="DQ12" s="62">
        <v>0</v>
      </c>
      <c r="DR12" s="62">
        <v>0</v>
      </c>
      <c r="DS12" s="62">
        <v>0</v>
      </c>
      <c r="DT12" s="62">
        <v>0</v>
      </c>
      <c r="DU12" s="62">
        <v>0</v>
      </c>
      <c r="DV12" s="62">
        <v>0</v>
      </c>
      <c r="DW12" s="62">
        <v>0</v>
      </c>
      <c r="DX12" s="62">
        <v>0</v>
      </c>
      <c r="DY12" s="62">
        <v>0</v>
      </c>
      <c r="DZ12" s="190">
        <f t="shared" si="24"/>
        <v>0</v>
      </c>
    </row>
    <row r="13" spans="1:130" ht="20.45" customHeight="1" outlineLevel="1">
      <c r="A13" s="650"/>
      <c r="B13" s="640" t="s">
        <v>2782</v>
      </c>
      <c r="C13" s="641"/>
      <c r="D13" s="62">
        <f t="shared" si="0"/>
        <v>36500.000000000007</v>
      </c>
      <c r="E13" s="184">
        <f t="shared" ref="E13:E14" si="64">D13/D$4</f>
        <v>1.0172056999915658E-4</v>
      </c>
      <c r="F13" s="62">
        <v>0</v>
      </c>
      <c r="G13" s="190">
        <f t="shared" ref="G13:G14" si="65">SUM(F13)</f>
        <v>0</v>
      </c>
      <c r="H13" s="197">
        <f t="shared" ref="H13:H14" si="66">G13/G$4</f>
        <v>0</v>
      </c>
      <c r="I13" s="62">
        <v>0</v>
      </c>
      <c r="J13" s="62">
        <v>0</v>
      </c>
      <c r="K13" s="62">
        <v>0</v>
      </c>
      <c r="L13" s="62">
        <v>0</v>
      </c>
      <c r="M13" s="62">
        <v>0</v>
      </c>
      <c r="N13" s="62">
        <v>0</v>
      </c>
      <c r="O13" s="62">
        <v>0</v>
      </c>
      <c r="P13" s="62">
        <v>0</v>
      </c>
      <c r="Q13" s="62">
        <v>0</v>
      </c>
      <c r="R13" s="62">
        <v>0</v>
      </c>
      <c r="S13" s="62">
        <v>0</v>
      </c>
      <c r="T13" s="62">
        <v>0</v>
      </c>
      <c r="U13" s="190">
        <f t="shared" ref="U13" si="67">SUM(I13:T13)</f>
        <v>0</v>
      </c>
      <c r="V13" s="197">
        <f t="shared" si="38"/>
        <v>0</v>
      </c>
      <c r="W13" s="62">
        <v>0</v>
      </c>
      <c r="X13" s="62">
        <v>0</v>
      </c>
      <c r="Y13" s="62">
        <v>0</v>
      </c>
      <c r="Z13" s="62">
        <v>0</v>
      </c>
      <c r="AA13" s="62">
        <v>0</v>
      </c>
      <c r="AB13" s="62">
        <v>0</v>
      </c>
      <c r="AC13" s="62">
        <v>0</v>
      </c>
      <c r="AD13" s="62">
        <v>0</v>
      </c>
      <c r="AE13" s="62">
        <v>0</v>
      </c>
      <c r="AF13" s="62">
        <v>0</v>
      </c>
      <c r="AG13" s="62">
        <v>0</v>
      </c>
      <c r="AH13" s="62">
        <v>0</v>
      </c>
      <c r="AI13" s="190">
        <f t="shared" ref="AI13:AI14" si="68">SUM(W13:AH13)</f>
        <v>0</v>
      </c>
      <c r="AJ13" s="197">
        <f t="shared" si="39"/>
        <v>0</v>
      </c>
      <c r="AK13" s="62">
        <v>0</v>
      </c>
      <c r="AL13" s="62">
        <v>0</v>
      </c>
      <c r="AM13" s="62">
        <v>0</v>
      </c>
      <c r="AN13" s="62">
        <v>0</v>
      </c>
      <c r="AO13" s="62">
        <v>0</v>
      </c>
      <c r="AP13" s="62">
        <v>0</v>
      </c>
      <c r="AQ13" s="62">
        <v>0</v>
      </c>
      <c r="AR13" s="62">
        <v>0</v>
      </c>
      <c r="AS13" s="62">
        <v>0</v>
      </c>
      <c r="AT13" s="62">
        <v>40000</v>
      </c>
      <c r="AU13" s="62">
        <f>25000</f>
        <v>25000</v>
      </c>
      <c r="AV13" s="62">
        <f>15000+25000+6500</f>
        <v>46500</v>
      </c>
      <c r="AW13" s="190">
        <f t="shared" ref="AW13:AW14" si="69">SUM(AK13:AV13)</f>
        <v>111500</v>
      </c>
      <c r="AX13" s="197">
        <f t="shared" si="40"/>
        <v>1.5371170832835263E-3</v>
      </c>
      <c r="AY13" s="62">
        <v>0</v>
      </c>
      <c r="AZ13" s="62">
        <v>0</v>
      </c>
      <c r="BA13" s="62">
        <v>0</v>
      </c>
      <c r="BB13" s="62">
        <v>0</v>
      </c>
      <c r="BC13" s="62">
        <v>-75000</v>
      </c>
      <c r="BD13" s="62">
        <v>0</v>
      </c>
      <c r="BE13" s="62">
        <v>0</v>
      </c>
      <c r="BF13" s="62">
        <v>0</v>
      </c>
      <c r="BG13" s="62">
        <v>0</v>
      </c>
      <c r="BH13" s="62">
        <v>0</v>
      </c>
      <c r="BI13" s="62">
        <v>0</v>
      </c>
      <c r="BJ13" s="62">
        <v>0</v>
      </c>
      <c r="BK13" s="190">
        <f t="shared" ref="BK13" si="70">SUM(AY13:BJ13)</f>
        <v>-75000</v>
      </c>
      <c r="BL13" s="197">
        <f t="shared" si="41"/>
        <v>-9.6208028542023002E-4</v>
      </c>
      <c r="BM13" s="62">
        <v>0</v>
      </c>
      <c r="BN13" s="62">
        <v>0</v>
      </c>
      <c r="BO13" s="62">
        <v>0</v>
      </c>
      <c r="BP13" s="62">
        <v>0</v>
      </c>
      <c r="BQ13" s="62">
        <v>0</v>
      </c>
      <c r="BR13" s="62">
        <v>0</v>
      </c>
      <c r="BS13" s="62">
        <v>0</v>
      </c>
      <c r="BT13" s="62">
        <v>0</v>
      </c>
      <c r="BU13" s="62">
        <v>0</v>
      </c>
      <c r="BV13" s="62">
        <v>0</v>
      </c>
      <c r="BW13" s="62">
        <v>0</v>
      </c>
      <c r="BX13" s="62">
        <v>0</v>
      </c>
      <c r="BY13" s="190">
        <f t="shared" ref="BY13" si="71">SUM(BM13:BX13)</f>
        <v>0</v>
      </c>
      <c r="BZ13" s="197">
        <f t="shared" si="42"/>
        <v>0</v>
      </c>
      <c r="CA13" s="62">
        <v>0</v>
      </c>
      <c r="CB13" s="62">
        <v>0</v>
      </c>
      <c r="CC13" s="62">
        <v>0</v>
      </c>
      <c r="CD13" s="62">
        <v>0</v>
      </c>
      <c r="CE13" s="62">
        <v>0</v>
      </c>
      <c r="CF13" s="62">
        <v>0</v>
      </c>
      <c r="CG13" s="62">
        <v>0</v>
      </c>
      <c r="CH13" s="62">
        <v>0</v>
      </c>
      <c r="CI13" s="62">
        <v>0</v>
      </c>
      <c r="CJ13" s="62">
        <v>0</v>
      </c>
      <c r="CK13" s="62">
        <v>0</v>
      </c>
      <c r="CL13" s="62">
        <v>0</v>
      </c>
      <c r="CM13" s="190">
        <f t="shared" ref="CM13" si="72">SUM(CA13:CL13)</f>
        <v>0</v>
      </c>
      <c r="CN13" s="62">
        <v>0</v>
      </c>
      <c r="CO13" s="62">
        <v>0</v>
      </c>
      <c r="CP13" s="62">
        <v>0</v>
      </c>
      <c r="CQ13" s="62">
        <v>0</v>
      </c>
      <c r="CR13" s="62">
        <v>0</v>
      </c>
      <c r="CS13" s="62">
        <v>0</v>
      </c>
      <c r="CT13" s="62">
        <v>0</v>
      </c>
      <c r="CU13" s="62">
        <v>0</v>
      </c>
      <c r="CV13" s="62">
        <v>0</v>
      </c>
      <c r="CW13" s="62">
        <v>0</v>
      </c>
      <c r="CX13" s="62">
        <v>0</v>
      </c>
      <c r="CY13" s="62">
        <v>0</v>
      </c>
      <c r="CZ13" s="190">
        <f t="shared" ref="CZ13" si="73">SUM(CN13:CY13)</f>
        <v>0</v>
      </c>
      <c r="DA13" s="62">
        <v>0</v>
      </c>
      <c r="DB13" s="62">
        <v>0</v>
      </c>
      <c r="DC13" s="62">
        <v>0</v>
      </c>
      <c r="DD13" s="62">
        <v>0</v>
      </c>
      <c r="DE13" s="62">
        <v>0</v>
      </c>
      <c r="DF13" s="62">
        <v>0</v>
      </c>
      <c r="DG13" s="62">
        <v>0</v>
      </c>
      <c r="DH13" s="62">
        <v>0</v>
      </c>
      <c r="DI13" s="62">
        <v>0</v>
      </c>
      <c r="DJ13" s="62">
        <v>0</v>
      </c>
      <c r="DK13" s="62">
        <v>0</v>
      </c>
      <c r="DL13" s="62">
        <v>0</v>
      </c>
      <c r="DM13" s="190">
        <f t="shared" ref="DM13" si="74">SUM(DA13:DL13)</f>
        <v>0</v>
      </c>
      <c r="DN13" s="62">
        <v>0</v>
      </c>
      <c r="DO13" s="62">
        <v>0</v>
      </c>
      <c r="DP13" s="62">
        <v>0</v>
      </c>
      <c r="DQ13" s="62">
        <v>0</v>
      </c>
      <c r="DR13" s="62">
        <v>0</v>
      </c>
      <c r="DS13" s="62">
        <v>0</v>
      </c>
      <c r="DT13" s="62">
        <v>0</v>
      </c>
      <c r="DU13" s="62">
        <v>0</v>
      </c>
      <c r="DV13" s="62">
        <v>0</v>
      </c>
      <c r="DW13" s="62">
        <v>0</v>
      </c>
      <c r="DX13" s="62">
        <v>0</v>
      </c>
      <c r="DY13" s="62">
        <v>0</v>
      </c>
      <c r="DZ13" s="190">
        <f t="shared" ref="DZ13" si="75">SUM(DN13:DY13)</f>
        <v>0</v>
      </c>
    </row>
    <row r="14" spans="1:130" ht="20.45" customHeight="1" outlineLevel="1">
      <c r="A14" s="650"/>
      <c r="B14" s="640" t="s">
        <v>2783</v>
      </c>
      <c r="C14" s="641"/>
      <c r="D14" s="62">
        <f t="shared" si="0"/>
        <v>570000.00000000012</v>
      </c>
      <c r="E14" s="184">
        <f t="shared" si="64"/>
        <v>1.5885130109457328E-3</v>
      </c>
      <c r="F14" s="62">
        <v>0</v>
      </c>
      <c r="G14" s="190">
        <f t="shared" si="65"/>
        <v>0</v>
      </c>
      <c r="H14" s="197">
        <f t="shared" si="66"/>
        <v>0</v>
      </c>
      <c r="I14" s="62">
        <v>0</v>
      </c>
      <c r="J14" s="62">
        <v>0</v>
      </c>
      <c r="K14" s="62">
        <v>0</v>
      </c>
      <c r="L14" s="62">
        <v>0</v>
      </c>
      <c r="M14" s="62">
        <v>0</v>
      </c>
      <c r="N14" s="62">
        <v>0</v>
      </c>
      <c r="O14" s="62">
        <v>0</v>
      </c>
      <c r="P14" s="62">
        <v>0</v>
      </c>
      <c r="Q14" s="62">
        <v>0</v>
      </c>
      <c r="R14" s="62">
        <v>0</v>
      </c>
      <c r="S14" s="62">
        <v>0</v>
      </c>
      <c r="T14" s="62">
        <v>0</v>
      </c>
      <c r="U14" s="190">
        <f t="shared" ref="U14" si="76">SUM(I14:T14)</f>
        <v>0</v>
      </c>
      <c r="V14" s="197">
        <f t="shared" si="38"/>
        <v>0</v>
      </c>
      <c r="W14" s="62">
        <v>0</v>
      </c>
      <c r="X14" s="62">
        <v>0</v>
      </c>
      <c r="Y14" s="62">
        <v>0</v>
      </c>
      <c r="Z14" s="62">
        <v>0</v>
      </c>
      <c r="AA14" s="62">
        <v>0</v>
      </c>
      <c r="AB14" s="62">
        <v>0</v>
      </c>
      <c r="AC14" s="62">
        <v>0</v>
      </c>
      <c r="AD14" s="62">
        <v>0</v>
      </c>
      <c r="AE14" s="62">
        <v>0</v>
      </c>
      <c r="AF14" s="62">
        <v>0</v>
      </c>
      <c r="AG14" s="62">
        <v>0</v>
      </c>
      <c r="AH14" s="62">
        <v>0</v>
      </c>
      <c r="AI14" s="190">
        <f t="shared" si="68"/>
        <v>0</v>
      </c>
      <c r="AJ14" s="197">
        <f t="shared" si="39"/>
        <v>0</v>
      </c>
      <c r="AK14" s="62">
        <v>0</v>
      </c>
      <c r="AL14" s="62">
        <v>0</v>
      </c>
      <c r="AM14" s="62">
        <v>0</v>
      </c>
      <c r="AN14" s="62">
        <v>0</v>
      </c>
      <c r="AO14" s="62">
        <v>0</v>
      </c>
      <c r="AP14" s="62">
        <v>0</v>
      </c>
      <c r="AQ14" s="62">
        <v>0</v>
      </c>
      <c r="AR14" s="62">
        <v>0</v>
      </c>
      <c r="AS14" s="62">
        <v>0</v>
      </c>
      <c r="AT14" s="62">
        <v>0</v>
      </c>
      <c r="AU14" s="62">
        <v>0</v>
      </c>
      <c r="AV14" s="62">
        <v>0</v>
      </c>
      <c r="AW14" s="190">
        <f t="shared" si="69"/>
        <v>0</v>
      </c>
      <c r="AX14" s="197">
        <f t="shared" si="40"/>
        <v>0</v>
      </c>
      <c r="AY14" s="62">
        <v>0</v>
      </c>
      <c r="AZ14" s="62">
        <v>1995000</v>
      </c>
      <c r="BA14" s="62">
        <v>0</v>
      </c>
      <c r="BB14" s="62">
        <v>0</v>
      </c>
      <c r="BC14" s="62">
        <v>-1425000</v>
      </c>
      <c r="BD14" s="62">
        <v>0</v>
      </c>
      <c r="BE14" s="62">
        <v>0</v>
      </c>
      <c r="BF14" s="62">
        <v>0</v>
      </c>
      <c r="BG14" s="62">
        <v>0</v>
      </c>
      <c r="BH14" s="62">
        <v>0</v>
      </c>
      <c r="BI14" s="62">
        <v>0</v>
      </c>
      <c r="BJ14" s="62">
        <v>0</v>
      </c>
      <c r="BK14" s="190">
        <f t="shared" ref="BK14" si="77">SUM(AY14:BJ14)</f>
        <v>570000</v>
      </c>
      <c r="BL14" s="197">
        <f t="shared" si="41"/>
        <v>7.3118101691937477E-3</v>
      </c>
      <c r="BM14" s="62">
        <v>0</v>
      </c>
      <c r="BN14" s="62">
        <v>0</v>
      </c>
      <c r="BO14" s="62">
        <v>0</v>
      </c>
      <c r="BP14" s="62">
        <v>0</v>
      </c>
      <c r="BQ14" s="62">
        <v>0</v>
      </c>
      <c r="BR14" s="62">
        <v>0</v>
      </c>
      <c r="BS14" s="62">
        <v>0</v>
      </c>
      <c r="BT14" s="62">
        <v>0</v>
      </c>
      <c r="BU14" s="62">
        <v>0</v>
      </c>
      <c r="BV14" s="62">
        <v>0</v>
      </c>
      <c r="BW14" s="62">
        <v>0</v>
      </c>
      <c r="BX14" s="62">
        <v>0</v>
      </c>
      <c r="BY14" s="190">
        <f t="shared" ref="BY14" si="78">SUM(BM14:BX14)</f>
        <v>0</v>
      </c>
      <c r="BZ14" s="197">
        <f t="shared" si="42"/>
        <v>0</v>
      </c>
      <c r="CA14" s="62">
        <v>0</v>
      </c>
      <c r="CB14" s="62">
        <v>0</v>
      </c>
      <c r="CC14" s="62">
        <v>0</v>
      </c>
      <c r="CD14" s="62">
        <v>0</v>
      </c>
      <c r="CE14" s="62">
        <v>0</v>
      </c>
      <c r="CF14" s="62">
        <v>0</v>
      </c>
      <c r="CG14" s="62">
        <v>0</v>
      </c>
      <c r="CH14" s="62">
        <v>0</v>
      </c>
      <c r="CI14" s="62">
        <v>0</v>
      </c>
      <c r="CJ14" s="62">
        <v>0</v>
      </c>
      <c r="CK14" s="62">
        <v>0</v>
      </c>
      <c r="CL14" s="62">
        <v>0</v>
      </c>
      <c r="CM14" s="190">
        <f t="shared" ref="CM14" si="79">SUM(CA14:CL14)</f>
        <v>0</v>
      </c>
      <c r="CN14" s="62">
        <v>0</v>
      </c>
      <c r="CO14" s="62">
        <v>0</v>
      </c>
      <c r="CP14" s="62">
        <v>0</v>
      </c>
      <c r="CQ14" s="62">
        <v>0</v>
      </c>
      <c r="CR14" s="62">
        <v>0</v>
      </c>
      <c r="CS14" s="62">
        <v>0</v>
      </c>
      <c r="CT14" s="62">
        <v>0</v>
      </c>
      <c r="CU14" s="62">
        <v>0</v>
      </c>
      <c r="CV14" s="62">
        <v>0</v>
      </c>
      <c r="CW14" s="62">
        <v>0</v>
      </c>
      <c r="CX14" s="62">
        <v>0</v>
      </c>
      <c r="CY14" s="62">
        <v>0</v>
      </c>
      <c r="CZ14" s="190">
        <f t="shared" ref="CZ14" si="80">SUM(CN14:CY14)</f>
        <v>0</v>
      </c>
      <c r="DA14" s="62">
        <v>0</v>
      </c>
      <c r="DB14" s="62">
        <v>0</v>
      </c>
      <c r="DC14" s="62">
        <v>0</v>
      </c>
      <c r="DD14" s="62">
        <v>0</v>
      </c>
      <c r="DE14" s="62">
        <v>0</v>
      </c>
      <c r="DF14" s="62">
        <v>0</v>
      </c>
      <c r="DG14" s="62">
        <v>0</v>
      </c>
      <c r="DH14" s="62">
        <v>0</v>
      </c>
      <c r="DI14" s="62">
        <v>0</v>
      </c>
      <c r="DJ14" s="62">
        <v>0</v>
      </c>
      <c r="DK14" s="62">
        <v>0</v>
      </c>
      <c r="DL14" s="62">
        <v>0</v>
      </c>
      <c r="DM14" s="190">
        <f t="shared" ref="DM14" si="81">SUM(DA14:DL14)</f>
        <v>0</v>
      </c>
      <c r="DN14" s="62">
        <v>0</v>
      </c>
      <c r="DO14" s="62">
        <v>0</v>
      </c>
      <c r="DP14" s="62">
        <v>0</v>
      </c>
      <c r="DQ14" s="62">
        <v>0</v>
      </c>
      <c r="DR14" s="62">
        <v>0</v>
      </c>
      <c r="DS14" s="62">
        <v>0</v>
      </c>
      <c r="DT14" s="62">
        <v>0</v>
      </c>
      <c r="DU14" s="62">
        <v>0</v>
      </c>
      <c r="DV14" s="62">
        <v>0</v>
      </c>
      <c r="DW14" s="62">
        <v>0</v>
      </c>
      <c r="DX14" s="62">
        <v>0</v>
      </c>
      <c r="DY14" s="62">
        <v>0</v>
      </c>
      <c r="DZ14" s="190">
        <f t="shared" ref="DZ14" si="82">SUM(DN14:DY14)</f>
        <v>0</v>
      </c>
    </row>
    <row r="15" spans="1:130" ht="20.45" customHeight="1" outlineLevel="1">
      <c r="A15" s="650"/>
      <c r="B15" s="640" t="s">
        <v>2784</v>
      </c>
      <c r="C15" s="641"/>
      <c r="D15" s="62">
        <f t="shared" si="0"/>
        <v>994946.99999999965</v>
      </c>
      <c r="E15" s="184">
        <f t="shared" ref="E15" si="83">D15/D$4</f>
        <v>2.772782902984953E-3</v>
      </c>
      <c r="F15" s="62">
        <v>0</v>
      </c>
      <c r="G15" s="190">
        <f t="shared" ref="G15" si="84">SUM(F15)</f>
        <v>0</v>
      </c>
      <c r="H15" s="197">
        <f t="shared" ref="H15" si="85">G15/G$4</f>
        <v>0</v>
      </c>
      <c r="I15" s="62">
        <v>0</v>
      </c>
      <c r="J15" s="62">
        <v>0</v>
      </c>
      <c r="K15" s="62">
        <v>0</v>
      </c>
      <c r="L15" s="62">
        <v>0</v>
      </c>
      <c r="M15" s="62">
        <v>0</v>
      </c>
      <c r="N15" s="62">
        <v>0</v>
      </c>
      <c r="O15" s="62">
        <v>0</v>
      </c>
      <c r="P15" s="62">
        <v>0</v>
      </c>
      <c r="Q15" s="62">
        <v>0</v>
      </c>
      <c r="R15" s="62">
        <v>0</v>
      </c>
      <c r="S15" s="62">
        <v>0</v>
      </c>
      <c r="T15" s="62">
        <v>0</v>
      </c>
      <c r="U15" s="190">
        <f t="shared" ref="U15" si="86">SUM(I15:T15)</f>
        <v>0</v>
      </c>
      <c r="V15" s="197">
        <f t="shared" si="38"/>
        <v>0</v>
      </c>
      <c r="W15" s="62">
        <v>0</v>
      </c>
      <c r="X15" s="62">
        <v>0</v>
      </c>
      <c r="Y15" s="62">
        <v>0</v>
      </c>
      <c r="Z15" s="62">
        <v>0</v>
      </c>
      <c r="AA15" s="62">
        <v>0</v>
      </c>
      <c r="AB15" s="62">
        <v>0</v>
      </c>
      <c r="AC15" s="62">
        <v>0</v>
      </c>
      <c r="AD15" s="62">
        <v>0</v>
      </c>
      <c r="AE15" s="62">
        <v>0</v>
      </c>
      <c r="AF15" s="62">
        <v>0</v>
      </c>
      <c r="AG15" s="62">
        <v>0</v>
      </c>
      <c r="AH15" s="62">
        <v>0</v>
      </c>
      <c r="AI15" s="190">
        <f t="shared" ref="AI15" si="87">SUM(W15:AH15)</f>
        <v>0</v>
      </c>
      <c r="AJ15" s="197">
        <f t="shared" si="39"/>
        <v>0</v>
      </c>
      <c r="AK15" s="62">
        <v>0</v>
      </c>
      <c r="AL15" s="62">
        <v>0</v>
      </c>
      <c r="AM15" s="62">
        <v>0</v>
      </c>
      <c r="AN15" s="62">
        <v>0</v>
      </c>
      <c r="AO15" s="62">
        <v>0</v>
      </c>
      <c r="AP15" s="62">
        <v>0</v>
      </c>
      <c r="AQ15" s="62">
        <v>0</v>
      </c>
      <c r="AR15" s="62">
        <v>0</v>
      </c>
      <c r="AS15" s="62">
        <v>0</v>
      </c>
      <c r="AT15" s="62">
        <v>1872616</v>
      </c>
      <c r="AU15" s="62">
        <v>-632801</v>
      </c>
      <c r="AV15" s="62">
        <v>1222534</v>
      </c>
      <c r="AW15" s="190">
        <f t="shared" ref="AW15" si="88">SUM(AK15:AV15)</f>
        <v>2462349</v>
      </c>
      <c r="AX15" s="197">
        <f t="shared" si="40"/>
        <v>3.3945459308574961E-2</v>
      </c>
      <c r="AY15" s="62">
        <f>-2657890</f>
        <v>-2657890</v>
      </c>
      <c r="AZ15" s="62">
        <v>-318328</v>
      </c>
      <c r="BA15" s="62">
        <v>-403241</v>
      </c>
      <c r="BB15" s="62">
        <v>970960</v>
      </c>
      <c r="BC15" s="62">
        <v>-1189208</v>
      </c>
      <c r="BD15" s="62">
        <v>2725893</v>
      </c>
      <c r="BE15" s="62">
        <v>407153</v>
      </c>
      <c r="BF15" s="62">
        <v>-99448</v>
      </c>
      <c r="BG15" s="62">
        <v>-902487</v>
      </c>
      <c r="BH15" s="62">
        <v>-806</v>
      </c>
      <c r="BI15" s="62">
        <v>0</v>
      </c>
      <c r="BJ15" s="62">
        <v>0</v>
      </c>
      <c r="BK15" s="190">
        <f t="shared" ref="BK15" si="89">SUM(AY15:BJ15)</f>
        <v>-1467402</v>
      </c>
      <c r="BL15" s="197">
        <f t="shared" si="41"/>
        <v>-1.8823447133149551E-2</v>
      </c>
      <c r="BM15" s="62">
        <v>0</v>
      </c>
      <c r="BN15" s="62">
        <v>0</v>
      </c>
      <c r="BO15" s="62">
        <v>0</v>
      </c>
      <c r="BP15" s="62">
        <v>0</v>
      </c>
      <c r="BQ15" s="62">
        <v>0</v>
      </c>
      <c r="BR15" s="62">
        <v>0</v>
      </c>
      <c r="BS15" s="62">
        <v>0</v>
      </c>
      <c r="BT15" s="62">
        <v>0</v>
      </c>
      <c r="BU15" s="62">
        <v>0</v>
      </c>
      <c r="BV15" s="62">
        <v>0</v>
      </c>
      <c r="BW15" s="62">
        <v>0</v>
      </c>
      <c r="BX15" s="62">
        <v>0</v>
      </c>
      <c r="BY15" s="190">
        <f t="shared" ref="BY15" si="90">SUM(BM15:BX15)</f>
        <v>0</v>
      </c>
      <c r="BZ15" s="197">
        <f t="shared" si="42"/>
        <v>0</v>
      </c>
      <c r="CA15" s="62">
        <v>0</v>
      </c>
      <c r="CB15" s="62">
        <v>0</v>
      </c>
      <c r="CC15" s="62">
        <v>0</v>
      </c>
      <c r="CD15" s="62">
        <v>0</v>
      </c>
      <c r="CE15" s="62">
        <v>0</v>
      </c>
      <c r="CF15" s="62">
        <v>0</v>
      </c>
      <c r="CG15" s="62">
        <v>0</v>
      </c>
      <c r="CH15" s="62">
        <v>0</v>
      </c>
      <c r="CI15" s="62">
        <v>0</v>
      </c>
      <c r="CJ15" s="62">
        <v>0</v>
      </c>
      <c r="CK15" s="62">
        <v>0</v>
      </c>
      <c r="CL15" s="62">
        <v>0</v>
      </c>
      <c r="CM15" s="190">
        <f t="shared" ref="CM15" si="91">SUM(CA15:CL15)</f>
        <v>0</v>
      </c>
      <c r="CN15" s="62">
        <v>0</v>
      </c>
      <c r="CO15" s="62">
        <v>0</v>
      </c>
      <c r="CP15" s="62">
        <v>0</v>
      </c>
      <c r="CQ15" s="62">
        <v>0</v>
      </c>
      <c r="CR15" s="62">
        <v>0</v>
      </c>
      <c r="CS15" s="62">
        <v>0</v>
      </c>
      <c r="CT15" s="62">
        <v>0</v>
      </c>
      <c r="CU15" s="62">
        <v>0</v>
      </c>
      <c r="CV15" s="62">
        <v>0</v>
      </c>
      <c r="CW15" s="62">
        <v>0</v>
      </c>
      <c r="CX15" s="62">
        <v>0</v>
      </c>
      <c r="CY15" s="62">
        <v>0</v>
      </c>
      <c r="CZ15" s="190">
        <f t="shared" ref="CZ15" si="92">SUM(CN15:CY15)</f>
        <v>0</v>
      </c>
      <c r="DA15" s="62">
        <v>0</v>
      </c>
      <c r="DB15" s="62">
        <v>0</v>
      </c>
      <c r="DC15" s="62">
        <v>0</v>
      </c>
      <c r="DD15" s="62">
        <v>0</v>
      </c>
      <c r="DE15" s="62">
        <v>0</v>
      </c>
      <c r="DF15" s="62">
        <v>0</v>
      </c>
      <c r="DG15" s="62">
        <v>0</v>
      </c>
      <c r="DH15" s="62">
        <v>0</v>
      </c>
      <c r="DI15" s="62">
        <v>0</v>
      </c>
      <c r="DJ15" s="62">
        <v>0</v>
      </c>
      <c r="DK15" s="62">
        <v>0</v>
      </c>
      <c r="DL15" s="62">
        <v>0</v>
      </c>
      <c r="DM15" s="190">
        <f t="shared" ref="DM15" si="93">SUM(DA15:DL15)</f>
        <v>0</v>
      </c>
      <c r="DN15" s="62">
        <v>0</v>
      </c>
      <c r="DO15" s="62">
        <v>0</v>
      </c>
      <c r="DP15" s="62">
        <v>0</v>
      </c>
      <c r="DQ15" s="62">
        <v>0</v>
      </c>
      <c r="DR15" s="62">
        <v>0</v>
      </c>
      <c r="DS15" s="62">
        <v>0</v>
      </c>
      <c r="DT15" s="62">
        <v>0</v>
      </c>
      <c r="DU15" s="62">
        <v>0</v>
      </c>
      <c r="DV15" s="62">
        <v>0</v>
      </c>
      <c r="DW15" s="62">
        <v>0</v>
      </c>
      <c r="DX15" s="62">
        <v>0</v>
      </c>
      <c r="DY15" s="62">
        <v>0</v>
      </c>
      <c r="DZ15" s="190">
        <f t="shared" ref="DZ15" si="94">SUM(DN15:DY15)</f>
        <v>0</v>
      </c>
    </row>
    <row r="16" spans="1:130" ht="20.45" customHeight="1" outlineLevel="1">
      <c r="A16" s="650"/>
      <c r="B16" s="640" t="s">
        <v>3303</v>
      </c>
      <c r="C16" s="641"/>
      <c r="D16" s="62">
        <f t="shared" si="0"/>
        <v>10787016.999999994</v>
      </c>
      <c r="E16" s="184">
        <f t="shared" ref="E16" si="95">D16/D$4</f>
        <v>3.0061959392618937E-2</v>
      </c>
      <c r="F16" s="62">
        <v>0</v>
      </c>
      <c r="G16" s="190">
        <f t="shared" ref="G16" si="96">SUM(F16)</f>
        <v>0</v>
      </c>
      <c r="H16" s="197">
        <f t="shared" ref="H16" si="97">G16/G$4</f>
        <v>0</v>
      </c>
      <c r="I16" s="62">
        <v>0</v>
      </c>
      <c r="J16" s="62">
        <v>0</v>
      </c>
      <c r="K16" s="62">
        <v>0</v>
      </c>
      <c r="L16" s="62">
        <v>0</v>
      </c>
      <c r="M16" s="62">
        <v>0</v>
      </c>
      <c r="N16" s="62">
        <v>0</v>
      </c>
      <c r="O16" s="62">
        <v>0</v>
      </c>
      <c r="P16" s="62">
        <v>0</v>
      </c>
      <c r="Q16" s="62">
        <v>0</v>
      </c>
      <c r="R16" s="62">
        <v>0</v>
      </c>
      <c r="S16" s="62">
        <v>0</v>
      </c>
      <c r="T16" s="62">
        <v>0</v>
      </c>
      <c r="U16" s="190">
        <f t="shared" ref="U16" si="98">SUM(I16:T16)</f>
        <v>0</v>
      </c>
      <c r="V16" s="197">
        <f t="shared" si="38"/>
        <v>0</v>
      </c>
      <c r="W16" s="62">
        <v>0</v>
      </c>
      <c r="X16" s="62">
        <v>0</v>
      </c>
      <c r="Y16" s="62">
        <v>0</v>
      </c>
      <c r="Z16" s="62">
        <v>0</v>
      </c>
      <c r="AA16" s="62">
        <v>0</v>
      </c>
      <c r="AB16" s="62">
        <v>0</v>
      </c>
      <c r="AC16" s="62">
        <v>0</v>
      </c>
      <c r="AD16" s="62">
        <v>0</v>
      </c>
      <c r="AE16" s="62">
        <v>0</v>
      </c>
      <c r="AF16" s="62">
        <v>0</v>
      </c>
      <c r="AG16" s="62">
        <v>0</v>
      </c>
      <c r="AH16" s="62">
        <v>0</v>
      </c>
      <c r="AI16" s="190">
        <f t="shared" ref="AI16" si="99">SUM(W16:AH16)</f>
        <v>0</v>
      </c>
      <c r="AJ16" s="197">
        <f t="shared" si="39"/>
        <v>0</v>
      </c>
      <c r="AK16" s="62">
        <v>0</v>
      </c>
      <c r="AL16" s="62">
        <v>0</v>
      </c>
      <c r="AM16" s="62">
        <v>0</v>
      </c>
      <c r="AN16" s="62">
        <v>0</v>
      </c>
      <c r="AO16" s="62">
        <v>0</v>
      </c>
      <c r="AP16" s="62">
        <v>0</v>
      </c>
      <c r="AQ16" s="62">
        <v>0</v>
      </c>
      <c r="AR16" s="62">
        <v>0</v>
      </c>
      <c r="AS16" s="62">
        <v>0</v>
      </c>
      <c r="AT16" s="62">
        <v>0</v>
      </c>
      <c r="AU16" s="62">
        <v>-3811876</v>
      </c>
      <c r="AV16" s="62">
        <v>-3808335</v>
      </c>
      <c r="AW16" s="190">
        <f t="shared" ref="AW16" si="100">SUM(AK16:AV16)</f>
        <v>-7620211</v>
      </c>
      <c r="AX16" s="197">
        <f t="shared" si="40"/>
        <v>-0.10505073099843089</v>
      </c>
      <c r="AY16" s="62">
        <v>-483069</v>
      </c>
      <c r="AZ16" s="62">
        <v>-982694</v>
      </c>
      <c r="BA16" s="62">
        <v>-627431</v>
      </c>
      <c r="BB16" s="62">
        <v>1274529</v>
      </c>
      <c r="BC16" s="62">
        <v>932103</v>
      </c>
      <c r="BD16" s="62">
        <v>1104555</v>
      </c>
      <c r="BE16" s="62">
        <v>-1486377</v>
      </c>
      <c r="BF16" s="62">
        <v>872353</v>
      </c>
      <c r="BG16" s="62">
        <v>1307289</v>
      </c>
      <c r="BH16" s="62">
        <v>-4986886</v>
      </c>
      <c r="BI16" s="62">
        <v>1539900</v>
      </c>
      <c r="BJ16" s="62">
        <v>5755396</v>
      </c>
      <c r="BK16" s="190">
        <f t="shared" ref="BK16" si="101">SUM(AY16:BJ16)</f>
        <v>4219668</v>
      </c>
      <c r="BL16" s="197">
        <f t="shared" si="41"/>
        <v>5.4128791917581479E-2</v>
      </c>
      <c r="BM16" s="62">
        <v>-3630398</v>
      </c>
      <c r="BN16" s="62">
        <v>-891317</v>
      </c>
      <c r="BO16" s="62">
        <v>4568809</v>
      </c>
      <c r="BP16" s="62">
        <v>8696918</v>
      </c>
      <c r="BQ16" s="62">
        <f>-27000000+$D$2-$D$148-AT16-AU16-AV16-AY16-AZ16-BA16-BB16-BC16-BD16-BE16-BF16-BG16-BH16-BI16-BJ16-BM16-BN16-BO16-BP16</f>
        <v>5443547.9999999963</v>
      </c>
      <c r="BR16" s="62">
        <v>0</v>
      </c>
      <c r="BS16" s="62">
        <v>0</v>
      </c>
      <c r="BT16" s="62">
        <v>0</v>
      </c>
      <c r="BU16" s="62">
        <v>0</v>
      </c>
      <c r="BV16" s="62">
        <v>0</v>
      </c>
      <c r="BW16" s="62">
        <v>0</v>
      </c>
      <c r="BX16" s="62">
        <v>0</v>
      </c>
      <c r="BY16" s="190">
        <f t="shared" ref="BY16" si="102">SUM(BM16:BX16)</f>
        <v>14187559.999999996</v>
      </c>
      <c r="BZ16" s="197">
        <f t="shared" si="42"/>
        <v>0.24345229353054879</v>
      </c>
      <c r="CA16" s="62">
        <v>0</v>
      </c>
      <c r="CB16" s="62">
        <v>0</v>
      </c>
      <c r="CC16" s="62">
        <v>0</v>
      </c>
      <c r="CD16" s="62">
        <v>0</v>
      </c>
      <c r="CE16" s="62">
        <v>0</v>
      </c>
      <c r="CF16" s="62">
        <v>0</v>
      </c>
      <c r="CG16" s="62">
        <v>0</v>
      </c>
      <c r="CH16" s="62">
        <v>0</v>
      </c>
      <c r="CI16" s="62">
        <v>0</v>
      </c>
      <c r="CJ16" s="62">
        <v>0</v>
      </c>
      <c r="CK16" s="62">
        <v>0</v>
      </c>
      <c r="CL16" s="62">
        <v>0</v>
      </c>
      <c r="CM16" s="190">
        <f t="shared" ref="CM16" si="103">SUM(CA16:CL16)</f>
        <v>0</v>
      </c>
      <c r="CN16" s="62">
        <v>0</v>
      </c>
      <c r="CO16" s="62">
        <v>0</v>
      </c>
      <c r="CP16" s="62">
        <v>0</v>
      </c>
      <c r="CQ16" s="62">
        <v>0</v>
      </c>
      <c r="CR16" s="62">
        <v>0</v>
      </c>
      <c r="CS16" s="62">
        <v>0</v>
      </c>
      <c r="CT16" s="62">
        <v>0</v>
      </c>
      <c r="CU16" s="62">
        <v>0</v>
      </c>
      <c r="CV16" s="62">
        <v>0</v>
      </c>
      <c r="CW16" s="62">
        <v>0</v>
      </c>
      <c r="CX16" s="62">
        <v>0</v>
      </c>
      <c r="CY16" s="62">
        <v>0</v>
      </c>
      <c r="CZ16" s="190">
        <f t="shared" ref="CZ16" si="104">SUM(CN16:CY16)</f>
        <v>0</v>
      </c>
      <c r="DA16" s="62">
        <v>0</v>
      </c>
      <c r="DB16" s="62">
        <v>0</v>
      </c>
      <c r="DC16" s="62">
        <v>0</v>
      </c>
      <c r="DD16" s="62">
        <v>0</v>
      </c>
      <c r="DE16" s="62">
        <v>0</v>
      </c>
      <c r="DF16" s="62">
        <v>0</v>
      </c>
      <c r="DG16" s="62">
        <v>0</v>
      </c>
      <c r="DH16" s="62">
        <v>0</v>
      </c>
      <c r="DI16" s="62">
        <v>0</v>
      </c>
      <c r="DJ16" s="62">
        <v>0</v>
      </c>
      <c r="DK16" s="62">
        <v>0</v>
      </c>
      <c r="DL16" s="62">
        <v>0</v>
      </c>
      <c r="DM16" s="190">
        <f t="shared" ref="DM16" si="105">SUM(DA16:DL16)</f>
        <v>0</v>
      </c>
      <c r="DN16" s="62">
        <v>0</v>
      </c>
      <c r="DO16" s="62">
        <v>0</v>
      </c>
      <c r="DP16" s="62">
        <v>0</v>
      </c>
      <c r="DQ16" s="62">
        <v>0</v>
      </c>
      <c r="DR16" s="62">
        <v>0</v>
      </c>
      <c r="DS16" s="62">
        <v>0</v>
      </c>
      <c r="DT16" s="62">
        <v>0</v>
      </c>
      <c r="DU16" s="62">
        <v>0</v>
      </c>
      <c r="DV16" s="62">
        <v>0</v>
      </c>
      <c r="DW16" s="62">
        <v>0</v>
      </c>
      <c r="DX16" s="62">
        <v>0</v>
      </c>
      <c r="DY16" s="62">
        <v>0</v>
      </c>
      <c r="DZ16" s="190">
        <f t="shared" ref="DZ16" si="106">SUM(DN16:DY16)</f>
        <v>0</v>
      </c>
    </row>
    <row r="17" spans="1:130" ht="20.45" customHeight="1" outlineLevel="1">
      <c r="A17" s="650"/>
      <c r="B17" s="640" t="s">
        <v>2600</v>
      </c>
      <c r="C17" s="641"/>
      <c r="D17" s="62">
        <f t="shared" si="0"/>
        <v>10530000.000000002</v>
      </c>
      <c r="E17" s="184">
        <f t="shared" ref="E17:E18" si="107">D17/D$4</f>
        <v>2.9345687728523799E-2</v>
      </c>
      <c r="F17" s="62">
        <v>0</v>
      </c>
      <c r="G17" s="190">
        <f t="shared" ref="G17:G18" si="108">SUM(F17)</f>
        <v>0</v>
      </c>
      <c r="H17" s="197">
        <f t="shared" ref="H17:H18" si="109">G17/G$4</f>
        <v>0</v>
      </c>
      <c r="I17" s="62">
        <v>0</v>
      </c>
      <c r="J17" s="62">
        <v>0</v>
      </c>
      <c r="K17" s="62">
        <v>0</v>
      </c>
      <c r="L17" s="62">
        <v>0</v>
      </c>
      <c r="M17" s="62">
        <v>0</v>
      </c>
      <c r="N17" s="62">
        <v>0</v>
      </c>
      <c r="O17" s="62">
        <v>0</v>
      </c>
      <c r="P17" s="62">
        <v>0</v>
      </c>
      <c r="Q17" s="62">
        <v>0</v>
      </c>
      <c r="R17" s="62">
        <v>0</v>
      </c>
      <c r="S17" s="62">
        <v>0</v>
      </c>
      <c r="T17" s="62">
        <v>0</v>
      </c>
      <c r="U17" s="190">
        <f t="shared" ref="U17" si="110">SUM(I17:T17)</f>
        <v>0</v>
      </c>
      <c r="V17" s="197">
        <f t="shared" si="38"/>
        <v>0</v>
      </c>
      <c r="W17" s="62">
        <v>0</v>
      </c>
      <c r="X17" s="62">
        <v>0</v>
      </c>
      <c r="Y17" s="62">
        <v>0</v>
      </c>
      <c r="Z17" s="62">
        <v>0</v>
      </c>
      <c r="AA17" s="62">
        <v>0</v>
      </c>
      <c r="AB17" s="62">
        <v>0</v>
      </c>
      <c r="AC17" s="62">
        <v>10530000</v>
      </c>
      <c r="AD17" s="62">
        <v>0</v>
      </c>
      <c r="AE17" s="62">
        <v>0</v>
      </c>
      <c r="AF17" s="62">
        <v>0</v>
      </c>
      <c r="AG17" s="62">
        <v>0</v>
      </c>
      <c r="AH17" s="62">
        <v>0</v>
      </c>
      <c r="AI17" s="190">
        <f t="shared" ref="AI17" si="111">SUM(W17:AH17)</f>
        <v>10530000</v>
      </c>
      <c r="AJ17" s="197">
        <f t="shared" si="39"/>
        <v>0.12284441876857395</v>
      </c>
      <c r="AK17" s="62">
        <v>0</v>
      </c>
      <c r="AL17" s="62">
        <v>0</v>
      </c>
      <c r="AM17" s="62">
        <v>0</v>
      </c>
      <c r="AN17" s="62">
        <v>0</v>
      </c>
      <c r="AO17" s="62">
        <v>0</v>
      </c>
      <c r="AP17" s="62">
        <v>0</v>
      </c>
      <c r="AQ17" s="62">
        <v>0</v>
      </c>
      <c r="AR17" s="62">
        <v>0</v>
      </c>
      <c r="AS17" s="62">
        <v>0</v>
      </c>
      <c r="AT17" s="62">
        <v>0</v>
      </c>
      <c r="AU17" s="62">
        <v>0</v>
      </c>
      <c r="AV17" s="62">
        <v>0</v>
      </c>
      <c r="AW17" s="190">
        <f t="shared" ref="AW17" si="112">SUM(AK17:AV17)</f>
        <v>0</v>
      </c>
      <c r="AX17" s="197">
        <f t="shared" si="40"/>
        <v>0</v>
      </c>
      <c r="AY17" s="62">
        <v>0</v>
      </c>
      <c r="AZ17" s="62">
        <v>0</v>
      </c>
      <c r="BA17" s="62">
        <v>0</v>
      </c>
      <c r="BB17" s="62">
        <v>0</v>
      </c>
      <c r="BC17" s="62">
        <v>0</v>
      </c>
      <c r="BD17" s="62">
        <v>0</v>
      </c>
      <c r="BE17" s="62">
        <v>0</v>
      </c>
      <c r="BF17" s="62">
        <v>0</v>
      </c>
      <c r="BG17" s="62">
        <v>0</v>
      </c>
      <c r="BH17" s="62">
        <v>0</v>
      </c>
      <c r="BI17" s="62">
        <v>0</v>
      </c>
      <c r="BJ17" s="62">
        <v>0</v>
      </c>
      <c r="BK17" s="190">
        <f t="shared" ref="BK17" si="113">SUM(AY17:BJ17)</f>
        <v>0</v>
      </c>
      <c r="BL17" s="197">
        <f t="shared" si="41"/>
        <v>0</v>
      </c>
      <c r="BM17" s="62">
        <v>0</v>
      </c>
      <c r="BN17" s="62">
        <v>0</v>
      </c>
      <c r="BO17" s="62">
        <v>0</v>
      </c>
      <c r="BP17" s="62">
        <v>0</v>
      </c>
      <c r="BQ17" s="62">
        <v>0</v>
      </c>
      <c r="BR17" s="62">
        <v>0</v>
      </c>
      <c r="BS17" s="62">
        <v>0</v>
      </c>
      <c r="BT17" s="62">
        <v>0</v>
      </c>
      <c r="BU17" s="62">
        <v>0</v>
      </c>
      <c r="BV17" s="62">
        <v>0</v>
      </c>
      <c r="BW17" s="62">
        <v>0</v>
      </c>
      <c r="BX17" s="62">
        <v>0</v>
      </c>
      <c r="BY17" s="190">
        <f t="shared" ref="BY17" si="114">SUM(BM17:BX17)</f>
        <v>0</v>
      </c>
      <c r="BZ17" s="197">
        <f t="shared" si="42"/>
        <v>0</v>
      </c>
      <c r="CA17" s="62">
        <v>0</v>
      </c>
      <c r="CB17" s="62">
        <v>0</v>
      </c>
      <c r="CC17" s="62">
        <v>0</v>
      </c>
      <c r="CD17" s="62">
        <v>0</v>
      </c>
      <c r="CE17" s="62">
        <v>0</v>
      </c>
      <c r="CF17" s="62">
        <v>0</v>
      </c>
      <c r="CG17" s="62">
        <v>0</v>
      </c>
      <c r="CH17" s="62">
        <v>0</v>
      </c>
      <c r="CI17" s="62">
        <v>0</v>
      </c>
      <c r="CJ17" s="62">
        <v>0</v>
      </c>
      <c r="CK17" s="62">
        <v>0</v>
      </c>
      <c r="CL17" s="62">
        <v>0</v>
      </c>
      <c r="CM17" s="190">
        <f t="shared" ref="CM17" si="115">SUM(CA17:CL17)</f>
        <v>0</v>
      </c>
      <c r="CN17" s="62">
        <v>0</v>
      </c>
      <c r="CO17" s="62">
        <v>0</v>
      </c>
      <c r="CP17" s="62">
        <v>0</v>
      </c>
      <c r="CQ17" s="62">
        <v>0</v>
      </c>
      <c r="CR17" s="62">
        <v>0</v>
      </c>
      <c r="CS17" s="62">
        <v>0</v>
      </c>
      <c r="CT17" s="62">
        <v>0</v>
      </c>
      <c r="CU17" s="62">
        <v>0</v>
      </c>
      <c r="CV17" s="62">
        <v>0</v>
      </c>
      <c r="CW17" s="62">
        <v>0</v>
      </c>
      <c r="CX17" s="62">
        <v>0</v>
      </c>
      <c r="CY17" s="62">
        <v>0</v>
      </c>
      <c r="CZ17" s="190">
        <f t="shared" ref="CZ17" si="116">SUM(CN17:CY17)</f>
        <v>0</v>
      </c>
      <c r="DA17" s="62">
        <v>0</v>
      </c>
      <c r="DB17" s="62">
        <v>0</v>
      </c>
      <c r="DC17" s="62">
        <v>0</v>
      </c>
      <c r="DD17" s="62">
        <v>0</v>
      </c>
      <c r="DE17" s="62">
        <v>0</v>
      </c>
      <c r="DF17" s="62">
        <v>0</v>
      </c>
      <c r="DG17" s="62">
        <v>0</v>
      </c>
      <c r="DH17" s="62">
        <v>0</v>
      </c>
      <c r="DI17" s="62">
        <v>0</v>
      </c>
      <c r="DJ17" s="62">
        <v>0</v>
      </c>
      <c r="DK17" s="62">
        <v>0</v>
      </c>
      <c r="DL17" s="62">
        <v>0</v>
      </c>
      <c r="DM17" s="190">
        <f t="shared" ref="DM17" si="117">SUM(DA17:DL17)</f>
        <v>0</v>
      </c>
      <c r="DN17" s="62">
        <v>0</v>
      </c>
      <c r="DO17" s="62">
        <v>0</v>
      </c>
      <c r="DP17" s="62">
        <v>0</v>
      </c>
      <c r="DQ17" s="62">
        <v>0</v>
      </c>
      <c r="DR17" s="62">
        <v>0</v>
      </c>
      <c r="DS17" s="62">
        <v>0</v>
      </c>
      <c r="DT17" s="62">
        <v>0</v>
      </c>
      <c r="DU17" s="62">
        <v>0</v>
      </c>
      <c r="DV17" s="62">
        <v>0</v>
      </c>
      <c r="DW17" s="62">
        <v>0</v>
      </c>
      <c r="DX17" s="62">
        <v>0</v>
      </c>
      <c r="DY17" s="62">
        <v>0</v>
      </c>
      <c r="DZ17" s="190">
        <f t="shared" ref="DZ17" si="118">SUM(DN17:DY17)</f>
        <v>0</v>
      </c>
    </row>
    <row r="18" spans="1:130" ht="20.45" customHeight="1" outlineLevel="1">
      <c r="A18" s="650"/>
      <c r="B18" s="651" t="s">
        <v>2785</v>
      </c>
      <c r="C18" s="652"/>
      <c r="D18" s="62">
        <f t="shared" si="0"/>
        <v>3000000.0000000005</v>
      </c>
      <c r="E18" s="184">
        <f t="shared" si="107"/>
        <v>8.3605947944512243E-3</v>
      </c>
      <c r="F18" s="62">
        <v>0</v>
      </c>
      <c r="G18" s="190">
        <f t="shared" si="108"/>
        <v>0</v>
      </c>
      <c r="H18" s="197">
        <f t="shared" si="109"/>
        <v>0</v>
      </c>
      <c r="I18" s="62">
        <v>0</v>
      </c>
      <c r="J18" s="62">
        <v>0</v>
      </c>
      <c r="K18" s="62">
        <v>0</v>
      </c>
      <c r="L18" s="62">
        <v>0</v>
      </c>
      <c r="M18" s="62">
        <v>0</v>
      </c>
      <c r="N18" s="62">
        <v>0</v>
      </c>
      <c r="O18" s="62">
        <v>0</v>
      </c>
      <c r="P18" s="62">
        <v>0</v>
      </c>
      <c r="Q18" s="62">
        <v>0</v>
      </c>
      <c r="R18" s="62">
        <v>0</v>
      </c>
      <c r="S18" s="62">
        <v>0</v>
      </c>
      <c r="T18" s="62">
        <v>0</v>
      </c>
      <c r="U18" s="190">
        <f t="shared" ref="U18" si="119">SUM(I18:T18)</f>
        <v>0</v>
      </c>
      <c r="V18" s="197">
        <f t="shared" si="38"/>
        <v>0</v>
      </c>
      <c r="W18" s="62">
        <v>0</v>
      </c>
      <c r="X18" s="62">
        <v>0</v>
      </c>
      <c r="Y18" s="62">
        <v>0</v>
      </c>
      <c r="Z18" s="62">
        <v>0</v>
      </c>
      <c r="AA18" s="62">
        <v>0</v>
      </c>
      <c r="AB18" s="62">
        <v>0</v>
      </c>
      <c r="AC18" s="62">
        <v>0</v>
      </c>
      <c r="AD18" s="62">
        <v>0</v>
      </c>
      <c r="AE18" s="62">
        <v>0</v>
      </c>
      <c r="AF18" s="62">
        <v>0</v>
      </c>
      <c r="AG18" s="62">
        <v>0</v>
      </c>
      <c r="AH18" s="62">
        <v>0</v>
      </c>
      <c r="AI18" s="190">
        <f t="shared" ref="AI18" si="120">SUM(W18:AH18)</f>
        <v>0</v>
      </c>
      <c r="AJ18" s="197">
        <f t="shared" si="39"/>
        <v>0</v>
      </c>
      <c r="AK18" s="62">
        <v>0</v>
      </c>
      <c r="AL18" s="62">
        <v>0</v>
      </c>
      <c r="AM18" s="62">
        <v>0</v>
      </c>
      <c r="AN18" s="62">
        <v>0</v>
      </c>
      <c r="AO18" s="62">
        <v>0</v>
      </c>
      <c r="AP18" s="62">
        <v>0</v>
      </c>
      <c r="AQ18" s="62">
        <v>0</v>
      </c>
      <c r="AR18" s="62">
        <v>0</v>
      </c>
      <c r="AS18" s="62">
        <v>0</v>
      </c>
      <c r="AT18" s="62">
        <v>0</v>
      </c>
      <c r="AU18" s="62">
        <v>0</v>
      </c>
      <c r="AV18" s="62">
        <v>0</v>
      </c>
      <c r="AW18" s="190">
        <f t="shared" ref="AW18" si="121">SUM(AK18:AV18)</f>
        <v>0</v>
      </c>
      <c r="AX18" s="197">
        <f t="shared" si="40"/>
        <v>0</v>
      </c>
      <c r="AY18" s="62">
        <v>0</v>
      </c>
      <c r="AZ18" s="62">
        <v>3000000</v>
      </c>
      <c r="BA18" s="62">
        <v>0</v>
      </c>
      <c r="BB18" s="62">
        <v>0</v>
      </c>
      <c r="BC18" s="62">
        <v>0</v>
      </c>
      <c r="BD18" s="62">
        <v>0</v>
      </c>
      <c r="BE18" s="62">
        <v>0</v>
      </c>
      <c r="BF18" s="62">
        <v>0</v>
      </c>
      <c r="BG18" s="62">
        <v>0</v>
      </c>
      <c r="BH18" s="62">
        <v>0</v>
      </c>
      <c r="BI18" s="62">
        <v>0</v>
      </c>
      <c r="BJ18" s="62">
        <v>0</v>
      </c>
      <c r="BK18" s="190">
        <f t="shared" ref="BK18" si="122">SUM(AY18:BJ18)</f>
        <v>3000000</v>
      </c>
      <c r="BL18" s="197">
        <f t="shared" si="41"/>
        <v>3.8483211416809202E-2</v>
      </c>
      <c r="BM18" s="62">
        <v>0</v>
      </c>
      <c r="BN18" s="62">
        <v>0</v>
      </c>
      <c r="BO18" s="62">
        <v>0</v>
      </c>
      <c r="BP18" s="62">
        <v>0</v>
      </c>
      <c r="BQ18" s="62">
        <v>0</v>
      </c>
      <c r="BR18" s="62">
        <v>0</v>
      </c>
      <c r="BS18" s="62">
        <v>0</v>
      </c>
      <c r="BT18" s="62">
        <v>0</v>
      </c>
      <c r="BU18" s="62">
        <v>0</v>
      </c>
      <c r="BV18" s="62">
        <v>0</v>
      </c>
      <c r="BW18" s="62">
        <v>0</v>
      </c>
      <c r="BX18" s="62">
        <v>0</v>
      </c>
      <c r="BY18" s="190">
        <f t="shared" ref="BY18" si="123">SUM(BM18:BX18)</f>
        <v>0</v>
      </c>
      <c r="BZ18" s="197">
        <f t="shared" si="42"/>
        <v>0</v>
      </c>
      <c r="CA18" s="62">
        <v>0</v>
      </c>
      <c r="CB18" s="62">
        <v>0</v>
      </c>
      <c r="CC18" s="62">
        <v>0</v>
      </c>
      <c r="CD18" s="62">
        <v>0</v>
      </c>
      <c r="CE18" s="62">
        <v>0</v>
      </c>
      <c r="CF18" s="62">
        <v>0</v>
      </c>
      <c r="CG18" s="62">
        <v>0</v>
      </c>
      <c r="CH18" s="62">
        <v>0</v>
      </c>
      <c r="CI18" s="62">
        <v>0</v>
      </c>
      <c r="CJ18" s="62">
        <v>0</v>
      </c>
      <c r="CK18" s="62">
        <v>0</v>
      </c>
      <c r="CL18" s="62">
        <v>0</v>
      </c>
      <c r="CM18" s="190">
        <f t="shared" ref="CM18" si="124">SUM(CA18:CL18)</f>
        <v>0</v>
      </c>
      <c r="CN18" s="62">
        <v>0</v>
      </c>
      <c r="CO18" s="62">
        <v>0</v>
      </c>
      <c r="CP18" s="62">
        <v>0</v>
      </c>
      <c r="CQ18" s="62">
        <v>0</v>
      </c>
      <c r="CR18" s="62">
        <v>0</v>
      </c>
      <c r="CS18" s="62">
        <v>0</v>
      </c>
      <c r="CT18" s="62">
        <v>0</v>
      </c>
      <c r="CU18" s="62">
        <v>0</v>
      </c>
      <c r="CV18" s="62">
        <v>0</v>
      </c>
      <c r="CW18" s="62">
        <v>0</v>
      </c>
      <c r="CX18" s="62">
        <v>0</v>
      </c>
      <c r="CY18" s="62">
        <v>0</v>
      </c>
      <c r="CZ18" s="190">
        <f t="shared" ref="CZ18" si="125">SUM(CN18:CY18)</f>
        <v>0</v>
      </c>
      <c r="DA18" s="62">
        <v>0</v>
      </c>
      <c r="DB18" s="62">
        <v>0</v>
      </c>
      <c r="DC18" s="62">
        <v>0</v>
      </c>
      <c r="DD18" s="62">
        <v>0</v>
      </c>
      <c r="DE18" s="62">
        <v>0</v>
      </c>
      <c r="DF18" s="62">
        <v>0</v>
      </c>
      <c r="DG18" s="62">
        <v>0</v>
      </c>
      <c r="DH18" s="62">
        <v>0</v>
      </c>
      <c r="DI18" s="62">
        <v>0</v>
      </c>
      <c r="DJ18" s="62">
        <v>0</v>
      </c>
      <c r="DK18" s="62">
        <v>0</v>
      </c>
      <c r="DL18" s="62">
        <v>0</v>
      </c>
      <c r="DM18" s="190">
        <f t="shared" ref="DM18" si="126">SUM(DA18:DL18)</f>
        <v>0</v>
      </c>
      <c r="DN18" s="62">
        <v>0</v>
      </c>
      <c r="DO18" s="62">
        <v>0</v>
      </c>
      <c r="DP18" s="62">
        <v>0</v>
      </c>
      <c r="DQ18" s="62">
        <v>0</v>
      </c>
      <c r="DR18" s="62">
        <v>0</v>
      </c>
      <c r="DS18" s="62">
        <v>0</v>
      </c>
      <c r="DT18" s="62">
        <v>0</v>
      </c>
      <c r="DU18" s="62">
        <v>0</v>
      </c>
      <c r="DV18" s="62">
        <v>0</v>
      </c>
      <c r="DW18" s="62">
        <v>0</v>
      </c>
      <c r="DX18" s="62">
        <v>0</v>
      </c>
      <c r="DY18" s="62">
        <v>0</v>
      </c>
      <c r="DZ18" s="190">
        <f t="shared" ref="DZ18" si="127">SUM(DN18:DY18)</f>
        <v>0</v>
      </c>
    </row>
    <row r="19" spans="1:130" ht="20.45" customHeight="1" outlineLevel="1">
      <c r="A19" s="650"/>
      <c r="B19" s="651" t="s">
        <v>2960</v>
      </c>
      <c r="C19" s="652"/>
      <c r="D19" s="62">
        <f t="shared" si="0"/>
        <v>250000</v>
      </c>
      <c r="E19" s="184">
        <f t="shared" ref="E19" si="128">D19/D$4</f>
        <v>6.9671623287093532E-4</v>
      </c>
      <c r="F19" s="62">
        <v>0</v>
      </c>
      <c r="G19" s="190">
        <f t="shared" ref="G19" si="129">SUM(F19)</f>
        <v>0</v>
      </c>
      <c r="H19" s="197">
        <f t="shared" ref="H19" si="130">G19/G$4</f>
        <v>0</v>
      </c>
      <c r="I19" s="62">
        <v>0</v>
      </c>
      <c r="J19" s="62">
        <v>0</v>
      </c>
      <c r="K19" s="62">
        <v>0</v>
      </c>
      <c r="L19" s="62">
        <v>0</v>
      </c>
      <c r="M19" s="62">
        <v>0</v>
      </c>
      <c r="N19" s="62">
        <v>0</v>
      </c>
      <c r="O19" s="62">
        <v>0</v>
      </c>
      <c r="P19" s="62">
        <v>0</v>
      </c>
      <c r="Q19" s="62">
        <v>0</v>
      </c>
      <c r="R19" s="62">
        <v>0</v>
      </c>
      <c r="S19" s="62">
        <v>0</v>
      </c>
      <c r="T19" s="62">
        <v>0</v>
      </c>
      <c r="U19" s="190">
        <f t="shared" ref="U19" si="131">SUM(I19:T19)</f>
        <v>0</v>
      </c>
      <c r="V19" s="197">
        <f t="shared" si="38"/>
        <v>0</v>
      </c>
      <c r="W19" s="62">
        <v>0</v>
      </c>
      <c r="X19" s="62">
        <v>0</v>
      </c>
      <c r="Y19" s="62">
        <v>0</v>
      </c>
      <c r="Z19" s="62">
        <v>0</v>
      </c>
      <c r="AA19" s="62">
        <v>0</v>
      </c>
      <c r="AB19" s="62">
        <v>0</v>
      </c>
      <c r="AC19" s="62">
        <v>0</v>
      </c>
      <c r="AD19" s="62">
        <v>0</v>
      </c>
      <c r="AE19" s="62">
        <v>0</v>
      </c>
      <c r="AF19" s="62">
        <v>0</v>
      </c>
      <c r="AG19" s="62">
        <v>0</v>
      </c>
      <c r="AH19" s="62">
        <v>0</v>
      </c>
      <c r="AI19" s="190">
        <f t="shared" ref="AI19" si="132">SUM(W19:AH19)</f>
        <v>0</v>
      </c>
      <c r="AJ19" s="197">
        <f t="shared" si="39"/>
        <v>0</v>
      </c>
      <c r="AK19" s="62">
        <v>0</v>
      </c>
      <c r="AL19" s="62">
        <v>0</v>
      </c>
      <c r="AM19" s="62">
        <v>0</v>
      </c>
      <c r="AN19" s="62">
        <v>0</v>
      </c>
      <c r="AO19" s="62">
        <v>0</v>
      </c>
      <c r="AP19" s="62">
        <v>0</v>
      </c>
      <c r="AQ19" s="62">
        <v>0</v>
      </c>
      <c r="AR19" s="62">
        <v>0</v>
      </c>
      <c r="AS19" s="62">
        <v>0</v>
      </c>
      <c r="AT19" s="62">
        <v>0</v>
      </c>
      <c r="AU19" s="62">
        <v>0</v>
      </c>
      <c r="AV19" s="62">
        <v>0</v>
      </c>
      <c r="AW19" s="190">
        <f t="shared" ref="AW19" si="133">SUM(AK19:AV19)</f>
        <v>0</v>
      </c>
      <c r="AX19" s="197">
        <f t="shared" si="40"/>
        <v>0</v>
      </c>
      <c r="AY19" s="62">
        <v>0</v>
      </c>
      <c r="AZ19" s="62">
        <v>0</v>
      </c>
      <c r="BA19" s="62">
        <v>0</v>
      </c>
      <c r="BB19" s="62">
        <v>50000</v>
      </c>
      <c r="BC19" s="62">
        <v>20000</v>
      </c>
      <c r="BD19" s="62">
        <v>0</v>
      </c>
      <c r="BE19" s="62">
        <v>0</v>
      </c>
      <c r="BF19" s="62">
        <v>0</v>
      </c>
      <c r="BG19" s="62">
        <v>150000</v>
      </c>
      <c r="BH19" s="62">
        <v>0</v>
      </c>
      <c r="BI19" s="62">
        <v>0</v>
      </c>
      <c r="BJ19" s="62">
        <v>0</v>
      </c>
      <c r="BK19" s="190">
        <f t="shared" ref="BK19" si="134">SUM(AY19:BJ19)</f>
        <v>220000</v>
      </c>
      <c r="BL19" s="197">
        <f t="shared" si="41"/>
        <v>2.8221021705660079E-3</v>
      </c>
      <c r="BM19" s="62">
        <v>0</v>
      </c>
      <c r="BN19" s="62">
        <v>0</v>
      </c>
      <c r="BO19" s="62">
        <v>0</v>
      </c>
      <c r="BP19" s="62">
        <f>30000</f>
        <v>30000</v>
      </c>
      <c r="BQ19" s="62">
        <v>0</v>
      </c>
      <c r="BR19" s="62">
        <v>0</v>
      </c>
      <c r="BS19" s="62">
        <v>0</v>
      </c>
      <c r="BT19" s="62">
        <v>0</v>
      </c>
      <c r="BU19" s="62">
        <v>0</v>
      </c>
      <c r="BV19" s="62">
        <v>0</v>
      </c>
      <c r="BW19" s="62">
        <v>0</v>
      </c>
      <c r="BX19" s="62">
        <v>0</v>
      </c>
      <c r="BY19" s="190">
        <f t="shared" ref="BY19" si="135">SUM(BM19:BX19)</f>
        <v>30000</v>
      </c>
      <c r="BZ19" s="197">
        <f t="shared" si="42"/>
        <v>5.147868136534024E-4</v>
      </c>
      <c r="CA19" s="62">
        <v>0</v>
      </c>
      <c r="CB19" s="62">
        <v>0</v>
      </c>
      <c r="CC19" s="62">
        <v>0</v>
      </c>
      <c r="CD19" s="62">
        <v>0</v>
      </c>
      <c r="CE19" s="62">
        <v>0</v>
      </c>
      <c r="CF19" s="62">
        <v>0</v>
      </c>
      <c r="CG19" s="62">
        <v>0</v>
      </c>
      <c r="CH19" s="62">
        <v>0</v>
      </c>
      <c r="CI19" s="62">
        <v>0</v>
      </c>
      <c r="CJ19" s="62">
        <v>0</v>
      </c>
      <c r="CK19" s="62">
        <v>0</v>
      </c>
      <c r="CL19" s="62">
        <v>0</v>
      </c>
      <c r="CM19" s="190">
        <f t="shared" ref="CM19" si="136">SUM(CA19:CL19)</f>
        <v>0</v>
      </c>
      <c r="CN19" s="62">
        <v>0</v>
      </c>
      <c r="CO19" s="62">
        <v>0</v>
      </c>
      <c r="CP19" s="62">
        <v>0</v>
      </c>
      <c r="CQ19" s="62">
        <v>0</v>
      </c>
      <c r="CR19" s="62">
        <v>0</v>
      </c>
      <c r="CS19" s="62">
        <v>0</v>
      </c>
      <c r="CT19" s="62">
        <v>0</v>
      </c>
      <c r="CU19" s="62">
        <v>0</v>
      </c>
      <c r="CV19" s="62">
        <v>0</v>
      </c>
      <c r="CW19" s="62">
        <v>0</v>
      </c>
      <c r="CX19" s="62">
        <v>0</v>
      </c>
      <c r="CY19" s="62">
        <v>0</v>
      </c>
      <c r="CZ19" s="190">
        <f t="shared" ref="CZ19" si="137">SUM(CN19:CY19)</f>
        <v>0</v>
      </c>
      <c r="DA19" s="62">
        <v>0</v>
      </c>
      <c r="DB19" s="62">
        <v>0</v>
      </c>
      <c r="DC19" s="62">
        <v>0</v>
      </c>
      <c r="DD19" s="62">
        <v>0</v>
      </c>
      <c r="DE19" s="62">
        <v>0</v>
      </c>
      <c r="DF19" s="62">
        <v>0</v>
      </c>
      <c r="DG19" s="62">
        <v>0</v>
      </c>
      <c r="DH19" s="62">
        <v>0</v>
      </c>
      <c r="DI19" s="62">
        <v>0</v>
      </c>
      <c r="DJ19" s="62">
        <v>0</v>
      </c>
      <c r="DK19" s="62">
        <v>0</v>
      </c>
      <c r="DL19" s="62">
        <v>0</v>
      </c>
      <c r="DM19" s="190">
        <f t="shared" ref="DM19" si="138">SUM(DA19:DL19)</f>
        <v>0</v>
      </c>
      <c r="DN19" s="62">
        <v>0</v>
      </c>
      <c r="DO19" s="62">
        <v>0</v>
      </c>
      <c r="DP19" s="62">
        <v>0</v>
      </c>
      <c r="DQ19" s="62">
        <v>0</v>
      </c>
      <c r="DR19" s="62">
        <v>0</v>
      </c>
      <c r="DS19" s="62">
        <v>0</v>
      </c>
      <c r="DT19" s="62">
        <v>0</v>
      </c>
      <c r="DU19" s="62">
        <v>0</v>
      </c>
      <c r="DV19" s="62">
        <v>0</v>
      </c>
      <c r="DW19" s="62">
        <v>0</v>
      </c>
      <c r="DX19" s="62">
        <v>0</v>
      </c>
      <c r="DY19" s="62">
        <v>0</v>
      </c>
      <c r="DZ19" s="190">
        <f t="shared" ref="DZ19" si="139">SUM(DN19:DY19)</f>
        <v>0</v>
      </c>
    </row>
    <row r="20" spans="1:130" ht="20.45" customHeight="1" outlineLevel="1">
      <c r="A20" s="649"/>
      <c r="B20" s="640" t="s">
        <v>2601</v>
      </c>
      <c r="C20" s="641"/>
      <c r="D20" s="62">
        <f t="shared" si="0"/>
        <v>546600</v>
      </c>
      <c r="E20" s="184">
        <f t="shared" si="35"/>
        <v>1.5233003715490129E-3</v>
      </c>
      <c r="F20" s="62">
        <v>0</v>
      </c>
      <c r="G20" s="190">
        <f t="shared" si="36"/>
        <v>0</v>
      </c>
      <c r="H20" s="197">
        <f t="shared" si="37"/>
        <v>0</v>
      </c>
      <c r="I20" s="62">
        <v>0</v>
      </c>
      <c r="J20" s="62">
        <v>0</v>
      </c>
      <c r="K20" s="62">
        <v>0</v>
      </c>
      <c r="L20" s="62">
        <v>0</v>
      </c>
      <c r="M20" s="62">
        <v>0</v>
      </c>
      <c r="N20" s="62">
        <v>0</v>
      </c>
      <c r="O20" s="62">
        <v>0</v>
      </c>
      <c r="P20" s="62">
        <v>0</v>
      </c>
      <c r="Q20" s="62">
        <v>270500</v>
      </c>
      <c r="R20" s="62">
        <v>0</v>
      </c>
      <c r="S20" s="62">
        <v>0</v>
      </c>
      <c r="T20" s="62">
        <v>0</v>
      </c>
      <c r="U20" s="190">
        <f t="shared" si="16"/>
        <v>270500</v>
      </c>
      <c r="V20" s="197">
        <f t="shared" si="38"/>
        <v>4.5114126732436668E-3</v>
      </c>
      <c r="W20" s="62">
        <v>0</v>
      </c>
      <c r="X20" s="62">
        <v>0</v>
      </c>
      <c r="Y20" s="62">
        <v>0</v>
      </c>
      <c r="Z20" s="62">
        <v>0</v>
      </c>
      <c r="AA20" s="62">
        <v>0</v>
      </c>
      <c r="AB20" s="62">
        <v>0</v>
      </c>
      <c r="AC20" s="62">
        <v>276100</v>
      </c>
      <c r="AD20" s="62">
        <v>0</v>
      </c>
      <c r="AE20" s="62">
        <v>0</v>
      </c>
      <c r="AF20" s="62">
        <v>0</v>
      </c>
      <c r="AG20" s="62">
        <v>0</v>
      </c>
      <c r="AH20" s="62">
        <v>0</v>
      </c>
      <c r="AI20" s="190">
        <f t="shared" si="17"/>
        <v>276100</v>
      </c>
      <c r="AJ20" s="197">
        <f t="shared" si="39"/>
        <v>3.2210203249765684E-3</v>
      </c>
      <c r="AK20" s="62">
        <v>0</v>
      </c>
      <c r="AL20" s="62">
        <v>0</v>
      </c>
      <c r="AM20" s="62">
        <v>0</v>
      </c>
      <c r="AN20" s="62">
        <v>0</v>
      </c>
      <c r="AO20" s="62">
        <v>0</v>
      </c>
      <c r="AP20" s="62">
        <v>0</v>
      </c>
      <c r="AQ20" s="62">
        <v>0</v>
      </c>
      <c r="AR20" s="62">
        <v>0</v>
      </c>
      <c r="AS20" s="62">
        <v>0</v>
      </c>
      <c r="AT20" s="62">
        <v>0</v>
      </c>
      <c r="AU20" s="62">
        <v>0</v>
      </c>
      <c r="AV20" s="62">
        <v>0</v>
      </c>
      <c r="AW20" s="190">
        <f t="shared" si="18"/>
        <v>0</v>
      </c>
      <c r="AX20" s="197">
        <f t="shared" si="40"/>
        <v>0</v>
      </c>
      <c r="AY20" s="62">
        <v>0</v>
      </c>
      <c r="AZ20" s="62">
        <v>0</v>
      </c>
      <c r="BA20" s="62">
        <v>0</v>
      </c>
      <c r="BB20" s="62">
        <v>0</v>
      </c>
      <c r="BC20" s="62">
        <v>0</v>
      </c>
      <c r="BD20" s="62">
        <v>0</v>
      </c>
      <c r="BE20" s="62">
        <v>0</v>
      </c>
      <c r="BF20" s="62">
        <v>0</v>
      </c>
      <c r="BG20" s="62">
        <v>0</v>
      </c>
      <c r="BH20" s="62">
        <v>0</v>
      </c>
      <c r="BI20" s="62">
        <v>0</v>
      </c>
      <c r="BJ20" s="62">
        <v>0</v>
      </c>
      <c r="BK20" s="190">
        <f t="shared" si="19"/>
        <v>0</v>
      </c>
      <c r="BL20" s="197">
        <f t="shared" si="41"/>
        <v>0</v>
      </c>
      <c r="BM20" s="62">
        <v>0</v>
      </c>
      <c r="BN20" s="62">
        <v>0</v>
      </c>
      <c r="BO20" s="62">
        <v>0</v>
      </c>
      <c r="BP20" s="62">
        <v>0</v>
      </c>
      <c r="BQ20" s="62">
        <v>0</v>
      </c>
      <c r="BR20" s="62">
        <v>0</v>
      </c>
      <c r="BS20" s="62">
        <v>0</v>
      </c>
      <c r="BT20" s="62">
        <v>0</v>
      </c>
      <c r="BU20" s="62">
        <v>0</v>
      </c>
      <c r="BV20" s="62">
        <v>0</v>
      </c>
      <c r="BW20" s="62">
        <v>0</v>
      </c>
      <c r="BX20" s="62">
        <v>0</v>
      </c>
      <c r="BY20" s="190">
        <f t="shared" si="20"/>
        <v>0</v>
      </c>
      <c r="BZ20" s="197">
        <f t="shared" si="42"/>
        <v>0</v>
      </c>
      <c r="CA20" s="62">
        <v>0</v>
      </c>
      <c r="CB20" s="62">
        <v>0</v>
      </c>
      <c r="CC20" s="62">
        <v>0</v>
      </c>
      <c r="CD20" s="62">
        <v>0</v>
      </c>
      <c r="CE20" s="62">
        <v>0</v>
      </c>
      <c r="CF20" s="62">
        <v>0</v>
      </c>
      <c r="CG20" s="62">
        <v>0</v>
      </c>
      <c r="CH20" s="62">
        <v>0</v>
      </c>
      <c r="CI20" s="62">
        <v>0</v>
      </c>
      <c r="CJ20" s="62">
        <v>0</v>
      </c>
      <c r="CK20" s="62">
        <v>0</v>
      </c>
      <c r="CL20" s="62">
        <v>0</v>
      </c>
      <c r="CM20" s="190">
        <f t="shared" si="21"/>
        <v>0</v>
      </c>
      <c r="CN20" s="62">
        <v>0</v>
      </c>
      <c r="CO20" s="62">
        <v>0</v>
      </c>
      <c r="CP20" s="62">
        <v>0</v>
      </c>
      <c r="CQ20" s="62">
        <v>0</v>
      </c>
      <c r="CR20" s="62">
        <v>0</v>
      </c>
      <c r="CS20" s="62">
        <v>0</v>
      </c>
      <c r="CT20" s="62">
        <v>0</v>
      </c>
      <c r="CU20" s="62">
        <v>0</v>
      </c>
      <c r="CV20" s="62">
        <v>0</v>
      </c>
      <c r="CW20" s="62">
        <v>0</v>
      </c>
      <c r="CX20" s="62">
        <v>0</v>
      </c>
      <c r="CY20" s="62">
        <v>0</v>
      </c>
      <c r="CZ20" s="190">
        <f t="shared" si="22"/>
        <v>0</v>
      </c>
      <c r="DA20" s="62">
        <v>0</v>
      </c>
      <c r="DB20" s="62">
        <v>0</v>
      </c>
      <c r="DC20" s="62">
        <v>0</v>
      </c>
      <c r="DD20" s="62">
        <v>0</v>
      </c>
      <c r="DE20" s="62">
        <v>0</v>
      </c>
      <c r="DF20" s="62">
        <v>0</v>
      </c>
      <c r="DG20" s="62">
        <v>0</v>
      </c>
      <c r="DH20" s="62">
        <v>0</v>
      </c>
      <c r="DI20" s="62">
        <v>0</v>
      </c>
      <c r="DJ20" s="62">
        <v>0</v>
      </c>
      <c r="DK20" s="62">
        <v>0</v>
      </c>
      <c r="DL20" s="62">
        <v>0</v>
      </c>
      <c r="DM20" s="190">
        <f t="shared" si="23"/>
        <v>0</v>
      </c>
      <c r="DN20" s="62">
        <v>0</v>
      </c>
      <c r="DO20" s="62">
        <v>0</v>
      </c>
      <c r="DP20" s="62">
        <v>0</v>
      </c>
      <c r="DQ20" s="62">
        <v>0</v>
      </c>
      <c r="DR20" s="62">
        <v>0</v>
      </c>
      <c r="DS20" s="62">
        <v>0</v>
      </c>
      <c r="DT20" s="62">
        <v>0</v>
      </c>
      <c r="DU20" s="62">
        <v>0</v>
      </c>
      <c r="DV20" s="62">
        <v>0</v>
      </c>
      <c r="DW20" s="62">
        <v>0</v>
      </c>
      <c r="DX20" s="62">
        <v>0</v>
      </c>
      <c r="DY20" s="62">
        <v>0</v>
      </c>
      <c r="DZ20" s="190">
        <f t="shared" si="24"/>
        <v>0</v>
      </c>
    </row>
    <row r="21" spans="1:130" ht="20.45" customHeight="1" outlineLevel="1">
      <c r="A21" s="649"/>
      <c r="B21" s="640" t="s">
        <v>302</v>
      </c>
      <c r="C21" s="641"/>
      <c r="D21" s="62">
        <f t="shared" si="0"/>
        <v>300000</v>
      </c>
      <c r="E21" s="184">
        <f t="shared" si="35"/>
        <v>8.3605947944512238E-4</v>
      </c>
      <c r="F21" s="62">
        <v>0</v>
      </c>
      <c r="G21" s="190">
        <f t="shared" si="36"/>
        <v>0</v>
      </c>
      <c r="H21" s="197">
        <f t="shared" si="37"/>
        <v>0</v>
      </c>
      <c r="I21" s="62">
        <v>0</v>
      </c>
      <c r="J21" s="62">
        <v>0</v>
      </c>
      <c r="K21" s="62">
        <v>0</v>
      </c>
      <c r="L21" s="62">
        <v>0</v>
      </c>
      <c r="M21" s="62">
        <v>0</v>
      </c>
      <c r="N21" s="62">
        <v>0</v>
      </c>
      <c r="O21" s="62">
        <v>0</v>
      </c>
      <c r="P21" s="62">
        <v>300000</v>
      </c>
      <c r="Q21" s="62">
        <v>0</v>
      </c>
      <c r="R21" s="62">
        <v>0</v>
      </c>
      <c r="S21" s="62">
        <v>0</v>
      </c>
      <c r="T21" s="62">
        <v>0</v>
      </c>
      <c r="U21" s="190">
        <f t="shared" si="16"/>
        <v>300000</v>
      </c>
      <c r="V21" s="197">
        <f t="shared" si="38"/>
        <v>5.0034151644107209E-3</v>
      </c>
      <c r="W21" s="62">
        <v>0</v>
      </c>
      <c r="X21" s="62">
        <v>0</v>
      </c>
      <c r="Y21" s="62">
        <v>0</v>
      </c>
      <c r="Z21" s="62">
        <v>0</v>
      </c>
      <c r="AA21" s="62">
        <v>0</v>
      </c>
      <c r="AB21" s="62">
        <v>0</v>
      </c>
      <c r="AC21" s="62">
        <v>0</v>
      </c>
      <c r="AD21" s="62">
        <v>0</v>
      </c>
      <c r="AE21" s="62">
        <v>0</v>
      </c>
      <c r="AF21" s="62">
        <v>0</v>
      </c>
      <c r="AG21" s="62">
        <v>0</v>
      </c>
      <c r="AH21" s="62">
        <v>0</v>
      </c>
      <c r="AI21" s="190">
        <f t="shared" si="17"/>
        <v>0</v>
      </c>
      <c r="AJ21" s="197">
        <f t="shared" si="39"/>
        <v>0</v>
      </c>
      <c r="AK21" s="62">
        <v>0</v>
      </c>
      <c r="AL21" s="62">
        <v>0</v>
      </c>
      <c r="AM21" s="62">
        <v>0</v>
      </c>
      <c r="AN21" s="62">
        <v>0</v>
      </c>
      <c r="AO21" s="62">
        <v>0</v>
      </c>
      <c r="AP21" s="62">
        <v>0</v>
      </c>
      <c r="AQ21" s="62">
        <v>0</v>
      </c>
      <c r="AR21" s="62">
        <v>0</v>
      </c>
      <c r="AS21" s="62">
        <v>0</v>
      </c>
      <c r="AT21" s="62">
        <v>0</v>
      </c>
      <c r="AU21" s="62">
        <v>0</v>
      </c>
      <c r="AV21" s="62">
        <v>0</v>
      </c>
      <c r="AW21" s="190">
        <f t="shared" si="18"/>
        <v>0</v>
      </c>
      <c r="AX21" s="197">
        <f t="shared" si="40"/>
        <v>0</v>
      </c>
      <c r="AY21" s="62">
        <v>0</v>
      </c>
      <c r="AZ21" s="62">
        <v>0</v>
      </c>
      <c r="BA21" s="62">
        <v>0</v>
      </c>
      <c r="BB21" s="62">
        <v>0</v>
      </c>
      <c r="BC21" s="62">
        <v>0</v>
      </c>
      <c r="BD21" s="62">
        <v>0</v>
      </c>
      <c r="BE21" s="62">
        <v>0</v>
      </c>
      <c r="BF21" s="62">
        <v>0</v>
      </c>
      <c r="BG21" s="62">
        <v>0</v>
      </c>
      <c r="BH21" s="62">
        <v>0</v>
      </c>
      <c r="BI21" s="62">
        <v>0</v>
      </c>
      <c r="BJ21" s="62">
        <v>0</v>
      </c>
      <c r="BK21" s="190">
        <f t="shared" si="19"/>
        <v>0</v>
      </c>
      <c r="BL21" s="197">
        <f t="shared" si="41"/>
        <v>0</v>
      </c>
      <c r="BM21" s="62">
        <v>0</v>
      </c>
      <c r="BN21" s="62">
        <v>0</v>
      </c>
      <c r="BO21" s="62">
        <v>0</v>
      </c>
      <c r="BP21" s="62">
        <v>0</v>
      </c>
      <c r="BQ21" s="62">
        <v>0</v>
      </c>
      <c r="BR21" s="62">
        <v>0</v>
      </c>
      <c r="BS21" s="62">
        <v>0</v>
      </c>
      <c r="BT21" s="62">
        <v>0</v>
      </c>
      <c r="BU21" s="62">
        <v>0</v>
      </c>
      <c r="BV21" s="62">
        <v>0</v>
      </c>
      <c r="BW21" s="62">
        <v>0</v>
      </c>
      <c r="BX21" s="62">
        <v>0</v>
      </c>
      <c r="BY21" s="190">
        <f t="shared" si="20"/>
        <v>0</v>
      </c>
      <c r="BZ21" s="197">
        <f t="shared" si="42"/>
        <v>0</v>
      </c>
      <c r="CA21" s="62">
        <v>0</v>
      </c>
      <c r="CB21" s="62">
        <v>0</v>
      </c>
      <c r="CC21" s="62">
        <v>0</v>
      </c>
      <c r="CD21" s="62">
        <v>0</v>
      </c>
      <c r="CE21" s="62">
        <v>0</v>
      </c>
      <c r="CF21" s="62">
        <v>0</v>
      </c>
      <c r="CG21" s="62">
        <v>0</v>
      </c>
      <c r="CH21" s="62">
        <v>0</v>
      </c>
      <c r="CI21" s="62">
        <v>0</v>
      </c>
      <c r="CJ21" s="62">
        <v>0</v>
      </c>
      <c r="CK21" s="62">
        <v>0</v>
      </c>
      <c r="CL21" s="62">
        <v>0</v>
      </c>
      <c r="CM21" s="190">
        <f t="shared" si="21"/>
        <v>0</v>
      </c>
      <c r="CN21" s="62">
        <v>0</v>
      </c>
      <c r="CO21" s="62">
        <v>0</v>
      </c>
      <c r="CP21" s="62">
        <v>0</v>
      </c>
      <c r="CQ21" s="62">
        <v>0</v>
      </c>
      <c r="CR21" s="62">
        <v>0</v>
      </c>
      <c r="CS21" s="62">
        <v>0</v>
      </c>
      <c r="CT21" s="62">
        <v>0</v>
      </c>
      <c r="CU21" s="62">
        <v>0</v>
      </c>
      <c r="CV21" s="62">
        <v>0</v>
      </c>
      <c r="CW21" s="62">
        <v>0</v>
      </c>
      <c r="CX21" s="62">
        <v>0</v>
      </c>
      <c r="CY21" s="62">
        <v>0</v>
      </c>
      <c r="CZ21" s="190">
        <f t="shared" si="22"/>
        <v>0</v>
      </c>
      <c r="DA21" s="62">
        <v>0</v>
      </c>
      <c r="DB21" s="62">
        <v>0</v>
      </c>
      <c r="DC21" s="62">
        <v>0</v>
      </c>
      <c r="DD21" s="62">
        <v>0</v>
      </c>
      <c r="DE21" s="62">
        <v>0</v>
      </c>
      <c r="DF21" s="62">
        <v>0</v>
      </c>
      <c r="DG21" s="62">
        <v>0</v>
      </c>
      <c r="DH21" s="62">
        <v>0</v>
      </c>
      <c r="DI21" s="62">
        <v>0</v>
      </c>
      <c r="DJ21" s="62">
        <v>0</v>
      </c>
      <c r="DK21" s="62">
        <v>0</v>
      </c>
      <c r="DL21" s="62">
        <v>0</v>
      </c>
      <c r="DM21" s="190">
        <f t="shared" si="23"/>
        <v>0</v>
      </c>
      <c r="DN21" s="62">
        <v>0</v>
      </c>
      <c r="DO21" s="62">
        <v>0</v>
      </c>
      <c r="DP21" s="62">
        <v>0</v>
      </c>
      <c r="DQ21" s="62">
        <v>0</v>
      </c>
      <c r="DR21" s="62">
        <v>0</v>
      </c>
      <c r="DS21" s="62">
        <v>0</v>
      </c>
      <c r="DT21" s="62">
        <v>0</v>
      </c>
      <c r="DU21" s="62">
        <v>0</v>
      </c>
      <c r="DV21" s="62">
        <v>0</v>
      </c>
      <c r="DW21" s="62">
        <v>0</v>
      </c>
      <c r="DX21" s="62">
        <v>0</v>
      </c>
      <c r="DY21" s="62">
        <v>0</v>
      </c>
      <c r="DZ21" s="190">
        <f t="shared" si="24"/>
        <v>0</v>
      </c>
    </row>
    <row r="22" spans="1:130" ht="20.45" customHeight="1" outlineLevel="1">
      <c r="A22" s="650"/>
      <c r="B22" s="640" t="s">
        <v>2602</v>
      </c>
      <c r="C22" s="641"/>
      <c r="D22" s="62">
        <f t="shared" si="0"/>
        <v>2800330</v>
      </c>
      <c r="E22" s="184">
        <f t="shared" si="35"/>
        <v>7.8041414735818652E-3</v>
      </c>
      <c r="F22" s="62">
        <v>0</v>
      </c>
      <c r="G22" s="190">
        <f t="shared" si="36"/>
        <v>0</v>
      </c>
      <c r="H22" s="197">
        <f t="shared" si="37"/>
        <v>0</v>
      </c>
      <c r="I22" s="62">
        <v>0</v>
      </c>
      <c r="J22" s="62">
        <v>0</v>
      </c>
      <c r="K22" s="62">
        <v>0</v>
      </c>
      <c r="L22" s="62">
        <v>0</v>
      </c>
      <c r="M22" s="62">
        <v>0</v>
      </c>
      <c r="N22" s="62">
        <v>0</v>
      </c>
      <c r="O22" s="62">
        <v>0</v>
      </c>
      <c r="P22" s="62">
        <v>0</v>
      </c>
      <c r="Q22" s="62">
        <v>0</v>
      </c>
      <c r="R22" s="62">
        <v>0</v>
      </c>
      <c r="S22" s="62">
        <v>0</v>
      </c>
      <c r="T22" s="62">
        <v>0</v>
      </c>
      <c r="U22" s="190">
        <f t="shared" si="16"/>
        <v>0</v>
      </c>
      <c r="V22" s="197">
        <f t="shared" si="38"/>
        <v>0</v>
      </c>
      <c r="W22" s="62">
        <v>0</v>
      </c>
      <c r="X22" s="62">
        <v>0</v>
      </c>
      <c r="Y22" s="62">
        <v>0</v>
      </c>
      <c r="Z22" s="62">
        <v>37600</v>
      </c>
      <c r="AA22" s="62">
        <v>0</v>
      </c>
      <c r="AB22" s="62">
        <v>0</v>
      </c>
      <c r="AC22" s="62">
        <v>32700</v>
      </c>
      <c r="AD22" s="62">
        <v>0</v>
      </c>
      <c r="AE22" s="62">
        <v>0</v>
      </c>
      <c r="AF22" s="62">
        <v>52500</v>
      </c>
      <c r="AG22" s="62">
        <v>0</v>
      </c>
      <c r="AH22" s="62">
        <v>0</v>
      </c>
      <c r="AI22" s="190">
        <f t="shared" si="17"/>
        <v>122800</v>
      </c>
      <c r="AJ22" s="197">
        <f t="shared" si="39"/>
        <v>1.4326015788016031E-3</v>
      </c>
      <c r="AK22" s="62">
        <v>0</v>
      </c>
      <c r="AL22" s="62">
        <v>360000</v>
      </c>
      <c r="AM22" s="62">
        <v>0</v>
      </c>
      <c r="AN22" s="62">
        <f>85700+76000+76000+76000+10000</f>
        <v>323700</v>
      </c>
      <c r="AO22" s="62">
        <v>0</v>
      </c>
      <c r="AP22" s="62">
        <v>0</v>
      </c>
      <c r="AQ22" s="62">
        <v>0</v>
      </c>
      <c r="AR22" s="62">
        <v>0</v>
      </c>
      <c r="AS22" s="62">
        <v>0</v>
      </c>
      <c r="AT22" s="62">
        <f>73600</f>
        <v>73600</v>
      </c>
      <c r="AU22" s="62">
        <f>127441+66500</f>
        <v>193941</v>
      </c>
      <c r="AV22" s="62">
        <v>44100</v>
      </c>
      <c r="AW22" s="190">
        <f t="shared" si="18"/>
        <v>995341</v>
      </c>
      <c r="AX22" s="197">
        <f t="shared" si="40"/>
        <v>1.3721575379305009E-2</v>
      </c>
      <c r="AY22" s="62">
        <v>0</v>
      </c>
      <c r="AZ22" s="62">
        <v>0</v>
      </c>
      <c r="BA22" s="62">
        <v>0</v>
      </c>
      <c r="BB22" s="62">
        <v>0</v>
      </c>
      <c r="BC22" s="62">
        <v>0</v>
      </c>
      <c r="BD22" s="62">
        <v>0</v>
      </c>
      <c r="BE22" s="62">
        <v>0</v>
      </c>
      <c r="BF22" s="62">
        <v>0</v>
      </c>
      <c r="BG22" s="62">
        <v>1266760</v>
      </c>
      <c r="BH22" s="62">
        <v>0</v>
      </c>
      <c r="BI22" s="62">
        <v>0</v>
      </c>
      <c r="BJ22" s="62">
        <v>0</v>
      </c>
      <c r="BK22" s="190">
        <f t="shared" si="19"/>
        <v>1266760</v>
      </c>
      <c r="BL22" s="197">
        <f t="shared" si="41"/>
        <v>1.6249664298119075E-2</v>
      </c>
      <c r="BM22" s="62">
        <v>0</v>
      </c>
      <c r="BN22" s="62">
        <f>221780+16400+74991+40309+61949</f>
        <v>415429</v>
      </c>
      <c r="BO22" s="62">
        <v>0</v>
      </c>
      <c r="BP22" s="62">
        <v>0</v>
      </c>
      <c r="BQ22" s="62">
        <v>0</v>
      </c>
      <c r="BR22" s="62">
        <v>0</v>
      </c>
      <c r="BS22" s="62">
        <v>0</v>
      </c>
      <c r="BT22" s="62">
        <v>0</v>
      </c>
      <c r="BU22" s="62">
        <v>0</v>
      </c>
      <c r="BV22" s="62">
        <v>0</v>
      </c>
      <c r="BW22" s="62">
        <v>0</v>
      </c>
      <c r="BX22" s="62">
        <v>0</v>
      </c>
      <c r="BY22" s="190">
        <f t="shared" si="20"/>
        <v>415429</v>
      </c>
      <c r="BZ22" s="197">
        <f t="shared" si="42"/>
        <v>7.1285790403073099E-3</v>
      </c>
      <c r="CA22" s="62">
        <v>0</v>
      </c>
      <c r="CB22" s="62">
        <v>0</v>
      </c>
      <c r="CC22" s="62">
        <v>0</v>
      </c>
      <c r="CD22" s="62">
        <v>0</v>
      </c>
      <c r="CE22" s="62">
        <v>0</v>
      </c>
      <c r="CF22" s="62">
        <v>0</v>
      </c>
      <c r="CG22" s="62">
        <v>0</v>
      </c>
      <c r="CH22" s="62">
        <v>0</v>
      </c>
      <c r="CI22" s="62">
        <v>0</v>
      </c>
      <c r="CJ22" s="62">
        <v>0</v>
      </c>
      <c r="CK22" s="62">
        <v>0</v>
      </c>
      <c r="CL22" s="62">
        <v>0</v>
      </c>
      <c r="CM22" s="190">
        <f t="shared" si="21"/>
        <v>0</v>
      </c>
      <c r="CN22" s="62">
        <v>0</v>
      </c>
      <c r="CO22" s="62">
        <v>0</v>
      </c>
      <c r="CP22" s="62">
        <v>0</v>
      </c>
      <c r="CQ22" s="62">
        <v>0</v>
      </c>
      <c r="CR22" s="62">
        <v>0</v>
      </c>
      <c r="CS22" s="62">
        <v>0</v>
      </c>
      <c r="CT22" s="62">
        <v>0</v>
      </c>
      <c r="CU22" s="62">
        <v>0</v>
      </c>
      <c r="CV22" s="62">
        <v>0</v>
      </c>
      <c r="CW22" s="62">
        <v>0</v>
      </c>
      <c r="CX22" s="62">
        <v>0</v>
      </c>
      <c r="CY22" s="62">
        <v>0</v>
      </c>
      <c r="CZ22" s="190">
        <f t="shared" si="22"/>
        <v>0</v>
      </c>
      <c r="DA22" s="62">
        <v>0</v>
      </c>
      <c r="DB22" s="62">
        <v>0</v>
      </c>
      <c r="DC22" s="62">
        <v>0</v>
      </c>
      <c r="DD22" s="62">
        <v>0</v>
      </c>
      <c r="DE22" s="62">
        <v>0</v>
      </c>
      <c r="DF22" s="62">
        <v>0</v>
      </c>
      <c r="DG22" s="62">
        <v>0</v>
      </c>
      <c r="DH22" s="62">
        <v>0</v>
      </c>
      <c r="DI22" s="62">
        <v>0</v>
      </c>
      <c r="DJ22" s="62">
        <v>0</v>
      </c>
      <c r="DK22" s="62">
        <v>0</v>
      </c>
      <c r="DL22" s="62">
        <v>0</v>
      </c>
      <c r="DM22" s="190">
        <f t="shared" si="23"/>
        <v>0</v>
      </c>
      <c r="DN22" s="62">
        <v>0</v>
      </c>
      <c r="DO22" s="62">
        <v>0</v>
      </c>
      <c r="DP22" s="62">
        <v>0</v>
      </c>
      <c r="DQ22" s="62">
        <v>0</v>
      </c>
      <c r="DR22" s="62">
        <v>0</v>
      </c>
      <c r="DS22" s="62">
        <v>0</v>
      </c>
      <c r="DT22" s="62">
        <v>0</v>
      </c>
      <c r="DU22" s="62">
        <v>0</v>
      </c>
      <c r="DV22" s="62">
        <v>0</v>
      </c>
      <c r="DW22" s="62">
        <v>0</v>
      </c>
      <c r="DX22" s="62">
        <v>0</v>
      </c>
      <c r="DY22" s="62">
        <v>0</v>
      </c>
      <c r="DZ22" s="190">
        <f t="shared" si="24"/>
        <v>0</v>
      </c>
    </row>
    <row r="23" spans="1:130" ht="20.45" customHeight="1" outlineLevel="1">
      <c r="A23" s="650"/>
      <c r="B23" s="640" t="s">
        <v>2603</v>
      </c>
      <c r="C23" s="641"/>
      <c r="D23" s="62">
        <f t="shared" si="0"/>
        <v>1538068.0000000002</v>
      </c>
      <c r="E23" s="184">
        <f t="shared" ref="E23" si="140">D23/D$4</f>
        <v>4.2863877714373359E-3</v>
      </c>
      <c r="F23" s="62">
        <v>0</v>
      </c>
      <c r="G23" s="190">
        <f t="shared" ref="G23" si="141">SUM(F23)</f>
        <v>0</v>
      </c>
      <c r="H23" s="197">
        <f t="shared" ref="H23" si="142">G23/G$4</f>
        <v>0</v>
      </c>
      <c r="I23" s="62">
        <v>0</v>
      </c>
      <c r="J23" s="62">
        <v>0</v>
      </c>
      <c r="K23" s="62">
        <v>0</v>
      </c>
      <c r="L23" s="62">
        <v>0</v>
      </c>
      <c r="M23" s="62">
        <v>0</v>
      </c>
      <c r="N23" s="62">
        <v>0</v>
      </c>
      <c r="O23" s="62">
        <v>0</v>
      </c>
      <c r="P23" s="62">
        <v>0</v>
      </c>
      <c r="Q23" s="62">
        <v>0</v>
      </c>
      <c r="R23" s="62">
        <v>0</v>
      </c>
      <c r="S23" s="62">
        <v>0</v>
      </c>
      <c r="T23" s="62">
        <v>0</v>
      </c>
      <c r="U23" s="190">
        <f t="shared" ref="U23" si="143">SUM(I23:T23)</f>
        <v>0</v>
      </c>
      <c r="V23" s="197">
        <f t="shared" si="38"/>
        <v>0</v>
      </c>
      <c r="W23" s="62">
        <v>0</v>
      </c>
      <c r="X23" s="62">
        <v>0</v>
      </c>
      <c r="Y23" s="62">
        <v>0</v>
      </c>
      <c r="Z23" s="62">
        <v>0</v>
      </c>
      <c r="AA23" s="62">
        <v>0</v>
      </c>
      <c r="AB23" s="62">
        <v>1205592</v>
      </c>
      <c r="AC23" s="62">
        <v>0</v>
      </c>
      <c r="AD23" s="62">
        <v>0</v>
      </c>
      <c r="AE23" s="62">
        <v>0</v>
      </c>
      <c r="AF23" s="62">
        <v>0</v>
      </c>
      <c r="AG23" s="62">
        <v>0</v>
      </c>
      <c r="AH23" s="62">
        <v>0</v>
      </c>
      <c r="AI23" s="190">
        <f t="shared" ref="AI23" si="144">SUM(W23:AH23)</f>
        <v>1205592</v>
      </c>
      <c r="AJ23" s="197">
        <f t="shared" si="39"/>
        <v>1.4064600998294645E-2</v>
      </c>
      <c r="AK23" s="62">
        <v>0</v>
      </c>
      <c r="AL23" s="62">
        <v>0</v>
      </c>
      <c r="AM23" s="62">
        <v>0</v>
      </c>
      <c r="AN23" s="62">
        <v>0</v>
      </c>
      <c r="AO23" s="62">
        <v>0</v>
      </c>
      <c r="AP23" s="62">
        <v>0</v>
      </c>
      <c r="AQ23" s="62">
        <v>0</v>
      </c>
      <c r="AR23" s="62">
        <v>0</v>
      </c>
      <c r="AS23" s="62">
        <v>0</v>
      </c>
      <c r="AT23" s="62">
        <v>0</v>
      </c>
      <c r="AU23" s="62">
        <v>295100</v>
      </c>
      <c r="AV23" s="62">
        <v>0</v>
      </c>
      <c r="AW23" s="190">
        <f t="shared" ref="AW23" si="145">SUM(AK23:AV23)</f>
        <v>295100</v>
      </c>
      <c r="AX23" s="197">
        <f t="shared" si="40"/>
        <v>4.0681905944122748E-3</v>
      </c>
      <c r="AY23" s="62">
        <v>0</v>
      </c>
      <c r="AZ23" s="62">
        <v>0</v>
      </c>
      <c r="BA23" s="62">
        <v>0</v>
      </c>
      <c r="BB23" s="62">
        <v>0</v>
      </c>
      <c r="BC23" s="62">
        <v>37376</v>
      </c>
      <c r="BD23" s="62">
        <v>0</v>
      </c>
      <c r="BE23" s="62">
        <v>0</v>
      </c>
      <c r="BF23" s="62">
        <v>0</v>
      </c>
      <c r="BG23" s="62">
        <v>0</v>
      </c>
      <c r="BH23" s="62">
        <v>0</v>
      </c>
      <c r="BI23" s="62">
        <v>0</v>
      </c>
      <c r="BJ23" s="62">
        <v>0</v>
      </c>
      <c r="BK23" s="190">
        <f t="shared" ref="BK23" si="146">SUM(AY23:BJ23)</f>
        <v>37376</v>
      </c>
      <c r="BL23" s="197">
        <f t="shared" si="41"/>
        <v>4.7944950330488687E-4</v>
      </c>
      <c r="BM23" s="62">
        <v>0</v>
      </c>
      <c r="BN23" s="62">
        <v>0</v>
      </c>
      <c r="BO23" s="62">
        <v>0</v>
      </c>
      <c r="BP23" s="62">
        <v>0</v>
      </c>
      <c r="BQ23" s="62">
        <v>0</v>
      </c>
      <c r="BR23" s="62">
        <v>0</v>
      </c>
      <c r="BS23" s="62">
        <v>0</v>
      </c>
      <c r="BT23" s="62">
        <v>0</v>
      </c>
      <c r="BU23" s="62">
        <v>0</v>
      </c>
      <c r="BV23" s="62">
        <v>0</v>
      </c>
      <c r="BW23" s="62">
        <v>0</v>
      </c>
      <c r="BX23" s="62">
        <v>0</v>
      </c>
      <c r="BY23" s="190">
        <f t="shared" ref="BY23" si="147">SUM(BM23:BX23)</f>
        <v>0</v>
      </c>
      <c r="BZ23" s="197">
        <f t="shared" si="42"/>
        <v>0</v>
      </c>
      <c r="CA23" s="62">
        <v>0</v>
      </c>
      <c r="CB23" s="62">
        <v>0</v>
      </c>
      <c r="CC23" s="62">
        <v>0</v>
      </c>
      <c r="CD23" s="62">
        <v>0</v>
      </c>
      <c r="CE23" s="62">
        <v>0</v>
      </c>
      <c r="CF23" s="62">
        <v>0</v>
      </c>
      <c r="CG23" s="62">
        <v>0</v>
      </c>
      <c r="CH23" s="62">
        <v>0</v>
      </c>
      <c r="CI23" s="62">
        <v>0</v>
      </c>
      <c r="CJ23" s="62">
        <v>0</v>
      </c>
      <c r="CK23" s="62">
        <v>0</v>
      </c>
      <c r="CL23" s="62">
        <v>0</v>
      </c>
      <c r="CM23" s="190">
        <f t="shared" ref="CM23" si="148">SUM(CA23:CL23)</f>
        <v>0</v>
      </c>
      <c r="CN23" s="62">
        <v>0</v>
      </c>
      <c r="CO23" s="62">
        <v>0</v>
      </c>
      <c r="CP23" s="62">
        <v>0</v>
      </c>
      <c r="CQ23" s="62">
        <v>0</v>
      </c>
      <c r="CR23" s="62">
        <v>0</v>
      </c>
      <c r="CS23" s="62">
        <v>0</v>
      </c>
      <c r="CT23" s="62">
        <v>0</v>
      </c>
      <c r="CU23" s="62">
        <v>0</v>
      </c>
      <c r="CV23" s="62">
        <v>0</v>
      </c>
      <c r="CW23" s="62">
        <v>0</v>
      </c>
      <c r="CX23" s="62">
        <v>0</v>
      </c>
      <c r="CY23" s="62">
        <v>0</v>
      </c>
      <c r="CZ23" s="190">
        <f t="shared" ref="CZ23" si="149">SUM(CN23:CY23)</f>
        <v>0</v>
      </c>
      <c r="DA23" s="62">
        <v>0</v>
      </c>
      <c r="DB23" s="62">
        <v>0</v>
      </c>
      <c r="DC23" s="62">
        <v>0</v>
      </c>
      <c r="DD23" s="62">
        <v>0</v>
      </c>
      <c r="DE23" s="62">
        <v>0</v>
      </c>
      <c r="DF23" s="62">
        <v>0</v>
      </c>
      <c r="DG23" s="62">
        <v>0</v>
      </c>
      <c r="DH23" s="62">
        <v>0</v>
      </c>
      <c r="DI23" s="62">
        <v>0</v>
      </c>
      <c r="DJ23" s="62">
        <v>0</v>
      </c>
      <c r="DK23" s="62">
        <v>0</v>
      </c>
      <c r="DL23" s="62">
        <v>0</v>
      </c>
      <c r="DM23" s="190">
        <f t="shared" ref="DM23" si="150">SUM(DA23:DL23)</f>
        <v>0</v>
      </c>
      <c r="DN23" s="62">
        <v>0</v>
      </c>
      <c r="DO23" s="62">
        <v>0</v>
      </c>
      <c r="DP23" s="62">
        <v>0</v>
      </c>
      <c r="DQ23" s="62">
        <v>0</v>
      </c>
      <c r="DR23" s="62">
        <v>0</v>
      </c>
      <c r="DS23" s="62">
        <v>0</v>
      </c>
      <c r="DT23" s="62">
        <v>0</v>
      </c>
      <c r="DU23" s="62">
        <v>0</v>
      </c>
      <c r="DV23" s="62">
        <v>0</v>
      </c>
      <c r="DW23" s="62">
        <v>0</v>
      </c>
      <c r="DX23" s="62">
        <v>0</v>
      </c>
      <c r="DY23" s="62">
        <v>0</v>
      </c>
      <c r="DZ23" s="190">
        <f t="shared" ref="DZ23" si="151">SUM(DN23:DY23)</f>
        <v>0</v>
      </c>
    </row>
    <row r="24" spans="1:130" ht="20.45" customHeight="1" outlineLevel="1">
      <c r="A24" s="649"/>
      <c r="B24" s="640" t="s">
        <v>2882</v>
      </c>
      <c r="C24" s="641"/>
      <c r="D24" s="62">
        <f t="shared" si="0"/>
        <v>3905259.9999999995</v>
      </c>
      <c r="E24" s="184">
        <f t="shared" si="35"/>
        <v>1.0883432142326194E-2</v>
      </c>
      <c r="F24" s="62">
        <v>0</v>
      </c>
      <c r="G24" s="190">
        <f t="shared" si="36"/>
        <v>0</v>
      </c>
      <c r="H24" s="197">
        <f t="shared" si="37"/>
        <v>0</v>
      </c>
      <c r="I24" s="62">
        <v>0</v>
      </c>
      <c r="J24" s="62">
        <v>0</v>
      </c>
      <c r="K24" s="62">
        <v>0</v>
      </c>
      <c r="L24" s="62">
        <v>0</v>
      </c>
      <c r="M24" s="62">
        <v>0</v>
      </c>
      <c r="N24" s="62">
        <v>0</v>
      </c>
      <c r="O24" s="62">
        <v>0</v>
      </c>
      <c r="P24" s="62">
        <v>0</v>
      </c>
      <c r="Q24" s="62">
        <v>0</v>
      </c>
      <c r="R24" s="62">
        <v>0</v>
      </c>
      <c r="S24" s="62">
        <v>0</v>
      </c>
      <c r="T24" s="62">
        <v>3905260</v>
      </c>
      <c r="U24" s="190">
        <f t="shared" si="16"/>
        <v>3905260</v>
      </c>
      <c r="V24" s="197">
        <f t="shared" si="38"/>
        <v>6.5132123683222048E-2</v>
      </c>
      <c r="W24" s="62">
        <v>0</v>
      </c>
      <c r="X24" s="62">
        <v>0</v>
      </c>
      <c r="Y24" s="62">
        <v>0</v>
      </c>
      <c r="Z24" s="62">
        <v>0</v>
      </c>
      <c r="AA24" s="62">
        <v>0</v>
      </c>
      <c r="AB24" s="62">
        <v>0</v>
      </c>
      <c r="AC24" s="62">
        <v>0</v>
      </c>
      <c r="AD24" s="62">
        <v>0</v>
      </c>
      <c r="AE24" s="62">
        <v>0</v>
      </c>
      <c r="AF24" s="62">
        <v>0</v>
      </c>
      <c r="AG24" s="62">
        <v>0</v>
      </c>
      <c r="AH24" s="62">
        <v>0</v>
      </c>
      <c r="AI24" s="190">
        <f t="shared" si="17"/>
        <v>0</v>
      </c>
      <c r="AJ24" s="197">
        <f t="shared" si="39"/>
        <v>0</v>
      </c>
      <c r="AK24" s="62">
        <v>0</v>
      </c>
      <c r="AL24" s="62">
        <v>0</v>
      </c>
      <c r="AM24" s="62">
        <v>0</v>
      </c>
      <c r="AN24" s="62">
        <v>0</v>
      </c>
      <c r="AO24" s="62">
        <v>0</v>
      </c>
      <c r="AP24" s="62">
        <v>0</v>
      </c>
      <c r="AQ24" s="62">
        <v>0</v>
      </c>
      <c r="AR24" s="62">
        <v>0</v>
      </c>
      <c r="AS24" s="62">
        <v>0</v>
      </c>
      <c r="AT24" s="62">
        <v>0</v>
      </c>
      <c r="AU24" s="62">
        <v>0</v>
      </c>
      <c r="AV24" s="62">
        <v>0</v>
      </c>
      <c r="AW24" s="190">
        <f t="shared" si="18"/>
        <v>0</v>
      </c>
      <c r="AX24" s="197">
        <f t="shared" si="40"/>
        <v>0</v>
      </c>
      <c r="AY24" s="62">
        <v>0</v>
      </c>
      <c r="AZ24" s="62">
        <v>0</v>
      </c>
      <c r="BA24" s="62">
        <v>0</v>
      </c>
      <c r="BB24" s="62">
        <v>0</v>
      </c>
      <c r="BC24" s="62">
        <v>0</v>
      </c>
      <c r="BD24" s="62">
        <v>0</v>
      </c>
      <c r="BE24" s="62">
        <v>0</v>
      </c>
      <c r="BF24" s="62">
        <v>0</v>
      </c>
      <c r="BG24" s="62">
        <v>0</v>
      </c>
      <c r="BH24" s="62">
        <v>0</v>
      </c>
      <c r="BI24" s="62">
        <v>0</v>
      </c>
      <c r="BJ24" s="62">
        <v>0</v>
      </c>
      <c r="BK24" s="190">
        <f t="shared" si="19"/>
        <v>0</v>
      </c>
      <c r="BL24" s="197">
        <f t="shared" si="41"/>
        <v>0</v>
      </c>
      <c r="BM24" s="62">
        <v>0</v>
      </c>
      <c r="BN24" s="62">
        <v>0</v>
      </c>
      <c r="BO24" s="62">
        <v>0</v>
      </c>
      <c r="BP24" s="62">
        <v>0</v>
      </c>
      <c r="BQ24" s="62">
        <v>0</v>
      </c>
      <c r="BR24" s="62">
        <v>0</v>
      </c>
      <c r="BS24" s="62">
        <v>0</v>
      </c>
      <c r="BT24" s="62">
        <v>0</v>
      </c>
      <c r="BU24" s="62">
        <v>0</v>
      </c>
      <c r="BV24" s="62">
        <v>0</v>
      </c>
      <c r="BW24" s="62">
        <v>0</v>
      </c>
      <c r="BX24" s="62">
        <v>0</v>
      </c>
      <c r="BY24" s="190">
        <f t="shared" si="20"/>
        <v>0</v>
      </c>
      <c r="BZ24" s="197">
        <f t="shared" si="42"/>
        <v>0</v>
      </c>
      <c r="CA24" s="62">
        <v>0</v>
      </c>
      <c r="CB24" s="62">
        <v>0</v>
      </c>
      <c r="CC24" s="62">
        <v>0</v>
      </c>
      <c r="CD24" s="62">
        <v>0</v>
      </c>
      <c r="CE24" s="62">
        <v>0</v>
      </c>
      <c r="CF24" s="62">
        <v>0</v>
      </c>
      <c r="CG24" s="62">
        <v>0</v>
      </c>
      <c r="CH24" s="62">
        <v>0</v>
      </c>
      <c r="CI24" s="62">
        <v>0</v>
      </c>
      <c r="CJ24" s="62">
        <v>0</v>
      </c>
      <c r="CK24" s="62">
        <v>0</v>
      </c>
      <c r="CL24" s="62">
        <v>0</v>
      </c>
      <c r="CM24" s="190">
        <f t="shared" si="21"/>
        <v>0</v>
      </c>
      <c r="CN24" s="62">
        <v>0</v>
      </c>
      <c r="CO24" s="62">
        <v>0</v>
      </c>
      <c r="CP24" s="62">
        <v>0</v>
      </c>
      <c r="CQ24" s="62">
        <v>0</v>
      </c>
      <c r="CR24" s="62">
        <v>0</v>
      </c>
      <c r="CS24" s="62">
        <v>0</v>
      </c>
      <c r="CT24" s="62">
        <v>0</v>
      </c>
      <c r="CU24" s="62">
        <v>0</v>
      </c>
      <c r="CV24" s="62">
        <v>0</v>
      </c>
      <c r="CW24" s="62">
        <v>0</v>
      </c>
      <c r="CX24" s="62">
        <v>0</v>
      </c>
      <c r="CY24" s="62">
        <v>0</v>
      </c>
      <c r="CZ24" s="190">
        <f t="shared" si="22"/>
        <v>0</v>
      </c>
      <c r="DA24" s="62">
        <v>0</v>
      </c>
      <c r="DB24" s="62">
        <v>0</v>
      </c>
      <c r="DC24" s="62">
        <v>0</v>
      </c>
      <c r="DD24" s="62">
        <v>0</v>
      </c>
      <c r="DE24" s="62">
        <v>0</v>
      </c>
      <c r="DF24" s="62">
        <v>0</v>
      </c>
      <c r="DG24" s="62">
        <v>0</v>
      </c>
      <c r="DH24" s="62">
        <v>0</v>
      </c>
      <c r="DI24" s="62">
        <v>0</v>
      </c>
      <c r="DJ24" s="62">
        <v>0</v>
      </c>
      <c r="DK24" s="62">
        <v>0</v>
      </c>
      <c r="DL24" s="62">
        <v>0</v>
      </c>
      <c r="DM24" s="190">
        <f t="shared" si="23"/>
        <v>0</v>
      </c>
      <c r="DN24" s="62">
        <v>0</v>
      </c>
      <c r="DO24" s="62">
        <v>0</v>
      </c>
      <c r="DP24" s="62">
        <v>0</v>
      </c>
      <c r="DQ24" s="62">
        <v>0</v>
      </c>
      <c r="DR24" s="62">
        <v>0</v>
      </c>
      <c r="DS24" s="62">
        <v>0</v>
      </c>
      <c r="DT24" s="62">
        <v>0</v>
      </c>
      <c r="DU24" s="62">
        <v>0</v>
      </c>
      <c r="DV24" s="62">
        <v>0</v>
      </c>
      <c r="DW24" s="62">
        <v>0</v>
      </c>
      <c r="DX24" s="62">
        <v>0</v>
      </c>
      <c r="DY24" s="62">
        <v>0</v>
      </c>
      <c r="DZ24" s="190">
        <f t="shared" si="24"/>
        <v>0</v>
      </c>
    </row>
    <row r="25" spans="1:130" s="194" customFormat="1" ht="20.45" customHeight="1">
      <c r="A25" s="662" t="s">
        <v>304</v>
      </c>
      <c r="B25" s="195"/>
      <c r="C25" s="63" t="s">
        <v>305</v>
      </c>
      <c r="D25" s="64">
        <f t="shared" si="0"/>
        <v>235972937.00000003</v>
      </c>
      <c r="E25" s="186">
        <f>D25/(D$5+D$6+D$7+D$8+D$10+D$9)</f>
        <v>0.73010106348538206</v>
      </c>
      <c r="F25" s="62">
        <f>SUMIF($C26:$C144,"소계",F26:F144)</f>
        <v>3461494</v>
      </c>
      <c r="G25" s="193">
        <f t="shared" si="36"/>
        <v>3461494</v>
      </c>
      <c r="H25" s="196">
        <f>G25/(G$5+G$6+G$7+G$8+G$10+G$9)</f>
        <v>0.79067362128689411</v>
      </c>
      <c r="I25" s="192">
        <f t="shared" ref="I25:T25" si="152">SUMIF($C26:$C144,"소계",I26:I144)</f>
        <v>3669200</v>
      </c>
      <c r="J25" s="192">
        <f t="shared" si="152"/>
        <v>2597682</v>
      </c>
      <c r="K25" s="192">
        <f t="shared" si="152"/>
        <v>2421907</v>
      </c>
      <c r="L25" s="192">
        <f t="shared" si="152"/>
        <v>3828320</v>
      </c>
      <c r="M25" s="192">
        <f t="shared" si="152"/>
        <v>2982830</v>
      </c>
      <c r="N25" s="192">
        <f t="shared" si="152"/>
        <v>3227359</v>
      </c>
      <c r="O25" s="192">
        <f t="shared" si="152"/>
        <v>5637210</v>
      </c>
      <c r="P25" s="192">
        <f t="shared" si="152"/>
        <v>3555976</v>
      </c>
      <c r="Q25" s="192">
        <f t="shared" si="152"/>
        <v>4223367</v>
      </c>
      <c r="R25" s="192">
        <f t="shared" si="152"/>
        <v>2931428</v>
      </c>
      <c r="S25" s="192">
        <f t="shared" si="152"/>
        <v>4015698</v>
      </c>
      <c r="T25" s="192">
        <f t="shared" si="152"/>
        <v>9611685</v>
      </c>
      <c r="U25" s="193">
        <f t="shared" si="16"/>
        <v>48702662</v>
      </c>
      <c r="V25" s="196">
        <f>U25/(U$5+U$6+U$7+U$8+U$10+U$9)</f>
        <v>0.87784182828993307</v>
      </c>
      <c r="W25" s="192">
        <f t="shared" ref="W25:AH25" si="153">SUMIF($C26:$C144,"소계",W26:W144)</f>
        <v>4000866</v>
      </c>
      <c r="X25" s="192">
        <f t="shared" si="153"/>
        <v>2643626</v>
      </c>
      <c r="Y25" s="192">
        <f t="shared" si="153"/>
        <v>5201100</v>
      </c>
      <c r="Z25" s="192">
        <f t="shared" si="153"/>
        <v>3142366</v>
      </c>
      <c r="AA25" s="192">
        <f t="shared" si="153"/>
        <v>3945818</v>
      </c>
      <c r="AB25" s="192">
        <f t="shared" si="153"/>
        <v>5884591</v>
      </c>
      <c r="AC25" s="192">
        <f t="shared" si="153"/>
        <v>13255671</v>
      </c>
      <c r="AD25" s="192">
        <f t="shared" si="153"/>
        <v>4767020</v>
      </c>
      <c r="AE25" s="192">
        <f t="shared" si="153"/>
        <v>4525581</v>
      </c>
      <c r="AF25" s="192">
        <f t="shared" si="153"/>
        <v>2675276</v>
      </c>
      <c r="AG25" s="192">
        <f t="shared" si="153"/>
        <v>4168771</v>
      </c>
      <c r="AH25" s="192">
        <f t="shared" si="153"/>
        <v>9159861</v>
      </c>
      <c r="AI25" s="193">
        <f t="shared" si="17"/>
        <v>63370547</v>
      </c>
      <c r="AJ25" s="196">
        <f>AI25/(AI$5+AI$6+AI$7+AI$8+AI$10+AI$9)</f>
        <v>0.86126209456644121</v>
      </c>
      <c r="AK25" s="192">
        <f t="shared" ref="AK25:AV25" si="154">SUMIF($C26:$C144,"소계",AK26:AK144)</f>
        <v>4220540</v>
      </c>
      <c r="AL25" s="192">
        <f t="shared" si="154"/>
        <v>3793666</v>
      </c>
      <c r="AM25" s="192">
        <f t="shared" si="154"/>
        <v>2964161</v>
      </c>
      <c r="AN25" s="192">
        <f t="shared" si="154"/>
        <v>4803374</v>
      </c>
      <c r="AO25" s="192">
        <f t="shared" si="154"/>
        <v>3859341</v>
      </c>
      <c r="AP25" s="192">
        <f t="shared" si="154"/>
        <v>5651241</v>
      </c>
      <c r="AQ25" s="192">
        <f t="shared" si="154"/>
        <v>4523891</v>
      </c>
      <c r="AR25" s="192">
        <f t="shared" si="154"/>
        <v>5702027</v>
      </c>
      <c r="AS25" s="192">
        <f t="shared" si="154"/>
        <v>3293851</v>
      </c>
      <c r="AT25" s="192">
        <f t="shared" si="154"/>
        <v>3812279</v>
      </c>
      <c r="AU25" s="192">
        <f t="shared" si="154"/>
        <v>5009047</v>
      </c>
      <c r="AV25" s="192">
        <f t="shared" si="154"/>
        <v>5637811</v>
      </c>
      <c r="AW25" s="193">
        <f t="shared" si="18"/>
        <v>53271229</v>
      </c>
      <c r="AX25" s="196">
        <f>AW25/(AW$5+AW$6+AW$7+AW$8+AW$10+AW$9)</f>
        <v>0.69829713678431327</v>
      </c>
      <c r="AY25" s="192">
        <f t="shared" ref="AY25:BJ25" si="155">SUMIF($C26:$C144,"소계",AY26:AY144)</f>
        <v>3028666</v>
      </c>
      <c r="AZ25" s="192">
        <f t="shared" si="155"/>
        <v>3590056</v>
      </c>
      <c r="BA25" s="192">
        <f t="shared" si="155"/>
        <v>3209305</v>
      </c>
      <c r="BB25" s="192">
        <f t="shared" si="155"/>
        <v>5155221</v>
      </c>
      <c r="BC25" s="192">
        <f t="shared" si="155"/>
        <v>3203791</v>
      </c>
      <c r="BD25" s="192">
        <f t="shared" si="155"/>
        <v>4896278</v>
      </c>
      <c r="BE25" s="192">
        <f t="shared" si="155"/>
        <v>1328548</v>
      </c>
      <c r="BF25" s="192">
        <f t="shared" si="155"/>
        <v>4553406</v>
      </c>
      <c r="BG25" s="192">
        <f t="shared" si="155"/>
        <v>4670290</v>
      </c>
      <c r="BH25" s="192">
        <f t="shared" si="155"/>
        <v>4654605</v>
      </c>
      <c r="BI25" s="192">
        <f t="shared" si="155"/>
        <v>4292333</v>
      </c>
      <c r="BJ25" s="192">
        <f t="shared" si="155"/>
        <v>5635303</v>
      </c>
      <c r="BK25" s="193">
        <f t="shared" si="19"/>
        <v>48217802</v>
      </c>
      <c r="BL25" s="196">
        <f>BK25/(BK$5+BK$6+BK$7+BK$8+BK$10+BK$9)</f>
        <v>0.69041347686684384</v>
      </c>
      <c r="BM25" s="192">
        <f t="shared" ref="BM25:BX25" si="156">SUMIF($C26:$C144,"소계",BM26:BM144)</f>
        <v>5322039</v>
      </c>
      <c r="BN25" s="192">
        <f t="shared" si="156"/>
        <v>3438719</v>
      </c>
      <c r="BO25" s="192">
        <f t="shared" si="156"/>
        <v>3394539</v>
      </c>
      <c r="BP25" s="192">
        <f t="shared" si="156"/>
        <v>4196444</v>
      </c>
      <c r="BQ25" s="192">
        <f t="shared" si="156"/>
        <v>2597462</v>
      </c>
      <c r="BR25" s="192">
        <f t="shared" si="156"/>
        <v>0</v>
      </c>
      <c r="BS25" s="192">
        <f t="shared" si="156"/>
        <v>0</v>
      </c>
      <c r="BT25" s="192">
        <f t="shared" si="156"/>
        <v>0</v>
      </c>
      <c r="BU25" s="192">
        <f t="shared" si="156"/>
        <v>0</v>
      </c>
      <c r="BV25" s="192">
        <f t="shared" si="156"/>
        <v>0</v>
      </c>
      <c r="BW25" s="192">
        <f t="shared" si="156"/>
        <v>0</v>
      </c>
      <c r="BX25" s="192">
        <f t="shared" si="156"/>
        <v>0</v>
      </c>
      <c r="BY25" s="193">
        <f t="shared" si="20"/>
        <v>18949203</v>
      </c>
      <c r="BZ25" s="196">
        <f>BY25/(BY$5+BY$6+BY$7+BY$8+BY$10+BY$9)</f>
        <v>0.43418763056250398</v>
      </c>
      <c r="CA25" s="192">
        <f t="shared" ref="CA25:CL25" si="157">SUMIF($C26:$C144,"소계",CA26:CA144)</f>
        <v>0</v>
      </c>
      <c r="CB25" s="192">
        <f t="shared" si="157"/>
        <v>0</v>
      </c>
      <c r="CC25" s="192">
        <f t="shared" si="157"/>
        <v>0</v>
      </c>
      <c r="CD25" s="192">
        <f t="shared" si="157"/>
        <v>0</v>
      </c>
      <c r="CE25" s="192">
        <f t="shared" si="157"/>
        <v>0</v>
      </c>
      <c r="CF25" s="192">
        <f t="shared" si="157"/>
        <v>0</v>
      </c>
      <c r="CG25" s="192">
        <f t="shared" si="157"/>
        <v>0</v>
      </c>
      <c r="CH25" s="192">
        <f t="shared" si="157"/>
        <v>0</v>
      </c>
      <c r="CI25" s="192">
        <f t="shared" si="157"/>
        <v>0</v>
      </c>
      <c r="CJ25" s="192">
        <f t="shared" si="157"/>
        <v>0</v>
      </c>
      <c r="CK25" s="192">
        <f t="shared" si="157"/>
        <v>0</v>
      </c>
      <c r="CL25" s="192">
        <f t="shared" si="157"/>
        <v>0</v>
      </c>
      <c r="CM25" s="193">
        <f t="shared" si="21"/>
        <v>0</v>
      </c>
      <c r="CN25" s="192">
        <f t="shared" ref="CN25:CY25" si="158">SUMIF($C26:$C144,"소계",CN26:CN144)</f>
        <v>0</v>
      </c>
      <c r="CO25" s="192">
        <f t="shared" si="158"/>
        <v>0</v>
      </c>
      <c r="CP25" s="192">
        <f t="shared" si="158"/>
        <v>0</v>
      </c>
      <c r="CQ25" s="192">
        <f t="shared" si="158"/>
        <v>0</v>
      </c>
      <c r="CR25" s="192">
        <f t="shared" si="158"/>
        <v>0</v>
      </c>
      <c r="CS25" s="192">
        <f t="shared" si="158"/>
        <v>0</v>
      </c>
      <c r="CT25" s="192">
        <f t="shared" si="158"/>
        <v>0</v>
      </c>
      <c r="CU25" s="192">
        <f t="shared" si="158"/>
        <v>0</v>
      </c>
      <c r="CV25" s="192">
        <f t="shared" si="158"/>
        <v>0</v>
      </c>
      <c r="CW25" s="192">
        <f t="shared" si="158"/>
        <v>0</v>
      </c>
      <c r="CX25" s="192">
        <f t="shared" si="158"/>
        <v>0</v>
      </c>
      <c r="CY25" s="192">
        <f t="shared" si="158"/>
        <v>0</v>
      </c>
      <c r="CZ25" s="193">
        <f t="shared" si="22"/>
        <v>0</v>
      </c>
      <c r="DA25" s="192">
        <f t="shared" ref="DA25:DL25" si="159">SUMIF($C26:$C144,"소계",DA26:DA144)</f>
        <v>0</v>
      </c>
      <c r="DB25" s="192">
        <f t="shared" si="159"/>
        <v>0</v>
      </c>
      <c r="DC25" s="192">
        <f t="shared" si="159"/>
        <v>0</v>
      </c>
      <c r="DD25" s="192">
        <f t="shared" si="159"/>
        <v>0</v>
      </c>
      <c r="DE25" s="192">
        <f t="shared" si="159"/>
        <v>0</v>
      </c>
      <c r="DF25" s="192">
        <f t="shared" si="159"/>
        <v>0</v>
      </c>
      <c r="DG25" s="192">
        <f t="shared" si="159"/>
        <v>0</v>
      </c>
      <c r="DH25" s="192">
        <f t="shared" si="159"/>
        <v>0</v>
      </c>
      <c r="DI25" s="192">
        <f t="shared" si="159"/>
        <v>0</v>
      </c>
      <c r="DJ25" s="192">
        <f t="shared" si="159"/>
        <v>0</v>
      </c>
      <c r="DK25" s="192">
        <f t="shared" si="159"/>
        <v>0</v>
      </c>
      <c r="DL25" s="192">
        <f t="shared" si="159"/>
        <v>0</v>
      </c>
      <c r="DM25" s="193">
        <f t="shared" si="23"/>
        <v>0</v>
      </c>
      <c r="DN25" s="192">
        <f t="shared" ref="DN25:DY25" si="160">SUMIF($C26:$C144,"소계",DN26:DN144)</f>
        <v>0</v>
      </c>
      <c r="DO25" s="192">
        <f t="shared" si="160"/>
        <v>0</v>
      </c>
      <c r="DP25" s="192">
        <f t="shared" si="160"/>
        <v>0</v>
      </c>
      <c r="DQ25" s="192">
        <f t="shared" si="160"/>
        <v>0</v>
      </c>
      <c r="DR25" s="192">
        <f t="shared" si="160"/>
        <v>0</v>
      </c>
      <c r="DS25" s="192">
        <f t="shared" si="160"/>
        <v>0</v>
      </c>
      <c r="DT25" s="192">
        <f t="shared" si="160"/>
        <v>0</v>
      </c>
      <c r="DU25" s="192">
        <f t="shared" si="160"/>
        <v>0</v>
      </c>
      <c r="DV25" s="192">
        <f t="shared" si="160"/>
        <v>0</v>
      </c>
      <c r="DW25" s="192">
        <f t="shared" si="160"/>
        <v>0</v>
      </c>
      <c r="DX25" s="192">
        <f t="shared" si="160"/>
        <v>0</v>
      </c>
      <c r="DY25" s="192">
        <f t="shared" si="160"/>
        <v>0</v>
      </c>
      <c r="DZ25" s="193">
        <f t="shared" si="24"/>
        <v>0</v>
      </c>
    </row>
    <row r="26" spans="1:130" s="194" customFormat="1" ht="20.45" customHeight="1" outlineLevel="1">
      <c r="A26" s="662"/>
      <c r="B26" s="635" t="s">
        <v>306</v>
      </c>
      <c r="C26" s="65" t="s">
        <v>307</v>
      </c>
      <c r="D26" s="66">
        <f t="shared" si="0"/>
        <v>21785387</v>
      </c>
      <c r="E26" s="187">
        <f t="shared" ref="E26:DX26" si="161">SUM(E27:E28)</f>
        <v>6.7404060903562907E-2</v>
      </c>
      <c r="F26" s="62">
        <f t="shared" si="161"/>
        <v>381000</v>
      </c>
      <c r="G26" s="190">
        <f t="shared" si="36"/>
        <v>381000</v>
      </c>
      <c r="H26" s="196">
        <f t="shared" ref="H26" si="162">SUM(H27:H28)</f>
        <v>8.7027927741693795E-2</v>
      </c>
      <c r="I26" s="62">
        <f t="shared" si="161"/>
        <v>370700</v>
      </c>
      <c r="J26" s="62">
        <f t="shared" si="161"/>
        <v>393000</v>
      </c>
      <c r="K26" s="62">
        <f t="shared" si="161"/>
        <v>379500</v>
      </c>
      <c r="L26" s="62">
        <f t="shared" si="161"/>
        <v>411000</v>
      </c>
      <c r="M26" s="62">
        <f t="shared" si="161"/>
        <v>356400</v>
      </c>
      <c r="N26" s="62">
        <f t="shared" si="161"/>
        <v>369000</v>
      </c>
      <c r="O26" s="62">
        <f t="shared" si="161"/>
        <v>363500</v>
      </c>
      <c r="P26" s="62">
        <f t="shared" si="161"/>
        <v>312500</v>
      </c>
      <c r="Q26" s="62">
        <f t="shared" si="161"/>
        <v>412500</v>
      </c>
      <c r="R26" s="62">
        <f t="shared" si="161"/>
        <v>369000</v>
      </c>
      <c r="S26" s="62">
        <f t="shared" si="161"/>
        <v>432000</v>
      </c>
      <c r="T26" s="62">
        <f t="shared" si="161"/>
        <v>377000</v>
      </c>
      <c r="U26" s="190">
        <f t="shared" si="16"/>
        <v>4546100</v>
      </c>
      <c r="V26" s="196">
        <f t="shared" ref="V26" si="163">SUM(V27:V28)</f>
        <v>8.1941244517370823E-2</v>
      </c>
      <c r="W26" s="62">
        <f t="shared" si="161"/>
        <v>359500</v>
      </c>
      <c r="X26" s="62">
        <f t="shared" si="161"/>
        <v>368350</v>
      </c>
      <c r="Y26" s="62">
        <f t="shared" si="161"/>
        <v>793707</v>
      </c>
      <c r="Z26" s="62">
        <f t="shared" si="161"/>
        <v>443000</v>
      </c>
      <c r="AA26" s="62">
        <f t="shared" si="161"/>
        <v>364760</v>
      </c>
      <c r="AB26" s="62">
        <f t="shared" si="161"/>
        <v>377640</v>
      </c>
      <c r="AC26" s="62">
        <f t="shared" ref="AC26:AF26" si="164">SUM(AC27:AC28)</f>
        <v>414000</v>
      </c>
      <c r="AD26" s="62">
        <f t="shared" si="164"/>
        <v>401000</v>
      </c>
      <c r="AE26" s="62">
        <f t="shared" si="164"/>
        <v>394000</v>
      </c>
      <c r="AF26" s="62">
        <f t="shared" si="164"/>
        <v>436000</v>
      </c>
      <c r="AG26" s="62">
        <f t="shared" si="161"/>
        <v>408000</v>
      </c>
      <c r="AH26" s="62">
        <f t="shared" si="161"/>
        <v>415000</v>
      </c>
      <c r="AI26" s="190">
        <f t="shared" si="17"/>
        <v>5174957</v>
      </c>
      <c r="AJ26" s="196">
        <f t="shared" ref="AJ26" si="165">SUM(AJ27:AJ28)</f>
        <v>7.0332268160968645E-2</v>
      </c>
      <c r="AK26" s="62">
        <f t="shared" ref="AK26:AV26" si="166">SUM(AK27:AK28)</f>
        <v>436000</v>
      </c>
      <c r="AL26" s="62">
        <f t="shared" si="166"/>
        <v>422000</v>
      </c>
      <c r="AM26" s="62">
        <f t="shared" si="166"/>
        <v>422000</v>
      </c>
      <c r="AN26" s="62">
        <f t="shared" si="166"/>
        <v>418000</v>
      </c>
      <c r="AO26" s="62">
        <f t="shared" si="166"/>
        <v>414000</v>
      </c>
      <c r="AP26" s="62">
        <f t="shared" si="166"/>
        <v>436000</v>
      </c>
      <c r="AQ26" s="62">
        <f t="shared" si="166"/>
        <v>435000</v>
      </c>
      <c r="AR26" s="62">
        <f t="shared" si="166"/>
        <v>439000</v>
      </c>
      <c r="AS26" s="62">
        <f t="shared" si="166"/>
        <v>436000</v>
      </c>
      <c r="AT26" s="62">
        <f t="shared" si="166"/>
        <v>605000</v>
      </c>
      <c r="AU26" s="62">
        <f t="shared" si="166"/>
        <v>253000</v>
      </c>
      <c r="AV26" s="62">
        <f t="shared" si="166"/>
        <v>399500</v>
      </c>
      <c r="AW26" s="190">
        <f t="shared" si="18"/>
        <v>5115500</v>
      </c>
      <c r="AX26" s="196">
        <f t="shared" ref="AX26" si="167">SUM(AX27:AX28)</f>
        <v>6.7055689727379006E-2</v>
      </c>
      <c r="AY26" s="62">
        <f t="shared" ref="AY26:BJ26" si="168">SUM(AY27:AY28)</f>
        <v>425000</v>
      </c>
      <c r="AZ26" s="62">
        <f t="shared" si="168"/>
        <v>396200</v>
      </c>
      <c r="BA26" s="62">
        <f t="shared" si="168"/>
        <v>367200</v>
      </c>
      <c r="BB26" s="62">
        <f t="shared" si="168"/>
        <v>408000</v>
      </c>
      <c r="BC26" s="62">
        <f t="shared" si="168"/>
        <v>376000</v>
      </c>
      <c r="BD26" s="62">
        <f t="shared" si="168"/>
        <v>316730</v>
      </c>
      <c r="BE26" s="62">
        <f t="shared" si="168"/>
        <v>0</v>
      </c>
      <c r="BF26" s="62">
        <f t="shared" si="168"/>
        <v>821600</v>
      </c>
      <c r="BG26" s="62">
        <f t="shared" si="168"/>
        <v>450000</v>
      </c>
      <c r="BH26" s="62">
        <f t="shared" si="168"/>
        <v>288900</v>
      </c>
      <c r="BI26" s="62">
        <f t="shared" si="168"/>
        <v>422000</v>
      </c>
      <c r="BJ26" s="62">
        <f t="shared" si="168"/>
        <v>394000</v>
      </c>
      <c r="BK26" s="190">
        <f t="shared" si="19"/>
        <v>4665630</v>
      </c>
      <c r="BL26" s="196">
        <f t="shared" ref="BL26" si="169">SUM(BL27:BL28)</f>
        <v>6.680548877101973E-2</v>
      </c>
      <c r="BM26" s="62">
        <f t="shared" ref="BM26:BX26" si="170">SUM(BM27:BM28)</f>
        <v>422000</v>
      </c>
      <c r="BN26" s="62">
        <f t="shared" si="170"/>
        <v>362000</v>
      </c>
      <c r="BO26" s="62">
        <f t="shared" si="170"/>
        <v>401000</v>
      </c>
      <c r="BP26" s="62">
        <f t="shared" si="170"/>
        <v>371200</v>
      </c>
      <c r="BQ26" s="62">
        <f t="shared" si="170"/>
        <v>346000</v>
      </c>
      <c r="BR26" s="62">
        <f t="shared" si="170"/>
        <v>0</v>
      </c>
      <c r="BS26" s="62">
        <f t="shared" si="170"/>
        <v>0</v>
      </c>
      <c r="BT26" s="62">
        <f t="shared" si="170"/>
        <v>0</v>
      </c>
      <c r="BU26" s="62">
        <f t="shared" si="170"/>
        <v>0</v>
      </c>
      <c r="BV26" s="62">
        <f t="shared" si="170"/>
        <v>0</v>
      </c>
      <c r="BW26" s="62">
        <f t="shared" si="170"/>
        <v>0</v>
      </c>
      <c r="BX26" s="62">
        <f t="shared" si="170"/>
        <v>0</v>
      </c>
      <c r="BY26" s="190">
        <f t="shared" si="20"/>
        <v>1902200</v>
      </c>
      <c r="BZ26" s="196">
        <f t="shared" ref="BZ26" si="171">SUM(BZ27:BZ28)</f>
        <v>4.358556456733273E-2</v>
      </c>
      <c r="CA26" s="62">
        <f t="shared" ref="CA26:CL26" si="172">SUM(CA27:CA28)</f>
        <v>0</v>
      </c>
      <c r="CB26" s="62">
        <f t="shared" si="172"/>
        <v>0</v>
      </c>
      <c r="CC26" s="62">
        <f t="shared" si="172"/>
        <v>0</v>
      </c>
      <c r="CD26" s="62">
        <f t="shared" si="172"/>
        <v>0</v>
      </c>
      <c r="CE26" s="62">
        <f t="shared" si="172"/>
        <v>0</v>
      </c>
      <c r="CF26" s="62">
        <f t="shared" si="172"/>
        <v>0</v>
      </c>
      <c r="CG26" s="62">
        <f t="shared" si="172"/>
        <v>0</v>
      </c>
      <c r="CH26" s="62">
        <f t="shared" si="172"/>
        <v>0</v>
      </c>
      <c r="CI26" s="62">
        <f t="shared" si="172"/>
        <v>0</v>
      </c>
      <c r="CJ26" s="62">
        <f t="shared" si="172"/>
        <v>0</v>
      </c>
      <c r="CK26" s="62">
        <f t="shared" si="172"/>
        <v>0</v>
      </c>
      <c r="CL26" s="62">
        <f t="shared" si="172"/>
        <v>0</v>
      </c>
      <c r="CM26" s="190">
        <f t="shared" si="21"/>
        <v>0</v>
      </c>
      <c r="CN26" s="62">
        <f t="shared" ref="CN26:CY26" si="173">SUM(CN27:CN28)</f>
        <v>0</v>
      </c>
      <c r="CO26" s="62">
        <f t="shared" si="173"/>
        <v>0</v>
      </c>
      <c r="CP26" s="62">
        <f t="shared" si="173"/>
        <v>0</v>
      </c>
      <c r="CQ26" s="62">
        <f t="shared" si="173"/>
        <v>0</v>
      </c>
      <c r="CR26" s="62">
        <f t="shared" si="173"/>
        <v>0</v>
      </c>
      <c r="CS26" s="62">
        <f t="shared" si="173"/>
        <v>0</v>
      </c>
      <c r="CT26" s="62">
        <f t="shared" si="173"/>
        <v>0</v>
      </c>
      <c r="CU26" s="62">
        <f t="shared" si="173"/>
        <v>0</v>
      </c>
      <c r="CV26" s="62">
        <f t="shared" si="173"/>
        <v>0</v>
      </c>
      <c r="CW26" s="62">
        <f t="shared" si="173"/>
        <v>0</v>
      </c>
      <c r="CX26" s="62">
        <f t="shared" si="173"/>
        <v>0</v>
      </c>
      <c r="CY26" s="62">
        <f t="shared" si="173"/>
        <v>0</v>
      </c>
      <c r="CZ26" s="190">
        <f t="shared" si="22"/>
        <v>0</v>
      </c>
      <c r="DA26" s="62">
        <f t="shared" ref="DA26:DL26" si="174">SUM(DA27:DA28)</f>
        <v>0</v>
      </c>
      <c r="DB26" s="62">
        <f t="shared" si="174"/>
        <v>0</v>
      </c>
      <c r="DC26" s="62">
        <f t="shared" si="174"/>
        <v>0</v>
      </c>
      <c r="DD26" s="62">
        <f t="shared" si="174"/>
        <v>0</v>
      </c>
      <c r="DE26" s="62">
        <f t="shared" si="174"/>
        <v>0</v>
      </c>
      <c r="DF26" s="62">
        <f t="shared" si="174"/>
        <v>0</v>
      </c>
      <c r="DG26" s="62">
        <f t="shared" si="174"/>
        <v>0</v>
      </c>
      <c r="DH26" s="62">
        <f t="shared" si="174"/>
        <v>0</v>
      </c>
      <c r="DI26" s="62">
        <f t="shared" si="174"/>
        <v>0</v>
      </c>
      <c r="DJ26" s="62">
        <f t="shared" si="174"/>
        <v>0</v>
      </c>
      <c r="DK26" s="62">
        <f t="shared" si="174"/>
        <v>0</v>
      </c>
      <c r="DL26" s="62">
        <f t="shared" si="174"/>
        <v>0</v>
      </c>
      <c r="DM26" s="190">
        <f t="shared" si="23"/>
        <v>0</v>
      </c>
      <c r="DN26" s="62">
        <f t="shared" ref="DN26:DQ26" si="175">SUM(DN27:DN28)</f>
        <v>0</v>
      </c>
      <c r="DO26" s="62">
        <f t="shared" si="175"/>
        <v>0</v>
      </c>
      <c r="DP26" s="62">
        <f t="shared" si="175"/>
        <v>0</v>
      </c>
      <c r="DQ26" s="62">
        <f t="shared" si="175"/>
        <v>0</v>
      </c>
      <c r="DR26" s="62">
        <f t="shared" ref="DR26:DU26" si="176">SUM(DR27:DR28)</f>
        <v>0</v>
      </c>
      <c r="DS26" s="62">
        <f t="shared" si="176"/>
        <v>0</v>
      </c>
      <c r="DT26" s="62">
        <f t="shared" si="176"/>
        <v>0</v>
      </c>
      <c r="DU26" s="62">
        <f t="shared" si="176"/>
        <v>0</v>
      </c>
      <c r="DV26" s="62">
        <f t="shared" ref="DV26:DW26" si="177">SUM(DV27:DV28)</f>
        <v>0</v>
      </c>
      <c r="DW26" s="62">
        <f t="shared" si="177"/>
        <v>0</v>
      </c>
      <c r="DX26" s="62">
        <f t="shared" si="161"/>
        <v>0</v>
      </c>
      <c r="DY26" s="62">
        <f t="shared" ref="DY26" si="178">SUM(DY27:DY28)</f>
        <v>0</v>
      </c>
      <c r="DZ26" s="190">
        <f t="shared" si="24"/>
        <v>0</v>
      </c>
    </row>
    <row r="27" spans="1:130" ht="20.45" customHeight="1" outlineLevel="2">
      <c r="A27" s="662"/>
      <c r="B27" s="636"/>
      <c r="C27" s="30" t="s">
        <v>308</v>
      </c>
      <c r="D27" s="62">
        <f t="shared" si="0"/>
        <v>21737456.999999996</v>
      </c>
      <c r="E27" s="184">
        <f t="shared" ref="E27:E90" si="179">D27/(D$5+D$6+D$7+D$8+D$10+D$9)</f>
        <v>6.7255765321799416E-2</v>
      </c>
      <c r="F27" s="62">
        <v>381000</v>
      </c>
      <c r="G27" s="190">
        <f t="shared" si="36"/>
        <v>381000</v>
      </c>
      <c r="H27" s="197">
        <f>G27/(G$5+G$6+G$7+G$8+G$10+G$9)</f>
        <v>8.7027927741693795E-2</v>
      </c>
      <c r="I27" s="62">
        <v>368700</v>
      </c>
      <c r="J27" s="62">
        <v>393000</v>
      </c>
      <c r="K27" s="62">
        <v>379500</v>
      </c>
      <c r="L27" s="62">
        <v>411000</v>
      </c>
      <c r="M27" s="62">
        <v>356400</v>
      </c>
      <c r="N27" s="62">
        <v>369000</v>
      </c>
      <c r="O27" s="62">
        <v>363500</v>
      </c>
      <c r="P27" s="62">
        <v>312500</v>
      </c>
      <c r="Q27" s="62">
        <v>412500</v>
      </c>
      <c r="R27" s="62">
        <v>367000</v>
      </c>
      <c r="S27" s="62">
        <v>432000</v>
      </c>
      <c r="T27" s="62">
        <v>377000</v>
      </c>
      <c r="U27" s="190">
        <f t="shared" si="16"/>
        <v>4542100</v>
      </c>
      <c r="V27" s="197">
        <f>U27/(U$5+U$6+U$7+U$8+U$10+U$9)</f>
        <v>8.1869146460119668E-2</v>
      </c>
      <c r="W27" s="62">
        <v>359500</v>
      </c>
      <c r="X27" s="62">
        <v>363500</v>
      </c>
      <c r="Y27" s="62">
        <f>339500+444957</f>
        <v>784457</v>
      </c>
      <c r="Z27" s="62">
        <v>443000</v>
      </c>
      <c r="AA27" s="62">
        <v>360500</v>
      </c>
      <c r="AB27" s="62">
        <f>400000-45770</f>
        <v>354230</v>
      </c>
      <c r="AC27" s="62">
        <v>411840</v>
      </c>
      <c r="AD27" s="62">
        <v>401000</v>
      </c>
      <c r="AE27" s="62">
        <v>394000</v>
      </c>
      <c r="AF27" s="62">
        <v>436000</v>
      </c>
      <c r="AG27" s="62">
        <v>408000</v>
      </c>
      <c r="AH27" s="62">
        <v>415000</v>
      </c>
      <c r="AI27" s="190">
        <f t="shared" si="17"/>
        <v>5131027</v>
      </c>
      <c r="AJ27" s="197">
        <f>AI27/(AI$5+AI$6+AI$7+AI$8+AI$10+AI$9)</f>
        <v>6.9735220390269997E-2</v>
      </c>
      <c r="AK27" s="62">
        <v>436000</v>
      </c>
      <c r="AL27" s="62">
        <v>422000</v>
      </c>
      <c r="AM27" s="62">
        <v>422000</v>
      </c>
      <c r="AN27" s="62">
        <v>418000</v>
      </c>
      <c r="AO27" s="62">
        <v>414000</v>
      </c>
      <c r="AP27" s="62">
        <v>436000</v>
      </c>
      <c r="AQ27" s="62">
        <v>435000</v>
      </c>
      <c r="AR27" s="62">
        <v>439000</v>
      </c>
      <c r="AS27" s="62">
        <v>436000</v>
      </c>
      <c r="AT27" s="62">
        <f>436000+40000+129000</f>
        <v>605000</v>
      </c>
      <c r="AU27" s="62">
        <v>253000</v>
      </c>
      <c r="AV27" s="62">
        <v>399500</v>
      </c>
      <c r="AW27" s="190">
        <f t="shared" si="18"/>
        <v>5115500</v>
      </c>
      <c r="AX27" s="197">
        <f>AW27/(AW$5+AW$6+AW$7+AW$8+AW$10+AW$9)</f>
        <v>6.7055689727379006E-2</v>
      </c>
      <c r="AY27" s="62">
        <v>425000</v>
      </c>
      <c r="AZ27" s="62">
        <v>396200</v>
      </c>
      <c r="BA27" s="62">
        <v>367200</v>
      </c>
      <c r="BB27" s="62">
        <v>408000</v>
      </c>
      <c r="BC27" s="62">
        <f>376000</f>
        <v>376000</v>
      </c>
      <c r="BD27" s="62">
        <v>316730</v>
      </c>
      <c r="BE27" s="62">
        <v>0</v>
      </c>
      <c r="BF27" s="62">
        <f>900000-78400</f>
        <v>821600</v>
      </c>
      <c r="BG27" s="62">
        <v>450000</v>
      </c>
      <c r="BH27" s="62">
        <f>401000-112100</f>
        <v>288900</v>
      </c>
      <c r="BI27" s="62">
        <v>422000</v>
      </c>
      <c r="BJ27" s="62">
        <v>394000</v>
      </c>
      <c r="BK27" s="190">
        <f t="shared" si="19"/>
        <v>4665630</v>
      </c>
      <c r="BL27" s="197">
        <f>BK27/(BK$5+BK$6+BK$7+BK$8+BK$10+BK$9)</f>
        <v>6.680548877101973E-2</v>
      </c>
      <c r="BM27" s="62">
        <f>422000</f>
        <v>422000</v>
      </c>
      <c r="BN27" s="62">
        <v>362000</v>
      </c>
      <c r="BO27" s="62">
        <v>401000</v>
      </c>
      <c r="BP27" s="62">
        <f>370000+1200</f>
        <v>371200</v>
      </c>
      <c r="BQ27" s="62">
        <v>346000</v>
      </c>
      <c r="BR27" s="62">
        <v>0</v>
      </c>
      <c r="BS27" s="62">
        <v>0</v>
      </c>
      <c r="BT27" s="62">
        <v>0</v>
      </c>
      <c r="BU27" s="62">
        <v>0</v>
      </c>
      <c r="BV27" s="62">
        <v>0</v>
      </c>
      <c r="BW27" s="62">
        <v>0</v>
      </c>
      <c r="BX27" s="62">
        <v>0</v>
      </c>
      <c r="BY27" s="190">
        <f t="shared" si="20"/>
        <v>1902200</v>
      </c>
      <c r="BZ27" s="197">
        <f>BY27/(BY$5+BY$6+BY$7+BY$8+BY$10+BY$9)</f>
        <v>4.358556456733273E-2</v>
      </c>
      <c r="CA27" s="62">
        <v>0</v>
      </c>
      <c r="CB27" s="62">
        <v>0</v>
      </c>
      <c r="CC27" s="62">
        <v>0</v>
      </c>
      <c r="CD27" s="62">
        <v>0</v>
      </c>
      <c r="CE27" s="62">
        <v>0</v>
      </c>
      <c r="CF27" s="62">
        <v>0</v>
      </c>
      <c r="CG27" s="62">
        <v>0</v>
      </c>
      <c r="CH27" s="62">
        <v>0</v>
      </c>
      <c r="CI27" s="62">
        <v>0</v>
      </c>
      <c r="CJ27" s="62">
        <v>0</v>
      </c>
      <c r="CK27" s="62">
        <v>0</v>
      </c>
      <c r="CL27" s="62">
        <v>0</v>
      </c>
      <c r="CM27" s="190">
        <f t="shared" si="21"/>
        <v>0</v>
      </c>
      <c r="CN27" s="62">
        <v>0</v>
      </c>
      <c r="CO27" s="62">
        <v>0</v>
      </c>
      <c r="CP27" s="62">
        <v>0</v>
      </c>
      <c r="CQ27" s="62">
        <v>0</v>
      </c>
      <c r="CR27" s="62">
        <v>0</v>
      </c>
      <c r="CS27" s="62">
        <v>0</v>
      </c>
      <c r="CT27" s="62">
        <v>0</v>
      </c>
      <c r="CU27" s="62">
        <v>0</v>
      </c>
      <c r="CV27" s="62">
        <v>0</v>
      </c>
      <c r="CW27" s="62">
        <v>0</v>
      </c>
      <c r="CX27" s="62">
        <v>0</v>
      </c>
      <c r="CY27" s="62">
        <v>0</v>
      </c>
      <c r="CZ27" s="190">
        <f t="shared" si="22"/>
        <v>0</v>
      </c>
      <c r="DA27" s="62">
        <v>0</v>
      </c>
      <c r="DB27" s="62">
        <v>0</v>
      </c>
      <c r="DC27" s="62">
        <v>0</v>
      </c>
      <c r="DD27" s="62">
        <v>0</v>
      </c>
      <c r="DE27" s="62">
        <v>0</v>
      </c>
      <c r="DF27" s="62">
        <v>0</v>
      </c>
      <c r="DG27" s="62">
        <v>0</v>
      </c>
      <c r="DH27" s="62">
        <v>0</v>
      </c>
      <c r="DI27" s="62">
        <v>0</v>
      </c>
      <c r="DJ27" s="62">
        <v>0</v>
      </c>
      <c r="DK27" s="62">
        <v>0</v>
      </c>
      <c r="DL27" s="62">
        <v>0</v>
      </c>
      <c r="DM27" s="190">
        <f t="shared" si="23"/>
        <v>0</v>
      </c>
      <c r="DN27" s="62">
        <v>0</v>
      </c>
      <c r="DO27" s="62">
        <v>0</v>
      </c>
      <c r="DP27" s="62">
        <v>0</v>
      </c>
      <c r="DQ27" s="62">
        <v>0</v>
      </c>
      <c r="DR27" s="62">
        <v>0</v>
      </c>
      <c r="DS27" s="62">
        <v>0</v>
      </c>
      <c r="DT27" s="62">
        <v>0</v>
      </c>
      <c r="DU27" s="62">
        <v>0</v>
      </c>
      <c r="DV27" s="62">
        <v>0</v>
      </c>
      <c r="DW27" s="62">
        <v>0</v>
      </c>
      <c r="DX27" s="62">
        <v>0</v>
      </c>
      <c r="DY27" s="62">
        <v>0</v>
      </c>
      <c r="DZ27" s="190">
        <f t="shared" si="24"/>
        <v>0</v>
      </c>
    </row>
    <row r="28" spans="1:130" ht="20.45" customHeight="1" outlineLevel="2">
      <c r="A28" s="663"/>
      <c r="B28" s="637"/>
      <c r="C28" s="30" t="s">
        <v>2604</v>
      </c>
      <c r="D28" s="62">
        <f t="shared" si="0"/>
        <v>47929.999999999993</v>
      </c>
      <c r="E28" s="184">
        <f t="shared" si="179"/>
        <v>1.4829558176348992E-4</v>
      </c>
      <c r="F28" s="62">
        <v>0</v>
      </c>
      <c r="G28" s="190">
        <f t="shared" si="36"/>
        <v>0</v>
      </c>
      <c r="H28" s="197">
        <f>G28/(G$5+G$6+G$7+G$8+G$10+G$9)</f>
        <v>0</v>
      </c>
      <c r="I28" s="62">
        <v>2000</v>
      </c>
      <c r="J28" s="62">
        <v>0</v>
      </c>
      <c r="K28" s="62">
        <v>0</v>
      </c>
      <c r="L28" s="62">
        <v>0</v>
      </c>
      <c r="M28" s="62">
        <v>0</v>
      </c>
      <c r="N28" s="62">
        <v>0</v>
      </c>
      <c r="O28" s="62">
        <v>0</v>
      </c>
      <c r="P28" s="62">
        <v>0</v>
      </c>
      <c r="Q28" s="62">
        <v>0</v>
      </c>
      <c r="R28" s="62">
        <v>2000</v>
      </c>
      <c r="S28" s="62">
        <v>0</v>
      </c>
      <c r="T28" s="62">
        <v>0</v>
      </c>
      <c r="U28" s="190">
        <f t="shared" si="16"/>
        <v>4000</v>
      </c>
      <c r="V28" s="197">
        <f>U28/(U$5+U$6+U$7+U$8+U$10+U$9)</f>
        <v>7.2098057251156669E-5</v>
      </c>
      <c r="W28" s="62">
        <v>0</v>
      </c>
      <c r="X28" s="62">
        <v>4850</v>
      </c>
      <c r="Y28" s="62">
        <v>9250</v>
      </c>
      <c r="Z28" s="62">
        <v>0</v>
      </c>
      <c r="AA28" s="62">
        <v>4260</v>
      </c>
      <c r="AB28" s="62">
        <v>23410</v>
      </c>
      <c r="AC28" s="62">
        <v>2160</v>
      </c>
      <c r="AD28" s="62">
        <v>0</v>
      </c>
      <c r="AE28" s="62">
        <v>0</v>
      </c>
      <c r="AF28" s="62">
        <v>0</v>
      </c>
      <c r="AG28" s="62">
        <v>0</v>
      </c>
      <c r="AH28" s="62">
        <v>0</v>
      </c>
      <c r="AI28" s="190">
        <f t="shared" si="17"/>
        <v>43930</v>
      </c>
      <c r="AJ28" s="197">
        <f>AI28/(AI$5+AI$6+AI$7+AI$8+AI$10+AI$9)</f>
        <v>5.9704777069864593E-4</v>
      </c>
      <c r="AK28" s="62">
        <v>0</v>
      </c>
      <c r="AL28" s="62">
        <v>0</v>
      </c>
      <c r="AM28" s="62">
        <v>0</v>
      </c>
      <c r="AN28" s="62">
        <v>0</v>
      </c>
      <c r="AO28" s="62">
        <v>0</v>
      </c>
      <c r="AP28" s="62">
        <v>0</v>
      </c>
      <c r="AQ28" s="62">
        <v>0</v>
      </c>
      <c r="AR28" s="62">
        <v>0</v>
      </c>
      <c r="AS28" s="62">
        <v>0</v>
      </c>
      <c r="AT28" s="62">
        <v>0</v>
      </c>
      <c r="AU28" s="62">
        <v>0</v>
      </c>
      <c r="AV28" s="62">
        <v>0</v>
      </c>
      <c r="AW28" s="190">
        <f t="shared" si="18"/>
        <v>0</v>
      </c>
      <c r="AX28" s="197">
        <f>AW28/(AW$5+AW$6+AW$7+AW$8+AW$10+AW$9)</f>
        <v>0</v>
      </c>
      <c r="AY28" s="62">
        <v>0</v>
      </c>
      <c r="AZ28" s="62">
        <v>0</v>
      </c>
      <c r="BA28" s="62">
        <v>0</v>
      </c>
      <c r="BB28" s="62">
        <v>0</v>
      </c>
      <c r="BC28" s="62">
        <v>0</v>
      </c>
      <c r="BD28" s="62">
        <v>0</v>
      </c>
      <c r="BE28" s="62">
        <v>0</v>
      </c>
      <c r="BF28" s="62">
        <v>0</v>
      </c>
      <c r="BG28" s="62">
        <v>0</v>
      </c>
      <c r="BH28" s="62">
        <v>0</v>
      </c>
      <c r="BI28" s="62">
        <v>0</v>
      </c>
      <c r="BJ28" s="62">
        <v>0</v>
      </c>
      <c r="BK28" s="190">
        <f t="shared" si="19"/>
        <v>0</v>
      </c>
      <c r="BL28" s="197">
        <f>BK28/(BK$5+BK$6+BK$7+BK$8+BK$10+BK$9)</f>
        <v>0</v>
      </c>
      <c r="BM28" s="62">
        <v>0</v>
      </c>
      <c r="BN28" s="62">
        <v>0</v>
      </c>
      <c r="BO28" s="62">
        <v>0</v>
      </c>
      <c r="BP28" s="62">
        <v>0</v>
      </c>
      <c r="BQ28" s="62">
        <v>0</v>
      </c>
      <c r="BR28" s="62">
        <v>0</v>
      </c>
      <c r="BS28" s="62">
        <v>0</v>
      </c>
      <c r="BT28" s="62">
        <v>0</v>
      </c>
      <c r="BU28" s="62">
        <v>0</v>
      </c>
      <c r="BV28" s="62">
        <v>0</v>
      </c>
      <c r="BW28" s="62">
        <v>0</v>
      </c>
      <c r="BX28" s="62">
        <v>0</v>
      </c>
      <c r="BY28" s="190">
        <f t="shared" si="20"/>
        <v>0</v>
      </c>
      <c r="BZ28" s="197">
        <f>BY28/(BY$5+BY$6+BY$7+BY$8+BY$10+BY$9)</f>
        <v>0</v>
      </c>
      <c r="CA28" s="62">
        <v>0</v>
      </c>
      <c r="CB28" s="62">
        <v>0</v>
      </c>
      <c r="CC28" s="62">
        <v>0</v>
      </c>
      <c r="CD28" s="62">
        <v>0</v>
      </c>
      <c r="CE28" s="62">
        <v>0</v>
      </c>
      <c r="CF28" s="62">
        <v>0</v>
      </c>
      <c r="CG28" s="62">
        <v>0</v>
      </c>
      <c r="CH28" s="62">
        <v>0</v>
      </c>
      <c r="CI28" s="62">
        <v>0</v>
      </c>
      <c r="CJ28" s="62">
        <v>0</v>
      </c>
      <c r="CK28" s="62">
        <v>0</v>
      </c>
      <c r="CL28" s="62">
        <v>0</v>
      </c>
      <c r="CM28" s="190">
        <f t="shared" si="21"/>
        <v>0</v>
      </c>
      <c r="CN28" s="62">
        <v>0</v>
      </c>
      <c r="CO28" s="62">
        <v>0</v>
      </c>
      <c r="CP28" s="62">
        <v>0</v>
      </c>
      <c r="CQ28" s="62">
        <v>0</v>
      </c>
      <c r="CR28" s="62">
        <v>0</v>
      </c>
      <c r="CS28" s="62">
        <v>0</v>
      </c>
      <c r="CT28" s="62">
        <v>0</v>
      </c>
      <c r="CU28" s="62">
        <v>0</v>
      </c>
      <c r="CV28" s="62">
        <v>0</v>
      </c>
      <c r="CW28" s="62">
        <v>0</v>
      </c>
      <c r="CX28" s="62">
        <v>0</v>
      </c>
      <c r="CY28" s="62">
        <v>0</v>
      </c>
      <c r="CZ28" s="190">
        <f t="shared" si="22"/>
        <v>0</v>
      </c>
      <c r="DA28" s="62">
        <v>0</v>
      </c>
      <c r="DB28" s="62">
        <v>0</v>
      </c>
      <c r="DC28" s="62">
        <v>0</v>
      </c>
      <c r="DD28" s="62">
        <v>0</v>
      </c>
      <c r="DE28" s="62">
        <v>0</v>
      </c>
      <c r="DF28" s="62">
        <v>0</v>
      </c>
      <c r="DG28" s="62">
        <v>0</v>
      </c>
      <c r="DH28" s="62">
        <v>0</v>
      </c>
      <c r="DI28" s="62">
        <v>0</v>
      </c>
      <c r="DJ28" s="62">
        <v>0</v>
      </c>
      <c r="DK28" s="62">
        <v>0</v>
      </c>
      <c r="DL28" s="62">
        <v>0</v>
      </c>
      <c r="DM28" s="190">
        <f t="shared" si="23"/>
        <v>0</v>
      </c>
      <c r="DN28" s="62">
        <v>0</v>
      </c>
      <c r="DO28" s="62">
        <v>0</v>
      </c>
      <c r="DP28" s="62">
        <v>0</v>
      </c>
      <c r="DQ28" s="62">
        <v>0</v>
      </c>
      <c r="DR28" s="62">
        <v>0</v>
      </c>
      <c r="DS28" s="62">
        <v>0</v>
      </c>
      <c r="DT28" s="62">
        <v>0</v>
      </c>
      <c r="DU28" s="62">
        <v>0</v>
      </c>
      <c r="DV28" s="62">
        <v>0</v>
      </c>
      <c r="DW28" s="62">
        <v>0</v>
      </c>
      <c r="DX28" s="62">
        <v>0</v>
      </c>
      <c r="DY28" s="62">
        <v>0</v>
      </c>
      <c r="DZ28" s="190">
        <f t="shared" si="24"/>
        <v>0</v>
      </c>
    </row>
    <row r="29" spans="1:130" s="194" customFormat="1" ht="20.45" customHeight="1" outlineLevel="1">
      <c r="A29" s="662"/>
      <c r="B29" s="645" t="s">
        <v>309</v>
      </c>
      <c r="C29" s="65" t="s">
        <v>307</v>
      </c>
      <c r="D29" s="66">
        <f t="shared" si="0"/>
        <v>41148600</v>
      </c>
      <c r="E29" s="187">
        <f t="shared" ref="E29" si="180">SUM(E30:E31)</f>
        <v>0.12731390727630168</v>
      </c>
      <c r="F29" s="62">
        <f t="shared" ref="F29:DY29" si="181">SUM(F30:F31)</f>
        <v>548000</v>
      </c>
      <c r="G29" s="190">
        <f t="shared" ref="G29" si="182">SUM(F29)</f>
        <v>548000</v>
      </c>
      <c r="H29" s="196">
        <f t="shared" ref="H29" si="183">SUM(H30:H31)</f>
        <v>0.12517402730301366</v>
      </c>
      <c r="I29" s="62">
        <f t="shared" si="181"/>
        <v>563000</v>
      </c>
      <c r="J29" s="62">
        <f t="shared" si="181"/>
        <v>568000</v>
      </c>
      <c r="K29" s="62">
        <f t="shared" si="181"/>
        <v>548000</v>
      </c>
      <c r="L29" s="62">
        <f t="shared" si="181"/>
        <v>646000</v>
      </c>
      <c r="M29" s="62">
        <f t="shared" si="181"/>
        <v>592000</v>
      </c>
      <c r="N29" s="62">
        <f t="shared" si="181"/>
        <v>572000</v>
      </c>
      <c r="O29" s="62">
        <f t="shared" si="181"/>
        <v>605000</v>
      </c>
      <c r="P29" s="62">
        <f t="shared" si="181"/>
        <v>572000</v>
      </c>
      <c r="Q29" s="62">
        <f t="shared" si="181"/>
        <v>654000</v>
      </c>
      <c r="R29" s="62">
        <f t="shared" si="181"/>
        <v>572000</v>
      </c>
      <c r="S29" s="62">
        <f t="shared" si="181"/>
        <v>577600</v>
      </c>
      <c r="T29" s="62">
        <f t="shared" si="181"/>
        <v>613000</v>
      </c>
      <c r="U29" s="190">
        <f t="shared" ref="U29" si="184">SUM(I29:T29)</f>
        <v>7082600</v>
      </c>
      <c r="V29" s="196">
        <f t="shared" ref="V29" si="185">SUM(V30:V31)</f>
        <v>0.12766042507176054</v>
      </c>
      <c r="W29" s="62">
        <f t="shared" si="181"/>
        <v>721000</v>
      </c>
      <c r="X29" s="62">
        <f t="shared" si="181"/>
        <v>706000</v>
      </c>
      <c r="Y29" s="62">
        <f t="shared" si="181"/>
        <v>992000</v>
      </c>
      <c r="Z29" s="62">
        <f t="shared" si="181"/>
        <v>812000</v>
      </c>
      <c r="AA29" s="62">
        <f t="shared" si="181"/>
        <v>864000</v>
      </c>
      <c r="AB29" s="62">
        <f t="shared" si="181"/>
        <v>737000</v>
      </c>
      <c r="AC29" s="62">
        <f t="shared" si="181"/>
        <v>1265000</v>
      </c>
      <c r="AD29" s="62">
        <f t="shared" si="181"/>
        <v>732000</v>
      </c>
      <c r="AE29" s="62">
        <f t="shared" si="181"/>
        <v>752000</v>
      </c>
      <c r="AF29" s="62">
        <f t="shared" si="181"/>
        <v>737000</v>
      </c>
      <c r="AG29" s="62">
        <f t="shared" si="181"/>
        <v>732000</v>
      </c>
      <c r="AH29" s="62">
        <f t="shared" si="181"/>
        <v>1037000</v>
      </c>
      <c r="AI29" s="190">
        <f t="shared" ref="AI29" si="186">SUM(W29:AH29)</f>
        <v>10087000</v>
      </c>
      <c r="AJ29" s="196">
        <f t="shared" ref="AJ29" si="187">SUM(AJ30:AJ31)</f>
        <v>0.13709130123007604</v>
      </c>
      <c r="AK29" s="62">
        <f t="shared" ref="AK29:AV29" si="188">SUM(AK30:AK31)</f>
        <v>998000</v>
      </c>
      <c r="AL29" s="62">
        <f t="shared" si="188"/>
        <v>767000</v>
      </c>
      <c r="AM29" s="62">
        <f t="shared" si="188"/>
        <v>736000</v>
      </c>
      <c r="AN29" s="62">
        <f t="shared" si="188"/>
        <v>732000</v>
      </c>
      <c r="AO29" s="62">
        <f t="shared" si="188"/>
        <v>866000</v>
      </c>
      <c r="AP29" s="62">
        <f t="shared" si="188"/>
        <v>796000</v>
      </c>
      <c r="AQ29" s="62">
        <f t="shared" si="188"/>
        <v>792000</v>
      </c>
      <c r="AR29" s="62">
        <f t="shared" si="188"/>
        <v>758000</v>
      </c>
      <c r="AS29" s="62">
        <f t="shared" si="188"/>
        <v>778000</v>
      </c>
      <c r="AT29" s="62">
        <f t="shared" si="188"/>
        <v>763000</v>
      </c>
      <c r="AU29" s="62">
        <f t="shared" si="188"/>
        <v>758000</v>
      </c>
      <c r="AV29" s="62">
        <f t="shared" si="188"/>
        <v>1290000</v>
      </c>
      <c r="AW29" s="190">
        <f t="shared" ref="AW29" si="189">SUM(AK29:AV29)</f>
        <v>10034000</v>
      </c>
      <c r="AX29" s="196">
        <f t="shared" ref="AX29" si="190">SUM(AX30:AX31)</f>
        <v>0.13152903738139399</v>
      </c>
      <c r="AY29" s="62">
        <f t="shared" ref="AY29:BJ29" si="191">SUM(AY30:AY31)</f>
        <v>778000</v>
      </c>
      <c r="AZ29" s="62">
        <f t="shared" si="191"/>
        <v>763000</v>
      </c>
      <c r="BA29" s="62">
        <f t="shared" si="191"/>
        <v>758000</v>
      </c>
      <c r="BB29" s="62">
        <f t="shared" si="191"/>
        <v>1001000</v>
      </c>
      <c r="BC29" s="62">
        <f t="shared" si="191"/>
        <v>788000</v>
      </c>
      <c r="BD29" s="62">
        <f t="shared" si="191"/>
        <v>0</v>
      </c>
      <c r="BE29" s="62">
        <f t="shared" si="191"/>
        <v>0</v>
      </c>
      <c r="BF29" s="62">
        <f t="shared" si="191"/>
        <v>30000</v>
      </c>
      <c r="BG29" s="62">
        <f t="shared" si="191"/>
        <v>862000</v>
      </c>
      <c r="BH29" s="62">
        <f t="shared" si="191"/>
        <v>1053000</v>
      </c>
      <c r="BI29" s="62">
        <f t="shared" si="191"/>
        <v>955000</v>
      </c>
      <c r="BJ29" s="62">
        <f t="shared" si="191"/>
        <v>951000</v>
      </c>
      <c r="BK29" s="190">
        <f t="shared" ref="BK29" si="192">SUM(AY29:BJ29)</f>
        <v>7939000</v>
      </c>
      <c r="BL29" s="196">
        <f t="shared" ref="BL29" si="193">SUM(BL30:BL31)</f>
        <v>0.11367570410708214</v>
      </c>
      <c r="BM29" s="62">
        <f t="shared" ref="BM29:BX29" si="194">SUM(BM30:BM31)</f>
        <v>1268000</v>
      </c>
      <c r="BN29" s="62">
        <f t="shared" si="194"/>
        <v>880000</v>
      </c>
      <c r="BO29" s="62">
        <f t="shared" si="194"/>
        <v>830000</v>
      </c>
      <c r="BP29" s="62">
        <f t="shared" si="194"/>
        <v>1421000</v>
      </c>
      <c r="BQ29" s="62">
        <f t="shared" si="194"/>
        <v>1059000</v>
      </c>
      <c r="BR29" s="62">
        <f t="shared" si="194"/>
        <v>0</v>
      </c>
      <c r="BS29" s="62">
        <f t="shared" si="194"/>
        <v>0</v>
      </c>
      <c r="BT29" s="62">
        <f t="shared" si="194"/>
        <v>0</v>
      </c>
      <c r="BU29" s="62">
        <f t="shared" si="194"/>
        <v>0</v>
      </c>
      <c r="BV29" s="62">
        <f t="shared" si="194"/>
        <v>0</v>
      </c>
      <c r="BW29" s="62">
        <f t="shared" si="194"/>
        <v>0</v>
      </c>
      <c r="BX29" s="62">
        <f t="shared" si="194"/>
        <v>0</v>
      </c>
      <c r="BY29" s="190">
        <f t="shared" ref="BY29" si="195">SUM(BM29:BX29)</f>
        <v>5458000</v>
      </c>
      <c r="BZ29" s="196">
        <f t="shared" ref="BZ29" si="196">SUM(BZ30:BZ31)</f>
        <v>0.12506046231127224</v>
      </c>
      <c r="CA29" s="62">
        <f t="shared" ref="CA29:CL29" si="197">SUM(CA30:CA31)</f>
        <v>0</v>
      </c>
      <c r="CB29" s="62">
        <f t="shared" si="197"/>
        <v>0</v>
      </c>
      <c r="CC29" s="62">
        <f t="shared" si="197"/>
        <v>0</v>
      </c>
      <c r="CD29" s="62">
        <f t="shared" si="197"/>
        <v>0</v>
      </c>
      <c r="CE29" s="62">
        <f t="shared" si="197"/>
        <v>0</v>
      </c>
      <c r="CF29" s="62">
        <f t="shared" si="197"/>
        <v>0</v>
      </c>
      <c r="CG29" s="62">
        <f t="shared" si="197"/>
        <v>0</v>
      </c>
      <c r="CH29" s="62">
        <f t="shared" si="197"/>
        <v>0</v>
      </c>
      <c r="CI29" s="62">
        <f t="shared" si="197"/>
        <v>0</v>
      </c>
      <c r="CJ29" s="62">
        <f t="shared" si="197"/>
        <v>0</v>
      </c>
      <c r="CK29" s="62">
        <f t="shared" si="197"/>
        <v>0</v>
      </c>
      <c r="CL29" s="62">
        <f t="shared" si="197"/>
        <v>0</v>
      </c>
      <c r="CM29" s="190">
        <f t="shared" ref="CM29" si="198">SUM(CA29:CL29)</f>
        <v>0</v>
      </c>
      <c r="CN29" s="62">
        <f t="shared" ref="CN29:CY29" si="199">SUM(CN30:CN31)</f>
        <v>0</v>
      </c>
      <c r="CO29" s="62">
        <f t="shared" si="199"/>
        <v>0</v>
      </c>
      <c r="CP29" s="62">
        <f t="shared" si="199"/>
        <v>0</v>
      </c>
      <c r="CQ29" s="62">
        <f t="shared" si="199"/>
        <v>0</v>
      </c>
      <c r="CR29" s="62">
        <f t="shared" si="199"/>
        <v>0</v>
      </c>
      <c r="CS29" s="62">
        <f t="shared" si="199"/>
        <v>0</v>
      </c>
      <c r="CT29" s="62">
        <f t="shared" si="199"/>
        <v>0</v>
      </c>
      <c r="CU29" s="62">
        <f t="shared" si="199"/>
        <v>0</v>
      </c>
      <c r="CV29" s="62">
        <f t="shared" si="199"/>
        <v>0</v>
      </c>
      <c r="CW29" s="62">
        <f t="shared" si="199"/>
        <v>0</v>
      </c>
      <c r="CX29" s="62">
        <f t="shared" si="199"/>
        <v>0</v>
      </c>
      <c r="CY29" s="62">
        <f t="shared" si="199"/>
        <v>0</v>
      </c>
      <c r="CZ29" s="190">
        <f t="shared" ref="CZ29" si="200">SUM(CN29:CY29)</f>
        <v>0</v>
      </c>
      <c r="DA29" s="62">
        <f t="shared" ref="DA29:DL29" si="201">SUM(DA30:DA31)</f>
        <v>0</v>
      </c>
      <c r="DB29" s="62">
        <f t="shared" si="201"/>
        <v>0</v>
      </c>
      <c r="DC29" s="62">
        <f t="shared" si="201"/>
        <v>0</v>
      </c>
      <c r="DD29" s="62">
        <f t="shared" si="201"/>
        <v>0</v>
      </c>
      <c r="DE29" s="62">
        <f t="shared" si="201"/>
        <v>0</v>
      </c>
      <c r="DF29" s="62">
        <f t="shared" si="201"/>
        <v>0</v>
      </c>
      <c r="DG29" s="62">
        <f t="shared" si="201"/>
        <v>0</v>
      </c>
      <c r="DH29" s="62">
        <f t="shared" si="201"/>
        <v>0</v>
      </c>
      <c r="DI29" s="62">
        <f t="shared" si="201"/>
        <v>0</v>
      </c>
      <c r="DJ29" s="62">
        <f t="shared" si="201"/>
        <v>0</v>
      </c>
      <c r="DK29" s="62">
        <f t="shared" si="201"/>
        <v>0</v>
      </c>
      <c r="DL29" s="62">
        <f t="shared" si="201"/>
        <v>0</v>
      </c>
      <c r="DM29" s="190">
        <f t="shared" ref="DM29" si="202">SUM(DA29:DL29)</f>
        <v>0</v>
      </c>
      <c r="DN29" s="62">
        <f t="shared" ref="DN29:DW29" si="203">SUM(DN30:DN31)</f>
        <v>0</v>
      </c>
      <c r="DO29" s="62">
        <f t="shared" si="203"/>
        <v>0</v>
      </c>
      <c r="DP29" s="62">
        <f t="shared" si="203"/>
        <v>0</v>
      </c>
      <c r="DQ29" s="62">
        <f t="shared" si="203"/>
        <v>0</v>
      </c>
      <c r="DR29" s="62">
        <f t="shared" si="203"/>
        <v>0</v>
      </c>
      <c r="DS29" s="62">
        <f t="shared" si="203"/>
        <v>0</v>
      </c>
      <c r="DT29" s="62">
        <f t="shared" si="203"/>
        <v>0</v>
      </c>
      <c r="DU29" s="62">
        <f t="shared" si="203"/>
        <v>0</v>
      </c>
      <c r="DV29" s="62">
        <f t="shared" si="203"/>
        <v>0</v>
      </c>
      <c r="DW29" s="62">
        <f t="shared" si="203"/>
        <v>0</v>
      </c>
      <c r="DX29" s="62">
        <f t="shared" si="181"/>
        <v>0</v>
      </c>
      <c r="DY29" s="62">
        <f t="shared" si="181"/>
        <v>0</v>
      </c>
      <c r="DZ29" s="190">
        <f t="shared" ref="DZ29" si="204">SUM(DN29:DY29)</f>
        <v>0</v>
      </c>
    </row>
    <row r="30" spans="1:130" ht="20.45" customHeight="1" outlineLevel="2">
      <c r="A30" s="663"/>
      <c r="B30" s="636"/>
      <c r="C30" s="30" t="s">
        <v>310</v>
      </c>
      <c r="D30" s="62">
        <f t="shared" si="0"/>
        <v>39495599.999999985</v>
      </c>
      <c r="E30" s="184">
        <f t="shared" si="179"/>
        <v>0.12219951969743566</v>
      </c>
      <c r="F30" s="62">
        <v>548000</v>
      </c>
      <c r="G30" s="190">
        <f t="shared" ref="G30" si="205">SUM(F30)</f>
        <v>548000</v>
      </c>
      <c r="H30" s="197">
        <f t="shared" ref="H30:H31" si="206">G30/(G$5+G$6+G$7+G$8+G$10+G$9)</f>
        <v>0.12517402730301366</v>
      </c>
      <c r="I30" s="62">
        <v>563000</v>
      </c>
      <c r="J30" s="62">
        <v>568000</v>
      </c>
      <c r="K30" s="62">
        <v>548000</v>
      </c>
      <c r="L30" s="62">
        <v>646000</v>
      </c>
      <c r="M30" s="62">
        <v>592000</v>
      </c>
      <c r="N30" s="62">
        <v>572000</v>
      </c>
      <c r="O30" s="62">
        <v>605000</v>
      </c>
      <c r="P30" s="62">
        <v>572000</v>
      </c>
      <c r="Q30" s="62">
        <v>654000</v>
      </c>
      <c r="R30" s="62">
        <v>572000</v>
      </c>
      <c r="S30" s="62">
        <v>577600</v>
      </c>
      <c r="T30" s="62">
        <v>613000</v>
      </c>
      <c r="U30" s="190">
        <f t="shared" ref="U30" si="207">SUM(I30:T30)</f>
        <v>7082600</v>
      </c>
      <c r="V30" s="197">
        <f t="shared" ref="V30:V31" si="208">U30/(U$5+U$6+U$7+U$8+U$10+U$9)</f>
        <v>0.12766042507176054</v>
      </c>
      <c r="W30" s="62">
        <v>721000</v>
      </c>
      <c r="X30" s="62">
        <v>706000</v>
      </c>
      <c r="Y30" s="62">
        <f>291000+701000</f>
        <v>992000</v>
      </c>
      <c r="Z30" s="62">
        <v>812000</v>
      </c>
      <c r="AA30" s="62">
        <f>782000+82000</f>
        <v>864000</v>
      </c>
      <c r="AB30" s="62">
        <v>737000</v>
      </c>
      <c r="AC30" s="62">
        <v>765000</v>
      </c>
      <c r="AD30" s="62">
        <v>732000</v>
      </c>
      <c r="AE30" s="62">
        <v>752000</v>
      </c>
      <c r="AF30" s="62">
        <v>737000</v>
      </c>
      <c r="AG30" s="62">
        <v>732000</v>
      </c>
      <c r="AH30" s="62">
        <v>737000</v>
      </c>
      <c r="AI30" s="190">
        <f t="shared" ref="AI30" si="209">SUM(W30:AH30)</f>
        <v>9287000</v>
      </c>
      <c r="AJ30" s="197">
        <f t="shared" ref="AJ30:AJ31" si="210">AI30/(AI$5+AI$6+AI$7+AI$8+AI$10+AI$9)</f>
        <v>0.12621858972179203</v>
      </c>
      <c r="AK30" s="62">
        <v>998000</v>
      </c>
      <c r="AL30" s="62">
        <v>767000</v>
      </c>
      <c r="AM30" s="62">
        <v>736000</v>
      </c>
      <c r="AN30" s="62">
        <v>732000</v>
      </c>
      <c r="AO30" s="62">
        <v>866000</v>
      </c>
      <c r="AP30" s="62">
        <v>796000</v>
      </c>
      <c r="AQ30" s="62">
        <v>792000</v>
      </c>
      <c r="AR30" s="62">
        <v>758000</v>
      </c>
      <c r="AS30" s="62">
        <v>778000</v>
      </c>
      <c r="AT30" s="62">
        <v>763000</v>
      </c>
      <c r="AU30" s="62">
        <v>758000</v>
      </c>
      <c r="AV30" s="62">
        <f>813000+77000</f>
        <v>890000</v>
      </c>
      <c r="AW30" s="190">
        <f t="shared" ref="AW30" si="211">SUM(AK30:AV30)</f>
        <v>9634000</v>
      </c>
      <c r="AX30" s="197">
        <f t="shared" ref="AX30:AX31" si="212">AW30/(AW$5+AW$6+AW$7+AW$8+AW$10+AW$9)</f>
        <v>0.12628570322227922</v>
      </c>
      <c r="AY30" s="62">
        <v>778000</v>
      </c>
      <c r="AZ30" s="62">
        <v>763000</v>
      </c>
      <c r="BA30" s="62">
        <v>758000</v>
      </c>
      <c r="BB30" s="62">
        <v>1001000</v>
      </c>
      <c r="BC30" s="62">
        <v>788000</v>
      </c>
      <c r="BD30" s="62">
        <v>0</v>
      </c>
      <c r="BE30" s="62">
        <v>0</v>
      </c>
      <c r="BF30" s="62">
        <v>30000</v>
      </c>
      <c r="BG30" s="62">
        <v>862000</v>
      </c>
      <c r="BH30" s="62">
        <v>1053000</v>
      </c>
      <c r="BI30" s="62">
        <f>815000+89000</f>
        <v>904000</v>
      </c>
      <c r="BJ30" s="62">
        <v>850000</v>
      </c>
      <c r="BK30" s="190">
        <f t="shared" ref="BK30" si="213">SUM(AY30:BJ30)</f>
        <v>7787000</v>
      </c>
      <c r="BL30" s="197">
        <f t="shared" ref="BL30:BL31" si="214">BK30/(BK$5+BK$6+BK$7+BK$8+BK$10+BK$9)</f>
        <v>0.11149927042220036</v>
      </c>
      <c r="BM30" s="62">
        <f>968000</f>
        <v>968000</v>
      </c>
      <c r="BN30" s="62">
        <v>879000</v>
      </c>
      <c r="BO30" s="62">
        <v>830000</v>
      </c>
      <c r="BP30" s="62">
        <f>833000+588000</f>
        <v>1421000</v>
      </c>
      <c r="BQ30" s="62">
        <v>1059000</v>
      </c>
      <c r="BR30" s="62">
        <v>0</v>
      </c>
      <c r="BS30" s="62">
        <v>0</v>
      </c>
      <c r="BT30" s="62">
        <v>0</v>
      </c>
      <c r="BU30" s="62">
        <v>0</v>
      </c>
      <c r="BV30" s="62">
        <v>0</v>
      </c>
      <c r="BW30" s="62">
        <v>0</v>
      </c>
      <c r="BX30" s="62">
        <v>0</v>
      </c>
      <c r="BY30" s="190">
        <f t="shared" ref="BY30" si="215">SUM(BM30:BX30)</f>
        <v>5157000</v>
      </c>
      <c r="BZ30" s="197">
        <f t="shared" ref="BZ30:BZ31" si="216">BY30/(BY$5+BY$6+BY$7+BY$8+BY$10+BY$9)</f>
        <v>0.11816357715999101</v>
      </c>
      <c r="CA30" s="62">
        <v>0</v>
      </c>
      <c r="CB30" s="62">
        <v>0</v>
      </c>
      <c r="CC30" s="62">
        <v>0</v>
      </c>
      <c r="CD30" s="62">
        <v>0</v>
      </c>
      <c r="CE30" s="62">
        <v>0</v>
      </c>
      <c r="CF30" s="62">
        <v>0</v>
      </c>
      <c r="CG30" s="62">
        <v>0</v>
      </c>
      <c r="CH30" s="62">
        <v>0</v>
      </c>
      <c r="CI30" s="62">
        <v>0</v>
      </c>
      <c r="CJ30" s="62">
        <v>0</v>
      </c>
      <c r="CK30" s="62">
        <v>0</v>
      </c>
      <c r="CL30" s="62">
        <v>0</v>
      </c>
      <c r="CM30" s="190">
        <f t="shared" ref="CM30" si="217">SUM(CA30:CL30)</f>
        <v>0</v>
      </c>
      <c r="CN30" s="62">
        <v>0</v>
      </c>
      <c r="CO30" s="62">
        <v>0</v>
      </c>
      <c r="CP30" s="62">
        <v>0</v>
      </c>
      <c r="CQ30" s="62">
        <v>0</v>
      </c>
      <c r="CR30" s="62">
        <v>0</v>
      </c>
      <c r="CS30" s="62">
        <v>0</v>
      </c>
      <c r="CT30" s="62">
        <v>0</v>
      </c>
      <c r="CU30" s="62">
        <v>0</v>
      </c>
      <c r="CV30" s="62">
        <v>0</v>
      </c>
      <c r="CW30" s="62">
        <v>0</v>
      </c>
      <c r="CX30" s="62">
        <v>0</v>
      </c>
      <c r="CY30" s="62">
        <v>0</v>
      </c>
      <c r="CZ30" s="190">
        <f t="shared" ref="CZ30" si="218">SUM(CN30:CY30)</f>
        <v>0</v>
      </c>
      <c r="DA30" s="62">
        <v>0</v>
      </c>
      <c r="DB30" s="62">
        <v>0</v>
      </c>
      <c r="DC30" s="62">
        <v>0</v>
      </c>
      <c r="DD30" s="62">
        <v>0</v>
      </c>
      <c r="DE30" s="62">
        <v>0</v>
      </c>
      <c r="DF30" s="62">
        <v>0</v>
      </c>
      <c r="DG30" s="62">
        <v>0</v>
      </c>
      <c r="DH30" s="62">
        <v>0</v>
      </c>
      <c r="DI30" s="62">
        <v>0</v>
      </c>
      <c r="DJ30" s="62">
        <v>0</v>
      </c>
      <c r="DK30" s="62">
        <v>0</v>
      </c>
      <c r="DL30" s="62">
        <v>0</v>
      </c>
      <c r="DM30" s="190">
        <f t="shared" ref="DM30" si="219">SUM(DA30:DL30)</f>
        <v>0</v>
      </c>
      <c r="DN30" s="62">
        <v>0</v>
      </c>
      <c r="DO30" s="62">
        <v>0</v>
      </c>
      <c r="DP30" s="62">
        <v>0</v>
      </c>
      <c r="DQ30" s="62">
        <v>0</v>
      </c>
      <c r="DR30" s="62">
        <v>0</v>
      </c>
      <c r="DS30" s="62">
        <v>0</v>
      </c>
      <c r="DT30" s="62">
        <v>0</v>
      </c>
      <c r="DU30" s="62">
        <v>0</v>
      </c>
      <c r="DV30" s="62">
        <v>0</v>
      </c>
      <c r="DW30" s="62">
        <v>0</v>
      </c>
      <c r="DX30" s="62">
        <v>0</v>
      </c>
      <c r="DY30" s="62">
        <v>0</v>
      </c>
      <c r="DZ30" s="190">
        <f t="shared" ref="DZ30" si="220">SUM(DN30:DY30)</f>
        <v>0</v>
      </c>
    </row>
    <row r="31" spans="1:130" ht="20.45" customHeight="1" outlineLevel="2">
      <c r="A31" s="662"/>
      <c r="B31" s="646"/>
      <c r="C31" s="31" t="s">
        <v>3356</v>
      </c>
      <c r="D31" s="62">
        <f t="shared" si="0"/>
        <v>1653000</v>
      </c>
      <c r="E31" s="184">
        <f t="shared" si="179"/>
        <v>5.1143875788660313E-3</v>
      </c>
      <c r="F31" s="62">
        <v>0</v>
      </c>
      <c r="G31" s="190">
        <f t="shared" si="36"/>
        <v>0</v>
      </c>
      <c r="H31" s="197">
        <f t="shared" si="206"/>
        <v>0</v>
      </c>
      <c r="I31" s="62">
        <v>0</v>
      </c>
      <c r="J31" s="62">
        <v>0</v>
      </c>
      <c r="K31" s="62">
        <v>0</v>
      </c>
      <c r="L31" s="62">
        <v>0</v>
      </c>
      <c r="M31" s="62">
        <v>0</v>
      </c>
      <c r="N31" s="62">
        <v>0</v>
      </c>
      <c r="O31" s="62">
        <v>0</v>
      </c>
      <c r="P31" s="62">
        <v>0</v>
      </c>
      <c r="Q31" s="62">
        <v>0</v>
      </c>
      <c r="R31" s="62">
        <v>0</v>
      </c>
      <c r="S31" s="62">
        <v>0</v>
      </c>
      <c r="T31" s="62">
        <v>0</v>
      </c>
      <c r="U31" s="190">
        <f t="shared" si="16"/>
        <v>0</v>
      </c>
      <c r="V31" s="197">
        <f t="shared" si="208"/>
        <v>0</v>
      </c>
      <c r="W31" s="62">
        <v>0</v>
      </c>
      <c r="X31" s="62">
        <v>0</v>
      </c>
      <c r="Y31" s="62">
        <v>0</v>
      </c>
      <c r="Z31" s="62">
        <v>0</v>
      </c>
      <c r="AA31" s="62">
        <v>0</v>
      </c>
      <c r="AB31" s="62">
        <v>0</v>
      </c>
      <c r="AC31" s="62">
        <v>500000</v>
      </c>
      <c r="AD31" s="62">
        <v>0</v>
      </c>
      <c r="AE31" s="62">
        <v>0</v>
      </c>
      <c r="AF31" s="62">
        <v>0</v>
      </c>
      <c r="AG31" s="62">
        <v>0</v>
      </c>
      <c r="AH31" s="62">
        <v>300000</v>
      </c>
      <c r="AI31" s="190">
        <f t="shared" si="17"/>
        <v>800000</v>
      </c>
      <c r="AJ31" s="197">
        <f t="shared" si="210"/>
        <v>1.0872711508284014E-2</v>
      </c>
      <c r="AK31" s="62">
        <v>0</v>
      </c>
      <c r="AL31" s="62">
        <v>0</v>
      </c>
      <c r="AM31" s="62">
        <v>0</v>
      </c>
      <c r="AN31" s="62">
        <v>0</v>
      </c>
      <c r="AO31" s="62">
        <v>0</v>
      </c>
      <c r="AP31" s="62">
        <v>0</v>
      </c>
      <c r="AQ31" s="62">
        <v>0</v>
      </c>
      <c r="AR31" s="62">
        <v>0</v>
      </c>
      <c r="AS31" s="62">
        <v>0</v>
      </c>
      <c r="AT31" s="62">
        <v>0</v>
      </c>
      <c r="AU31" s="62">
        <v>0</v>
      </c>
      <c r="AV31" s="62">
        <v>400000</v>
      </c>
      <c r="AW31" s="190">
        <f t="shared" si="18"/>
        <v>400000</v>
      </c>
      <c r="AX31" s="197">
        <f t="shared" si="212"/>
        <v>5.2433341591147688E-3</v>
      </c>
      <c r="AY31" s="62">
        <v>0</v>
      </c>
      <c r="AZ31" s="62">
        <v>0</v>
      </c>
      <c r="BA31" s="62">
        <v>0</v>
      </c>
      <c r="BB31" s="62">
        <v>0</v>
      </c>
      <c r="BC31" s="62">
        <v>0</v>
      </c>
      <c r="BD31" s="62">
        <v>0</v>
      </c>
      <c r="BE31" s="62">
        <v>0</v>
      </c>
      <c r="BF31" s="62">
        <v>0</v>
      </c>
      <c r="BG31" s="62">
        <v>0</v>
      </c>
      <c r="BH31" s="62">
        <v>0</v>
      </c>
      <c r="BI31" s="62">
        <f>1000+50000</f>
        <v>51000</v>
      </c>
      <c r="BJ31" s="62">
        <f>1000+100000</f>
        <v>101000</v>
      </c>
      <c r="BK31" s="190">
        <f t="shared" si="19"/>
        <v>152000</v>
      </c>
      <c r="BL31" s="197">
        <f t="shared" si="214"/>
        <v>2.1764336848817843E-3</v>
      </c>
      <c r="BM31" s="62">
        <f>300000</f>
        <v>300000</v>
      </c>
      <c r="BN31" s="62">
        <f>1000</f>
        <v>1000</v>
      </c>
      <c r="BO31" s="62">
        <v>0</v>
      </c>
      <c r="BP31" s="62">
        <v>0</v>
      </c>
      <c r="BQ31" s="62">
        <v>0</v>
      </c>
      <c r="BR31" s="62">
        <v>0</v>
      </c>
      <c r="BS31" s="62">
        <v>0</v>
      </c>
      <c r="BT31" s="62">
        <v>0</v>
      </c>
      <c r="BU31" s="62">
        <v>0</v>
      </c>
      <c r="BV31" s="62">
        <v>0</v>
      </c>
      <c r="BW31" s="62">
        <v>0</v>
      </c>
      <c r="BX31" s="62">
        <v>0</v>
      </c>
      <c r="BY31" s="190">
        <f t="shared" si="20"/>
        <v>301000</v>
      </c>
      <c r="BZ31" s="197">
        <f t="shared" si="216"/>
        <v>6.8968851512812282E-3</v>
      </c>
      <c r="CA31" s="62">
        <v>0</v>
      </c>
      <c r="CB31" s="62">
        <v>0</v>
      </c>
      <c r="CC31" s="62">
        <v>0</v>
      </c>
      <c r="CD31" s="62">
        <v>0</v>
      </c>
      <c r="CE31" s="62">
        <v>0</v>
      </c>
      <c r="CF31" s="62">
        <v>0</v>
      </c>
      <c r="CG31" s="62">
        <v>0</v>
      </c>
      <c r="CH31" s="62">
        <v>0</v>
      </c>
      <c r="CI31" s="62">
        <v>0</v>
      </c>
      <c r="CJ31" s="62">
        <v>0</v>
      </c>
      <c r="CK31" s="62">
        <v>0</v>
      </c>
      <c r="CL31" s="62">
        <v>0</v>
      </c>
      <c r="CM31" s="190">
        <f t="shared" si="21"/>
        <v>0</v>
      </c>
      <c r="CN31" s="62">
        <v>0</v>
      </c>
      <c r="CO31" s="62">
        <v>0</v>
      </c>
      <c r="CP31" s="62">
        <v>0</v>
      </c>
      <c r="CQ31" s="62">
        <v>0</v>
      </c>
      <c r="CR31" s="62">
        <v>0</v>
      </c>
      <c r="CS31" s="62">
        <v>0</v>
      </c>
      <c r="CT31" s="62">
        <v>0</v>
      </c>
      <c r="CU31" s="62">
        <v>0</v>
      </c>
      <c r="CV31" s="62">
        <v>0</v>
      </c>
      <c r="CW31" s="62">
        <v>0</v>
      </c>
      <c r="CX31" s="62">
        <v>0</v>
      </c>
      <c r="CY31" s="62">
        <v>0</v>
      </c>
      <c r="CZ31" s="190">
        <f t="shared" si="22"/>
        <v>0</v>
      </c>
      <c r="DA31" s="62">
        <v>0</v>
      </c>
      <c r="DB31" s="62">
        <v>0</v>
      </c>
      <c r="DC31" s="62">
        <v>0</v>
      </c>
      <c r="DD31" s="62">
        <v>0</v>
      </c>
      <c r="DE31" s="62">
        <v>0</v>
      </c>
      <c r="DF31" s="62">
        <v>0</v>
      </c>
      <c r="DG31" s="62">
        <v>0</v>
      </c>
      <c r="DH31" s="62">
        <v>0</v>
      </c>
      <c r="DI31" s="62">
        <v>0</v>
      </c>
      <c r="DJ31" s="62">
        <v>0</v>
      </c>
      <c r="DK31" s="62">
        <v>0</v>
      </c>
      <c r="DL31" s="62">
        <v>0</v>
      </c>
      <c r="DM31" s="190">
        <f t="shared" si="23"/>
        <v>0</v>
      </c>
      <c r="DN31" s="62">
        <v>0</v>
      </c>
      <c r="DO31" s="62">
        <v>0</v>
      </c>
      <c r="DP31" s="62">
        <v>0</v>
      </c>
      <c r="DQ31" s="62">
        <v>0</v>
      </c>
      <c r="DR31" s="62">
        <v>0</v>
      </c>
      <c r="DS31" s="62">
        <v>0</v>
      </c>
      <c r="DT31" s="62">
        <v>0</v>
      </c>
      <c r="DU31" s="62">
        <v>0</v>
      </c>
      <c r="DV31" s="62">
        <v>0</v>
      </c>
      <c r="DW31" s="62">
        <v>0</v>
      </c>
      <c r="DX31" s="62">
        <v>0</v>
      </c>
      <c r="DY31" s="62">
        <v>0</v>
      </c>
      <c r="DZ31" s="190">
        <f t="shared" si="24"/>
        <v>0</v>
      </c>
    </row>
    <row r="32" spans="1:130" s="194" customFormat="1" ht="20.45" customHeight="1" outlineLevel="1">
      <c r="A32" s="662"/>
      <c r="B32" s="645" t="s">
        <v>311</v>
      </c>
      <c r="C32" s="65" t="s">
        <v>307</v>
      </c>
      <c r="D32" s="66">
        <f t="shared" si="0"/>
        <v>9533522.9999999963</v>
      </c>
      <c r="E32" s="187">
        <f>SUM(E33:E40)</f>
        <v>2.9496752337588399E-2</v>
      </c>
      <c r="F32" s="62">
        <f t="shared" ref="F32:DX32" si="221">SUM(F33:F40)</f>
        <v>75040</v>
      </c>
      <c r="G32" s="190">
        <f t="shared" si="36"/>
        <v>75040</v>
      </c>
      <c r="H32" s="196">
        <f>SUM(H33:H40)</f>
        <v>1.7140618629230192E-2</v>
      </c>
      <c r="I32" s="62">
        <f t="shared" si="221"/>
        <v>75040</v>
      </c>
      <c r="J32" s="62">
        <f t="shared" si="221"/>
        <v>75040</v>
      </c>
      <c r="K32" s="62">
        <f t="shared" si="221"/>
        <v>73160</v>
      </c>
      <c r="L32" s="62">
        <f t="shared" si="221"/>
        <v>73160</v>
      </c>
      <c r="M32" s="62">
        <f t="shared" si="221"/>
        <v>73160</v>
      </c>
      <c r="N32" s="62">
        <f t="shared" si="221"/>
        <v>73160</v>
      </c>
      <c r="O32" s="62">
        <f t="shared" si="221"/>
        <v>860210</v>
      </c>
      <c r="P32" s="62">
        <f t="shared" si="221"/>
        <v>73160</v>
      </c>
      <c r="Q32" s="62">
        <f t="shared" si="221"/>
        <v>73160</v>
      </c>
      <c r="R32" s="62">
        <f t="shared" si="221"/>
        <v>115206</v>
      </c>
      <c r="S32" s="62">
        <f t="shared" si="221"/>
        <v>96390</v>
      </c>
      <c r="T32" s="62">
        <f t="shared" si="221"/>
        <v>968046</v>
      </c>
      <c r="U32" s="190">
        <f t="shared" si="16"/>
        <v>2628892</v>
      </c>
      <c r="V32" s="196">
        <f>SUM(V33:V40)</f>
        <v>4.7384501480776942E-2</v>
      </c>
      <c r="W32" s="62">
        <f t="shared" si="221"/>
        <v>115206</v>
      </c>
      <c r="X32" s="62">
        <f t="shared" si="221"/>
        <v>115206</v>
      </c>
      <c r="Y32" s="62">
        <f t="shared" si="221"/>
        <v>114986</v>
      </c>
      <c r="Z32" s="62">
        <f t="shared" si="221"/>
        <v>114986</v>
      </c>
      <c r="AA32" s="62">
        <f t="shared" si="221"/>
        <v>123926</v>
      </c>
      <c r="AB32" s="62">
        <f t="shared" si="221"/>
        <v>133331</v>
      </c>
      <c r="AC32" s="62">
        <f t="shared" ref="AC32:AF32" si="222">SUM(AC33:AC40)</f>
        <v>114781</v>
      </c>
      <c r="AD32" s="62">
        <f t="shared" si="222"/>
        <v>214781</v>
      </c>
      <c r="AE32" s="62">
        <f t="shared" si="222"/>
        <v>114781</v>
      </c>
      <c r="AF32" s="62">
        <f t="shared" si="222"/>
        <v>114781</v>
      </c>
      <c r="AG32" s="62">
        <f t="shared" si="221"/>
        <v>981331</v>
      </c>
      <c r="AH32" s="62">
        <f t="shared" si="221"/>
        <v>114781</v>
      </c>
      <c r="AI32" s="190">
        <f t="shared" si="17"/>
        <v>2372877</v>
      </c>
      <c r="AJ32" s="196">
        <f>SUM(AJ33:AJ40)</f>
        <v>3.2249508832053062E-2</v>
      </c>
      <c r="AK32" s="62">
        <f t="shared" ref="AK32:AV32" si="223">SUM(AK33:AK40)</f>
        <v>114781</v>
      </c>
      <c r="AL32" s="62">
        <f t="shared" si="223"/>
        <v>114781</v>
      </c>
      <c r="AM32" s="62">
        <f t="shared" si="223"/>
        <v>115291</v>
      </c>
      <c r="AN32" s="62">
        <f t="shared" si="223"/>
        <v>92061</v>
      </c>
      <c r="AO32" s="62">
        <f t="shared" si="223"/>
        <v>115291</v>
      </c>
      <c r="AP32" s="62">
        <f t="shared" si="223"/>
        <v>829281</v>
      </c>
      <c r="AQ32" s="62">
        <f t="shared" si="223"/>
        <v>-595349</v>
      </c>
      <c r="AR32" s="62">
        <f t="shared" si="223"/>
        <v>115291</v>
      </c>
      <c r="AS32" s="62">
        <f t="shared" si="223"/>
        <v>115291</v>
      </c>
      <c r="AT32" s="62">
        <f t="shared" si="223"/>
        <v>115291</v>
      </c>
      <c r="AU32" s="62">
        <f t="shared" si="223"/>
        <v>88841</v>
      </c>
      <c r="AV32" s="62">
        <f t="shared" si="223"/>
        <v>651931</v>
      </c>
      <c r="AW32" s="190">
        <f t="shared" si="18"/>
        <v>1872782</v>
      </c>
      <c r="AX32" s="196">
        <f>SUM(AX33:AX40)</f>
        <v>2.4549054582938188E-2</v>
      </c>
      <c r="AY32" s="62">
        <f t="shared" ref="AY32:BJ32" si="224">SUM(AY33:AY40)</f>
        <v>-52870</v>
      </c>
      <c r="AZ32" s="62">
        <f t="shared" si="224"/>
        <v>95196</v>
      </c>
      <c r="BA32" s="62">
        <f t="shared" si="224"/>
        <v>81371</v>
      </c>
      <c r="BB32" s="62">
        <f t="shared" si="224"/>
        <v>81371</v>
      </c>
      <c r="BC32" s="62">
        <f t="shared" si="224"/>
        <v>58141</v>
      </c>
      <c r="BD32" s="62">
        <f t="shared" si="224"/>
        <v>1395373</v>
      </c>
      <c r="BE32" s="62">
        <f t="shared" si="224"/>
        <v>-811542</v>
      </c>
      <c r="BF32" s="62">
        <f t="shared" si="224"/>
        <v>175776</v>
      </c>
      <c r="BG32" s="62">
        <f t="shared" si="224"/>
        <v>97386</v>
      </c>
      <c r="BH32" s="62">
        <f t="shared" si="224"/>
        <v>97386</v>
      </c>
      <c r="BI32" s="62">
        <f t="shared" si="224"/>
        <v>97386</v>
      </c>
      <c r="BJ32" s="62">
        <f t="shared" si="224"/>
        <v>784666</v>
      </c>
      <c r="BK32" s="190">
        <f t="shared" si="19"/>
        <v>2099640</v>
      </c>
      <c r="BL32" s="196">
        <f>SUM(BL33:BL40)</f>
        <v>3.0063994882402564E-2</v>
      </c>
      <c r="BM32" s="62">
        <f t="shared" ref="BM32:BX32" si="225">SUM(BM33:BM40)</f>
        <v>53393</v>
      </c>
      <c r="BN32" s="62">
        <f t="shared" si="225"/>
        <v>141379</v>
      </c>
      <c r="BO32" s="62">
        <f t="shared" si="225"/>
        <v>97759</v>
      </c>
      <c r="BP32" s="62">
        <f t="shared" si="225"/>
        <v>97759</v>
      </c>
      <c r="BQ32" s="62">
        <f t="shared" si="225"/>
        <v>94002</v>
      </c>
      <c r="BR32" s="62">
        <f t="shared" si="225"/>
        <v>0</v>
      </c>
      <c r="BS32" s="62">
        <f t="shared" si="225"/>
        <v>0</v>
      </c>
      <c r="BT32" s="62">
        <f t="shared" si="225"/>
        <v>0</v>
      </c>
      <c r="BU32" s="62">
        <f t="shared" si="225"/>
        <v>0</v>
      </c>
      <c r="BV32" s="62">
        <f t="shared" si="225"/>
        <v>0</v>
      </c>
      <c r="BW32" s="62">
        <f t="shared" si="225"/>
        <v>0</v>
      </c>
      <c r="BX32" s="62">
        <f t="shared" si="225"/>
        <v>0</v>
      </c>
      <c r="BY32" s="190">
        <f t="shared" si="20"/>
        <v>484292</v>
      </c>
      <c r="BZ32" s="196">
        <f>SUM(BZ33:BZ40)</f>
        <v>1.1096698683336507E-2</v>
      </c>
      <c r="CA32" s="62">
        <f t="shared" ref="CA32:CL32" si="226">SUM(CA33:CA40)</f>
        <v>0</v>
      </c>
      <c r="CB32" s="62">
        <f t="shared" si="226"/>
        <v>0</v>
      </c>
      <c r="CC32" s="62">
        <f t="shared" si="226"/>
        <v>0</v>
      </c>
      <c r="CD32" s="62">
        <f t="shared" si="226"/>
        <v>0</v>
      </c>
      <c r="CE32" s="62">
        <f t="shared" si="226"/>
        <v>0</v>
      </c>
      <c r="CF32" s="62">
        <f t="shared" si="226"/>
        <v>0</v>
      </c>
      <c r="CG32" s="62">
        <f t="shared" si="226"/>
        <v>0</v>
      </c>
      <c r="CH32" s="62">
        <f t="shared" si="226"/>
        <v>0</v>
      </c>
      <c r="CI32" s="62">
        <f t="shared" si="226"/>
        <v>0</v>
      </c>
      <c r="CJ32" s="62">
        <f t="shared" si="226"/>
        <v>0</v>
      </c>
      <c r="CK32" s="62">
        <f t="shared" si="226"/>
        <v>0</v>
      </c>
      <c r="CL32" s="62">
        <f t="shared" si="226"/>
        <v>0</v>
      </c>
      <c r="CM32" s="190">
        <f t="shared" si="21"/>
        <v>0</v>
      </c>
      <c r="CN32" s="62">
        <f t="shared" ref="CN32:CY32" si="227">SUM(CN33:CN40)</f>
        <v>0</v>
      </c>
      <c r="CO32" s="62">
        <f t="shared" si="227"/>
        <v>0</v>
      </c>
      <c r="CP32" s="62">
        <f t="shared" si="227"/>
        <v>0</v>
      </c>
      <c r="CQ32" s="62">
        <f t="shared" si="227"/>
        <v>0</v>
      </c>
      <c r="CR32" s="62">
        <f t="shared" si="227"/>
        <v>0</v>
      </c>
      <c r="CS32" s="62">
        <f t="shared" si="227"/>
        <v>0</v>
      </c>
      <c r="CT32" s="62">
        <f t="shared" si="227"/>
        <v>0</v>
      </c>
      <c r="CU32" s="62">
        <f t="shared" si="227"/>
        <v>0</v>
      </c>
      <c r="CV32" s="62">
        <f t="shared" si="227"/>
        <v>0</v>
      </c>
      <c r="CW32" s="62">
        <f t="shared" si="227"/>
        <v>0</v>
      </c>
      <c r="CX32" s="62">
        <f t="shared" si="227"/>
        <v>0</v>
      </c>
      <c r="CY32" s="62">
        <f t="shared" si="227"/>
        <v>0</v>
      </c>
      <c r="CZ32" s="190">
        <f t="shared" si="22"/>
        <v>0</v>
      </c>
      <c r="DA32" s="62">
        <f t="shared" ref="DA32:DL32" si="228">SUM(DA33:DA40)</f>
        <v>0</v>
      </c>
      <c r="DB32" s="62">
        <f t="shared" si="228"/>
        <v>0</v>
      </c>
      <c r="DC32" s="62">
        <f t="shared" si="228"/>
        <v>0</v>
      </c>
      <c r="DD32" s="62">
        <f t="shared" si="228"/>
        <v>0</v>
      </c>
      <c r="DE32" s="62">
        <f t="shared" si="228"/>
        <v>0</v>
      </c>
      <c r="DF32" s="62">
        <f t="shared" si="228"/>
        <v>0</v>
      </c>
      <c r="DG32" s="62">
        <f t="shared" si="228"/>
        <v>0</v>
      </c>
      <c r="DH32" s="62">
        <f t="shared" si="228"/>
        <v>0</v>
      </c>
      <c r="DI32" s="62">
        <f t="shared" si="228"/>
        <v>0</v>
      </c>
      <c r="DJ32" s="62">
        <f t="shared" si="228"/>
        <v>0</v>
      </c>
      <c r="DK32" s="62">
        <f t="shared" si="228"/>
        <v>0</v>
      </c>
      <c r="DL32" s="62">
        <f t="shared" si="228"/>
        <v>0</v>
      </c>
      <c r="DM32" s="190">
        <f t="shared" si="23"/>
        <v>0</v>
      </c>
      <c r="DN32" s="62">
        <f t="shared" ref="DN32:DQ32" si="229">SUM(DN33:DN40)</f>
        <v>0</v>
      </c>
      <c r="DO32" s="62">
        <f t="shared" si="229"/>
        <v>0</v>
      </c>
      <c r="DP32" s="62">
        <f t="shared" si="229"/>
        <v>0</v>
      </c>
      <c r="DQ32" s="62">
        <f t="shared" si="229"/>
        <v>0</v>
      </c>
      <c r="DR32" s="62">
        <f t="shared" ref="DR32:DU32" si="230">SUM(DR33:DR40)</f>
        <v>0</v>
      </c>
      <c r="DS32" s="62">
        <f t="shared" si="230"/>
        <v>0</v>
      </c>
      <c r="DT32" s="62">
        <f t="shared" si="230"/>
        <v>0</v>
      </c>
      <c r="DU32" s="62">
        <f t="shared" si="230"/>
        <v>0</v>
      </c>
      <c r="DV32" s="62">
        <f t="shared" ref="DV32:DW32" si="231">SUM(DV33:DV40)</f>
        <v>0</v>
      </c>
      <c r="DW32" s="62">
        <f t="shared" si="231"/>
        <v>0</v>
      </c>
      <c r="DX32" s="62">
        <f t="shared" si="221"/>
        <v>0</v>
      </c>
      <c r="DY32" s="62">
        <f t="shared" ref="DY32" si="232">SUM(DY33:DY40)</f>
        <v>0</v>
      </c>
      <c r="DZ32" s="190">
        <f t="shared" si="24"/>
        <v>0</v>
      </c>
    </row>
    <row r="33" spans="1:130" ht="20.45" customHeight="1" outlineLevel="2">
      <c r="A33" s="662"/>
      <c r="B33" s="653"/>
      <c r="C33" s="30" t="s">
        <v>312</v>
      </c>
      <c r="D33" s="62">
        <f t="shared" si="0"/>
        <v>270659.99999999983</v>
      </c>
      <c r="E33" s="184">
        <f t="shared" si="179"/>
        <v>8.3742295347603087E-4</v>
      </c>
      <c r="F33" s="62">
        <v>9060</v>
      </c>
      <c r="G33" s="190">
        <f t="shared" si="36"/>
        <v>9060</v>
      </c>
      <c r="H33" s="197">
        <f t="shared" ref="H33:H40" si="233">G33/(G$5+G$6+G$7+G$8+G$10+G$9)</f>
        <v>2.0694830061410651E-3</v>
      </c>
      <c r="I33" s="62">
        <v>9060</v>
      </c>
      <c r="J33" s="62">
        <v>9060</v>
      </c>
      <c r="K33" s="62">
        <v>7180</v>
      </c>
      <c r="L33" s="62">
        <v>7180</v>
      </c>
      <c r="M33" s="62">
        <v>7180</v>
      </c>
      <c r="N33" s="62">
        <v>7180</v>
      </c>
      <c r="O33" s="62">
        <v>7180</v>
      </c>
      <c r="P33" s="62">
        <v>7180</v>
      </c>
      <c r="Q33" s="62">
        <v>7180</v>
      </c>
      <c r="R33" s="62">
        <v>7180</v>
      </c>
      <c r="S33" s="62">
        <v>7180</v>
      </c>
      <c r="T33" s="62">
        <v>7180</v>
      </c>
      <c r="U33" s="190">
        <f t="shared" si="16"/>
        <v>89920</v>
      </c>
      <c r="V33" s="197">
        <f t="shared" ref="V33:V40" si="234">U33/(U$5+U$6+U$7+U$8+U$10+U$9)</f>
        <v>1.6207643270060017E-3</v>
      </c>
      <c r="W33" s="62">
        <v>7180</v>
      </c>
      <c r="X33" s="62">
        <v>7180</v>
      </c>
      <c r="Y33" s="62">
        <v>6960</v>
      </c>
      <c r="Z33" s="62">
        <v>6960</v>
      </c>
      <c r="AA33" s="62">
        <v>6960</v>
      </c>
      <c r="AB33" s="62">
        <v>6960</v>
      </c>
      <c r="AC33" s="62">
        <v>6960</v>
      </c>
      <c r="AD33" s="62">
        <v>6960</v>
      </c>
      <c r="AE33" s="62">
        <v>6960</v>
      </c>
      <c r="AF33" s="62">
        <v>6960</v>
      </c>
      <c r="AG33" s="62">
        <v>6960</v>
      </c>
      <c r="AH33" s="62">
        <v>6960</v>
      </c>
      <c r="AI33" s="190">
        <f t="shared" si="17"/>
        <v>83960</v>
      </c>
      <c r="AJ33" s="197">
        <f t="shared" ref="AJ33:AJ40" si="235">AI33/(AI$5+AI$6+AI$7+AI$8+AI$10+AI$9)</f>
        <v>1.1410910727944073E-3</v>
      </c>
      <c r="AK33" s="62">
        <v>6960</v>
      </c>
      <c r="AL33" s="62">
        <v>6960</v>
      </c>
      <c r="AM33" s="62">
        <v>7470</v>
      </c>
      <c r="AN33" s="62">
        <v>7470</v>
      </c>
      <c r="AO33" s="62">
        <v>7470</v>
      </c>
      <c r="AP33" s="62">
        <v>7470</v>
      </c>
      <c r="AQ33" s="62">
        <v>7470</v>
      </c>
      <c r="AR33" s="62">
        <v>7470</v>
      </c>
      <c r="AS33" s="62">
        <v>7470</v>
      </c>
      <c r="AT33" s="62">
        <v>7470</v>
      </c>
      <c r="AU33" s="62">
        <v>7470</v>
      </c>
      <c r="AV33" s="62">
        <v>7470</v>
      </c>
      <c r="AW33" s="190">
        <f t="shared" si="18"/>
        <v>88620</v>
      </c>
      <c r="AX33" s="197">
        <f t="shared" ref="AX33:AX40" si="236">AW33/(AW$5+AW$6+AW$7+AW$8+AW$10+AW$9)</f>
        <v>1.161660682951877E-3</v>
      </c>
      <c r="AY33" s="62">
        <v>-900</v>
      </c>
      <c r="AZ33" s="62">
        <v>0</v>
      </c>
      <c r="BA33" s="62">
        <v>0</v>
      </c>
      <c r="BB33" s="62">
        <v>0</v>
      </c>
      <c r="BC33" s="62">
        <v>0</v>
      </c>
      <c r="BD33" s="62">
        <v>0</v>
      </c>
      <c r="BE33" s="62">
        <v>0</v>
      </c>
      <c r="BF33" s="62">
        <v>0</v>
      </c>
      <c r="BG33" s="62">
        <v>0</v>
      </c>
      <c r="BH33" s="62">
        <v>0</v>
      </c>
      <c r="BI33" s="62">
        <v>0</v>
      </c>
      <c r="BJ33" s="62">
        <v>0</v>
      </c>
      <c r="BK33" s="190">
        <f t="shared" si="19"/>
        <v>-900</v>
      </c>
      <c r="BL33" s="197">
        <f t="shared" ref="BL33:BL40" si="237">BK33/(BK$5+BK$6+BK$7+BK$8+BK$10+BK$9)</f>
        <v>-1.2886778397326354E-5</v>
      </c>
      <c r="BM33" s="62">
        <v>0</v>
      </c>
      <c r="BN33" s="62">
        <v>0</v>
      </c>
      <c r="BO33" s="62">
        <v>0</v>
      </c>
      <c r="BP33" s="62">
        <v>0</v>
      </c>
      <c r="BQ33" s="62">
        <v>0</v>
      </c>
      <c r="BR33" s="62">
        <v>0</v>
      </c>
      <c r="BS33" s="62">
        <v>0</v>
      </c>
      <c r="BT33" s="62">
        <v>0</v>
      </c>
      <c r="BU33" s="62">
        <v>0</v>
      </c>
      <c r="BV33" s="62">
        <v>0</v>
      </c>
      <c r="BW33" s="62">
        <v>0</v>
      </c>
      <c r="BX33" s="62">
        <v>0</v>
      </c>
      <c r="BY33" s="190">
        <f t="shared" si="20"/>
        <v>0</v>
      </c>
      <c r="BZ33" s="197">
        <f t="shared" ref="BZ33:BZ40" si="238">BY33/(BY$5+BY$6+BY$7+BY$8+BY$10+BY$9)</f>
        <v>0</v>
      </c>
      <c r="CA33" s="62">
        <v>0</v>
      </c>
      <c r="CB33" s="62">
        <v>0</v>
      </c>
      <c r="CC33" s="62">
        <v>0</v>
      </c>
      <c r="CD33" s="62">
        <v>0</v>
      </c>
      <c r="CE33" s="62">
        <v>0</v>
      </c>
      <c r="CF33" s="62">
        <v>0</v>
      </c>
      <c r="CG33" s="62">
        <v>0</v>
      </c>
      <c r="CH33" s="62">
        <v>0</v>
      </c>
      <c r="CI33" s="62">
        <v>0</v>
      </c>
      <c r="CJ33" s="62">
        <v>0</v>
      </c>
      <c r="CK33" s="62">
        <v>0</v>
      </c>
      <c r="CL33" s="62">
        <v>0</v>
      </c>
      <c r="CM33" s="190">
        <f t="shared" si="21"/>
        <v>0</v>
      </c>
      <c r="CN33" s="62">
        <v>0</v>
      </c>
      <c r="CO33" s="62">
        <v>0</v>
      </c>
      <c r="CP33" s="62">
        <v>0</v>
      </c>
      <c r="CQ33" s="62">
        <v>0</v>
      </c>
      <c r="CR33" s="62">
        <v>0</v>
      </c>
      <c r="CS33" s="62">
        <v>0</v>
      </c>
      <c r="CT33" s="62">
        <v>0</v>
      </c>
      <c r="CU33" s="62">
        <v>0</v>
      </c>
      <c r="CV33" s="62">
        <v>0</v>
      </c>
      <c r="CW33" s="62">
        <v>0</v>
      </c>
      <c r="CX33" s="62">
        <v>0</v>
      </c>
      <c r="CY33" s="62">
        <v>0</v>
      </c>
      <c r="CZ33" s="190">
        <f t="shared" si="22"/>
        <v>0</v>
      </c>
      <c r="DA33" s="62">
        <v>0</v>
      </c>
      <c r="DB33" s="62">
        <v>0</v>
      </c>
      <c r="DC33" s="62">
        <v>0</v>
      </c>
      <c r="DD33" s="62">
        <v>0</v>
      </c>
      <c r="DE33" s="62">
        <v>0</v>
      </c>
      <c r="DF33" s="62">
        <v>0</v>
      </c>
      <c r="DG33" s="62">
        <v>0</v>
      </c>
      <c r="DH33" s="62">
        <v>0</v>
      </c>
      <c r="DI33" s="62">
        <v>0</v>
      </c>
      <c r="DJ33" s="62">
        <v>0</v>
      </c>
      <c r="DK33" s="62">
        <v>0</v>
      </c>
      <c r="DL33" s="62">
        <v>0</v>
      </c>
      <c r="DM33" s="190">
        <f t="shared" si="23"/>
        <v>0</v>
      </c>
      <c r="DN33" s="62">
        <v>0</v>
      </c>
      <c r="DO33" s="62">
        <v>0</v>
      </c>
      <c r="DP33" s="62">
        <v>0</v>
      </c>
      <c r="DQ33" s="62">
        <v>0</v>
      </c>
      <c r="DR33" s="62">
        <v>0</v>
      </c>
      <c r="DS33" s="62">
        <v>0</v>
      </c>
      <c r="DT33" s="62">
        <v>0</v>
      </c>
      <c r="DU33" s="62">
        <v>0</v>
      </c>
      <c r="DV33" s="62">
        <v>0</v>
      </c>
      <c r="DW33" s="62">
        <v>0</v>
      </c>
      <c r="DX33" s="62">
        <v>0</v>
      </c>
      <c r="DY33" s="62">
        <v>0</v>
      </c>
      <c r="DZ33" s="190">
        <f t="shared" si="24"/>
        <v>0</v>
      </c>
    </row>
    <row r="34" spans="1:130" ht="20.45" customHeight="1" outlineLevel="2">
      <c r="A34" s="663"/>
      <c r="B34" s="653"/>
      <c r="C34" s="30" t="s">
        <v>3220</v>
      </c>
      <c r="D34" s="62">
        <f t="shared" si="0"/>
        <v>270906</v>
      </c>
      <c r="E34" s="184">
        <f t="shared" si="179"/>
        <v>8.3818407830628004E-4</v>
      </c>
      <c r="F34" s="62">
        <v>0</v>
      </c>
      <c r="G34" s="190">
        <f t="shared" ref="G34" si="239">SUM(F34)</f>
        <v>0</v>
      </c>
      <c r="H34" s="197">
        <f t="shared" si="233"/>
        <v>0</v>
      </c>
      <c r="I34" s="62">
        <v>0</v>
      </c>
      <c r="J34" s="62">
        <v>0</v>
      </c>
      <c r="K34" s="62">
        <v>0</v>
      </c>
      <c r="L34" s="62">
        <v>0</v>
      </c>
      <c r="M34" s="62">
        <v>0</v>
      </c>
      <c r="N34" s="62">
        <v>0</v>
      </c>
      <c r="O34" s="62">
        <v>0</v>
      </c>
      <c r="P34" s="62">
        <v>0</v>
      </c>
      <c r="Q34" s="62">
        <v>0</v>
      </c>
      <c r="R34" s="62">
        <v>0</v>
      </c>
      <c r="S34" s="62">
        <v>0</v>
      </c>
      <c r="T34" s="62">
        <v>0</v>
      </c>
      <c r="U34" s="190">
        <f t="shared" ref="U34" si="240">SUM(I34:T34)</f>
        <v>0</v>
      </c>
      <c r="V34" s="197">
        <f t="shared" si="234"/>
        <v>0</v>
      </c>
      <c r="W34" s="62">
        <v>0</v>
      </c>
      <c r="X34" s="62">
        <v>0</v>
      </c>
      <c r="Y34" s="62">
        <v>0</v>
      </c>
      <c r="Z34" s="62">
        <v>0</v>
      </c>
      <c r="AA34" s="62">
        <v>0</v>
      </c>
      <c r="AB34" s="62">
        <v>0</v>
      </c>
      <c r="AC34" s="62">
        <v>0</v>
      </c>
      <c r="AD34" s="62">
        <v>0</v>
      </c>
      <c r="AE34" s="62">
        <v>0</v>
      </c>
      <c r="AF34" s="62">
        <v>0</v>
      </c>
      <c r="AG34" s="62">
        <v>0</v>
      </c>
      <c r="AH34" s="62">
        <v>0</v>
      </c>
      <c r="AI34" s="190">
        <f t="shared" ref="AI34" si="241">SUM(W34:AH34)</f>
        <v>0</v>
      </c>
      <c r="AJ34" s="197">
        <f t="shared" si="235"/>
        <v>0</v>
      </c>
      <c r="AK34" s="62">
        <v>0</v>
      </c>
      <c r="AL34" s="62">
        <v>0</v>
      </c>
      <c r="AM34" s="62">
        <v>0</v>
      </c>
      <c r="AN34" s="62">
        <v>0</v>
      </c>
      <c r="AO34" s="62">
        <v>0</v>
      </c>
      <c r="AP34" s="62">
        <v>0</v>
      </c>
      <c r="AQ34" s="62">
        <v>0</v>
      </c>
      <c r="AR34" s="62">
        <v>0</v>
      </c>
      <c r="AS34" s="62">
        <v>0</v>
      </c>
      <c r="AT34" s="62">
        <v>0</v>
      </c>
      <c r="AU34" s="62">
        <v>0</v>
      </c>
      <c r="AV34" s="62">
        <v>0</v>
      </c>
      <c r="AW34" s="190">
        <f t="shared" ref="AW34" si="242">SUM(AK34:AV34)</f>
        <v>0</v>
      </c>
      <c r="AX34" s="197">
        <f t="shared" si="236"/>
        <v>0</v>
      </c>
      <c r="AY34" s="62">
        <v>0</v>
      </c>
      <c r="AZ34" s="62">
        <v>0</v>
      </c>
      <c r="BA34" s="62">
        <v>0</v>
      </c>
      <c r="BB34" s="62">
        <v>0</v>
      </c>
      <c r="BC34" s="62">
        <v>0</v>
      </c>
      <c r="BD34" s="62">
        <f>20763*2-132</f>
        <v>41394</v>
      </c>
      <c r="BE34" s="62">
        <v>20763</v>
      </c>
      <c r="BF34" s="62">
        <v>20763</v>
      </c>
      <c r="BG34" s="62">
        <v>20763</v>
      </c>
      <c r="BH34" s="62">
        <v>20763</v>
      </c>
      <c r="BI34" s="62">
        <v>20763</v>
      </c>
      <c r="BJ34" s="62">
        <v>20763</v>
      </c>
      <c r="BK34" s="190">
        <f t="shared" ref="BK34" si="243">SUM(AY34:BJ34)</f>
        <v>165972</v>
      </c>
      <c r="BL34" s="197">
        <f t="shared" si="237"/>
        <v>2.376493760178944E-3</v>
      </c>
      <c r="BM34" s="62">
        <v>0</v>
      </c>
      <c r="BN34" s="62">
        <v>41526</v>
      </c>
      <c r="BO34" s="62">
        <v>21136</v>
      </c>
      <c r="BP34" s="62">
        <v>21136</v>
      </c>
      <c r="BQ34" s="62">
        <v>21136</v>
      </c>
      <c r="BR34" s="62">
        <v>0</v>
      </c>
      <c r="BS34" s="62">
        <v>0</v>
      </c>
      <c r="BT34" s="62">
        <v>0</v>
      </c>
      <c r="BU34" s="62">
        <v>0</v>
      </c>
      <c r="BV34" s="62">
        <v>0</v>
      </c>
      <c r="BW34" s="62">
        <v>0</v>
      </c>
      <c r="BX34" s="62">
        <v>0</v>
      </c>
      <c r="BY34" s="190">
        <f t="shared" ref="BY34" si="244">SUM(BM34:BX34)</f>
        <v>104934</v>
      </c>
      <c r="BZ34" s="197">
        <f t="shared" si="238"/>
        <v>2.4043778952310443E-3</v>
      </c>
      <c r="CA34" s="62">
        <v>0</v>
      </c>
      <c r="CB34" s="62">
        <v>0</v>
      </c>
      <c r="CC34" s="62">
        <v>0</v>
      </c>
      <c r="CD34" s="62">
        <v>0</v>
      </c>
      <c r="CE34" s="62">
        <v>0</v>
      </c>
      <c r="CF34" s="62">
        <v>0</v>
      </c>
      <c r="CG34" s="62">
        <v>0</v>
      </c>
      <c r="CH34" s="62">
        <v>0</v>
      </c>
      <c r="CI34" s="62">
        <v>0</v>
      </c>
      <c r="CJ34" s="62">
        <v>0</v>
      </c>
      <c r="CK34" s="62">
        <v>0</v>
      </c>
      <c r="CL34" s="62">
        <v>0</v>
      </c>
      <c r="CM34" s="190">
        <f t="shared" ref="CM34" si="245">SUM(CA34:CL34)</f>
        <v>0</v>
      </c>
      <c r="CN34" s="62">
        <v>0</v>
      </c>
      <c r="CO34" s="62">
        <v>0</v>
      </c>
      <c r="CP34" s="62">
        <v>0</v>
      </c>
      <c r="CQ34" s="62">
        <v>0</v>
      </c>
      <c r="CR34" s="62">
        <v>0</v>
      </c>
      <c r="CS34" s="62">
        <v>0</v>
      </c>
      <c r="CT34" s="62">
        <v>0</v>
      </c>
      <c r="CU34" s="62">
        <v>0</v>
      </c>
      <c r="CV34" s="62">
        <v>0</v>
      </c>
      <c r="CW34" s="62">
        <v>0</v>
      </c>
      <c r="CX34" s="62">
        <v>0</v>
      </c>
      <c r="CY34" s="62">
        <v>0</v>
      </c>
      <c r="CZ34" s="190">
        <f t="shared" ref="CZ34" si="246">SUM(CN34:CY34)</f>
        <v>0</v>
      </c>
      <c r="DA34" s="62">
        <v>0</v>
      </c>
      <c r="DB34" s="62">
        <v>0</v>
      </c>
      <c r="DC34" s="62">
        <v>0</v>
      </c>
      <c r="DD34" s="62">
        <v>0</v>
      </c>
      <c r="DE34" s="62">
        <v>0</v>
      </c>
      <c r="DF34" s="62">
        <v>0</v>
      </c>
      <c r="DG34" s="62">
        <v>0</v>
      </c>
      <c r="DH34" s="62">
        <v>0</v>
      </c>
      <c r="DI34" s="62">
        <v>0</v>
      </c>
      <c r="DJ34" s="62">
        <v>0</v>
      </c>
      <c r="DK34" s="62">
        <v>0</v>
      </c>
      <c r="DL34" s="62">
        <v>0</v>
      </c>
      <c r="DM34" s="190">
        <f t="shared" ref="DM34" si="247">SUM(DA34:DL34)</f>
        <v>0</v>
      </c>
      <c r="DN34" s="62">
        <v>0</v>
      </c>
      <c r="DO34" s="62">
        <v>0</v>
      </c>
      <c r="DP34" s="62">
        <v>0</v>
      </c>
      <c r="DQ34" s="62">
        <v>0</v>
      </c>
      <c r="DR34" s="62">
        <v>0</v>
      </c>
      <c r="DS34" s="62">
        <v>0</v>
      </c>
      <c r="DT34" s="62">
        <v>0</v>
      </c>
      <c r="DU34" s="62">
        <v>0</v>
      </c>
      <c r="DV34" s="62">
        <v>0</v>
      </c>
      <c r="DW34" s="62">
        <v>0</v>
      </c>
      <c r="DX34" s="62">
        <v>0</v>
      </c>
      <c r="DY34" s="62">
        <v>0</v>
      </c>
      <c r="DZ34" s="190">
        <f t="shared" ref="DZ34" si="248">SUM(DN34:DY34)</f>
        <v>0</v>
      </c>
    </row>
    <row r="35" spans="1:130" ht="20.45" customHeight="1" outlineLevel="2">
      <c r="A35" s="663"/>
      <c r="B35" s="653"/>
      <c r="C35" s="30" t="s">
        <v>3221</v>
      </c>
      <c r="D35" s="62">
        <f t="shared" si="0"/>
        <v>325356.00000000006</v>
      </c>
      <c r="E35" s="184">
        <f t="shared" si="179"/>
        <v>1.0066525620747349E-3</v>
      </c>
      <c r="F35" s="62">
        <v>0</v>
      </c>
      <c r="G35" s="190">
        <f t="shared" ref="G35" si="249">SUM(F35)</f>
        <v>0</v>
      </c>
      <c r="H35" s="197">
        <f t="shared" si="233"/>
        <v>0</v>
      </c>
      <c r="I35" s="62">
        <v>0</v>
      </c>
      <c r="J35" s="62">
        <v>0</v>
      </c>
      <c r="K35" s="62">
        <v>0</v>
      </c>
      <c r="L35" s="62">
        <v>0</v>
      </c>
      <c r="M35" s="62">
        <v>0</v>
      </c>
      <c r="N35" s="62">
        <v>0</v>
      </c>
      <c r="O35" s="62">
        <v>0</v>
      </c>
      <c r="P35" s="62">
        <v>0</v>
      </c>
      <c r="Q35" s="62">
        <v>0</v>
      </c>
      <c r="R35" s="62">
        <v>0</v>
      </c>
      <c r="S35" s="62">
        <v>0</v>
      </c>
      <c r="T35" s="62">
        <v>0</v>
      </c>
      <c r="U35" s="190">
        <f t="shared" ref="U35" si="250">SUM(I35:T35)</f>
        <v>0</v>
      </c>
      <c r="V35" s="197">
        <f t="shared" si="234"/>
        <v>0</v>
      </c>
      <c r="W35" s="62">
        <v>0</v>
      </c>
      <c r="X35" s="62">
        <v>0</v>
      </c>
      <c r="Y35" s="62">
        <v>0</v>
      </c>
      <c r="Z35" s="62">
        <v>0</v>
      </c>
      <c r="AA35" s="62">
        <v>0</v>
      </c>
      <c r="AB35" s="62">
        <v>0</v>
      </c>
      <c r="AC35" s="62">
        <v>0</v>
      </c>
      <c r="AD35" s="62">
        <v>0</v>
      </c>
      <c r="AE35" s="62">
        <v>0</v>
      </c>
      <c r="AF35" s="62">
        <v>0</v>
      </c>
      <c r="AG35" s="62">
        <v>0</v>
      </c>
      <c r="AH35" s="62">
        <v>0</v>
      </c>
      <c r="AI35" s="190">
        <f t="shared" ref="AI35" si="251">SUM(W35:AH35)</f>
        <v>0</v>
      </c>
      <c r="AJ35" s="197">
        <f t="shared" si="235"/>
        <v>0</v>
      </c>
      <c r="AK35" s="62">
        <v>0</v>
      </c>
      <c r="AL35" s="62">
        <v>0</v>
      </c>
      <c r="AM35" s="62">
        <v>0</v>
      </c>
      <c r="AN35" s="62">
        <v>0</v>
      </c>
      <c r="AO35" s="62">
        <v>0</v>
      </c>
      <c r="AP35" s="62">
        <v>0</v>
      </c>
      <c r="AQ35" s="62">
        <v>0</v>
      </c>
      <c r="AR35" s="62">
        <v>0</v>
      </c>
      <c r="AS35" s="62">
        <v>0</v>
      </c>
      <c r="AT35" s="62">
        <v>0</v>
      </c>
      <c r="AU35" s="62">
        <v>0</v>
      </c>
      <c r="AV35" s="62">
        <v>0</v>
      </c>
      <c r="AW35" s="190">
        <f t="shared" ref="AW35" si="252">SUM(AK35:AV35)</f>
        <v>0</v>
      </c>
      <c r="AX35" s="197">
        <f t="shared" si="236"/>
        <v>0</v>
      </c>
      <c r="AY35" s="62">
        <v>0</v>
      </c>
      <c r="AZ35" s="62">
        <v>0</v>
      </c>
      <c r="BA35" s="62">
        <v>0</v>
      </c>
      <c r="BB35" s="62">
        <v>0</v>
      </c>
      <c r="BC35" s="62">
        <v>0</v>
      </c>
      <c r="BD35" s="62">
        <f>79322*2</f>
        <v>158644</v>
      </c>
      <c r="BE35" s="62">
        <v>79322</v>
      </c>
      <c r="BF35" s="62">
        <f>79290-395467+395467</f>
        <v>79290</v>
      </c>
      <c r="BG35" s="62">
        <v>900</v>
      </c>
      <c r="BH35" s="62">
        <v>900</v>
      </c>
      <c r="BI35" s="62">
        <v>900</v>
      </c>
      <c r="BJ35" s="62">
        <v>900</v>
      </c>
      <c r="BK35" s="190">
        <f t="shared" ref="BK35" si="253">SUM(AY35:BJ35)</f>
        <v>320856</v>
      </c>
      <c r="BL35" s="197">
        <f t="shared" si="237"/>
        <v>4.5942224105028273E-3</v>
      </c>
      <c r="BM35" s="62">
        <f>900</f>
        <v>900</v>
      </c>
      <c r="BN35" s="62">
        <v>900</v>
      </c>
      <c r="BO35" s="62">
        <v>900</v>
      </c>
      <c r="BP35" s="62">
        <f>900</f>
        <v>900</v>
      </c>
      <c r="BQ35" s="62">
        <v>900</v>
      </c>
      <c r="BR35" s="62">
        <v>0</v>
      </c>
      <c r="BS35" s="62">
        <v>0</v>
      </c>
      <c r="BT35" s="62">
        <v>0</v>
      </c>
      <c r="BU35" s="62">
        <v>0</v>
      </c>
      <c r="BV35" s="62">
        <v>0</v>
      </c>
      <c r="BW35" s="62">
        <v>0</v>
      </c>
      <c r="BX35" s="62">
        <v>0</v>
      </c>
      <c r="BY35" s="190">
        <f t="shared" ref="BY35" si="254">SUM(BM35:BX35)</f>
        <v>4500</v>
      </c>
      <c r="BZ35" s="197">
        <f t="shared" si="238"/>
        <v>1.0310957867363962E-4</v>
      </c>
      <c r="CA35" s="62">
        <v>0</v>
      </c>
      <c r="CB35" s="62">
        <v>0</v>
      </c>
      <c r="CC35" s="62">
        <v>0</v>
      </c>
      <c r="CD35" s="62">
        <v>0</v>
      </c>
      <c r="CE35" s="62">
        <v>0</v>
      </c>
      <c r="CF35" s="62">
        <v>0</v>
      </c>
      <c r="CG35" s="62">
        <v>0</v>
      </c>
      <c r="CH35" s="62">
        <v>0</v>
      </c>
      <c r="CI35" s="62">
        <v>0</v>
      </c>
      <c r="CJ35" s="62">
        <v>0</v>
      </c>
      <c r="CK35" s="62">
        <v>0</v>
      </c>
      <c r="CL35" s="62">
        <v>0</v>
      </c>
      <c r="CM35" s="190">
        <f t="shared" ref="CM35" si="255">SUM(CA35:CL35)</f>
        <v>0</v>
      </c>
      <c r="CN35" s="62">
        <v>0</v>
      </c>
      <c r="CO35" s="62">
        <v>0</v>
      </c>
      <c r="CP35" s="62">
        <v>0</v>
      </c>
      <c r="CQ35" s="62">
        <v>0</v>
      </c>
      <c r="CR35" s="62">
        <v>0</v>
      </c>
      <c r="CS35" s="62">
        <v>0</v>
      </c>
      <c r="CT35" s="62">
        <v>0</v>
      </c>
      <c r="CU35" s="62">
        <v>0</v>
      </c>
      <c r="CV35" s="62">
        <v>0</v>
      </c>
      <c r="CW35" s="62">
        <v>0</v>
      </c>
      <c r="CX35" s="62">
        <v>0</v>
      </c>
      <c r="CY35" s="62">
        <v>0</v>
      </c>
      <c r="CZ35" s="190">
        <f t="shared" ref="CZ35" si="256">SUM(CN35:CY35)</f>
        <v>0</v>
      </c>
      <c r="DA35" s="62">
        <v>0</v>
      </c>
      <c r="DB35" s="62">
        <v>0</v>
      </c>
      <c r="DC35" s="62">
        <v>0</v>
      </c>
      <c r="DD35" s="62">
        <v>0</v>
      </c>
      <c r="DE35" s="62">
        <v>0</v>
      </c>
      <c r="DF35" s="62">
        <v>0</v>
      </c>
      <c r="DG35" s="62">
        <v>0</v>
      </c>
      <c r="DH35" s="62">
        <v>0</v>
      </c>
      <c r="DI35" s="62">
        <v>0</v>
      </c>
      <c r="DJ35" s="62">
        <v>0</v>
      </c>
      <c r="DK35" s="62">
        <v>0</v>
      </c>
      <c r="DL35" s="62">
        <v>0</v>
      </c>
      <c r="DM35" s="190">
        <f t="shared" ref="DM35" si="257">SUM(DA35:DL35)</f>
        <v>0</v>
      </c>
      <c r="DN35" s="62">
        <v>0</v>
      </c>
      <c r="DO35" s="62">
        <v>0</v>
      </c>
      <c r="DP35" s="62">
        <v>0</v>
      </c>
      <c r="DQ35" s="62">
        <v>0</v>
      </c>
      <c r="DR35" s="62">
        <v>0</v>
      </c>
      <c r="DS35" s="62">
        <v>0</v>
      </c>
      <c r="DT35" s="62">
        <v>0</v>
      </c>
      <c r="DU35" s="62">
        <v>0</v>
      </c>
      <c r="DV35" s="62">
        <v>0</v>
      </c>
      <c r="DW35" s="62">
        <v>0</v>
      </c>
      <c r="DX35" s="62">
        <v>0</v>
      </c>
      <c r="DY35" s="62">
        <v>0</v>
      </c>
      <c r="DZ35" s="190">
        <f t="shared" ref="DZ35" si="258">SUM(DN35:DY35)</f>
        <v>0</v>
      </c>
    </row>
    <row r="36" spans="1:130" ht="20.45" customHeight="1" outlineLevel="2">
      <c r="A36" s="662"/>
      <c r="B36" s="653"/>
      <c r="C36" s="30" t="s">
        <v>313</v>
      </c>
      <c r="D36" s="62">
        <f t="shared" si="0"/>
        <v>1433780</v>
      </c>
      <c r="E36" s="184">
        <f t="shared" si="179"/>
        <v>4.4361201589997205E-3</v>
      </c>
      <c r="F36" s="62">
        <v>20980</v>
      </c>
      <c r="G36" s="190">
        <f t="shared" si="36"/>
        <v>20980</v>
      </c>
      <c r="H36" s="197">
        <f t="shared" si="233"/>
        <v>4.7922465197394641E-3</v>
      </c>
      <c r="I36" s="62">
        <v>20980</v>
      </c>
      <c r="J36" s="62">
        <v>20980</v>
      </c>
      <c r="K36" s="62">
        <v>20980</v>
      </c>
      <c r="L36" s="62">
        <v>20980</v>
      </c>
      <c r="M36" s="62">
        <v>20980</v>
      </c>
      <c r="N36" s="62">
        <v>20980</v>
      </c>
      <c r="O36" s="62">
        <v>20980</v>
      </c>
      <c r="P36" s="62">
        <v>20980</v>
      </c>
      <c r="Q36" s="62">
        <v>20980</v>
      </c>
      <c r="R36" s="62">
        <v>20980</v>
      </c>
      <c r="S36" s="62">
        <v>20980</v>
      </c>
      <c r="T36" s="62">
        <v>20980</v>
      </c>
      <c r="U36" s="190">
        <f t="shared" si="16"/>
        <v>251760</v>
      </c>
      <c r="V36" s="197">
        <f t="shared" si="234"/>
        <v>4.5378517233878E-3</v>
      </c>
      <c r="W36" s="62">
        <v>20980</v>
      </c>
      <c r="X36" s="62">
        <v>20980</v>
      </c>
      <c r="Y36" s="62">
        <v>20980</v>
      </c>
      <c r="Z36" s="62">
        <v>20980</v>
      </c>
      <c r="AA36" s="62">
        <v>29920</v>
      </c>
      <c r="AB36" s="62">
        <v>29920</v>
      </c>
      <c r="AC36" s="62">
        <v>29920</v>
      </c>
      <c r="AD36" s="62">
        <v>29920</v>
      </c>
      <c r="AE36" s="62">
        <v>29920</v>
      </c>
      <c r="AF36" s="62">
        <v>29920</v>
      </c>
      <c r="AG36" s="62">
        <v>29920</v>
      </c>
      <c r="AH36" s="62">
        <v>29920</v>
      </c>
      <c r="AI36" s="190">
        <f t="shared" si="17"/>
        <v>323280</v>
      </c>
      <c r="AJ36" s="197">
        <f t="shared" si="235"/>
        <v>4.39366272049757E-3</v>
      </c>
      <c r="AK36" s="62">
        <v>29920</v>
      </c>
      <c r="AL36" s="62">
        <v>29920</v>
      </c>
      <c r="AM36" s="62">
        <v>29920</v>
      </c>
      <c r="AN36" s="62">
        <v>29920</v>
      </c>
      <c r="AO36" s="62">
        <v>29920</v>
      </c>
      <c r="AP36" s="62">
        <v>29920</v>
      </c>
      <c r="AQ36" s="62">
        <v>29920</v>
      </c>
      <c r="AR36" s="62">
        <v>29920</v>
      </c>
      <c r="AS36" s="62">
        <v>29920</v>
      </c>
      <c r="AT36" s="62">
        <v>29920</v>
      </c>
      <c r="AU36" s="62">
        <v>29920</v>
      </c>
      <c r="AV36" s="62">
        <v>29920</v>
      </c>
      <c r="AW36" s="190">
        <f t="shared" si="18"/>
        <v>359040</v>
      </c>
      <c r="AX36" s="197">
        <f t="shared" si="236"/>
        <v>4.7064167412214164E-3</v>
      </c>
      <c r="AY36" s="62">
        <v>0</v>
      </c>
      <c r="AZ36" s="62">
        <v>29920</v>
      </c>
      <c r="BA36" s="62">
        <v>29920</v>
      </c>
      <c r="BB36" s="62">
        <v>29920</v>
      </c>
      <c r="BC36" s="62">
        <v>29920</v>
      </c>
      <c r="BD36" s="62">
        <v>29920</v>
      </c>
      <c r="BE36" s="62">
        <v>29920</v>
      </c>
      <c r="BF36" s="62">
        <v>29920</v>
      </c>
      <c r="BG36" s="62">
        <v>29920</v>
      </c>
      <c r="BH36" s="62">
        <v>29920</v>
      </c>
      <c r="BI36" s="62">
        <v>29920</v>
      </c>
      <c r="BJ36" s="62">
        <v>29920</v>
      </c>
      <c r="BK36" s="190">
        <f t="shared" si="19"/>
        <v>329120</v>
      </c>
      <c r="BL36" s="197">
        <f t="shared" si="237"/>
        <v>4.7125516734756109E-3</v>
      </c>
      <c r="BM36" s="62">
        <v>29920</v>
      </c>
      <c r="BN36" s="62">
        <v>29920</v>
      </c>
      <c r="BO36" s="62">
        <v>29920</v>
      </c>
      <c r="BP36" s="62">
        <v>29920</v>
      </c>
      <c r="BQ36" s="62">
        <v>29920</v>
      </c>
      <c r="BR36" s="62">
        <v>0</v>
      </c>
      <c r="BS36" s="62">
        <v>0</v>
      </c>
      <c r="BT36" s="62">
        <v>0</v>
      </c>
      <c r="BU36" s="62">
        <v>0</v>
      </c>
      <c r="BV36" s="62">
        <v>0</v>
      </c>
      <c r="BW36" s="62">
        <v>0</v>
      </c>
      <c r="BX36" s="62">
        <v>0</v>
      </c>
      <c r="BY36" s="190">
        <f t="shared" si="20"/>
        <v>149600</v>
      </c>
      <c r="BZ36" s="197">
        <f t="shared" si="238"/>
        <v>3.4278206599058863E-3</v>
      </c>
      <c r="CA36" s="62">
        <v>0</v>
      </c>
      <c r="CB36" s="62">
        <v>0</v>
      </c>
      <c r="CC36" s="62">
        <v>0</v>
      </c>
      <c r="CD36" s="62">
        <v>0</v>
      </c>
      <c r="CE36" s="62">
        <v>0</v>
      </c>
      <c r="CF36" s="62">
        <v>0</v>
      </c>
      <c r="CG36" s="62">
        <v>0</v>
      </c>
      <c r="CH36" s="62">
        <v>0</v>
      </c>
      <c r="CI36" s="62">
        <v>0</v>
      </c>
      <c r="CJ36" s="62">
        <v>0</v>
      </c>
      <c r="CK36" s="62">
        <v>0</v>
      </c>
      <c r="CL36" s="62">
        <v>0</v>
      </c>
      <c r="CM36" s="190">
        <f t="shared" si="21"/>
        <v>0</v>
      </c>
      <c r="CN36" s="62">
        <v>0</v>
      </c>
      <c r="CO36" s="62">
        <v>0</v>
      </c>
      <c r="CP36" s="62">
        <v>0</v>
      </c>
      <c r="CQ36" s="62">
        <v>0</v>
      </c>
      <c r="CR36" s="62">
        <v>0</v>
      </c>
      <c r="CS36" s="62">
        <v>0</v>
      </c>
      <c r="CT36" s="62">
        <v>0</v>
      </c>
      <c r="CU36" s="62">
        <v>0</v>
      </c>
      <c r="CV36" s="62">
        <v>0</v>
      </c>
      <c r="CW36" s="62">
        <v>0</v>
      </c>
      <c r="CX36" s="62">
        <v>0</v>
      </c>
      <c r="CY36" s="62">
        <v>0</v>
      </c>
      <c r="CZ36" s="190">
        <f t="shared" si="22"/>
        <v>0</v>
      </c>
      <c r="DA36" s="62">
        <v>0</v>
      </c>
      <c r="DB36" s="62">
        <v>0</v>
      </c>
      <c r="DC36" s="62">
        <v>0</v>
      </c>
      <c r="DD36" s="62">
        <v>0</v>
      </c>
      <c r="DE36" s="62">
        <v>0</v>
      </c>
      <c r="DF36" s="62">
        <v>0</v>
      </c>
      <c r="DG36" s="62">
        <v>0</v>
      </c>
      <c r="DH36" s="62">
        <v>0</v>
      </c>
      <c r="DI36" s="62">
        <v>0</v>
      </c>
      <c r="DJ36" s="62">
        <v>0</v>
      </c>
      <c r="DK36" s="62">
        <v>0</v>
      </c>
      <c r="DL36" s="62">
        <v>0</v>
      </c>
      <c r="DM36" s="190">
        <f t="shared" si="23"/>
        <v>0</v>
      </c>
      <c r="DN36" s="62">
        <v>0</v>
      </c>
      <c r="DO36" s="62">
        <v>0</v>
      </c>
      <c r="DP36" s="62">
        <v>0</v>
      </c>
      <c r="DQ36" s="62">
        <v>0</v>
      </c>
      <c r="DR36" s="62">
        <v>0</v>
      </c>
      <c r="DS36" s="62">
        <v>0</v>
      </c>
      <c r="DT36" s="62">
        <v>0</v>
      </c>
      <c r="DU36" s="62">
        <v>0</v>
      </c>
      <c r="DV36" s="62">
        <v>0</v>
      </c>
      <c r="DW36" s="62">
        <v>0</v>
      </c>
      <c r="DX36" s="62">
        <v>0</v>
      </c>
      <c r="DY36" s="62">
        <v>0</v>
      </c>
      <c r="DZ36" s="190">
        <f t="shared" si="24"/>
        <v>0</v>
      </c>
    </row>
    <row r="37" spans="1:130" ht="20.45" customHeight="1" outlineLevel="2">
      <c r="A37" s="662"/>
      <c r="B37" s="653"/>
      <c r="C37" s="30" t="s">
        <v>314</v>
      </c>
      <c r="D37" s="62">
        <f t="shared" si="0"/>
        <v>613849.00000000023</v>
      </c>
      <c r="E37" s="184">
        <f t="shared" si="179"/>
        <v>1.8992508777370451E-3</v>
      </c>
      <c r="F37" s="62">
        <v>18550</v>
      </c>
      <c r="G37" s="190">
        <f t="shared" si="36"/>
        <v>18550</v>
      </c>
      <c r="H37" s="197">
        <f t="shared" si="233"/>
        <v>4.2371865081585825E-3</v>
      </c>
      <c r="I37" s="62">
        <v>18550</v>
      </c>
      <c r="J37" s="62">
        <v>18550</v>
      </c>
      <c r="K37" s="62">
        <v>18550</v>
      </c>
      <c r="L37" s="62">
        <v>18550</v>
      </c>
      <c r="M37" s="62">
        <v>18550</v>
      </c>
      <c r="N37" s="62">
        <v>18550</v>
      </c>
      <c r="O37" s="62">
        <v>18550</v>
      </c>
      <c r="P37" s="62">
        <v>18550</v>
      </c>
      <c r="Q37" s="62">
        <v>18550</v>
      </c>
      <c r="R37" s="62">
        <v>18550</v>
      </c>
      <c r="S37" s="62">
        <v>18550</v>
      </c>
      <c r="T37" s="62">
        <v>18550</v>
      </c>
      <c r="U37" s="190">
        <f t="shared" si="16"/>
        <v>222600</v>
      </c>
      <c r="V37" s="197">
        <f t="shared" si="234"/>
        <v>4.0122568860268687E-3</v>
      </c>
      <c r="W37" s="62">
        <v>18550</v>
      </c>
      <c r="X37" s="62">
        <v>18550</v>
      </c>
      <c r="Y37" s="62">
        <v>18550</v>
      </c>
      <c r="Z37" s="62">
        <v>18550</v>
      </c>
      <c r="AA37" s="62">
        <v>18550</v>
      </c>
      <c r="AB37" s="62">
        <f>18550+9405</f>
        <v>27955</v>
      </c>
      <c r="AC37" s="62">
        <v>9405</v>
      </c>
      <c r="AD37" s="62">
        <v>9405</v>
      </c>
      <c r="AE37" s="62">
        <f>9405</f>
        <v>9405</v>
      </c>
      <c r="AF37" s="62">
        <v>9405</v>
      </c>
      <c r="AG37" s="62">
        <v>9405</v>
      </c>
      <c r="AH37" s="62">
        <v>9405</v>
      </c>
      <c r="AI37" s="190">
        <f t="shared" si="17"/>
        <v>177135</v>
      </c>
      <c r="AJ37" s="197">
        <f t="shared" si="235"/>
        <v>2.4074221912748612E-3</v>
      </c>
      <c r="AK37" s="62">
        <v>9405</v>
      </c>
      <c r="AL37" s="62">
        <v>9405</v>
      </c>
      <c r="AM37" s="62">
        <v>9405</v>
      </c>
      <c r="AN37" s="62">
        <v>9405</v>
      </c>
      <c r="AO37" s="62">
        <v>9405</v>
      </c>
      <c r="AP37" s="62">
        <v>9405</v>
      </c>
      <c r="AQ37" s="62">
        <v>9405</v>
      </c>
      <c r="AR37" s="62">
        <v>9405</v>
      </c>
      <c r="AS37" s="62">
        <v>9405</v>
      </c>
      <c r="AT37" s="62">
        <v>9405</v>
      </c>
      <c r="AU37" s="62">
        <v>9405</v>
      </c>
      <c r="AV37" s="62">
        <v>9405</v>
      </c>
      <c r="AW37" s="190">
        <f t="shared" si="18"/>
        <v>112860</v>
      </c>
      <c r="AX37" s="197">
        <f t="shared" si="236"/>
        <v>1.4794067329942321E-3</v>
      </c>
      <c r="AY37" s="62">
        <v>0</v>
      </c>
      <c r="AZ37" s="62">
        <v>0</v>
      </c>
      <c r="BA37" s="62">
        <v>9405</v>
      </c>
      <c r="BB37" s="62">
        <v>9405</v>
      </c>
      <c r="BC37" s="62">
        <v>9405</v>
      </c>
      <c r="BD37" s="62">
        <f>9405+3757+3757</f>
        <v>16919</v>
      </c>
      <c r="BE37" s="62">
        <v>3757</v>
      </c>
      <c r="BF37" s="62">
        <v>3757</v>
      </c>
      <c r="BG37" s="62">
        <v>3757</v>
      </c>
      <c r="BH37" s="62">
        <v>3757</v>
      </c>
      <c r="BI37" s="62">
        <v>3757</v>
      </c>
      <c r="BJ37" s="62">
        <v>3757</v>
      </c>
      <c r="BK37" s="190">
        <f t="shared" si="19"/>
        <v>67676</v>
      </c>
      <c r="BL37" s="197">
        <f t="shared" si="237"/>
        <v>9.6902846090828705E-4</v>
      </c>
      <c r="BM37" s="62">
        <v>3757</v>
      </c>
      <c r="BN37" s="62">
        <v>3757</v>
      </c>
      <c r="BO37" s="62">
        <v>3757</v>
      </c>
      <c r="BP37" s="62">
        <v>3757</v>
      </c>
      <c r="BQ37" s="62">
        <v>0</v>
      </c>
      <c r="BR37" s="62">
        <v>0</v>
      </c>
      <c r="BS37" s="62">
        <v>0</v>
      </c>
      <c r="BT37" s="62">
        <v>0</v>
      </c>
      <c r="BU37" s="62">
        <v>0</v>
      </c>
      <c r="BV37" s="62">
        <v>0</v>
      </c>
      <c r="BW37" s="62">
        <v>0</v>
      </c>
      <c r="BX37" s="62">
        <v>0</v>
      </c>
      <c r="BY37" s="190">
        <f t="shared" si="20"/>
        <v>15028</v>
      </c>
      <c r="BZ37" s="197">
        <f t="shared" si="238"/>
        <v>3.4434016629054584E-4</v>
      </c>
      <c r="CA37" s="62">
        <v>0</v>
      </c>
      <c r="CB37" s="62">
        <v>0</v>
      </c>
      <c r="CC37" s="62">
        <v>0</v>
      </c>
      <c r="CD37" s="62">
        <v>0</v>
      </c>
      <c r="CE37" s="62">
        <v>0</v>
      </c>
      <c r="CF37" s="62">
        <v>0</v>
      </c>
      <c r="CG37" s="62">
        <v>0</v>
      </c>
      <c r="CH37" s="62">
        <v>0</v>
      </c>
      <c r="CI37" s="62">
        <v>0</v>
      </c>
      <c r="CJ37" s="62">
        <v>0</v>
      </c>
      <c r="CK37" s="62">
        <v>0</v>
      </c>
      <c r="CL37" s="62">
        <v>0</v>
      </c>
      <c r="CM37" s="190">
        <f t="shared" si="21"/>
        <v>0</v>
      </c>
      <c r="CN37" s="62">
        <v>0</v>
      </c>
      <c r="CO37" s="62">
        <v>0</v>
      </c>
      <c r="CP37" s="62">
        <v>0</v>
      </c>
      <c r="CQ37" s="62">
        <v>0</v>
      </c>
      <c r="CR37" s="62">
        <v>0</v>
      </c>
      <c r="CS37" s="62">
        <v>0</v>
      </c>
      <c r="CT37" s="62">
        <v>0</v>
      </c>
      <c r="CU37" s="62">
        <v>0</v>
      </c>
      <c r="CV37" s="62">
        <v>0</v>
      </c>
      <c r="CW37" s="62">
        <v>0</v>
      </c>
      <c r="CX37" s="62">
        <v>0</v>
      </c>
      <c r="CY37" s="62">
        <v>0</v>
      </c>
      <c r="CZ37" s="190">
        <f t="shared" si="22"/>
        <v>0</v>
      </c>
      <c r="DA37" s="62">
        <v>0</v>
      </c>
      <c r="DB37" s="62">
        <v>0</v>
      </c>
      <c r="DC37" s="62">
        <v>0</v>
      </c>
      <c r="DD37" s="62">
        <v>0</v>
      </c>
      <c r="DE37" s="62">
        <v>0</v>
      </c>
      <c r="DF37" s="62">
        <v>0</v>
      </c>
      <c r="DG37" s="62">
        <v>0</v>
      </c>
      <c r="DH37" s="62">
        <v>0</v>
      </c>
      <c r="DI37" s="62">
        <v>0</v>
      </c>
      <c r="DJ37" s="62">
        <v>0</v>
      </c>
      <c r="DK37" s="62">
        <v>0</v>
      </c>
      <c r="DL37" s="62">
        <v>0</v>
      </c>
      <c r="DM37" s="190">
        <f t="shared" si="23"/>
        <v>0</v>
      </c>
      <c r="DN37" s="62">
        <v>0</v>
      </c>
      <c r="DO37" s="62">
        <v>0</v>
      </c>
      <c r="DP37" s="62">
        <v>0</v>
      </c>
      <c r="DQ37" s="62">
        <v>0</v>
      </c>
      <c r="DR37" s="62">
        <v>0</v>
      </c>
      <c r="DS37" s="62">
        <v>0</v>
      </c>
      <c r="DT37" s="62">
        <v>0</v>
      </c>
      <c r="DU37" s="62">
        <v>0</v>
      </c>
      <c r="DV37" s="62">
        <v>0</v>
      </c>
      <c r="DW37" s="62">
        <v>0</v>
      </c>
      <c r="DX37" s="62">
        <v>0</v>
      </c>
      <c r="DY37" s="62">
        <v>0</v>
      </c>
      <c r="DZ37" s="190">
        <f t="shared" si="24"/>
        <v>0</v>
      </c>
    </row>
    <row r="38" spans="1:130" ht="20.45" customHeight="1" outlineLevel="2">
      <c r="A38" s="662"/>
      <c r="B38" s="653"/>
      <c r="C38" s="30" t="s">
        <v>315</v>
      </c>
      <c r="D38" s="62">
        <f t="shared" si="0"/>
        <v>925749.99999999988</v>
      </c>
      <c r="E38" s="184">
        <f t="shared" si="179"/>
        <v>2.8642736244012265E-3</v>
      </c>
      <c r="F38" s="62">
        <v>26450</v>
      </c>
      <c r="G38" s="190">
        <f t="shared" si="36"/>
        <v>26450</v>
      </c>
      <c r="H38" s="197">
        <f t="shared" si="233"/>
        <v>6.0417025951910791E-3</v>
      </c>
      <c r="I38" s="62">
        <v>26450</v>
      </c>
      <c r="J38" s="62">
        <v>26450</v>
      </c>
      <c r="K38" s="62">
        <v>26450</v>
      </c>
      <c r="L38" s="62">
        <v>26450</v>
      </c>
      <c r="M38" s="62">
        <v>26450</v>
      </c>
      <c r="N38" s="62">
        <v>26450</v>
      </c>
      <c r="O38" s="62">
        <v>26450</v>
      </c>
      <c r="P38" s="62">
        <v>26450</v>
      </c>
      <c r="Q38" s="62">
        <v>26450</v>
      </c>
      <c r="R38" s="62">
        <v>26450</v>
      </c>
      <c r="S38" s="62">
        <v>26450</v>
      </c>
      <c r="T38" s="62">
        <v>26450</v>
      </c>
      <c r="U38" s="190">
        <f t="shared" si="16"/>
        <v>317400</v>
      </c>
      <c r="V38" s="197">
        <f t="shared" si="234"/>
        <v>5.7209808428792816E-3</v>
      </c>
      <c r="W38" s="62">
        <v>26450</v>
      </c>
      <c r="X38" s="62">
        <v>26450</v>
      </c>
      <c r="Y38" s="62">
        <v>26450</v>
      </c>
      <c r="Z38" s="62">
        <v>26450</v>
      </c>
      <c r="AA38" s="62">
        <v>26450</v>
      </c>
      <c r="AB38" s="62">
        <v>26450</v>
      </c>
      <c r="AC38" s="62">
        <v>26450</v>
      </c>
      <c r="AD38" s="62">
        <v>26450</v>
      </c>
      <c r="AE38" s="62">
        <v>26450</v>
      </c>
      <c r="AF38" s="62">
        <v>26450</v>
      </c>
      <c r="AG38" s="62">
        <v>26450</v>
      </c>
      <c r="AH38" s="62">
        <v>26450</v>
      </c>
      <c r="AI38" s="190">
        <f t="shared" si="17"/>
        <v>317400</v>
      </c>
      <c r="AJ38" s="197">
        <f t="shared" si="235"/>
        <v>4.3137482909116828E-3</v>
      </c>
      <c r="AK38" s="62">
        <v>26450</v>
      </c>
      <c r="AL38" s="62">
        <v>26450</v>
      </c>
      <c r="AM38" s="62">
        <v>26450</v>
      </c>
      <c r="AN38" s="62">
        <v>26450</v>
      </c>
      <c r="AO38" s="62">
        <v>26450</v>
      </c>
      <c r="AP38" s="62">
        <v>26450</v>
      </c>
      <c r="AQ38" s="62">
        <v>26450</v>
      </c>
      <c r="AR38" s="62">
        <v>26450</v>
      </c>
      <c r="AS38" s="62">
        <v>26450</v>
      </c>
      <c r="AT38" s="62">
        <v>26450</v>
      </c>
      <c r="AU38" s="62">
        <v>0</v>
      </c>
      <c r="AV38" s="62">
        <v>0</v>
      </c>
      <c r="AW38" s="190">
        <f t="shared" si="18"/>
        <v>264500</v>
      </c>
      <c r="AX38" s="197">
        <f t="shared" si="236"/>
        <v>3.4671547127146408E-3</v>
      </c>
      <c r="AY38" s="62">
        <v>0</v>
      </c>
      <c r="AZ38" s="62">
        <v>0</v>
      </c>
      <c r="BA38" s="62">
        <v>0</v>
      </c>
      <c r="BB38" s="62">
        <v>0</v>
      </c>
      <c r="BC38" s="62">
        <v>0</v>
      </c>
      <c r="BD38" s="62">
        <v>0</v>
      </c>
      <c r="BE38" s="62">
        <v>0</v>
      </c>
      <c r="BF38" s="62">
        <v>0</v>
      </c>
      <c r="BG38" s="62">
        <v>0</v>
      </c>
      <c r="BH38" s="62">
        <v>0</v>
      </c>
      <c r="BI38" s="62">
        <v>0</v>
      </c>
      <c r="BJ38" s="62">
        <v>0</v>
      </c>
      <c r="BK38" s="190">
        <f t="shared" si="19"/>
        <v>0</v>
      </c>
      <c r="BL38" s="197">
        <f t="shared" si="237"/>
        <v>0</v>
      </c>
      <c r="BM38" s="62">
        <v>0</v>
      </c>
      <c r="BN38" s="62">
        <v>0</v>
      </c>
      <c r="BO38" s="62">
        <v>0</v>
      </c>
      <c r="BP38" s="62">
        <v>0</v>
      </c>
      <c r="BQ38" s="62">
        <v>0</v>
      </c>
      <c r="BR38" s="62">
        <v>0</v>
      </c>
      <c r="BS38" s="62">
        <v>0</v>
      </c>
      <c r="BT38" s="62">
        <v>0</v>
      </c>
      <c r="BU38" s="62">
        <v>0</v>
      </c>
      <c r="BV38" s="62">
        <v>0</v>
      </c>
      <c r="BW38" s="62">
        <v>0</v>
      </c>
      <c r="BX38" s="62">
        <v>0</v>
      </c>
      <c r="BY38" s="190">
        <f t="shared" si="20"/>
        <v>0</v>
      </c>
      <c r="BZ38" s="197">
        <f t="shared" si="238"/>
        <v>0</v>
      </c>
      <c r="CA38" s="62">
        <v>0</v>
      </c>
      <c r="CB38" s="62">
        <v>0</v>
      </c>
      <c r="CC38" s="62">
        <v>0</v>
      </c>
      <c r="CD38" s="62">
        <v>0</v>
      </c>
      <c r="CE38" s="62">
        <v>0</v>
      </c>
      <c r="CF38" s="62">
        <v>0</v>
      </c>
      <c r="CG38" s="62">
        <v>0</v>
      </c>
      <c r="CH38" s="62">
        <v>0</v>
      </c>
      <c r="CI38" s="62">
        <v>0</v>
      </c>
      <c r="CJ38" s="62">
        <v>0</v>
      </c>
      <c r="CK38" s="62">
        <v>0</v>
      </c>
      <c r="CL38" s="62">
        <v>0</v>
      </c>
      <c r="CM38" s="190">
        <f t="shared" si="21"/>
        <v>0</v>
      </c>
      <c r="CN38" s="62">
        <v>0</v>
      </c>
      <c r="CO38" s="62">
        <v>0</v>
      </c>
      <c r="CP38" s="62">
        <v>0</v>
      </c>
      <c r="CQ38" s="62">
        <v>0</v>
      </c>
      <c r="CR38" s="62">
        <v>0</v>
      </c>
      <c r="CS38" s="62">
        <v>0</v>
      </c>
      <c r="CT38" s="62">
        <v>0</v>
      </c>
      <c r="CU38" s="62">
        <v>0</v>
      </c>
      <c r="CV38" s="62">
        <v>0</v>
      </c>
      <c r="CW38" s="62">
        <v>0</v>
      </c>
      <c r="CX38" s="62">
        <v>0</v>
      </c>
      <c r="CY38" s="62">
        <v>0</v>
      </c>
      <c r="CZ38" s="190">
        <f t="shared" si="22"/>
        <v>0</v>
      </c>
      <c r="DA38" s="62">
        <v>0</v>
      </c>
      <c r="DB38" s="62">
        <v>0</v>
      </c>
      <c r="DC38" s="62">
        <v>0</v>
      </c>
      <c r="DD38" s="62">
        <v>0</v>
      </c>
      <c r="DE38" s="62">
        <v>0</v>
      </c>
      <c r="DF38" s="62">
        <v>0</v>
      </c>
      <c r="DG38" s="62">
        <v>0</v>
      </c>
      <c r="DH38" s="62">
        <v>0</v>
      </c>
      <c r="DI38" s="62">
        <v>0</v>
      </c>
      <c r="DJ38" s="62">
        <v>0</v>
      </c>
      <c r="DK38" s="62">
        <v>0</v>
      </c>
      <c r="DL38" s="62">
        <v>0</v>
      </c>
      <c r="DM38" s="190">
        <f t="shared" si="23"/>
        <v>0</v>
      </c>
      <c r="DN38" s="62">
        <v>0</v>
      </c>
      <c r="DO38" s="62">
        <v>0</v>
      </c>
      <c r="DP38" s="62">
        <v>0</v>
      </c>
      <c r="DQ38" s="62">
        <v>0</v>
      </c>
      <c r="DR38" s="62">
        <v>0</v>
      </c>
      <c r="DS38" s="62">
        <v>0</v>
      </c>
      <c r="DT38" s="62">
        <v>0</v>
      </c>
      <c r="DU38" s="62">
        <v>0</v>
      </c>
      <c r="DV38" s="62">
        <v>0</v>
      </c>
      <c r="DW38" s="62">
        <v>0</v>
      </c>
      <c r="DX38" s="62">
        <v>0</v>
      </c>
      <c r="DY38" s="62">
        <v>0</v>
      </c>
      <c r="DZ38" s="190">
        <f t="shared" si="24"/>
        <v>0</v>
      </c>
    </row>
    <row r="39" spans="1:130" ht="20.45" customHeight="1" outlineLevel="2">
      <c r="A39" s="662"/>
      <c r="B39" s="653"/>
      <c r="C39" s="30" t="s">
        <v>316</v>
      </c>
      <c r="D39" s="62">
        <f t="shared" si="0"/>
        <v>1789161.9999999998</v>
      </c>
      <c r="E39" s="184">
        <f t="shared" si="179"/>
        <v>5.5356732664120414E-3</v>
      </c>
      <c r="F39" s="62">
        <v>0</v>
      </c>
      <c r="G39" s="190">
        <f t="shared" si="36"/>
        <v>0</v>
      </c>
      <c r="H39" s="197">
        <f t="shared" si="233"/>
        <v>0</v>
      </c>
      <c r="I39" s="62">
        <v>0</v>
      </c>
      <c r="J39" s="62">
        <v>0</v>
      </c>
      <c r="K39" s="62">
        <v>0</v>
      </c>
      <c r="L39" s="62">
        <v>0</v>
      </c>
      <c r="M39" s="62">
        <v>0</v>
      </c>
      <c r="N39" s="62">
        <v>0</v>
      </c>
      <c r="O39" s="62">
        <v>0</v>
      </c>
      <c r="P39" s="62">
        <v>0</v>
      </c>
      <c r="Q39" s="62">
        <v>0</v>
      </c>
      <c r="R39" s="62">
        <v>42046</v>
      </c>
      <c r="S39" s="62">
        <v>23230</v>
      </c>
      <c r="T39" s="62">
        <v>42046</v>
      </c>
      <c r="U39" s="190">
        <f t="shared" si="16"/>
        <v>107322</v>
      </c>
      <c r="V39" s="197">
        <f t="shared" si="234"/>
        <v>1.9344269250771589E-3</v>
      </c>
      <c r="W39" s="62">
        <v>42046</v>
      </c>
      <c r="X39" s="62">
        <v>42046</v>
      </c>
      <c r="Y39" s="62">
        <v>42046</v>
      </c>
      <c r="Z39" s="62">
        <v>42046</v>
      </c>
      <c r="AA39" s="62">
        <v>42046</v>
      </c>
      <c r="AB39" s="62">
        <v>42046</v>
      </c>
      <c r="AC39" s="62">
        <v>42046</v>
      </c>
      <c r="AD39" s="62">
        <v>42046</v>
      </c>
      <c r="AE39" s="62">
        <v>42046</v>
      </c>
      <c r="AF39" s="62">
        <v>42046</v>
      </c>
      <c r="AG39" s="62">
        <v>42046</v>
      </c>
      <c r="AH39" s="62">
        <v>42046</v>
      </c>
      <c r="AI39" s="190">
        <f t="shared" si="17"/>
        <v>504552</v>
      </c>
      <c r="AJ39" s="197">
        <f t="shared" si="235"/>
        <v>6.8573104211596446E-3</v>
      </c>
      <c r="AK39" s="62">
        <f>23230+18816</f>
        <v>42046</v>
      </c>
      <c r="AL39" s="62">
        <f>18816+23230</f>
        <v>42046</v>
      </c>
      <c r="AM39" s="62">
        <f>18816+23230</f>
        <v>42046</v>
      </c>
      <c r="AN39" s="62">
        <v>18816</v>
      </c>
      <c r="AO39" s="62">
        <v>42046</v>
      </c>
      <c r="AP39" s="62">
        <v>42046</v>
      </c>
      <c r="AQ39" s="62">
        <v>42046</v>
      </c>
      <c r="AR39" s="62">
        <v>42046</v>
      </c>
      <c r="AS39" s="62">
        <v>42046</v>
      </c>
      <c r="AT39" s="62">
        <v>42046</v>
      </c>
      <c r="AU39" s="62">
        <v>42046</v>
      </c>
      <c r="AV39" s="62">
        <v>42046</v>
      </c>
      <c r="AW39" s="190">
        <f t="shared" si="18"/>
        <v>481322</v>
      </c>
      <c r="AX39" s="197">
        <f t="shared" si="236"/>
        <v>6.309330210333597E-3</v>
      </c>
      <c r="AY39" s="62">
        <v>0</v>
      </c>
      <c r="AZ39" s="62">
        <f>18816+46460</f>
        <v>65276</v>
      </c>
      <c r="BA39" s="62">
        <v>42046</v>
      </c>
      <c r="BB39" s="62">
        <v>42046</v>
      </c>
      <c r="BC39" s="62">
        <v>18816</v>
      </c>
      <c r="BD39" s="62">
        <f>42046+23230</f>
        <v>65276</v>
      </c>
      <c r="BE39" s="62">
        <v>42046</v>
      </c>
      <c r="BF39" s="62">
        <v>42046</v>
      </c>
      <c r="BG39" s="62">
        <v>42046</v>
      </c>
      <c r="BH39" s="62">
        <v>42046</v>
      </c>
      <c r="BI39" s="62">
        <v>42046</v>
      </c>
      <c r="BJ39" s="62">
        <v>42046</v>
      </c>
      <c r="BK39" s="190">
        <f t="shared" si="19"/>
        <v>485736</v>
      </c>
      <c r="BL39" s="197">
        <f t="shared" si="237"/>
        <v>6.9550802128930155E-3</v>
      </c>
      <c r="BM39" s="62">
        <v>18816</v>
      </c>
      <c r="BN39" s="62">
        <f>18816+46460</f>
        <v>65276</v>
      </c>
      <c r="BO39" s="62">
        <v>42046</v>
      </c>
      <c r="BP39" s="62">
        <v>42046</v>
      </c>
      <c r="BQ39" s="62">
        <v>42046</v>
      </c>
      <c r="BR39" s="62">
        <v>0</v>
      </c>
      <c r="BS39" s="62">
        <v>0</v>
      </c>
      <c r="BT39" s="62">
        <v>0</v>
      </c>
      <c r="BU39" s="62">
        <v>0</v>
      </c>
      <c r="BV39" s="62">
        <v>0</v>
      </c>
      <c r="BW39" s="62">
        <v>0</v>
      </c>
      <c r="BX39" s="62">
        <v>0</v>
      </c>
      <c r="BY39" s="190">
        <f t="shared" si="20"/>
        <v>210230</v>
      </c>
      <c r="BZ39" s="197">
        <f t="shared" si="238"/>
        <v>4.8170503832353903E-3</v>
      </c>
      <c r="CA39" s="62">
        <v>0</v>
      </c>
      <c r="CB39" s="62">
        <v>0</v>
      </c>
      <c r="CC39" s="62">
        <v>0</v>
      </c>
      <c r="CD39" s="62">
        <v>0</v>
      </c>
      <c r="CE39" s="62">
        <v>0</v>
      </c>
      <c r="CF39" s="62">
        <v>0</v>
      </c>
      <c r="CG39" s="62">
        <v>0</v>
      </c>
      <c r="CH39" s="62">
        <v>0</v>
      </c>
      <c r="CI39" s="62">
        <v>0</v>
      </c>
      <c r="CJ39" s="62">
        <v>0</v>
      </c>
      <c r="CK39" s="62">
        <v>0</v>
      </c>
      <c r="CL39" s="62">
        <v>0</v>
      </c>
      <c r="CM39" s="190">
        <f t="shared" si="21"/>
        <v>0</v>
      </c>
      <c r="CN39" s="62">
        <v>0</v>
      </c>
      <c r="CO39" s="62">
        <v>0</v>
      </c>
      <c r="CP39" s="62">
        <v>0</v>
      </c>
      <c r="CQ39" s="62">
        <v>0</v>
      </c>
      <c r="CR39" s="62">
        <v>0</v>
      </c>
      <c r="CS39" s="62">
        <v>0</v>
      </c>
      <c r="CT39" s="62">
        <v>0</v>
      </c>
      <c r="CU39" s="62">
        <v>0</v>
      </c>
      <c r="CV39" s="62">
        <v>0</v>
      </c>
      <c r="CW39" s="62">
        <v>0</v>
      </c>
      <c r="CX39" s="62">
        <v>0</v>
      </c>
      <c r="CY39" s="62">
        <v>0</v>
      </c>
      <c r="CZ39" s="190">
        <f t="shared" si="22"/>
        <v>0</v>
      </c>
      <c r="DA39" s="62">
        <v>0</v>
      </c>
      <c r="DB39" s="62">
        <v>0</v>
      </c>
      <c r="DC39" s="62">
        <v>0</v>
      </c>
      <c r="DD39" s="62">
        <v>0</v>
      </c>
      <c r="DE39" s="62">
        <v>0</v>
      </c>
      <c r="DF39" s="62">
        <v>0</v>
      </c>
      <c r="DG39" s="62">
        <v>0</v>
      </c>
      <c r="DH39" s="62">
        <v>0</v>
      </c>
      <c r="DI39" s="62">
        <v>0</v>
      </c>
      <c r="DJ39" s="62">
        <v>0</v>
      </c>
      <c r="DK39" s="62">
        <v>0</v>
      </c>
      <c r="DL39" s="62">
        <v>0</v>
      </c>
      <c r="DM39" s="190">
        <f t="shared" si="23"/>
        <v>0</v>
      </c>
      <c r="DN39" s="62">
        <v>0</v>
      </c>
      <c r="DO39" s="62">
        <v>0</v>
      </c>
      <c r="DP39" s="62">
        <v>0</v>
      </c>
      <c r="DQ39" s="62">
        <v>0</v>
      </c>
      <c r="DR39" s="62">
        <v>0</v>
      </c>
      <c r="DS39" s="62">
        <v>0</v>
      </c>
      <c r="DT39" s="62">
        <v>0</v>
      </c>
      <c r="DU39" s="62">
        <v>0</v>
      </c>
      <c r="DV39" s="62">
        <v>0</v>
      </c>
      <c r="DW39" s="62">
        <v>0</v>
      </c>
      <c r="DX39" s="62">
        <v>0</v>
      </c>
      <c r="DY39" s="62">
        <v>0</v>
      </c>
      <c r="DZ39" s="190">
        <f t="shared" si="24"/>
        <v>0</v>
      </c>
    </row>
    <row r="40" spans="1:130" ht="20.45" customHeight="1" outlineLevel="2">
      <c r="A40" s="662"/>
      <c r="B40" s="646"/>
      <c r="C40" s="30" t="s">
        <v>317</v>
      </c>
      <c r="D40" s="62">
        <f t="shared" si="0"/>
        <v>3904060.0000000005</v>
      </c>
      <c r="E40" s="184">
        <f t="shared" si="179"/>
        <v>1.2079174816181319E-2</v>
      </c>
      <c r="F40" s="62">
        <v>0</v>
      </c>
      <c r="G40" s="190">
        <f t="shared" si="36"/>
        <v>0</v>
      </c>
      <c r="H40" s="197">
        <f t="shared" si="233"/>
        <v>0</v>
      </c>
      <c r="I40" s="62">
        <v>0</v>
      </c>
      <c r="J40" s="62">
        <v>0</v>
      </c>
      <c r="K40" s="62">
        <v>0</v>
      </c>
      <c r="L40" s="62">
        <v>0</v>
      </c>
      <c r="M40" s="62">
        <v>0</v>
      </c>
      <c r="N40" s="62">
        <v>0</v>
      </c>
      <c r="O40" s="62">
        <v>787050</v>
      </c>
      <c r="P40" s="62">
        <v>0</v>
      </c>
      <c r="Q40" s="62">
        <v>0</v>
      </c>
      <c r="R40" s="62">
        <v>0</v>
      </c>
      <c r="S40" s="62">
        <v>0</v>
      </c>
      <c r="T40" s="62">
        <f>739000+113840</f>
        <v>852840</v>
      </c>
      <c r="U40" s="190">
        <f t="shared" si="16"/>
        <v>1639890</v>
      </c>
      <c r="V40" s="197">
        <f t="shared" si="234"/>
        <v>2.9558220776399826E-2</v>
      </c>
      <c r="W40" s="62">
        <v>0</v>
      </c>
      <c r="X40" s="62">
        <v>0</v>
      </c>
      <c r="Y40" s="62">
        <v>0</v>
      </c>
      <c r="Z40" s="62">
        <v>0</v>
      </c>
      <c r="AA40" s="62">
        <v>0</v>
      </c>
      <c r="AB40" s="62">
        <v>0</v>
      </c>
      <c r="AC40" s="62">
        <v>0</v>
      </c>
      <c r="AD40" s="62">
        <v>100000</v>
      </c>
      <c r="AE40" s="62">
        <v>0</v>
      </c>
      <c r="AF40" s="62">
        <v>0</v>
      </c>
      <c r="AG40" s="62">
        <v>866550</v>
      </c>
      <c r="AH40" s="62">
        <v>0</v>
      </c>
      <c r="AI40" s="190">
        <f t="shared" si="17"/>
        <v>966550</v>
      </c>
      <c r="AJ40" s="197">
        <f t="shared" si="235"/>
        <v>1.3136274135414893E-2</v>
      </c>
      <c r="AK40" s="62">
        <v>0</v>
      </c>
      <c r="AL40" s="62">
        <v>0</v>
      </c>
      <c r="AM40" s="62">
        <v>0</v>
      </c>
      <c r="AN40" s="62">
        <v>0</v>
      </c>
      <c r="AO40" s="62">
        <v>0</v>
      </c>
      <c r="AP40" s="62">
        <f>3350+710640</f>
        <v>713990</v>
      </c>
      <c r="AQ40" s="62">
        <v>-710640</v>
      </c>
      <c r="AR40" s="62">
        <v>0</v>
      </c>
      <c r="AS40" s="62">
        <v>0</v>
      </c>
      <c r="AT40" s="62">
        <v>0</v>
      </c>
      <c r="AU40" s="62">
        <v>0</v>
      </c>
      <c r="AV40" s="62">
        <v>563090</v>
      </c>
      <c r="AW40" s="190">
        <f t="shared" si="18"/>
        <v>566440</v>
      </c>
      <c r="AX40" s="197">
        <f t="shared" si="236"/>
        <v>7.4250855027224241E-3</v>
      </c>
      <c r="AY40" s="62">
        <f>-35520-16450</f>
        <v>-51970</v>
      </c>
      <c r="AZ40" s="62">
        <v>0</v>
      </c>
      <c r="BA40" s="62">
        <v>0</v>
      </c>
      <c r="BB40" s="62">
        <v>0</v>
      </c>
      <c r="BC40" s="62">
        <v>0</v>
      </c>
      <c r="BD40" s="62">
        <v>1083220</v>
      </c>
      <c r="BE40" s="62">
        <f>-307350-680000</f>
        <v>-987350</v>
      </c>
      <c r="BF40" s="62">
        <v>0</v>
      </c>
      <c r="BG40" s="62">
        <v>0</v>
      </c>
      <c r="BH40" s="62">
        <v>0</v>
      </c>
      <c r="BI40" s="62">
        <v>0</v>
      </c>
      <c r="BJ40" s="62">
        <f>687280</f>
        <v>687280</v>
      </c>
      <c r="BK40" s="190">
        <f t="shared" si="19"/>
        <v>731180</v>
      </c>
      <c r="BL40" s="197">
        <f t="shared" si="237"/>
        <v>1.0469505142841205E-2</v>
      </c>
      <c r="BM40" s="62">
        <v>0</v>
      </c>
      <c r="BN40" s="62">
        <v>0</v>
      </c>
      <c r="BO40" s="62">
        <v>0</v>
      </c>
      <c r="BP40" s="62">
        <v>0</v>
      </c>
      <c r="BQ40" s="62">
        <v>0</v>
      </c>
      <c r="BR40" s="62">
        <v>0</v>
      </c>
      <c r="BS40" s="62">
        <v>0</v>
      </c>
      <c r="BT40" s="62">
        <v>0</v>
      </c>
      <c r="BU40" s="62">
        <v>0</v>
      </c>
      <c r="BV40" s="62">
        <v>0</v>
      </c>
      <c r="BW40" s="62">
        <v>0</v>
      </c>
      <c r="BX40" s="62">
        <v>0</v>
      </c>
      <c r="BY40" s="190">
        <f t="shared" si="20"/>
        <v>0</v>
      </c>
      <c r="BZ40" s="197">
        <f t="shared" si="238"/>
        <v>0</v>
      </c>
      <c r="CA40" s="62">
        <v>0</v>
      </c>
      <c r="CB40" s="62">
        <v>0</v>
      </c>
      <c r="CC40" s="62">
        <v>0</v>
      </c>
      <c r="CD40" s="62">
        <v>0</v>
      </c>
      <c r="CE40" s="62">
        <v>0</v>
      </c>
      <c r="CF40" s="62">
        <v>0</v>
      </c>
      <c r="CG40" s="62">
        <v>0</v>
      </c>
      <c r="CH40" s="62">
        <v>0</v>
      </c>
      <c r="CI40" s="62">
        <v>0</v>
      </c>
      <c r="CJ40" s="62">
        <v>0</v>
      </c>
      <c r="CK40" s="62">
        <v>0</v>
      </c>
      <c r="CL40" s="62">
        <v>0</v>
      </c>
      <c r="CM40" s="190">
        <f t="shared" si="21"/>
        <v>0</v>
      </c>
      <c r="CN40" s="62">
        <v>0</v>
      </c>
      <c r="CO40" s="62">
        <v>0</v>
      </c>
      <c r="CP40" s="62">
        <v>0</v>
      </c>
      <c r="CQ40" s="62">
        <v>0</v>
      </c>
      <c r="CR40" s="62">
        <v>0</v>
      </c>
      <c r="CS40" s="62">
        <v>0</v>
      </c>
      <c r="CT40" s="62">
        <v>0</v>
      </c>
      <c r="CU40" s="62">
        <v>0</v>
      </c>
      <c r="CV40" s="62">
        <v>0</v>
      </c>
      <c r="CW40" s="62">
        <v>0</v>
      </c>
      <c r="CX40" s="62">
        <v>0</v>
      </c>
      <c r="CY40" s="62">
        <v>0</v>
      </c>
      <c r="CZ40" s="190">
        <f t="shared" si="22"/>
        <v>0</v>
      </c>
      <c r="DA40" s="62">
        <v>0</v>
      </c>
      <c r="DB40" s="62">
        <v>0</v>
      </c>
      <c r="DC40" s="62">
        <v>0</v>
      </c>
      <c r="DD40" s="62">
        <v>0</v>
      </c>
      <c r="DE40" s="62">
        <v>0</v>
      </c>
      <c r="DF40" s="62">
        <v>0</v>
      </c>
      <c r="DG40" s="62">
        <v>0</v>
      </c>
      <c r="DH40" s="62">
        <v>0</v>
      </c>
      <c r="DI40" s="62">
        <v>0</v>
      </c>
      <c r="DJ40" s="62">
        <v>0</v>
      </c>
      <c r="DK40" s="62">
        <v>0</v>
      </c>
      <c r="DL40" s="62">
        <v>0</v>
      </c>
      <c r="DM40" s="190">
        <f t="shared" si="23"/>
        <v>0</v>
      </c>
      <c r="DN40" s="62">
        <v>0</v>
      </c>
      <c r="DO40" s="62">
        <v>0</v>
      </c>
      <c r="DP40" s="62">
        <v>0</v>
      </c>
      <c r="DQ40" s="62">
        <v>0</v>
      </c>
      <c r="DR40" s="62">
        <v>0</v>
      </c>
      <c r="DS40" s="62">
        <v>0</v>
      </c>
      <c r="DT40" s="62">
        <v>0</v>
      </c>
      <c r="DU40" s="62">
        <v>0</v>
      </c>
      <c r="DV40" s="62">
        <v>0</v>
      </c>
      <c r="DW40" s="62">
        <v>0</v>
      </c>
      <c r="DX40" s="62">
        <v>0</v>
      </c>
      <c r="DY40" s="62">
        <v>0</v>
      </c>
      <c r="DZ40" s="190">
        <f t="shared" si="24"/>
        <v>0</v>
      </c>
    </row>
    <row r="41" spans="1:130" s="194" customFormat="1" ht="20.45" customHeight="1" outlineLevel="1">
      <c r="A41" s="662"/>
      <c r="B41" s="645" t="s">
        <v>2606</v>
      </c>
      <c r="C41" s="65" t="s">
        <v>307</v>
      </c>
      <c r="D41" s="66">
        <f t="shared" si="0"/>
        <v>25631997</v>
      </c>
      <c r="E41" s="187">
        <f>SUM(E42:E47)</f>
        <v>7.9305485225850805E-2</v>
      </c>
      <c r="F41" s="62">
        <f>SUM(F42:F47)</f>
        <v>451390</v>
      </c>
      <c r="G41" s="190">
        <f t="shared" si="36"/>
        <v>451390</v>
      </c>
      <c r="H41" s="196">
        <f t="shared" ref="H41:T41" si="259">SUM(H42:H47)</f>
        <v>0.1031063944969112</v>
      </c>
      <c r="I41" s="62">
        <f t="shared" si="259"/>
        <v>526740</v>
      </c>
      <c r="J41" s="62">
        <f t="shared" si="259"/>
        <v>550390</v>
      </c>
      <c r="K41" s="62">
        <f t="shared" si="259"/>
        <v>540410</v>
      </c>
      <c r="L41" s="62">
        <f t="shared" si="259"/>
        <v>530780</v>
      </c>
      <c r="M41" s="62">
        <f t="shared" si="259"/>
        <v>517760</v>
      </c>
      <c r="N41" s="62">
        <f t="shared" si="259"/>
        <v>452270</v>
      </c>
      <c r="O41" s="62">
        <f t="shared" si="259"/>
        <v>689540</v>
      </c>
      <c r="P41" s="62">
        <f t="shared" si="259"/>
        <v>199890</v>
      </c>
      <c r="Q41" s="62">
        <f t="shared" si="259"/>
        <v>468610</v>
      </c>
      <c r="R41" s="62">
        <f t="shared" si="259"/>
        <v>557990</v>
      </c>
      <c r="S41" s="62">
        <f t="shared" si="259"/>
        <v>430750</v>
      </c>
      <c r="T41" s="62">
        <f t="shared" si="259"/>
        <v>544410</v>
      </c>
      <c r="U41" s="190">
        <f t="shared" si="16"/>
        <v>6009540</v>
      </c>
      <c r="V41" s="196">
        <f t="shared" ref="V41" si="260">SUM(V42:V47)</f>
        <v>0.108319039743279</v>
      </c>
      <c r="W41" s="62">
        <f t="shared" ref="W41:AH41" si="261">SUM(W42:W47)</f>
        <v>653060</v>
      </c>
      <c r="X41" s="62">
        <f t="shared" si="261"/>
        <v>557810</v>
      </c>
      <c r="Y41" s="62">
        <f t="shared" si="261"/>
        <v>526120</v>
      </c>
      <c r="Z41" s="62">
        <f t="shared" si="261"/>
        <v>585740</v>
      </c>
      <c r="AA41" s="62">
        <f t="shared" si="261"/>
        <v>574910</v>
      </c>
      <c r="AB41" s="62">
        <f t="shared" si="261"/>
        <v>600210</v>
      </c>
      <c r="AC41" s="62">
        <f t="shared" si="261"/>
        <v>594360</v>
      </c>
      <c r="AD41" s="62">
        <f t="shared" si="261"/>
        <v>384140</v>
      </c>
      <c r="AE41" s="62">
        <f t="shared" si="261"/>
        <v>537060</v>
      </c>
      <c r="AF41" s="62">
        <f t="shared" si="261"/>
        <v>197330</v>
      </c>
      <c r="AG41" s="62">
        <f t="shared" si="261"/>
        <v>410950</v>
      </c>
      <c r="AH41" s="62">
        <f t="shared" si="261"/>
        <v>456270</v>
      </c>
      <c r="AI41" s="190">
        <f t="shared" si="17"/>
        <v>6077960</v>
      </c>
      <c r="AJ41" s="196">
        <f t="shared" ref="AJ41" si="262">SUM(AJ42:AJ47)</f>
        <v>8.2604882048612396E-2</v>
      </c>
      <c r="AK41" s="62">
        <f t="shared" ref="AK41:AV41" si="263">SUM(AK42:AK47)</f>
        <v>507980</v>
      </c>
      <c r="AL41" s="62">
        <f t="shared" si="263"/>
        <v>477340</v>
      </c>
      <c r="AM41" s="62">
        <f t="shared" si="263"/>
        <v>461780</v>
      </c>
      <c r="AN41" s="62">
        <f t="shared" si="263"/>
        <v>446710</v>
      </c>
      <c r="AO41" s="62">
        <f t="shared" si="263"/>
        <v>419750</v>
      </c>
      <c r="AP41" s="62">
        <f t="shared" si="263"/>
        <v>421260</v>
      </c>
      <c r="AQ41" s="62">
        <f t="shared" si="263"/>
        <v>398860</v>
      </c>
      <c r="AR41" s="62">
        <f t="shared" si="263"/>
        <v>362660</v>
      </c>
      <c r="AS41" s="62">
        <f t="shared" si="263"/>
        <v>590570</v>
      </c>
      <c r="AT41" s="62">
        <f t="shared" si="263"/>
        <v>520820</v>
      </c>
      <c r="AU41" s="62">
        <f t="shared" si="263"/>
        <v>443030</v>
      </c>
      <c r="AV41" s="62">
        <f t="shared" si="263"/>
        <v>498500</v>
      </c>
      <c r="AW41" s="190">
        <f t="shared" si="18"/>
        <v>5549260</v>
      </c>
      <c r="AX41" s="196">
        <f t="shared" ref="AX41" si="264">SUM(AX42:AX47)</f>
        <v>7.2741561289523068E-2</v>
      </c>
      <c r="AY41" s="62">
        <f t="shared" ref="AY41:BJ41" si="265">SUM(AY42:AY47)</f>
        <v>34650</v>
      </c>
      <c r="AZ41" s="62">
        <f t="shared" si="265"/>
        <v>177000</v>
      </c>
      <c r="BA41" s="62">
        <f t="shared" si="265"/>
        <v>722600</v>
      </c>
      <c r="BB41" s="62">
        <f t="shared" si="265"/>
        <v>464160</v>
      </c>
      <c r="BC41" s="62">
        <f t="shared" si="265"/>
        <v>377720</v>
      </c>
      <c r="BD41" s="62">
        <f t="shared" si="265"/>
        <v>420180</v>
      </c>
      <c r="BE41" s="62">
        <f t="shared" si="265"/>
        <v>417300</v>
      </c>
      <c r="BF41" s="62">
        <f t="shared" si="265"/>
        <v>469150</v>
      </c>
      <c r="BG41" s="62">
        <f t="shared" si="265"/>
        <v>436490</v>
      </c>
      <c r="BH41" s="62">
        <f t="shared" si="265"/>
        <v>473207</v>
      </c>
      <c r="BI41" s="62">
        <f t="shared" si="265"/>
        <v>467100</v>
      </c>
      <c r="BJ41" s="62">
        <f t="shared" si="265"/>
        <v>571480</v>
      </c>
      <c r="BK41" s="190">
        <f t="shared" si="19"/>
        <v>5031037</v>
      </c>
      <c r="BL41" s="196">
        <f t="shared" ref="BL41" si="266">SUM(BL42:BL47)</f>
        <v>7.2037621030832888E-2</v>
      </c>
      <c r="BM41" s="62">
        <f t="shared" ref="BM41:BX41" si="267">SUM(BM42:BM47)</f>
        <v>438470</v>
      </c>
      <c r="BN41" s="62">
        <f t="shared" si="267"/>
        <v>449400</v>
      </c>
      <c r="BO41" s="62">
        <f t="shared" si="267"/>
        <v>503530</v>
      </c>
      <c r="BP41" s="62">
        <f t="shared" si="267"/>
        <v>657460</v>
      </c>
      <c r="BQ41" s="62">
        <f t="shared" si="267"/>
        <v>463950</v>
      </c>
      <c r="BR41" s="62">
        <f t="shared" si="267"/>
        <v>0</v>
      </c>
      <c r="BS41" s="62">
        <f t="shared" si="267"/>
        <v>0</v>
      </c>
      <c r="BT41" s="62">
        <f t="shared" si="267"/>
        <v>0</v>
      </c>
      <c r="BU41" s="62">
        <f t="shared" si="267"/>
        <v>0</v>
      </c>
      <c r="BV41" s="62">
        <f t="shared" si="267"/>
        <v>0</v>
      </c>
      <c r="BW41" s="62">
        <f t="shared" si="267"/>
        <v>0</v>
      </c>
      <c r="BX41" s="62">
        <f t="shared" si="267"/>
        <v>0</v>
      </c>
      <c r="BY41" s="190">
        <f t="shared" si="20"/>
        <v>2512810</v>
      </c>
      <c r="BZ41" s="196">
        <f t="shared" ref="BZ41" si="268">SUM(BZ42:BZ47)</f>
        <v>5.7576617863757423E-2</v>
      </c>
      <c r="CA41" s="62">
        <f t="shared" ref="CA41:CL41" si="269">SUM(CA42:CA47)</f>
        <v>0</v>
      </c>
      <c r="CB41" s="62">
        <f t="shared" si="269"/>
        <v>0</v>
      </c>
      <c r="CC41" s="62">
        <f t="shared" si="269"/>
        <v>0</v>
      </c>
      <c r="CD41" s="62">
        <f t="shared" si="269"/>
        <v>0</v>
      </c>
      <c r="CE41" s="62">
        <f t="shared" si="269"/>
        <v>0</v>
      </c>
      <c r="CF41" s="62">
        <f t="shared" si="269"/>
        <v>0</v>
      </c>
      <c r="CG41" s="62">
        <f t="shared" si="269"/>
        <v>0</v>
      </c>
      <c r="CH41" s="62">
        <f t="shared" si="269"/>
        <v>0</v>
      </c>
      <c r="CI41" s="62">
        <f t="shared" si="269"/>
        <v>0</v>
      </c>
      <c r="CJ41" s="62">
        <f t="shared" si="269"/>
        <v>0</v>
      </c>
      <c r="CK41" s="62">
        <f t="shared" si="269"/>
        <v>0</v>
      </c>
      <c r="CL41" s="62">
        <f t="shared" si="269"/>
        <v>0</v>
      </c>
      <c r="CM41" s="190">
        <f t="shared" si="21"/>
        <v>0</v>
      </c>
      <c r="CN41" s="62">
        <f t="shared" ref="CN41:CY41" si="270">SUM(CN42:CN47)</f>
        <v>0</v>
      </c>
      <c r="CO41" s="62">
        <f t="shared" si="270"/>
        <v>0</v>
      </c>
      <c r="CP41" s="62">
        <f t="shared" si="270"/>
        <v>0</v>
      </c>
      <c r="CQ41" s="62">
        <f t="shared" si="270"/>
        <v>0</v>
      </c>
      <c r="CR41" s="62">
        <f t="shared" si="270"/>
        <v>0</v>
      </c>
      <c r="CS41" s="62">
        <f t="shared" si="270"/>
        <v>0</v>
      </c>
      <c r="CT41" s="62">
        <f t="shared" si="270"/>
        <v>0</v>
      </c>
      <c r="CU41" s="62">
        <f t="shared" si="270"/>
        <v>0</v>
      </c>
      <c r="CV41" s="62">
        <f t="shared" si="270"/>
        <v>0</v>
      </c>
      <c r="CW41" s="62">
        <f t="shared" si="270"/>
        <v>0</v>
      </c>
      <c r="CX41" s="62">
        <f t="shared" si="270"/>
        <v>0</v>
      </c>
      <c r="CY41" s="62">
        <f t="shared" si="270"/>
        <v>0</v>
      </c>
      <c r="CZ41" s="190">
        <f t="shared" si="22"/>
        <v>0</v>
      </c>
      <c r="DA41" s="62">
        <f t="shared" ref="DA41:DL41" si="271">SUM(DA42:DA47)</f>
        <v>0</v>
      </c>
      <c r="DB41" s="62">
        <f t="shared" si="271"/>
        <v>0</v>
      </c>
      <c r="DC41" s="62">
        <f t="shared" si="271"/>
        <v>0</v>
      </c>
      <c r="DD41" s="62">
        <f t="shared" si="271"/>
        <v>0</v>
      </c>
      <c r="DE41" s="62">
        <f t="shared" si="271"/>
        <v>0</v>
      </c>
      <c r="DF41" s="62">
        <f t="shared" si="271"/>
        <v>0</v>
      </c>
      <c r="DG41" s="62">
        <f t="shared" si="271"/>
        <v>0</v>
      </c>
      <c r="DH41" s="62">
        <f t="shared" si="271"/>
        <v>0</v>
      </c>
      <c r="DI41" s="62">
        <f t="shared" si="271"/>
        <v>0</v>
      </c>
      <c r="DJ41" s="62">
        <f t="shared" si="271"/>
        <v>0</v>
      </c>
      <c r="DK41" s="62">
        <f t="shared" si="271"/>
        <v>0</v>
      </c>
      <c r="DL41" s="62">
        <f t="shared" si="271"/>
        <v>0</v>
      </c>
      <c r="DM41" s="190">
        <f t="shared" si="23"/>
        <v>0</v>
      </c>
      <c r="DN41" s="62">
        <f t="shared" ref="DN41:DY41" si="272">SUM(DN42:DN47)</f>
        <v>0</v>
      </c>
      <c r="DO41" s="62">
        <f t="shared" si="272"/>
        <v>0</v>
      </c>
      <c r="DP41" s="62">
        <f t="shared" si="272"/>
        <v>0</v>
      </c>
      <c r="DQ41" s="62">
        <f t="shared" si="272"/>
        <v>0</v>
      </c>
      <c r="DR41" s="62">
        <f t="shared" si="272"/>
        <v>0</v>
      </c>
      <c r="DS41" s="62">
        <f t="shared" si="272"/>
        <v>0</v>
      </c>
      <c r="DT41" s="62">
        <f t="shared" si="272"/>
        <v>0</v>
      </c>
      <c r="DU41" s="62">
        <f t="shared" si="272"/>
        <v>0</v>
      </c>
      <c r="DV41" s="62">
        <f t="shared" si="272"/>
        <v>0</v>
      </c>
      <c r="DW41" s="62">
        <f t="shared" si="272"/>
        <v>0</v>
      </c>
      <c r="DX41" s="62">
        <f t="shared" si="272"/>
        <v>0</v>
      </c>
      <c r="DY41" s="62">
        <f t="shared" si="272"/>
        <v>0</v>
      </c>
      <c r="DZ41" s="190">
        <f t="shared" si="24"/>
        <v>0</v>
      </c>
    </row>
    <row r="42" spans="1:130" ht="20.45" customHeight="1" outlineLevel="2">
      <c r="A42" s="662"/>
      <c r="B42" s="653"/>
      <c r="C42" s="30" t="s">
        <v>318</v>
      </c>
      <c r="D42" s="62">
        <f t="shared" si="0"/>
        <v>15507080</v>
      </c>
      <c r="E42" s="184">
        <f t="shared" si="179"/>
        <v>4.7978957856310858E-2</v>
      </c>
      <c r="F42" s="62">
        <v>241300</v>
      </c>
      <c r="G42" s="190">
        <f t="shared" si="36"/>
        <v>241300</v>
      </c>
      <c r="H42" s="197">
        <f t="shared" ref="H42:H47" si="273">G42/(G$5+G$6+G$7+G$8+G$10+G$9)</f>
        <v>5.5117687569739407E-2</v>
      </c>
      <c r="I42" s="62">
        <v>242950</v>
      </c>
      <c r="J42" s="62">
        <v>293290</v>
      </c>
      <c r="K42" s="62">
        <v>283090</v>
      </c>
      <c r="L42" s="62">
        <v>292180</v>
      </c>
      <c r="M42" s="62">
        <v>290130</v>
      </c>
      <c r="N42" s="62">
        <v>227110</v>
      </c>
      <c r="O42" s="62">
        <v>469650</v>
      </c>
      <c r="P42" s="62">
        <v>0</v>
      </c>
      <c r="Q42" s="62">
        <v>258070</v>
      </c>
      <c r="R42" s="62">
        <v>343600</v>
      </c>
      <c r="S42" s="62">
        <v>206570</v>
      </c>
      <c r="T42" s="62">
        <v>246000</v>
      </c>
      <c r="U42" s="190">
        <f t="shared" si="16"/>
        <v>3152640</v>
      </c>
      <c r="V42" s="197">
        <f t="shared" ref="V42:V47" si="274">U42/(U$5+U$6+U$7+U$8+U$10+U$9)</f>
        <v>5.6824804803071637E-2</v>
      </c>
      <c r="W42" s="62">
        <v>410540</v>
      </c>
      <c r="X42" s="62">
        <v>248330</v>
      </c>
      <c r="Y42" s="62">
        <v>299520</v>
      </c>
      <c r="Z42" s="62">
        <v>364350</v>
      </c>
      <c r="AA42" s="62">
        <v>297670</v>
      </c>
      <c r="AB42" s="62">
        <v>245790</v>
      </c>
      <c r="AC42" s="62">
        <v>445680</v>
      </c>
      <c r="AD42" s="62">
        <f>289150-50000</f>
        <v>239150</v>
      </c>
      <c r="AE42" s="62">
        <f>415410-20000</f>
        <v>395410</v>
      </c>
      <c r="AF42" s="62">
        <f>-250000+288570</f>
        <v>38570</v>
      </c>
      <c r="AG42" s="62">
        <v>251350</v>
      </c>
      <c r="AH42" s="62">
        <v>263330</v>
      </c>
      <c r="AI42" s="190">
        <f t="shared" si="17"/>
        <v>3499690</v>
      </c>
      <c r="AJ42" s="197">
        <f t="shared" ref="AJ42:AJ47" si="275">AI42/(AI$5+AI$6+AI$7+AI$8+AI$10+AI$9)</f>
        <v>4.7563899673033101E-2</v>
      </c>
      <c r="AK42" s="62">
        <v>318880</v>
      </c>
      <c r="AL42" s="62">
        <v>313970</v>
      </c>
      <c r="AM42" s="62">
        <v>294830</v>
      </c>
      <c r="AN42" s="62">
        <v>316760</v>
      </c>
      <c r="AO42" s="62">
        <v>291810</v>
      </c>
      <c r="AP42" s="62">
        <v>310260</v>
      </c>
      <c r="AQ42" s="62">
        <v>287860</v>
      </c>
      <c r="AR42" s="62">
        <f>328350-150000</f>
        <v>178350</v>
      </c>
      <c r="AS42" s="62">
        <v>360270</v>
      </c>
      <c r="AT42" s="62">
        <v>363160</v>
      </c>
      <c r="AU42" s="62">
        <v>271050</v>
      </c>
      <c r="AV42" s="62">
        <v>272510</v>
      </c>
      <c r="AW42" s="190">
        <f t="shared" si="18"/>
        <v>3579710</v>
      </c>
      <c r="AX42" s="197">
        <f t="shared" ref="AX42:AX47" si="276">AW42/(AW$5+AW$6+AW$7+AW$8+AW$10+AW$9)</f>
        <v>4.6924039306811827E-2</v>
      </c>
      <c r="AY42" s="62">
        <v>0</v>
      </c>
      <c r="AZ42" s="62">
        <f>507540-505490</f>
        <v>2050</v>
      </c>
      <c r="BA42" s="62">
        <v>505490</v>
      </c>
      <c r="BB42" s="62">
        <v>255460</v>
      </c>
      <c r="BC42" s="62">
        <v>228830</v>
      </c>
      <c r="BD42" s="62">
        <v>273940</v>
      </c>
      <c r="BE42" s="62">
        <v>288530</v>
      </c>
      <c r="BF42" s="62">
        <v>344600</v>
      </c>
      <c r="BG42" s="62">
        <f>402690-95800</f>
        <v>306890</v>
      </c>
      <c r="BH42" s="62">
        <v>387950</v>
      </c>
      <c r="BI42" s="62">
        <v>344550</v>
      </c>
      <c r="BJ42" s="62">
        <v>441650</v>
      </c>
      <c r="BK42" s="190">
        <f t="shared" si="19"/>
        <v>3379940</v>
      </c>
      <c r="BL42" s="197">
        <f t="shared" ref="BL42:BL47" si="277">BK42/(BK$5+BK$6+BK$7+BK$8+BK$10+BK$9)</f>
        <v>4.8396153084732489E-2</v>
      </c>
      <c r="BM42" s="62">
        <v>287660</v>
      </c>
      <c r="BN42" s="62">
        <v>264370</v>
      </c>
      <c r="BO42" s="62">
        <v>308070</v>
      </c>
      <c r="BP42" s="62">
        <v>492150</v>
      </c>
      <c r="BQ42" s="62">
        <v>301550</v>
      </c>
      <c r="BR42" s="62">
        <v>0</v>
      </c>
      <c r="BS42" s="62">
        <v>0</v>
      </c>
      <c r="BT42" s="62">
        <v>0</v>
      </c>
      <c r="BU42" s="62">
        <v>0</v>
      </c>
      <c r="BV42" s="62">
        <v>0</v>
      </c>
      <c r="BW42" s="62">
        <v>0</v>
      </c>
      <c r="BX42" s="62">
        <v>0</v>
      </c>
      <c r="BY42" s="190">
        <f t="shared" si="20"/>
        <v>1653800</v>
      </c>
      <c r="BZ42" s="197">
        <f t="shared" ref="BZ42:BZ47" si="278">BY42/(BY$5+BY$6+BY$7+BY$8+BY$10+BY$9)</f>
        <v>3.7893915824547826E-2</v>
      </c>
      <c r="CA42" s="62">
        <v>0</v>
      </c>
      <c r="CB42" s="62">
        <v>0</v>
      </c>
      <c r="CC42" s="62">
        <v>0</v>
      </c>
      <c r="CD42" s="62">
        <v>0</v>
      </c>
      <c r="CE42" s="62">
        <v>0</v>
      </c>
      <c r="CF42" s="62">
        <v>0</v>
      </c>
      <c r="CG42" s="62">
        <v>0</v>
      </c>
      <c r="CH42" s="62">
        <v>0</v>
      </c>
      <c r="CI42" s="62">
        <v>0</v>
      </c>
      <c r="CJ42" s="62">
        <v>0</v>
      </c>
      <c r="CK42" s="62">
        <v>0</v>
      </c>
      <c r="CL42" s="62">
        <v>0</v>
      </c>
      <c r="CM42" s="190">
        <f t="shared" si="21"/>
        <v>0</v>
      </c>
      <c r="CN42" s="62">
        <v>0</v>
      </c>
      <c r="CO42" s="62">
        <v>0</v>
      </c>
      <c r="CP42" s="62">
        <v>0</v>
      </c>
      <c r="CQ42" s="62">
        <v>0</v>
      </c>
      <c r="CR42" s="62">
        <v>0</v>
      </c>
      <c r="CS42" s="62">
        <v>0</v>
      </c>
      <c r="CT42" s="62">
        <v>0</v>
      </c>
      <c r="CU42" s="62">
        <v>0</v>
      </c>
      <c r="CV42" s="62">
        <v>0</v>
      </c>
      <c r="CW42" s="62">
        <v>0</v>
      </c>
      <c r="CX42" s="62">
        <v>0</v>
      </c>
      <c r="CY42" s="62">
        <v>0</v>
      </c>
      <c r="CZ42" s="190">
        <f t="shared" si="22"/>
        <v>0</v>
      </c>
      <c r="DA42" s="62">
        <v>0</v>
      </c>
      <c r="DB42" s="62">
        <v>0</v>
      </c>
      <c r="DC42" s="62">
        <v>0</v>
      </c>
      <c r="DD42" s="62">
        <v>0</v>
      </c>
      <c r="DE42" s="62">
        <v>0</v>
      </c>
      <c r="DF42" s="62">
        <v>0</v>
      </c>
      <c r="DG42" s="62">
        <v>0</v>
      </c>
      <c r="DH42" s="62">
        <v>0</v>
      </c>
      <c r="DI42" s="62">
        <v>0</v>
      </c>
      <c r="DJ42" s="62">
        <v>0</v>
      </c>
      <c r="DK42" s="62">
        <v>0</v>
      </c>
      <c r="DL42" s="62">
        <v>0</v>
      </c>
      <c r="DM42" s="190">
        <f t="shared" si="23"/>
        <v>0</v>
      </c>
      <c r="DN42" s="62">
        <v>0</v>
      </c>
      <c r="DO42" s="62">
        <v>0</v>
      </c>
      <c r="DP42" s="62">
        <v>0</v>
      </c>
      <c r="DQ42" s="62">
        <v>0</v>
      </c>
      <c r="DR42" s="62">
        <v>0</v>
      </c>
      <c r="DS42" s="62">
        <v>0</v>
      </c>
      <c r="DT42" s="62">
        <v>0</v>
      </c>
      <c r="DU42" s="62">
        <v>0</v>
      </c>
      <c r="DV42" s="62">
        <v>0</v>
      </c>
      <c r="DW42" s="62">
        <v>0</v>
      </c>
      <c r="DX42" s="62">
        <v>0</v>
      </c>
      <c r="DY42" s="62">
        <v>0</v>
      </c>
      <c r="DZ42" s="190">
        <f t="shared" si="24"/>
        <v>0</v>
      </c>
    </row>
    <row r="43" spans="1:130" ht="20.45" customHeight="1" outlineLevel="2">
      <c r="A43" s="662"/>
      <c r="B43" s="653"/>
      <c r="C43" s="30" t="s">
        <v>319</v>
      </c>
      <c r="D43" s="62">
        <f t="shared" si="0"/>
        <v>1705960.0000000005</v>
      </c>
      <c r="E43" s="184">
        <f t="shared" si="179"/>
        <v>5.2782459976057454E-3</v>
      </c>
      <c r="F43" s="62">
        <v>0</v>
      </c>
      <c r="G43" s="190">
        <f t="shared" si="36"/>
        <v>0</v>
      </c>
      <c r="H43" s="197">
        <f t="shared" si="273"/>
        <v>0</v>
      </c>
      <c r="I43" s="62">
        <v>73910</v>
      </c>
      <c r="J43" s="62">
        <v>47220</v>
      </c>
      <c r="K43" s="62">
        <v>47430</v>
      </c>
      <c r="L43" s="62">
        <v>28710</v>
      </c>
      <c r="M43" s="62">
        <v>17740</v>
      </c>
      <c r="N43" s="62">
        <v>15950</v>
      </c>
      <c r="O43" s="62">
        <v>20000</v>
      </c>
      <c r="P43" s="62">
        <v>0</v>
      </c>
      <c r="Q43" s="62">
        <v>10650</v>
      </c>
      <c r="R43" s="62">
        <v>0</v>
      </c>
      <c r="S43" s="62">
        <v>24290</v>
      </c>
      <c r="T43" s="62">
        <v>82100</v>
      </c>
      <c r="U43" s="190">
        <f t="shared" si="16"/>
        <v>368000</v>
      </c>
      <c r="V43" s="197">
        <f t="shared" si="274"/>
        <v>6.6330212671064127E-3</v>
      </c>
      <c r="W43" s="62">
        <v>0</v>
      </c>
      <c r="X43" s="62">
        <v>109590</v>
      </c>
      <c r="Y43" s="62">
        <v>26710</v>
      </c>
      <c r="Z43" s="62">
        <v>21500</v>
      </c>
      <c r="AA43" s="62">
        <v>18350</v>
      </c>
      <c r="AB43" s="62">
        <v>10900</v>
      </c>
      <c r="AC43" s="62">
        <v>11120</v>
      </c>
      <c r="AD43" s="62">
        <v>10110</v>
      </c>
      <c r="AE43" s="62">
        <v>8140</v>
      </c>
      <c r="AF43" s="62">
        <v>15940</v>
      </c>
      <c r="AG43" s="62">
        <v>43360</v>
      </c>
      <c r="AH43" s="62">
        <v>62200</v>
      </c>
      <c r="AI43" s="190">
        <f t="shared" si="17"/>
        <v>337920</v>
      </c>
      <c r="AJ43" s="197">
        <f t="shared" si="275"/>
        <v>4.5926333410991676E-3</v>
      </c>
      <c r="AK43" s="62">
        <v>72860</v>
      </c>
      <c r="AL43" s="62">
        <v>50180</v>
      </c>
      <c r="AM43" s="62">
        <v>41460</v>
      </c>
      <c r="AN43" s="62">
        <v>18950</v>
      </c>
      <c r="AO43" s="62">
        <v>16940</v>
      </c>
      <c r="AP43" s="62">
        <v>0</v>
      </c>
      <c r="AQ43" s="62">
        <v>0</v>
      </c>
      <c r="AR43" s="62">
        <v>0</v>
      </c>
      <c r="AS43" s="62">
        <f>37680+13810</f>
        <v>51490</v>
      </c>
      <c r="AT43" s="62">
        <v>0</v>
      </c>
      <c r="AU43" s="62">
        <v>20800</v>
      </c>
      <c r="AV43" s="62">
        <f>36430+40610</f>
        <v>77040</v>
      </c>
      <c r="AW43" s="190">
        <f t="shared" si="18"/>
        <v>349720</v>
      </c>
      <c r="AX43" s="197">
        <f t="shared" si="276"/>
        <v>4.5842470553140429E-3</v>
      </c>
      <c r="AY43" s="62">
        <v>0</v>
      </c>
      <c r="AZ43" s="62">
        <v>0</v>
      </c>
      <c r="BA43" s="62">
        <v>68160</v>
      </c>
      <c r="BB43" s="62">
        <v>61750</v>
      </c>
      <c r="BC43" s="62">
        <v>41184</v>
      </c>
      <c r="BD43" s="62">
        <v>37390</v>
      </c>
      <c r="BE43" s="62">
        <v>24228</v>
      </c>
      <c r="BF43" s="62">
        <v>20430</v>
      </c>
      <c r="BG43" s="62">
        <v>15840</v>
      </c>
      <c r="BH43" s="62">
        <v>14886</v>
      </c>
      <c r="BI43" s="62">
        <v>18630</v>
      </c>
      <c r="BJ43" s="62">
        <v>25182</v>
      </c>
      <c r="BK43" s="190">
        <f t="shared" si="19"/>
        <v>327680</v>
      </c>
      <c r="BL43" s="197">
        <f t="shared" si="277"/>
        <v>4.6919328280398886E-3</v>
      </c>
      <c r="BM43" s="62">
        <v>43920</v>
      </c>
      <c r="BN43" s="62">
        <v>78180</v>
      </c>
      <c r="BO43" s="62">
        <v>88610</v>
      </c>
      <c r="BP43" s="62">
        <v>57480</v>
      </c>
      <c r="BQ43" s="62">
        <v>54450</v>
      </c>
      <c r="BR43" s="62">
        <v>0</v>
      </c>
      <c r="BS43" s="62">
        <v>0</v>
      </c>
      <c r="BT43" s="62">
        <v>0</v>
      </c>
      <c r="BU43" s="62">
        <v>0</v>
      </c>
      <c r="BV43" s="62">
        <v>0</v>
      </c>
      <c r="BW43" s="62">
        <v>0</v>
      </c>
      <c r="BX43" s="62">
        <v>0</v>
      </c>
      <c r="BY43" s="190">
        <f t="shared" si="20"/>
        <v>322640</v>
      </c>
      <c r="BZ43" s="197">
        <f t="shared" si="278"/>
        <v>7.3927276585029084E-3</v>
      </c>
      <c r="CA43" s="62">
        <v>0</v>
      </c>
      <c r="CB43" s="62">
        <v>0</v>
      </c>
      <c r="CC43" s="62">
        <v>0</v>
      </c>
      <c r="CD43" s="62">
        <v>0</v>
      </c>
      <c r="CE43" s="62">
        <v>0</v>
      </c>
      <c r="CF43" s="62">
        <v>0</v>
      </c>
      <c r="CG43" s="62">
        <v>0</v>
      </c>
      <c r="CH43" s="62">
        <v>0</v>
      </c>
      <c r="CI43" s="62">
        <v>0</v>
      </c>
      <c r="CJ43" s="62">
        <v>0</v>
      </c>
      <c r="CK43" s="62">
        <v>0</v>
      </c>
      <c r="CL43" s="62">
        <v>0</v>
      </c>
      <c r="CM43" s="190">
        <f t="shared" si="21"/>
        <v>0</v>
      </c>
      <c r="CN43" s="62">
        <v>0</v>
      </c>
      <c r="CO43" s="62">
        <v>0</v>
      </c>
      <c r="CP43" s="62">
        <v>0</v>
      </c>
      <c r="CQ43" s="62">
        <v>0</v>
      </c>
      <c r="CR43" s="62">
        <v>0</v>
      </c>
      <c r="CS43" s="62">
        <v>0</v>
      </c>
      <c r="CT43" s="62">
        <v>0</v>
      </c>
      <c r="CU43" s="62">
        <v>0</v>
      </c>
      <c r="CV43" s="62">
        <v>0</v>
      </c>
      <c r="CW43" s="62">
        <v>0</v>
      </c>
      <c r="CX43" s="62">
        <v>0</v>
      </c>
      <c r="CY43" s="62">
        <v>0</v>
      </c>
      <c r="CZ43" s="190">
        <f t="shared" si="22"/>
        <v>0</v>
      </c>
      <c r="DA43" s="62">
        <v>0</v>
      </c>
      <c r="DB43" s="62">
        <v>0</v>
      </c>
      <c r="DC43" s="62">
        <v>0</v>
      </c>
      <c r="DD43" s="62">
        <v>0</v>
      </c>
      <c r="DE43" s="62">
        <v>0</v>
      </c>
      <c r="DF43" s="62">
        <v>0</v>
      </c>
      <c r="DG43" s="62">
        <v>0</v>
      </c>
      <c r="DH43" s="62">
        <v>0</v>
      </c>
      <c r="DI43" s="62">
        <v>0</v>
      </c>
      <c r="DJ43" s="62">
        <v>0</v>
      </c>
      <c r="DK43" s="62">
        <v>0</v>
      </c>
      <c r="DL43" s="62">
        <v>0</v>
      </c>
      <c r="DM43" s="190">
        <f t="shared" si="23"/>
        <v>0</v>
      </c>
      <c r="DN43" s="62">
        <v>0</v>
      </c>
      <c r="DO43" s="62">
        <v>0</v>
      </c>
      <c r="DP43" s="62">
        <v>0</v>
      </c>
      <c r="DQ43" s="62">
        <v>0</v>
      </c>
      <c r="DR43" s="62">
        <v>0</v>
      </c>
      <c r="DS43" s="62">
        <v>0</v>
      </c>
      <c r="DT43" s="62">
        <v>0</v>
      </c>
      <c r="DU43" s="62">
        <v>0</v>
      </c>
      <c r="DV43" s="62">
        <v>0</v>
      </c>
      <c r="DW43" s="62">
        <v>0</v>
      </c>
      <c r="DX43" s="62">
        <v>0</v>
      </c>
      <c r="DY43" s="62">
        <v>0</v>
      </c>
      <c r="DZ43" s="190">
        <f t="shared" si="24"/>
        <v>0</v>
      </c>
    </row>
    <row r="44" spans="1:130" ht="20.45" customHeight="1" outlineLevel="2">
      <c r="A44" s="663"/>
      <c r="B44" s="653"/>
      <c r="C44" s="30" t="s">
        <v>320</v>
      </c>
      <c r="D44" s="62">
        <f t="shared" si="0"/>
        <v>2116130</v>
      </c>
      <c r="E44" s="184">
        <f t="shared" si="179"/>
        <v>6.5473133619272685E-3</v>
      </c>
      <c r="F44" s="62">
        <v>42630</v>
      </c>
      <c r="G44" s="190">
        <f t="shared" si="36"/>
        <v>42630</v>
      </c>
      <c r="H44" s="197">
        <f t="shared" si="273"/>
        <v>9.7375342772399124E-3</v>
      </c>
      <c r="I44" s="62">
        <v>42630</v>
      </c>
      <c r="J44" s="62">
        <v>42630</v>
      </c>
      <c r="K44" s="62">
        <v>42630</v>
      </c>
      <c r="L44" s="62">
        <v>42630</v>
      </c>
      <c r="M44" s="62">
        <v>42630</v>
      </c>
      <c r="N44" s="62">
        <v>42630</v>
      </c>
      <c r="O44" s="62">
        <v>42630</v>
      </c>
      <c r="P44" s="62">
        <v>42630</v>
      </c>
      <c r="Q44" s="62">
        <v>42630</v>
      </c>
      <c r="R44" s="62">
        <v>42630</v>
      </c>
      <c r="S44" s="62">
        <v>42630</v>
      </c>
      <c r="T44" s="62">
        <v>0</v>
      </c>
      <c r="U44" s="190">
        <f t="shared" si="16"/>
        <v>468930</v>
      </c>
      <c r="V44" s="197">
        <f t="shared" si="274"/>
        <v>8.452235496696223E-3</v>
      </c>
      <c r="W44" s="62">
        <v>85260</v>
      </c>
      <c r="X44" s="62">
        <v>42630</v>
      </c>
      <c r="Y44" s="62">
        <f>42630</f>
        <v>42630</v>
      </c>
      <c r="Z44" s="62">
        <v>42630</v>
      </c>
      <c r="AA44" s="62">
        <v>42630</v>
      </c>
      <c r="AB44" s="62">
        <v>0</v>
      </c>
      <c r="AC44" s="62">
        <v>42630</v>
      </c>
      <c r="AD44" s="62">
        <v>42900</v>
      </c>
      <c r="AE44" s="62">
        <v>42900</v>
      </c>
      <c r="AF44" s="62">
        <v>42900</v>
      </c>
      <c r="AG44" s="62">
        <v>42900</v>
      </c>
      <c r="AH44" s="62">
        <v>42900</v>
      </c>
      <c r="AI44" s="190">
        <f t="shared" si="17"/>
        <v>512910</v>
      </c>
      <c r="AJ44" s="197">
        <f t="shared" si="275"/>
        <v>6.970903074642442E-3</v>
      </c>
      <c r="AK44" s="62">
        <v>42900</v>
      </c>
      <c r="AL44" s="62">
        <v>42900</v>
      </c>
      <c r="AM44" s="62">
        <v>42900</v>
      </c>
      <c r="AN44" s="62">
        <v>42900</v>
      </c>
      <c r="AO44" s="62">
        <v>42900</v>
      </c>
      <c r="AP44" s="62">
        <v>42900</v>
      </c>
      <c r="AQ44" s="62">
        <v>42900</v>
      </c>
      <c r="AR44" s="62">
        <v>42900</v>
      </c>
      <c r="AS44" s="62">
        <v>42900</v>
      </c>
      <c r="AT44" s="62">
        <v>44980</v>
      </c>
      <c r="AU44" s="62">
        <v>36880</v>
      </c>
      <c r="AV44" s="62">
        <v>34650</v>
      </c>
      <c r="AW44" s="190">
        <f t="shared" si="18"/>
        <v>502610</v>
      </c>
      <c r="AX44" s="197">
        <f t="shared" si="276"/>
        <v>6.5883804542816848E-3</v>
      </c>
      <c r="AY44" s="62">
        <f>34650</f>
        <v>34650</v>
      </c>
      <c r="AZ44" s="62">
        <v>34650</v>
      </c>
      <c r="BA44" s="62">
        <v>34650</v>
      </c>
      <c r="BB44" s="62">
        <v>34650</v>
      </c>
      <c r="BC44" s="62">
        <v>34650</v>
      </c>
      <c r="BD44" s="62">
        <v>34650</v>
      </c>
      <c r="BE44" s="62">
        <v>34650</v>
      </c>
      <c r="BF44" s="62">
        <v>34650</v>
      </c>
      <c r="BG44" s="62">
        <v>34650</v>
      </c>
      <c r="BH44" s="62">
        <v>34650</v>
      </c>
      <c r="BI44" s="62">
        <v>34650</v>
      </c>
      <c r="BJ44" s="62">
        <v>34650</v>
      </c>
      <c r="BK44" s="190">
        <f t="shared" si="19"/>
        <v>415800</v>
      </c>
      <c r="BL44" s="197">
        <f t="shared" si="277"/>
        <v>5.9536916195647759E-3</v>
      </c>
      <c r="BM44" s="62">
        <v>34650</v>
      </c>
      <c r="BN44" s="62">
        <v>34650</v>
      </c>
      <c r="BO44" s="62">
        <v>34650</v>
      </c>
      <c r="BP44" s="62">
        <f>34650</f>
        <v>34650</v>
      </c>
      <c r="BQ44" s="62">
        <v>34650</v>
      </c>
      <c r="BR44" s="62">
        <v>0</v>
      </c>
      <c r="BS44" s="62">
        <v>0</v>
      </c>
      <c r="BT44" s="62">
        <v>0</v>
      </c>
      <c r="BU44" s="62">
        <v>0</v>
      </c>
      <c r="BV44" s="62">
        <v>0</v>
      </c>
      <c r="BW44" s="62">
        <v>0</v>
      </c>
      <c r="BX44" s="62">
        <v>0</v>
      </c>
      <c r="BY44" s="190">
        <f t="shared" si="20"/>
        <v>173250</v>
      </c>
      <c r="BZ44" s="197">
        <f t="shared" si="278"/>
        <v>3.9697187789351253E-3</v>
      </c>
      <c r="CA44" s="62">
        <v>0</v>
      </c>
      <c r="CB44" s="62">
        <v>0</v>
      </c>
      <c r="CC44" s="62">
        <v>0</v>
      </c>
      <c r="CD44" s="62">
        <v>0</v>
      </c>
      <c r="CE44" s="62">
        <v>0</v>
      </c>
      <c r="CF44" s="62">
        <v>0</v>
      </c>
      <c r="CG44" s="62">
        <v>0</v>
      </c>
      <c r="CH44" s="62">
        <v>0</v>
      </c>
      <c r="CI44" s="62">
        <v>0</v>
      </c>
      <c r="CJ44" s="62">
        <v>0</v>
      </c>
      <c r="CK44" s="62">
        <v>0</v>
      </c>
      <c r="CL44" s="62">
        <v>0</v>
      </c>
      <c r="CM44" s="190">
        <f t="shared" si="21"/>
        <v>0</v>
      </c>
      <c r="CN44" s="62">
        <v>0</v>
      </c>
      <c r="CO44" s="62">
        <v>0</v>
      </c>
      <c r="CP44" s="62">
        <v>0</v>
      </c>
      <c r="CQ44" s="62">
        <v>0</v>
      </c>
      <c r="CR44" s="62">
        <v>0</v>
      </c>
      <c r="CS44" s="62">
        <v>0</v>
      </c>
      <c r="CT44" s="62">
        <v>0</v>
      </c>
      <c r="CU44" s="62">
        <v>0</v>
      </c>
      <c r="CV44" s="62">
        <v>0</v>
      </c>
      <c r="CW44" s="62">
        <v>0</v>
      </c>
      <c r="CX44" s="62">
        <v>0</v>
      </c>
      <c r="CY44" s="62">
        <v>0</v>
      </c>
      <c r="CZ44" s="190">
        <f t="shared" si="22"/>
        <v>0</v>
      </c>
      <c r="DA44" s="62">
        <v>0</v>
      </c>
      <c r="DB44" s="62">
        <v>0</v>
      </c>
      <c r="DC44" s="62">
        <v>0</v>
      </c>
      <c r="DD44" s="62">
        <v>0</v>
      </c>
      <c r="DE44" s="62">
        <v>0</v>
      </c>
      <c r="DF44" s="62">
        <v>0</v>
      </c>
      <c r="DG44" s="62">
        <v>0</v>
      </c>
      <c r="DH44" s="62">
        <v>0</v>
      </c>
      <c r="DI44" s="62">
        <v>0</v>
      </c>
      <c r="DJ44" s="62">
        <v>0</v>
      </c>
      <c r="DK44" s="62">
        <v>0</v>
      </c>
      <c r="DL44" s="62">
        <v>0</v>
      </c>
      <c r="DM44" s="190">
        <f t="shared" si="23"/>
        <v>0</v>
      </c>
      <c r="DN44" s="62">
        <v>0</v>
      </c>
      <c r="DO44" s="62">
        <v>0</v>
      </c>
      <c r="DP44" s="62">
        <v>0</v>
      </c>
      <c r="DQ44" s="62">
        <v>0</v>
      </c>
      <c r="DR44" s="62">
        <v>0</v>
      </c>
      <c r="DS44" s="62">
        <v>0</v>
      </c>
      <c r="DT44" s="62">
        <v>0</v>
      </c>
      <c r="DU44" s="62">
        <v>0</v>
      </c>
      <c r="DV44" s="62">
        <v>0</v>
      </c>
      <c r="DW44" s="62">
        <v>0</v>
      </c>
      <c r="DX44" s="62">
        <v>0</v>
      </c>
      <c r="DY44" s="62">
        <v>0</v>
      </c>
      <c r="DZ44" s="190">
        <f t="shared" si="24"/>
        <v>0</v>
      </c>
    </row>
    <row r="45" spans="1:130" ht="20.45" customHeight="1" outlineLevel="2">
      <c r="A45" s="663"/>
      <c r="B45" s="653"/>
      <c r="C45" s="30" t="s">
        <v>2607</v>
      </c>
      <c r="D45" s="62">
        <f t="shared" si="0"/>
        <v>4259477.0000000019</v>
      </c>
      <c r="E45" s="184">
        <f t="shared" si="179"/>
        <v>1.317883621371177E-2</v>
      </c>
      <c r="F45" s="62">
        <v>84800</v>
      </c>
      <c r="G45" s="190">
        <f t="shared" si="36"/>
        <v>84800</v>
      </c>
      <c r="H45" s="197">
        <f t="shared" si="273"/>
        <v>1.9369995465867807E-2</v>
      </c>
      <c r="I45" s="62">
        <v>84590</v>
      </c>
      <c r="J45" s="62">
        <v>84590</v>
      </c>
      <c r="K45" s="62">
        <v>84600</v>
      </c>
      <c r="L45" s="62">
        <v>84600</v>
      </c>
      <c r="M45" s="62">
        <v>84600</v>
      </c>
      <c r="N45" s="62">
        <v>83920</v>
      </c>
      <c r="O45" s="62">
        <v>74600</v>
      </c>
      <c r="P45" s="62">
        <v>74600</v>
      </c>
      <c r="Q45" s="62">
        <v>74600</v>
      </c>
      <c r="R45" s="62">
        <v>89100</v>
      </c>
      <c r="S45" s="62">
        <v>74600</v>
      </c>
      <c r="T45" s="62">
        <v>133650</v>
      </c>
      <c r="U45" s="190">
        <f t="shared" si="16"/>
        <v>1028050</v>
      </c>
      <c r="V45" s="197">
        <f t="shared" si="274"/>
        <v>1.8530101939262904E-2</v>
      </c>
      <c r="W45" s="62">
        <v>74600</v>
      </c>
      <c r="X45" s="62">
        <v>74600</v>
      </c>
      <c r="Y45" s="62">
        <v>74600</v>
      </c>
      <c r="Z45" s="62">
        <v>74600</v>
      </c>
      <c r="AA45" s="62">
        <v>133600</v>
      </c>
      <c r="AB45" s="62">
        <f>103600+74600</f>
        <v>178200</v>
      </c>
      <c r="AC45" s="62">
        <v>68920</v>
      </c>
      <c r="AD45" s="62">
        <v>65970</v>
      </c>
      <c r="AE45" s="62">
        <v>64600</v>
      </c>
      <c r="AF45" s="62">
        <v>73910</v>
      </c>
      <c r="AG45" s="62">
        <v>47330</v>
      </c>
      <c r="AH45" s="62">
        <v>61830</v>
      </c>
      <c r="AI45" s="190">
        <f t="shared" si="17"/>
        <v>992760</v>
      </c>
      <c r="AJ45" s="197">
        <f t="shared" si="275"/>
        <v>1.3492491346205048E-2</v>
      </c>
      <c r="AK45" s="62">
        <v>47330</v>
      </c>
      <c r="AL45" s="62">
        <v>44280</v>
      </c>
      <c r="AM45" s="62">
        <v>56580</v>
      </c>
      <c r="AN45" s="62">
        <v>42090</v>
      </c>
      <c r="AO45" s="62">
        <v>42090</v>
      </c>
      <c r="AP45" s="62">
        <v>42090</v>
      </c>
      <c r="AQ45" s="62">
        <v>42090</v>
      </c>
      <c r="AR45" s="62">
        <v>115400</v>
      </c>
      <c r="AS45" s="62">
        <v>109900</v>
      </c>
      <c r="AT45" s="62">
        <v>112680</v>
      </c>
      <c r="AU45" s="62">
        <v>114300</v>
      </c>
      <c r="AV45" s="62">
        <v>114300</v>
      </c>
      <c r="AW45" s="190">
        <f t="shared" si="18"/>
        <v>883130</v>
      </c>
      <c r="AX45" s="197">
        <f t="shared" si="276"/>
        <v>1.1576364239847564E-2</v>
      </c>
      <c r="AY45" s="62">
        <v>0</v>
      </c>
      <c r="AZ45" s="62">
        <v>140300</v>
      </c>
      <c r="BA45" s="62">
        <v>114300</v>
      </c>
      <c r="BB45" s="62">
        <v>112300</v>
      </c>
      <c r="BC45" s="62">
        <v>73056</v>
      </c>
      <c r="BD45" s="62">
        <v>74200</v>
      </c>
      <c r="BE45" s="62">
        <v>69892</v>
      </c>
      <c r="BF45" s="62">
        <v>69470</v>
      </c>
      <c r="BG45" s="62">
        <v>79110</v>
      </c>
      <c r="BH45" s="62">
        <v>35721</v>
      </c>
      <c r="BI45" s="62">
        <v>69270</v>
      </c>
      <c r="BJ45" s="62">
        <v>69998</v>
      </c>
      <c r="BK45" s="190">
        <f t="shared" si="19"/>
        <v>907617</v>
      </c>
      <c r="BL45" s="197">
        <f t="shared" si="277"/>
        <v>1.2995843498495726E-2</v>
      </c>
      <c r="BM45" s="62">
        <v>72240</v>
      </c>
      <c r="BN45" s="62">
        <v>72200</v>
      </c>
      <c r="BO45" s="62">
        <v>72200</v>
      </c>
      <c r="BP45" s="62">
        <v>73180</v>
      </c>
      <c r="BQ45" s="62">
        <v>73300</v>
      </c>
      <c r="BR45" s="62">
        <v>0</v>
      </c>
      <c r="BS45" s="62">
        <v>0</v>
      </c>
      <c r="BT45" s="62">
        <v>0</v>
      </c>
      <c r="BU45" s="62">
        <v>0</v>
      </c>
      <c r="BV45" s="62">
        <v>0</v>
      </c>
      <c r="BW45" s="62">
        <v>0</v>
      </c>
      <c r="BX45" s="62">
        <v>0</v>
      </c>
      <c r="BY45" s="190">
        <f t="shared" si="20"/>
        <v>363120</v>
      </c>
      <c r="BZ45" s="197">
        <f t="shared" si="278"/>
        <v>8.32025560177156E-3</v>
      </c>
      <c r="CA45" s="62">
        <v>0</v>
      </c>
      <c r="CB45" s="62">
        <v>0</v>
      </c>
      <c r="CC45" s="62">
        <v>0</v>
      </c>
      <c r="CD45" s="62">
        <v>0</v>
      </c>
      <c r="CE45" s="62">
        <v>0</v>
      </c>
      <c r="CF45" s="62">
        <v>0</v>
      </c>
      <c r="CG45" s="62">
        <v>0</v>
      </c>
      <c r="CH45" s="62">
        <v>0</v>
      </c>
      <c r="CI45" s="62">
        <v>0</v>
      </c>
      <c r="CJ45" s="62">
        <v>0</v>
      </c>
      <c r="CK45" s="62">
        <v>0</v>
      </c>
      <c r="CL45" s="62">
        <v>0</v>
      </c>
      <c r="CM45" s="190">
        <f t="shared" si="21"/>
        <v>0</v>
      </c>
      <c r="CN45" s="62">
        <v>0</v>
      </c>
      <c r="CO45" s="62">
        <v>0</v>
      </c>
      <c r="CP45" s="62">
        <v>0</v>
      </c>
      <c r="CQ45" s="62">
        <v>0</v>
      </c>
      <c r="CR45" s="62">
        <v>0</v>
      </c>
      <c r="CS45" s="62">
        <v>0</v>
      </c>
      <c r="CT45" s="62">
        <v>0</v>
      </c>
      <c r="CU45" s="62">
        <v>0</v>
      </c>
      <c r="CV45" s="62">
        <v>0</v>
      </c>
      <c r="CW45" s="62">
        <v>0</v>
      </c>
      <c r="CX45" s="62">
        <v>0</v>
      </c>
      <c r="CY45" s="62">
        <v>0</v>
      </c>
      <c r="CZ45" s="190">
        <f t="shared" si="22"/>
        <v>0</v>
      </c>
      <c r="DA45" s="62">
        <v>0</v>
      </c>
      <c r="DB45" s="62">
        <v>0</v>
      </c>
      <c r="DC45" s="62">
        <v>0</v>
      </c>
      <c r="DD45" s="62">
        <v>0</v>
      </c>
      <c r="DE45" s="62">
        <v>0</v>
      </c>
      <c r="DF45" s="62">
        <v>0</v>
      </c>
      <c r="DG45" s="62">
        <v>0</v>
      </c>
      <c r="DH45" s="62">
        <v>0</v>
      </c>
      <c r="DI45" s="62">
        <v>0</v>
      </c>
      <c r="DJ45" s="62">
        <v>0</v>
      </c>
      <c r="DK45" s="62">
        <v>0</v>
      </c>
      <c r="DL45" s="62">
        <v>0</v>
      </c>
      <c r="DM45" s="190">
        <f t="shared" si="23"/>
        <v>0</v>
      </c>
      <c r="DN45" s="62">
        <v>0</v>
      </c>
      <c r="DO45" s="62">
        <v>0</v>
      </c>
      <c r="DP45" s="62">
        <v>0</v>
      </c>
      <c r="DQ45" s="62">
        <v>0</v>
      </c>
      <c r="DR45" s="62">
        <v>0</v>
      </c>
      <c r="DS45" s="62">
        <v>0</v>
      </c>
      <c r="DT45" s="62">
        <v>0</v>
      </c>
      <c r="DU45" s="62">
        <v>0</v>
      </c>
      <c r="DV45" s="62">
        <v>0</v>
      </c>
      <c r="DW45" s="62">
        <v>0</v>
      </c>
      <c r="DX45" s="62">
        <v>0</v>
      </c>
      <c r="DY45" s="62">
        <v>0</v>
      </c>
      <c r="DZ45" s="190">
        <f t="shared" si="24"/>
        <v>0</v>
      </c>
    </row>
    <row r="46" spans="1:130" ht="20.45" customHeight="1" outlineLevel="2">
      <c r="A46" s="663"/>
      <c r="B46" s="653"/>
      <c r="C46" s="30" t="s">
        <v>2608</v>
      </c>
      <c r="D46" s="62">
        <f t="shared" si="0"/>
        <v>1133000</v>
      </c>
      <c r="E46" s="184">
        <f t="shared" si="179"/>
        <v>3.5055058238688524E-3</v>
      </c>
      <c r="F46" s="62">
        <v>56650</v>
      </c>
      <c r="G46" s="190">
        <f t="shared" si="36"/>
        <v>56650</v>
      </c>
      <c r="H46" s="197">
        <f t="shared" si="273"/>
        <v>1.2939979282327962E-2</v>
      </c>
      <c r="I46" s="62">
        <v>56650</v>
      </c>
      <c r="J46" s="62">
        <v>56650</v>
      </c>
      <c r="K46" s="62">
        <v>56650</v>
      </c>
      <c r="L46" s="62">
        <v>56650</v>
      </c>
      <c r="M46" s="62">
        <v>56650</v>
      </c>
      <c r="N46" s="62">
        <v>56650</v>
      </c>
      <c r="O46" s="62">
        <v>56650</v>
      </c>
      <c r="P46" s="62">
        <v>56650</v>
      </c>
      <c r="Q46" s="62">
        <v>56650</v>
      </c>
      <c r="R46" s="62">
        <v>56650</v>
      </c>
      <c r="S46" s="62">
        <v>56650</v>
      </c>
      <c r="T46" s="62">
        <v>56650</v>
      </c>
      <c r="U46" s="190">
        <f t="shared" si="16"/>
        <v>679800</v>
      </c>
      <c r="V46" s="197">
        <f t="shared" si="274"/>
        <v>1.2253064829834076E-2</v>
      </c>
      <c r="W46" s="62">
        <v>56650</v>
      </c>
      <c r="X46" s="62">
        <v>56650</v>
      </c>
      <c r="Y46" s="62">
        <v>56650</v>
      </c>
      <c r="Z46" s="62">
        <v>56650</v>
      </c>
      <c r="AA46" s="62">
        <v>56650</v>
      </c>
      <c r="AB46" s="62">
        <f>2*56650</f>
        <v>113300</v>
      </c>
      <c r="AC46" s="62">
        <v>0</v>
      </c>
      <c r="AD46" s="62">
        <v>0</v>
      </c>
      <c r="AE46" s="62">
        <v>0</v>
      </c>
      <c r="AF46" s="62">
        <v>0</v>
      </c>
      <c r="AG46" s="62">
        <v>0</v>
      </c>
      <c r="AH46" s="62">
        <v>0</v>
      </c>
      <c r="AI46" s="190">
        <f t="shared" si="17"/>
        <v>396550</v>
      </c>
      <c r="AJ46" s="197">
        <f t="shared" si="275"/>
        <v>5.3894671857625323E-3</v>
      </c>
      <c r="AK46" s="62">
        <v>0</v>
      </c>
      <c r="AL46" s="62">
        <v>0</v>
      </c>
      <c r="AM46" s="62">
        <v>0</v>
      </c>
      <c r="AN46" s="62">
        <v>0</v>
      </c>
      <c r="AO46" s="62">
        <v>0</v>
      </c>
      <c r="AP46" s="62">
        <v>0</v>
      </c>
      <c r="AQ46" s="62">
        <v>0</v>
      </c>
      <c r="AR46" s="62">
        <v>0</v>
      </c>
      <c r="AS46" s="62">
        <v>0</v>
      </c>
      <c r="AT46" s="62">
        <v>0</v>
      </c>
      <c r="AU46" s="62">
        <v>0</v>
      </c>
      <c r="AV46" s="62">
        <v>0</v>
      </c>
      <c r="AW46" s="190">
        <f t="shared" si="18"/>
        <v>0</v>
      </c>
      <c r="AX46" s="197">
        <f t="shared" si="276"/>
        <v>0</v>
      </c>
      <c r="AY46" s="62">
        <v>0</v>
      </c>
      <c r="AZ46" s="62">
        <v>0</v>
      </c>
      <c r="BA46" s="62">
        <v>0</v>
      </c>
      <c r="BB46" s="62">
        <v>0</v>
      </c>
      <c r="BC46" s="62">
        <v>0</v>
      </c>
      <c r="BD46" s="62">
        <v>0</v>
      </c>
      <c r="BE46" s="62">
        <v>0</v>
      </c>
      <c r="BF46" s="62">
        <v>0</v>
      </c>
      <c r="BG46" s="62">
        <v>0</v>
      </c>
      <c r="BH46" s="62">
        <v>0</v>
      </c>
      <c r="BI46" s="62">
        <v>0</v>
      </c>
      <c r="BJ46" s="62">
        <v>0</v>
      </c>
      <c r="BK46" s="190">
        <f t="shared" si="19"/>
        <v>0</v>
      </c>
      <c r="BL46" s="197">
        <f t="shared" si="277"/>
        <v>0</v>
      </c>
      <c r="BM46" s="62">
        <v>0</v>
      </c>
      <c r="BN46" s="62">
        <v>0</v>
      </c>
      <c r="BO46" s="62">
        <v>0</v>
      </c>
      <c r="BP46" s="62">
        <v>0</v>
      </c>
      <c r="BQ46" s="62">
        <v>0</v>
      </c>
      <c r="BR46" s="62">
        <v>0</v>
      </c>
      <c r="BS46" s="62">
        <v>0</v>
      </c>
      <c r="BT46" s="62">
        <v>0</v>
      </c>
      <c r="BU46" s="62">
        <v>0</v>
      </c>
      <c r="BV46" s="62">
        <v>0</v>
      </c>
      <c r="BW46" s="62">
        <v>0</v>
      </c>
      <c r="BX46" s="62">
        <v>0</v>
      </c>
      <c r="BY46" s="190">
        <f t="shared" si="20"/>
        <v>0</v>
      </c>
      <c r="BZ46" s="197">
        <f t="shared" si="278"/>
        <v>0</v>
      </c>
      <c r="CA46" s="62">
        <v>0</v>
      </c>
      <c r="CB46" s="62">
        <v>0</v>
      </c>
      <c r="CC46" s="62">
        <v>0</v>
      </c>
      <c r="CD46" s="62">
        <v>0</v>
      </c>
      <c r="CE46" s="62">
        <v>0</v>
      </c>
      <c r="CF46" s="62">
        <v>0</v>
      </c>
      <c r="CG46" s="62">
        <v>0</v>
      </c>
      <c r="CH46" s="62">
        <v>0</v>
      </c>
      <c r="CI46" s="62">
        <v>0</v>
      </c>
      <c r="CJ46" s="62">
        <v>0</v>
      </c>
      <c r="CK46" s="62">
        <v>0</v>
      </c>
      <c r="CL46" s="62">
        <v>0</v>
      </c>
      <c r="CM46" s="190">
        <f t="shared" si="21"/>
        <v>0</v>
      </c>
      <c r="CN46" s="62">
        <v>0</v>
      </c>
      <c r="CO46" s="62">
        <v>0</v>
      </c>
      <c r="CP46" s="62">
        <v>0</v>
      </c>
      <c r="CQ46" s="62">
        <v>0</v>
      </c>
      <c r="CR46" s="62">
        <v>0</v>
      </c>
      <c r="CS46" s="62">
        <v>0</v>
      </c>
      <c r="CT46" s="62">
        <v>0</v>
      </c>
      <c r="CU46" s="62">
        <v>0</v>
      </c>
      <c r="CV46" s="62">
        <v>0</v>
      </c>
      <c r="CW46" s="62">
        <v>0</v>
      </c>
      <c r="CX46" s="62">
        <v>0</v>
      </c>
      <c r="CY46" s="62">
        <v>0</v>
      </c>
      <c r="CZ46" s="190">
        <f t="shared" si="22"/>
        <v>0</v>
      </c>
      <c r="DA46" s="62">
        <v>0</v>
      </c>
      <c r="DB46" s="62">
        <v>0</v>
      </c>
      <c r="DC46" s="62">
        <v>0</v>
      </c>
      <c r="DD46" s="62">
        <v>0</v>
      </c>
      <c r="DE46" s="62">
        <v>0</v>
      </c>
      <c r="DF46" s="62">
        <v>0</v>
      </c>
      <c r="DG46" s="62">
        <v>0</v>
      </c>
      <c r="DH46" s="62">
        <v>0</v>
      </c>
      <c r="DI46" s="62">
        <v>0</v>
      </c>
      <c r="DJ46" s="62">
        <v>0</v>
      </c>
      <c r="DK46" s="62">
        <v>0</v>
      </c>
      <c r="DL46" s="62">
        <v>0</v>
      </c>
      <c r="DM46" s="190">
        <f t="shared" si="23"/>
        <v>0</v>
      </c>
      <c r="DN46" s="62">
        <v>0</v>
      </c>
      <c r="DO46" s="62">
        <v>0</v>
      </c>
      <c r="DP46" s="62">
        <v>0</v>
      </c>
      <c r="DQ46" s="62">
        <v>0</v>
      </c>
      <c r="DR46" s="62">
        <v>0</v>
      </c>
      <c r="DS46" s="62">
        <v>0</v>
      </c>
      <c r="DT46" s="62">
        <v>0</v>
      </c>
      <c r="DU46" s="62">
        <v>0</v>
      </c>
      <c r="DV46" s="62">
        <v>0</v>
      </c>
      <c r="DW46" s="62">
        <v>0</v>
      </c>
      <c r="DX46" s="62">
        <v>0</v>
      </c>
      <c r="DY46" s="62">
        <v>0</v>
      </c>
      <c r="DZ46" s="190">
        <f t="shared" si="24"/>
        <v>0</v>
      </c>
    </row>
    <row r="47" spans="1:130" ht="20.45" customHeight="1" outlineLevel="2">
      <c r="A47" s="662"/>
      <c r="B47" s="646"/>
      <c r="C47" s="30" t="s">
        <v>2609</v>
      </c>
      <c r="D47" s="62">
        <f t="shared" si="0"/>
        <v>910350.00000000012</v>
      </c>
      <c r="E47" s="184">
        <f t="shared" si="179"/>
        <v>2.816625972426311E-3</v>
      </c>
      <c r="F47" s="62">
        <v>26010</v>
      </c>
      <c r="G47" s="190">
        <f t="shared" si="36"/>
        <v>26010</v>
      </c>
      <c r="H47" s="197">
        <f t="shared" si="273"/>
        <v>5.9411979017361047E-3</v>
      </c>
      <c r="I47" s="62">
        <v>26010</v>
      </c>
      <c r="J47" s="62">
        <v>26010</v>
      </c>
      <c r="K47" s="62">
        <v>26010</v>
      </c>
      <c r="L47" s="62">
        <v>26010</v>
      </c>
      <c r="M47" s="62">
        <v>26010</v>
      </c>
      <c r="N47" s="62">
        <v>26010</v>
      </c>
      <c r="O47" s="62">
        <v>26010</v>
      </c>
      <c r="P47" s="62">
        <v>26010</v>
      </c>
      <c r="Q47" s="62">
        <v>26010</v>
      </c>
      <c r="R47" s="62">
        <v>26010</v>
      </c>
      <c r="S47" s="62">
        <v>26010</v>
      </c>
      <c r="T47" s="62">
        <v>26010</v>
      </c>
      <c r="U47" s="190">
        <f t="shared" si="16"/>
        <v>312120</v>
      </c>
      <c r="V47" s="197">
        <f t="shared" si="274"/>
        <v>5.6258114073077549E-3</v>
      </c>
      <c r="W47" s="62">
        <v>26010</v>
      </c>
      <c r="X47" s="62">
        <v>26010</v>
      </c>
      <c r="Y47" s="62">
        <v>26010</v>
      </c>
      <c r="Z47" s="62">
        <v>26010</v>
      </c>
      <c r="AA47" s="62">
        <v>26010</v>
      </c>
      <c r="AB47" s="62">
        <f>26010*2</f>
        <v>52020</v>
      </c>
      <c r="AC47" s="62">
        <v>26010</v>
      </c>
      <c r="AD47" s="62">
        <v>26010</v>
      </c>
      <c r="AE47" s="62">
        <v>26010</v>
      </c>
      <c r="AF47" s="62">
        <v>26010</v>
      </c>
      <c r="AG47" s="62">
        <v>26010</v>
      </c>
      <c r="AH47" s="62">
        <v>26010</v>
      </c>
      <c r="AI47" s="190">
        <f t="shared" si="17"/>
        <v>338130</v>
      </c>
      <c r="AJ47" s="197">
        <f t="shared" si="275"/>
        <v>4.5954874278700923E-3</v>
      </c>
      <c r="AK47" s="62">
        <v>26010</v>
      </c>
      <c r="AL47" s="62">
        <v>26010</v>
      </c>
      <c r="AM47" s="62">
        <v>26010</v>
      </c>
      <c r="AN47" s="62">
        <v>26010</v>
      </c>
      <c r="AO47" s="62">
        <v>26010</v>
      </c>
      <c r="AP47" s="62">
        <v>26010</v>
      </c>
      <c r="AQ47" s="62">
        <v>26010</v>
      </c>
      <c r="AR47" s="62">
        <v>26010</v>
      </c>
      <c r="AS47" s="62">
        <v>26010</v>
      </c>
      <c r="AT47" s="62">
        <v>0</v>
      </c>
      <c r="AU47" s="62">
        <v>0</v>
      </c>
      <c r="AV47" s="62">
        <v>0</v>
      </c>
      <c r="AW47" s="190">
        <f t="shared" si="18"/>
        <v>234090</v>
      </c>
      <c r="AX47" s="197">
        <f t="shared" si="276"/>
        <v>3.0685302332679409E-3</v>
      </c>
      <c r="AY47" s="62">
        <v>0</v>
      </c>
      <c r="AZ47" s="62">
        <v>0</v>
      </c>
      <c r="BA47" s="62">
        <v>0</v>
      </c>
      <c r="BB47" s="62">
        <v>0</v>
      </c>
      <c r="BC47" s="62">
        <v>0</v>
      </c>
      <c r="BD47" s="62">
        <v>0</v>
      </c>
      <c r="BE47" s="62">
        <v>0</v>
      </c>
      <c r="BF47" s="62">
        <v>0</v>
      </c>
      <c r="BG47" s="62">
        <v>0</v>
      </c>
      <c r="BH47" s="62">
        <v>0</v>
      </c>
      <c r="BI47" s="62">
        <v>0</v>
      </c>
      <c r="BJ47" s="62">
        <v>0</v>
      </c>
      <c r="BK47" s="190">
        <f t="shared" si="19"/>
        <v>0</v>
      </c>
      <c r="BL47" s="197">
        <f t="shared" si="277"/>
        <v>0</v>
      </c>
      <c r="BM47" s="62">
        <v>0</v>
      </c>
      <c r="BN47" s="62">
        <v>0</v>
      </c>
      <c r="BO47" s="62">
        <v>0</v>
      </c>
      <c r="BP47" s="62">
        <v>0</v>
      </c>
      <c r="BQ47" s="62">
        <v>0</v>
      </c>
      <c r="BR47" s="62">
        <v>0</v>
      </c>
      <c r="BS47" s="62">
        <v>0</v>
      </c>
      <c r="BT47" s="62">
        <v>0</v>
      </c>
      <c r="BU47" s="62">
        <v>0</v>
      </c>
      <c r="BV47" s="62">
        <v>0</v>
      </c>
      <c r="BW47" s="62">
        <v>0</v>
      </c>
      <c r="BX47" s="62">
        <v>0</v>
      </c>
      <c r="BY47" s="190">
        <f t="shared" si="20"/>
        <v>0</v>
      </c>
      <c r="BZ47" s="197">
        <f t="shared" si="278"/>
        <v>0</v>
      </c>
      <c r="CA47" s="62">
        <v>0</v>
      </c>
      <c r="CB47" s="62">
        <v>0</v>
      </c>
      <c r="CC47" s="62">
        <v>0</v>
      </c>
      <c r="CD47" s="62">
        <v>0</v>
      </c>
      <c r="CE47" s="62">
        <v>0</v>
      </c>
      <c r="CF47" s="62">
        <v>0</v>
      </c>
      <c r="CG47" s="62">
        <v>0</v>
      </c>
      <c r="CH47" s="62">
        <v>0</v>
      </c>
      <c r="CI47" s="62">
        <v>0</v>
      </c>
      <c r="CJ47" s="62">
        <v>0</v>
      </c>
      <c r="CK47" s="62">
        <v>0</v>
      </c>
      <c r="CL47" s="62">
        <v>0</v>
      </c>
      <c r="CM47" s="190">
        <f t="shared" si="21"/>
        <v>0</v>
      </c>
      <c r="CN47" s="62">
        <v>0</v>
      </c>
      <c r="CO47" s="62">
        <v>0</v>
      </c>
      <c r="CP47" s="62">
        <v>0</v>
      </c>
      <c r="CQ47" s="62">
        <v>0</v>
      </c>
      <c r="CR47" s="62">
        <v>0</v>
      </c>
      <c r="CS47" s="62">
        <v>0</v>
      </c>
      <c r="CT47" s="62">
        <v>0</v>
      </c>
      <c r="CU47" s="62">
        <v>0</v>
      </c>
      <c r="CV47" s="62">
        <v>0</v>
      </c>
      <c r="CW47" s="62">
        <v>0</v>
      </c>
      <c r="CX47" s="62">
        <v>0</v>
      </c>
      <c r="CY47" s="62">
        <v>0</v>
      </c>
      <c r="CZ47" s="190">
        <f t="shared" si="22"/>
        <v>0</v>
      </c>
      <c r="DA47" s="62">
        <v>0</v>
      </c>
      <c r="DB47" s="62">
        <v>0</v>
      </c>
      <c r="DC47" s="62">
        <v>0</v>
      </c>
      <c r="DD47" s="62">
        <v>0</v>
      </c>
      <c r="DE47" s="62">
        <v>0</v>
      </c>
      <c r="DF47" s="62">
        <v>0</v>
      </c>
      <c r="DG47" s="62">
        <v>0</v>
      </c>
      <c r="DH47" s="62">
        <v>0</v>
      </c>
      <c r="DI47" s="62">
        <v>0</v>
      </c>
      <c r="DJ47" s="62">
        <v>0</v>
      </c>
      <c r="DK47" s="62">
        <v>0</v>
      </c>
      <c r="DL47" s="62">
        <v>0</v>
      </c>
      <c r="DM47" s="190">
        <f t="shared" si="23"/>
        <v>0</v>
      </c>
      <c r="DN47" s="62">
        <v>0</v>
      </c>
      <c r="DO47" s="62">
        <v>0</v>
      </c>
      <c r="DP47" s="62">
        <v>0</v>
      </c>
      <c r="DQ47" s="62">
        <v>0</v>
      </c>
      <c r="DR47" s="62">
        <v>0</v>
      </c>
      <c r="DS47" s="62">
        <v>0</v>
      </c>
      <c r="DT47" s="62">
        <v>0</v>
      </c>
      <c r="DU47" s="62">
        <v>0</v>
      </c>
      <c r="DV47" s="62">
        <v>0</v>
      </c>
      <c r="DW47" s="62">
        <v>0</v>
      </c>
      <c r="DX47" s="62">
        <v>0</v>
      </c>
      <c r="DY47" s="62">
        <v>0</v>
      </c>
      <c r="DZ47" s="190">
        <f t="shared" si="24"/>
        <v>0</v>
      </c>
    </row>
    <row r="48" spans="1:130" s="194" customFormat="1" ht="20.45" customHeight="1" outlineLevel="1">
      <c r="A48" s="662"/>
      <c r="B48" s="645" t="s">
        <v>2610</v>
      </c>
      <c r="C48" s="65" t="s">
        <v>307</v>
      </c>
      <c r="D48" s="66">
        <f t="shared" si="0"/>
        <v>66000.000000000029</v>
      </c>
      <c r="E48" s="187">
        <f>SUM(E49)</f>
        <v>2.0420422274964199E-4</v>
      </c>
      <c r="F48" s="62">
        <f t="shared" ref="F48:DY48" si="279">SUM(F49)</f>
        <v>0</v>
      </c>
      <c r="G48" s="190">
        <f t="shared" si="36"/>
        <v>0</v>
      </c>
      <c r="H48" s="196">
        <f>SUM(H49)</f>
        <v>0</v>
      </c>
      <c r="I48" s="62">
        <f t="shared" si="279"/>
        <v>0</v>
      </c>
      <c r="J48" s="62">
        <f t="shared" si="279"/>
        <v>10000</v>
      </c>
      <c r="K48" s="62">
        <f t="shared" si="279"/>
        <v>5000</v>
      </c>
      <c r="L48" s="62">
        <f t="shared" si="279"/>
        <v>0</v>
      </c>
      <c r="M48" s="62">
        <f t="shared" si="279"/>
        <v>0</v>
      </c>
      <c r="N48" s="62">
        <f t="shared" si="279"/>
        <v>0</v>
      </c>
      <c r="O48" s="62">
        <f t="shared" si="279"/>
        <v>0</v>
      </c>
      <c r="P48" s="62">
        <f t="shared" si="279"/>
        <v>0</v>
      </c>
      <c r="Q48" s="62">
        <f t="shared" si="279"/>
        <v>0</v>
      </c>
      <c r="R48" s="62">
        <f t="shared" si="279"/>
        <v>0</v>
      </c>
      <c r="S48" s="62">
        <f t="shared" si="279"/>
        <v>0</v>
      </c>
      <c r="T48" s="62">
        <f t="shared" si="279"/>
        <v>0</v>
      </c>
      <c r="U48" s="190">
        <f t="shared" si="16"/>
        <v>15000</v>
      </c>
      <c r="V48" s="196">
        <f>SUM(V49)</f>
        <v>2.7036771469183749E-4</v>
      </c>
      <c r="W48" s="62">
        <f t="shared" si="279"/>
        <v>0</v>
      </c>
      <c r="X48" s="62">
        <f t="shared" si="279"/>
        <v>10000</v>
      </c>
      <c r="Y48" s="62">
        <f t="shared" si="279"/>
        <v>5000</v>
      </c>
      <c r="Z48" s="62">
        <f t="shared" si="279"/>
        <v>0</v>
      </c>
      <c r="AA48" s="62">
        <f t="shared" si="279"/>
        <v>0</v>
      </c>
      <c r="AB48" s="62">
        <f t="shared" si="279"/>
        <v>0</v>
      </c>
      <c r="AC48" s="62">
        <f t="shared" si="279"/>
        <v>0</v>
      </c>
      <c r="AD48" s="62">
        <f t="shared" si="279"/>
        <v>0</v>
      </c>
      <c r="AE48" s="62">
        <f t="shared" si="279"/>
        <v>0</v>
      </c>
      <c r="AF48" s="62">
        <f t="shared" si="279"/>
        <v>0</v>
      </c>
      <c r="AG48" s="62">
        <f t="shared" si="279"/>
        <v>0</v>
      </c>
      <c r="AH48" s="62">
        <f t="shared" si="279"/>
        <v>0</v>
      </c>
      <c r="AI48" s="190">
        <f t="shared" si="17"/>
        <v>15000</v>
      </c>
      <c r="AJ48" s="196">
        <f>SUM(AJ49)</f>
        <v>2.0386334078032527E-4</v>
      </c>
      <c r="AK48" s="62">
        <f t="shared" si="279"/>
        <v>0</v>
      </c>
      <c r="AL48" s="62">
        <f t="shared" si="279"/>
        <v>0</v>
      </c>
      <c r="AM48" s="62">
        <f t="shared" si="279"/>
        <v>0</v>
      </c>
      <c r="AN48" s="62">
        <f t="shared" si="279"/>
        <v>0</v>
      </c>
      <c r="AO48" s="62">
        <f t="shared" si="279"/>
        <v>0</v>
      </c>
      <c r="AP48" s="62">
        <f t="shared" si="279"/>
        <v>0</v>
      </c>
      <c r="AQ48" s="62">
        <f t="shared" si="279"/>
        <v>0</v>
      </c>
      <c r="AR48" s="62">
        <f t="shared" si="279"/>
        <v>0</v>
      </c>
      <c r="AS48" s="62">
        <f t="shared" si="279"/>
        <v>0</v>
      </c>
      <c r="AT48" s="62">
        <f t="shared" si="279"/>
        <v>0</v>
      </c>
      <c r="AU48" s="62">
        <f t="shared" si="279"/>
        <v>0</v>
      </c>
      <c r="AV48" s="62">
        <f t="shared" si="279"/>
        <v>0</v>
      </c>
      <c r="AW48" s="190">
        <f t="shared" si="18"/>
        <v>0</v>
      </c>
      <c r="AX48" s="196">
        <f>SUM(AX49)</f>
        <v>0</v>
      </c>
      <c r="AY48" s="62">
        <f t="shared" si="279"/>
        <v>0</v>
      </c>
      <c r="AZ48" s="62">
        <f t="shared" si="279"/>
        <v>18000</v>
      </c>
      <c r="BA48" s="62">
        <f t="shared" si="279"/>
        <v>0</v>
      </c>
      <c r="BB48" s="62">
        <f t="shared" si="279"/>
        <v>0</v>
      </c>
      <c r="BC48" s="62">
        <f t="shared" si="279"/>
        <v>0</v>
      </c>
      <c r="BD48" s="62">
        <f t="shared" si="279"/>
        <v>0</v>
      </c>
      <c r="BE48" s="62">
        <f t="shared" si="279"/>
        <v>0</v>
      </c>
      <c r="BF48" s="62">
        <f t="shared" si="279"/>
        <v>0</v>
      </c>
      <c r="BG48" s="62">
        <f t="shared" si="279"/>
        <v>0</v>
      </c>
      <c r="BH48" s="62">
        <f t="shared" si="279"/>
        <v>0</v>
      </c>
      <c r="BI48" s="62">
        <f t="shared" si="279"/>
        <v>0</v>
      </c>
      <c r="BJ48" s="62">
        <f t="shared" si="279"/>
        <v>0</v>
      </c>
      <c r="BK48" s="190">
        <f t="shared" si="19"/>
        <v>18000</v>
      </c>
      <c r="BL48" s="196">
        <f>SUM(BL49)</f>
        <v>2.5773556794652709E-4</v>
      </c>
      <c r="BM48" s="62">
        <f t="shared" si="279"/>
        <v>0</v>
      </c>
      <c r="BN48" s="62">
        <f t="shared" si="279"/>
        <v>18000</v>
      </c>
      <c r="BO48" s="62">
        <f t="shared" si="279"/>
        <v>0</v>
      </c>
      <c r="BP48" s="62">
        <f t="shared" si="279"/>
        <v>0</v>
      </c>
      <c r="BQ48" s="62">
        <f t="shared" si="279"/>
        <v>0</v>
      </c>
      <c r="BR48" s="62">
        <f t="shared" si="279"/>
        <v>0</v>
      </c>
      <c r="BS48" s="62">
        <f t="shared" si="279"/>
        <v>0</v>
      </c>
      <c r="BT48" s="62">
        <f t="shared" si="279"/>
        <v>0</v>
      </c>
      <c r="BU48" s="62">
        <f t="shared" si="279"/>
        <v>0</v>
      </c>
      <c r="BV48" s="62">
        <f t="shared" si="279"/>
        <v>0</v>
      </c>
      <c r="BW48" s="62">
        <f t="shared" si="279"/>
        <v>0</v>
      </c>
      <c r="BX48" s="62">
        <f t="shared" si="279"/>
        <v>0</v>
      </c>
      <c r="BY48" s="190">
        <f t="shared" si="20"/>
        <v>18000</v>
      </c>
      <c r="BZ48" s="196">
        <f>SUM(BZ49)</f>
        <v>4.124383146945585E-4</v>
      </c>
      <c r="CA48" s="62">
        <f t="shared" si="279"/>
        <v>0</v>
      </c>
      <c r="CB48" s="62">
        <f t="shared" si="279"/>
        <v>0</v>
      </c>
      <c r="CC48" s="62">
        <f t="shared" si="279"/>
        <v>0</v>
      </c>
      <c r="CD48" s="62">
        <f t="shared" si="279"/>
        <v>0</v>
      </c>
      <c r="CE48" s="62">
        <f t="shared" si="279"/>
        <v>0</v>
      </c>
      <c r="CF48" s="62">
        <f t="shared" si="279"/>
        <v>0</v>
      </c>
      <c r="CG48" s="62">
        <f t="shared" si="279"/>
        <v>0</v>
      </c>
      <c r="CH48" s="62">
        <f t="shared" si="279"/>
        <v>0</v>
      </c>
      <c r="CI48" s="62">
        <f t="shared" si="279"/>
        <v>0</v>
      </c>
      <c r="CJ48" s="62">
        <f t="shared" si="279"/>
        <v>0</v>
      </c>
      <c r="CK48" s="62">
        <f t="shared" si="279"/>
        <v>0</v>
      </c>
      <c r="CL48" s="62">
        <f t="shared" si="279"/>
        <v>0</v>
      </c>
      <c r="CM48" s="190">
        <f t="shared" si="21"/>
        <v>0</v>
      </c>
      <c r="CN48" s="62">
        <f t="shared" si="279"/>
        <v>0</v>
      </c>
      <c r="CO48" s="62">
        <f t="shared" si="279"/>
        <v>0</v>
      </c>
      <c r="CP48" s="62">
        <f t="shared" si="279"/>
        <v>0</v>
      </c>
      <c r="CQ48" s="62">
        <f t="shared" si="279"/>
        <v>0</v>
      </c>
      <c r="CR48" s="62">
        <f t="shared" si="279"/>
        <v>0</v>
      </c>
      <c r="CS48" s="62">
        <f t="shared" si="279"/>
        <v>0</v>
      </c>
      <c r="CT48" s="62">
        <f t="shared" si="279"/>
        <v>0</v>
      </c>
      <c r="CU48" s="62">
        <f t="shared" si="279"/>
        <v>0</v>
      </c>
      <c r="CV48" s="62">
        <f t="shared" si="279"/>
        <v>0</v>
      </c>
      <c r="CW48" s="62">
        <f t="shared" si="279"/>
        <v>0</v>
      </c>
      <c r="CX48" s="62">
        <f t="shared" si="279"/>
        <v>0</v>
      </c>
      <c r="CY48" s="62">
        <f t="shared" si="279"/>
        <v>0</v>
      </c>
      <c r="CZ48" s="190">
        <f t="shared" si="22"/>
        <v>0</v>
      </c>
      <c r="DA48" s="62">
        <f t="shared" si="279"/>
        <v>0</v>
      </c>
      <c r="DB48" s="62">
        <f t="shared" si="279"/>
        <v>0</v>
      </c>
      <c r="DC48" s="62">
        <f t="shared" si="279"/>
        <v>0</v>
      </c>
      <c r="DD48" s="62">
        <f t="shared" si="279"/>
        <v>0</v>
      </c>
      <c r="DE48" s="62">
        <f t="shared" si="279"/>
        <v>0</v>
      </c>
      <c r="DF48" s="62">
        <f t="shared" si="279"/>
        <v>0</v>
      </c>
      <c r="DG48" s="62">
        <f t="shared" si="279"/>
        <v>0</v>
      </c>
      <c r="DH48" s="62">
        <f t="shared" si="279"/>
        <v>0</v>
      </c>
      <c r="DI48" s="62">
        <f t="shared" si="279"/>
        <v>0</v>
      </c>
      <c r="DJ48" s="62">
        <f t="shared" si="279"/>
        <v>0</v>
      </c>
      <c r="DK48" s="62">
        <f t="shared" si="279"/>
        <v>0</v>
      </c>
      <c r="DL48" s="62">
        <f t="shared" si="279"/>
        <v>0</v>
      </c>
      <c r="DM48" s="190">
        <f t="shared" si="23"/>
        <v>0</v>
      </c>
      <c r="DN48" s="62">
        <f t="shared" si="279"/>
        <v>0</v>
      </c>
      <c r="DO48" s="62">
        <f t="shared" si="279"/>
        <v>0</v>
      </c>
      <c r="DP48" s="62">
        <f t="shared" si="279"/>
        <v>0</v>
      </c>
      <c r="DQ48" s="62">
        <f t="shared" si="279"/>
        <v>0</v>
      </c>
      <c r="DR48" s="62">
        <f t="shared" si="279"/>
        <v>0</v>
      </c>
      <c r="DS48" s="62">
        <f t="shared" si="279"/>
        <v>0</v>
      </c>
      <c r="DT48" s="62">
        <f t="shared" si="279"/>
        <v>0</v>
      </c>
      <c r="DU48" s="62">
        <f t="shared" si="279"/>
        <v>0</v>
      </c>
      <c r="DV48" s="62">
        <f t="shared" si="279"/>
        <v>0</v>
      </c>
      <c r="DW48" s="62">
        <f t="shared" si="279"/>
        <v>0</v>
      </c>
      <c r="DX48" s="62">
        <f t="shared" si="279"/>
        <v>0</v>
      </c>
      <c r="DY48" s="62">
        <f t="shared" si="279"/>
        <v>0</v>
      </c>
      <c r="DZ48" s="190">
        <f t="shared" si="24"/>
        <v>0</v>
      </c>
    </row>
    <row r="49" spans="1:130" ht="20.45" customHeight="1" outlineLevel="2">
      <c r="A49" s="662"/>
      <c r="B49" s="646"/>
      <c r="C49" s="30" t="s">
        <v>321</v>
      </c>
      <c r="D49" s="62">
        <f t="shared" si="0"/>
        <v>66000.000000000029</v>
      </c>
      <c r="E49" s="184">
        <f t="shared" si="179"/>
        <v>2.0420422274964199E-4</v>
      </c>
      <c r="F49" s="62">
        <v>0</v>
      </c>
      <c r="G49" s="190">
        <f t="shared" si="36"/>
        <v>0</v>
      </c>
      <c r="H49" s="197">
        <f>G49/(G$5+G$6+G$7+G$8+G$10+G$9)</f>
        <v>0</v>
      </c>
      <c r="I49" s="62">
        <v>0</v>
      </c>
      <c r="J49" s="62">
        <v>10000</v>
      </c>
      <c r="K49" s="62">
        <v>5000</v>
      </c>
      <c r="L49" s="62">
        <v>0</v>
      </c>
      <c r="M49" s="62">
        <v>0</v>
      </c>
      <c r="N49" s="62">
        <v>0</v>
      </c>
      <c r="O49" s="62">
        <v>0</v>
      </c>
      <c r="P49" s="62">
        <v>0</v>
      </c>
      <c r="Q49" s="62">
        <v>0</v>
      </c>
      <c r="R49" s="62">
        <v>0</v>
      </c>
      <c r="S49" s="62">
        <v>0</v>
      </c>
      <c r="T49" s="62">
        <v>0</v>
      </c>
      <c r="U49" s="190">
        <f t="shared" si="16"/>
        <v>15000</v>
      </c>
      <c r="V49" s="197">
        <f>U49/(U$5+U$6+U$7+U$8+U$10+U$9)</f>
        <v>2.7036771469183749E-4</v>
      </c>
      <c r="W49" s="62">
        <v>0</v>
      </c>
      <c r="X49" s="62">
        <v>10000</v>
      </c>
      <c r="Y49" s="62">
        <v>5000</v>
      </c>
      <c r="Z49" s="62">
        <v>0</v>
      </c>
      <c r="AA49" s="62">
        <v>0</v>
      </c>
      <c r="AB49" s="62">
        <v>0</v>
      </c>
      <c r="AC49" s="62">
        <v>0</v>
      </c>
      <c r="AD49" s="62">
        <v>0</v>
      </c>
      <c r="AE49" s="62">
        <v>0</v>
      </c>
      <c r="AF49" s="62">
        <v>0</v>
      </c>
      <c r="AG49" s="62">
        <v>0</v>
      </c>
      <c r="AH49" s="62">
        <v>0</v>
      </c>
      <c r="AI49" s="190">
        <f t="shared" si="17"/>
        <v>15000</v>
      </c>
      <c r="AJ49" s="197">
        <f>AI49/(AI$5+AI$6+AI$7+AI$8+AI$10+AI$9)</f>
        <v>2.0386334078032527E-4</v>
      </c>
      <c r="AK49" s="62">
        <v>0</v>
      </c>
      <c r="AL49" s="62">
        <v>0</v>
      </c>
      <c r="AM49" s="62">
        <v>0</v>
      </c>
      <c r="AN49" s="62">
        <v>0</v>
      </c>
      <c r="AO49" s="62">
        <v>0</v>
      </c>
      <c r="AP49" s="62">
        <v>0</v>
      </c>
      <c r="AQ49" s="62">
        <v>0</v>
      </c>
      <c r="AR49" s="62">
        <v>0</v>
      </c>
      <c r="AS49" s="62">
        <v>0</v>
      </c>
      <c r="AT49" s="62">
        <v>0</v>
      </c>
      <c r="AU49" s="62">
        <v>0</v>
      </c>
      <c r="AV49" s="62">
        <v>0</v>
      </c>
      <c r="AW49" s="190">
        <f t="shared" si="18"/>
        <v>0</v>
      </c>
      <c r="AX49" s="197">
        <f>AW49/(AW$5+AW$6+AW$7+AW$8+AW$10+AW$9)</f>
        <v>0</v>
      </c>
      <c r="AY49" s="62">
        <v>0</v>
      </c>
      <c r="AZ49" s="62">
        <v>18000</v>
      </c>
      <c r="BA49" s="62">
        <v>0</v>
      </c>
      <c r="BB49" s="62">
        <v>0</v>
      </c>
      <c r="BC49" s="62">
        <v>0</v>
      </c>
      <c r="BD49" s="62">
        <v>0</v>
      </c>
      <c r="BE49" s="62">
        <v>0</v>
      </c>
      <c r="BF49" s="62">
        <v>0</v>
      </c>
      <c r="BG49" s="62">
        <v>0</v>
      </c>
      <c r="BH49" s="62">
        <v>0</v>
      </c>
      <c r="BI49" s="62">
        <v>0</v>
      </c>
      <c r="BJ49" s="62">
        <v>0</v>
      </c>
      <c r="BK49" s="190">
        <f t="shared" si="19"/>
        <v>18000</v>
      </c>
      <c r="BL49" s="197">
        <f>BK49/(BK$5+BK$6+BK$7+BK$8+BK$10+BK$9)</f>
        <v>2.5773556794652709E-4</v>
      </c>
      <c r="BM49" s="62">
        <v>0</v>
      </c>
      <c r="BN49" s="62">
        <v>18000</v>
      </c>
      <c r="BO49" s="62">
        <v>0</v>
      </c>
      <c r="BP49" s="62">
        <v>0</v>
      </c>
      <c r="BQ49" s="62">
        <v>0</v>
      </c>
      <c r="BR49" s="62">
        <v>0</v>
      </c>
      <c r="BS49" s="62">
        <v>0</v>
      </c>
      <c r="BT49" s="62">
        <v>0</v>
      </c>
      <c r="BU49" s="62">
        <v>0</v>
      </c>
      <c r="BV49" s="62">
        <v>0</v>
      </c>
      <c r="BW49" s="62">
        <v>0</v>
      </c>
      <c r="BX49" s="62">
        <v>0</v>
      </c>
      <c r="BY49" s="190">
        <f t="shared" si="20"/>
        <v>18000</v>
      </c>
      <c r="BZ49" s="197">
        <f>BY49/(BY$5+BY$6+BY$7+BY$8+BY$10+BY$9)</f>
        <v>4.124383146945585E-4</v>
      </c>
      <c r="CA49" s="62">
        <v>0</v>
      </c>
      <c r="CB49" s="62">
        <v>0</v>
      </c>
      <c r="CC49" s="62">
        <v>0</v>
      </c>
      <c r="CD49" s="62">
        <v>0</v>
      </c>
      <c r="CE49" s="62">
        <v>0</v>
      </c>
      <c r="CF49" s="62">
        <v>0</v>
      </c>
      <c r="CG49" s="62">
        <v>0</v>
      </c>
      <c r="CH49" s="62">
        <v>0</v>
      </c>
      <c r="CI49" s="62">
        <v>0</v>
      </c>
      <c r="CJ49" s="62">
        <v>0</v>
      </c>
      <c r="CK49" s="62">
        <v>0</v>
      </c>
      <c r="CL49" s="62">
        <v>0</v>
      </c>
      <c r="CM49" s="190">
        <f t="shared" si="21"/>
        <v>0</v>
      </c>
      <c r="CN49" s="62">
        <v>0</v>
      </c>
      <c r="CO49" s="62">
        <v>0</v>
      </c>
      <c r="CP49" s="62">
        <v>0</v>
      </c>
      <c r="CQ49" s="62">
        <v>0</v>
      </c>
      <c r="CR49" s="62">
        <v>0</v>
      </c>
      <c r="CS49" s="62">
        <v>0</v>
      </c>
      <c r="CT49" s="62">
        <v>0</v>
      </c>
      <c r="CU49" s="62">
        <v>0</v>
      </c>
      <c r="CV49" s="62">
        <v>0</v>
      </c>
      <c r="CW49" s="62">
        <v>0</v>
      </c>
      <c r="CX49" s="62">
        <v>0</v>
      </c>
      <c r="CY49" s="62">
        <v>0</v>
      </c>
      <c r="CZ49" s="190">
        <f t="shared" si="22"/>
        <v>0</v>
      </c>
      <c r="DA49" s="62">
        <v>0</v>
      </c>
      <c r="DB49" s="62">
        <v>0</v>
      </c>
      <c r="DC49" s="62">
        <v>0</v>
      </c>
      <c r="DD49" s="62">
        <v>0</v>
      </c>
      <c r="DE49" s="62">
        <v>0</v>
      </c>
      <c r="DF49" s="62">
        <v>0</v>
      </c>
      <c r="DG49" s="62">
        <v>0</v>
      </c>
      <c r="DH49" s="62">
        <v>0</v>
      </c>
      <c r="DI49" s="62">
        <v>0</v>
      </c>
      <c r="DJ49" s="62">
        <v>0</v>
      </c>
      <c r="DK49" s="62">
        <v>0</v>
      </c>
      <c r="DL49" s="62">
        <v>0</v>
      </c>
      <c r="DM49" s="190">
        <f t="shared" si="23"/>
        <v>0</v>
      </c>
      <c r="DN49" s="62">
        <v>0</v>
      </c>
      <c r="DO49" s="62">
        <v>0</v>
      </c>
      <c r="DP49" s="62">
        <v>0</v>
      </c>
      <c r="DQ49" s="62">
        <v>0</v>
      </c>
      <c r="DR49" s="62">
        <v>0</v>
      </c>
      <c r="DS49" s="62">
        <v>0</v>
      </c>
      <c r="DT49" s="62">
        <v>0</v>
      </c>
      <c r="DU49" s="62">
        <v>0</v>
      </c>
      <c r="DV49" s="62">
        <v>0</v>
      </c>
      <c r="DW49" s="62">
        <v>0</v>
      </c>
      <c r="DX49" s="62">
        <v>0</v>
      </c>
      <c r="DY49" s="62">
        <v>0</v>
      </c>
      <c r="DZ49" s="190">
        <f t="shared" si="24"/>
        <v>0</v>
      </c>
    </row>
    <row r="50" spans="1:130" s="194" customFormat="1" ht="20.45" customHeight="1" outlineLevel="1">
      <c r="A50" s="662"/>
      <c r="B50" s="645" t="s">
        <v>322</v>
      </c>
      <c r="C50" s="65" t="s">
        <v>307</v>
      </c>
      <c r="D50" s="66">
        <f t="shared" si="0"/>
        <v>19463312.999999996</v>
      </c>
      <c r="E50" s="187">
        <f>SUM(E51:E56)</f>
        <v>6.021955611057575E-2</v>
      </c>
      <c r="F50" s="62">
        <f t="shared" ref="F50:DX50" si="280">SUM(F51:F56)</f>
        <v>0</v>
      </c>
      <c r="G50" s="190">
        <f t="shared" si="36"/>
        <v>0</v>
      </c>
      <c r="H50" s="196">
        <f>SUM(H51:H56)</f>
        <v>0</v>
      </c>
      <c r="I50" s="62">
        <f t="shared" si="280"/>
        <v>0</v>
      </c>
      <c r="J50" s="62">
        <f t="shared" si="280"/>
        <v>0</v>
      </c>
      <c r="K50" s="62">
        <f t="shared" si="280"/>
        <v>0</v>
      </c>
      <c r="L50" s="62">
        <f t="shared" si="280"/>
        <v>0</v>
      </c>
      <c r="M50" s="62">
        <f t="shared" si="280"/>
        <v>169870</v>
      </c>
      <c r="N50" s="62">
        <f t="shared" si="280"/>
        <v>0</v>
      </c>
      <c r="O50" s="62">
        <f t="shared" si="280"/>
        <v>1677284</v>
      </c>
      <c r="P50" s="62">
        <f t="shared" si="280"/>
        <v>0</v>
      </c>
      <c r="Q50" s="62">
        <f t="shared" si="280"/>
        <v>1414190</v>
      </c>
      <c r="R50" s="62">
        <f t="shared" si="280"/>
        <v>0</v>
      </c>
      <c r="S50" s="62">
        <f t="shared" si="280"/>
        <v>526170</v>
      </c>
      <c r="T50" s="62">
        <f t="shared" si="280"/>
        <v>3584409</v>
      </c>
      <c r="U50" s="190">
        <f t="shared" si="16"/>
        <v>7371923</v>
      </c>
      <c r="V50" s="196">
        <f>SUM(V51:V56)</f>
        <v>0.13287533162627965</v>
      </c>
      <c r="W50" s="62">
        <f t="shared" si="280"/>
        <v>100300</v>
      </c>
      <c r="X50" s="62">
        <f t="shared" si="280"/>
        <v>0</v>
      </c>
      <c r="Y50" s="62">
        <f t="shared" si="280"/>
        <v>0</v>
      </c>
      <c r="Z50" s="62">
        <f t="shared" si="280"/>
        <v>0</v>
      </c>
      <c r="AA50" s="62">
        <f t="shared" si="280"/>
        <v>-139880</v>
      </c>
      <c r="AB50" s="62">
        <f t="shared" si="280"/>
        <v>1077610</v>
      </c>
      <c r="AC50" s="62">
        <f t="shared" ref="AC50:AF50" si="281">SUM(AC51:AC56)</f>
        <v>5200</v>
      </c>
      <c r="AD50" s="62">
        <f t="shared" si="281"/>
        <v>1076760</v>
      </c>
      <c r="AE50" s="62">
        <f t="shared" si="281"/>
        <v>0</v>
      </c>
      <c r="AF50" s="62">
        <f t="shared" si="281"/>
        <v>0</v>
      </c>
      <c r="AG50" s="62">
        <f t="shared" si="280"/>
        <v>273680</v>
      </c>
      <c r="AH50" s="62">
        <f t="shared" si="280"/>
        <v>3681280</v>
      </c>
      <c r="AI50" s="190">
        <f t="shared" si="17"/>
        <v>6074950</v>
      </c>
      <c r="AJ50" s="196">
        <f>SUM(AJ51:AJ56)</f>
        <v>8.2563973471562468E-2</v>
      </c>
      <c r="AK50" s="62">
        <f t="shared" ref="AK50:AV50" si="282">SUM(AK51:AK56)</f>
        <v>0</v>
      </c>
      <c r="AL50" s="62">
        <f t="shared" si="282"/>
        <v>0</v>
      </c>
      <c r="AM50" s="62">
        <f t="shared" si="282"/>
        <v>0</v>
      </c>
      <c r="AN50" s="62">
        <f t="shared" si="282"/>
        <v>0</v>
      </c>
      <c r="AO50" s="62">
        <f t="shared" si="282"/>
        <v>273680</v>
      </c>
      <c r="AP50" s="62">
        <f t="shared" si="282"/>
        <v>1116210</v>
      </c>
      <c r="AQ50" s="62">
        <f t="shared" si="282"/>
        <v>5200</v>
      </c>
      <c r="AR50" s="62">
        <f t="shared" si="282"/>
        <v>1116210</v>
      </c>
      <c r="AS50" s="62">
        <f t="shared" si="282"/>
        <v>0</v>
      </c>
      <c r="AT50" s="62">
        <f t="shared" si="282"/>
        <v>0</v>
      </c>
      <c r="AU50" s="62">
        <f t="shared" si="282"/>
        <v>0</v>
      </c>
      <c r="AV50" s="62">
        <f t="shared" si="282"/>
        <v>305680</v>
      </c>
      <c r="AW50" s="190">
        <f t="shared" si="18"/>
        <v>2816980</v>
      </c>
      <c r="AX50" s="196">
        <f>SUM(AX51:AX56)</f>
        <v>3.692591864885781E-2</v>
      </c>
      <c r="AY50" s="62">
        <f t="shared" ref="AY50:BJ50" si="283">SUM(AY51:AY56)</f>
        <v>0</v>
      </c>
      <c r="AZ50" s="62">
        <f t="shared" si="283"/>
        <v>0</v>
      </c>
      <c r="BA50" s="62">
        <f t="shared" si="283"/>
        <v>120000</v>
      </c>
      <c r="BB50" s="62">
        <f t="shared" si="283"/>
        <v>0</v>
      </c>
      <c r="BC50" s="62">
        <f t="shared" si="283"/>
        <v>298410</v>
      </c>
      <c r="BD50" s="62">
        <f t="shared" si="283"/>
        <v>1202480</v>
      </c>
      <c r="BE50" s="62">
        <f t="shared" si="283"/>
        <v>0</v>
      </c>
      <c r="BF50" s="62">
        <f t="shared" si="283"/>
        <v>1239680</v>
      </c>
      <c r="BG50" s="62">
        <f t="shared" si="283"/>
        <v>0</v>
      </c>
      <c r="BH50" s="62">
        <f t="shared" si="283"/>
        <v>0</v>
      </c>
      <c r="BI50" s="62">
        <f t="shared" si="283"/>
        <v>0</v>
      </c>
      <c r="BJ50" s="62">
        <f t="shared" si="283"/>
        <v>338890</v>
      </c>
      <c r="BK50" s="190">
        <f t="shared" si="19"/>
        <v>3199460</v>
      </c>
      <c r="BL50" s="196">
        <f>SUM(BL51:BL56)</f>
        <v>4.5811924456788639E-2</v>
      </c>
      <c r="BM50" s="62">
        <f t="shared" ref="BM50:BX50" si="284">SUM(BM51:BM56)</f>
        <v>0</v>
      </c>
      <c r="BN50" s="62">
        <f t="shared" si="284"/>
        <v>0</v>
      </c>
      <c r="BO50" s="62">
        <f t="shared" si="284"/>
        <v>0</v>
      </c>
      <c r="BP50" s="62">
        <f t="shared" si="284"/>
        <v>0</v>
      </c>
      <c r="BQ50" s="62">
        <f t="shared" si="284"/>
        <v>0</v>
      </c>
      <c r="BR50" s="62">
        <f t="shared" si="284"/>
        <v>0</v>
      </c>
      <c r="BS50" s="62">
        <f t="shared" si="284"/>
        <v>0</v>
      </c>
      <c r="BT50" s="62">
        <f t="shared" si="284"/>
        <v>0</v>
      </c>
      <c r="BU50" s="62">
        <f t="shared" si="284"/>
        <v>0</v>
      </c>
      <c r="BV50" s="62">
        <f t="shared" si="284"/>
        <v>0</v>
      </c>
      <c r="BW50" s="62">
        <f t="shared" si="284"/>
        <v>0</v>
      </c>
      <c r="BX50" s="62">
        <f t="shared" si="284"/>
        <v>0</v>
      </c>
      <c r="BY50" s="190">
        <f t="shared" si="20"/>
        <v>0</v>
      </c>
      <c r="BZ50" s="196">
        <f>SUM(BZ51:BZ56)</f>
        <v>0</v>
      </c>
      <c r="CA50" s="62">
        <f t="shared" ref="CA50:CL50" si="285">SUM(CA51:CA56)</f>
        <v>0</v>
      </c>
      <c r="CB50" s="62">
        <f t="shared" si="285"/>
        <v>0</v>
      </c>
      <c r="CC50" s="62">
        <f t="shared" si="285"/>
        <v>0</v>
      </c>
      <c r="CD50" s="62">
        <f t="shared" si="285"/>
        <v>0</v>
      </c>
      <c r="CE50" s="62">
        <f t="shared" si="285"/>
        <v>0</v>
      </c>
      <c r="CF50" s="62">
        <f t="shared" si="285"/>
        <v>0</v>
      </c>
      <c r="CG50" s="62">
        <f t="shared" si="285"/>
        <v>0</v>
      </c>
      <c r="CH50" s="62">
        <f t="shared" si="285"/>
        <v>0</v>
      </c>
      <c r="CI50" s="62">
        <f t="shared" si="285"/>
        <v>0</v>
      </c>
      <c r="CJ50" s="62">
        <f t="shared" si="285"/>
        <v>0</v>
      </c>
      <c r="CK50" s="62">
        <f t="shared" si="285"/>
        <v>0</v>
      </c>
      <c r="CL50" s="62">
        <f t="shared" si="285"/>
        <v>0</v>
      </c>
      <c r="CM50" s="190">
        <f t="shared" si="21"/>
        <v>0</v>
      </c>
      <c r="CN50" s="62">
        <f t="shared" ref="CN50:CY50" si="286">SUM(CN51:CN56)</f>
        <v>0</v>
      </c>
      <c r="CO50" s="62">
        <f t="shared" si="286"/>
        <v>0</v>
      </c>
      <c r="CP50" s="62">
        <f t="shared" si="286"/>
        <v>0</v>
      </c>
      <c r="CQ50" s="62">
        <f t="shared" si="286"/>
        <v>0</v>
      </c>
      <c r="CR50" s="62">
        <f t="shared" si="286"/>
        <v>0</v>
      </c>
      <c r="CS50" s="62">
        <f t="shared" si="286"/>
        <v>0</v>
      </c>
      <c r="CT50" s="62">
        <f t="shared" si="286"/>
        <v>0</v>
      </c>
      <c r="CU50" s="62">
        <f t="shared" si="286"/>
        <v>0</v>
      </c>
      <c r="CV50" s="62">
        <f t="shared" si="286"/>
        <v>0</v>
      </c>
      <c r="CW50" s="62">
        <f t="shared" si="286"/>
        <v>0</v>
      </c>
      <c r="CX50" s="62">
        <f t="shared" si="286"/>
        <v>0</v>
      </c>
      <c r="CY50" s="62">
        <f t="shared" si="286"/>
        <v>0</v>
      </c>
      <c r="CZ50" s="190">
        <f t="shared" si="22"/>
        <v>0</v>
      </c>
      <c r="DA50" s="62">
        <f t="shared" ref="DA50:DL50" si="287">SUM(DA51:DA56)</f>
        <v>0</v>
      </c>
      <c r="DB50" s="62">
        <f t="shared" si="287"/>
        <v>0</v>
      </c>
      <c r="DC50" s="62">
        <f t="shared" si="287"/>
        <v>0</v>
      </c>
      <c r="DD50" s="62">
        <f t="shared" si="287"/>
        <v>0</v>
      </c>
      <c r="DE50" s="62">
        <f t="shared" si="287"/>
        <v>0</v>
      </c>
      <c r="DF50" s="62">
        <f t="shared" si="287"/>
        <v>0</v>
      </c>
      <c r="DG50" s="62">
        <f t="shared" si="287"/>
        <v>0</v>
      </c>
      <c r="DH50" s="62">
        <f t="shared" si="287"/>
        <v>0</v>
      </c>
      <c r="DI50" s="62">
        <f t="shared" si="287"/>
        <v>0</v>
      </c>
      <c r="DJ50" s="62">
        <f t="shared" si="287"/>
        <v>0</v>
      </c>
      <c r="DK50" s="62">
        <f t="shared" si="287"/>
        <v>0</v>
      </c>
      <c r="DL50" s="62">
        <f t="shared" si="287"/>
        <v>0</v>
      </c>
      <c r="DM50" s="190">
        <f t="shared" si="23"/>
        <v>0</v>
      </c>
      <c r="DN50" s="62">
        <f t="shared" ref="DN50:DQ50" si="288">SUM(DN51:DN56)</f>
        <v>0</v>
      </c>
      <c r="DO50" s="62">
        <f t="shared" si="288"/>
        <v>0</v>
      </c>
      <c r="DP50" s="62">
        <f t="shared" si="288"/>
        <v>0</v>
      </c>
      <c r="DQ50" s="62">
        <f t="shared" si="288"/>
        <v>0</v>
      </c>
      <c r="DR50" s="62">
        <f t="shared" ref="DR50:DU50" si="289">SUM(DR51:DR56)</f>
        <v>0</v>
      </c>
      <c r="DS50" s="62">
        <f t="shared" si="289"/>
        <v>0</v>
      </c>
      <c r="DT50" s="62">
        <f t="shared" si="289"/>
        <v>0</v>
      </c>
      <c r="DU50" s="62">
        <f t="shared" si="289"/>
        <v>0</v>
      </c>
      <c r="DV50" s="62">
        <f t="shared" ref="DV50:DW50" si="290">SUM(DV51:DV56)</f>
        <v>0</v>
      </c>
      <c r="DW50" s="62">
        <f t="shared" si="290"/>
        <v>0</v>
      </c>
      <c r="DX50" s="62">
        <f t="shared" si="280"/>
        <v>0</v>
      </c>
      <c r="DY50" s="62">
        <f t="shared" ref="DY50" si="291">SUM(DY51:DY56)</f>
        <v>0</v>
      </c>
      <c r="DZ50" s="190">
        <f t="shared" si="24"/>
        <v>0</v>
      </c>
    </row>
    <row r="51" spans="1:130" ht="20.45" customHeight="1" outlineLevel="2">
      <c r="A51" s="662"/>
      <c r="B51" s="636"/>
      <c r="C51" s="30" t="s">
        <v>323</v>
      </c>
      <c r="D51" s="62">
        <f t="shared" si="0"/>
        <v>10209519.999999998</v>
      </c>
      <c r="E51" s="184">
        <f t="shared" si="179"/>
        <v>3.1588289337074596E-2</v>
      </c>
      <c r="F51" s="62">
        <v>0</v>
      </c>
      <c r="G51" s="190">
        <f t="shared" si="36"/>
        <v>0</v>
      </c>
      <c r="H51" s="197">
        <f t="shared" ref="H51:H56" si="292">G51/(G$5+G$6+G$7+G$8+G$10+G$9)</f>
        <v>0</v>
      </c>
      <c r="I51" s="62">
        <v>0</v>
      </c>
      <c r="J51" s="62">
        <v>0</v>
      </c>
      <c r="K51" s="62">
        <v>0</v>
      </c>
      <c r="L51" s="62">
        <v>0</v>
      </c>
      <c r="M51" s="62">
        <v>0</v>
      </c>
      <c r="N51" s="62">
        <v>0</v>
      </c>
      <c r="O51" s="62">
        <v>1414540</v>
      </c>
      <c r="P51" s="62">
        <v>0</v>
      </c>
      <c r="Q51" s="62">
        <v>1414190</v>
      </c>
      <c r="R51" s="62">
        <v>0</v>
      </c>
      <c r="S51" s="62">
        <v>526170</v>
      </c>
      <c r="T51" s="62">
        <v>0</v>
      </c>
      <c r="U51" s="190">
        <f t="shared" si="16"/>
        <v>3354900</v>
      </c>
      <c r="V51" s="197">
        <f t="shared" ref="V51:V56" si="293">U51/(U$5+U$6+U$7+U$8+U$10+U$9)</f>
        <v>6.0470443067976373E-2</v>
      </c>
      <c r="W51" s="62">
        <v>0</v>
      </c>
      <c r="X51" s="62">
        <v>0</v>
      </c>
      <c r="Y51" s="62">
        <v>0</v>
      </c>
      <c r="Z51" s="62">
        <v>0</v>
      </c>
      <c r="AA51" s="62">
        <v>0</v>
      </c>
      <c r="AB51" s="62">
        <v>1077610</v>
      </c>
      <c r="AC51" s="62">
        <v>0</v>
      </c>
      <c r="AD51" s="62">
        <v>1076760</v>
      </c>
      <c r="AE51" s="62">
        <v>0</v>
      </c>
      <c r="AF51" s="62">
        <v>0</v>
      </c>
      <c r="AG51" s="62">
        <v>0</v>
      </c>
      <c r="AH51" s="62">
        <v>0</v>
      </c>
      <c r="AI51" s="190">
        <f t="shared" si="17"/>
        <v>2154370</v>
      </c>
      <c r="AJ51" s="197">
        <f t="shared" ref="AJ51:AJ56" si="294">AI51/(AI$5+AI$6+AI$7+AI$8+AI$10+AI$9)</f>
        <v>2.9279804365127289E-2</v>
      </c>
      <c r="AK51" s="62">
        <v>0</v>
      </c>
      <c r="AL51" s="62">
        <v>0</v>
      </c>
      <c r="AM51" s="62">
        <v>0</v>
      </c>
      <c r="AN51" s="62">
        <v>0</v>
      </c>
      <c r="AO51" s="62">
        <v>0</v>
      </c>
      <c r="AP51" s="62">
        <v>1116210</v>
      </c>
      <c r="AQ51" s="62">
        <v>0</v>
      </c>
      <c r="AR51" s="62">
        <v>1116210</v>
      </c>
      <c r="AS51" s="62">
        <v>0</v>
      </c>
      <c r="AT51" s="62">
        <v>0</v>
      </c>
      <c r="AU51" s="62">
        <v>0</v>
      </c>
      <c r="AV51" s="62">
        <v>0</v>
      </c>
      <c r="AW51" s="190">
        <f t="shared" si="18"/>
        <v>2232420</v>
      </c>
      <c r="AX51" s="197">
        <f t="shared" ref="AX51:AX56" si="295">AW51/(AW$5+AW$6+AW$7+AW$8+AW$10+AW$9)</f>
        <v>2.9263310108727483E-2</v>
      </c>
      <c r="AY51" s="62">
        <v>0</v>
      </c>
      <c r="AZ51" s="62">
        <v>0</v>
      </c>
      <c r="BA51" s="62">
        <v>0</v>
      </c>
      <c r="BB51" s="62">
        <v>0</v>
      </c>
      <c r="BC51" s="62">
        <v>0</v>
      </c>
      <c r="BD51" s="62">
        <f>1202480</f>
        <v>1202480</v>
      </c>
      <c r="BE51" s="62">
        <v>0</v>
      </c>
      <c r="BF51" s="62">
        <v>1202480</v>
      </c>
      <c r="BG51" s="62">
        <v>0</v>
      </c>
      <c r="BH51" s="62">
        <v>0</v>
      </c>
      <c r="BI51" s="62">
        <v>0</v>
      </c>
      <c r="BJ51" s="62">
        <f>62870</f>
        <v>62870</v>
      </c>
      <c r="BK51" s="190">
        <f t="shared" si="19"/>
        <v>2467830</v>
      </c>
      <c r="BL51" s="197">
        <f t="shared" ref="BL51:BL56" si="296">BK51/(BK$5+BK$6+BK$7+BK$8+BK$10+BK$9)</f>
        <v>3.5335975924748776E-2</v>
      </c>
      <c r="BM51" s="62">
        <v>0</v>
      </c>
      <c r="BN51" s="62">
        <v>0</v>
      </c>
      <c r="BO51" s="62">
        <v>0</v>
      </c>
      <c r="BP51" s="62">
        <v>0</v>
      </c>
      <c r="BQ51" s="62">
        <v>0</v>
      </c>
      <c r="BR51" s="62">
        <v>0</v>
      </c>
      <c r="BS51" s="62">
        <v>0</v>
      </c>
      <c r="BT51" s="62">
        <v>0</v>
      </c>
      <c r="BU51" s="62">
        <v>0</v>
      </c>
      <c r="BV51" s="62">
        <v>0</v>
      </c>
      <c r="BW51" s="62">
        <v>0</v>
      </c>
      <c r="BX51" s="62">
        <v>0</v>
      </c>
      <c r="BY51" s="190">
        <f t="shared" si="20"/>
        <v>0</v>
      </c>
      <c r="BZ51" s="197">
        <f t="shared" ref="BZ51:BZ56" si="297">BY51/(BY$5+BY$6+BY$7+BY$8+BY$10+BY$9)</f>
        <v>0</v>
      </c>
      <c r="CA51" s="62">
        <v>0</v>
      </c>
      <c r="CB51" s="62">
        <v>0</v>
      </c>
      <c r="CC51" s="62">
        <v>0</v>
      </c>
      <c r="CD51" s="62">
        <v>0</v>
      </c>
      <c r="CE51" s="62">
        <v>0</v>
      </c>
      <c r="CF51" s="62">
        <v>0</v>
      </c>
      <c r="CG51" s="62">
        <v>0</v>
      </c>
      <c r="CH51" s="62">
        <v>0</v>
      </c>
      <c r="CI51" s="62">
        <v>0</v>
      </c>
      <c r="CJ51" s="62">
        <v>0</v>
      </c>
      <c r="CK51" s="62">
        <v>0</v>
      </c>
      <c r="CL51" s="62">
        <v>0</v>
      </c>
      <c r="CM51" s="190">
        <f t="shared" si="21"/>
        <v>0</v>
      </c>
      <c r="CN51" s="62">
        <v>0</v>
      </c>
      <c r="CO51" s="62">
        <v>0</v>
      </c>
      <c r="CP51" s="62">
        <v>0</v>
      </c>
      <c r="CQ51" s="62">
        <v>0</v>
      </c>
      <c r="CR51" s="62">
        <v>0</v>
      </c>
      <c r="CS51" s="62">
        <v>0</v>
      </c>
      <c r="CT51" s="62">
        <v>0</v>
      </c>
      <c r="CU51" s="62">
        <v>0</v>
      </c>
      <c r="CV51" s="62">
        <v>0</v>
      </c>
      <c r="CW51" s="62">
        <v>0</v>
      </c>
      <c r="CX51" s="62">
        <v>0</v>
      </c>
      <c r="CY51" s="62">
        <v>0</v>
      </c>
      <c r="CZ51" s="190">
        <f t="shared" si="22"/>
        <v>0</v>
      </c>
      <c r="DA51" s="62">
        <v>0</v>
      </c>
      <c r="DB51" s="62">
        <v>0</v>
      </c>
      <c r="DC51" s="62">
        <v>0</v>
      </c>
      <c r="DD51" s="62">
        <v>0</v>
      </c>
      <c r="DE51" s="62">
        <v>0</v>
      </c>
      <c r="DF51" s="62">
        <v>0</v>
      </c>
      <c r="DG51" s="62">
        <v>0</v>
      </c>
      <c r="DH51" s="62">
        <v>0</v>
      </c>
      <c r="DI51" s="62">
        <v>0</v>
      </c>
      <c r="DJ51" s="62">
        <v>0</v>
      </c>
      <c r="DK51" s="62">
        <v>0</v>
      </c>
      <c r="DL51" s="62">
        <v>0</v>
      </c>
      <c r="DM51" s="190">
        <f t="shared" si="23"/>
        <v>0</v>
      </c>
      <c r="DN51" s="62">
        <v>0</v>
      </c>
      <c r="DO51" s="62">
        <v>0</v>
      </c>
      <c r="DP51" s="62">
        <v>0</v>
      </c>
      <c r="DQ51" s="62">
        <v>0</v>
      </c>
      <c r="DR51" s="62">
        <v>0</v>
      </c>
      <c r="DS51" s="62">
        <v>0</v>
      </c>
      <c r="DT51" s="62">
        <v>0</v>
      </c>
      <c r="DU51" s="62">
        <v>0</v>
      </c>
      <c r="DV51" s="62">
        <v>0</v>
      </c>
      <c r="DW51" s="62">
        <v>0</v>
      </c>
      <c r="DX51" s="62">
        <v>0</v>
      </c>
      <c r="DY51" s="62">
        <v>0</v>
      </c>
      <c r="DZ51" s="190">
        <f t="shared" si="24"/>
        <v>0</v>
      </c>
    </row>
    <row r="52" spans="1:130" ht="20.45" customHeight="1" outlineLevel="2">
      <c r="A52" s="663"/>
      <c r="B52" s="636"/>
      <c r="C52" s="30" t="s">
        <v>2611</v>
      </c>
      <c r="D52" s="62">
        <f t="shared" si="0"/>
        <v>3681280.0000000005</v>
      </c>
      <c r="E52" s="184">
        <f t="shared" si="179"/>
        <v>1.1389892744300027E-2</v>
      </c>
      <c r="F52" s="62">
        <v>0</v>
      </c>
      <c r="G52" s="190">
        <f t="shared" ref="G52" si="298">SUM(F52)</f>
        <v>0</v>
      </c>
      <c r="H52" s="197">
        <f t="shared" si="292"/>
        <v>0</v>
      </c>
      <c r="I52" s="62">
        <v>0</v>
      </c>
      <c r="J52" s="62">
        <v>0</v>
      </c>
      <c r="K52" s="62">
        <v>0</v>
      </c>
      <c r="L52" s="62">
        <v>0</v>
      </c>
      <c r="M52" s="62">
        <v>0</v>
      </c>
      <c r="N52" s="62">
        <v>0</v>
      </c>
      <c r="O52" s="62">
        <v>0</v>
      </c>
      <c r="P52" s="62">
        <v>0</v>
      </c>
      <c r="Q52" s="62">
        <v>0</v>
      </c>
      <c r="R52" s="62">
        <v>0</v>
      </c>
      <c r="S52" s="62">
        <v>0</v>
      </c>
      <c r="T52" s="62">
        <v>0</v>
      </c>
      <c r="U52" s="190">
        <f t="shared" ref="U52" si="299">SUM(I52:T52)</f>
        <v>0</v>
      </c>
      <c r="V52" s="197">
        <f t="shared" si="293"/>
        <v>0</v>
      </c>
      <c r="W52" s="62">
        <v>0</v>
      </c>
      <c r="X52" s="62">
        <v>0</v>
      </c>
      <c r="Y52" s="62">
        <v>0</v>
      </c>
      <c r="Z52" s="62">
        <v>0</v>
      </c>
      <c r="AA52" s="62">
        <v>0</v>
      </c>
      <c r="AB52" s="62">
        <v>0</v>
      </c>
      <c r="AC52" s="62">
        <v>0</v>
      </c>
      <c r="AD52" s="62">
        <v>0</v>
      </c>
      <c r="AE52" s="62">
        <v>0</v>
      </c>
      <c r="AF52" s="62">
        <v>0</v>
      </c>
      <c r="AG52" s="62">
        <v>0</v>
      </c>
      <c r="AH52" s="62">
        <v>3681280</v>
      </c>
      <c r="AI52" s="190">
        <f t="shared" si="17"/>
        <v>3681280</v>
      </c>
      <c r="AJ52" s="197">
        <f t="shared" si="294"/>
        <v>5.0031869276519716E-2</v>
      </c>
      <c r="AK52" s="62">
        <v>0</v>
      </c>
      <c r="AL52" s="62">
        <v>0</v>
      </c>
      <c r="AM52" s="62">
        <v>0</v>
      </c>
      <c r="AN52" s="62">
        <v>0</v>
      </c>
      <c r="AO52" s="62">
        <v>0</v>
      </c>
      <c r="AP52" s="62">
        <v>0</v>
      </c>
      <c r="AQ52" s="62">
        <v>0</v>
      </c>
      <c r="AR52" s="62">
        <v>0</v>
      </c>
      <c r="AS52" s="62">
        <v>0</v>
      </c>
      <c r="AT52" s="62">
        <v>0</v>
      </c>
      <c r="AU52" s="62">
        <v>0</v>
      </c>
      <c r="AV52" s="62">
        <v>0</v>
      </c>
      <c r="AW52" s="190">
        <f t="shared" ref="AW52" si="300">SUM(AK52:AV52)</f>
        <v>0</v>
      </c>
      <c r="AX52" s="197">
        <f t="shared" si="295"/>
        <v>0</v>
      </c>
      <c r="AY52" s="62">
        <v>0</v>
      </c>
      <c r="AZ52" s="62">
        <v>0</v>
      </c>
      <c r="BA52" s="62">
        <v>0</v>
      </c>
      <c r="BB52" s="62">
        <v>0</v>
      </c>
      <c r="BC52" s="62">
        <v>0</v>
      </c>
      <c r="BD52" s="62">
        <v>0</v>
      </c>
      <c r="BE52" s="62">
        <v>0</v>
      </c>
      <c r="BF52" s="62">
        <v>0</v>
      </c>
      <c r="BG52" s="62">
        <v>0</v>
      </c>
      <c r="BH52" s="62">
        <v>0</v>
      </c>
      <c r="BI52" s="62">
        <v>0</v>
      </c>
      <c r="BJ52" s="62">
        <v>0</v>
      </c>
      <c r="BK52" s="190">
        <f t="shared" ref="BK52" si="301">SUM(AY52:BJ52)</f>
        <v>0</v>
      </c>
      <c r="BL52" s="197">
        <f t="shared" si="296"/>
        <v>0</v>
      </c>
      <c r="BM52" s="62">
        <v>0</v>
      </c>
      <c r="BN52" s="62">
        <v>0</v>
      </c>
      <c r="BO52" s="62">
        <v>0</v>
      </c>
      <c r="BP52" s="62">
        <v>0</v>
      </c>
      <c r="BQ52" s="62">
        <v>0</v>
      </c>
      <c r="BR52" s="62">
        <v>0</v>
      </c>
      <c r="BS52" s="62">
        <v>0</v>
      </c>
      <c r="BT52" s="62">
        <v>0</v>
      </c>
      <c r="BU52" s="62">
        <v>0</v>
      </c>
      <c r="BV52" s="62">
        <v>0</v>
      </c>
      <c r="BW52" s="62">
        <v>0</v>
      </c>
      <c r="BX52" s="62">
        <v>0</v>
      </c>
      <c r="BY52" s="190">
        <f t="shared" ref="BY52" si="302">SUM(BM52:BX52)</f>
        <v>0</v>
      </c>
      <c r="BZ52" s="197">
        <f t="shared" si="297"/>
        <v>0</v>
      </c>
      <c r="CA52" s="62">
        <v>0</v>
      </c>
      <c r="CB52" s="62">
        <v>0</v>
      </c>
      <c r="CC52" s="62">
        <v>0</v>
      </c>
      <c r="CD52" s="62">
        <v>0</v>
      </c>
      <c r="CE52" s="62">
        <v>0</v>
      </c>
      <c r="CF52" s="62">
        <v>0</v>
      </c>
      <c r="CG52" s="62">
        <v>0</v>
      </c>
      <c r="CH52" s="62">
        <v>0</v>
      </c>
      <c r="CI52" s="62">
        <v>0</v>
      </c>
      <c r="CJ52" s="62">
        <v>0</v>
      </c>
      <c r="CK52" s="62">
        <v>0</v>
      </c>
      <c r="CL52" s="62">
        <v>0</v>
      </c>
      <c r="CM52" s="190">
        <f t="shared" ref="CM52" si="303">SUM(CA52:CL52)</f>
        <v>0</v>
      </c>
      <c r="CN52" s="62">
        <v>0</v>
      </c>
      <c r="CO52" s="62">
        <v>0</v>
      </c>
      <c r="CP52" s="62">
        <v>0</v>
      </c>
      <c r="CQ52" s="62">
        <v>0</v>
      </c>
      <c r="CR52" s="62">
        <v>0</v>
      </c>
      <c r="CS52" s="62">
        <v>0</v>
      </c>
      <c r="CT52" s="62">
        <v>0</v>
      </c>
      <c r="CU52" s="62">
        <v>0</v>
      </c>
      <c r="CV52" s="62">
        <v>0</v>
      </c>
      <c r="CW52" s="62">
        <v>0</v>
      </c>
      <c r="CX52" s="62">
        <v>0</v>
      </c>
      <c r="CY52" s="62">
        <v>0</v>
      </c>
      <c r="CZ52" s="190">
        <f t="shared" ref="CZ52" si="304">SUM(CN52:CY52)</f>
        <v>0</v>
      </c>
      <c r="DA52" s="62">
        <v>0</v>
      </c>
      <c r="DB52" s="62">
        <v>0</v>
      </c>
      <c r="DC52" s="62">
        <v>0</v>
      </c>
      <c r="DD52" s="62">
        <v>0</v>
      </c>
      <c r="DE52" s="62">
        <v>0</v>
      </c>
      <c r="DF52" s="62">
        <v>0</v>
      </c>
      <c r="DG52" s="62">
        <v>0</v>
      </c>
      <c r="DH52" s="62">
        <v>0</v>
      </c>
      <c r="DI52" s="62">
        <v>0</v>
      </c>
      <c r="DJ52" s="62">
        <v>0</v>
      </c>
      <c r="DK52" s="62">
        <v>0</v>
      </c>
      <c r="DL52" s="62">
        <v>0</v>
      </c>
      <c r="DM52" s="190">
        <f t="shared" ref="DM52" si="305">SUM(DA52:DL52)</f>
        <v>0</v>
      </c>
      <c r="DN52" s="62">
        <v>0</v>
      </c>
      <c r="DO52" s="62">
        <v>0</v>
      </c>
      <c r="DP52" s="62">
        <v>0</v>
      </c>
      <c r="DQ52" s="62">
        <v>0</v>
      </c>
      <c r="DR52" s="62">
        <v>0</v>
      </c>
      <c r="DS52" s="62">
        <v>0</v>
      </c>
      <c r="DT52" s="62">
        <v>0</v>
      </c>
      <c r="DU52" s="62">
        <v>0</v>
      </c>
      <c r="DV52" s="62">
        <v>0</v>
      </c>
      <c r="DW52" s="62">
        <v>0</v>
      </c>
      <c r="DX52" s="62">
        <v>0</v>
      </c>
      <c r="DY52" s="62">
        <v>0</v>
      </c>
      <c r="DZ52" s="190">
        <f t="shared" ref="DZ52" si="306">SUM(DN52:DY52)</f>
        <v>0</v>
      </c>
    </row>
    <row r="53" spans="1:130" ht="20.45" customHeight="1" outlineLevel="2">
      <c r="A53" s="662"/>
      <c r="B53" s="636"/>
      <c r="C53" s="30" t="s">
        <v>324</v>
      </c>
      <c r="D53" s="62">
        <f t="shared" si="0"/>
        <v>21350.000000000004</v>
      </c>
      <c r="E53" s="184">
        <f t="shared" si="179"/>
        <v>6.6056972056134172E-5</v>
      </c>
      <c r="F53" s="62">
        <v>0</v>
      </c>
      <c r="G53" s="190">
        <f t="shared" si="36"/>
        <v>0</v>
      </c>
      <c r="H53" s="197">
        <f t="shared" si="292"/>
        <v>0</v>
      </c>
      <c r="I53" s="62">
        <v>0</v>
      </c>
      <c r="J53" s="62">
        <v>0</v>
      </c>
      <c r="K53" s="62">
        <v>0</v>
      </c>
      <c r="L53" s="62">
        <v>0</v>
      </c>
      <c r="M53" s="62">
        <v>0</v>
      </c>
      <c r="N53" s="62">
        <v>0</v>
      </c>
      <c r="O53" s="62">
        <v>5750</v>
      </c>
      <c r="P53" s="62">
        <v>0</v>
      </c>
      <c r="Q53" s="62">
        <v>0</v>
      </c>
      <c r="R53" s="62">
        <v>0</v>
      </c>
      <c r="S53" s="62">
        <v>0</v>
      </c>
      <c r="T53" s="62">
        <v>0</v>
      </c>
      <c r="U53" s="190">
        <f t="shared" si="16"/>
        <v>5750</v>
      </c>
      <c r="V53" s="197">
        <f t="shared" si="293"/>
        <v>1.036409572985377E-4</v>
      </c>
      <c r="W53" s="62">
        <v>0</v>
      </c>
      <c r="X53" s="62">
        <v>0</v>
      </c>
      <c r="Y53" s="62">
        <v>0</v>
      </c>
      <c r="Z53" s="62">
        <v>0</v>
      </c>
      <c r="AA53" s="62">
        <v>0</v>
      </c>
      <c r="AB53" s="62">
        <v>0</v>
      </c>
      <c r="AC53" s="62">
        <v>5200</v>
      </c>
      <c r="AD53" s="62">
        <v>0</v>
      </c>
      <c r="AE53" s="62">
        <v>0</v>
      </c>
      <c r="AF53" s="62">
        <v>0</v>
      </c>
      <c r="AG53" s="62">
        <v>0</v>
      </c>
      <c r="AH53" s="62">
        <v>0</v>
      </c>
      <c r="AI53" s="190">
        <f t="shared" si="17"/>
        <v>5200</v>
      </c>
      <c r="AJ53" s="197">
        <f t="shared" si="294"/>
        <v>7.0672624803846089E-5</v>
      </c>
      <c r="AK53" s="62">
        <v>0</v>
      </c>
      <c r="AL53" s="62">
        <v>0</v>
      </c>
      <c r="AM53" s="62">
        <v>0</v>
      </c>
      <c r="AN53" s="62">
        <v>0</v>
      </c>
      <c r="AO53" s="62">
        <v>0</v>
      </c>
      <c r="AP53" s="62">
        <v>0</v>
      </c>
      <c r="AQ53" s="62">
        <v>5200</v>
      </c>
      <c r="AR53" s="62">
        <v>0</v>
      </c>
      <c r="AS53" s="62">
        <v>0</v>
      </c>
      <c r="AT53" s="62">
        <v>0</v>
      </c>
      <c r="AU53" s="62">
        <v>0</v>
      </c>
      <c r="AV53" s="62">
        <v>0</v>
      </c>
      <c r="AW53" s="190">
        <f t="shared" si="18"/>
        <v>5200</v>
      </c>
      <c r="AX53" s="197">
        <f t="shared" si="295"/>
        <v>6.8163344068491991E-5</v>
      </c>
      <c r="AY53" s="62">
        <v>0</v>
      </c>
      <c r="AZ53" s="62">
        <v>0</v>
      </c>
      <c r="BA53" s="62">
        <v>0</v>
      </c>
      <c r="BB53" s="62">
        <v>0</v>
      </c>
      <c r="BC53" s="62">
        <v>0</v>
      </c>
      <c r="BD53" s="62">
        <v>0</v>
      </c>
      <c r="BE53" s="62">
        <v>0</v>
      </c>
      <c r="BF53" s="62">
        <f>5200</f>
        <v>5200</v>
      </c>
      <c r="BG53" s="62">
        <v>0</v>
      </c>
      <c r="BH53" s="62">
        <v>0</v>
      </c>
      <c r="BI53" s="62">
        <v>0</v>
      </c>
      <c r="BJ53" s="62">
        <v>0</v>
      </c>
      <c r="BK53" s="190">
        <f t="shared" si="19"/>
        <v>5200</v>
      </c>
      <c r="BL53" s="197">
        <f t="shared" si="296"/>
        <v>7.4456941851218931E-5</v>
      </c>
      <c r="BM53" s="62">
        <v>0</v>
      </c>
      <c r="BN53" s="62">
        <v>0</v>
      </c>
      <c r="BO53" s="62">
        <v>0</v>
      </c>
      <c r="BP53" s="62">
        <v>0</v>
      </c>
      <c r="BQ53" s="62">
        <v>0</v>
      </c>
      <c r="BR53" s="62">
        <v>0</v>
      </c>
      <c r="BS53" s="62">
        <v>0</v>
      </c>
      <c r="BT53" s="62">
        <v>0</v>
      </c>
      <c r="BU53" s="62">
        <v>0</v>
      </c>
      <c r="BV53" s="62">
        <v>0</v>
      </c>
      <c r="BW53" s="62">
        <v>0</v>
      </c>
      <c r="BX53" s="62">
        <v>0</v>
      </c>
      <c r="BY53" s="190">
        <f t="shared" si="20"/>
        <v>0</v>
      </c>
      <c r="BZ53" s="197">
        <f t="shared" si="297"/>
        <v>0</v>
      </c>
      <c r="CA53" s="62">
        <v>0</v>
      </c>
      <c r="CB53" s="62">
        <v>0</v>
      </c>
      <c r="CC53" s="62">
        <v>0</v>
      </c>
      <c r="CD53" s="62">
        <v>0</v>
      </c>
      <c r="CE53" s="62">
        <v>0</v>
      </c>
      <c r="CF53" s="62">
        <v>0</v>
      </c>
      <c r="CG53" s="62">
        <v>0</v>
      </c>
      <c r="CH53" s="62">
        <v>0</v>
      </c>
      <c r="CI53" s="62">
        <v>0</v>
      </c>
      <c r="CJ53" s="62">
        <v>0</v>
      </c>
      <c r="CK53" s="62">
        <v>0</v>
      </c>
      <c r="CL53" s="62">
        <v>0</v>
      </c>
      <c r="CM53" s="190">
        <f t="shared" si="21"/>
        <v>0</v>
      </c>
      <c r="CN53" s="62">
        <v>0</v>
      </c>
      <c r="CO53" s="62">
        <v>0</v>
      </c>
      <c r="CP53" s="62">
        <v>0</v>
      </c>
      <c r="CQ53" s="62">
        <v>0</v>
      </c>
      <c r="CR53" s="62">
        <v>0</v>
      </c>
      <c r="CS53" s="62">
        <v>0</v>
      </c>
      <c r="CT53" s="62">
        <v>0</v>
      </c>
      <c r="CU53" s="62">
        <v>0</v>
      </c>
      <c r="CV53" s="62">
        <v>0</v>
      </c>
      <c r="CW53" s="62">
        <v>0</v>
      </c>
      <c r="CX53" s="62">
        <v>0</v>
      </c>
      <c r="CY53" s="62">
        <v>0</v>
      </c>
      <c r="CZ53" s="190">
        <f t="shared" si="22"/>
        <v>0</v>
      </c>
      <c r="DA53" s="62">
        <v>0</v>
      </c>
      <c r="DB53" s="62">
        <v>0</v>
      </c>
      <c r="DC53" s="62">
        <v>0</v>
      </c>
      <c r="DD53" s="62">
        <v>0</v>
      </c>
      <c r="DE53" s="62">
        <v>0</v>
      </c>
      <c r="DF53" s="62">
        <v>0</v>
      </c>
      <c r="DG53" s="62">
        <v>0</v>
      </c>
      <c r="DH53" s="62">
        <v>0</v>
      </c>
      <c r="DI53" s="62">
        <v>0</v>
      </c>
      <c r="DJ53" s="62">
        <v>0</v>
      </c>
      <c r="DK53" s="62">
        <v>0</v>
      </c>
      <c r="DL53" s="62">
        <v>0</v>
      </c>
      <c r="DM53" s="190">
        <f t="shared" si="23"/>
        <v>0</v>
      </c>
      <c r="DN53" s="62">
        <v>0</v>
      </c>
      <c r="DO53" s="62">
        <v>0</v>
      </c>
      <c r="DP53" s="62">
        <v>0</v>
      </c>
      <c r="DQ53" s="62">
        <v>0</v>
      </c>
      <c r="DR53" s="62">
        <v>0</v>
      </c>
      <c r="DS53" s="62">
        <v>0</v>
      </c>
      <c r="DT53" s="62">
        <v>0</v>
      </c>
      <c r="DU53" s="62">
        <v>0</v>
      </c>
      <c r="DV53" s="62">
        <v>0</v>
      </c>
      <c r="DW53" s="62">
        <v>0</v>
      </c>
      <c r="DX53" s="62">
        <v>0</v>
      </c>
      <c r="DY53" s="62">
        <v>0</v>
      </c>
      <c r="DZ53" s="190">
        <f t="shared" si="24"/>
        <v>0</v>
      </c>
    </row>
    <row r="54" spans="1:130" ht="20.45" customHeight="1" outlineLevel="2">
      <c r="A54" s="662"/>
      <c r="B54" s="636"/>
      <c r="C54" s="30" t="s">
        <v>325</v>
      </c>
      <c r="D54" s="62">
        <f t="shared" si="0"/>
        <v>2079164.0000000002</v>
      </c>
      <c r="E54" s="184">
        <f t="shared" si="179"/>
        <v>6.4329404331672189E-3</v>
      </c>
      <c r="F54" s="62">
        <v>0</v>
      </c>
      <c r="G54" s="190">
        <f t="shared" si="36"/>
        <v>0</v>
      </c>
      <c r="H54" s="197">
        <f t="shared" si="292"/>
        <v>0</v>
      </c>
      <c r="I54" s="62">
        <v>0</v>
      </c>
      <c r="J54" s="62">
        <v>0</v>
      </c>
      <c r="K54" s="62">
        <v>0</v>
      </c>
      <c r="L54" s="62">
        <v>0</v>
      </c>
      <c r="M54" s="62">
        <v>129870</v>
      </c>
      <c r="N54" s="62">
        <v>0</v>
      </c>
      <c r="O54" s="62">
        <v>224994</v>
      </c>
      <c r="P54" s="62">
        <v>0</v>
      </c>
      <c r="Q54" s="62">
        <v>0</v>
      </c>
      <c r="R54" s="62">
        <v>0</v>
      </c>
      <c r="S54" s="62">
        <v>0</v>
      </c>
      <c r="T54" s="62">
        <v>0</v>
      </c>
      <c r="U54" s="190">
        <f t="shared" si="16"/>
        <v>354864</v>
      </c>
      <c r="V54" s="197">
        <f t="shared" si="293"/>
        <v>6.396251247093615E-3</v>
      </c>
      <c r="W54" s="62">
        <v>100300</v>
      </c>
      <c r="X54" s="62">
        <v>0</v>
      </c>
      <c r="Y54" s="62">
        <v>0</v>
      </c>
      <c r="Z54" s="62">
        <v>0</v>
      </c>
      <c r="AA54" s="62">
        <v>260530</v>
      </c>
      <c r="AB54" s="62">
        <v>0</v>
      </c>
      <c r="AC54" s="62">
        <v>0</v>
      </c>
      <c r="AD54" s="62">
        <v>0</v>
      </c>
      <c r="AE54" s="62">
        <v>0</v>
      </c>
      <c r="AF54" s="62">
        <v>0</v>
      </c>
      <c r="AG54" s="62">
        <v>273680</v>
      </c>
      <c r="AH54" s="62">
        <v>0</v>
      </c>
      <c r="AI54" s="190">
        <f t="shared" si="17"/>
        <v>634510</v>
      </c>
      <c r="AJ54" s="197">
        <f t="shared" si="294"/>
        <v>8.6235552239016123E-3</v>
      </c>
      <c r="AK54" s="62">
        <v>0</v>
      </c>
      <c r="AL54" s="62">
        <v>0</v>
      </c>
      <c r="AM54" s="62">
        <v>0</v>
      </c>
      <c r="AN54" s="62">
        <v>0</v>
      </c>
      <c r="AO54" s="62">
        <f>129070+144610</f>
        <v>273680</v>
      </c>
      <c r="AP54" s="62">
        <v>0</v>
      </c>
      <c r="AQ54" s="62">
        <v>0</v>
      </c>
      <c r="AR54" s="62">
        <v>0</v>
      </c>
      <c r="AS54" s="62">
        <v>0</v>
      </c>
      <c r="AT54" s="62">
        <v>0</v>
      </c>
      <c r="AU54" s="62">
        <v>0</v>
      </c>
      <c r="AV54" s="62">
        <f>129070+144610</f>
        <v>273680</v>
      </c>
      <c r="AW54" s="190">
        <f t="shared" si="18"/>
        <v>547360</v>
      </c>
      <c r="AX54" s="197">
        <f t="shared" si="295"/>
        <v>7.1749784633326494E-3</v>
      </c>
      <c r="AY54" s="62">
        <v>0</v>
      </c>
      <c r="AZ54" s="62">
        <v>0</v>
      </c>
      <c r="BA54" s="62">
        <v>0</v>
      </c>
      <c r="BB54" s="62">
        <v>0</v>
      </c>
      <c r="BC54" s="62">
        <f>137340+129070</f>
        <v>266410</v>
      </c>
      <c r="BD54" s="62">
        <v>0</v>
      </c>
      <c r="BE54" s="62">
        <v>0</v>
      </c>
      <c r="BF54" s="62">
        <v>0</v>
      </c>
      <c r="BG54" s="62">
        <v>0</v>
      </c>
      <c r="BH54" s="62">
        <v>0</v>
      </c>
      <c r="BI54" s="62">
        <v>0</v>
      </c>
      <c r="BJ54" s="62">
        <f>142270+133750</f>
        <v>276020</v>
      </c>
      <c r="BK54" s="190">
        <f t="shared" si="19"/>
        <v>542430</v>
      </c>
      <c r="BL54" s="197">
        <f t="shared" si="296"/>
        <v>7.7668613400685938E-3</v>
      </c>
      <c r="BM54" s="62">
        <v>0</v>
      </c>
      <c r="BN54" s="62">
        <v>0</v>
      </c>
      <c r="BO54" s="62">
        <v>0</v>
      </c>
      <c r="BP54" s="62">
        <v>0</v>
      </c>
      <c r="BQ54" s="62">
        <v>0</v>
      </c>
      <c r="BR54" s="62">
        <v>0</v>
      </c>
      <c r="BS54" s="62">
        <v>0</v>
      </c>
      <c r="BT54" s="62">
        <v>0</v>
      </c>
      <c r="BU54" s="62">
        <v>0</v>
      </c>
      <c r="BV54" s="62">
        <v>0</v>
      </c>
      <c r="BW54" s="62">
        <v>0</v>
      </c>
      <c r="BX54" s="62">
        <v>0</v>
      </c>
      <c r="BY54" s="190">
        <f t="shared" si="20"/>
        <v>0</v>
      </c>
      <c r="BZ54" s="197">
        <f t="shared" si="297"/>
        <v>0</v>
      </c>
      <c r="CA54" s="62">
        <v>0</v>
      </c>
      <c r="CB54" s="62">
        <v>0</v>
      </c>
      <c r="CC54" s="62">
        <v>0</v>
      </c>
      <c r="CD54" s="62">
        <v>0</v>
      </c>
      <c r="CE54" s="62">
        <v>0</v>
      </c>
      <c r="CF54" s="62">
        <v>0</v>
      </c>
      <c r="CG54" s="62">
        <v>0</v>
      </c>
      <c r="CH54" s="62">
        <v>0</v>
      </c>
      <c r="CI54" s="62">
        <v>0</v>
      </c>
      <c r="CJ54" s="62">
        <v>0</v>
      </c>
      <c r="CK54" s="62">
        <v>0</v>
      </c>
      <c r="CL54" s="62">
        <v>0</v>
      </c>
      <c r="CM54" s="190">
        <f t="shared" si="21"/>
        <v>0</v>
      </c>
      <c r="CN54" s="62">
        <v>0</v>
      </c>
      <c r="CO54" s="62">
        <v>0</v>
      </c>
      <c r="CP54" s="62">
        <v>0</v>
      </c>
      <c r="CQ54" s="62">
        <v>0</v>
      </c>
      <c r="CR54" s="62">
        <v>0</v>
      </c>
      <c r="CS54" s="62">
        <v>0</v>
      </c>
      <c r="CT54" s="62">
        <v>0</v>
      </c>
      <c r="CU54" s="62">
        <v>0</v>
      </c>
      <c r="CV54" s="62">
        <v>0</v>
      </c>
      <c r="CW54" s="62">
        <v>0</v>
      </c>
      <c r="CX54" s="62">
        <v>0</v>
      </c>
      <c r="CY54" s="62">
        <v>0</v>
      </c>
      <c r="CZ54" s="190">
        <f t="shared" si="22"/>
        <v>0</v>
      </c>
      <c r="DA54" s="62">
        <v>0</v>
      </c>
      <c r="DB54" s="62">
        <v>0</v>
      </c>
      <c r="DC54" s="62">
        <v>0</v>
      </c>
      <c r="DD54" s="62">
        <v>0</v>
      </c>
      <c r="DE54" s="62">
        <v>0</v>
      </c>
      <c r="DF54" s="62">
        <v>0</v>
      </c>
      <c r="DG54" s="62">
        <v>0</v>
      </c>
      <c r="DH54" s="62">
        <v>0</v>
      </c>
      <c r="DI54" s="62">
        <v>0</v>
      </c>
      <c r="DJ54" s="62">
        <v>0</v>
      </c>
      <c r="DK54" s="62">
        <v>0</v>
      </c>
      <c r="DL54" s="62">
        <v>0</v>
      </c>
      <c r="DM54" s="190">
        <f t="shared" si="23"/>
        <v>0</v>
      </c>
      <c r="DN54" s="62">
        <v>0</v>
      </c>
      <c r="DO54" s="62">
        <v>0</v>
      </c>
      <c r="DP54" s="62">
        <v>0</v>
      </c>
      <c r="DQ54" s="62">
        <v>0</v>
      </c>
      <c r="DR54" s="62">
        <v>0</v>
      </c>
      <c r="DS54" s="62">
        <v>0</v>
      </c>
      <c r="DT54" s="62">
        <v>0</v>
      </c>
      <c r="DU54" s="62">
        <v>0</v>
      </c>
      <c r="DV54" s="62">
        <v>0</v>
      </c>
      <c r="DW54" s="62">
        <v>0</v>
      </c>
      <c r="DX54" s="62">
        <v>0</v>
      </c>
      <c r="DY54" s="62">
        <v>0</v>
      </c>
      <c r="DZ54" s="190">
        <f t="shared" si="24"/>
        <v>0</v>
      </c>
    </row>
    <row r="55" spans="1:130" ht="20.45" customHeight="1" outlineLevel="2">
      <c r="A55" s="662"/>
      <c r="B55" s="636"/>
      <c r="C55" s="30" t="s">
        <v>303</v>
      </c>
      <c r="D55" s="62">
        <f t="shared" si="0"/>
        <v>3183998.9999999991</v>
      </c>
      <c r="E55" s="184">
        <f t="shared" si="179"/>
        <v>9.851303651979346E-3</v>
      </c>
      <c r="F55" s="62">
        <v>0</v>
      </c>
      <c r="G55" s="190">
        <f t="shared" si="36"/>
        <v>0</v>
      </c>
      <c r="H55" s="197">
        <f t="shared" si="292"/>
        <v>0</v>
      </c>
      <c r="I55" s="62">
        <v>0</v>
      </c>
      <c r="J55" s="62">
        <v>0</v>
      </c>
      <c r="K55" s="62">
        <v>0</v>
      </c>
      <c r="L55" s="62">
        <v>0</v>
      </c>
      <c r="M55" s="62">
        <v>0</v>
      </c>
      <c r="N55" s="62">
        <v>0</v>
      </c>
      <c r="O55" s="62">
        <v>0</v>
      </c>
      <c r="P55" s="62">
        <v>0</v>
      </c>
      <c r="Q55" s="62">
        <v>0</v>
      </c>
      <c r="R55" s="62">
        <v>0</v>
      </c>
      <c r="S55" s="62">
        <v>0</v>
      </c>
      <c r="T55" s="62">
        <v>3584409</v>
      </c>
      <c r="U55" s="190">
        <f t="shared" si="16"/>
        <v>3584409</v>
      </c>
      <c r="V55" s="197">
        <f t="shared" si="293"/>
        <v>6.4607231323390302E-2</v>
      </c>
      <c r="W55" s="62">
        <v>0</v>
      </c>
      <c r="X55" s="62">
        <v>0</v>
      </c>
      <c r="Y55" s="62">
        <v>0</v>
      </c>
      <c r="Z55" s="62">
        <v>0</v>
      </c>
      <c r="AA55" s="62">
        <v>-400410</v>
      </c>
      <c r="AB55" s="62">
        <v>0</v>
      </c>
      <c r="AC55" s="62">
        <v>0</v>
      </c>
      <c r="AD55" s="62">
        <v>0</v>
      </c>
      <c r="AE55" s="62">
        <v>0</v>
      </c>
      <c r="AF55" s="62">
        <v>0</v>
      </c>
      <c r="AG55" s="62">
        <v>0</v>
      </c>
      <c r="AH55" s="62">
        <v>0</v>
      </c>
      <c r="AI55" s="190">
        <f t="shared" si="17"/>
        <v>-400410</v>
      </c>
      <c r="AJ55" s="197">
        <f t="shared" si="294"/>
        <v>-5.4419280187900029E-3</v>
      </c>
      <c r="AK55" s="62">
        <v>0</v>
      </c>
      <c r="AL55" s="62">
        <v>0</v>
      </c>
      <c r="AM55" s="62">
        <v>0</v>
      </c>
      <c r="AN55" s="62">
        <v>0</v>
      </c>
      <c r="AO55" s="62">
        <v>0</v>
      </c>
      <c r="AP55" s="62">
        <v>0</v>
      </c>
      <c r="AQ55" s="62">
        <v>0</v>
      </c>
      <c r="AR55" s="62">
        <v>0</v>
      </c>
      <c r="AS55" s="62">
        <v>0</v>
      </c>
      <c r="AT55" s="62">
        <v>0</v>
      </c>
      <c r="AU55" s="62">
        <v>0</v>
      </c>
      <c r="AV55" s="62">
        <v>0</v>
      </c>
      <c r="AW55" s="190">
        <f t="shared" si="18"/>
        <v>0</v>
      </c>
      <c r="AX55" s="197">
        <f t="shared" si="295"/>
        <v>0</v>
      </c>
      <c r="AY55" s="62">
        <v>0</v>
      </c>
      <c r="AZ55" s="62">
        <v>0</v>
      </c>
      <c r="BA55" s="62">
        <v>0</v>
      </c>
      <c r="BB55" s="62">
        <v>0</v>
      </c>
      <c r="BC55" s="62">
        <v>0</v>
      </c>
      <c r="BD55" s="62">
        <v>0</v>
      </c>
      <c r="BE55" s="62">
        <v>0</v>
      </c>
      <c r="BF55" s="62">
        <v>0</v>
      </c>
      <c r="BG55" s="62">
        <v>0</v>
      </c>
      <c r="BH55" s="62">
        <v>0</v>
      </c>
      <c r="BI55" s="62">
        <v>0</v>
      </c>
      <c r="BJ55" s="62">
        <v>0</v>
      </c>
      <c r="BK55" s="190">
        <f t="shared" si="19"/>
        <v>0</v>
      </c>
      <c r="BL55" s="197">
        <f t="shared" si="296"/>
        <v>0</v>
      </c>
      <c r="BM55" s="62">
        <v>0</v>
      </c>
      <c r="BN55" s="62">
        <v>0</v>
      </c>
      <c r="BO55" s="62">
        <v>0</v>
      </c>
      <c r="BP55" s="62">
        <v>0</v>
      </c>
      <c r="BQ55" s="62">
        <v>0</v>
      </c>
      <c r="BR55" s="62">
        <v>0</v>
      </c>
      <c r="BS55" s="62">
        <v>0</v>
      </c>
      <c r="BT55" s="62">
        <v>0</v>
      </c>
      <c r="BU55" s="62">
        <v>0</v>
      </c>
      <c r="BV55" s="62">
        <v>0</v>
      </c>
      <c r="BW55" s="62">
        <v>0</v>
      </c>
      <c r="BX55" s="62">
        <v>0</v>
      </c>
      <c r="BY55" s="190">
        <f t="shared" si="20"/>
        <v>0</v>
      </c>
      <c r="BZ55" s="197">
        <f t="shared" si="297"/>
        <v>0</v>
      </c>
      <c r="CA55" s="62">
        <v>0</v>
      </c>
      <c r="CB55" s="62">
        <v>0</v>
      </c>
      <c r="CC55" s="62">
        <v>0</v>
      </c>
      <c r="CD55" s="62">
        <v>0</v>
      </c>
      <c r="CE55" s="62">
        <v>0</v>
      </c>
      <c r="CF55" s="62">
        <v>0</v>
      </c>
      <c r="CG55" s="62">
        <v>0</v>
      </c>
      <c r="CH55" s="62">
        <v>0</v>
      </c>
      <c r="CI55" s="62">
        <v>0</v>
      </c>
      <c r="CJ55" s="62">
        <v>0</v>
      </c>
      <c r="CK55" s="62">
        <v>0</v>
      </c>
      <c r="CL55" s="62">
        <v>0</v>
      </c>
      <c r="CM55" s="190">
        <f t="shared" si="21"/>
        <v>0</v>
      </c>
      <c r="CN55" s="62">
        <v>0</v>
      </c>
      <c r="CO55" s="62">
        <v>0</v>
      </c>
      <c r="CP55" s="62">
        <v>0</v>
      </c>
      <c r="CQ55" s="62">
        <v>0</v>
      </c>
      <c r="CR55" s="62">
        <v>0</v>
      </c>
      <c r="CS55" s="62">
        <v>0</v>
      </c>
      <c r="CT55" s="62">
        <v>0</v>
      </c>
      <c r="CU55" s="62">
        <v>0</v>
      </c>
      <c r="CV55" s="62">
        <v>0</v>
      </c>
      <c r="CW55" s="62">
        <v>0</v>
      </c>
      <c r="CX55" s="62">
        <v>0</v>
      </c>
      <c r="CY55" s="62">
        <v>0</v>
      </c>
      <c r="CZ55" s="190">
        <f t="shared" si="22"/>
        <v>0</v>
      </c>
      <c r="DA55" s="62">
        <v>0</v>
      </c>
      <c r="DB55" s="62">
        <v>0</v>
      </c>
      <c r="DC55" s="62">
        <v>0</v>
      </c>
      <c r="DD55" s="62">
        <v>0</v>
      </c>
      <c r="DE55" s="62">
        <v>0</v>
      </c>
      <c r="DF55" s="62">
        <v>0</v>
      </c>
      <c r="DG55" s="62">
        <v>0</v>
      </c>
      <c r="DH55" s="62">
        <v>0</v>
      </c>
      <c r="DI55" s="62">
        <v>0</v>
      </c>
      <c r="DJ55" s="62">
        <v>0</v>
      </c>
      <c r="DK55" s="62">
        <v>0</v>
      </c>
      <c r="DL55" s="62">
        <v>0</v>
      </c>
      <c r="DM55" s="190">
        <f t="shared" si="23"/>
        <v>0</v>
      </c>
      <c r="DN55" s="62">
        <v>0</v>
      </c>
      <c r="DO55" s="62">
        <v>0</v>
      </c>
      <c r="DP55" s="62">
        <v>0</v>
      </c>
      <c r="DQ55" s="62">
        <v>0</v>
      </c>
      <c r="DR55" s="62">
        <v>0</v>
      </c>
      <c r="DS55" s="62">
        <v>0</v>
      </c>
      <c r="DT55" s="62">
        <v>0</v>
      </c>
      <c r="DU55" s="62">
        <v>0</v>
      </c>
      <c r="DV55" s="62">
        <v>0</v>
      </c>
      <c r="DW55" s="62">
        <v>0</v>
      </c>
      <c r="DX55" s="62">
        <v>0</v>
      </c>
      <c r="DY55" s="62">
        <v>0</v>
      </c>
      <c r="DZ55" s="190">
        <f t="shared" si="24"/>
        <v>0</v>
      </c>
    </row>
    <row r="56" spans="1:130" ht="20.45" customHeight="1" outlineLevel="2">
      <c r="A56" s="662"/>
      <c r="B56" s="637"/>
      <c r="C56" s="30" t="s">
        <v>326</v>
      </c>
      <c r="D56" s="62">
        <f t="shared" si="0"/>
        <v>288000</v>
      </c>
      <c r="E56" s="184">
        <f t="shared" si="179"/>
        <v>8.9107297199843738E-4</v>
      </c>
      <c r="F56" s="62">
        <v>0</v>
      </c>
      <c r="G56" s="190">
        <f t="shared" si="36"/>
        <v>0</v>
      </c>
      <c r="H56" s="197">
        <f t="shared" si="292"/>
        <v>0</v>
      </c>
      <c r="I56" s="62">
        <v>0</v>
      </c>
      <c r="J56" s="62">
        <v>0</v>
      </c>
      <c r="K56" s="62">
        <v>0</v>
      </c>
      <c r="L56" s="62">
        <v>0</v>
      </c>
      <c r="M56" s="62">
        <v>40000</v>
      </c>
      <c r="N56" s="62">
        <v>0</v>
      </c>
      <c r="O56" s="62">
        <v>32000</v>
      </c>
      <c r="P56" s="62">
        <v>0</v>
      </c>
      <c r="Q56" s="62">
        <v>0</v>
      </c>
      <c r="R56" s="62">
        <v>0</v>
      </c>
      <c r="S56" s="62">
        <v>0</v>
      </c>
      <c r="T56" s="62">
        <v>0</v>
      </c>
      <c r="U56" s="190">
        <f t="shared" si="16"/>
        <v>72000</v>
      </c>
      <c r="V56" s="197">
        <f t="shared" si="293"/>
        <v>1.29776503052082E-3</v>
      </c>
      <c r="W56" s="62">
        <v>0</v>
      </c>
      <c r="X56" s="62">
        <v>0</v>
      </c>
      <c r="Y56" s="62">
        <v>0</v>
      </c>
      <c r="Z56" s="62">
        <v>0</v>
      </c>
      <c r="AA56" s="62">
        <v>0</v>
      </c>
      <c r="AB56" s="62">
        <v>0</v>
      </c>
      <c r="AC56" s="62">
        <v>0</v>
      </c>
      <c r="AD56" s="62">
        <v>0</v>
      </c>
      <c r="AE56" s="62">
        <v>0</v>
      </c>
      <c r="AF56" s="62">
        <v>0</v>
      </c>
      <c r="AG56" s="62">
        <v>0</v>
      </c>
      <c r="AH56" s="62">
        <v>0</v>
      </c>
      <c r="AI56" s="190">
        <f t="shared" si="17"/>
        <v>0</v>
      </c>
      <c r="AJ56" s="197">
        <f t="shared" si="294"/>
        <v>0</v>
      </c>
      <c r="AK56" s="62">
        <v>0</v>
      </c>
      <c r="AL56" s="62">
        <v>0</v>
      </c>
      <c r="AM56" s="62">
        <v>0</v>
      </c>
      <c r="AN56" s="62">
        <v>0</v>
      </c>
      <c r="AO56" s="62">
        <v>0</v>
      </c>
      <c r="AP56" s="62">
        <v>0</v>
      </c>
      <c r="AQ56" s="62">
        <v>0</v>
      </c>
      <c r="AR56" s="62">
        <v>0</v>
      </c>
      <c r="AS56" s="62">
        <v>0</v>
      </c>
      <c r="AT56" s="62">
        <v>0</v>
      </c>
      <c r="AU56" s="62">
        <v>0</v>
      </c>
      <c r="AV56" s="62">
        <f>32000</f>
        <v>32000</v>
      </c>
      <c r="AW56" s="190">
        <f t="shared" si="18"/>
        <v>32000</v>
      </c>
      <c r="AX56" s="197">
        <f t="shared" si="295"/>
        <v>4.1946673272918154E-4</v>
      </c>
      <c r="AY56" s="62">
        <v>0</v>
      </c>
      <c r="AZ56" s="62">
        <v>0</v>
      </c>
      <c r="BA56" s="62">
        <v>120000</v>
      </c>
      <c r="BB56" s="62">
        <v>0</v>
      </c>
      <c r="BC56" s="62">
        <f>32000</f>
        <v>32000</v>
      </c>
      <c r="BD56" s="62">
        <v>0</v>
      </c>
      <c r="BE56" s="62">
        <v>0</v>
      </c>
      <c r="BF56" s="62">
        <v>32000</v>
      </c>
      <c r="BG56" s="62">
        <v>0</v>
      </c>
      <c r="BH56" s="62">
        <v>0</v>
      </c>
      <c r="BI56" s="62">
        <v>0</v>
      </c>
      <c r="BJ56" s="62">
        <v>0</v>
      </c>
      <c r="BK56" s="190">
        <f t="shared" si="19"/>
        <v>184000</v>
      </c>
      <c r="BL56" s="197">
        <f t="shared" si="296"/>
        <v>2.6346302501200547E-3</v>
      </c>
      <c r="BM56" s="62">
        <v>0</v>
      </c>
      <c r="BN56" s="62">
        <v>0</v>
      </c>
      <c r="BO56" s="62">
        <v>0</v>
      </c>
      <c r="BP56" s="62">
        <v>0</v>
      </c>
      <c r="BQ56" s="62">
        <v>0</v>
      </c>
      <c r="BR56" s="62">
        <v>0</v>
      </c>
      <c r="BS56" s="62">
        <v>0</v>
      </c>
      <c r="BT56" s="62">
        <v>0</v>
      </c>
      <c r="BU56" s="62">
        <v>0</v>
      </c>
      <c r="BV56" s="62">
        <v>0</v>
      </c>
      <c r="BW56" s="62">
        <v>0</v>
      </c>
      <c r="BX56" s="62">
        <v>0</v>
      </c>
      <c r="BY56" s="190">
        <f t="shared" si="20"/>
        <v>0</v>
      </c>
      <c r="BZ56" s="197">
        <f t="shared" si="297"/>
        <v>0</v>
      </c>
      <c r="CA56" s="62">
        <v>0</v>
      </c>
      <c r="CB56" s="62">
        <v>0</v>
      </c>
      <c r="CC56" s="62">
        <v>0</v>
      </c>
      <c r="CD56" s="62">
        <v>0</v>
      </c>
      <c r="CE56" s="62">
        <v>0</v>
      </c>
      <c r="CF56" s="62">
        <v>0</v>
      </c>
      <c r="CG56" s="62">
        <v>0</v>
      </c>
      <c r="CH56" s="62">
        <v>0</v>
      </c>
      <c r="CI56" s="62">
        <v>0</v>
      </c>
      <c r="CJ56" s="62">
        <v>0</v>
      </c>
      <c r="CK56" s="62">
        <v>0</v>
      </c>
      <c r="CL56" s="62">
        <v>0</v>
      </c>
      <c r="CM56" s="190">
        <f t="shared" si="21"/>
        <v>0</v>
      </c>
      <c r="CN56" s="62">
        <v>0</v>
      </c>
      <c r="CO56" s="62">
        <v>0</v>
      </c>
      <c r="CP56" s="62">
        <v>0</v>
      </c>
      <c r="CQ56" s="62">
        <v>0</v>
      </c>
      <c r="CR56" s="62">
        <v>0</v>
      </c>
      <c r="CS56" s="62">
        <v>0</v>
      </c>
      <c r="CT56" s="62">
        <v>0</v>
      </c>
      <c r="CU56" s="62">
        <v>0</v>
      </c>
      <c r="CV56" s="62">
        <v>0</v>
      </c>
      <c r="CW56" s="62">
        <v>0</v>
      </c>
      <c r="CX56" s="62">
        <v>0</v>
      </c>
      <c r="CY56" s="62">
        <v>0</v>
      </c>
      <c r="CZ56" s="190">
        <f t="shared" si="22"/>
        <v>0</v>
      </c>
      <c r="DA56" s="62">
        <v>0</v>
      </c>
      <c r="DB56" s="62">
        <v>0</v>
      </c>
      <c r="DC56" s="62">
        <v>0</v>
      </c>
      <c r="DD56" s="62">
        <v>0</v>
      </c>
      <c r="DE56" s="62">
        <v>0</v>
      </c>
      <c r="DF56" s="62">
        <v>0</v>
      </c>
      <c r="DG56" s="62">
        <v>0</v>
      </c>
      <c r="DH56" s="62">
        <v>0</v>
      </c>
      <c r="DI56" s="62">
        <v>0</v>
      </c>
      <c r="DJ56" s="62">
        <v>0</v>
      </c>
      <c r="DK56" s="62">
        <v>0</v>
      </c>
      <c r="DL56" s="62">
        <v>0</v>
      </c>
      <c r="DM56" s="190">
        <f t="shared" si="23"/>
        <v>0</v>
      </c>
      <c r="DN56" s="62">
        <v>0</v>
      </c>
      <c r="DO56" s="62">
        <v>0</v>
      </c>
      <c r="DP56" s="62">
        <v>0</v>
      </c>
      <c r="DQ56" s="62">
        <v>0</v>
      </c>
      <c r="DR56" s="62">
        <v>0</v>
      </c>
      <c r="DS56" s="62">
        <v>0</v>
      </c>
      <c r="DT56" s="62">
        <v>0</v>
      </c>
      <c r="DU56" s="62">
        <v>0</v>
      </c>
      <c r="DV56" s="62">
        <v>0</v>
      </c>
      <c r="DW56" s="62">
        <v>0</v>
      </c>
      <c r="DX56" s="62">
        <v>0</v>
      </c>
      <c r="DY56" s="62">
        <v>0</v>
      </c>
      <c r="DZ56" s="190">
        <f t="shared" si="24"/>
        <v>0</v>
      </c>
    </row>
    <row r="57" spans="1:130" s="194" customFormat="1" ht="20.45" customHeight="1" outlineLevel="1">
      <c r="A57" s="662"/>
      <c r="B57" s="645" t="s">
        <v>327</v>
      </c>
      <c r="C57" s="65" t="s">
        <v>307</v>
      </c>
      <c r="D57" s="66">
        <f t="shared" si="0"/>
        <v>14161945.000000004</v>
      </c>
      <c r="E57" s="187">
        <f>SUM(E58:E62)</f>
        <v>4.3817105626487531E-2</v>
      </c>
      <c r="F57" s="62">
        <f t="shared" ref="F57:DX57" si="307">SUM(F58:F62)</f>
        <v>325520</v>
      </c>
      <c r="G57" s="190">
        <f t="shared" si="36"/>
        <v>325520</v>
      </c>
      <c r="H57" s="196">
        <f>SUM(H58:H62)</f>
        <v>7.4355199576052924E-2</v>
      </c>
      <c r="I57" s="62">
        <f t="shared" si="307"/>
        <v>333600</v>
      </c>
      <c r="J57" s="62">
        <f t="shared" si="307"/>
        <v>251400</v>
      </c>
      <c r="K57" s="62">
        <f t="shared" si="307"/>
        <v>219300</v>
      </c>
      <c r="L57" s="62">
        <f t="shared" si="307"/>
        <v>401900</v>
      </c>
      <c r="M57" s="62">
        <f t="shared" si="307"/>
        <v>378300</v>
      </c>
      <c r="N57" s="62">
        <f t="shared" si="307"/>
        <v>553500</v>
      </c>
      <c r="O57" s="62">
        <f t="shared" si="307"/>
        <v>321900</v>
      </c>
      <c r="P57" s="62">
        <f t="shared" si="307"/>
        <v>397000</v>
      </c>
      <c r="Q57" s="62">
        <f t="shared" si="307"/>
        <v>349400</v>
      </c>
      <c r="R57" s="62">
        <f t="shared" si="307"/>
        <v>251100</v>
      </c>
      <c r="S57" s="62">
        <f t="shared" si="307"/>
        <v>408100</v>
      </c>
      <c r="T57" s="62">
        <f t="shared" si="307"/>
        <v>1502700</v>
      </c>
      <c r="U57" s="190">
        <f t="shared" si="16"/>
        <v>5368200</v>
      </c>
      <c r="V57" s="196">
        <f>SUM(V58:V62)</f>
        <v>9.6759197733914795E-2</v>
      </c>
      <c r="W57" s="62">
        <f t="shared" si="307"/>
        <v>441000</v>
      </c>
      <c r="X57" s="62">
        <f t="shared" si="307"/>
        <v>8700</v>
      </c>
      <c r="Y57" s="62">
        <f t="shared" si="307"/>
        <v>949250</v>
      </c>
      <c r="Z57" s="62">
        <f t="shared" si="307"/>
        <v>349500</v>
      </c>
      <c r="AA57" s="62">
        <f t="shared" si="307"/>
        <v>276800</v>
      </c>
      <c r="AB57" s="62">
        <f t="shared" si="307"/>
        <v>106500</v>
      </c>
      <c r="AC57" s="62">
        <f t="shared" ref="AC57:AF57" si="308">SUM(AC58:AC62)</f>
        <v>879500</v>
      </c>
      <c r="AD57" s="62">
        <f t="shared" si="308"/>
        <v>132800</v>
      </c>
      <c r="AE57" s="62">
        <f t="shared" si="308"/>
        <v>908800</v>
      </c>
      <c r="AF57" s="62">
        <f t="shared" si="308"/>
        <v>-401000</v>
      </c>
      <c r="AG57" s="62">
        <f t="shared" si="307"/>
        <v>204100</v>
      </c>
      <c r="AH57" s="62">
        <f t="shared" si="307"/>
        <v>215500</v>
      </c>
      <c r="AI57" s="190">
        <f t="shared" si="17"/>
        <v>4071450</v>
      </c>
      <c r="AJ57" s="196">
        <f>SUM(AJ58:AJ62)</f>
        <v>5.5334626588003685E-2</v>
      </c>
      <c r="AK57" s="62">
        <f t="shared" ref="AK57:AV57" si="309">SUM(AK58:AK62)</f>
        <v>159400</v>
      </c>
      <c r="AL57" s="62">
        <f t="shared" si="309"/>
        <v>649955</v>
      </c>
      <c r="AM57" s="62">
        <f t="shared" si="309"/>
        <v>-291900</v>
      </c>
      <c r="AN57" s="62">
        <f t="shared" si="309"/>
        <v>139800</v>
      </c>
      <c r="AO57" s="62">
        <f t="shared" si="309"/>
        <v>297800</v>
      </c>
      <c r="AP57" s="62">
        <f t="shared" si="309"/>
        <v>13400</v>
      </c>
      <c r="AQ57" s="62">
        <f t="shared" si="309"/>
        <v>175200</v>
      </c>
      <c r="AR57" s="62">
        <f t="shared" si="309"/>
        <v>129200</v>
      </c>
      <c r="AS57" s="62">
        <f t="shared" si="309"/>
        <v>99900</v>
      </c>
      <c r="AT57" s="62">
        <f t="shared" si="309"/>
        <v>147550</v>
      </c>
      <c r="AU57" s="62">
        <f t="shared" si="309"/>
        <v>119900</v>
      </c>
      <c r="AV57" s="62">
        <f t="shared" si="309"/>
        <v>114500</v>
      </c>
      <c r="AW57" s="190">
        <f t="shared" si="18"/>
        <v>1754705</v>
      </c>
      <c r="AX57" s="196">
        <f>SUM(AX58:AX62)</f>
        <v>2.3001261664173701E-2</v>
      </c>
      <c r="AY57" s="62">
        <f t="shared" ref="AY57:BJ57" si="310">SUM(AY58:AY62)</f>
        <v>144900</v>
      </c>
      <c r="AZ57" s="62">
        <f t="shared" si="310"/>
        <v>594180</v>
      </c>
      <c r="BA57" s="62">
        <f t="shared" si="310"/>
        <v>100000</v>
      </c>
      <c r="BB57" s="62">
        <f t="shared" si="310"/>
        <v>110800</v>
      </c>
      <c r="BC57" s="62">
        <f t="shared" si="310"/>
        <v>122000</v>
      </c>
      <c r="BD57" s="62">
        <f t="shared" si="310"/>
        <v>89200</v>
      </c>
      <c r="BE57" s="62">
        <f t="shared" si="310"/>
        <v>151400</v>
      </c>
      <c r="BF57" s="62">
        <f t="shared" si="310"/>
        <v>124400</v>
      </c>
      <c r="BG57" s="62">
        <f t="shared" si="310"/>
        <v>98920</v>
      </c>
      <c r="BH57" s="62">
        <f t="shared" si="310"/>
        <v>132920</v>
      </c>
      <c r="BI57" s="62">
        <f t="shared" si="310"/>
        <v>81100</v>
      </c>
      <c r="BJ57" s="62">
        <f t="shared" si="310"/>
        <v>137600</v>
      </c>
      <c r="BK57" s="190">
        <f t="shared" si="19"/>
        <v>1887420</v>
      </c>
      <c r="BL57" s="196">
        <f>SUM(BL58:BL62)</f>
        <v>2.7025292536313007E-2</v>
      </c>
      <c r="BM57" s="62">
        <f t="shared" ref="BM57:BX57" si="311">SUM(BM58:BM62)</f>
        <v>83700</v>
      </c>
      <c r="BN57" s="62">
        <f t="shared" si="311"/>
        <v>397700</v>
      </c>
      <c r="BO57" s="62">
        <f t="shared" si="311"/>
        <v>106800</v>
      </c>
      <c r="BP57" s="62">
        <f t="shared" si="311"/>
        <v>161400</v>
      </c>
      <c r="BQ57" s="62">
        <f t="shared" si="311"/>
        <v>5050</v>
      </c>
      <c r="BR57" s="62">
        <f t="shared" si="311"/>
        <v>0</v>
      </c>
      <c r="BS57" s="62">
        <f t="shared" si="311"/>
        <v>0</v>
      </c>
      <c r="BT57" s="62">
        <f t="shared" si="311"/>
        <v>0</v>
      </c>
      <c r="BU57" s="62">
        <f t="shared" si="311"/>
        <v>0</v>
      </c>
      <c r="BV57" s="62">
        <f t="shared" si="311"/>
        <v>0</v>
      </c>
      <c r="BW57" s="62">
        <f t="shared" si="311"/>
        <v>0</v>
      </c>
      <c r="BX57" s="62">
        <f t="shared" si="311"/>
        <v>0</v>
      </c>
      <c r="BY57" s="190">
        <f t="shared" si="20"/>
        <v>754650</v>
      </c>
      <c r="BZ57" s="196">
        <f>SUM(BZ58:BZ62)</f>
        <v>1.7291476343569364E-2</v>
      </c>
      <c r="CA57" s="62">
        <f t="shared" ref="CA57:CL57" si="312">SUM(CA58:CA62)</f>
        <v>0</v>
      </c>
      <c r="CB57" s="62">
        <f t="shared" si="312"/>
        <v>0</v>
      </c>
      <c r="CC57" s="62">
        <f t="shared" si="312"/>
        <v>0</v>
      </c>
      <c r="CD57" s="62">
        <f t="shared" si="312"/>
        <v>0</v>
      </c>
      <c r="CE57" s="62">
        <f t="shared" si="312"/>
        <v>0</v>
      </c>
      <c r="CF57" s="62">
        <f t="shared" si="312"/>
        <v>0</v>
      </c>
      <c r="CG57" s="62">
        <f t="shared" si="312"/>
        <v>0</v>
      </c>
      <c r="CH57" s="62">
        <f t="shared" si="312"/>
        <v>0</v>
      </c>
      <c r="CI57" s="62">
        <f t="shared" si="312"/>
        <v>0</v>
      </c>
      <c r="CJ57" s="62">
        <f t="shared" si="312"/>
        <v>0</v>
      </c>
      <c r="CK57" s="62">
        <f t="shared" si="312"/>
        <v>0</v>
      </c>
      <c r="CL57" s="62">
        <f t="shared" si="312"/>
        <v>0</v>
      </c>
      <c r="CM57" s="190">
        <f t="shared" si="21"/>
        <v>0</v>
      </c>
      <c r="CN57" s="62">
        <f t="shared" ref="CN57:CY57" si="313">SUM(CN58:CN62)</f>
        <v>0</v>
      </c>
      <c r="CO57" s="62">
        <f t="shared" si="313"/>
        <v>0</v>
      </c>
      <c r="CP57" s="62">
        <f t="shared" si="313"/>
        <v>0</v>
      </c>
      <c r="CQ57" s="62">
        <f t="shared" si="313"/>
        <v>0</v>
      </c>
      <c r="CR57" s="62">
        <f t="shared" si="313"/>
        <v>0</v>
      </c>
      <c r="CS57" s="62">
        <f t="shared" si="313"/>
        <v>0</v>
      </c>
      <c r="CT57" s="62">
        <f t="shared" si="313"/>
        <v>0</v>
      </c>
      <c r="CU57" s="62">
        <f t="shared" si="313"/>
        <v>0</v>
      </c>
      <c r="CV57" s="62">
        <f t="shared" si="313"/>
        <v>0</v>
      </c>
      <c r="CW57" s="62">
        <f t="shared" si="313"/>
        <v>0</v>
      </c>
      <c r="CX57" s="62">
        <f t="shared" si="313"/>
        <v>0</v>
      </c>
      <c r="CY57" s="62">
        <f t="shared" si="313"/>
        <v>0</v>
      </c>
      <c r="CZ57" s="190">
        <f t="shared" si="22"/>
        <v>0</v>
      </c>
      <c r="DA57" s="62">
        <f t="shared" ref="DA57:DL57" si="314">SUM(DA58:DA62)</f>
        <v>0</v>
      </c>
      <c r="DB57" s="62">
        <f t="shared" si="314"/>
        <v>0</v>
      </c>
      <c r="DC57" s="62">
        <f t="shared" si="314"/>
        <v>0</v>
      </c>
      <c r="DD57" s="62">
        <f t="shared" si="314"/>
        <v>0</v>
      </c>
      <c r="DE57" s="62">
        <f t="shared" si="314"/>
        <v>0</v>
      </c>
      <c r="DF57" s="62">
        <f t="shared" si="314"/>
        <v>0</v>
      </c>
      <c r="DG57" s="62">
        <f t="shared" si="314"/>
        <v>0</v>
      </c>
      <c r="DH57" s="62">
        <f t="shared" si="314"/>
        <v>0</v>
      </c>
      <c r="DI57" s="62">
        <f t="shared" si="314"/>
        <v>0</v>
      </c>
      <c r="DJ57" s="62">
        <f t="shared" si="314"/>
        <v>0</v>
      </c>
      <c r="DK57" s="62">
        <f t="shared" si="314"/>
        <v>0</v>
      </c>
      <c r="DL57" s="62">
        <f t="shared" si="314"/>
        <v>0</v>
      </c>
      <c r="DM57" s="190">
        <f t="shared" si="23"/>
        <v>0</v>
      </c>
      <c r="DN57" s="62">
        <f t="shared" ref="DN57:DQ57" si="315">SUM(DN58:DN62)</f>
        <v>0</v>
      </c>
      <c r="DO57" s="62">
        <f t="shared" si="315"/>
        <v>0</v>
      </c>
      <c r="DP57" s="62">
        <f t="shared" si="315"/>
        <v>0</v>
      </c>
      <c r="DQ57" s="62">
        <f t="shared" si="315"/>
        <v>0</v>
      </c>
      <c r="DR57" s="62">
        <f t="shared" ref="DR57:DU57" si="316">SUM(DR58:DR62)</f>
        <v>0</v>
      </c>
      <c r="DS57" s="62">
        <f t="shared" si="316"/>
        <v>0</v>
      </c>
      <c r="DT57" s="62">
        <f t="shared" si="316"/>
        <v>0</v>
      </c>
      <c r="DU57" s="62">
        <f t="shared" si="316"/>
        <v>0</v>
      </c>
      <c r="DV57" s="62">
        <f t="shared" ref="DV57:DW57" si="317">SUM(DV58:DV62)</f>
        <v>0</v>
      </c>
      <c r="DW57" s="62">
        <f t="shared" si="317"/>
        <v>0</v>
      </c>
      <c r="DX57" s="62">
        <f t="shared" si="307"/>
        <v>0</v>
      </c>
      <c r="DY57" s="62">
        <f t="shared" ref="DY57" si="318">SUM(DY58:DY62)</f>
        <v>0</v>
      </c>
      <c r="DZ57" s="190">
        <f t="shared" si="24"/>
        <v>0</v>
      </c>
    </row>
    <row r="58" spans="1:130" ht="20.45" customHeight="1" outlineLevel="2">
      <c r="A58" s="662"/>
      <c r="B58" s="653"/>
      <c r="C58" s="30" t="s">
        <v>328</v>
      </c>
      <c r="D58" s="62">
        <f t="shared" si="0"/>
        <v>10108265</v>
      </c>
      <c r="E58" s="184">
        <f t="shared" si="179"/>
        <v>3.127500602533953E-2</v>
      </c>
      <c r="F58" s="62">
        <v>325520</v>
      </c>
      <c r="G58" s="190">
        <f t="shared" si="36"/>
        <v>325520</v>
      </c>
      <c r="H58" s="197">
        <f t="shared" ref="H58:H62" si="319">G58/(G$5+G$6+G$7+G$8+G$10+G$9)</f>
        <v>7.4355199576052924E-2</v>
      </c>
      <c r="I58" s="62">
        <v>273600</v>
      </c>
      <c r="J58" s="62">
        <v>251400</v>
      </c>
      <c r="K58" s="62">
        <v>219300</v>
      </c>
      <c r="L58" s="62">
        <v>327200</v>
      </c>
      <c r="M58" s="62">
        <v>324300</v>
      </c>
      <c r="N58" s="62">
        <v>373500</v>
      </c>
      <c r="O58" s="62">
        <v>321900</v>
      </c>
      <c r="P58" s="62">
        <v>397000</v>
      </c>
      <c r="Q58" s="62">
        <v>349400</v>
      </c>
      <c r="R58" s="62">
        <v>251100</v>
      </c>
      <c r="S58" s="62">
        <v>253100</v>
      </c>
      <c r="T58" s="62">
        <v>252700</v>
      </c>
      <c r="U58" s="190">
        <f t="shared" si="16"/>
        <v>3594500</v>
      </c>
      <c r="V58" s="197">
        <f t="shared" ref="V58:V62" si="320">U58/(U$5+U$6+U$7+U$8+U$10+U$9)</f>
        <v>6.4789116697320653E-2</v>
      </c>
      <c r="W58" s="62">
        <v>441000</v>
      </c>
      <c r="X58" s="62">
        <v>8700</v>
      </c>
      <c r="Y58" s="62">
        <v>149250</v>
      </c>
      <c r="Z58" s="62">
        <f>256000-31500</f>
        <v>224500</v>
      </c>
      <c r="AA58" s="62">
        <v>276800</v>
      </c>
      <c r="AB58" s="62">
        <f>11000+8500+70000+11000+6000</f>
        <v>106500</v>
      </c>
      <c r="AC58" s="62">
        <f>900+281000+50000+2000+6000+53600+50000+1000+2000+3000</f>
        <v>449500</v>
      </c>
      <c r="AD58" s="62">
        <f>13000+50000*2+2000+9200+6600+2000</f>
        <v>132800</v>
      </c>
      <c r="AE58" s="62">
        <f>150000+16700+50000+2600+4000+87000+18000+10000+7800</f>
        <v>346100</v>
      </c>
      <c r="AF58" s="62">
        <f>7200+50000+6400+14000+2100+50000</f>
        <v>129700</v>
      </c>
      <c r="AG58" s="62">
        <f>4900+50000+13500+1200+5000+50000+3600+13000+50000+6000+6000+900</f>
        <v>204100</v>
      </c>
      <c r="AH58" s="62">
        <f>3000+2000+12000+12600+3900+50000+50000+19000+50000+3000+5200+2000+2800</f>
        <v>215500</v>
      </c>
      <c r="AI58" s="190">
        <f t="shared" si="17"/>
        <v>2684450</v>
      </c>
      <c r="AJ58" s="197">
        <f t="shared" ref="AJ58:AJ62" si="321">AI58/(AI$5+AI$6+AI$7+AI$8+AI$10+AI$9)</f>
        <v>3.6484063010516279E-2</v>
      </c>
      <c r="AK58" s="62">
        <f>50000+1300+2600+50000+3700+50000+1800</f>
        <v>159400</v>
      </c>
      <c r="AL58" s="62">
        <f>6000+6000+19000+1800+3600+1500+49555+900+12000+6800+5000+1000+5200+5500+50000+3800</f>
        <v>177655</v>
      </c>
      <c r="AM58" s="62">
        <f>4500+30000+7800+3300+50000+3000+9700+9000+50000+500+3100+5000+4500</f>
        <v>180400</v>
      </c>
      <c r="AN58" s="62">
        <f>50000+9600+8900+10000+50000+8400+2900</f>
        <v>139800</v>
      </c>
      <c r="AO58" s="62">
        <f>50000+10000+3500+5000+2300+9000+50000</f>
        <v>129800</v>
      </c>
      <c r="AP58" s="62">
        <f>8400+5000</f>
        <v>13400</v>
      </c>
      <c r="AQ58" s="62">
        <f>2600+50000+5100+1100+3800+50000+3800+8800+50000</f>
        <v>175200</v>
      </c>
      <c r="AR58" s="62">
        <f>2000+3000+3000+50000+13000+4000+2000+2200+50000</f>
        <v>129200</v>
      </c>
      <c r="AS58" s="62">
        <f>4800+1100+50000+9200+8400+3100+12000+4100+7200</f>
        <v>99900</v>
      </c>
      <c r="AT58" s="62">
        <f>50000+3000+4250+7800+5000+50000+800+2700+3000+19000+2000</f>
        <v>147550</v>
      </c>
      <c r="AU58" s="62">
        <f>6900+50000+9000+4000+50000</f>
        <v>119900</v>
      </c>
      <c r="AV58" s="62">
        <f>5000+1000+50000+2000+6500+50000</f>
        <v>114500</v>
      </c>
      <c r="AW58" s="190">
        <f t="shared" si="18"/>
        <v>1586705</v>
      </c>
      <c r="AX58" s="197">
        <f t="shared" ref="AX58:AX62" si="322">AW58/(AW$5+AW$6+AW$7+AW$8+AW$10+AW$9)</f>
        <v>2.0799061317345498E-2</v>
      </c>
      <c r="AY58" s="62">
        <f>1200+1600+50000+1800+1600+19000+3200+57100+2200+7200</f>
        <v>144900</v>
      </c>
      <c r="AZ58" s="62">
        <f>50000+3000+1000+1000+5000+4000+20000+5500+6000+500+50000+13000+1000+7200</f>
        <v>167200</v>
      </c>
      <c r="BA58" s="62">
        <f>1300+72000+1600+1100</f>
        <v>76000</v>
      </c>
      <c r="BB58" s="62">
        <f>16000+1000+12000+5200+50000+4200+5500+1200+9000+5300+1400</f>
        <v>110800</v>
      </c>
      <c r="BC58" s="62">
        <f>800+50000+6600+1300+2200+1500+1200+1200+50000+1200+6000</f>
        <v>122000</v>
      </c>
      <c r="BD58" s="62">
        <f>10200+2000+5600+400+1100+4700+1000+1600+50000+1900+3200+5200+1100+1200</f>
        <v>89200</v>
      </c>
      <c r="BE58" s="62">
        <f>4000+50000+5100+2600+13500+1100+50000+2400+1200+3800+16700+1000</f>
        <v>151400</v>
      </c>
      <c r="BF58" s="62">
        <f>1300+7600+50000+5400+6900+3200+50000</f>
        <v>124400</v>
      </c>
      <c r="BG58" s="62">
        <f>6500+4000+1000+2800+3000+3000+50000+12000+3000+1000+12620</f>
        <v>98920</v>
      </c>
      <c r="BH58" s="62">
        <f>7020+50000+1700+1300+3900+6000+50000+13000</f>
        <v>132920</v>
      </c>
      <c r="BI58" s="62">
        <f>9000+19000+50000+3100</f>
        <v>81100</v>
      </c>
      <c r="BJ58" s="62">
        <f>900+4700+3900+50000+19000+5000+1100+3000+50000</f>
        <v>137600</v>
      </c>
      <c r="BK58" s="190">
        <f t="shared" si="19"/>
        <v>1436440</v>
      </c>
      <c r="BL58" s="197">
        <f t="shared" ref="BL58:BL62" si="323">BK58/(BK$5+BK$6+BK$7+BK$8+BK$10+BK$9)</f>
        <v>2.0567871067839409E-2</v>
      </c>
      <c r="BM58" s="62">
        <f>9000+50000+3000+21200+500</f>
        <v>83700</v>
      </c>
      <c r="BN58" s="62">
        <f>5400+50000+1000+1900+1800+50000+13600</f>
        <v>123700</v>
      </c>
      <c r="BO58" s="62">
        <f>11000+81000+4800+4000+6000</f>
        <v>106800</v>
      </c>
      <c r="BP58" s="62">
        <f>3600+34000+90000+3300+8000+21000+1500</f>
        <v>161400</v>
      </c>
      <c r="BQ58" s="62">
        <f>3750+1300</f>
        <v>5050</v>
      </c>
      <c r="BR58" s="62">
        <v>0</v>
      </c>
      <c r="BS58" s="62">
        <v>0</v>
      </c>
      <c r="BT58" s="62">
        <v>0</v>
      </c>
      <c r="BU58" s="62">
        <v>0</v>
      </c>
      <c r="BV58" s="62">
        <v>0</v>
      </c>
      <c r="BW58" s="62">
        <v>0</v>
      </c>
      <c r="BX58" s="62">
        <v>0</v>
      </c>
      <c r="BY58" s="190">
        <f t="shared" si="20"/>
        <v>480650</v>
      </c>
      <c r="BZ58" s="197">
        <f t="shared" ref="BZ58:BZ62" si="324">BY58/(BY$5+BY$6+BY$7+BY$8+BY$10+BY$9)</f>
        <v>1.1013248664329974E-2</v>
      </c>
      <c r="CA58" s="62">
        <v>0</v>
      </c>
      <c r="CB58" s="62">
        <v>0</v>
      </c>
      <c r="CC58" s="62">
        <v>0</v>
      </c>
      <c r="CD58" s="62">
        <v>0</v>
      </c>
      <c r="CE58" s="62">
        <v>0</v>
      </c>
      <c r="CF58" s="62">
        <v>0</v>
      </c>
      <c r="CG58" s="62">
        <v>0</v>
      </c>
      <c r="CH58" s="62">
        <v>0</v>
      </c>
      <c r="CI58" s="62">
        <v>0</v>
      </c>
      <c r="CJ58" s="62">
        <v>0</v>
      </c>
      <c r="CK58" s="62">
        <v>0</v>
      </c>
      <c r="CL58" s="62">
        <v>0</v>
      </c>
      <c r="CM58" s="190">
        <f t="shared" si="21"/>
        <v>0</v>
      </c>
      <c r="CN58" s="62">
        <v>0</v>
      </c>
      <c r="CO58" s="62">
        <v>0</v>
      </c>
      <c r="CP58" s="62">
        <v>0</v>
      </c>
      <c r="CQ58" s="62">
        <v>0</v>
      </c>
      <c r="CR58" s="62">
        <v>0</v>
      </c>
      <c r="CS58" s="62">
        <v>0</v>
      </c>
      <c r="CT58" s="62">
        <v>0</v>
      </c>
      <c r="CU58" s="62">
        <v>0</v>
      </c>
      <c r="CV58" s="62">
        <v>0</v>
      </c>
      <c r="CW58" s="62">
        <v>0</v>
      </c>
      <c r="CX58" s="62">
        <v>0</v>
      </c>
      <c r="CY58" s="62">
        <v>0</v>
      </c>
      <c r="CZ58" s="190">
        <f t="shared" si="22"/>
        <v>0</v>
      </c>
      <c r="DA58" s="62">
        <v>0</v>
      </c>
      <c r="DB58" s="62">
        <v>0</v>
      </c>
      <c r="DC58" s="62">
        <v>0</v>
      </c>
      <c r="DD58" s="62">
        <v>0</v>
      </c>
      <c r="DE58" s="62">
        <v>0</v>
      </c>
      <c r="DF58" s="62">
        <v>0</v>
      </c>
      <c r="DG58" s="62">
        <v>0</v>
      </c>
      <c r="DH58" s="62">
        <v>0</v>
      </c>
      <c r="DI58" s="62">
        <v>0</v>
      </c>
      <c r="DJ58" s="62">
        <v>0</v>
      </c>
      <c r="DK58" s="62">
        <v>0</v>
      </c>
      <c r="DL58" s="62">
        <v>0</v>
      </c>
      <c r="DM58" s="190">
        <f t="shared" si="23"/>
        <v>0</v>
      </c>
      <c r="DN58" s="62">
        <v>0</v>
      </c>
      <c r="DO58" s="62">
        <v>0</v>
      </c>
      <c r="DP58" s="62">
        <v>0</v>
      </c>
      <c r="DQ58" s="62">
        <v>0</v>
      </c>
      <c r="DR58" s="62">
        <v>0</v>
      </c>
      <c r="DS58" s="62">
        <v>0</v>
      </c>
      <c r="DT58" s="62">
        <v>0</v>
      </c>
      <c r="DU58" s="62">
        <v>0</v>
      </c>
      <c r="DV58" s="62">
        <v>0</v>
      </c>
      <c r="DW58" s="62">
        <v>0</v>
      </c>
      <c r="DX58" s="62">
        <v>0</v>
      </c>
      <c r="DY58" s="62">
        <v>0</v>
      </c>
      <c r="DZ58" s="190">
        <f t="shared" si="24"/>
        <v>0</v>
      </c>
    </row>
    <row r="59" spans="1:130" ht="20.45" customHeight="1" outlineLevel="2">
      <c r="A59" s="662"/>
      <c r="B59" s="653"/>
      <c r="C59" s="30" t="s">
        <v>329</v>
      </c>
      <c r="D59" s="62">
        <f t="shared" si="0"/>
        <v>2520980.0000000009</v>
      </c>
      <c r="E59" s="184">
        <f t="shared" si="179"/>
        <v>7.7999206282938242E-3</v>
      </c>
      <c r="F59" s="62">
        <v>0</v>
      </c>
      <c r="G59" s="190">
        <f t="shared" si="36"/>
        <v>0</v>
      </c>
      <c r="H59" s="197">
        <f t="shared" si="319"/>
        <v>0</v>
      </c>
      <c r="I59" s="62">
        <v>60000</v>
      </c>
      <c r="J59" s="62">
        <v>0</v>
      </c>
      <c r="K59" s="62">
        <v>0</v>
      </c>
      <c r="L59" s="62">
        <v>0</v>
      </c>
      <c r="M59" s="62">
        <v>0</v>
      </c>
      <c r="N59" s="62">
        <v>180000</v>
      </c>
      <c r="O59" s="62">
        <v>0</v>
      </c>
      <c r="P59" s="62">
        <v>0</v>
      </c>
      <c r="Q59" s="62">
        <v>0</v>
      </c>
      <c r="R59" s="62">
        <v>0</v>
      </c>
      <c r="S59" s="62">
        <v>55000</v>
      </c>
      <c r="T59" s="62">
        <v>0</v>
      </c>
      <c r="U59" s="190">
        <f t="shared" si="16"/>
        <v>295000</v>
      </c>
      <c r="V59" s="197">
        <f t="shared" si="320"/>
        <v>5.3172317222728036E-3</v>
      </c>
      <c r="W59" s="62">
        <v>0</v>
      </c>
      <c r="X59" s="62">
        <v>0</v>
      </c>
      <c r="Y59" s="62">
        <v>800000</v>
      </c>
      <c r="Z59" s="62">
        <v>125000</v>
      </c>
      <c r="AA59" s="62">
        <v>0</v>
      </c>
      <c r="AB59" s="62">
        <v>0</v>
      </c>
      <c r="AC59" s="62">
        <v>430000</v>
      </c>
      <c r="AD59" s="62">
        <v>0</v>
      </c>
      <c r="AE59" s="62">
        <f>1339600-776900</f>
        <v>562700</v>
      </c>
      <c r="AF59" s="62">
        <f>-562700+32000</f>
        <v>-530700</v>
      </c>
      <c r="AG59" s="62">
        <v>0</v>
      </c>
      <c r="AH59" s="62">
        <v>0</v>
      </c>
      <c r="AI59" s="190">
        <f t="shared" si="17"/>
        <v>1387000</v>
      </c>
      <c r="AJ59" s="197">
        <f t="shared" si="321"/>
        <v>1.8850563577487409E-2</v>
      </c>
      <c r="AK59" s="62">
        <v>0</v>
      </c>
      <c r="AL59" s="62">
        <f>945300-473000</f>
        <v>472300</v>
      </c>
      <c r="AM59" s="62">
        <v>-472300</v>
      </c>
      <c r="AN59" s="62">
        <v>0</v>
      </c>
      <c r="AO59" s="62">
        <f>114000</f>
        <v>114000</v>
      </c>
      <c r="AP59" s="62">
        <v>0</v>
      </c>
      <c r="AQ59" s="62">
        <v>0</v>
      </c>
      <c r="AR59" s="62">
        <v>0</v>
      </c>
      <c r="AS59" s="62">
        <v>0</v>
      </c>
      <c r="AT59" s="62">
        <v>0</v>
      </c>
      <c r="AU59" s="62">
        <v>0</v>
      </c>
      <c r="AV59" s="62">
        <v>0</v>
      </c>
      <c r="AW59" s="190">
        <f t="shared" si="18"/>
        <v>114000</v>
      </c>
      <c r="AX59" s="197">
        <f t="shared" si="322"/>
        <v>1.4943502353477092E-3</v>
      </c>
      <c r="AY59" s="62">
        <v>0</v>
      </c>
      <c r="AZ59" s="62">
        <f>-13020+453020-13020</f>
        <v>426980</v>
      </c>
      <c r="BA59" s="62">
        <v>24000</v>
      </c>
      <c r="BB59" s="62">
        <v>0</v>
      </c>
      <c r="BC59" s="62">
        <v>0</v>
      </c>
      <c r="BD59" s="62">
        <v>0</v>
      </c>
      <c r="BE59" s="62">
        <v>0</v>
      </c>
      <c r="BF59" s="62">
        <v>0</v>
      </c>
      <c r="BG59" s="62">
        <v>0</v>
      </c>
      <c r="BH59" s="62">
        <v>0</v>
      </c>
      <c r="BI59" s="62">
        <v>0</v>
      </c>
      <c r="BJ59" s="62">
        <v>0</v>
      </c>
      <c r="BK59" s="190">
        <f t="shared" si="19"/>
        <v>450980</v>
      </c>
      <c r="BL59" s="197">
        <f t="shared" si="323"/>
        <v>6.457421468473599E-3</v>
      </c>
      <c r="BM59" s="62">
        <v>0</v>
      </c>
      <c r="BN59" s="62">
        <f>570000+200000-496000</f>
        <v>274000</v>
      </c>
      <c r="BO59" s="62">
        <v>0</v>
      </c>
      <c r="BP59" s="62">
        <v>0</v>
      </c>
      <c r="BQ59" s="62">
        <v>0</v>
      </c>
      <c r="BR59" s="62">
        <v>0</v>
      </c>
      <c r="BS59" s="62">
        <v>0</v>
      </c>
      <c r="BT59" s="62">
        <v>0</v>
      </c>
      <c r="BU59" s="62">
        <v>0</v>
      </c>
      <c r="BV59" s="62">
        <v>0</v>
      </c>
      <c r="BW59" s="62">
        <v>0</v>
      </c>
      <c r="BX59" s="62">
        <v>0</v>
      </c>
      <c r="BY59" s="190">
        <f t="shared" si="20"/>
        <v>274000</v>
      </c>
      <c r="BZ59" s="197">
        <f t="shared" si="324"/>
        <v>6.2782276792393904E-3</v>
      </c>
      <c r="CA59" s="62">
        <v>0</v>
      </c>
      <c r="CB59" s="62">
        <v>0</v>
      </c>
      <c r="CC59" s="62">
        <v>0</v>
      </c>
      <c r="CD59" s="62">
        <v>0</v>
      </c>
      <c r="CE59" s="62">
        <v>0</v>
      </c>
      <c r="CF59" s="62">
        <v>0</v>
      </c>
      <c r="CG59" s="62">
        <v>0</v>
      </c>
      <c r="CH59" s="62">
        <v>0</v>
      </c>
      <c r="CI59" s="62">
        <v>0</v>
      </c>
      <c r="CJ59" s="62">
        <v>0</v>
      </c>
      <c r="CK59" s="62">
        <v>0</v>
      </c>
      <c r="CL59" s="62">
        <v>0</v>
      </c>
      <c r="CM59" s="190">
        <f t="shared" si="21"/>
        <v>0</v>
      </c>
      <c r="CN59" s="62">
        <v>0</v>
      </c>
      <c r="CO59" s="62">
        <v>0</v>
      </c>
      <c r="CP59" s="62">
        <v>0</v>
      </c>
      <c r="CQ59" s="62">
        <v>0</v>
      </c>
      <c r="CR59" s="62">
        <v>0</v>
      </c>
      <c r="CS59" s="62">
        <v>0</v>
      </c>
      <c r="CT59" s="62">
        <v>0</v>
      </c>
      <c r="CU59" s="62">
        <v>0</v>
      </c>
      <c r="CV59" s="62">
        <v>0</v>
      </c>
      <c r="CW59" s="62">
        <v>0</v>
      </c>
      <c r="CX59" s="62">
        <v>0</v>
      </c>
      <c r="CY59" s="62">
        <v>0</v>
      </c>
      <c r="CZ59" s="190">
        <f t="shared" si="22"/>
        <v>0</v>
      </c>
      <c r="DA59" s="62">
        <v>0</v>
      </c>
      <c r="DB59" s="62">
        <v>0</v>
      </c>
      <c r="DC59" s="62">
        <v>0</v>
      </c>
      <c r="DD59" s="62">
        <v>0</v>
      </c>
      <c r="DE59" s="62">
        <v>0</v>
      </c>
      <c r="DF59" s="62">
        <v>0</v>
      </c>
      <c r="DG59" s="62">
        <v>0</v>
      </c>
      <c r="DH59" s="62">
        <v>0</v>
      </c>
      <c r="DI59" s="62">
        <v>0</v>
      </c>
      <c r="DJ59" s="62">
        <v>0</v>
      </c>
      <c r="DK59" s="62">
        <v>0</v>
      </c>
      <c r="DL59" s="62">
        <v>0</v>
      </c>
      <c r="DM59" s="190">
        <f t="shared" si="23"/>
        <v>0</v>
      </c>
      <c r="DN59" s="62">
        <v>0</v>
      </c>
      <c r="DO59" s="62">
        <v>0</v>
      </c>
      <c r="DP59" s="62">
        <v>0</v>
      </c>
      <c r="DQ59" s="62">
        <v>0</v>
      </c>
      <c r="DR59" s="62">
        <v>0</v>
      </c>
      <c r="DS59" s="62">
        <v>0</v>
      </c>
      <c r="DT59" s="62">
        <v>0</v>
      </c>
      <c r="DU59" s="62">
        <v>0</v>
      </c>
      <c r="DV59" s="62">
        <v>0</v>
      </c>
      <c r="DW59" s="62">
        <v>0</v>
      </c>
      <c r="DX59" s="62">
        <v>0</v>
      </c>
      <c r="DY59" s="62">
        <v>0</v>
      </c>
      <c r="DZ59" s="190">
        <f t="shared" si="24"/>
        <v>0</v>
      </c>
    </row>
    <row r="60" spans="1:130" ht="20.45" customHeight="1" outlineLevel="2">
      <c r="A60" s="662"/>
      <c r="B60" s="653"/>
      <c r="C60" s="30" t="s">
        <v>330</v>
      </c>
      <c r="D60" s="62">
        <f t="shared" si="0"/>
        <v>1350000</v>
      </c>
      <c r="E60" s="184">
        <f t="shared" si="179"/>
        <v>4.1769045562426747E-3</v>
      </c>
      <c r="F60" s="62">
        <v>0</v>
      </c>
      <c r="G60" s="190">
        <f t="shared" si="36"/>
        <v>0</v>
      </c>
      <c r="H60" s="197">
        <f t="shared" si="319"/>
        <v>0</v>
      </c>
      <c r="I60" s="62">
        <v>0</v>
      </c>
      <c r="J60" s="62">
        <v>0</v>
      </c>
      <c r="K60" s="62">
        <v>0</v>
      </c>
      <c r="L60" s="62">
        <v>0</v>
      </c>
      <c r="M60" s="62">
        <v>0</v>
      </c>
      <c r="N60" s="62">
        <v>0</v>
      </c>
      <c r="O60" s="62">
        <v>0</v>
      </c>
      <c r="P60" s="62">
        <v>0</v>
      </c>
      <c r="Q60" s="62">
        <v>0</v>
      </c>
      <c r="R60" s="62">
        <v>0</v>
      </c>
      <c r="S60" s="62">
        <v>100000</v>
      </c>
      <c r="T60" s="62">
        <v>1250000</v>
      </c>
      <c r="U60" s="190">
        <f t="shared" si="16"/>
        <v>1350000</v>
      </c>
      <c r="V60" s="197">
        <f t="shared" si="320"/>
        <v>2.4333094322265374E-2</v>
      </c>
      <c r="W60" s="62">
        <v>0</v>
      </c>
      <c r="X60" s="62">
        <v>0</v>
      </c>
      <c r="Y60" s="62">
        <v>0</v>
      </c>
      <c r="Z60" s="62">
        <v>0</v>
      </c>
      <c r="AA60" s="62">
        <v>0</v>
      </c>
      <c r="AB60" s="62">
        <v>0</v>
      </c>
      <c r="AC60" s="62">
        <v>0</v>
      </c>
      <c r="AD60" s="62">
        <v>0</v>
      </c>
      <c r="AE60" s="62">
        <v>0</v>
      </c>
      <c r="AF60" s="62">
        <v>0</v>
      </c>
      <c r="AG60" s="62">
        <v>0</v>
      </c>
      <c r="AH60" s="62">
        <v>0</v>
      </c>
      <c r="AI60" s="190">
        <f t="shared" si="17"/>
        <v>0</v>
      </c>
      <c r="AJ60" s="197">
        <f t="shared" si="321"/>
        <v>0</v>
      </c>
      <c r="AK60" s="62">
        <v>0</v>
      </c>
      <c r="AL60" s="62">
        <v>0</v>
      </c>
      <c r="AM60" s="62">
        <v>0</v>
      </c>
      <c r="AN60" s="62">
        <v>0</v>
      </c>
      <c r="AO60" s="62">
        <v>0</v>
      </c>
      <c r="AP60" s="62">
        <v>0</v>
      </c>
      <c r="AQ60" s="62">
        <v>0</v>
      </c>
      <c r="AR60" s="62">
        <v>0</v>
      </c>
      <c r="AS60" s="62">
        <v>0</v>
      </c>
      <c r="AT60" s="62">
        <v>0</v>
      </c>
      <c r="AU60" s="62">
        <v>0</v>
      </c>
      <c r="AV60" s="62">
        <v>0</v>
      </c>
      <c r="AW60" s="190">
        <f t="shared" si="18"/>
        <v>0</v>
      </c>
      <c r="AX60" s="197">
        <f t="shared" si="322"/>
        <v>0</v>
      </c>
      <c r="AY60" s="62">
        <v>0</v>
      </c>
      <c r="AZ60" s="62">
        <v>0</v>
      </c>
      <c r="BA60" s="62">
        <v>0</v>
      </c>
      <c r="BB60" s="62">
        <v>0</v>
      </c>
      <c r="BC60" s="62">
        <v>0</v>
      </c>
      <c r="BD60" s="62">
        <v>0</v>
      </c>
      <c r="BE60" s="62">
        <v>0</v>
      </c>
      <c r="BF60" s="62">
        <v>0</v>
      </c>
      <c r="BG60" s="62">
        <v>0</v>
      </c>
      <c r="BH60" s="62">
        <v>0</v>
      </c>
      <c r="BI60" s="62">
        <v>0</v>
      </c>
      <c r="BJ60" s="62">
        <v>0</v>
      </c>
      <c r="BK60" s="190">
        <f t="shared" si="19"/>
        <v>0</v>
      </c>
      <c r="BL60" s="197">
        <f t="shared" si="323"/>
        <v>0</v>
      </c>
      <c r="BM60" s="62">
        <v>0</v>
      </c>
      <c r="BN60" s="62">
        <v>0</v>
      </c>
      <c r="BO60" s="62">
        <v>0</v>
      </c>
      <c r="BP60" s="62">
        <v>0</v>
      </c>
      <c r="BQ60" s="62">
        <v>0</v>
      </c>
      <c r="BR60" s="62">
        <v>0</v>
      </c>
      <c r="BS60" s="62">
        <v>0</v>
      </c>
      <c r="BT60" s="62">
        <v>0</v>
      </c>
      <c r="BU60" s="62">
        <v>0</v>
      </c>
      <c r="BV60" s="62">
        <v>0</v>
      </c>
      <c r="BW60" s="62">
        <v>0</v>
      </c>
      <c r="BX60" s="62">
        <v>0</v>
      </c>
      <c r="BY60" s="190">
        <f t="shared" si="20"/>
        <v>0</v>
      </c>
      <c r="BZ60" s="197">
        <f t="shared" si="324"/>
        <v>0</v>
      </c>
      <c r="CA60" s="62">
        <v>0</v>
      </c>
      <c r="CB60" s="62">
        <v>0</v>
      </c>
      <c r="CC60" s="62">
        <v>0</v>
      </c>
      <c r="CD60" s="62">
        <v>0</v>
      </c>
      <c r="CE60" s="62">
        <v>0</v>
      </c>
      <c r="CF60" s="62">
        <v>0</v>
      </c>
      <c r="CG60" s="62">
        <v>0</v>
      </c>
      <c r="CH60" s="62">
        <v>0</v>
      </c>
      <c r="CI60" s="62">
        <v>0</v>
      </c>
      <c r="CJ60" s="62">
        <v>0</v>
      </c>
      <c r="CK60" s="62">
        <v>0</v>
      </c>
      <c r="CL60" s="62">
        <v>0</v>
      </c>
      <c r="CM60" s="190">
        <f t="shared" si="21"/>
        <v>0</v>
      </c>
      <c r="CN60" s="62">
        <v>0</v>
      </c>
      <c r="CO60" s="62">
        <v>0</v>
      </c>
      <c r="CP60" s="62">
        <v>0</v>
      </c>
      <c r="CQ60" s="62">
        <v>0</v>
      </c>
      <c r="CR60" s="62">
        <v>0</v>
      </c>
      <c r="CS60" s="62">
        <v>0</v>
      </c>
      <c r="CT60" s="62">
        <v>0</v>
      </c>
      <c r="CU60" s="62">
        <v>0</v>
      </c>
      <c r="CV60" s="62">
        <v>0</v>
      </c>
      <c r="CW60" s="62">
        <v>0</v>
      </c>
      <c r="CX60" s="62">
        <v>0</v>
      </c>
      <c r="CY60" s="62">
        <v>0</v>
      </c>
      <c r="CZ60" s="190">
        <f t="shared" si="22"/>
        <v>0</v>
      </c>
      <c r="DA60" s="62">
        <v>0</v>
      </c>
      <c r="DB60" s="62">
        <v>0</v>
      </c>
      <c r="DC60" s="62">
        <v>0</v>
      </c>
      <c r="DD60" s="62">
        <v>0</v>
      </c>
      <c r="DE60" s="62">
        <v>0</v>
      </c>
      <c r="DF60" s="62">
        <v>0</v>
      </c>
      <c r="DG60" s="62">
        <v>0</v>
      </c>
      <c r="DH60" s="62">
        <v>0</v>
      </c>
      <c r="DI60" s="62">
        <v>0</v>
      </c>
      <c r="DJ60" s="62">
        <v>0</v>
      </c>
      <c r="DK60" s="62">
        <v>0</v>
      </c>
      <c r="DL60" s="62">
        <v>0</v>
      </c>
      <c r="DM60" s="190">
        <f t="shared" si="23"/>
        <v>0</v>
      </c>
      <c r="DN60" s="62">
        <v>0</v>
      </c>
      <c r="DO60" s="62">
        <v>0</v>
      </c>
      <c r="DP60" s="62">
        <v>0</v>
      </c>
      <c r="DQ60" s="62">
        <v>0</v>
      </c>
      <c r="DR60" s="62">
        <v>0</v>
      </c>
      <c r="DS60" s="62">
        <v>0</v>
      </c>
      <c r="DT60" s="62">
        <v>0</v>
      </c>
      <c r="DU60" s="62">
        <v>0</v>
      </c>
      <c r="DV60" s="62">
        <v>0</v>
      </c>
      <c r="DW60" s="62">
        <v>0</v>
      </c>
      <c r="DX60" s="62">
        <v>0</v>
      </c>
      <c r="DY60" s="62">
        <v>0</v>
      </c>
      <c r="DZ60" s="190">
        <f t="shared" si="24"/>
        <v>0</v>
      </c>
    </row>
    <row r="61" spans="1:130" ht="20.45" customHeight="1" outlineLevel="2">
      <c r="A61" s="662"/>
      <c r="B61" s="653"/>
      <c r="C61" s="30" t="s">
        <v>331</v>
      </c>
      <c r="D61" s="62">
        <f t="shared" si="0"/>
        <v>108000.00000000001</v>
      </c>
      <c r="E61" s="184">
        <f t="shared" si="179"/>
        <v>3.3415236449941405E-4</v>
      </c>
      <c r="F61" s="62">
        <v>0</v>
      </c>
      <c r="G61" s="190">
        <f t="shared" si="36"/>
        <v>0</v>
      </c>
      <c r="H61" s="197">
        <f t="shared" si="319"/>
        <v>0</v>
      </c>
      <c r="I61" s="62">
        <v>0</v>
      </c>
      <c r="J61" s="62">
        <v>0</v>
      </c>
      <c r="K61" s="62">
        <v>0</v>
      </c>
      <c r="L61" s="62">
        <v>0</v>
      </c>
      <c r="M61" s="62">
        <v>54000</v>
      </c>
      <c r="N61" s="62">
        <v>0</v>
      </c>
      <c r="O61" s="62">
        <v>0</v>
      </c>
      <c r="P61" s="62">
        <v>0</v>
      </c>
      <c r="Q61" s="62">
        <v>0</v>
      </c>
      <c r="R61" s="62">
        <v>0</v>
      </c>
      <c r="S61" s="62">
        <v>0</v>
      </c>
      <c r="T61" s="62">
        <v>0</v>
      </c>
      <c r="U61" s="190">
        <f t="shared" si="16"/>
        <v>54000</v>
      </c>
      <c r="V61" s="197">
        <f t="shared" si="320"/>
        <v>9.7332377289061501E-4</v>
      </c>
      <c r="W61" s="62">
        <v>0</v>
      </c>
      <c r="X61" s="62">
        <v>0</v>
      </c>
      <c r="Y61" s="62">
        <v>0</v>
      </c>
      <c r="Z61" s="62">
        <v>0</v>
      </c>
      <c r="AA61" s="62">
        <v>0</v>
      </c>
      <c r="AB61" s="62">
        <v>0</v>
      </c>
      <c r="AC61" s="62">
        <v>0</v>
      </c>
      <c r="AD61" s="62">
        <v>0</v>
      </c>
      <c r="AE61" s="62">
        <v>0</v>
      </c>
      <c r="AF61" s="62">
        <v>0</v>
      </c>
      <c r="AG61" s="62">
        <v>0</v>
      </c>
      <c r="AH61" s="62">
        <v>0</v>
      </c>
      <c r="AI61" s="190">
        <f t="shared" si="17"/>
        <v>0</v>
      </c>
      <c r="AJ61" s="197">
        <f t="shared" si="321"/>
        <v>0</v>
      </c>
      <c r="AK61" s="62">
        <v>0</v>
      </c>
      <c r="AL61" s="62">
        <v>0</v>
      </c>
      <c r="AM61" s="62">
        <v>0</v>
      </c>
      <c r="AN61" s="62">
        <v>0</v>
      </c>
      <c r="AO61" s="62">
        <v>54000</v>
      </c>
      <c r="AP61" s="62">
        <v>0</v>
      </c>
      <c r="AQ61" s="62">
        <v>0</v>
      </c>
      <c r="AR61" s="62">
        <v>0</v>
      </c>
      <c r="AS61" s="62">
        <v>0</v>
      </c>
      <c r="AT61" s="62">
        <v>0</v>
      </c>
      <c r="AU61" s="62">
        <v>0</v>
      </c>
      <c r="AV61" s="62">
        <v>0</v>
      </c>
      <c r="AW61" s="190">
        <f t="shared" si="18"/>
        <v>54000</v>
      </c>
      <c r="AX61" s="197">
        <f t="shared" si="322"/>
        <v>7.0785011148049378E-4</v>
      </c>
      <c r="AY61" s="62">
        <v>0</v>
      </c>
      <c r="AZ61" s="62">
        <v>0</v>
      </c>
      <c r="BA61" s="62">
        <v>0</v>
      </c>
      <c r="BB61" s="62">
        <v>0</v>
      </c>
      <c r="BC61" s="62">
        <v>0</v>
      </c>
      <c r="BD61" s="62">
        <v>0</v>
      </c>
      <c r="BE61" s="62">
        <v>0</v>
      </c>
      <c r="BF61" s="62">
        <v>0</v>
      </c>
      <c r="BG61" s="62">
        <v>0</v>
      </c>
      <c r="BH61" s="62">
        <v>0</v>
      </c>
      <c r="BI61" s="62">
        <v>0</v>
      </c>
      <c r="BJ61" s="62">
        <v>0</v>
      </c>
      <c r="BK61" s="190">
        <f t="shared" si="19"/>
        <v>0</v>
      </c>
      <c r="BL61" s="197">
        <f t="shared" si="323"/>
        <v>0</v>
      </c>
      <c r="BM61" s="62">
        <v>0</v>
      </c>
      <c r="BN61" s="62">
        <v>0</v>
      </c>
      <c r="BO61" s="62">
        <v>0</v>
      </c>
      <c r="BP61" s="62">
        <v>0</v>
      </c>
      <c r="BQ61" s="62">
        <v>0</v>
      </c>
      <c r="BR61" s="62">
        <v>0</v>
      </c>
      <c r="BS61" s="62">
        <v>0</v>
      </c>
      <c r="BT61" s="62">
        <v>0</v>
      </c>
      <c r="BU61" s="62">
        <v>0</v>
      </c>
      <c r="BV61" s="62">
        <v>0</v>
      </c>
      <c r="BW61" s="62">
        <v>0</v>
      </c>
      <c r="BX61" s="62">
        <v>0</v>
      </c>
      <c r="BY61" s="190">
        <f t="shared" si="20"/>
        <v>0</v>
      </c>
      <c r="BZ61" s="197">
        <f t="shared" si="324"/>
        <v>0</v>
      </c>
      <c r="CA61" s="62">
        <v>0</v>
      </c>
      <c r="CB61" s="62">
        <v>0</v>
      </c>
      <c r="CC61" s="62">
        <v>0</v>
      </c>
      <c r="CD61" s="62">
        <v>0</v>
      </c>
      <c r="CE61" s="62">
        <v>0</v>
      </c>
      <c r="CF61" s="62">
        <v>0</v>
      </c>
      <c r="CG61" s="62">
        <v>0</v>
      </c>
      <c r="CH61" s="62">
        <v>0</v>
      </c>
      <c r="CI61" s="62">
        <v>0</v>
      </c>
      <c r="CJ61" s="62">
        <v>0</v>
      </c>
      <c r="CK61" s="62">
        <v>0</v>
      </c>
      <c r="CL61" s="62">
        <v>0</v>
      </c>
      <c r="CM61" s="190">
        <f t="shared" si="21"/>
        <v>0</v>
      </c>
      <c r="CN61" s="62">
        <v>0</v>
      </c>
      <c r="CO61" s="62">
        <v>0</v>
      </c>
      <c r="CP61" s="62">
        <v>0</v>
      </c>
      <c r="CQ61" s="62">
        <v>0</v>
      </c>
      <c r="CR61" s="62">
        <v>0</v>
      </c>
      <c r="CS61" s="62">
        <v>0</v>
      </c>
      <c r="CT61" s="62">
        <v>0</v>
      </c>
      <c r="CU61" s="62">
        <v>0</v>
      </c>
      <c r="CV61" s="62">
        <v>0</v>
      </c>
      <c r="CW61" s="62">
        <v>0</v>
      </c>
      <c r="CX61" s="62">
        <v>0</v>
      </c>
      <c r="CY61" s="62">
        <v>0</v>
      </c>
      <c r="CZ61" s="190">
        <f t="shared" si="22"/>
        <v>0</v>
      </c>
      <c r="DA61" s="62">
        <v>0</v>
      </c>
      <c r="DB61" s="62">
        <v>0</v>
      </c>
      <c r="DC61" s="62">
        <v>0</v>
      </c>
      <c r="DD61" s="62">
        <v>0</v>
      </c>
      <c r="DE61" s="62">
        <v>0</v>
      </c>
      <c r="DF61" s="62">
        <v>0</v>
      </c>
      <c r="DG61" s="62">
        <v>0</v>
      </c>
      <c r="DH61" s="62">
        <v>0</v>
      </c>
      <c r="DI61" s="62">
        <v>0</v>
      </c>
      <c r="DJ61" s="62">
        <v>0</v>
      </c>
      <c r="DK61" s="62">
        <v>0</v>
      </c>
      <c r="DL61" s="62">
        <v>0</v>
      </c>
      <c r="DM61" s="190">
        <f t="shared" si="23"/>
        <v>0</v>
      </c>
      <c r="DN61" s="62">
        <v>0</v>
      </c>
      <c r="DO61" s="62">
        <v>0</v>
      </c>
      <c r="DP61" s="62">
        <v>0</v>
      </c>
      <c r="DQ61" s="62">
        <v>0</v>
      </c>
      <c r="DR61" s="62">
        <v>0</v>
      </c>
      <c r="DS61" s="62">
        <v>0</v>
      </c>
      <c r="DT61" s="62">
        <v>0</v>
      </c>
      <c r="DU61" s="62">
        <v>0</v>
      </c>
      <c r="DV61" s="62">
        <v>0</v>
      </c>
      <c r="DW61" s="62">
        <v>0</v>
      </c>
      <c r="DX61" s="62">
        <v>0</v>
      </c>
      <c r="DY61" s="62">
        <v>0</v>
      </c>
      <c r="DZ61" s="190">
        <f t="shared" si="24"/>
        <v>0</v>
      </c>
    </row>
    <row r="62" spans="1:130" ht="20.45" customHeight="1" outlineLevel="2">
      <c r="A62" s="662"/>
      <c r="B62" s="646"/>
      <c r="C62" s="30" t="s">
        <v>332</v>
      </c>
      <c r="D62" s="62">
        <f t="shared" si="0"/>
        <v>74699.999999999985</v>
      </c>
      <c r="E62" s="184">
        <f t="shared" si="179"/>
        <v>2.3112205211209464E-4</v>
      </c>
      <c r="F62" s="62">
        <v>0</v>
      </c>
      <c r="G62" s="190">
        <f t="shared" si="36"/>
        <v>0</v>
      </c>
      <c r="H62" s="197">
        <f t="shared" si="319"/>
        <v>0</v>
      </c>
      <c r="I62" s="62">
        <v>0</v>
      </c>
      <c r="J62" s="62">
        <v>0</v>
      </c>
      <c r="K62" s="62">
        <v>0</v>
      </c>
      <c r="L62" s="62">
        <v>74700</v>
      </c>
      <c r="M62" s="62">
        <v>0</v>
      </c>
      <c r="N62" s="62">
        <v>0</v>
      </c>
      <c r="O62" s="62">
        <v>0</v>
      </c>
      <c r="P62" s="62">
        <v>0</v>
      </c>
      <c r="Q62" s="62">
        <v>0</v>
      </c>
      <c r="R62" s="62">
        <v>0</v>
      </c>
      <c r="S62" s="62">
        <v>0</v>
      </c>
      <c r="T62" s="62">
        <v>0</v>
      </c>
      <c r="U62" s="190">
        <f t="shared" si="16"/>
        <v>74700</v>
      </c>
      <c r="V62" s="197">
        <f t="shared" si="320"/>
        <v>1.3464312191653507E-3</v>
      </c>
      <c r="W62" s="62">
        <v>0</v>
      </c>
      <c r="X62" s="62">
        <v>0</v>
      </c>
      <c r="Y62" s="62">
        <v>0</v>
      </c>
      <c r="Z62" s="62">
        <v>0</v>
      </c>
      <c r="AA62" s="62">
        <v>0</v>
      </c>
      <c r="AB62" s="62">
        <v>0</v>
      </c>
      <c r="AC62" s="62">
        <v>0</v>
      </c>
      <c r="AD62" s="62">
        <v>0</v>
      </c>
      <c r="AE62" s="62">
        <v>0</v>
      </c>
      <c r="AF62" s="62">
        <v>0</v>
      </c>
      <c r="AG62" s="62">
        <v>0</v>
      </c>
      <c r="AH62" s="62">
        <v>0</v>
      </c>
      <c r="AI62" s="190">
        <f t="shared" si="17"/>
        <v>0</v>
      </c>
      <c r="AJ62" s="197">
        <f t="shared" si="321"/>
        <v>0</v>
      </c>
      <c r="AK62" s="62">
        <v>0</v>
      </c>
      <c r="AL62" s="62">
        <v>0</v>
      </c>
      <c r="AM62" s="62">
        <v>0</v>
      </c>
      <c r="AN62" s="62">
        <v>0</v>
      </c>
      <c r="AO62" s="62">
        <v>0</v>
      </c>
      <c r="AP62" s="62">
        <v>0</v>
      </c>
      <c r="AQ62" s="62">
        <v>0</v>
      </c>
      <c r="AR62" s="62">
        <v>0</v>
      </c>
      <c r="AS62" s="62">
        <v>0</v>
      </c>
      <c r="AT62" s="62">
        <v>0</v>
      </c>
      <c r="AU62" s="62">
        <v>0</v>
      </c>
      <c r="AV62" s="62">
        <v>0</v>
      </c>
      <c r="AW62" s="190">
        <f t="shared" si="18"/>
        <v>0</v>
      </c>
      <c r="AX62" s="197">
        <f t="shared" si="322"/>
        <v>0</v>
      </c>
      <c r="AY62" s="62">
        <v>0</v>
      </c>
      <c r="AZ62" s="62">
        <v>0</v>
      </c>
      <c r="BA62" s="62">
        <v>0</v>
      </c>
      <c r="BB62" s="62">
        <v>0</v>
      </c>
      <c r="BC62" s="62">
        <v>0</v>
      </c>
      <c r="BD62" s="62">
        <v>0</v>
      </c>
      <c r="BE62" s="62">
        <v>0</v>
      </c>
      <c r="BF62" s="62">
        <v>0</v>
      </c>
      <c r="BG62" s="62">
        <v>0</v>
      </c>
      <c r="BH62" s="62">
        <v>0</v>
      </c>
      <c r="BI62" s="62">
        <v>0</v>
      </c>
      <c r="BJ62" s="62">
        <v>0</v>
      </c>
      <c r="BK62" s="190">
        <f t="shared" si="19"/>
        <v>0</v>
      </c>
      <c r="BL62" s="197">
        <f t="shared" si="323"/>
        <v>0</v>
      </c>
      <c r="BM62" s="62">
        <v>0</v>
      </c>
      <c r="BN62" s="62">
        <v>0</v>
      </c>
      <c r="BO62" s="62">
        <v>0</v>
      </c>
      <c r="BP62" s="62">
        <v>0</v>
      </c>
      <c r="BQ62" s="62">
        <v>0</v>
      </c>
      <c r="BR62" s="62">
        <v>0</v>
      </c>
      <c r="BS62" s="62">
        <v>0</v>
      </c>
      <c r="BT62" s="62">
        <v>0</v>
      </c>
      <c r="BU62" s="62">
        <v>0</v>
      </c>
      <c r="BV62" s="62">
        <v>0</v>
      </c>
      <c r="BW62" s="62">
        <v>0</v>
      </c>
      <c r="BX62" s="62">
        <v>0</v>
      </c>
      <c r="BY62" s="190">
        <f t="shared" si="20"/>
        <v>0</v>
      </c>
      <c r="BZ62" s="197">
        <f t="shared" si="324"/>
        <v>0</v>
      </c>
      <c r="CA62" s="62">
        <v>0</v>
      </c>
      <c r="CB62" s="62">
        <v>0</v>
      </c>
      <c r="CC62" s="62">
        <v>0</v>
      </c>
      <c r="CD62" s="62">
        <v>0</v>
      </c>
      <c r="CE62" s="62">
        <v>0</v>
      </c>
      <c r="CF62" s="62">
        <v>0</v>
      </c>
      <c r="CG62" s="62">
        <v>0</v>
      </c>
      <c r="CH62" s="62">
        <v>0</v>
      </c>
      <c r="CI62" s="62">
        <v>0</v>
      </c>
      <c r="CJ62" s="62">
        <v>0</v>
      </c>
      <c r="CK62" s="62">
        <v>0</v>
      </c>
      <c r="CL62" s="62">
        <v>0</v>
      </c>
      <c r="CM62" s="190">
        <f t="shared" si="21"/>
        <v>0</v>
      </c>
      <c r="CN62" s="62">
        <v>0</v>
      </c>
      <c r="CO62" s="62">
        <v>0</v>
      </c>
      <c r="CP62" s="62">
        <v>0</v>
      </c>
      <c r="CQ62" s="62">
        <v>0</v>
      </c>
      <c r="CR62" s="62">
        <v>0</v>
      </c>
      <c r="CS62" s="62">
        <v>0</v>
      </c>
      <c r="CT62" s="62">
        <v>0</v>
      </c>
      <c r="CU62" s="62">
        <v>0</v>
      </c>
      <c r="CV62" s="62">
        <v>0</v>
      </c>
      <c r="CW62" s="62">
        <v>0</v>
      </c>
      <c r="CX62" s="62">
        <v>0</v>
      </c>
      <c r="CY62" s="62">
        <v>0</v>
      </c>
      <c r="CZ62" s="190">
        <f t="shared" si="22"/>
        <v>0</v>
      </c>
      <c r="DA62" s="62">
        <v>0</v>
      </c>
      <c r="DB62" s="62">
        <v>0</v>
      </c>
      <c r="DC62" s="62">
        <v>0</v>
      </c>
      <c r="DD62" s="62">
        <v>0</v>
      </c>
      <c r="DE62" s="62">
        <v>0</v>
      </c>
      <c r="DF62" s="62">
        <v>0</v>
      </c>
      <c r="DG62" s="62">
        <v>0</v>
      </c>
      <c r="DH62" s="62">
        <v>0</v>
      </c>
      <c r="DI62" s="62">
        <v>0</v>
      </c>
      <c r="DJ62" s="62">
        <v>0</v>
      </c>
      <c r="DK62" s="62">
        <v>0</v>
      </c>
      <c r="DL62" s="62">
        <v>0</v>
      </c>
      <c r="DM62" s="190">
        <f t="shared" si="23"/>
        <v>0</v>
      </c>
      <c r="DN62" s="62">
        <v>0</v>
      </c>
      <c r="DO62" s="62">
        <v>0</v>
      </c>
      <c r="DP62" s="62">
        <v>0</v>
      </c>
      <c r="DQ62" s="62">
        <v>0</v>
      </c>
      <c r="DR62" s="62">
        <v>0</v>
      </c>
      <c r="DS62" s="62">
        <v>0</v>
      </c>
      <c r="DT62" s="62">
        <v>0</v>
      </c>
      <c r="DU62" s="62">
        <v>0</v>
      </c>
      <c r="DV62" s="62">
        <v>0</v>
      </c>
      <c r="DW62" s="62">
        <v>0</v>
      </c>
      <c r="DX62" s="62">
        <v>0</v>
      </c>
      <c r="DY62" s="62">
        <v>0</v>
      </c>
      <c r="DZ62" s="190">
        <f t="shared" si="24"/>
        <v>0</v>
      </c>
    </row>
    <row r="63" spans="1:130" s="194" customFormat="1" ht="20.45" customHeight="1" outlineLevel="1">
      <c r="A63" s="662"/>
      <c r="B63" s="645" t="s">
        <v>333</v>
      </c>
      <c r="C63" s="65" t="s">
        <v>307</v>
      </c>
      <c r="D63" s="66">
        <f t="shared" si="0"/>
        <v>9142193</v>
      </c>
      <c r="E63" s="187">
        <f>SUM(E64:E74)</f>
        <v>2.8285975996851773E-2</v>
      </c>
      <c r="F63" s="62">
        <f>SUM(F64:F74)</f>
        <v>392284</v>
      </c>
      <c r="G63" s="190">
        <f t="shared" si="36"/>
        <v>392284</v>
      </c>
      <c r="H63" s="196">
        <f t="shared" ref="H63:T63" si="325">SUM(H64:H74)</f>
        <v>8.960541628929819E-2</v>
      </c>
      <c r="I63" s="62">
        <f t="shared" si="325"/>
        <v>155420</v>
      </c>
      <c r="J63" s="62">
        <f t="shared" si="325"/>
        <v>366462</v>
      </c>
      <c r="K63" s="62">
        <f t="shared" si="325"/>
        <v>116237</v>
      </c>
      <c r="L63" s="62">
        <f t="shared" si="325"/>
        <v>91550</v>
      </c>
      <c r="M63" s="62">
        <f t="shared" si="325"/>
        <v>122870</v>
      </c>
      <c r="N63" s="62">
        <f t="shared" si="325"/>
        <v>87590</v>
      </c>
      <c r="O63" s="62">
        <f t="shared" si="325"/>
        <v>367830</v>
      </c>
      <c r="P63" s="62">
        <f t="shared" si="325"/>
        <v>139326</v>
      </c>
      <c r="Q63" s="62">
        <f t="shared" si="325"/>
        <v>113780</v>
      </c>
      <c r="R63" s="62">
        <f t="shared" si="325"/>
        <v>124640</v>
      </c>
      <c r="S63" s="62">
        <f t="shared" si="325"/>
        <v>173530</v>
      </c>
      <c r="T63" s="62">
        <f t="shared" si="325"/>
        <v>79243</v>
      </c>
      <c r="U63" s="190">
        <f t="shared" si="16"/>
        <v>1938478</v>
      </c>
      <c r="V63" s="196">
        <f t="shared" ref="V63" si="326">SUM(V64:V74)</f>
        <v>3.4940124456026914E-2</v>
      </c>
      <c r="W63" s="62">
        <f t="shared" ref="W63:AH63" si="327">SUM(W64:W74)</f>
        <v>277140</v>
      </c>
      <c r="X63" s="62">
        <f t="shared" si="327"/>
        <v>44860</v>
      </c>
      <c r="Y63" s="62">
        <f t="shared" si="327"/>
        <v>157010</v>
      </c>
      <c r="Z63" s="62">
        <f t="shared" si="327"/>
        <v>112490</v>
      </c>
      <c r="AA63" s="62">
        <f t="shared" si="327"/>
        <v>63670</v>
      </c>
      <c r="AB63" s="62">
        <f t="shared" si="327"/>
        <v>205100</v>
      </c>
      <c r="AC63" s="62">
        <f t="shared" si="327"/>
        <v>39290</v>
      </c>
      <c r="AD63" s="62">
        <f t="shared" si="327"/>
        <v>122940</v>
      </c>
      <c r="AE63" s="62">
        <f t="shared" si="327"/>
        <v>22650</v>
      </c>
      <c r="AF63" s="62">
        <f t="shared" si="327"/>
        <v>92860</v>
      </c>
      <c r="AG63" s="62">
        <f t="shared" si="327"/>
        <v>160910</v>
      </c>
      <c r="AH63" s="62">
        <f t="shared" si="327"/>
        <v>107990</v>
      </c>
      <c r="AI63" s="190">
        <f t="shared" si="17"/>
        <v>1406910</v>
      </c>
      <c r="AJ63" s="196">
        <f t="shared" ref="AJ63" si="328">SUM(AJ64:AJ74)</f>
        <v>1.9121158185149825E-2</v>
      </c>
      <c r="AK63" s="62">
        <f t="shared" ref="AK63:AV63" si="329">SUM(AK64:AK74)</f>
        <v>193840</v>
      </c>
      <c r="AL63" s="62">
        <f t="shared" si="329"/>
        <v>107210</v>
      </c>
      <c r="AM63" s="62">
        <f t="shared" si="329"/>
        <v>125290</v>
      </c>
      <c r="AN63" s="62">
        <f t="shared" si="329"/>
        <v>155040</v>
      </c>
      <c r="AO63" s="62">
        <f t="shared" si="329"/>
        <v>129710</v>
      </c>
      <c r="AP63" s="62">
        <f t="shared" si="329"/>
        <v>28080</v>
      </c>
      <c r="AQ63" s="62">
        <f t="shared" si="329"/>
        <v>283480</v>
      </c>
      <c r="AR63" s="62">
        <f t="shared" si="329"/>
        <v>283390</v>
      </c>
      <c r="AS63" s="62">
        <f t="shared" si="329"/>
        <v>252120</v>
      </c>
      <c r="AT63" s="62">
        <f t="shared" si="329"/>
        <v>85360</v>
      </c>
      <c r="AU63" s="62">
        <f t="shared" si="329"/>
        <v>202100</v>
      </c>
      <c r="AV63" s="62">
        <f t="shared" si="329"/>
        <v>100720</v>
      </c>
      <c r="AW63" s="190">
        <f t="shared" si="18"/>
        <v>1946340</v>
      </c>
      <c r="AX63" s="196">
        <f t="shared" ref="AX63" si="330">SUM(AX64:AX74)</f>
        <v>2.55132775181286E-2</v>
      </c>
      <c r="AY63" s="62">
        <f t="shared" ref="AY63:BJ63" si="331">SUM(AY64:AY74)</f>
        <v>133681</v>
      </c>
      <c r="AZ63" s="62">
        <f t="shared" si="331"/>
        <v>96390</v>
      </c>
      <c r="BA63" s="62">
        <f t="shared" si="331"/>
        <v>279510</v>
      </c>
      <c r="BB63" s="62">
        <f t="shared" si="331"/>
        <v>337670</v>
      </c>
      <c r="BC63" s="62">
        <f t="shared" si="331"/>
        <v>113990</v>
      </c>
      <c r="BD63" s="62">
        <f t="shared" si="331"/>
        <v>141940</v>
      </c>
      <c r="BE63" s="62">
        <f t="shared" si="331"/>
        <v>116060</v>
      </c>
      <c r="BF63" s="62">
        <f t="shared" si="331"/>
        <v>358780</v>
      </c>
      <c r="BG63" s="62">
        <f t="shared" si="331"/>
        <v>306940</v>
      </c>
      <c r="BH63" s="62">
        <f t="shared" si="331"/>
        <v>187390</v>
      </c>
      <c r="BI63" s="62">
        <f t="shared" si="331"/>
        <v>177540</v>
      </c>
      <c r="BJ63" s="62">
        <f t="shared" si="331"/>
        <v>281340</v>
      </c>
      <c r="BK63" s="190">
        <f t="shared" si="19"/>
        <v>2531231</v>
      </c>
      <c r="BL63" s="196">
        <f t="shared" ref="BL63" si="332">SUM(BL64:BL74)</f>
        <v>3.6243792188269758E-2</v>
      </c>
      <c r="BM63" s="62">
        <f t="shared" ref="BM63:BX63" si="333">SUM(BM64:BM74)</f>
        <v>127550</v>
      </c>
      <c r="BN63" s="62">
        <f t="shared" si="333"/>
        <v>198340</v>
      </c>
      <c r="BO63" s="62">
        <f t="shared" si="333"/>
        <v>148860</v>
      </c>
      <c r="BP63" s="62">
        <f t="shared" si="333"/>
        <v>372680</v>
      </c>
      <c r="BQ63" s="62">
        <f t="shared" si="333"/>
        <v>79520</v>
      </c>
      <c r="BR63" s="62">
        <f t="shared" si="333"/>
        <v>0</v>
      </c>
      <c r="BS63" s="62">
        <f t="shared" si="333"/>
        <v>0</v>
      </c>
      <c r="BT63" s="62">
        <f t="shared" si="333"/>
        <v>0</v>
      </c>
      <c r="BU63" s="62">
        <f t="shared" si="333"/>
        <v>0</v>
      </c>
      <c r="BV63" s="62">
        <f t="shared" si="333"/>
        <v>0</v>
      </c>
      <c r="BW63" s="62">
        <f t="shared" si="333"/>
        <v>0</v>
      </c>
      <c r="BX63" s="62">
        <f t="shared" si="333"/>
        <v>0</v>
      </c>
      <c r="BY63" s="190">
        <f t="shared" si="20"/>
        <v>926950</v>
      </c>
      <c r="BZ63" s="196">
        <f t="shared" ref="BZ63" si="334">SUM(BZ64:BZ74)</f>
        <v>2.12394275447845E-2</v>
      </c>
      <c r="CA63" s="62">
        <f t="shared" ref="CA63:CL63" si="335">SUM(CA64:CA74)</f>
        <v>0</v>
      </c>
      <c r="CB63" s="62">
        <f t="shared" si="335"/>
        <v>0</v>
      </c>
      <c r="CC63" s="62">
        <f t="shared" si="335"/>
        <v>0</v>
      </c>
      <c r="CD63" s="62">
        <f t="shared" si="335"/>
        <v>0</v>
      </c>
      <c r="CE63" s="62">
        <f t="shared" si="335"/>
        <v>0</v>
      </c>
      <c r="CF63" s="62">
        <f t="shared" si="335"/>
        <v>0</v>
      </c>
      <c r="CG63" s="62">
        <f t="shared" si="335"/>
        <v>0</v>
      </c>
      <c r="CH63" s="62">
        <f t="shared" si="335"/>
        <v>0</v>
      </c>
      <c r="CI63" s="62">
        <f t="shared" si="335"/>
        <v>0</v>
      </c>
      <c r="CJ63" s="62">
        <f t="shared" si="335"/>
        <v>0</v>
      </c>
      <c r="CK63" s="62">
        <f t="shared" si="335"/>
        <v>0</v>
      </c>
      <c r="CL63" s="62">
        <f t="shared" si="335"/>
        <v>0</v>
      </c>
      <c r="CM63" s="190">
        <f t="shared" si="21"/>
        <v>0</v>
      </c>
      <c r="CN63" s="62">
        <f t="shared" ref="CN63:CY63" si="336">SUM(CN64:CN74)</f>
        <v>0</v>
      </c>
      <c r="CO63" s="62">
        <f t="shared" si="336"/>
        <v>0</v>
      </c>
      <c r="CP63" s="62">
        <f t="shared" si="336"/>
        <v>0</v>
      </c>
      <c r="CQ63" s="62">
        <f t="shared" si="336"/>
        <v>0</v>
      </c>
      <c r="CR63" s="62">
        <f t="shared" si="336"/>
        <v>0</v>
      </c>
      <c r="CS63" s="62">
        <f t="shared" si="336"/>
        <v>0</v>
      </c>
      <c r="CT63" s="62">
        <f t="shared" si="336"/>
        <v>0</v>
      </c>
      <c r="CU63" s="62">
        <f t="shared" si="336"/>
        <v>0</v>
      </c>
      <c r="CV63" s="62">
        <f t="shared" si="336"/>
        <v>0</v>
      </c>
      <c r="CW63" s="62">
        <f t="shared" si="336"/>
        <v>0</v>
      </c>
      <c r="CX63" s="62">
        <f t="shared" si="336"/>
        <v>0</v>
      </c>
      <c r="CY63" s="62">
        <f t="shared" si="336"/>
        <v>0</v>
      </c>
      <c r="CZ63" s="190">
        <f t="shared" si="22"/>
        <v>0</v>
      </c>
      <c r="DA63" s="62">
        <f t="shared" ref="DA63:DL63" si="337">SUM(DA64:DA74)</f>
        <v>0</v>
      </c>
      <c r="DB63" s="62">
        <f t="shared" si="337"/>
        <v>0</v>
      </c>
      <c r="DC63" s="62">
        <f t="shared" si="337"/>
        <v>0</v>
      </c>
      <c r="DD63" s="62">
        <f t="shared" si="337"/>
        <v>0</v>
      </c>
      <c r="DE63" s="62">
        <f t="shared" si="337"/>
        <v>0</v>
      </c>
      <c r="DF63" s="62">
        <f t="shared" si="337"/>
        <v>0</v>
      </c>
      <c r="DG63" s="62">
        <f t="shared" si="337"/>
        <v>0</v>
      </c>
      <c r="DH63" s="62">
        <f t="shared" si="337"/>
        <v>0</v>
      </c>
      <c r="DI63" s="62">
        <f t="shared" si="337"/>
        <v>0</v>
      </c>
      <c r="DJ63" s="62">
        <f t="shared" si="337"/>
        <v>0</v>
      </c>
      <c r="DK63" s="62">
        <f t="shared" si="337"/>
        <v>0</v>
      </c>
      <c r="DL63" s="62">
        <f t="shared" si="337"/>
        <v>0</v>
      </c>
      <c r="DM63" s="190">
        <f t="shared" si="23"/>
        <v>0</v>
      </c>
      <c r="DN63" s="62">
        <f t="shared" ref="DN63:DY63" si="338">SUM(DN64:DN74)</f>
        <v>0</v>
      </c>
      <c r="DO63" s="62">
        <f t="shared" si="338"/>
        <v>0</v>
      </c>
      <c r="DP63" s="62">
        <f t="shared" si="338"/>
        <v>0</v>
      </c>
      <c r="DQ63" s="62">
        <f t="shared" si="338"/>
        <v>0</v>
      </c>
      <c r="DR63" s="62">
        <f t="shared" si="338"/>
        <v>0</v>
      </c>
      <c r="DS63" s="62">
        <f t="shared" si="338"/>
        <v>0</v>
      </c>
      <c r="DT63" s="62">
        <f t="shared" si="338"/>
        <v>0</v>
      </c>
      <c r="DU63" s="62">
        <f t="shared" si="338"/>
        <v>0</v>
      </c>
      <c r="DV63" s="62">
        <f t="shared" si="338"/>
        <v>0</v>
      </c>
      <c r="DW63" s="62">
        <f t="shared" si="338"/>
        <v>0</v>
      </c>
      <c r="DX63" s="62">
        <f t="shared" si="338"/>
        <v>0</v>
      </c>
      <c r="DY63" s="62">
        <f t="shared" si="338"/>
        <v>0</v>
      </c>
      <c r="DZ63" s="190">
        <f t="shared" si="24"/>
        <v>0</v>
      </c>
    </row>
    <row r="64" spans="1:130" ht="20.45" customHeight="1" outlineLevel="2">
      <c r="A64" s="662"/>
      <c r="B64" s="653"/>
      <c r="C64" s="30" t="s">
        <v>334</v>
      </c>
      <c r="D64" s="62">
        <f t="shared" si="0"/>
        <v>209480</v>
      </c>
      <c r="E64" s="184">
        <f t="shared" si="179"/>
        <v>6.481318269938634E-4</v>
      </c>
      <c r="F64" s="62">
        <v>0</v>
      </c>
      <c r="G64" s="190">
        <f t="shared" si="36"/>
        <v>0</v>
      </c>
      <c r="H64" s="197">
        <f t="shared" ref="H64:H74" si="339">G64/(G$5+G$6+G$7+G$8+G$10+G$9)</f>
        <v>0</v>
      </c>
      <c r="I64" s="62">
        <v>0</v>
      </c>
      <c r="J64" s="62">
        <v>0</v>
      </c>
      <c r="K64" s="62">
        <v>0</v>
      </c>
      <c r="L64" s="62">
        <v>0</v>
      </c>
      <c r="M64" s="62">
        <v>0</v>
      </c>
      <c r="N64" s="62">
        <v>0</v>
      </c>
      <c r="O64" s="62">
        <v>209480</v>
      </c>
      <c r="P64" s="62">
        <v>0</v>
      </c>
      <c r="Q64" s="62">
        <v>0</v>
      </c>
      <c r="R64" s="62">
        <v>0</v>
      </c>
      <c r="S64" s="62">
        <v>0</v>
      </c>
      <c r="T64" s="62">
        <v>0</v>
      </c>
      <c r="U64" s="190">
        <f t="shared" si="16"/>
        <v>209480</v>
      </c>
      <c r="V64" s="197">
        <f t="shared" ref="V64:V74" si="340">U64/(U$5+U$6+U$7+U$8+U$10+U$9)</f>
        <v>3.7757752582430744E-3</v>
      </c>
      <c r="W64" s="62">
        <v>0</v>
      </c>
      <c r="X64" s="62">
        <v>0</v>
      </c>
      <c r="Y64" s="62">
        <v>0</v>
      </c>
      <c r="Z64" s="62">
        <v>0</v>
      </c>
      <c r="AA64" s="62">
        <v>0</v>
      </c>
      <c r="AB64" s="62">
        <v>0</v>
      </c>
      <c r="AC64" s="62">
        <v>0</v>
      </c>
      <c r="AD64" s="62">
        <v>0</v>
      </c>
      <c r="AE64" s="62">
        <v>0</v>
      </c>
      <c r="AF64" s="62">
        <v>0</v>
      </c>
      <c r="AG64" s="62">
        <v>0</v>
      </c>
      <c r="AH64" s="62">
        <v>0</v>
      </c>
      <c r="AI64" s="190">
        <f t="shared" si="17"/>
        <v>0</v>
      </c>
      <c r="AJ64" s="197">
        <f t="shared" ref="AJ64:AJ74" si="341">AI64/(AI$5+AI$6+AI$7+AI$8+AI$10+AI$9)</f>
        <v>0</v>
      </c>
      <c r="AK64" s="62">
        <v>0</v>
      </c>
      <c r="AL64" s="62">
        <v>0</v>
      </c>
      <c r="AM64" s="62">
        <v>0</v>
      </c>
      <c r="AN64" s="62">
        <v>0</v>
      </c>
      <c r="AO64" s="62">
        <v>0</v>
      </c>
      <c r="AP64" s="62">
        <v>0</v>
      </c>
      <c r="AQ64" s="62">
        <v>0</v>
      </c>
      <c r="AR64" s="62">
        <v>0</v>
      </c>
      <c r="AS64" s="62">
        <v>0</v>
      </c>
      <c r="AT64" s="62">
        <v>0</v>
      </c>
      <c r="AU64" s="62">
        <v>0</v>
      </c>
      <c r="AV64" s="62">
        <v>0</v>
      </c>
      <c r="AW64" s="190">
        <f t="shared" si="18"/>
        <v>0</v>
      </c>
      <c r="AX64" s="197">
        <f t="shared" ref="AX64:AX74" si="342">AW64/(AW$5+AW$6+AW$7+AW$8+AW$10+AW$9)</f>
        <v>0</v>
      </c>
      <c r="AY64" s="62">
        <v>0</v>
      </c>
      <c r="AZ64" s="62">
        <v>0</v>
      </c>
      <c r="BA64" s="62">
        <v>0</v>
      </c>
      <c r="BB64" s="62">
        <v>0</v>
      </c>
      <c r="BC64" s="62">
        <v>0</v>
      </c>
      <c r="BD64" s="62">
        <v>0</v>
      </c>
      <c r="BE64" s="62">
        <v>0</v>
      </c>
      <c r="BF64" s="62">
        <v>0</v>
      </c>
      <c r="BG64" s="62">
        <v>0</v>
      </c>
      <c r="BH64" s="62">
        <v>0</v>
      </c>
      <c r="BI64" s="62">
        <v>0</v>
      </c>
      <c r="BJ64" s="62">
        <v>0</v>
      </c>
      <c r="BK64" s="190">
        <f t="shared" si="19"/>
        <v>0</v>
      </c>
      <c r="BL64" s="197">
        <f t="shared" ref="BL64:BL74" si="343">BK64/(BK$5+BK$6+BK$7+BK$8+BK$10+BK$9)</f>
        <v>0</v>
      </c>
      <c r="BM64" s="62">
        <v>0</v>
      </c>
      <c r="BN64" s="62">
        <v>0</v>
      </c>
      <c r="BO64" s="62">
        <v>0</v>
      </c>
      <c r="BP64" s="62">
        <v>0</v>
      </c>
      <c r="BQ64" s="62">
        <v>0</v>
      </c>
      <c r="BR64" s="62">
        <v>0</v>
      </c>
      <c r="BS64" s="62">
        <v>0</v>
      </c>
      <c r="BT64" s="62">
        <v>0</v>
      </c>
      <c r="BU64" s="62">
        <v>0</v>
      </c>
      <c r="BV64" s="62">
        <v>0</v>
      </c>
      <c r="BW64" s="62">
        <v>0</v>
      </c>
      <c r="BX64" s="62">
        <v>0</v>
      </c>
      <c r="BY64" s="190">
        <f t="shared" si="20"/>
        <v>0</v>
      </c>
      <c r="BZ64" s="197">
        <f t="shared" ref="BZ64:BZ74" si="344">BY64/(BY$5+BY$6+BY$7+BY$8+BY$10+BY$9)</f>
        <v>0</v>
      </c>
      <c r="CA64" s="62">
        <v>0</v>
      </c>
      <c r="CB64" s="62">
        <v>0</v>
      </c>
      <c r="CC64" s="62">
        <v>0</v>
      </c>
      <c r="CD64" s="62">
        <v>0</v>
      </c>
      <c r="CE64" s="62">
        <v>0</v>
      </c>
      <c r="CF64" s="62">
        <v>0</v>
      </c>
      <c r="CG64" s="62">
        <v>0</v>
      </c>
      <c r="CH64" s="62">
        <v>0</v>
      </c>
      <c r="CI64" s="62">
        <v>0</v>
      </c>
      <c r="CJ64" s="62">
        <v>0</v>
      </c>
      <c r="CK64" s="62">
        <v>0</v>
      </c>
      <c r="CL64" s="62">
        <v>0</v>
      </c>
      <c r="CM64" s="190">
        <f t="shared" si="21"/>
        <v>0</v>
      </c>
      <c r="CN64" s="62">
        <v>0</v>
      </c>
      <c r="CO64" s="62">
        <v>0</v>
      </c>
      <c r="CP64" s="62">
        <v>0</v>
      </c>
      <c r="CQ64" s="62">
        <v>0</v>
      </c>
      <c r="CR64" s="62">
        <v>0</v>
      </c>
      <c r="CS64" s="62">
        <v>0</v>
      </c>
      <c r="CT64" s="62">
        <v>0</v>
      </c>
      <c r="CU64" s="62">
        <v>0</v>
      </c>
      <c r="CV64" s="62">
        <v>0</v>
      </c>
      <c r="CW64" s="62">
        <v>0</v>
      </c>
      <c r="CX64" s="62">
        <v>0</v>
      </c>
      <c r="CY64" s="62">
        <v>0</v>
      </c>
      <c r="CZ64" s="190">
        <f t="shared" si="22"/>
        <v>0</v>
      </c>
      <c r="DA64" s="62">
        <v>0</v>
      </c>
      <c r="DB64" s="62">
        <v>0</v>
      </c>
      <c r="DC64" s="62">
        <v>0</v>
      </c>
      <c r="DD64" s="62">
        <v>0</v>
      </c>
      <c r="DE64" s="62">
        <v>0</v>
      </c>
      <c r="DF64" s="62">
        <v>0</v>
      </c>
      <c r="DG64" s="62">
        <v>0</v>
      </c>
      <c r="DH64" s="62">
        <v>0</v>
      </c>
      <c r="DI64" s="62">
        <v>0</v>
      </c>
      <c r="DJ64" s="62">
        <v>0</v>
      </c>
      <c r="DK64" s="62">
        <v>0</v>
      </c>
      <c r="DL64" s="62">
        <v>0</v>
      </c>
      <c r="DM64" s="190">
        <f t="shared" si="23"/>
        <v>0</v>
      </c>
      <c r="DN64" s="62">
        <v>0</v>
      </c>
      <c r="DO64" s="62">
        <v>0</v>
      </c>
      <c r="DP64" s="62">
        <v>0</v>
      </c>
      <c r="DQ64" s="62">
        <v>0</v>
      </c>
      <c r="DR64" s="62">
        <v>0</v>
      </c>
      <c r="DS64" s="62">
        <v>0</v>
      </c>
      <c r="DT64" s="62">
        <v>0</v>
      </c>
      <c r="DU64" s="62">
        <v>0</v>
      </c>
      <c r="DV64" s="62">
        <v>0</v>
      </c>
      <c r="DW64" s="62">
        <v>0</v>
      </c>
      <c r="DX64" s="62">
        <v>0</v>
      </c>
      <c r="DY64" s="62">
        <v>0</v>
      </c>
      <c r="DZ64" s="190">
        <f t="shared" si="24"/>
        <v>0</v>
      </c>
    </row>
    <row r="65" spans="1:130" ht="20.45" customHeight="1" outlineLevel="2">
      <c r="A65" s="662"/>
      <c r="B65" s="653"/>
      <c r="C65" s="30" t="s">
        <v>2612</v>
      </c>
      <c r="D65" s="62">
        <f t="shared" si="0"/>
        <v>2285670.0000000005</v>
      </c>
      <c r="E65" s="184">
        <f t="shared" si="179"/>
        <v>7.0718706941238496E-3</v>
      </c>
      <c r="F65" s="62">
        <v>0</v>
      </c>
      <c r="G65" s="190">
        <f t="shared" si="36"/>
        <v>0</v>
      </c>
      <c r="H65" s="197">
        <f t="shared" si="339"/>
        <v>0</v>
      </c>
      <c r="I65" s="62">
        <v>0</v>
      </c>
      <c r="J65" s="62">
        <v>0</v>
      </c>
      <c r="K65" s="62">
        <v>0</v>
      </c>
      <c r="L65" s="62">
        <v>0</v>
      </c>
      <c r="M65" s="62">
        <v>0</v>
      </c>
      <c r="N65" s="62">
        <v>0</v>
      </c>
      <c r="O65" s="62">
        <v>106430</v>
      </c>
      <c r="P65" s="62">
        <v>88310</v>
      </c>
      <c r="Q65" s="62">
        <v>0</v>
      </c>
      <c r="R65" s="62">
        <v>87610</v>
      </c>
      <c r="S65" s="62">
        <f>116090+54040</f>
        <v>170130</v>
      </c>
      <c r="T65" s="62">
        <v>0</v>
      </c>
      <c r="U65" s="190">
        <f t="shared" si="16"/>
        <v>452480</v>
      </c>
      <c r="V65" s="197">
        <f t="shared" si="340"/>
        <v>8.1557322362508424E-3</v>
      </c>
      <c r="W65" s="62">
        <v>83120</v>
      </c>
      <c r="X65" s="62">
        <v>44860</v>
      </c>
      <c r="Y65" s="62">
        <v>128770</v>
      </c>
      <c r="Z65" s="62">
        <v>48000</v>
      </c>
      <c r="AA65" s="62">
        <v>0</v>
      </c>
      <c r="AB65" s="62">
        <f>81620+67790</f>
        <v>149410</v>
      </c>
      <c r="AC65" s="62">
        <v>0</v>
      </c>
      <c r="AD65" s="62">
        <v>49320</v>
      </c>
      <c r="AE65" s="62">
        <v>0</v>
      </c>
      <c r="AF65" s="62">
        <f>72620</f>
        <v>72620</v>
      </c>
      <c r="AG65" s="62">
        <v>106640</v>
      </c>
      <c r="AH65" s="62">
        <v>94640</v>
      </c>
      <c r="AI65" s="190">
        <f t="shared" si="17"/>
        <v>777380</v>
      </c>
      <c r="AJ65" s="197">
        <f t="shared" si="341"/>
        <v>1.0565285590387283E-2</v>
      </c>
      <c r="AK65" s="62">
        <v>0</v>
      </c>
      <c r="AL65" s="62">
        <f>85070</f>
        <v>85070</v>
      </c>
      <c r="AM65" s="62">
        <v>0</v>
      </c>
      <c r="AN65" s="62">
        <v>0</v>
      </c>
      <c r="AO65" s="62">
        <f>66630</f>
        <v>66630</v>
      </c>
      <c r="AP65" s="62">
        <v>0</v>
      </c>
      <c r="AQ65" s="62">
        <v>0</v>
      </c>
      <c r="AR65" s="62">
        <v>56300</v>
      </c>
      <c r="AS65" s="62">
        <v>0</v>
      </c>
      <c r="AT65" s="62">
        <v>0</v>
      </c>
      <c r="AU65" s="62">
        <v>47270</v>
      </c>
      <c r="AV65" s="62">
        <v>0</v>
      </c>
      <c r="AW65" s="190">
        <f t="shared" si="18"/>
        <v>255270</v>
      </c>
      <c r="AX65" s="197">
        <f t="shared" si="342"/>
        <v>3.3461647769930675E-3</v>
      </c>
      <c r="AY65" s="62">
        <v>0</v>
      </c>
      <c r="AZ65" s="62">
        <v>0</v>
      </c>
      <c r="BA65" s="62">
        <f>48290</f>
        <v>48290</v>
      </c>
      <c r="BB65" s="62">
        <v>105460</v>
      </c>
      <c r="BC65" s="62">
        <v>0</v>
      </c>
      <c r="BD65" s="62">
        <v>0</v>
      </c>
      <c r="BE65" s="62">
        <v>0</v>
      </c>
      <c r="BF65" s="62">
        <v>0</v>
      </c>
      <c r="BG65" s="62">
        <v>0</v>
      </c>
      <c r="BH65" s="62">
        <f>32460+49400</f>
        <v>81860</v>
      </c>
      <c r="BI65" s="62">
        <f>40490</f>
        <v>40490</v>
      </c>
      <c r="BJ65" s="62">
        <v>0</v>
      </c>
      <c r="BK65" s="190">
        <f t="shared" si="19"/>
        <v>276100</v>
      </c>
      <c r="BL65" s="197">
        <f t="shared" si="343"/>
        <v>3.9533772394464515E-3</v>
      </c>
      <c r="BM65" s="62">
        <v>0</v>
      </c>
      <c r="BN65" s="62">
        <f>81300</f>
        <v>81300</v>
      </c>
      <c r="BO65" s="62">
        <f>93340</f>
        <v>93340</v>
      </c>
      <c r="BP65" s="62">
        <f>128850+156170</f>
        <v>285020</v>
      </c>
      <c r="BQ65" s="62">
        <f>64780</f>
        <v>64780</v>
      </c>
      <c r="BR65" s="62">
        <v>0</v>
      </c>
      <c r="BS65" s="62">
        <v>0</v>
      </c>
      <c r="BT65" s="62">
        <v>0</v>
      </c>
      <c r="BU65" s="62">
        <v>0</v>
      </c>
      <c r="BV65" s="62">
        <v>0</v>
      </c>
      <c r="BW65" s="62">
        <v>0</v>
      </c>
      <c r="BX65" s="62">
        <v>0</v>
      </c>
      <c r="BY65" s="190">
        <f t="shared" si="20"/>
        <v>524440</v>
      </c>
      <c r="BZ65" s="197">
        <f t="shared" si="344"/>
        <v>1.2016619431023015E-2</v>
      </c>
      <c r="CA65" s="62">
        <v>0</v>
      </c>
      <c r="CB65" s="62">
        <v>0</v>
      </c>
      <c r="CC65" s="62">
        <v>0</v>
      </c>
      <c r="CD65" s="62">
        <v>0</v>
      </c>
      <c r="CE65" s="62">
        <v>0</v>
      </c>
      <c r="CF65" s="62">
        <v>0</v>
      </c>
      <c r="CG65" s="62">
        <v>0</v>
      </c>
      <c r="CH65" s="62">
        <v>0</v>
      </c>
      <c r="CI65" s="62">
        <v>0</v>
      </c>
      <c r="CJ65" s="62">
        <v>0</v>
      </c>
      <c r="CK65" s="62">
        <v>0</v>
      </c>
      <c r="CL65" s="62">
        <v>0</v>
      </c>
      <c r="CM65" s="190">
        <f t="shared" si="21"/>
        <v>0</v>
      </c>
      <c r="CN65" s="62">
        <v>0</v>
      </c>
      <c r="CO65" s="62">
        <v>0</v>
      </c>
      <c r="CP65" s="62">
        <v>0</v>
      </c>
      <c r="CQ65" s="62">
        <v>0</v>
      </c>
      <c r="CR65" s="62">
        <v>0</v>
      </c>
      <c r="CS65" s="62">
        <v>0</v>
      </c>
      <c r="CT65" s="62">
        <v>0</v>
      </c>
      <c r="CU65" s="62">
        <v>0</v>
      </c>
      <c r="CV65" s="62">
        <v>0</v>
      </c>
      <c r="CW65" s="62">
        <v>0</v>
      </c>
      <c r="CX65" s="62">
        <v>0</v>
      </c>
      <c r="CY65" s="62">
        <v>0</v>
      </c>
      <c r="CZ65" s="190">
        <f t="shared" si="22"/>
        <v>0</v>
      </c>
      <c r="DA65" s="62">
        <v>0</v>
      </c>
      <c r="DB65" s="62">
        <v>0</v>
      </c>
      <c r="DC65" s="62">
        <v>0</v>
      </c>
      <c r="DD65" s="62">
        <v>0</v>
      </c>
      <c r="DE65" s="62">
        <v>0</v>
      </c>
      <c r="DF65" s="62">
        <v>0</v>
      </c>
      <c r="DG65" s="62">
        <v>0</v>
      </c>
      <c r="DH65" s="62">
        <v>0</v>
      </c>
      <c r="DI65" s="62">
        <v>0</v>
      </c>
      <c r="DJ65" s="62">
        <v>0</v>
      </c>
      <c r="DK65" s="62">
        <v>0</v>
      </c>
      <c r="DL65" s="62">
        <v>0</v>
      </c>
      <c r="DM65" s="190">
        <f t="shared" si="23"/>
        <v>0</v>
      </c>
      <c r="DN65" s="62">
        <v>0</v>
      </c>
      <c r="DO65" s="62">
        <v>0</v>
      </c>
      <c r="DP65" s="62">
        <v>0</v>
      </c>
      <c r="DQ65" s="62">
        <v>0</v>
      </c>
      <c r="DR65" s="62">
        <v>0</v>
      </c>
      <c r="DS65" s="62">
        <v>0</v>
      </c>
      <c r="DT65" s="62">
        <v>0</v>
      </c>
      <c r="DU65" s="62">
        <v>0</v>
      </c>
      <c r="DV65" s="62">
        <v>0</v>
      </c>
      <c r="DW65" s="62">
        <v>0</v>
      </c>
      <c r="DX65" s="62">
        <v>0</v>
      </c>
      <c r="DY65" s="62">
        <v>0</v>
      </c>
      <c r="DZ65" s="190">
        <f t="shared" si="24"/>
        <v>0</v>
      </c>
    </row>
    <row r="66" spans="1:130" ht="20.45" customHeight="1" outlineLevel="2">
      <c r="A66" s="662"/>
      <c r="B66" s="653"/>
      <c r="C66" s="30" t="s">
        <v>3032</v>
      </c>
      <c r="D66" s="62">
        <f t="shared" si="0"/>
        <v>282929.99999999994</v>
      </c>
      <c r="E66" s="184">
        <f t="shared" si="179"/>
        <v>8.7538637488721461E-4</v>
      </c>
      <c r="F66" s="62">
        <v>0</v>
      </c>
      <c r="G66" s="190">
        <f t="shared" si="36"/>
        <v>0</v>
      </c>
      <c r="H66" s="197">
        <f t="shared" si="339"/>
        <v>0</v>
      </c>
      <c r="I66" s="62">
        <v>0</v>
      </c>
      <c r="J66" s="62">
        <v>0</v>
      </c>
      <c r="K66" s="62">
        <v>0</v>
      </c>
      <c r="L66" s="62">
        <v>0</v>
      </c>
      <c r="M66" s="62">
        <v>0</v>
      </c>
      <c r="N66" s="62">
        <v>0</v>
      </c>
      <c r="O66" s="62">
        <v>0</v>
      </c>
      <c r="P66" s="62">
        <v>0</v>
      </c>
      <c r="Q66" s="62">
        <v>0</v>
      </c>
      <c r="R66" s="62">
        <v>0</v>
      </c>
      <c r="S66" s="62">
        <v>0</v>
      </c>
      <c r="T66" s="62">
        <v>0</v>
      </c>
      <c r="U66" s="190">
        <f t="shared" si="16"/>
        <v>0</v>
      </c>
      <c r="V66" s="197">
        <f t="shared" si="340"/>
        <v>0</v>
      </c>
      <c r="W66" s="62">
        <v>117640</v>
      </c>
      <c r="X66" s="62">
        <v>0</v>
      </c>
      <c r="Y66" s="62">
        <v>0</v>
      </c>
      <c r="Z66" s="62">
        <v>0</v>
      </c>
      <c r="AA66" s="62">
        <v>0</v>
      </c>
      <c r="AB66" s="62">
        <v>33790</v>
      </c>
      <c r="AC66" s="62">
        <v>0</v>
      </c>
      <c r="AD66" s="62">
        <v>0</v>
      </c>
      <c r="AE66" s="62">
        <v>0</v>
      </c>
      <c r="AF66" s="62">
        <v>0</v>
      </c>
      <c r="AG66" s="62">
        <v>0</v>
      </c>
      <c r="AH66" s="62">
        <v>0</v>
      </c>
      <c r="AI66" s="190">
        <f t="shared" si="17"/>
        <v>151430</v>
      </c>
      <c r="AJ66" s="197">
        <f t="shared" si="341"/>
        <v>2.0580683796243104E-3</v>
      </c>
      <c r="AK66" s="62">
        <v>0</v>
      </c>
      <c r="AL66" s="62">
        <v>0</v>
      </c>
      <c r="AM66" s="62">
        <v>0</v>
      </c>
      <c r="AN66" s="62">
        <f>59150</f>
        <v>59150</v>
      </c>
      <c r="AO66" s="62">
        <v>0</v>
      </c>
      <c r="AP66" s="62">
        <v>0</v>
      </c>
      <c r="AQ66" s="62">
        <v>0</v>
      </c>
      <c r="AR66" s="62">
        <v>0</v>
      </c>
      <c r="AS66" s="62">
        <v>0</v>
      </c>
      <c r="AT66" s="62">
        <v>0</v>
      </c>
      <c r="AU66" s="62">
        <v>0</v>
      </c>
      <c r="AV66" s="62">
        <v>0</v>
      </c>
      <c r="AW66" s="190">
        <f t="shared" si="18"/>
        <v>59150</v>
      </c>
      <c r="AX66" s="197">
        <f t="shared" si="342"/>
        <v>7.7535803877909644E-4</v>
      </c>
      <c r="AY66" s="62">
        <v>0</v>
      </c>
      <c r="AZ66" s="62">
        <v>0</v>
      </c>
      <c r="BA66" s="62">
        <v>0</v>
      </c>
      <c r="BB66" s="62">
        <v>0</v>
      </c>
      <c r="BC66" s="62">
        <v>0</v>
      </c>
      <c r="BD66" s="62">
        <v>0</v>
      </c>
      <c r="BE66" s="62">
        <v>0</v>
      </c>
      <c r="BF66" s="62">
        <f>72350</f>
        <v>72350</v>
      </c>
      <c r="BG66" s="62">
        <v>0</v>
      </c>
      <c r="BH66" s="62">
        <v>0</v>
      </c>
      <c r="BI66" s="62">
        <v>0</v>
      </c>
      <c r="BJ66" s="62">
        <v>0</v>
      </c>
      <c r="BK66" s="190">
        <f t="shared" si="19"/>
        <v>72350</v>
      </c>
      <c r="BL66" s="197">
        <f t="shared" si="343"/>
        <v>1.035953796718402E-3</v>
      </c>
      <c r="BM66" s="62">
        <v>0</v>
      </c>
      <c r="BN66" s="62">
        <v>0</v>
      </c>
      <c r="BO66" s="62">
        <v>0</v>
      </c>
      <c r="BP66" s="62">
        <v>0</v>
      </c>
      <c r="BQ66" s="62">
        <v>0</v>
      </c>
      <c r="BR66" s="62">
        <v>0</v>
      </c>
      <c r="BS66" s="62">
        <v>0</v>
      </c>
      <c r="BT66" s="62">
        <v>0</v>
      </c>
      <c r="BU66" s="62">
        <v>0</v>
      </c>
      <c r="BV66" s="62">
        <v>0</v>
      </c>
      <c r="BW66" s="62">
        <v>0</v>
      </c>
      <c r="BX66" s="62">
        <v>0</v>
      </c>
      <c r="BY66" s="190">
        <f t="shared" si="20"/>
        <v>0</v>
      </c>
      <c r="BZ66" s="197">
        <f t="shared" si="344"/>
        <v>0</v>
      </c>
      <c r="CA66" s="62">
        <v>0</v>
      </c>
      <c r="CB66" s="62">
        <v>0</v>
      </c>
      <c r="CC66" s="62">
        <v>0</v>
      </c>
      <c r="CD66" s="62">
        <v>0</v>
      </c>
      <c r="CE66" s="62">
        <v>0</v>
      </c>
      <c r="CF66" s="62">
        <v>0</v>
      </c>
      <c r="CG66" s="62">
        <v>0</v>
      </c>
      <c r="CH66" s="62">
        <v>0</v>
      </c>
      <c r="CI66" s="62">
        <v>0</v>
      </c>
      <c r="CJ66" s="62">
        <v>0</v>
      </c>
      <c r="CK66" s="62">
        <v>0</v>
      </c>
      <c r="CL66" s="62">
        <v>0</v>
      </c>
      <c r="CM66" s="190">
        <f t="shared" si="21"/>
        <v>0</v>
      </c>
      <c r="CN66" s="62">
        <v>0</v>
      </c>
      <c r="CO66" s="62">
        <v>0</v>
      </c>
      <c r="CP66" s="62">
        <v>0</v>
      </c>
      <c r="CQ66" s="62">
        <v>0</v>
      </c>
      <c r="CR66" s="62">
        <v>0</v>
      </c>
      <c r="CS66" s="62">
        <v>0</v>
      </c>
      <c r="CT66" s="62">
        <v>0</v>
      </c>
      <c r="CU66" s="62">
        <v>0</v>
      </c>
      <c r="CV66" s="62">
        <v>0</v>
      </c>
      <c r="CW66" s="62">
        <v>0</v>
      </c>
      <c r="CX66" s="62">
        <v>0</v>
      </c>
      <c r="CY66" s="62">
        <v>0</v>
      </c>
      <c r="CZ66" s="190">
        <f t="shared" si="22"/>
        <v>0</v>
      </c>
      <c r="DA66" s="62">
        <v>0</v>
      </c>
      <c r="DB66" s="62">
        <v>0</v>
      </c>
      <c r="DC66" s="62">
        <v>0</v>
      </c>
      <c r="DD66" s="62">
        <v>0</v>
      </c>
      <c r="DE66" s="62">
        <v>0</v>
      </c>
      <c r="DF66" s="62">
        <v>0</v>
      </c>
      <c r="DG66" s="62">
        <v>0</v>
      </c>
      <c r="DH66" s="62">
        <v>0</v>
      </c>
      <c r="DI66" s="62">
        <v>0</v>
      </c>
      <c r="DJ66" s="62">
        <v>0</v>
      </c>
      <c r="DK66" s="62">
        <v>0</v>
      </c>
      <c r="DL66" s="62">
        <v>0</v>
      </c>
      <c r="DM66" s="190">
        <f t="shared" si="23"/>
        <v>0</v>
      </c>
      <c r="DN66" s="62">
        <v>0</v>
      </c>
      <c r="DO66" s="62">
        <v>0</v>
      </c>
      <c r="DP66" s="62">
        <v>0</v>
      </c>
      <c r="DQ66" s="62">
        <v>0</v>
      </c>
      <c r="DR66" s="62">
        <v>0</v>
      </c>
      <c r="DS66" s="62">
        <v>0</v>
      </c>
      <c r="DT66" s="62">
        <v>0</v>
      </c>
      <c r="DU66" s="62">
        <v>0</v>
      </c>
      <c r="DV66" s="62">
        <v>0</v>
      </c>
      <c r="DW66" s="62">
        <v>0</v>
      </c>
      <c r="DX66" s="62">
        <v>0</v>
      </c>
      <c r="DY66" s="62">
        <v>0</v>
      </c>
      <c r="DZ66" s="190">
        <f t="shared" si="24"/>
        <v>0</v>
      </c>
    </row>
    <row r="67" spans="1:130" ht="20.45" customHeight="1" outlineLevel="2">
      <c r="A67" s="662"/>
      <c r="B67" s="653"/>
      <c r="C67" s="30" t="s">
        <v>335</v>
      </c>
      <c r="D67" s="62">
        <f t="shared" si="0"/>
        <v>4069182.9999999991</v>
      </c>
      <c r="E67" s="184">
        <f t="shared" si="179"/>
        <v>1.2590065935470542E-2</v>
      </c>
      <c r="F67" s="62">
        <v>272534</v>
      </c>
      <c r="G67" s="190">
        <f t="shared" si="36"/>
        <v>272534</v>
      </c>
      <c r="H67" s="197">
        <f t="shared" si="339"/>
        <v>6.2252150286495479E-2</v>
      </c>
      <c r="I67" s="62">
        <v>152420</v>
      </c>
      <c r="J67" s="62">
        <v>78932</v>
      </c>
      <c r="K67" s="62">
        <v>116237</v>
      </c>
      <c r="L67" s="62">
        <v>91550</v>
      </c>
      <c r="M67" s="62">
        <v>66310</v>
      </c>
      <c r="N67" s="62">
        <v>59590</v>
      </c>
      <c r="O67" s="62">
        <v>51920</v>
      </c>
      <c r="P67" s="62">
        <v>37016</v>
      </c>
      <c r="Q67" s="62">
        <v>63380</v>
      </c>
      <c r="R67" s="62">
        <v>13480</v>
      </c>
      <c r="S67" s="62">
        <v>0</v>
      </c>
      <c r="T67" s="62">
        <v>75993</v>
      </c>
      <c r="U67" s="190">
        <f t="shared" si="16"/>
        <v>806828</v>
      </c>
      <c r="V67" s="197">
        <f t="shared" si="340"/>
        <v>1.4542682833959058E-2</v>
      </c>
      <c r="W67" s="62">
        <v>9980</v>
      </c>
      <c r="X67" s="62">
        <v>0</v>
      </c>
      <c r="Y67" s="62">
        <v>26540</v>
      </c>
      <c r="Z67" s="62">
        <f>49080+15410</f>
        <v>64490</v>
      </c>
      <c r="AA67" s="62">
        <v>39820</v>
      </c>
      <c r="AB67" s="62">
        <f>9740+9960</f>
        <v>19700</v>
      </c>
      <c r="AC67" s="62">
        <v>21990</v>
      </c>
      <c r="AD67" s="62">
        <f>13920+36510+23190</f>
        <v>73620</v>
      </c>
      <c r="AE67" s="62">
        <v>0</v>
      </c>
      <c r="AF67" s="62">
        <f>9480+10760</f>
        <v>20240</v>
      </c>
      <c r="AG67" s="62">
        <f>22730+28940</f>
        <v>51670</v>
      </c>
      <c r="AH67" s="62">
        <v>13350</v>
      </c>
      <c r="AI67" s="190">
        <f t="shared" si="17"/>
        <v>341400</v>
      </c>
      <c r="AJ67" s="197">
        <f t="shared" si="341"/>
        <v>4.6399296361602027E-3</v>
      </c>
      <c r="AK67" s="62">
        <f>21360+65630+12960</f>
        <v>99950</v>
      </c>
      <c r="AL67" s="62">
        <f>17760+2780</f>
        <v>20540</v>
      </c>
      <c r="AM67" s="62">
        <f>2780+33260+5280+3490+15800+31470</f>
        <v>92080</v>
      </c>
      <c r="AN67" s="62">
        <f>12510+45200+35380+2800</f>
        <v>95890</v>
      </c>
      <c r="AO67" s="62">
        <f>11880+24160+9330+10960</f>
        <v>56330</v>
      </c>
      <c r="AP67" s="62">
        <f>2800+6980</f>
        <v>9780</v>
      </c>
      <c r="AQ67" s="62">
        <f>62460+22860+6480+16160+5980+54880</f>
        <v>168820</v>
      </c>
      <c r="AR67" s="62">
        <f>9140+6230+15550+10410+4780+70100+8970</f>
        <v>125180</v>
      </c>
      <c r="AS67" s="62">
        <f>9560+56800+4980+34100+23340+13780+20450+40410</f>
        <v>203420</v>
      </c>
      <c r="AT67" s="62">
        <f>15980+1890+43980+5410+12600</f>
        <v>79860</v>
      </c>
      <c r="AU67" s="62">
        <f>25960+18980+31810+15100+29630</f>
        <v>121480</v>
      </c>
      <c r="AV67" s="62">
        <f>59660+17460+2800</f>
        <v>79920</v>
      </c>
      <c r="AW67" s="190">
        <f t="shared" si="18"/>
        <v>1153250</v>
      </c>
      <c r="AX67" s="197">
        <f t="shared" si="342"/>
        <v>1.5117187797497768E-2</v>
      </c>
      <c r="AY67" s="62">
        <f>40390+35761+13330+5980</f>
        <v>95461</v>
      </c>
      <c r="AZ67" s="62">
        <f>6850+58340</f>
        <v>65190</v>
      </c>
      <c r="BA67" s="62">
        <f>21610+28920+5880+31960+32190</f>
        <v>120560</v>
      </c>
      <c r="BB67" s="62">
        <f>5580+8460+18160</f>
        <v>32200</v>
      </c>
      <c r="BC67" s="62">
        <f>17580+18080+15240+34760</f>
        <v>85660</v>
      </c>
      <c r="BD67" s="62">
        <f>41070+6760+69910</f>
        <v>117740</v>
      </c>
      <c r="BE67" s="62">
        <f>21440+10740+26720+52260</f>
        <v>111160</v>
      </c>
      <c r="BF67" s="62">
        <f>2780+3880+12040+8760+78100+16710+11860+11510+17990</f>
        <v>163630</v>
      </c>
      <c r="BG67" s="62">
        <f>35230+20260+5580+82800+12560+4980</f>
        <v>161410</v>
      </c>
      <c r="BH67" s="62">
        <f>4230+23460+11940+12500</f>
        <v>52130</v>
      </c>
      <c r="BI67" s="62">
        <f>42070+11360+5930+8730+21960</f>
        <v>90050</v>
      </c>
      <c r="BJ67" s="62">
        <f>81650+5580+35340+5580</f>
        <v>128150</v>
      </c>
      <c r="BK67" s="190">
        <f t="shared" si="19"/>
        <v>1223341</v>
      </c>
      <c r="BL67" s="197">
        <f t="shared" si="343"/>
        <v>1.7516582634848465E-2</v>
      </c>
      <c r="BM67" s="62">
        <f>3150+29880+47660+8460</f>
        <v>89150</v>
      </c>
      <c r="BN67" s="62">
        <f>5580+8460+9860+6330+19550+19980+2780</f>
        <v>72540</v>
      </c>
      <c r="BO67" s="62">
        <f>2000+5280+9560+8680+5760+7560</f>
        <v>38840</v>
      </c>
      <c r="BP67" s="62">
        <f>5280+5880+10260+5760+21240+5760+5680</f>
        <v>59860</v>
      </c>
      <c r="BQ67" s="62">
        <f>11440</f>
        <v>11440</v>
      </c>
      <c r="BR67" s="62">
        <v>0</v>
      </c>
      <c r="BS67" s="62">
        <v>0</v>
      </c>
      <c r="BT67" s="62">
        <v>0</v>
      </c>
      <c r="BU67" s="62">
        <v>0</v>
      </c>
      <c r="BV67" s="62">
        <v>0</v>
      </c>
      <c r="BW67" s="62">
        <v>0</v>
      </c>
      <c r="BX67" s="62">
        <v>0</v>
      </c>
      <c r="BY67" s="190">
        <f t="shared" si="20"/>
        <v>271830</v>
      </c>
      <c r="BZ67" s="197">
        <f t="shared" si="344"/>
        <v>6.2285059490789912E-3</v>
      </c>
      <c r="CA67" s="62">
        <v>0</v>
      </c>
      <c r="CB67" s="62">
        <v>0</v>
      </c>
      <c r="CC67" s="62">
        <v>0</v>
      </c>
      <c r="CD67" s="62">
        <v>0</v>
      </c>
      <c r="CE67" s="62">
        <v>0</v>
      </c>
      <c r="CF67" s="62">
        <v>0</v>
      </c>
      <c r="CG67" s="62">
        <v>0</v>
      </c>
      <c r="CH67" s="62">
        <v>0</v>
      </c>
      <c r="CI67" s="62">
        <v>0</v>
      </c>
      <c r="CJ67" s="62">
        <v>0</v>
      </c>
      <c r="CK67" s="62">
        <v>0</v>
      </c>
      <c r="CL67" s="62">
        <v>0</v>
      </c>
      <c r="CM67" s="190">
        <f t="shared" si="21"/>
        <v>0</v>
      </c>
      <c r="CN67" s="62">
        <v>0</v>
      </c>
      <c r="CO67" s="62">
        <v>0</v>
      </c>
      <c r="CP67" s="62">
        <v>0</v>
      </c>
      <c r="CQ67" s="62">
        <v>0</v>
      </c>
      <c r="CR67" s="62">
        <v>0</v>
      </c>
      <c r="CS67" s="62">
        <v>0</v>
      </c>
      <c r="CT67" s="62">
        <v>0</v>
      </c>
      <c r="CU67" s="62">
        <v>0</v>
      </c>
      <c r="CV67" s="62">
        <v>0</v>
      </c>
      <c r="CW67" s="62">
        <v>0</v>
      </c>
      <c r="CX67" s="62">
        <v>0</v>
      </c>
      <c r="CY67" s="62">
        <v>0</v>
      </c>
      <c r="CZ67" s="190">
        <f t="shared" si="22"/>
        <v>0</v>
      </c>
      <c r="DA67" s="62">
        <v>0</v>
      </c>
      <c r="DB67" s="62">
        <v>0</v>
      </c>
      <c r="DC67" s="62">
        <v>0</v>
      </c>
      <c r="DD67" s="62">
        <v>0</v>
      </c>
      <c r="DE67" s="62">
        <v>0</v>
      </c>
      <c r="DF67" s="62">
        <v>0</v>
      </c>
      <c r="DG67" s="62">
        <v>0</v>
      </c>
      <c r="DH67" s="62">
        <v>0</v>
      </c>
      <c r="DI67" s="62">
        <v>0</v>
      </c>
      <c r="DJ67" s="62">
        <v>0</v>
      </c>
      <c r="DK67" s="62">
        <v>0</v>
      </c>
      <c r="DL67" s="62">
        <v>0</v>
      </c>
      <c r="DM67" s="190">
        <f t="shared" si="23"/>
        <v>0</v>
      </c>
      <c r="DN67" s="62">
        <v>0</v>
      </c>
      <c r="DO67" s="62">
        <v>0</v>
      </c>
      <c r="DP67" s="62">
        <v>0</v>
      </c>
      <c r="DQ67" s="62">
        <v>0</v>
      </c>
      <c r="DR67" s="62">
        <v>0</v>
      </c>
      <c r="DS67" s="62">
        <v>0</v>
      </c>
      <c r="DT67" s="62">
        <v>0</v>
      </c>
      <c r="DU67" s="62">
        <v>0</v>
      </c>
      <c r="DV67" s="62">
        <v>0</v>
      </c>
      <c r="DW67" s="62">
        <v>0</v>
      </c>
      <c r="DX67" s="62">
        <v>0</v>
      </c>
      <c r="DY67" s="62">
        <v>0</v>
      </c>
      <c r="DZ67" s="190">
        <f t="shared" si="24"/>
        <v>0</v>
      </c>
    </row>
    <row r="68" spans="1:130" ht="20.45" customHeight="1" outlineLevel="2">
      <c r="A68" s="662"/>
      <c r="B68" s="653"/>
      <c r="C68" s="30" t="s">
        <v>336</v>
      </c>
      <c r="D68" s="62">
        <f t="shared" si="0"/>
        <v>244299.99999999994</v>
      </c>
      <c r="E68" s="184">
        <f t="shared" si="179"/>
        <v>7.5586502451117422E-4</v>
      </c>
      <c r="F68" s="62">
        <v>115800</v>
      </c>
      <c r="G68" s="190">
        <f t="shared" si="36"/>
        <v>115800</v>
      </c>
      <c r="H68" s="197">
        <f t="shared" si="339"/>
        <v>2.6451007959286461E-2</v>
      </c>
      <c r="I68" s="62">
        <v>0</v>
      </c>
      <c r="J68" s="62">
        <v>0</v>
      </c>
      <c r="K68" s="62">
        <v>0</v>
      </c>
      <c r="L68" s="62">
        <v>0</v>
      </c>
      <c r="M68" s="62">
        <v>0</v>
      </c>
      <c r="N68" s="62">
        <v>18500</v>
      </c>
      <c r="O68" s="62">
        <v>0</v>
      </c>
      <c r="P68" s="62">
        <v>0</v>
      </c>
      <c r="Q68" s="62">
        <v>20500</v>
      </c>
      <c r="R68" s="62">
        <v>17500</v>
      </c>
      <c r="S68" s="62">
        <v>0</v>
      </c>
      <c r="T68" s="62">
        <v>0</v>
      </c>
      <c r="U68" s="190">
        <f t="shared" si="16"/>
        <v>56500</v>
      </c>
      <c r="V68" s="197">
        <f t="shared" si="340"/>
        <v>1.018385058672588E-3</v>
      </c>
      <c r="W68" s="62">
        <v>0</v>
      </c>
      <c r="X68" s="62">
        <v>0</v>
      </c>
      <c r="Y68" s="62">
        <v>0</v>
      </c>
      <c r="Z68" s="62">
        <v>0</v>
      </c>
      <c r="AA68" s="62">
        <v>0</v>
      </c>
      <c r="AB68" s="62">
        <v>0</v>
      </c>
      <c r="AC68" s="62">
        <v>0</v>
      </c>
      <c r="AD68" s="62">
        <v>0</v>
      </c>
      <c r="AE68" s="62">
        <v>0</v>
      </c>
      <c r="AF68" s="62">
        <v>0</v>
      </c>
      <c r="AG68" s="62">
        <v>0</v>
      </c>
      <c r="AH68" s="62">
        <v>0</v>
      </c>
      <c r="AI68" s="190">
        <f t="shared" si="17"/>
        <v>0</v>
      </c>
      <c r="AJ68" s="197">
        <f t="shared" si="341"/>
        <v>0</v>
      </c>
      <c r="AK68" s="62">
        <v>0</v>
      </c>
      <c r="AL68" s="62">
        <v>0</v>
      </c>
      <c r="AM68" s="62">
        <v>0</v>
      </c>
      <c r="AN68" s="62">
        <v>0</v>
      </c>
      <c r="AO68" s="62">
        <v>0</v>
      </c>
      <c r="AP68" s="62">
        <v>0</v>
      </c>
      <c r="AQ68" s="62">
        <v>0</v>
      </c>
      <c r="AR68" s="62">
        <v>0</v>
      </c>
      <c r="AS68" s="62">
        <v>0</v>
      </c>
      <c r="AT68" s="62">
        <v>0</v>
      </c>
      <c r="AU68" s="62">
        <v>0</v>
      </c>
      <c r="AV68" s="62">
        <v>0</v>
      </c>
      <c r="AW68" s="190">
        <f t="shared" si="18"/>
        <v>0</v>
      </c>
      <c r="AX68" s="197">
        <f t="shared" si="342"/>
        <v>0</v>
      </c>
      <c r="AY68" s="62">
        <v>0</v>
      </c>
      <c r="AZ68" s="62">
        <v>0</v>
      </c>
      <c r="BA68" s="62">
        <v>0</v>
      </c>
      <c r="BB68" s="62">
        <v>0</v>
      </c>
      <c r="BC68" s="62">
        <v>0</v>
      </c>
      <c r="BD68" s="62">
        <v>0</v>
      </c>
      <c r="BE68" s="62">
        <v>0</v>
      </c>
      <c r="BF68" s="62">
        <v>0</v>
      </c>
      <c r="BG68" s="62">
        <v>0</v>
      </c>
      <c r="BH68" s="62">
        <f>25000</f>
        <v>25000</v>
      </c>
      <c r="BI68" s="62">
        <v>47000</v>
      </c>
      <c r="BJ68" s="62">
        <v>0</v>
      </c>
      <c r="BK68" s="190">
        <f t="shared" si="19"/>
        <v>72000</v>
      </c>
      <c r="BL68" s="197">
        <f t="shared" si="343"/>
        <v>1.0309422717861083E-3</v>
      </c>
      <c r="BM68" s="62">
        <v>0</v>
      </c>
      <c r="BN68" s="62">
        <v>0</v>
      </c>
      <c r="BO68" s="62">
        <v>0</v>
      </c>
      <c r="BP68" s="62">
        <v>0</v>
      </c>
      <c r="BQ68" s="62">
        <v>0</v>
      </c>
      <c r="BR68" s="62">
        <v>0</v>
      </c>
      <c r="BS68" s="62">
        <v>0</v>
      </c>
      <c r="BT68" s="62">
        <v>0</v>
      </c>
      <c r="BU68" s="62">
        <v>0</v>
      </c>
      <c r="BV68" s="62">
        <v>0</v>
      </c>
      <c r="BW68" s="62">
        <v>0</v>
      </c>
      <c r="BX68" s="62">
        <v>0</v>
      </c>
      <c r="BY68" s="190">
        <f t="shared" si="20"/>
        <v>0</v>
      </c>
      <c r="BZ68" s="197">
        <f t="shared" si="344"/>
        <v>0</v>
      </c>
      <c r="CA68" s="62">
        <v>0</v>
      </c>
      <c r="CB68" s="62">
        <v>0</v>
      </c>
      <c r="CC68" s="62">
        <v>0</v>
      </c>
      <c r="CD68" s="62">
        <v>0</v>
      </c>
      <c r="CE68" s="62">
        <v>0</v>
      </c>
      <c r="CF68" s="62">
        <v>0</v>
      </c>
      <c r="CG68" s="62">
        <v>0</v>
      </c>
      <c r="CH68" s="62">
        <v>0</v>
      </c>
      <c r="CI68" s="62">
        <v>0</v>
      </c>
      <c r="CJ68" s="62">
        <v>0</v>
      </c>
      <c r="CK68" s="62">
        <v>0</v>
      </c>
      <c r="CL68" s="62">
        <v>0</v>
      </c>
      <c r="CM68" s="190">
        <f t="shared" si="21"/>
        <v>0</v>
      </c>
      <c r="CN68" s="62">
        <v>0</v>
      </c>
      <c r="CO68" s="62">
        <v>0</v>
      </c>
      <c r="CP68" s="62">
        <v>0</v>
      </c>
      <c r="CQ68" s="62">
        <v>0</v>
      </c>
      <c r="CR68" s="62">
        <v>0</v>
      </c>
      <c r="CS68" s="62">
        <v>0</v>
      </c>
      <c r="CT68" s="62">
        <v>0</v>
      </c>
      <c r="CU68" s="62">
        <v>0</v>
      </c>
      <c r="CV68" s="62">
        <v>0</v>
      </c>
      <c r="CW68" s="62">
        <v>0</v>
      </c>
      <c r="CX68" s="62">
        <v>0</v>
      </c>
      <c r="CY68" s="62">
        <v>0</v>
      </c>
      <c r="CZ68" s="190">
        <f t="shared" si="22"/>
        <v>0</v>
      </c>
      <c r="DA68" s="62">
        <v>0</v>
      </c>
      <c r="DB68" s="62">
        <v>0</v>
      </c>
      <c r="DC68" s="62">
        <v>0</v>
      </c>
      <c r="DD68" s="62">
        <v>0</v>
      </c>
      <c r="DE68" s="62">
        <v>0</v>
      </c>
      <c r="DF68" s="62">
        <v>0</v>
      </c>
      <c r="DG68" s="62">
        <v>0</v>
      </c>
      <c r="DH68" s="62">
        <v>0</v>
      </c>
      <c r="DI68" s="62">
        <v>0</v>
      </c>
      <c r="DJ68" s="62">
        <v>0</v>
      </c>
      <c r="DK68" s="62">
        <v>0</v>
      </c>
      <c r="DL68" s="62">
        <v>0</v>
      </c>
      <c r="DM68" s="190">
        <f t="shared" si="23"/>
        <v>0</v>
      </c>
      <c r="DN68" s="62">
        <v>0</v>
      </c>
      <c r="DO68" s="62">
        <v>0</v>
      </c>
      <c r="DP68" s="62">
        <v>0</v>
      </c>
      <c r="DQ68" s="62">
        <v>0</v>
      </c>
      <c r="DR68" s="62">
        <v>0</v>
      </c>
      <c r="DS68" s="62">
        <v>0</v>
      </c>
      <c r="DT68" s="62">
        <v>0</v>
      </c>
      <c r="DU68" s="62">
        <v>0</v>
      </c>
      <c r="DV68" s="62">
        <v>0</v>
      </c>
      <c r="DW68" s="62">
        <v>0</v>
      </c>
      <c r="DX68" s="62">
        <v>0</v>
      </c>
      <c r="DY68" s="62">
        <v>0</v>
      </c>
      <c r="DZ68" s="190">
        <f t="shared" si="24"/>
        <v>0</v>
      </c>
    </row>
    <row r="69" spans="1:130" ht="20.45" customHeight="1" outlineLevel="2">
      <c r="A69" s="662"/>
      <c r="B69" s="653"/>
      <c r="C69" s="30" t="s">
        <v>337</v>
      </c>
      <c r="D69" s="62">
        <f t="shared" ref="D69:D132" si="345">SUM(F69:FJ69)-G69-U69-AI69-AW69-BK69-BY69-CM69-CZ69-DM69-DZ69-H69-V69-AJ69-AX69-BL69-BZ69</f>
        <v>347490.00000000006</v>
      </c>
      <c r="E69" s="184">
        <f t="shared" si="179"/>
        <v>1.0751352327768647E-3</v>
      </c>
      <c r="F69" s="62">
        <v>0</v>
      </c>
      <c r="G69" s="190">
        <f t="shared" si="36"/>
        <v>0</v>
      </c>
      <c r="H69" s="197">
        <f t="shared" si="339"/>
        <v>0</v>
      </c>
      <c r="I69" s="62">
        <v>0</v>
      </c>
      <c r="J69" s="62">
        <v>272680</v>
      </c>
      <c r="K69" s="62">
        <v>0</v>
      </c>
      <c r="L69" s="62">
        <v>0</v>
      </c>
      <c r="M69" s="62">
        <v>0</v>
      </c>
      <c r="N69" s="62">
        <v>0</v>
      </c>
      <c r="O69" s="62">
        <v>0</v>
      </c>
      <c r="P69" s="62">
        <v>0</v>
      </c>
      <c r="Q69" s="62">
        <v>0</v>
      </c>
      <c r="R69" s="62">
        <v>0</v>
      </c>
      <c r="S69" s="62">
        <v>0</v>
      </c>
      <c r="T69" s="62">
        <v>0</v>
      </c>
      <c r="U69" s="190">
        <f t="shared" si="16"/>
        <v>272680</v>
      </c>
      <c r="V69" s="197">
        <f t="shared" si="340"/>
        <v>4.9149245628113498E-3</v>
      </c>
      <c r="W69" s="62">
        <v>0</v>
      </c>
      <c r="X69" s="62">
        <v>0</v>
      </c>
      <c r="Y69" s="62">
        <v>0</v>
      </c>
      <c r="Z69" s="62">
        <v>0</v>
      </c>
      <c r="AA69" s="62">
        <v>0</v>
      </c>
      <c r="AB69" s="62">
        <v>0</v>
      </c>
      <c r="AC69" s="62">
        <v>0</v>
      </c>
      <c r="AD69" s="62">
        <v>0</v>
      </c>
      <c r="AE69" s="62">
        <v>0</v>
      </c>
      <c r="AF69" s="62">
        <v>0</v>
      </c>
      <c r="AG69" s="62">
        <v>0</v>
      </c>
      <c r="AH69" s="62">
        <v>0</v>
      </c>
      <c r="AI69" s="190">
        <f t="shared" si="17"/>
        <v>0</v>
      </c>
      <c r="AJ69" s="197">
        <f t="shared" si="341"/>
        <v>0</v>
      </c>
      <c r="AK69" s="62">
        <v>0</v>
      </c>
      <c r="AL69" s="62">
        <v>0</v>
      </c>
      <c r="AM69" s="62">
        <v>0</v>
      </c>
      <c r="AN69" s="62">
        <v>0</v>
      </c>
      <c r="AO69" s="62">
        <v>0</v>
      </c>
      <c r="AP69" s="62">
        <v>0</v>
      </c>
      <c r="AQ69" s="62">
        <v>0</v>
      </c>
      <c r="AR69" s="62">
        <v>0</v>
      </c>
      <c r="AS69" s="62">
        <v>0</v>
      </c>
      <c r="AT69" s="62">
        <v>0</v>
      </c>
      <c r="AU69" s="62">
        <v>0</v>
      </c>
      <c r="AV69" s="62">
        <v>0</v>
      </c>
      <c r="AW69" s="190">
        <f t="shared" si="18"/>
        <v>0</v>
      </c>
      <c r="AX69" s="197">
        <f t="shared" si="342"/>
        <v>0</v>
      </c>
      <c r="AY69" s="62">
        <v>0</v>
      </c>
      <c r="AZ69" s="62">
        <v>0</v>
      </c>
      <c r="BA69" s="62">
        <v>0</v>
      </c>
      <c r="BB69" s="62">
        <f>47390+27420</f>
        <v>74810</v>
      </c>
      <c r="BC69" s="62">
        <v>0</v>
      </c>
      <c r="BD69" s="62">
        <v>0</v>
      </c>
      <c r="BE69" s="62">
        <v>0</v>
      </c>
      <c r="BF69" s="62">
        <v>0</v>
      </c>
      <c r="BG69" s="62">
        <v>0</v>
      </c>
      <c r="BH69" s="62">
        <v>0</v>
      </c>
      <c r="BI69" s="62">
        <v>0</v>
      </c>
      <c r="BJ69" s="62">
        <v>0</v>
      </c>
      <c r="BK69" s="190">
        <f t="shared" si="19"/>
        <v>74810</v>
      </c>
      <c r="BL69" s="197">
        <f t="shared" si="343"/>
        <v>1.071177657671094E-3</v>
      </c>
      <c r="BM69" s="62">
        <v>0</v>
      </c>
      <c r="BN69" s="62">
        <v>0</v>
      </c>
      <c r="BO69" s="62">
        <v>0</v>
      </c>
      <c r="BP69" s="62">
        <v>0</v>
      </c>
      <c r="BQ69" s="62">
        <v>0</v>
      </c>
      <c r="BR69" s="62">
        <v>0</v>
      </c>
      <c r="BS69" s="62">
        <v>0</v>
      </c>
      <c r="BT69" s="62">
        <v>0</v>
      </c>
      <c r="BU69" s="62">
        <v>0</v>
      </c>
      <c r="BV69" s="62">
        <v>0</v>
      </c>
      <c r="BW69" s="62">
        <v>0</v>
      </c>
      <c r="BX69" s="62">
        <v>0</v>
      </c>
      <c r="BY69" s="190">
        <f t="shared" si="20"/>
        <v>0</v>
      </c>
      <c r="BZ69" s="197">
        <f t="shared" si="344"/>
        <v>0</v>
      </c>
      <c r="CA69" s="62">
        <v>0</v>
      </c>
      <c r="CB69" s="62">
        <v>0</v>
      </c>
      <c r="CC69" s="62">
        <v>0</v>
      </c>
      <c r="CD69" s="62">
        <v>0</v>
      </c>
      <c r="CE69" s="62">
        <v>0</v>
      </c>
      <c r="CF69" s="62">
        <v>0</v>
      </c>
      <c r="CG69" s="62">
        <v>0</v>
      </c>
      <c r="CH69" s="62">
        <v>0</v>
      </c>
      <c r="CI69" s="62">
        <v>0</v>
      </c>
      <c r="CJ69" s="62">
        <v>0</v>
      </c>
      <c r="CK69" s="62">
        <v>0</v>
      </c>
      <c r="CL69" s="62">
        <v>0</v>
      </c>
      <c r="CM69" s="190">
        <f t="shared" si="21"/>
        <v>0</v>
      </c>
      <c r="CN69" s="62">
        <v>0</v>
      </c>
      <c r="CO69" s="62">
        <v>0</v>
      </c>
      <c r="CP69" s="62">
        <v>0</v>
      </c>
      <c r="CQ69" s="62">
        <v>0</v>
      </c>
      <c r="CR69" s="62">
        <v>0</v>
      </c>
      <c r="CS69" s="62">
        <v>0</v>
      </c>
      <c r="CT69" s="62">
        <v>0</v>
      </c>
      <c r="CU69" s="62">
        <v>0</v>
      </c>
      <c r="CV69" s="62">
        <v>0</v>
      </c>
      <c r="CW69" s="62">
        <v>0</v>
      </c>
      <c r="CX69" s="62">
        <v>0</v>
      </c>
      <c r="CY69" s="62">
        <v>0</v>
      </c>
      <c r="CZ69" s="190">
        <f t="shared" si="22"/>
        <v>0</v>
      </c>
      <c r="DA69" s="62">
        <v>0</v>
      </c>
      <c r="DB69" s="62">
        <v>0</v>
      </c>
      <c r="DC69" s="62">
        <v>0</v>
      </c>
      <c r="DD69" s="62">
        <v>0</v>
      </c>
      <c r="DE69" s="62">
        <v>0</v>
      </c>
      <c r="DF69" s="62">
        <v>0</v>
      </c>
      <c r="DG69" s="62">
        <v>0</v>
      </c>
      <c r="DH69" s="62">
        <v>0</v>
      </c>
      <c r="DI69" s="62">
        <v>0</v>
      </c>
      <c r="DJ69" s="62">
        <v>0</v>
      </c>
      <c r="DK69" s="62">
        <v>0</v>
      </c>
      <c r="DL69" s="62">
        <v>0</v>
      </c>
      <c r="DM69" s="190">
        <f t="shared" si="23"/>
        <v>0</v>
      </c>
      <c r="DN69" s="62">
        <v>0</v>
      </c>
      <c r="DO69" s="62">
        <v>0</v>
      </c>
      <c r="DP69" s="62">
        <v>0</v>
      </c>
      <c r="DQ69" s="62">
        <v>0</v>
      </c>
      <c r="DR69" s="62">
        <v>0</v>
      </c>
      <c r="DS69" s="62">
        <v>0</v>
      </c>
      <c r="DT69" s="62">
        <v>0</v>
      </c>
      <c r="DU69" s="62">
        <v>0</v>
      </c>
      <c r="DV69" s="62">
        <v>0</v>
      </c>
      <c r="DW69" s="62">
        <v>0</v>
      </c>
      <c r="DX69" s="62">
        <v>0</v>
      </c>
      <c r="DY69" s="62">
        <v>0</v>
      </c>
      <c r="DZ69" s="190">
        <f t="shared" si="24"/>
        <v>0</v>
      </c>
    </row>
    <row r="70" spans="1:130" ht="20.45" customHeight="1" outlineLevel="2">
      <c r="A70" s="662"/>
      <c r="B70" s="653"/>
      <c r="C70" s="30" t="s">
        <v>338</v>
      </c>
      <c r="D70" s="62">
        <f t="shared" si="345"/>
        <v>139109.99999999994</v>
      </c>
      <c r="E70" s="184">
        <f t="shared" si="179"/>
        <v>4.3040680949549503E-4</v>
      </c>
      <c r="F70" s="62">
        <v>0</v>
      </c>
      <c r="G70" s="190">
        <f t="shared" si="36"/>
        <v>0</v>
      </c>
      <c r="H70" s="197">
        <f t="shared" si="339"/>
        <v>0</v>
      </c>
      <c r="I70" s="62">
        <v>0</v>
      </c>
      <c r="J70" s="62">
        <v>12450</v>
      </c>
      <c r="K70" s="62">
        <v>0</v>
      </c>
      <c r="L70" s="62">
        <v>0</v>
      </c>
      <c r="M70" s="62">
        <v>28960</v>
      </c>
      <c r="N70" s="62">
        <v>0</v>
      </c>
      <c r="O70" s="62">
        <v>0</v>
      </c>
      <c r="P70" s="62">
        <v>0</v>
      </c>
      <c r="Q70" s="62">
        <v>0</v>
      </c>
      <c r="R70" s="62">
        <v>0</v>
      </c>
      <c r="S70" s="62">
        <v>0</v>
      </c>
      <c r="T70" s="62">
        <v>0</v>
      </c>
      <c r="U70" s="190">
        <f t="shared" si="16"/>
        <v>41410</v>
      </c>
      <c r="V70" s="197">
        <f t="shared" si="340"/>
        <v>7.4639513769259936E-4</v>
      </c>
      <c r="W70" s="62">
        <v>0</v>
      </c>
      <c r="X70" s="62">
        <v>0</v>
      </c>
      <c r="Y70" s="62">
        <v>0</v>
      </c>
      <c r="Z70" s="62">
        <v>0</v>
      </c>
      <c r="AA70" s="62">
        <v>0</v>
      </c>
      <c r="AB70" s="62">
        <v>0</v>
      </c>
      <c r="AC70" s="62">
        <v>0</v>
      </c>
      <c r="AD70" s="62">
        <v>0</v>
      </c>
      <c r="AE70" s="62">
        <v>0</v>
      </c>
      <c r="AF70" s="62">
        <v>0</v>
      </c>
      <c r="AG70" s="62">
        <v>0</v>
      </c>
      <c r="AH70" s="62">
        <v>0</v>
      </c>
      <c r="AI70" s="190">
        <f t="shared" si="17"/>
        <v>0</v>
      </c>
      <c r="AJ70" s="197">
        <f t="shared" si="341"/>
        <v>0</v>
      </c>
      <c r="AK70" s="62">
        <v>0</v>
      </c>
      <c r="AL70" s="62">
        <v>0</v>
      </c>
      <c r="AM70" s="62">
        <v>0</v>
      </c>
      <c r="AN70" s="62">
        <v>0</v>
      </c>
      <c r="AO70" s="62">
        <v>0</v>
      </c>
      <c r="AP70" s="62">
        <v>0</v>
      </c>
      <c r="AQ70" s="62">
        <v>51780</v>
      </c>
      <c r="AR70" s="62">
        <v>0</v>
      </c>
      <c r="AS70" s="62">
        <v>0</v>
      </c>
      <c r="AT70" s="62">
        <v>0</v>
      </c>
      <c r="AU70" s="62">
        <v>0</v>
      </c>
      <c r="AV70" s="62">
        <v>0</v>
      </c>
      <c r="AW70" s="190">
        <f t="shared" si="18"/>
        <v>51780</v>
      </c>
      <c r="AX70" s="197">
        <f t="shared" si="342"/>
        <v>6.7874960689740687E-4</v>
      </c>
      <c r="AY70" s="62">
        <f>10270+13650</f>
        <v>23920</v>
      </c>
      <c r="AZ70" s="62">
        <v>0</v>
      </c>
      <c r="BA70" s="62">
        <f>22000</f>
        <v>22000</v>
      </c>
      <c r="BB70" s="62">
        <v>0</v>
      </c>
      <c r="BC70" s="62">
        <v>0</v>
      </c>
      <c r="BD70" s="62">
        <v>0</v>
      </c>
      <c r="BE70" s="62">
        <v>0</v>
      </c>
      <c r="BF70" s="62">
        <v>0</v>
      </c>
      <c r="BG70" s="62">
        <v>0</v>
      </c>
      <c r="BH70" s="62">
        <v>0</v>
      </c>
      <c r="BI70" s="62">
        <v>0</v>
      </c>
      <c r="BJ70" s="62">
        <v>0</v>
      </c>
      <c r="BK70" s="190">
        <f t="shared" si="19"/>
        <v>45920</v>
      </c>
      <c r="BL70" s="197">
        <f t="shared" si="343"/>
        <v>6.5751207111691798E-4</v>
      </c>
      <c r="BM70" s="62">
        <v>0</v>
      </c>
      <c r="BN70" s="62">
        <v>0</v>
      </c>
      <c r="BO70" s="62">
        <v>0</v>
      </c>
      <c r="BP70" s="62">
        <v>0</v>
      </c>
      <c r="BQ70" s="62">
        <v>0</v>
      </c>
      <c r="BR70" s="62">
        <v>0</v>
      </c>
      <c r="BS70" s="62">
        <v>0</v>
      </c>
      <c r="BT70" s="62">
        <v>0</v>
      </c>
      <c r="BU70" s="62">
        <v>0</v>
      </c>
      <c r="BV70" s="62">
        <v>0</v>
      </c>
      <c r="BW70" s="62">
        <v>0</v>
      </c>
      <c r="BX70" s="62">
        <v>0</v>
      </c>
      <c r="BY70" s="190">
        <f t="shared" si="20"/>
        <v>0</v>
      </c>
      <c r="BZ70" s="197">
        <f t="shared" si="344"/>
        <v>0</v>
      </c>
      <c r="CA70" s="62">
        <v>0</v>
      </c>
      <c r="CB70" s="62">
        <v>0</v>
      </c>
      <c r="CC70" s="62">
        <v>0</v>
      </c>
      <c r="CD70" s="62">
        <v>0</v>
      </c>
      <c r="CE70" s="62">
        <v>0</v>
      </c>
      <c r="CF70" s="62">
        <v>0</v>
      </c>
      <c r="CG70" s="62">
        <v>0</v>
      </c>
      <c r="CH70" s="62">
        <v>0</v>
      </c>
      <c r="CI70" s="62">
        <v>0</v>
      </c>
      <c r="CJ70" s="62">
        <v>0</v>
      </c>
      <c r="CK70" s="62">
        <v>0</v>
      </c>
      <c r="CL70" s="62">
        <v>0</v>
      </c>
      <c r="CM70" s="190">
        <f t="shared" si="21"/>
        <v>0</v>
      </c>
      <c r="CN70" s="62">
        <v>0</v>
      </c>
      <c r="CO70" s="62">
        <v>0</v>
      </c>
      <c r="CP70" s="62">
        <v>0</v>
      </c>
      <c r="CQ70" s="62">
        <v>0</v>
      </c>
      <c r="CR70" s="62">
        <v>0</v>
      </c>
      <c r="CS70" s="62">
        <v>0</v>
      </c>
      <c r="CT70" s="62">
        <v>0</v>
      </c>
      <c r="CU70" s="62">
        <v>0</v>
      </c>
      <c r="CV70" s="62">
        <v>0</v>
      </c>
      <c r="CW70" s="62">
        <v>0</v>
      </c>
      <c r="CX70" s="62">
        <v>0</v>
      </c>
      <c r="CY70" s="62">
        <v>0</v>
      </c>
      <c r="CZ70" s="190">
        <f t="shared" si="22"/>
        <v>0</v>
      </c>
      <c r="DA70" s="62">
        <v>0</v>
      </c>
      <c r="DB70" s="62">
        <v>0</v>
      </c>
      <c r="DC70" s="62">
        <v>0</v>
      </c>
      <c r="DD70" s="62">
        <v>0</v>
      </c>
      <c r="DE70" s="62">
        <v>0</v>
      </c>
      <c r="DF70" s="62">
        <v>0</v>
      </c>
      <c r="DG70" s="62">
        <v>0</v>
      </c>
      <c r="DH70" s="62">
        <v>0</v>
      </c>
      <c r="DI70" s="62">
        <v>0</v>
      </c>
      <c r="DJ70" s="62">
        <v>0</v>
      </c>
      <c r="DK70" s="62">
        <v>0</v>
      </c>
      <c r="DL70" s="62">
        <v>0</v>
      </c>
      <c r="DM70" s="190">
        <f t="shared" si="23"/>
        <v>0</v>
      </c>
      <c r="DN70" s="62">
        <v>0</v>
      </c>
      <c r="DO70" s="62">
        <v>0</v>
      </c>
      <c r="DP70" s="62">
        <v>0</v>
      </c>
      <c r="DQ70" s="62">
        <v>0</v>
      </c>
      <c r="DR70" s="62">
        <v>0</v>
      </c>
      <c r="DS70" s="62">
        <v>0</v>
      </c>
      <c r="DT70" s="62">
        <v>0</v>
      </c>
      <c r="DU70" s="62">
        <v>0</v>
      </c>
      <c r="DV70" s="62">
        <v>0</v>
      </c>
      <c r="DW70" s="62">
        <v>0</v>
      </c>
      <c r="DX70" s="62">
        <v>0</v>
      </c>
      <c r="DY70" s="62">
        <v>0</v>
      </c>
      <c r="DZ70" s="190">
        <f t="shared" si="24"/>
        <v>0</v>
      </c>
    </row>
    <row r="71" spans="1:130" ht="20.45" customHeight="1" outlineLevel="2">
      <c r="A71" s="662"/>
      <c r="B71" s="653"/>
      <c r="C71" s="30" t="s">
        <v>339</v>
      </c>
      <c r="D71" s="62">
        <f t="shared" si="345"/>
        <v>535770</v>
      </c>
      <c r="E71" s="184">
        <f t="shared" si="179"/>
        <v>1.657674188220843E-3</v>
      </c>
      <c r="F71" s="62">
        <v>0</v>
      </c>
      <c r="G71" s="190">
        <f t="shared" si="36"/>
        <v>0</v>
      </c>
      <c r="H71" s="197">
        <f t="shared" si="339"/>
        <v>0</v>
      </c>
      <c r="I71" s="62">
        <v>0</v>
      </c>
      <c r="J71" s="62">
        <v>0</v>
      </c>
      <c r="K71" s="62">
        <v>0</v>
      </c>
      <c r="L71" s="62">
        <v>0</v>
      </c>
      <c r="M71" s="62">
        <v>0</v>
      </c>
      <c r="N71" s="62">
        <v>0</v>
      </c>
      <c r="O71" s="62">
        <v>0</v>
      </c>
      <c r="P71" s="62">
        <v>0</v>
      </c>
      <c r="Q71" s="62">
        <v>0</v>
      </c>
      <c r="R71" s="62">
        <v>0</v>
      </c>
      <c r="S71" s="62">
        <v>0</v>
      </c>
      <c r="T71" s="62">
        <v>0</v>
      </c>
      <c r="U71" s="190">
        <f t="shared" si="16"/>
        <v>0</v>
      </c>
      <c r="V71" s="197">
        <f t="shared" si="340"/>
        <v>0</v>
      </c>
      <c r="W71" s="62">
        <v>9600</v>
      </c>
      <c r="X71" s="62">
        <v>0</v>
      </c>
      <c r="Y71" s="62">
        <v>0</v>
      </c>
      <c r="Z71" s="62">
        <v>0</v>
      </c>
      <c r="AA71" s="62">
        <v>19000</v>
      </c>
      <c r="AB71" s="62">
        <v>0</v>
      </c>
      <c r="AC71" s="62">
        <v>0</v>
      </c>
      <c r="AD71" s="62">
        <v>0</v>
      </c>
      <c r="AE71" s="62">
        <v>0</v>
      </c>
      <c r="AF71" s="62">
        <v>0</v>
      </c>
      <c r="AG71" s="62">
        <v>0</v>
      </c>
      <c r="AH71" s="62">
        <v>0</v>
      </c>
      <c r="AI71" s="190">
        <f t="shared" si="17"/>
        <v>28600</v>
      </c>
      <c r="AJ71" s="197">
        <f t="shared" si="341"/>
        <v>3.886994364211535E-4</v>
      </c>
      <c r="AK71" s="62">
        <v>91340</v>
      </c>
      <c r="AL71" s="62">
        <v>0</v>
      </c>
      <c r="AM71" s="62">
        <v>29410</v>
      </c>
      <c r="AN71" s="62">
        <v>0</v>
      </c>
      <c r="AO71" s="62">
        <v>0</v>
      </c>
      <c r="AP71" s="62">
        <v>0</v>
      </c>
      <c r="AQ71" s="62">
        <v>0</v>
      </c>
      <c r="AR71" s="62">
        <v>56360</v>
      </c>
      <c r="AS71" s="62">
        <v>0</v>
      </c>
      <c r="AT71" s="62">
        <v>0</v>
      </c>
      <c r="AU71" s="62">
        <f>22350</f>
        <v>22350</v>
      </c>
      <c r="AV71" s="62">
        <v>0</v>
      </c>
      <c r="AW71" s="190">
        <f t="shared" si="18"/>
        <v>199460</v>
      </c>
      <c r="AX71" s="197">
        <f t="shared" si="342"/>
        <v>2.6145885784425796E-3</v>
      </c>
      <c r="AY71" s="62">
        <v>0</v>
      </c>
      <c r="AZ71" s="62">
        <v>0</v>
      </c>
      <c r="BA71" s="62">
        <f>50360+5780-3380</f>
        <v>52760</v>
      </c>
      <c r="BB71" s="62">
        <v>0</v>
      </c>
      <c r="BC71" s="62">
        <v>0</v>
      </c>
      <c r="BD71" s="62">
        <v>0</v>
      </c>
      <c r="BE71" s="62">
        <v>0</v>
      </c>
      <c r="BF71" s="62">
        <f>25700</f>
        <v>25700</v>
      </c>
      <c r="BG71" s="62">
        <f>79530+25700</f>
        <v>105230</v>
      </c>
      <c r="BH71" s="62">
        <v>23400</v>
      </c>
      <c r="BI71" s="62">
        <v>0</v>
      </c>
      <c r="BJ71" s="62">
        <f>12420+30620</f>
        <v>43040</v>
      </c>
      <c r="BK71" s="190">
        <f t="shared" si="19"/>
        <v>250130</v>
      </c>
      <c r="BL71" s="197">
        <f t="shared" si="343"/>
        <v>3.5815220894702677E-3</v>
      </c>
      <c r="BM71" s="62">
        <f>13500</f>
        <v>13500</v>
      </c>
      <c r="BN71" s="62">
        <f>13700+18500</f>
        <v>32200</v>
      </c>
      <c r="BO71" s="62">
        <f>11880</f>
        <v>11880</v>
      </c>
      <c r="BP71" s="62">
        <v>0</v>
      </c>
      <c r="BQ71" s="62">
        <v>0</v>
      </c>
      <c r="BR71" s="62">
        <v>0</v>
      </c>
      <c r="BS71" s="62">
        <v>0</v>
      </c>
      <c r="BT71" s="62">
        <v>0</v>
      </c>
      <c r="BU71" s="62">
        <v>0</v>
      </c>
      <c r="BV71" s="62">
        <v>0</v>
      </c>
      <c r="BW71" s="62">
        <v>0</v>
      </c>
      <c r="BX71" s="62">
        <v>0</v>
      </c>
      <c r="BY71" s="190">
        <f t="shared" si="20"/>
        <v>57580</v>
      </c>
      <c r="BZ71" s="197">
        <f t="shared" si="344"/>
        <v>1.3193443422284822E-3</v>
      </c>
      <c r="CA71" s="62">
        <v>0</v>
      </c>
      <c r="CB71" s="62">
        <v>0</v>
      </c>
      <c r="CC71" s="62">
        <v>0</v>
      </c>
      <c r="CD71" s="62">
        <v>0</v>
      </c>
      <c r="CE71" s="62">
        <v>0</v>
      </c>
      <c r="CF71" s="62">
        <v>0</v>
      </c>
      <c r="CG71" s="62">
        <v>0</v>
      </c>
      <c r="CH71" s="62">
        <v>0</v>
      </c>
      <c r="CI71" s="62">
        <v>0</v>
      </c>
      <c r="CJ71" s="62">
        <v>0</v>
      </c>
      <c r="CK71" s="62">
        <v>0</v>
      </c>
      <c r="CL71" s="62">
        <v>0</v>
      </c>
      <c r="CM71" s="190">
        <f t="shared" si="21"/>
        <v>0</v>
      </c>
      <c r="CN71" s="62">
        <v>0</v>
      </c>
      <c r="CO71" s="62">
        <v>0</v>
      </c>
      <c r="CP71" s="62">
        <v>0</v>
      </c>
      <c r="CQ71" s="62">
        <v>0</v>
      </c>
      <c r="CR71" s="62">
        <v>0</v>
      </c>
      <c r="CS71" s="62">
        <v>0</v>
      </c>
      <c r="CT71" s="62">
        <v>0</v>
      </c>
      <c r="CU71" s="62">
        <v>0</v>
      </c>
      <c r="CV71" s="62">
        <v>0</v>
      </c>
      <c r="CW71" s="62">
        <v>0</v>
      </c>
      <c r="CX71" s="62">
        <v>0</v>
      </c>
      <c r="CY71" s="62">
        <v>0</v>
      </c>
      <c r="CZ71" s="190">
        <f t="shared" si="22"/>
        <v>0</v>
      </c>
      <c r="DA71" s="62">
        <v>0</v>
      </c>
      <c r="DB71" s="62">
        <v>0</v>
      </c>
      <c r="DC71" s="62">
        <v>0</v>
      </c>
      <c r="DD71" s="62">
        <v>0</v>
      </c>
      <c r="DE71" s="62">
        <v>0</v>
      </c>
      <c r="DF71" s="62">
        <v>0</v>
      </c>
      <c r="DG71" s="62">
        <v>0</v>
      </c>
      <c r="DH71" s="62">
        <v>0</v>
      </c>
      <c r="DI71" s="62">
        <v>0</v>
      </c>
      <c r="DJ71" s="62">
        <v>0</v>
      </c>
      <c r="DK71" s="62">
        <v>0</v>
      </c>
      <c r="DL71" s="62">
        <v>0</v>
      </c>
      <c r="DM71" s="190">
        <f t="shared" si="23"/>
        <v>0</v>
      </c>
      <c r="DN71" s="62">
        <v>0</v>
      </c>
      <c r="DO71" s="62">
        <v>0</v>
      </c>
      <c r="DP71" s="62">
        <v>0</v>
      </c>
      <c r="DQ71" s="62">
        <v>0</v>
      </c>
      <c r="DR71" s="62">
        <v>0</v>
      </c>
      <c r="DS71" s="62">
        <v>0</v>
      </c>
      <c r="DT71" s="62">
        <v>0</v>
      </c>
      <c r="DU71" s="62">
        <v>0</v>
      </c>
      <c r="DV71" s="62">
        <v>0</v>
      </c>
      <c r="DW71" s="62">
        <v>0</v>
      </c>
      <c r="DX71" s="62">
        <v>0</v>
      </c>
      <c r="DY71" s="62">
        <v>0</v>
      </c>
      <c r="DZ71" s="190">
        <f t="shared" si="24"/>
        <v>0</v>
      </c>
    </row>
    <row r="72" spans="1:130" ht="20.45" customHeight="1" outlineLevel="2">
      <c r="A72" s="662"/>
      <c r="B72" s="653"/>
      <c r="C72" s="30" t="s">
        <v>340</v>
      </c>
      <c r="D72" s="62">
        <f t="shared" si="345"/>
        <v>107800.00000000001</v>
      </c>
      <c r="E72" s="184">
        <f t="shared" si="179"/>
        <v>3.3353356382441511E-4</v>
      </c>
      <c r="F72" s="62">
        <v>0</v>
      </c>
      <c r="G72" s="190">
        <f t="shared" si="36"/>
        <v>0</v>
      </c>
      <c r="H72" s="197">
        <f t="shared" si="339"/>
        <v>0</v>
      </c>
      <c r="I72" s="62">
        <v>0</v>
      </c>
      <c r="J72" s="62">
        <v>0</v>
      </c>
      <c r="K72" s="62">
        <v>0</v>
      </c>
      <c r="L72" s="62">
        <v>0</v>
      </c>
      <c r="M72" s="62">
        <v>0</v>
      </c>
      <c r="N72" s="62">
        <v>0</v>
      </c>
      <c r="O72" s="62">
        <v>0</v>
      </c>
      <c r="P72" s="62">
        <v>0</v>
      </c>
      <c r="Q72" s="62">
        <v>0</v>
      </c>
      <c r="R72" s="62">
        <v>0</v>
      </c>
      <c r="S72" s="62">
        <v>0</v>
      </c>
      <c r="T72" s="62">
        <v>0</v>
      </c>
      <c r="U72" s="190">
        <f t="shared" si="16"/>
        <v>0</v>
      </c>
      <c r="V72" s="197">
        <f t="shared" si="340"/>
        <v>0</v>
      </c>
      <c r="W72" s="62">
        <v>56800</v>
      </c>
      <c r="X72" s="62">
        <v>0</v>
      </c>
      <c r="Y72" s="62">
        <v>0</v>
      </c>
      <c r="Z72" s="62">
        <v>0</v>
      </c>
      <c r="AA72" s="62">
        <v>0</v>
      </c>
      <c r="AB72" s="62">
        <v>0</v>
      </c>
      <c r="AC72" s="62">
        <v>0</v>
      </c>
      <c r="AD72" s="62">
        <v>0</v>
      </c>
      <c r="AE72" s="62">
        <v>0</v>
      </c>
      <c r="AF72" s="62">
        <v>0</v>
      </c>
      <c r="AG72" s="62">
        <v>0</v>
      </c>
      <c r="AH72" s="62">
        <v>0</v>
      </c>
      <c r="AI72" s="190">
        <f t="shared" si="17"/>
        <v>56800</v>
      </c>
      <c r="AJ72" s="197">
        <f t="shared" si="341"/>
        <v>7.7196251708816499E-4</v>
      </c>
      <c r="AK72" s="62">
        <v>0</v>
      </c>
      <c r="AL72" s="62">
        <v>0</v>
      </c>
      <c r="AM72" s="62">
        <v>0</v>
      </c>
      <c r="AN72" s="62">
        <v>0</v>
      </c>
      <c r="AO72" s="62">
        <v>0</v>
      </c>
      <c r="AP72" s="62">
        <v>0</v>
      </c>
      <c r="AQ72" s="62">
        <v>0</v>
      </c>
      <c r="AR72" s="62">
        <v>0</v>
      </c>
      <c r="AS72" s="62">
        <v>0</v>
      </c>
      <c r="AT72" s="62">
        <v>0</v>
      </c>
      <c r="AU72" s="62">
        <v>0</v>
      </c>
      <c r="AV72" s="62">
        <v>0</v>
      </c>
      <c r="AW72" s="190">
        <f t="shared" si="18"/>
        <v>0</v>
      </c>
      <c r="AX72" s="197">
        <f t="shared" si="342"/>
        <v>0</v>
      </c>
      <c r="AY72" s="62">
        <v>0</v>
      </c>
      <c r="AZ72" s="62">
        <v>0</v>
      </c>
      <c r="BA72" s="62">
        <f>17000+17000</f>
        <v>34000</v>
      </c>
      <c r="BB72" s="62">
        <v>0</v>
      </c>
      <c r="BC72" s="62">
        <v>0</v>
      </c>
      <c r="BD72" s="62">
        <f>17000</f>
        <v>17000</v>
      </c>
      <c r="BE72" s="62">
        <v>0</v>
      </c>
      <c r="BF72" s="62">
        <v>0</v>
      </c>
      <c r="BG72" s="62">
        <v>0</v>
      </c>
      <c r="BH72" s="62">
        <v>0</v>
      </c>
      <c r="BI72" s="62">
        <v>0</v>
      </c>
      <c r="BJ72" s="62">
        <v>0</v>
      </c>
      <c r="BK72" s="190">
        <f t="shared" si="19"/>
        <v>51000</v>
      </c>
      <c r="BL72" s="197">
        <f t="shared" si="343"/>
        <v>7.3025077584849341E-4</v>
      </c>
      <c r="BM72" s="62">
        <v>0</v>
      </c>
      <c r="BN72" s="62">
        <v>0</v>
      </c>
      <c r="BO72" s="62">
        <v>0</v>
      </c>
      <c r="BP72" s="62">
        <v>0</v>
      </c>
      <c r="BQ72" s="62">
        <v>0</v>
      </c>
      <c r="BR72" s="62">
        <v>0</v>
      </c>
      <c r="BS72" s="62">
        <v>0</v>
      </c>
      <c r="BT72" s="62">
        <v>0</v>
      </c>
      <c r="BU72" s="62">
        <v>0</v>
      </c>
      <c r="BV72" s="62">
        <v>0</v>
      </c>
      <c r="BW72" s="62">
        <v>0</v>
      </c>
      <c r="BX72" s="62">
        <v>0</v>
      </c>
      <c r="BY72" s="190">
        <f t="shared" si="20"/>
        <v>0</v>
      </c>
      <c r="BZ72" s="197">
        <f t="shared" si="344"/>
        <v>0</v>
      </c>
      <c r="CA72" s="62">
        <v>0</v>
      </c>
      <c r="CB72" s="62">
        <v>0</v>
      </c>
      <c r="CC72" s="62">
        <v>0</v>
      </c>
      <c r="CD72" s="62">
        <v>0</v>
      </c>
      <c r="CE72" s="62">
        <v>0</v>
      </c>
      <c r="CF72" s="62">
        <v>0</v>
      </c>
      <c r="CG72" s="62">
        <v>0</v>
      </c>
      <c r="CH72" s="62">
        <v>0</v>
      </c>
      <c r="CI72" s="62">
        <v>0</v>
      </c>
      <c r="CJ72" s="62">
        <v>0</v>
      </c>
      <c r="CK72" s="62">
        <v>0</v>
      </c>
      <c r="CL72" s="62">
        <v>0</v>
      </c>
      <c r="CM72" s="190">
        <f t="shared" si="21"/>
        <v>0</v>
      </c>
      <c r="CN72" s="62">
        <v>0</v>
      </c>
      <c r="CO72" s="62">
        <v>0</v>
      </c>
      <c r="CP72" s="62">
        <v>0</v>
      </c>
      <c r="CQ72" s="62">
        <v>0</v>
      </c>
      <c r="CR72" s="62">
        <v>0</v>
      </c>
      <c r="CS72" s="62">
        <v>0</v>
      </c>
      <c r="CT72" s="62">
        <v>0</v>
      </c>
      <c r="CU72" s="62">
        <v>0</v>
      </c>
      <c r="CV72" s="62">
        <v>0</v>
      </c>
      <c r="CW72" s="62">
        <v>0</v>
      </c>
      <c r="CX72" s="62">
        <v>0</v>
      </c>
      <c r="CY72" s="62">
        <v>0</v>
      </c>
      <c r="CZ72" s="190">
        <f t="shared" si="22"/>
        <v>0</v>
      </c>
      <c r="DA72" s="62">
        <v>0</v>
      </c>
      <c r="DB72" s="62">
        <v>0</v>
      </c>
      <c r="DC72" s="62">
        <v>0</v>
      </c>
      <c r="DD72" s="62">
        <v>0</v>
      </c>
      <c r="DE72" s="62">
        <v>0</v>
      </c>
      <c r="DF72" s="62">
        <v>0</v>
      </c>
      <c r="DG72" s="62">
        <v>0</v>
      </c>
      <c r="DH72" s="62">
        <v>0</v>
      </c>
      <c r="DI72" s="62">
        <v>0</v>
      </c>
      <c r="DJ72" s="62">
        <v>0</v>
      </c>
      <c r="DK72" s="62">
        <v>0</v>
      </c>
      <c r="DL72" s="62">
        <v>0</v>
      </c>
      <c r="DM72" s="190">
        <f t="shared" si="23"/>
        <v>0</v>
      </c>
      <c r="DN72" s="62">
        <v>0</v>
      </c>
      <c r="DO72" s="62">
        <v>0</v>
      </c>
      <c r="DP72" s="62">
        <v>0</v>
      </c>
      <c r="DQ72" s="62">
        <v>0</v>
      </c>
      <c r="DR72" s="62">
        <v>0</v>
      </c>
      <c r="DS72" s="62">
        <v>0</v>
      </c>
      <c r="DT72" s="62">
        <v>0</v>
      </c>
      <c r="DU72" s="62">
        <v>0</v>
      </c>
      <c r="DV72" s="62">
        <v>0</v>
      </c>
      <c r="DW72" s="62">
        <v>0</v>
      </c>
      <c r="DX72" s="62">
        <v>0</v>
      </c>
      <c r="DY72" s="62">
        <v>0</v>
      </c>
      <c r="DZ72" s="190">
        <f t="shared" si="24"/>
        <v>0</v>
      </c>
    </row>
    <row r="73" spans="1:130" ht="20.45" customHeight="1" outlineLevel="2">
      <c r="A73" s="663"/>
      <c r="B73" s="653"/>
      <c r="C73" s="30" t="s">
        <v>341</v>
      </c>
      <c r="D73" s="62">
        <f t="shared" si="345"/>
        <v>430800</v>
      </c>
      <c r="E73" s="184">
        <f t="shared" si="179"/>
        <v>1.3328966539476626E-3</v>
      </c>
      <c r="F73" s="62">
        <v>3950</v>
      </c>
      <c r="G73" s="190">
        <f t="shared" ref="G73" si="346">SUM(F73)</f>
        <v>3950</v>
      </c>
      <c r="H73" s="197">
        <f t="shared" si="339"/>
        <v>9.0225804351624808E-4</v>
      </c>
      <c r="I73" s="62">
        <v>3000</v>
      </c>
      <c r="J73" s="62">
        <v>2400</v>
      </c>
      <c r="K73" s="62">
        <v>0</v>
      </c>
      <c r="L73" s="62">
        <v>0</v>
      </c>
      <c r="M73" s="62">
        <v>27600</v>
      </c>
      <c r="N73" s="62">
        <v>9500</v>
      </c>
      <c r="O73" s="62">
        <v>0</v>
      </c>
      <c r="P73" s="62">
        <v>14000</v>
      </c>
      <c r="Q73" s="62">
        <v>29900</v>
      </c>
      <c r="R73" s="62">
        <v>6050</v>
      </c>
      <c r="S73" s="62">
        <v>3400</v>
      </c>
      <c r="T73" s="62">
        <v>3250</v>
      </c>
      <c r="U73" s="190">
        <f t="shared" ref="U73" si="347">SUM(I73:T73)</f>
        <v>99100</v>
      </c>
      <c r="V73" s="197">
        <f t="shared" si="340"/>
        <v>1.7862293683974064E-3</v>
      </c>
      <c r="W73" s="62">
        <v>0</v>
      </c>
      <c r="X73" s="62">
        <v>0</v>
      </c>
      <c r="Y73" s="62">
        <v>1700</v>
      </c>
      <c r="Z73" s="62">
        <v>0</v>
      </c>
      <c r="AA73" s="62">
        <v>4850</v>
      </c>
      <c r="AB73" s="62">
        <v>2200</v>
      </c>
      <c r="AC73" s="62">
        <f>3600+4400+800+9100+5400-6000</f>
        <v>17300</v>
      </c>
      <c r="AD73" s="62">
        <v>0</v>
      </c>
      <c r="AE73" s="62">
        <f>5300+17350</f>
        <v>22650</v>
      </c>
      <c r="AF73" s="62">
        <v>0</v>
      </c>
      <c r="AG73" s="62">
        <v>2600</v>
      </c>
      <c r="AH73" s="62">
        <v>0</v>
      </c>
      <c r="AI73" s="190">
        <f t="shared" ref="AI73" si="348">SUM(W73:AH73)</f>
        <v>51300</v>
      </c>
      <c r="AJ73" s="197">
        <f t="shared" si="341"/>
        <v>6.9721262546871242E-4</v>
      </c>
      <c r="AK73" s="62">
        <f>-2200+4750</f>
        <v>2550</v>
      </c>
      <c r="AL73" s="62">
        <v>1600</v>
      </c>
      <c r="AM73" s="62">
        <f>3800</f>
        <v>3800</v>
      </c>
      <c r="AN73" s="62">
        <v>0</v>
      </c>
      <c r="AO73" s="62">
        <f>2000+4750</f>
        <v>6750</v>
      </c>
      <c r="AP73" s="62">
        <v>0</v>
      </c>
      <c r="AQ73" s="62">
        <f>1500+3600</f>
        <v>5100</v>
      </c>
      <c r="AR73" s="62">
        <f>7600+700+2200+6850+4100+1000+7100</f>
        <v>29550</v>
      </c>
      <c r="AS73" s="62">
        <f>6000+3200+2400+6000+7000+2600</f>
        <v>27200</v>
      </c>
      <c r="AT73" s="62">
        <f>5500</f>
        <v>5500</v>
      </c>
      <c r="AU73" s="62">
        <v>0</v>
      </c>
      <c r="AV73" s="62">
        <f>6200+6000</f>
        <v>12200</v>
      </c>
      <c r="AW73" s="190">
        <f t="shared" ref="AW73" si="349">SUM(AK73:AV73)</f>
        <v>94250</v>
      </c>
      <c r="AX73" s="197">
        <f t="shared" si="342"/>
        <v>1.2354606112414174E-3</v>
      </c>
      <c r="AY73" s="62">
        <f>3600+3100+5600+2000</f>
        <v>14300</v>
      </c>
      <c r="AZ73" s="62">
        <f>1200+5200+3900+3800+9300+7800</f>
        <v>31200</v>
      </c>
      <c r="BA73" s="62">
        <f>1900</f>
        <v>1900</v>
      </c>
      <c r="BB73" s="62">
        <f>1700+1500</f>
        <v>3200</v>
      </c>
      <c r="BC73" s="62">
        <f>4900-5300+2200+1000</f>
        <v>2800</v>
      </c>
      <c r="BD73" s="62">
        <f>2800+4100+1000+4000+3400-8100</f>
        <v>7200</v>
      </c>
      <c r="BE73" s="62">
        <f>3200+1800-100</f>
        <v>4900</v>
      </c>
      <c r="BF73" s="62">
        <f>-100</f>
        <v>-100</v>
      </c>
      <c r="BG73" s="62">
        <f>2000+19900+1700+9700</f>
        <v>33300</v>
      </c>
      <c r="BH73" s="62">
        <f>2200-2200</f>
        <v>0</v>
      </c>
      <c r="BI73" s="62">
        <v>0</v>
      </c>
      <c r="BJ73" s="62">
        <f>3100+12800+2600+2200+1800+1000</f>
        <v>23500</v>
      </c>
      <c r="BK73" s="190">
        <f t="shared" ref="BK73" si="350">SUM(AY73:BJ73)</f>
        <v>122200</v>
      </c>
      <c r="BL73" s="197">
        <f t="shared" si="343"/>
        <v>1.749738133503645E-3</v>
      </c>
      <c r="BM73" s="62">
        <f>12500+2600+1500</f>
        <v>16600</v>
      </c>
      <c r="BN73" s="62">
        <f>7600+4000+4700-4000</f>
        <v>12300</v>
      </c>
      <c r="BO73" s="62">
        <v>0</v>
      </c>
      <c r="BP73" s="62">
        <f>3200+12200+10200+2200</f>
        <v>27800</v>
      </c>
      <c r="BQ73" s="62">
        <f>1500+1800</f>
        <v>3300</v>
      </c>
      <c r="BR73" s="62">
        <v>0</v>
      </c>
      <c r="BS73" s="62">
        <v>0</v>
      </c>
      <c r="BT73" s="62">
        <v>0</v>
      </c>
      <c r="BU73" s="62">
        <v>0</v>
      </c>
      <c r="BV73" s="62">
        <v>0</v>
      </c>
      <c r="BW73" s="62">
        <v>0</v>
      </c>
      <c r="BX73" s="62">
        <v>0</v>
      </c>
      <c r="BY73" s="190">
        <f t="shared" ref="BY73" si="351">SUM(BM73:BX73)</f>
        <v>60000</v>
      </c>
      <c r="BZ73" s="197">
        <f t="shared" si="344"/>
        <v>1.3747943823151951E-3</v>
      </c>
      <c r="CA73" s="62">
        <v>0</v>
      </c>
      <c r="CB73" s="62">
        <v>0</v>
      </c>
      <c r="CC73" s="62">
        <v>0</v>
      </c>
      <c r="CD73" s="62">
        <v>0</v>
      </c>
      <c r="CE73" s="62">
        <v>0</v>
      </c>
      <c r="CF73" s="62">
        <v>0</v>
      </c>
      <c r="CG73" s="62">
        <v>0</v>
      </c>
      <c r="CH73" s="62">
        <v>0</v>
      </c>
      <c r="CI73" s="62">
        <v>0</v>
      </c>
      <c r="CJ73" s="62">
        <v>0</v>
      </c>
      <c r="CK73" s="62">
        <v>0</v>
      </c>
      <c r="CL73" s="62">
        <v>0</v>
      </c>
      <c r="CM73" s="190">
        <f t="shared" ref="CM73" si="352">SUM(CA73:CL73)</f>
        <v>0</v>
      </c>
      <c r="CN73" s="62">
        <v>0</v>
      </c>
      <c r="CO73" s="62">
        <v>0</v>
      </c>
      <c r="CP73" s="62">
        <v>0</v>
      </c>
      <c r="CQ73" s="62">
        <v>0</v>
      </c>
      <c r="CR73" s="62">
        <v>0</v>
      </c>
      <c r="CS73" s="62">
        <v>0</v>
      </c>
      <c r="CT73" s="62">
        <v>0</v>
      </c>
      <c r="CU73" s="62">
        <v>0</v>
      </c>
      <c r="CV73" s="62">
        <v>0</v>
      </c>
      <c r="CW73" s="62">
        <v>0</v>
      </c>
      <c r="CX73" s="62">
        <v>0</v>
      </c>
      <c r="CY73" s="62">
        <v>0</v>
      </c>
      <c r="CZ73" s="190">
        <f t="shared" ref="CZ73" si="353">SUM(CN73:CY73)</f>
        <v>0</v>
      </c>
      <c r="DA73" s="62">
        <v>0</v>
      </c>
      <c r="DB73" s="62">
        <v>0</v>
      </c>
      <c r="DC73" s="62">
        <v>0</v>
      </c>
      <c r="DD73" s="62">
        <v>0</v>
      </c>
      <c r="DE73" s="62">
        <v>0</v>
      </c>
      <c r="DF73" s="62">
        <v>0</v>
      </c>
      <c r="DG73" s="62">
        <v>0</v>
      </c>
      <c r="DH73" s="62">
        <v>0</v>
      </c>
      <c r="DI73" s="62">
        <v>0</v>
      </c>
      <c r="DJ73" s="62">
        <v>0</v>
      </c>
      <c r="DK73" s="62">
        <v>0</v>
      </c>
      <c r="DL73" s="62">
        <v>0</v>
      </c>
      <c r="DM73" s="190">
        <f t="shared" ref="DM73" si="354">SUM(DA73:DL73)</f>
        <v>0</v>
      </c>
      <c r="DN73" s="62">
        <v>0</v>
      </c>
      <c r="DO73" s="62">
        <v>0</v>
      </c>
      <c r="DP73" s="62">
        <v>0</v>
      </c>
      <c r="DQ73" s="62">
        <v>0</v>
      </c>
      <c r="DR73" s="62">
        <v>0</v>
      </c>
      <c r="DS73" s="62">
        <v>0</v>
      </c>
      <c r="DT73" s="62">
        <v>0</v>
      </c>
      <c r="DU73" s="62">
        <v>0</v>
      </c>
      <c r="DV73" s="62">
        <v>0</v>
      </c>
      <c r="DW73" s="62">
        <v>0</v>
      </c>
      <c r="DX73" s="62">
        <v>0</v>
      </c>
      <c r="DY73" s="62">
        <v>0</v>
      </c>
      <c r="DZ73" s="190">
        <f t="shared" ref="DZ73" si="355">SUM(DN73:DY73)</f>
        <v>0</v>
      </c>
    </row>
    <row r="74" spans="1:130" ht="20.45" customHeight="1" outlineLevel="2">
      <c r="A74" s="662"/>
      <c r="B74" s="646"/>
      <c r="C74" s="30" t="s">
        <v>380</v>
      </c>
      <c r="D74" s="62">
        <f t="shared" si="345"/>
        <v>489660</v>
      </c>
      <c r="E74" s="184">
        <f t="shared" si="179"/>
        <v>1.5150096925998432E-3</v>
      </c>
      <c r="F74" s="62">
        <v>0</v>
      </c>
      <c r="G74" s="190">
        <f t="shared" si="36"/>
        <v>0</v>
      </c>
      <c r="H74" s="197">
        <f t="shared" si="339"/>
        <v>0</v>
      </c>
      <c r="I74" s="62">
        <v>0</v>
      </c>
      <c r="J74" s="62">
        <v>0</v>
      </c>
      <c r="K74" s="62">
        <v>0</v>
      </c>
      <c r="L74" s="62">
        <v>0</v>
      </c>
      <c r="M74" s="62">
        <v>0</v>
      </c>
      <c r="N74" s="62">
        <v>0</v>
      </c>
      <c r="O74" s="62">
        <v>0</v>
      </c>
      <c r="P74" s="62">
        <v>0</v>
      </c>
      <c r="Q74" s="62">
        <v>0</v>
      </c>
      <c r="R74" s="62">
        <v>0</v>
      </c>
      <c r="S74" s="62">
        <v>0</v>
      </c>
      <c r="T74" s="62">
        <v>0</v>
      </c>
      <c r="U74" s="190">
        <f t="shared" si="16"/>
        <v>0</v>
      </c>
      <c r="V74" s="197">
        <f t="shared" si="340"/>
        <v>0</v>
      </c>
      <c r="W74" s="62">
        <v>0</v>
      </c>
      <c r="X74" s="62">
        <v>0</v>
      </c>
      <c r="Y74" s="62">
        <v>0</v>
      </c>
      <c r="Z74" s="62">
        <v>0</v>
      </c>
      <c r="AA74" s="62">
        <v>0</v>
      </c>
      <c r="AB74" s="62">
        <v>0</v>
      </c>
      <c r="AC74" s="62">
        <v>0</v>
      </c>
      <c r="AD74" s="62">
        <v>0</v>
      </c>
      <c r="AE74" s="62">
        <v>0</v>
      </c>
      <c r="AF74" s="62">
        <v>0</v>
      </c>
      <c r="AG74" s="62">
        <v>0</v>
      </c>
      <c r="AH74" s="62">
        <v>0</v>
      </c>
      <c r="AI74" s="190">
        <f t="shared" si="17"/>
        <v>0</v>
      </c>
      <c r="AJ74" s="197">
        <f t="shared" si="341"/>
        <v>0</v>
      </c>
      <c r="AK74" s="62">
        <v>0</v>
      </c>
      <c r="AL74" s="62">
        <v>0</v>
      </c>
      <c r="AM74" s="62">
        <v>0</v>
      </c>
      <c r="AN74" s="62">
        <v>0</v>
      </c>
      <c r="AO74" s="62">
        <v>0</v>
      </c>
      <c r="AP74" s="62">
        <v>18300</v>
      </c>
      <c r="AQ74" s="62">
        <f>15000+6000+7780+20000+9000</f>
        <v>57780</v>
      </c>
      <c r="AR74" s="62">
        <f>8000+8000</f>
        <v>16000</v>
      </c>
      <c r="AS74" s="62">
        <f>11000+8000+2500</f>
        <v>21500</v>
      </c>
      <c r="AT74" s="62">
        <v>0</v>
      </c>
      <c r="AU74" s="62">
        <f>7000+4000</f>
        <v>11000</v>
      </c>
      <c r="AV74" s="62">
        <f>4000+4600</f>
        <v>8600</v>
      </c>
      <c r="AW74" s="190">
        <f t="shared" si="18"/>
        <v>133180</v>
      </c>
      <c r="AX74" s="197">
        <f t="shared" si="342"/>
        <v>1.7457681082772623E-3</v>
      </c>
      <c r="AY74" s="62">
        <v>0</v>
      </c>
      <c r="AZ74" s="62">
        <v>0</v>
      </c>
      <c r="BA74" s="62">
        <v>0</v>
      </c>
      <c r="BB74" s="62">
        <f>102000+20000</f>
        <v>122000</v>
      </c>
      <c r="BC74" s="62">
        <f>23030+2500</f>
        <v>25530</v>
      </c>
      <c r="BD74" s="62">
        <v>0</v>
      </c>
      <c r="BE74" s="62">
        <v>0</v>
      </c>
      <c r="BF74" s="62">
        <f>97200</f>
        <v>97200</v>
      </c>
      <c r="BG74" s="62">
        <f>7000</f>
        <v>7000</v>
      </c>
      <c r="BH74" s="62">
        <f>5000</f>
        <v>5000</v>
      </c>
      <c r="BI74" s="62">
        <v>0</v>
      </c>
      <c r="BJ74" s="62">
        <f>10000+12000+5000+59650</f>
        <v>86650</v>
      </c>
      <c r="BK74" s="190">
        <f t="shared" si="19"/>
        <v>343380</v>
      </c>
      <c r="BL74" s="197">
        <f t="shared" si="343"/>
        <v>4.9167355178599149E-3</v>
      </c>
      <c r="BM74" s="62">
        <f>8300</f>
        <v>8300</v>
      </c>
      <c r="BN74" s="62">
        <v>0</v>
      </c>
      <c r="BO74" s="62">
        <f>4800</f>
        <v>4800</v>
      </c>
      <c r="BP74" s="62">
        <v>0</v>
      </c>
      <c r="BQ74" s="62">
        <v>0</v>
      </c>
      <c r="BR74" s="62">
        <v>0</v>
      </c>
      <c r="BS74" s="62">
        <v>0</v>
      </c>
      <c r="BT74" s="62">
        <v>0</v>
      </c>
      <c r="BU74" s="62">
        <v>0</v>
      </c>
      <c r="BV74" s="62">
        <v>0</v>
      </c>
      <c r="BW74" s="62">
        <v>0</v>
      </c>
      <c r="BX74" s="62">
        <v>0</v>
      </c>
      <c r="BY74" s="190">
        <f t="shared" si="20"/>
        <v>13100</v>
      </c>
      <c r="BZ74" s="197">
        <f t="shared" si="344"/>
        <v>3.0016344013881758E-4</v>
      </c>
      <c r="CA74" s="62">
        <v>0</v>
      </c>
      <c r="CB74" s="62">
        <v>0</v>
      </c>
      <c r="CC74" s="62">
        <v>0</v>
      </c>
      <c r="CD74" s="62">
        <v>0</v>
      </c>
      <c r="CE74" s="62">
        <v>0</v>
      </c>
      <c r="CF74" s="62">
        <v>0</v>
      </c>
      <c r="CG74" s="62">
        <v>0</v>
      </c>
      <c r="CH74" s="62">
        <v>0</v>
      </c>
      <c r="CI74" s="62">
        <v>0</v>
      </c>
      <c r="CJ74" s="62">
        <v>0</v>
      </c>
      <c r="CK74" s="62">
        <v>0</v>
      </c>
      <c r="CL74" s="62">
        <v>0</v>
      </c>
      <c r="CM74" s="190">
        <f t="shared" si="21"/>
        <v>0</v>
      </c>
      <c r="CN74" s="62">
        <v>0</v>
      </c>
      <c r="CO74" s="62">
        <v>0</v>
      </c>
      <c r="CP74" s="62">
        <v>0</v>
      </c>
      <c r="CQ74" s="62">
        <v>0</v>
      </c>
      <c r="CR74" s="62">
        <v>0</v>
      </c>
      <c r="CS74" s="62">
        <v>0</v>
      </c>
      <c r="CT74" s="62">
        <v>0</v>
      </c>
      <c r="CU74" s="62">
        <v>0</v>
      </c>
      <c r="CV74" s="62">
        <v>0</v>
      </c>
      <c r="CW74" s="62">
        <v>0</v>
      </c>
      <c r="CX74" s="62">
        <v>0</v>
      </c>
      <c r="CY74" s="62">
        <v>0</v>
      </c>
      <c r="CZ74" s="190">
        <f t="shared" si="22"/>
        <v>0</v>
      </c>
      <c r="DA74" s="62">
        <v>0</v>
      </c>
      <c r="DB74" s="62">
        <v>0</v>
      </c>
      <c r="DC74" s="62">
        <v>0</v>
      </c>
      <c r="DD74" s="62">
        <v>0</v>
      </c>
      <c r="DE74" s="62">
        <v>0</v>
      </c>
      <c r="DF74" s="62">
        <v>0</v>
      </c>
      <c r="DG74" s="62">
        <v>0</v>
      </c>
      <c r="DH74" s="62">
        <v>0</v>
      </c>
      <c r="DI74" s="62">
        <v>0</v>
      </c>
      <c r="DJ74" s="62">
        <v>0</v>
      </c>
      <c r="DK74" s="62">
        <v>0</v>
      </c>
      <c r="DL74" s="62">
        <v>0</v>
      </c>
      <c r="DM74" s="190">
        <f t="shared" si="23"/>
        <v>0</v>
      </c>
      <c r="DN74" s="62">
        <v>0</v>
      </c>
      <c r="DO74" s="62">
        <v>0</v>
      </c>
      <c r="DP74" s="62">
        <v>0</v>
      </c>
      <c r="DQ74" s="62">
        <v>0</v>
      </c>
      <c r="DR74" s="62">
        <v>0</v>
      </c>
      <c r="DS74" s="62">
        <v>0</v>
      </c>
      <c r="DT74" s="62">
        <v>0</v>
      </c>
      <c r="DU74" s="62">
        <v>0</v>
      </c>
      <c r="DV74" s="62">
        <v>0</v>
      </c>
      <c r="DW74" s="62">
        <v>0</v>
      </c>
      <c r="DX74" s="62">
        <v>0</v>
      </c>
      <c r="DY74" s="62">
        <v>0</v>
      </c>
      <c r="DZ74" s="190">
        <f t="shared" si="24"/>
        <v>0</v>
      </c>
    </row>
    <row r="75" spans="1:130" s="194" customFormat="1" ht="20.45" customHeight="1" outlineLevel="1">
      <c r="A75" s="662"/>
      <c r="B75" s="645" t="s">
        <v>342</v>
      </c>
      <c r="C75" s="65" t="s">
        <v>307</v>
      </c>
      <c r="D75" s="66">
        <f t="shared" si="345"/>
        <v>11863683.999999996</v>
      </c>
      <c r="E75" s="187">
        <f>SUM(E76:E79)</f>
        <v>3.6706278335869133E-2</v>
      </c>
      <c r="F75" s="62">
        <f t="shared" ref="F75:DX75" si="356">SUM(F76:F79)</f>
        <v>293800</v>
      </c>
      <c r="G75" s="190">
        <f t="shared" si="36"/>
        <v>293800</v>
      </c>
      <c r="H75" s="196">
        <f>SUM(H76:H79)</f>
        <v>6.7109724856980676E-2</v>
      </c>
      <c r="I75" s="62">
        <f t="shared" si="356"/>
        <v>182200</v>
      </c>
      <c r="J75" s="62">
        <f t="shared" si="356"/>
        <v>163400</v>
      </c>
      <c r="K75" s="62">
        <f t="shared" si="356"/>
        <v>302800</v>
      </c>
      <c r="L75" s="62">
        <f t="shared" si="356"/>
        <v>440000</v>
      </c>
      <c r="M75" s="62">
        <f t="shared" si="356"/>
        <v>230700</v>
      </c>
      <c r="N75" s="62">
        <f t="shared" si="356"/>
        <v>337150</v>
      </c>
      <c r="O75" s="62">
        <f t="shared" si="356"/>
        <v>135400</v>
      </c>
      <c r="P75" s="62">
        <f t="shared" si="356"/>
        <v>286600</v>
      </c>
      <c r="Q75" s="62">
        <f t="shared" si="356"/>
        <v>389800</v>
      </c>
      <c r="R75" s="62">
        <f t="shared" si="356"/>
        <v>206900</v>
      </c>
      <c r="S75" s="62">
        <f t="shared" si="356"/>
        <v>411900</v>
      </c>
      <c r="T75" s="62">
        <f t="shared" si="356"/>
        <v>207660</v>
      </c>
      <c r="U75" s="190">
        <f t="shared" si="16"/>
        <v>3294510</v>
      </c>
      <c r="V75" s="196">
        <f>SUM(V76:V79)</f>
        <v>5.9381942648627034E-2</v>
      </c>
      <c r="W75" s="62">
        <f t="shared" si="356"/>
        <v>214850</v>
      </c>
      <c r="X75" s="62">
        <f t="shared" si="356"/>
        <v>54500</v>
      </c>
      <c r="Y75" s="62">
        <f t="shared" si="356"/>
        <v>141500</v>
      </c>
      <c r="Z75" s="62">
        <f t="shared" si="356"/>
        <v>162150</v>
      </c>
      <c r="AA75" s="62">
        <f t="shared" si="356"/>
        <v>157200</v>
      </c>
      <c r="AB75" s="62">
        <f t="shared" si="356"/>
        <v>121100</v>
      </c>
      <c r="AC75" s="62">
        <f t="shared" ref="AC75:AF75" si="357">SUM(AC76:AC79)</f>
        <v>301520</v>
      </c>
      <c r="AD75" s="62">
        <f t="shared" si="357"/>
        <v>91300</v>
      </c>
      <c r="AE75" s="62">
        <f t="shared" si="357"/>
        <v>168640</v>
      </c>
      <c r="AF75" s="62">
        <f t="shared" si="357"/>
        <v>142397</v>
      </c>
      <c r="AG75" s="62">
        <f t="shared" si="356"/>
        <v>89500</v>
      </c>
      <c r="AH75" s="62">
        <f t="shared" si="356"/>
        <v>297200</v>
      </c>
      <c r="AI75" s="190">
        <f t="shared" si="17"/>
        <v>1941857</v>
      </c>
      <c r="AJ75" s="196">
        <f>SUM(AJ76:AJ79)</f>
        <v>2.639156368917734E-2</v>
      </c>
      <c r="AK75" s="62">
        <f t="shared" ref="AK75:AV75" si="358">SUM(AK76:AK79)</f>
        <v>248000</v>
      </c>
      <c r="AL75" s="62">
        <f t="shared" si="358"/>
        <v>274700</v>
      </c>
      <c r="AM75" s="62">
        <f t="shared" si="358"/>
        <v>205200</v>
      </c>
      <c r="AN75" s="62">
        <f t="shared" si="358"/>
        <v>73000</v>
      </c>
      <c r="AO75" s="62">
        <f t="shared" si="358"/>
        <v>180300</v>
      </c>
      <c r="AP75" s="62">
        <f t="shared" si="358"/>
        <v>44700</v>
      </c>
      <c r="AQ75" s="62">
        <f t="shared" si="358"/>
        <v>245800</v>
      </c>
      <c r="AR75" s="62">
        <f t="shared" si="358"/>
        <v>392200</v>
      </c>
      <c r="AS75" s="62">
        <f t="shared" si="358"/>
        <v>117600</v>
      </c>
      <c r="AT75" s="62">
        <f t="shared" si="358"/>
        <v>180100</v>
      </c>
      <c r="AU75" s="62">
        <f t="shared" si="358"/>
        <v>145777</v>
      </c>
      <c r="AV75" s="62">
        <f t="shared" si="358"/>
        <v>312100</v>
      </c>
      <c r="AW75" s="190">
        <f t="shared" si="18"/>
        <v>2419477</v>
      </c>
      <c r="AX75" s="196">
        <f>SUM(AX76:AX79)</f>
        <v>3.1715316003231311E-2</v>
      </c>
      <c r="AY75" s="62">
        <f t="shared" ref="AY75:BJ75" si="359">SUM(AY76:AY79)</f>
        <v>355280</v>
      </c>
      <c r="AZ75" s="62">
        <f t="shared" si="359"/>
        <v>411300</v>
      </c>
      <c r="BA75" s="62">
        <f t="shared" si="359"/>
        <v>127000</v>
      </c>
      <c r="BB75" s="62">
        <f t="shared" si="359"/>
        <v>203620</v>
      </c>
      <c r="BC75" s="62">
        <f t="shared" si="359"/>
        <v>317400</v>
      </c>
      <c r="BD75" s="62">
        <f t="shared" si="359"/>
        <v>212100</v>
      </c>
      <c r="BE75" s="62">
        <f t="shared" si="359"/>
        <v>122700</v>
      </c>
      <c r="BF75" s="62">
        <f t="shared" si="359"/>
        <v>176100</v>
      </c>
      <c r="BG75" s="62">
        <f t="shared" si="359"/>
        <v>238000</v>
      </c>
      <c r="BH75" s="62">
        <f t="shared" si="359"/>
        <v>164700</v>
      </c>
      <c r="BI75" s="62">
        <f t="shared" si="359"/>
        <v>248500</v>
      </c>
      <c r="BJ75" s="62">
        <f t="shared" si="359"/>
        <v>368400</v>
      </c>
      <c r="BK75" s="190">
        <f t="shared" si="19"/>
        <v>2945100</v>
      </c>
      <c r="BL75" s="196">
        <f>SUM(BL76:BL79)</f>
        <v>4.2169834508850937E-2</v>
      </c>
      <c r="BM75" s="62">
        <f t="shared" ref="BM75:BX75" si="360">SUM(BM76:BM79)</f>
        <v>308200</v>
      </c>
      <c r="BN75" s="62">
        <f t="shared" si="360"/>
        <v>262000</v>
      </c>
      <c r="BO75" s="62">
        <f t="shared" si="360"/>
        <v>229800</v>
      </c>
      <c r="BP75" s="62">
        <f t="shared" si="360"/>
        <v>104700</v>
      </c>
      <c r="BQ75" s="62">
        <f t="shared" si="360"/>
        <v>64240</v>
      </c>
      <c r="BR75" s="62">
        <f t="shared" si="360"/>
        <v>0</v>
      </c>
      <c r="BS75" s="62">
        <f t="shared" si="360"/>
        <v>0</v>
      </c>
      <c r="BT75" s="62">
        <f t="shared" si="360"/>
        <v>0</v>
      </c>
      <c r="BU75" s="62">
        <f t="shared" si="360"/>
        <v>0</v>
      </c>
      <c r="BV75" s="62">
        <f t="shared" si="360"/>
        <v>0</v>
      </c>
      <c r="BW75" s="62">
        <f t="shared" si="360"/>
        <v>0</v>
      </c>
      <c r="BX75" s="62">
        <f t="shared" si="360"/>
        <v>0</v>
      </c>
      <c r="BY75" s="190">
        <f t="shared" si="20"/>
        <v>968940</v>
      </c>
      <c r="BZ75" s="196">
        <f>SUM(BZ76:BZ79)</f>
        <v>2.2201554480008084E-2</v>
      </c>
      <c r="CA75" s="62">
        <f t="shared" ref="CA75:CL75" si="361">SUM(CA76:CA79)</f>
        <v>0</v>
      </c>
      <c r="CB75" s="62">
        <f t="shared" si="361"/>
        <v>0</v>
      </c>
      <c r="CC75" s="62">
        <f t="shared" si="361"/>
        <v>0</v>
      </c>
      <c r="CD75" s="62">
        <f t="shared" si="361"/>
        <v>0</v>
      </c>
      <c r="CE75" s="62">
        <f t="shared" si="361"/>
        <v>0</v>
      </c>
      <c r="CF75" s="62">
        <f t="shared" si="361"/>
        <v>0</v>
      </c>
      <c r="CG75" s="62">
        <f t="shared" si="361"/>
        <v>0</v>
      </c>
      <c r="CH75" s="62">
        <f t="shared" si="361"/>
        <v>0</v>
      </c>
      <c r="CI75" s="62">
        <f t="shared" si="361"/>
        <v>0</v>
      </c>
      <c r="CJ75" s="62">
        <f t="shared" si="361"/>
        <v>0</v>
      </c>
      <c r="CK75" s="62">
        <f t="shared" si="361"/>
        <v>0</v>
      </c>
      <c r="CL75" s="62">
        <f t="shared" si="361"/>
        <v>0</v>
      </c>
      <c r="CM75" s="190">
        <f t="shared" si="21"/>
        <v>0</v>
      </c>
      <c r="CN75" s="62">
        <f t="shared" ref="CN75:CY75" si="362">SUM(CN76:CN79)</f>
        <v>0</v>
      </c>
      <c r="CO75" s="62">
        <f t="shared" si="362"/>
        <v>0</v>
      </c>
      <c r="CP75" s="62">
        <f t="shared" si="362"/>
        <v>0</v>
      </c>
      <c r="CQ75" s="62">
        <f t="shared" si="362"/>
        <v>0</v>
      </c>
      <c r="CR75" s="62">
        <f t="shared" si="362"/>
        <v>0</v>
      </c>
      <c r="CS75" s="62">
        <f t="shared" si="362"/>
        <v>0</v>
      </c>
      <c r="CT75" s="62">
        <f t="shared" si="362"/>
        <v>0</v>
      </c>
      <c r="CU75" s="62">
        <f t="shared" si="362"/>
        <v>0</v>
      </c>
      <c r="CV75" s="62">
        <f t="shared" si="362"/>
        <v>0</v>
      </c>
      <c r="CW75" s="62">
        <f t="shared" si="362"/>
        <v>0</v>
      </c>
      <c r="CX75" s="62">
        <f t="shared" si="362"/>
        <v>0</v>
      </c>
      <c r="CY75" s="62">
        <f t="shared" si="362"/>
        <v>0</v>
      </c>
      <c r="CZ75" s="190">
        <f t="shared" si="22"/>
        <v>0</v>
      </c>
      <c r="DA75" s="62">
        <f t="shared" ref="DA75:DL75" si="363">SUM(DA76:DA79)</f>
        <v>0</v>
      </c>
      <c r="DB75" s="62">
        <f t="shared" si="363"/>
        <v>0</v>
      </c>
      <c r="DC75" s="62">
        <f t="shared" si="363"/>
        <v>0</v>
      </c>
      <c r="DD75" s="62">
        <f t="shared" si="363"/>
        <v>0</v>
      </c>
      <c r="DE75" s="62">
        <f t="shared" si="363"/>
        <v>0</v>
      </c>
      <c r="DF75" s="62">
        <f t="shared" si="363"/>
        <v>0</v>
      </c>
      <c r="DG75" s="62">
        <f t="shared" si="363"/>
        <v>0</v>
      </c>
      <c r="DH75" s="62">
        <f t="shared" si="363"/>
        <v>0</v>
      </c>
      <c r="DI75" s="62">
        <f t="shared" si="363"/>
        <v>0</v>
      </c>
      <c r="DJ75" s="62">
        <f t="shared" si="363"/>
        <v>0</v>
      </c>
      <c r="DK75" s="62">
        <f t="shared" si="363"/>
        <v>0</v>
      </c>
      <c r="DL75" s="62">
        <f t="shared" si="363"/>
        <v>0</v>
      </c>
      <c r="DM75" s="190">
        <f t="shared" si="23"/>
        <v>0</v>
      </c>
      <c r="DN75" s="62">
        <f t="shared" ref="DN75:DQ75" si="364">SUM(DN76:DN79)</f>
        <v>0</v>
      </c>
      <c r="DO75" s="62">
        <f t="shared" si="364"/>
        <v>0</v>
      </c>
      <c r="DP75" s="62">
        <f t="shared" si="364"/>
        <v>0</v>
      </c>
      <c r="DQ75" s="62">
        <f t="shared" si="364"/>
        <v>0</v>
      </c>
      <c r="DR75" s="62">
        <f t="shared" ref="DR75:DU75" si="365">SUM(DR76:DR79)</f>
        <v>0</v>
      </c>
      <c r="DS75" s="62">
        <f t="shared" si="365"/>
        <v>0</v>
      </c>
      <c r="DT75" s="62">
        <f t="shared" si="365"/>
        <v>0</v>
      </c>
      <c r="DU75" s="62">
        <f t="shared" si="365"/>
        <v>0</v>
      </c>
      <c r="DV75" s="62">
        <f t="shared" ref="DV75:DW75" si="366">SUM(DV76:DV79)</f>
        <v>0</v>
      </c>
      <c r="DW75" s="62">
        <f t="shared" si="366"/>
        <v>0</v>
      </c>
      <c r="DX75" s="62">
        <f t="shared" si="356"/>
        <v>0</v>
      </c>
      <c r="DY75" s="62">
        <f t="shared" ref="DY75" si="367">SUM(DY76:DY79)</f>
        <v>0</v>
      </c>
      <c r="DZ75" s="190">
        <f t="shared" si="24"/>
        <v>0</v>
      </c>
    </row>
    <row r="76" spans="1:130" ht="20.45" customHeight="1" outlineLevel="2">
      <c r="A76" s="662"/>
      <c r="B76" s="636"/>
      <c r="C76" s="30" t="s">
        <v>343</v>
      </c>
      <c r="D76" s="62">
        <f t="shared" si="345"/>
        <v>1892200</v>
      </c>
      <c r="E76" s="184">
        <f t="shared" si="179"/>
        <v>5.8544731861647327E-3</v>
      </c>
      <c r="F76" s="62">
        <v>214700</v>
      </c>
      <c r="G76" s="190">
        <f t="shared" si="36"/>
        <v>214700</v>
      </c>
      <c r="H76" s="197">
        <f t="shared" ref="H76:H79" si="368">G76/(G$5+G$6+G$7+G$8+G$10+G$9)</f>
        <v>4.9041722010870495E-2</v>
      </c>
      <c r="I76" s="62">
        <v>98600</v>
      </c>
      <c r="J76" s="62">
        <v>0</v>
      </c>
      <c r="K76" s="62">
        <v>18000</v>
      </c>
      <c r="L76" s="62">
        <f>30800+44500</f>
        <v>75300</v>
      </c>
      <c r="M76" s="62">
        <v>46000</v>
      </c>
      <c r="N76" s="62">
        <v>43600</v>
      </c>
      <c r="O76" s="62">
        <v>0</v>
      </c>
      <c r="P76" s="62">
        <v>25000</v>
      </c>
      <c r="Q76" s="62">
        <v>19900</v>
      </c>
      <c r="R76" s="62">
        <v>32500</v>
      </c>
      <c r="S76" s="62">
        <v>69400</v>
      </c>
      <c r="T76" s="62">
        <v>61800</v>
      </c>
      <c r="U76" s="190">
        <f t="shared" si="16"/>
        <v>490100</v>
      </c>
      <c r="V76" s="197">
        <f t="shared" ref="V76:V79" si="369">U76/(U$5+U$6+U$7+U$8+U$10+U$9)</f>
        <v>8.8338144646979699E-3</v>
      </c>
      <c r="W76" s="62">
        <v>0</v>
      </c>
      <c r="X76" s="62">
        <v>0</v>
      </c>
      <c r="Y76" s="62">
        <v>0</v>
      </c>
      <c r="Z76" s="62">
        <f>21000+30900</f>
        <v>51900</v>
      </c>
      <c r="AA76" s="62">
        <v>0</v>
      </c>
      <c r="AB76" s="62">
        <f>24000+23500</f>
        <v>47500</v>
      </c>
      <c r="AC76" s="62">
        <v>0</v>
      </c>
      <c r="AD76" s="62">
        <v>0</v>
      </c>
      <c r="AE76" s="62">
        <v>0</v>
      </c>
      <c r="AF76" s="62">
        <v>0</v>
      </c>
      <c r="AG76" s="62">
        <v>0</v>
      </c>
      <c r="AH76" s="62">
        <v>0</v>
      </c>
      <c r="AI76" s="190">
        <f t="shared" si="17"/>
        <v>99400</v>
      </c>
      <c r="AJ76" s="197">
        <f t="shared" ref="AJ76:AJ79" si="370">AI76/(AI$5+AI$6+AI$7+AI$8+AI$10+AI$9)</f>
        <v>1.3509344049042887E-3</v>
      </c>
      <c r="AK76" s="62">
        <v>0</v>
      </c>
      <c r="AL76" s="62">
        <v>0</v>
      </c>
      <c r="AM76" s="62">
        <v>23300</v>
      </c>
      <c r="AN76" s="62">
        <v>0</v>
      </c>
      <c r="AO76" s="62">
        <v>0</v>
      </c>
      <c r="AP76" s="62">
        <v>0</v>
      </c>
      <c r="AQ76" s="62">
        <v>0</v>
      </c>
      <c r="AR76" s="62">
        <f>18900+18900</f>
        <v>37800</v>
      </c>
      <c r="AS76" s="62">
        <v>0</v>
      </c>
      <c r="AT76" s="62">
        <f>19300</f>
        <v>19300</v>
      </c>
      <c r="AU76" s="62">
        <f>21000+33000</f>
        <v>54000</v>
      </c>
      <c r="AV76" s="62">
        <f>18000</f>
        <v>18000</v>
      </c>
      <c r="AW76" s="190">
        <f t="shared" si="18"/>
        <v>152400</v>
      </c>
      <c r="AX76" s="197">
        <f t="shared" ref="AX76:AX79" si="371">AW76/(AW$5+AW$6+AW$7+AW$8+AW$10+AW$9)</f>
        <v>1.9977103146227269E-3</v>
      </c>
      <c r="AY76" s="62">
        <f>19300</f>
        <v>19300</v>
      </c>
      <c r="AZ76" s="62">
        <f>26300+12000+34000+29800</f>
        <v>102100</v>
      </c>
      <c r="BA76" s="62">
        <f>16000+33000+17000</f>
        <v>66000</v>
      </c>
      <c r="BB76" s="62">
        <v>0</v>
      </c>
      <c r="BC76" s="62">
        <f>49000+28000+35000</f>
        <v>112000</v>
      </c>
      <c r="BD76" s="62">
        <f>41000+21000</f>
        <v>62000</v>
      </c>
      <c r="BE76" s="62">
        <f>13200+23000</f>
        <v>36200</v>
      </c>
      <c r="BF76" s="62">
        <f>27000+19000</f>
        <v>46000</v>
      </c>
      <c r="BG76" s="62">
        <f>20000+21000+20000</f>
        <v>61000</v>
      </c>
      <c r="BH76" s="62">
        <f>13400+16800+25500+16000</f>
        <v>71700</v>
      </c>
      <c r="BI76" s="62">
        <f>23400+24500</f>
        <v>47900</v>
      </c>
      <c r="BJ76" s="62">
        <f>25600</f>
        <v>25600</v>
      </c>
      <c r="BK76" s="190">
        <f t="shared" si="19"/>
        <v>649800</v>
      </c>
      <c r="BL76" s="197">
        <f t="shared" ref="BL76:BL79" si="372">BK76/(BK$5+BK$6+BK$7+BK$8+BK$10+BK$9)</f>
        <v>9.3042540028696278E-3</v>
      </c>
      <c r="BM76" s="62">
        <f>32000+27500+22000+20800+13000+21000</f>
        <v>136300</v>
      </c>
      <c r="BN76" s="62">
        <f>23800+27500+8500+20200</f>
        <v>80000</v>
      </c>
      <c r="BO76" s="62">
        <f>8300+7000+23000+20000</f>
        <v>58300</v>
      </c>
      <c r="BP76" s="62">
        <v>0</v>
      </c>
      <c r="BQ76" s="62">
        <f>11200</f>
        <v>11200</v>
      </c>
      <c r="BR76" s="62">
        <v>0</v>
      </c>
      <c r="BS76" s="62">
        <v>0</v>
      </c>
      <c r="BT76" s="62">
        <v>0</v>
      </c>
      <c r="BU76" s="62">
        <v>0</v>
      </c>
      <c r="BV76" s="62">
        <v>0</v>
      </c>
      <c r="BW76" s="62">
        <v>0</v>
      </c>
      <c r="BX76" s="62">
        <v>0</v>
      </c>
      <c r="BY76" s="190">
        <f t="shared" si="20"/>
        <v>285800</v>
      </c>
      <c r="BZ76" s="197">
        <f t="shared" ref="BZ76:BZ79" si="373">BY76/(BY$5+BY$6+BY$7+BY$8+BY$10+BY$9)</f>
        <v>6.5486039077613791E-3</v>
      </c>
      <c r="CA76" s="62">
        <v>0</v>
      </c>
      <c r="CB76" s="62">
        <v>0</v>
      </c>
      <c r="CC76" s="62">
        <v>0</v>
      </c>
      <c r="CD76" s="62">
        <v>0</v>
      </c>
      <c r="CE76" s="62">
        <v>0</v>
      </c>
      <c r="CF76" s="62">
        <v>0</v>
      </c>
      <c r="CG76" s="62">
        <v>0</v>
      </c>
      <c r="CH76" s="62">
        <v>0</v>
      </c>
      <c r="CI76" s="62">
        <v>0</v>
      </c>
      <c r="CJ76" s="62">
        <v>0</v>
      </c>
      <c r="CK76" s="62">
        <v>0</v>
      </c>
      <c r="CL76" s="62">
        <v>0</v>
      </c>
      <c r="CM76" s="190">
        <f t="shared" si="21"/>
        <v>0</v>
      </c>
      <c r="CN76" s="62">
        <v>0</v>
      </c>
      <c r="CO76" s="62">
        <v>0</v>
      </c>
      <c r="CP76" s="62">
        <v>0</v>
      </c>
      <c r="CQ76" s="62">
        <v>0</v>
      </c>
      <c r="CR76" s="62">
        <v>0</v>
      </c>
      <c r="CS76" s="62">
        <v>0</v>
      </c>
      <c r="CT76" s="62">
        <v>0</v>
      </c>
      <c r="CU76" s="62">
        <v>0</v>
      </c>
      <c r="CV76" s="62">
        <v>0</v>
      </c>
      <c r="CW76" s="62">
        <v>0</v>
      </c>
      <c r="CX76" s="62">
        <v>0</v>
      </c>
      <c r="CY76" s="62">
        <v>0</v>
      </c>
      <c r="CZ76" s="190">
        <f t="shared" si="22"/>
        <v>0</v>
      </c>
      <c r="DA76" s="62">
        <v>0</v>
      </c>
      <c r="DB76" s="62">
        <v>0</v>
      </c>
      <c r="DC76" s="62">
        <v>0</v>
      </c>
      <c r="DD76" s="62">
        <v>0</v>
      </c>
      <c r="DE76" s="62">
        <v>0</v>
      </c>
      <c r="DF76" s="62">
        <v>0</v>
      </c>
      <c r="DG76" s="62">
        <v>0</v>
      </c>
      <c r="DH76" s="62">
        <v>0</v>
      </c>
      <c r="DI76" s="62">
        <v>0</v>
      </c>
      <c r="DJ76" s="62">
        <v>0</v>
      </c>
      <c r="DK76" s="62">
        <v>0</v>
      </c>
      <c r="DL76" s="62">
        <v>0</v>
      </c>
      <c r="DM76" s="190">
        <f t="shared" si="23"/>
        <v>0</v>
      </c>
      <c r="DN76" s="62">
        <v>0</v>
      </c>
      <c r="DO76" s="62">
        <v>0</v>
      </c>
      <c r="DP76" s="62">
        <v>0</v>
      </c>
      <c r="DQ76" s="62">
        <v>0</v>
      </c>
      <c r="DR76" s="62">
        <v>0</v>
      </c>
      <c r="DS76" s="62">
        <v>0</v>
      </c>
      <c r="DT76" s="62">
        <v>0</v>
      </c>
      <c r="DU76" s="62">
        <v>0</v>
      </c>
      <c r="DV76" s="62">
        <v>0</v>
      </c>
      <c r="DW76" s="62">
        <v>0</v>
      </c>
      <c r="DX76" s="62">
        <v>0</v>
      </c>
      <c r="DY76" s="62">
        <v>0</v>
      </c>
      <c r="DZ76" s="190">
        <f t="shared" si="24"/>
        <v>0</v>
      </c>
    </row>
    <row r="77" spans="1:130" ht="20.45" customHeight="1" outlineLevel="2">
      <c r="A77" s="662"/>
      <c r="B77" s="636"/>
      <c r="C77" s="30" t="s">
        <v>344</v>
      </c>
      <c r="D77" s="62">
        <f t="shared" si="345"/>
        <v>1127260</v>
      </c>
      <c r="E77" s="184">
        <f t="shared" si="179"/>
        <v>3.4877462444963835E-3</v>
      </c>
      <c r="F77" s="62">
        <v>0</v>
      </c>
      <c r="G77" s="190">
        <f t="shared" si="36"/>
        <v>0</v>
      </c>
      <c r="H77" s="197">
        <f t="shared" si="368"/>
        <v>0</v>
      </c>
      <c r="I77" s="62">
        <v>15000</v>
      </c>
      <c r="J77" s="62">
        <v>83900</v>
      </c>
      <c r="K77" s="62">
        <v>19000</v>
      </c>
      <c r="L77" s="62">
        <v>0</v>
      </c>
      <c r="M77" s="62">
        <v>0</v>
      </c>
      <c r="N77" s="62">
        <v>19000</v>
      </c>
      <c r="O77" s="62">
        <v>39000</v>
      </c>
      <c r="P77" s="62">
        <v>26000</v>
      </c>
      <c r="Q77" s="62">
        <v>0</v>
      </c>
      <c r="R77" s="62">
        <v>48000</v>
      </c>
      <c r="S77" s="62">
        <v>18000</v>
      </c>
      <c r="T77" s="62">
        <v>0</v>
      </c>
      <c r="U77" s="190">
        <f t="shared" si="16"/>
        <v>267900</v>
      </c>
      <c r="V77" s="197">
        <f t="shared" si="369"/>
        <v>4.8287673843962174E-3</v>
      </c>
      <c r="W77" s="62">
        <v>0</v>
      </c>
      <c r="X77" s="62">
        <v>54500</v>
      </c>
      <c r="Y77" s="62">
        <v>0</v>
      </c>
      <c r="Z77" s="62">
        <v>30600</v>
      </c>
      <c r="AA77" s="62">
        <v>18800</v>
      </c>
      <c r="AB77" s="62">
        <v>17700</v>
      </c>
      <c r="AC77" s="62">
        <f>21920+27700</f>
        <v>49620</v>
      </c>
      <c r="AD77" s="62">
        <f>19000+22400</f>
        <v>41400</v>
      </c>
      <c r="AE77" s="62">
        <f>20640</f>
        <v>20640</v>
      </c>
      <c r="AF77" s="62">
        <f>23400+26900</f>
        <v>50300</v>
      </c>
      <c r="AG77" s="62">
        <v>23800</v>
      </c>
      <c r="AH77" s="62">
        <v>19000</v>
      </c>
      <c r="AI77" s="190">
        <f t="shared" si="17"/>
        <v>326360</v>
      </c>
      <c r="AJ77" s="197">
        <f t="shared" si="370"/>
        <v>4.4355226598044636E-3</v>
      </c>
      <c r="AK77" s="62">
        <v>20000</v>
      </c>
      <c r="AL77" s="62">
        <f>30000+23000</f>
        <v>53000</v>
      </c>
      <c r="AM77" s="62">
        <f>21500+22000</f>
        <v>43500</v>
      </c>
      <c r="AN77" s="62">
        <f>16500</f>
        <v>16500</v>
      </c>
      <c r="AO77" s="62">
        <f>3500+16500</f>
        <v>20000</v>
      </c>
      <c r="AP77" s="62">
        <v>0</v>
      </c>
      <c r="AQ77" s="62">
        <v>27900</v>
      </c>
      <c r="AR77" s="62">
        <v>23000</v>
      </c>
      <c r="AS77" s="62">
        <v>0</v>
      </c>
      <c r="AT77" s="62">
        <v>0</v>
      </c>
      <c r="AU77" s="62">
        <v>0</v>
      </c>
      <c r="AV77" s="62">
        <f>22500</f>
        <v>22500</v>
      </c>
      <c r="AW77" s="190">
        <f t="shared" si="18"/>
        <v>226400</v>
      </c>
      <c r="AX77" s="197">
        <f t="shared" si="371"/>
        <v>2.9677271340589591E-3</v>
      </c>
      <c r="AY77" s="62">
        <v>0</v>
      </c>
      <c r="AZ77" s="62">
        <f>19100</f>
        <v>19100</v>
      </c>
      <c r="BA77" s="62">
        <v>0</v>
      </c>
      <c r="BB77" s="62">
        <f>23100</f>
        <v>23100</v>
      </c>
      <c r="BC77" s="62">
        <f>6000</f>
        <v>6000</v>
      </c>
      <c r="BD77" s="62">
        <f>19000+27800</f>
        <v>46800</v>
      </c>
      <c r="BE77" s="62">
        <v>0</v>
      </c>
      <c r="BF77" s="62">
        <f>17000+23500</f>
        <v>40500</v>
      </c>
      <c r="BG77" s="62">
        <f>13800</f>
        <v>13800</v>
      </c>
      <c r="BH77" s="62">
        <f>19000</f>
        <v>19000</v>
      </c>
      <c r="BI77" s="62">
        <v>0</v>
      </c>
      <c r="BJ77" s="62">
        <f>40200+12900</f>
        <v>53100</v>
      </c>
      <c r="BK77" s="190">
        <f t="shared" si="19"/>
        <v>221400</v>
      </c>
      <c r="BL77" s="197">
        <f t="shared" si="372"/>
        <v>3.1701474857422831E-3</v>
      </c>
      <c r="BM77" s="62">
        <f>23000+12900</f>
        <v>35900</v>
      </c>
      <c r="BN77" s="62">
        <f>24000</f>
        <v>24000</v>
      </c>
      <c r="BO77" s="62">
        <v>0</v>
      </c>
      <c r="BP77" s="62">
        <f>25300</f>
        <v>25300</v>
      </c>
      <c r="BQ77" s="62">
        <v>0</v>
      </c>
      <c r="BR77" s="62">
        <v>0</v>
      </c>
      <c r="BS77" s="62">
        <v>0</v>
      </c>
      <c r="BT77" s="62">
        <v>0</v>
      </c>
      <c r="BU77" s="62">
        <v>0</v>
      </c>
      <c r="BV77" s="62">
        <v>0</v>
      </c>
      <c r="BW77" s="62">
        <v>0</v>
      </c>
      <c r="BX77" s="62">
        <v>0</v>
      </c>
      <c r="BY77" s="190">
        <f t="shared" si="20"/>
        <v>85200</v>
      </c>
      <c r="BZ77" s="197">
        <f t="shared" si="373"/>
        <v>1.9522080228875768E-3</v>
      </c>
      <c r="CA77" s="62">
        <v>0</v>
      </c>
      <c r="CB77" s="62">
        <v>0</v>
      </c>
      <c r="CC77" s="62">
        <v>0</v>
      </c>
      <c r="CD77" s="62">
        <v>0</v>
      </c>
      <c r="CE77" s="62">
        <v>0</v>
      </c>
      <c r="CF77" s="62">
        <v>0</v>
      </c>
      <c r="CG77" s="62">
        <v>0</v>
      </c>
      <c r="CH77" s="62">
        <v>0</v>
      </c>
      <c r="CI77" s="62">
        <v>0</v>
      </c>
      <c r="CJ77" s="62">
        <v>0</v>
      </c>
      <c r="CK77" s="62">
        <v>0</v>
      </c>
      <c r="CL77" s="62">
        <v>0</v>
      </c>
      <c r="CM77" s="190">
        <f t="shared" si="21"/>
        <v>0</v>
      </c>
      <c r="CN77" s="62">
        <v>0</v>
      </c>
      <c r="CO77" s="62">
        <v>0</v>
      </c>
      <c r="CP77" s="62">
        <v>0</v>
      </c>
      <c r="CQ77" s="62">
        <v>0</v>
      </c>
      <c r="CR77" s="62">
        <v>0</v>
      </c>
      <c r="CS77" s="62">
        <v>0</v>
      </c>
      <c r="CT77" s="62">
        <v>0</v>
      </c>
      <c r="CU77" s="62">
        <v>0</v>
      </c>
      <c r="CV77" s="62">
        <v>0</v>
      </c>
      <c r="CW77" s="62">
        <v>0</v>
      </c>
      <c r="CX77" s="62">
        <v>0</v>
      </c>
      <c r="CY77" s="62">
        <v>0</v>
      </c>
      <c r="CZ77" s="190">
        <f t="shared" si="22"/>
        <v>0</v>
      </c>
      <c r="DA77" s="62">
        <v>0</v>
      </c>
      <c r="DB77" s="62">
        <v>0</v>
      </c>
      <c r="DC77" s="62">
        <v>0</v>
      </c>
      <c r="DD77" s="62">
        <v>0</v>
      </c>
      <c r="DE77" s="62">
        <v>0</v>
      </c>
      <c r="DF77" s="62">
        <v>0</v>
      </c>
      <c r="DG77" s="62">
        <v>0</v>
      </c>
      <c r="DH77" s="62">
        <v>0</v>
      </c>
      <c r="DI77" s="62">
        <v>0</v>
      </c>
      <c r="DJ77" s="62">
        <v>0</v>
      </c>
      <c r="DK77" s="62">
        <v>0</v>
      </c>
      <c r="DL77" s="62">
        <v>0</v>
      </c>
      <c r="DM77" s="190">
        <f t="shared" si="23"/>
        <v>0</v>
      </c>
      <c r="DN77" s="62">
        <v>0</v>
      </c>
      <c r="DO77" s="62">
        <v>0</v>
      </c>
      <c r="DP77" s="62">
        <v>0</v>
      </c>
      <c r="DQ77" s="62">
        <v>0</v>
      </c>
      <c r="DR77" s="62">
        <v>0</v>
      </c>
      <c r="DS77" s="62">
        <v>0</v>
      </c>
      <c r="DT77" s="62">
        <v>0</v>
      </c>
      <c r="DU77" s="62">
        <v>0</v>
      </c>
      <c r="DV77" s="62">
        <v>0</v>
      </c>
      <c r="DW77" s="62">
        <v>0</v>
      </c>
      <c r="DX77" s="62">
        <v>0</v>
      </c>
      <c r="DY77" s="62">
        <v>0</v>
      </c>
      <c r="DZ77" s="190">
        <f t="shared" si="24"/>
        <v>0</v>
      </c>
    </row>
    <row r="78" spans="1:130" ht="20.45" customHeight="1" outlineLevel="2">
      <c r="A78" s="663"/>
      <c r="B78" s="636"/>
      <c r="C78" s="30" t="s">
        <v>2615</v>
      </c>
      <c r="D78" s="62">
        <f t="shared" si="345"/>
        <v>52550.000000000015</v>
      </c>
      <c r="E78" s="184">
        <f t="shared" si="179"/>
        <v>1.6258987735596491E-4</v>
      </c>
      <c r="F78" s="62">
        <v>0</v>
      </c>
      <c r="G78" s="190">
        <f t="shared" si="36"/>
        <v>0</v>
      </c>
      <c r="H78" s="197">
        <f t="shared" si="368"/>
        <v>0</v>
      </c>
      <c r="I78" s="62">
        <v>0</v>
      </c>
      <c r="J78" s="62">
        <v>0</v>
      </c>
      <c r="K78" s="62">
        <v>0</v>
      </c>
      <c r="L78" s="62">
        <v>0</v>
      </c>
      <c r="M78" s="62">
        <v>0</v>
      </c>
      <c r="N78" s="62">
        <v>0</v>
      </c>
      <c r="O78" s="62">
        <v>0</v>
      </c>
      <c r="P78" s="62">
        <v>0</v>
      </c>
      <c r="Q78" s="62">
        <v>0</v>
      </c>
      <c r="R78" s="62">
        <v>0</v>
      </c>
      <c r="S78" s="62">
        <v>0</v>
      </c>
      <c r="T78" s="62">
        <v>0</v>
      </c>
      <c r="U78" s="190">
        <f t="shared" si="16"/>
        <v>0</v>
      </c>
      <c r="V78" s="197">
        <f t="shared" si="369"/>
        <v>0</v>
      </c>
      <c r="W78" s="62">
        <v>0</v>
      </c>
      <c r="X78" s="62">
        <v>0</v>
      </c>
      <c r="Y78" s="62">
        <v>0</v>
      </c>
      <c r="Z78" s="62">
        <v>23350</v>
      </c>
      <c r="AA78" s="62">
        <v>0</v>
      </c>
      <c r="AB78" s="62">
        <v>0</v>
      </c>
      <c r="AC78" s="62">
        <v>2200</v>
      </c>
      <c r="AD78" s="62">
        <v>0</v>
      </c>
      <c r="AE78" s="62">
        <v>0</v>
      </c>
      <c r="AF78" s="62">
        <v>0</v>
      </c>
      <c r="AG78" s="62">
        <v>0</v>
      </c>
      <c r="AH78" s="62">
        <v>0</v>
      </c>
      <c r="AI78" s="190">
        <f t="shared" si="17"/>
        <v>25550</v>
      </c>
      <c r="AJ78" s="197">
        <f t="shared" si="370"/>
        <v>3.4724722379582071E-4</v>
      </c>
      <c r="AK78" s="62">
        <v>0</v>
      </c>
      <c r="AL78" s="62">
        <v>0</v>
      </c>
      <c r="AM78" s="62">
        <v>0</v>
      </c>
      <c r="AN78" s="62">
        <v>0</v>
      </c>
      <c r="AO78" s="62">
        <v>0</v>
      </c>
      <c r="AP78" s="62">
        <v>0</v>
      </c>
      <c r="AQ78" s="62">
        <v>0</v>
      </c>
      <c r="AR78" s="62">
        <v>27000</v>
      </c>
      <c r="AS78" s="62">
        <v>0</v>
      </c>
      <c r="AT78" s="62">
        <v>0</v>
      </c>
      <c r="AU78" s="62">
        <v>0</v>
      </c>
      <c r="AV78" s="62">
        <v>0</v>
      </c>
      <c r="AW78" s="190">
        <f t="shared" si="18"/>
        <v>27000</v>
      </c>
      <c r="AX78" s="197">
        <f t="shared" si="371"/>
        <v>3.5392505574024689E-4</v>
      </c>
      <c r="AY78" s="62">
        <v>0</v>
      </c>
      <c r="AZ78" s="62">
        <v>0</v>
      </c>
      <c r="BA78" s="62">
        <v>0</v>
      </c>
      <c r="BB78" s="62">
        <v>0</v>
      </c>
      <c r="BC78" s="62">
        <v>0</v>
      </c>
      <c r="BD78" s="62">
        <v>0</v>
      </c>
      <c r="BE78" s="62">
        <v>0</v>
      </c>
      <c r="BF78" s="62">
        <v>0</v>
      </c>
      <c r="BG78" s="62">
        <v>0</v>
      </c>
      <c r="BH78" s="62">
        <v>0</v>
      </c>
      <c r="BI78" s="62">
        <v>0</v>
      </c>
      <c r="BJ78" s="62">
        <v>0</v>
      </c>
      <c r="BK78" s="190">
        <f t="shared" si="19"/>
        <v>0</v>
      </c>
      <c r="BL78" s="197">
        <f t="shared" si="372"/>
        <v>0</v>
      </c>
      <c r="BM78" s="62">
        <v>0</v>
      </c>
      <c r="BN78" s="62">
        <v>0</v>
      </c>
      <c r="BO78" s="62">
        <v>0</v>
      </c>
      <c r="BP78" s="62">
        <v>0</v>
      </c>
      <c r="BQ78" s="62">
        <v>0</v>
      </c>
      <c r="BR78" s="62">
        <v>0</v>
      </c>
      <c r="BS78" s="62">
        <v>0</v>
      </c>
      <c r="BT78" s="62">
        <v>0</v>
      </c>
      <c r="BU78" s="62">
        <v>0</v>
      </c>
      <c r="BV78" s="62">
        <v>0</v>
      </c>
      <c r="BW78" s="62">
        <v>0</v>
      </c>
      <c r="BX78" s="62">
        <v>0</v>
      </c>
      <c r="BY78" s="190">
        <f t="shared" si="20"/>
        <v>0</v>
      </c>
      <c r="BZ78" s="197">
        <f t="shared" si="373"/>
        <v>0</v>
      </c>
      <c r="CA78" s="62">
        <v>0</v>
      </c>
      <c r="CB78" s="62">
        <v>0</v>
      </c>
      <c r="CC78" s="62">
        <v>0</v>
      </c>
      <c r="CD78" s="62">
        <v>0</v>
      </c>
      <c r="CE78" s="62">
        <v>0</v>
      </c>
      <c r="CF78" s="62">
        <v>0</v>
      </c>
      <c r="CG78" s="62">
        <v>0</v>
      </c>
      <c r="CH78" s="62">
        <v>0</v>
      </c>
      <c r="CI78" s="62">
        <v>0</v>
      </c>
      <c r="CJ78" s="62">
        <v>0</v>
      </c>
      <c r="CK78" s="62">
        <v>0</v>
      </c>
      <c r="CL78" s="62">
        <v>0</v>
      </c>
      <c r="CM78" s="190">
        <f t="shared" si="21"/>
        <v>0</v>
      </c>
      <c r="CN78" s="62">
        <v>0</v>
      </c>
      <c r="CO78" s="62">
        <v>0</v>
      </c>
      <c r="CP78" s="62">
        <v>0</v>
      </c>
      <c r="CQ78" s="62">
        <v>0</v>
      </c>
      <c r="CR78" s="62">
        <v>0</v>
      </c>
      <c r="CS78" s="62">
        <v>0</v>
      </c>
      <c r="CT78" s="62">
        <v>0</v>
      </c>
      <c r="CU78" s="62">
        <v>0</v>
      </c>
      <c r="CV78" s="62">
        <v>0</v>
      </c>
      <c r="CW78" s="62">
        <v>0</v>
      </c>
      <c r="CX78" s="62">
        <v>0</v>
      </c>
      <c r="CY78" s="62">
        <v>0</v>
      </c>
      <c r="CZ78" s="190">
        <f t="shared" si="22"/>
        <v>0</v>
      </c>
      <c r="DA78" s="62">
        <v>0</v>
      </c>
      <c r="DB78" s="62">
        <v>0</v>
      </c>
      <c r="DC78" s="62">
        <v>0</v>
      </c>
      <c r="DD78" s="62">
        <v>0</v>
      </c>
      <c r="DE78" s="62">
        <v>0</v>
      </c>
      <c r="DF78" s="62">
        <v>0</v>
      </c>
      <c r="DG78" s="62">
        <v>0</v>
      </c>
      <c r="DH78" s="62">
        <v>0</v>
      </c>
      <c r="DI78" s="62">
        <v>0</v>
      </c>
      <c r="DJ78" s="62">
        <v>0</v>
      </c>
      <c r="DK78" s="62">
        <v>0</v>
      </c>
      <c r="DL78" s="62">
        <v>0</v>
      </c>
      <c r="DM78" s="190">
        <f t="shared" si="23"/>
        <v>0</v>
      </c>
      <c r="DN78" s="62">
        <v>0</v>
      </c>
      <c r="DO78" s="62">
        <v>0</v>
      </c>
      <c r="DP78" s="62">
        <v>0</v>
      </c>
      <c r="DQ78" s="62">
        <v>0</v>
      </c>
      <c r="DR78" s="62">
        <v>0</v>
      </c>
      <c r="DS78" s="62">
        <v>0</v>
      </c>
      <c r="DT78" s="62">
        <v>0</v>
      </c>
      <c r="DU78" s="62">
        <v>0</v>
      </c>
      <c r="DV78" s="62">
        <v>0</v>
      </c>
      <c r="DW78" s="62">
        <v>0</v>
      </c>
      <c r="DX78" s="62">
        <v>0</v>
      </c>
      <c r="DY78" s="62">
        <v>0</v>
      </c>
      <c r="DZ78" s="190">
        <f t="shared" si="24"/>
        <v>0</v>
      </c>
    </row>
    <row r="79" spans="1:130" ht="20.45" customHeight="1" outlineLevel="2">
      <c r="A79" s="662"/>
      <c r="B79" s="637"/>
      <c r="C79" s="30" t="s">
        <v>345</v>
      </c>
      <c r="D79" s="62">
        <f t="shared" si="345"/>
        <v>8791674.0000000019</v>
      </c>
      <c r="E79" s="184">
        <f t="shared" si="179"/>
        <v>2.7201469027852053E-2</v>
      </c>
      <c r="F79" s="62">
        <f>29200+49900</f>
        <v>79100</v>
      </c>
      <c r="G79" s="190">
        <f t="shared" si="36"/>
        <v>79100</v>
      </c>
      <c r="H79" s="197">
        <f t="shared" si="368"/>
        <v>1.8068002846110182E-2</v>
      </c>
      <c r="I79" s="62">
        <f>37400+28300+2900</f>
        <v>68600</v>
      </c>
      <c r="J79" s="62">
        <v>79500</v>
      </c>
      <c r="K79" s="62">
        <f>60500+65800+80500+59000</f>
        <v>265800</v>
      </c>
      <c r="L79" s="62">
        <f>92800+47300+48000+15000+71900+34600+55100</f>
        <v>364700</v>
      </c>
      <c r="M79" s="62">
        <f>169700+15000</f>
        <v>184700</v>
      </c>
      <c r="N79" s="62">
        <v>274550</v>
      </c>
      <c r="O79" s="62">
        <f>41300+33500+21600</f>
        <v>96400</v>
      </c>
      <c r="P79" s="62">
        <f>213900+21700</f>
        <v>235600</v>
      </c>
      <c r="Q79" s="62">
        <f>77700+292200</f>
        <v>369900</v>
      </c>
      <c r="R79" s="62">
        <v>126400</v>
      </c>
      <c r="S79" s="62">
        <f>275600+48900</f>
        <v>324500</v>
      </c>
      <c r="T79" s="62">
        <f>23760+1700+22100+29300+13000+32000+8000+16000</f>
        <v>145860</v>
      </c>
      <c r="U79" s="190">
        <f t="shared" si="16"/>
        <v>2536510</v>
      </c>
      <c r="V79" s="197">
        <f t="shared" si="369"/>
        <v>4.571936079953285E-2</v>
      </c>
      <c r="W79" s="62">
        <f>24650+27000+7100+21400+46500+17200+57000+14000</f>
        <v>214850</v>
      </c>
      <c r="X79" s="62">
        <v>0</v>
      </c>
      <c r="Y79" s="62">
        <f>8500+88400+9300+24800+10500</f>
        <v>141500</v>
      </c>
      <c r="Z79" s="62">
        <f>15000+28700+800+11800</f>
        <v>56300</v>
      </c>
      <c r="AA79" s="62">
        <f>29000+23800+17000+7000+14100+47500</f>
        <v>138400</v>
      </c>
      <c r="AB79" s="62">
        <f>33800+13400+8700</f>
        <v>55900</v>
      </c>
      <c r="AC79" s="62">
        <f>16700+8500+8900+24000+4600+8000+46000+28000+11900+9000+17300+9800+37000+20000</f>
        <v>249700</v>
      </c>
      <c r="AD79" s="62">
        <v>49900</v>
      </c>
      <c r="AE79" s="62">
        <f>7200+13500+6000+18500+14000+34000+18000+14000+21800+1000</f>
        <v>148000</v>
      </c>
      <c r="AF79" s="62">
        <f>6500+9800+9468+36329+4500+10000+15500</f>
        <v>92097</v>
      </c>
      <c r="AG79" s="62">
        <f>8900+56800</f>
        <v>65700</v>
      </c>
      <c r="AH79" s="62">
        <f>16900+3600+33000+6000+8000+39000+11000+53000+13500+54400+39800</f>
        <v>278200</v>
      </c>
      <c r="AI79" s="190">
        <f t="shared" si="17"/>
        <v>1490547</v>
      </c>
      <c r="AJ79" s="197">
        <f t="shared" si="370"/>
        <v>2.0257859400672765E-2</v>
      </c>
      <c r="AK79" s="62">
        <f>91000+16700+18000+9500+72800+20000</f>
        <v>228000</v>
      </c>
      <c r="AL79" s="62">
        <f>11000+21000+2400+12700+58800+33900+6900+23500+3000+9500+5000+34000</f>
        <v>221700</v>
      </c>
      <c r="AM79" s="62">
        <f>3000+67000+22000+8000+9000+16000+4400+9000</f>
        <v>138400</v>
      </c>
      <c r="AN79" s="62">
        <f>18000+35000+3500</f>
        <v>56500</v>
      </c>
      <c r="AO79" s="62">
        <f>7800+14000+12000+37000+3500+9500+2500+19100+6000+2000+16500+9800+16000+4600</f>
        <v>160300</v>
      </c>
      <c r="AP79" s="62">
        <f>3000+9800+17000+14900</f>
        <v>44700</v>
      </c>
      <c r="AQ79" s="62">
        <f>1400+2400+32000+16600+20500+30500+6800+2000+15000+10700+19000+48500+2000+2500+8000</f>
        <v>217900</v>
      </c>
      <c r="AR79" s="62">
        <f>8500+62000+1800+9500+20000+12400+6000+7500+13500+26300+4800+55800+4800+8200+37000+26300</f>
        <v>304400</v>
      </c>
      <c r="AS79" s="62">
        <f>5000+25500+9800+3500+1000+7800+3500+43500+14200+3800</f>
        <v>117600</v>
      </c>
      <c r="AT79" s="62">
        <f>30500+14100+13600+4000+6500+7900+17000+2500+7800+9900+1000+46000</f>
        <v>160800</v>
      </c>
      <c r="AU79" s="62">
        <f>13100+22100+24100+25777+6700</f>
        <v>91777</v>
      </c>
      <c r="AV79" s="62">
        <f>2000+9000+2700+48000+3500+21000+2500+8500+12800+4500+31000+50500+10600+65000</f>
        <v>271600</v>
      </c>
      <c r="AW79" s="190">
        <f t="shared" si="18"/>
        <v>2013677</v>
      </c>
      <c r="AX79" s="197">
        <f t="shared" si="371"/>
        <v>2.6395953498809376E-2</v>
      </c>
      <c r="AY79" s="62">
        <f>24000+35000+40800+8000+6900+11800+9800+8500+23100+31000+53900+14300+60180+2000+6700</f>
        <v>335980</v>
      </c>
      <c r="AZ79" s="62">
        <f>44000+1500+14300+55000+17200+8800+15800+3600+22300+27600+24000+27400+3500+5500+9800+9800</f>
        <v>290100</v>
      </c>
      <c r="BA79" s="62">
        <f>8900+3500+7900+15900+9800+15000</f>
        <v>61000</v>
      </c>
      <c r="BB79" s="62">
        <f>21700+27500+22000+18000+30000+20500+18000+6020+7000+9800</f>
        <v>180520</v>
      </c>
      <c r="BC79" s="62">
        <f>9900+11000+9600+23000+30600+31100+26000+9300+5500+33500+9900</f>
        <v>199400</v>
      </c>
      <c r="BD79" s="62">
        <f>13200+34900+9500+9800+26000+9900</f>
        <v>103300</v>
      </c>
      <c r="BE79" s="62">
        <f>17000+9900+20100+9900+9900+9800+9900</f>
        <v>86500</v>
      </c>
      <c r="BF79" s="62">
        <f>9800+22700+30800+6600+9800+9900</f>
        <v>89600</v>
      </c>
      <c r="BG79" s="62">
        <f>17000+17600+46500+12600+7500+4900+26000+6600+24500</f>
        <v>163200</v>
      </c>
      <c r="BH79" s="62">
        <f>12500+34000+12700+9800+5000</f>
        <v>74000</v>
      </c>
      <c r="BI79" s="62">
        <f>12000+11400+38000+16000+45600+9400+17600+27000+6600+17000</f>
        <v>200600</v>
      </c>
      <c r="BJ79" s="62">
        <f>31000+4500+9900+14600+4500+34700+31000+11800+9900+9000+9800+24000+25000+18000+52000</f>
        <v>289700</v>
      </c>
      <c r="BK79" s="190">
        <f t="shared" si="19"/>
        <v>2073900</v>
      </c>
      <c r="BL79" s="197">
        <f t="shared" si="372"/>
        <v>2.9695433020239029E-2</v>
      </c>
      <c r="BM79" s="62">
        <f>12000+9100+11200+12500+12700+15800+6000+15900+26000+14800</f>
        <v>136000</v>
      </c>
      <c r="BN79" s="62">
        <f>13100+30000+25500+14400+12600+38000+2900+13500+8000</f>
        <v>158000</v>
      </c>
      <c r="BO79" s="62">
        <f>24700+14900+6000+9900+8200+6000+42100+9900+5000+28000+9900+6900</f>
        <v>171500</v>
      </c>
      <c r="BP79" s="62">
        <f>11400+3700+9900+1000+9900+27000+16500</f>
        <v>79400</v>
      </c>
      <c r="BQ79" s="62">
        <f>13100+8000+1400+10700+13300+6540</f>
        <v>53040</v>
      </c>
      <c r="BR79" s="62">
        <v>0</v>
      </c>
      <c r="BS79" s="62">
        <v>0</v>
      </c>
      <c r="BT79" s="62">
        <v>0</v>
      </c>
      <c r="BU79" s="62">
        <v>0</v>
      </c>
      <c r="BV79" s="62">
        <v>0</v>
      </c>
      <c r="BW79" s="62">
        <v>0</v>
      </c>
      <c r="BX79" s="62">
        <v>0</v>
      </c>
      <c r="BY79" s="190">
        <f t="shared" si="20"/>
        <v>597940</v>
      </c>
      <c r="BZ79" s="197">
        <f t="shared" si="373"/>
        <v>1.3700742549359128E-2</v>
      </c>
      <c r="CA79" s="62">
        <v>0</v>
      </c>
      <c r="CB79" s="62">
        <v>0</v>
      </c>
      <c r="CC79" s="62">
        <v>0</v>
      </c>
      <c r="CD79" s="62">
        <v>0</v>
      </c>
      <c r="CE79" s="62">
        <v>0</v>
      </c>
      <c r="CF79" s="62">
        <v>0</v>
      </c>
      <c r="CG79" s="62">
        <v>0</v>
      </c>
      <c r="CH79" s="62">
        <v>0</v>
      </c>
      <c r="CI79" s="62">
        <v>0</v>
      </c>
      <c r="CJ79" s="62">
        <v>0</v>
      </c>
      <c r="CK79" s="62">
        <v>0</v>
      </c>
      <c r="CL79" s="62">
        <v>0</v>
      </c>
      <c r="CM79" s="190">
        <f t="shared" si="21"/>
        <v>0</v>
      </c>
      <c r="CN79" s="62">
        <v>0</v>
      </c>
      <c r="CO79" s="62">
        <v>0</v>
      </c>
      <c r="CP79" s="62">
        <v>0</v>
      </c>
      <c r="CQ79" s="62">
        <v>0</v>
      </c>
      <c r="CR79" s="62">
        <v>0</v>
      </c>
      <c r="CS79" s="62">
        <v>0</v>
      </c>
      <c r="CT79" s="62">
        <v>0</v>
      </c>
      <c r="CU79" s="62">
        <v>0</v>
      </c>
      <c r="CV79" s="62">
        <v>0</v>
      </c>
      <c r="CW79" s="62">
        <v>0</v>
      </c>
      <c r="CX79" s="62">
        <v>0</v>
      </c>
      <c r="CY79" s="62">
        <v>0</v>
      </c>
      <c r="CZ79" s="190">
        <f t="shared" si="22"/>
        <v>0</v>
      </c>
      <c r="DA79" s="62">
        <v>0</v>
      </c>
      <c r="DB79" s="62">
        <v>0</v>
      </c>
      <c r="DC79" s="62">
        <v>0</v>
      </c>
      <c r="DD79" s="62">
        <v>0</v>
      </c>
      <c r="DE79" s="62">
        <v>0</v>
      </c>
      <c r="DF79" s="62">
        <v>0</v>
      </c>
      <c r="DG79" s="62">
        <v>0</v>
      </c>
      <c r="DH79" s="62">
        <v>0</v>
      </c>
      <c r="DI79" s="62">
        <v>0</v>
      </c>
      <c r="DJ79" s="62">
        <v>0</v>
      </c>
      <c r="DK79" s="62">
        <v>0</v>
      </c>
      <c r="DL79" s="62">
        <v>0</v>
      </c>
      <c r="DM79" s="190">
        <f t="shared" si="23"/>
        <v>0</v>
      </c>
      <c r="DN79" s="62">
        <v>0</v>
      </c>
      <c r="DO79" s="62">
        <v>0</v>
      </c>
      <c r="DP79" s="62">
        <v>0</v>
      </c>
      <c r="DQ79" s="62">
        <v>0</v>
      </c>
      <c r="DR79" s="62">
        <v>0</v>
      </c>
      <c r="DS79" s="62">
        <v>0</v>
      </c>
      <c r="DT79" s="62">
        <v>0</v>
      </c>
      <c r="DU79" s="62">
        <v>0</v>
      </c>
      <c r="DV79" s="62">
        <v>0</v>
      </c>
      <c r="DW79" s="62">
        <v>0</v>
      </c>
      <c r="DX79" s="62">
        <v>0</v>
      </c>
      <c r="DY79" s="62">
        <v>0</v>
      </c>
      <c r="DZ79" s="190">
        <f t="shared" si="24"/>
        <v>0</v>
      </c>
    </row>
    <row r="80" spans="1:130" s="194" customFormat="1" ht="20.45" customHeight="1" outlineLevel="1">
      <c r="A80" s="662"/>
      <c r="B80" s="645" t="s">
        <v>346</v>
      </c>
      <c r="C80" s="65" t="s">
        <v>307</v>
      </c>
      <c r="D80" s="66">
        <f t="shared" si="345"/>
        <v>4895618</v>
      </c>
      <c r="E80" s="187">
        <f>SUM(E81:E86)</f>
        <v>1.5147058614684183E-2</v>
      </c>
      <c r="F80" s="62">
        <f t="shared" ref="F80:DX80" si="374">SUM(F81:F86)</f>
        <v>14060</v>
      </c>
      <c r="G80" s="190">
        <f t="shared" si="36"/>
        <v>14060</v>
      </c>
      <c r="H80" s="196">
        <f>SUM(H81:H86)</f>
        <v>3.2115817954021385E-3</v>
      </c>
      <c r="I80" s="62">
        <f t="shared" si="374"/>
        <v>35800</v>
      </c>
      <c r="J80" s="62">
        <f t="shared" si="374"/>
        <v>4990</v>
      </c>
      <c r="K80" s="62">
        <f t="shared" si="374"/>
        <v>0</v>
      </c>
      <c r="L80" s="62">
        <f t="shared" si="374"/>
        <v>0</v>
      </c>
      <c r="M80" s="62">
        <f t="shared" si="374"/>
        <v>0</v>
      </c>
      <c r="N80" s="62">
        <f t="shared" si="374"/>
        <v>62689</v>
      </c>
      <c r="O80" s="62">
        <f t="shared" si="374"/>
        <v>186846</v>
      </c>
      <c r="P80" s="62">
        <f t="shared" si="374"/>
        <v>0</v>
      </c>
      <c r="Q80" s="62">
        <f t="shared" si="374"/>
        <v>26927</v>
      </c>
      <c r="R80" s="62">
        <f t="shared" si="374"/>
        <v>4990</v>
      </c>
      <c r="S80" s="62">
        <f t="shared" si="374"/>
        <v>0</v>
      </c>
      <c r="T80" s="62">
        <f t="shared" si="374"/>
        <v>273550</v>
      </c>
      <c r="U80" s="190">
        <f t="shared" si="16"/>
        <v>595792</v>
      </c>
      <c r="V80" s="196">
        <f>SUM(V81:V86)</f>
        <v>1.0738861431445281E-2</v>
      </c>
      <c r="W80" s="62">
        <f t="shared" si="374"/>
        <v>256310</v>
      </c>
      <c r="X80" s="62">
        <f t="shared" si="374"/>
        <v>0</v>
      </c>
      <c r="Y80" s="62">
        <f t="shared" si="374"/>
        <v>172487</v>
      </c>
      <c r="Z80" s="62">
        <f t="shared" si="374"/>
        <v>0</v>
      </c>
      <c r="AA80" s="62">
        <f t="shared" si="374"/>
        <v>158800</v>
      </c>
      <c r="AB80" s="62">
        <f t="shared" si="374"/>
        <v>25800</v>
      </c>
      <c r="AC80" s="62">
        <f t="shared" ref="AC80:AF80" si="375">SUM(AC81:AC86)</f>
        <v>0</v>
      </c>
      <c r="AD80" s="62">
        <f t="shared" si="375"/>
        <v>2000</v>
      </c>
      <c r="AE80" s="62">
        <f t="shared" si="375"/>
        <v>265650</v>
      </c>
      <c r="AF80" s="62">
        <f t="shared" si="375"/>
        <v>116438</v>
      </c>
      <c r="AG80" s="62">
        <f t="shared" si="374"/>
        <v>63100</v>
      </c>
      <c r="AH80" s="62">
        <f t="shared" si="374"/>
        <v>1000</v>
      </c>
      <c r="AI80" s="190">
        <f t="shared" si="17"/>
        <v>1061585</v>
      </c>
      <c r="AJ80" s="196">
        <f>SUM(AJ81:AJ86)</f>
        <v>1.4427884308152106E-2</v>
      </c>
      <c r="AK80" s="62">
        <f t="shared" ref="AK80:AV80" si="376">SUM(AK81:AK86)</f>
        <v>194189</v>
      </c>
      <c r="AL80" s="62">
        <f t="shared" si="376"/>
        <v>44460</v>
      </c>
      <c r="AM80" s="62">
        <f t="shared" si="376"/>
        <v>0</v>
      </c>
      <c r="AN80" s="62">
        <f t="shared" si="376"/>
        <v>100000</v>
      </c>
      <c r="AO80" s="62">
        <f t="shared" si="376"/>
        <v>35800</v>
      </c>
      <c r="AP80" s="62">
        <f t="shared" si="376"/>
        <v>230000</v>
      </c>
      <c r="AQ80" s="62">
        <f t="shared" si="376"/>
        <v>6000</v>
      </c>
      <c r="AR80" s="62">
        <f t="shared" si="376"/>
        <v>51950</v>
      </c>
      <c r="AS80" s="62">
        <f t="shared" si="376"/>
        <v>40380</v>
      </c>
      <c r="AT80" s="62">
        <f t="shared" si="376"/>
        <v>3500</v>
      </c>
      <c r="AU80" s="62">
        <f t="shared" si="376"/>
        <v>85641</v>
      </c>
      <c r="AV80" s="62">
        <f t="shared" si="376"/>
        <v>984480</v>
      </c>
      <c r="AW80" s="190">
        <f t="shared" si="18"/>
        <v>1776400</v>
      </c>
      <c r="AX80" s="196">
        <f>SUM(AX81:AX86)</f>
        <v>2.3285647000628684E-2</v>
      </c>
      <c r="AY80" s="62">
        <f t="shared" ref="AY80:BJ80" si="377">SUM(AY81:AY86)</f>
        <v>0</v>
      </c>
      <c r="AZ80" s="62">
        <f t="shared" si="377"/>
        <v>-42210</v>
      </c>
      <c r="BA80" s="62">
        <f t="shared" si="377"/>
        <v>111230</v>
      </c>
      <c r="BB80" s="62">
        <f t="shared" si="377"/>
        <v>13500</v>
      </c>
      <c r="BC80" s="62">
        <f>SUM(BC81:BC86)</f>
        <v>147510</v>
      </c>
      <c r="BD80" s="62">
        <f t="shared" si="377"/>
        <v>15900</v>
      </c>
      <c r="BE80" s="62">
        <f t="shared" si="377"/>
        <v>73450</v>
      </c>
      <c r="BF80" s="62">
        <f t="shared" si="377"/>
        <v>20920</v>
      </c>
      <c r="BG80" s="62">
        <f t="shared" si="377"/>
        <v>16200</v>
      </c>
      <c r="BH80" s="62">
        <f t="shared" si="377"/>
        <v>924461</v>
      </c>
      <c r="BI80" s="62">
        <f t="shared" si="377"/>
        <v>14900</v>
      </c>
      <c r="BJ80" s="62">
        <f t="shared" si="377"/>
        <v>48480</v>
      </c>
      <c r="BK80" s="190">
        <f t="shared" si="19"/>
        <v>1344341</v>
      </c>
      <c r="BL80" s="196">
        <f>SUM(BL81:BL86)</f>
        <v>1.9249138397155675E-2</v>
      </c>
      <c r="BM80" s="62">
        <f t="shared" ref="BM80:BX80" si="378">SUM(BM81:BM86)</f>
        <v>-7080</v>
      </c>
      <c r="BN80" s="62">
        <f t="shared" si="378"/>
        <v>6000</v>
      </c>
      <c r="BO80" s="62">
        <f t="shared" si="378"/>
        <v>54190</v>
      </c>
      <c r="BP80" s="62">
        <f t="shared" si="378"/>
        <v>46330</v>
      </c>
      <c r="BQ80" s="62">
        <f t="shared" si="378"/>
        <v>4000</v>
      </c>
      <c r="BR80" s="62">
        <f t="shared" si="378"/>
        <v>0</v>
      </c>
      <c r="BS80" s="62">
        <f t="shared" si="378"/>
        <v>0</v>
      </c>
      <c r="BT80" s="62">
        <f t="shared" si="378"/>
        <v>0</v>
      </c>
      <c r="BU80" s="62">
        <f t="shared" si="378"/>
        <v>0</v>
      </c>
      <c r="BV80" s="62">
        <f t="shared" si="378"/>
        <v>0</v>
      </c>
      <c r="BW80" s="62">
        <f t="shared" si="378"/>
        <v>0</v>
      </c>
      <c r="BX80" s="62">
        <f t="shared" si="378"/>
        <v>0</v>
      </c>
      <c r="BY80" s="190">
        <f t="shared" si="20"/>
        <v>103440</v>
      </c>
      <c r="BZ80" s="196">
        <f>SUM(BZ81:BZ86)</f>
        <v>2.370145515111396E-3</v>
      </c>
      <c r="CA80" s="62">
        <f t="shared" ref="CA80:CL80" si="379">SUM(CA81:CA86)</f>
        <v>0</v>
      </c>
      <c r="CB80" s="62">
        <f t="shared" si="379"/>
        <v>0</v>
      </c>
      <c r="CC80" s="62">
        <f t="shared" si="379"/>
        <v>0</v>
      </c>
      <c r="CD80" s="62">
        <f t="shared" si="379"/>
        <v>0</v>
      </c>
      <c r="CE80" s="62">
        <f t="shared" si="379"/>
        <v>0</v>
      </c>
      <c r="CF80" s="62">
        <f t="shared" si="379"/>
        <v>0</v>
      </c>
      <c r="CG80" s="62">
        <f t="shared" si="379"/>
        <v>0</v>
      </c>
      <c r="CH80" s="62">
        <f t="shared" si="379"/>
        <v>0</v>
      </c>
      <c r="CI80" s="62">
        <f t="shared" si="379"/>
        <v>0</v>
      </c>
      <c r="CJ80" s="62">
        <f t="shared" si="379"/>
        <v>0</v>
      </c>
      <c r="CK80" s="62">
        <f t="shared" si="379"/>
        <v>0</v>
      </c>
      <c r="CL80" s="62">
        <f t="shared" si="379"/>
        <v>0</v>
      </c>
      <c r="CM80" s="190">
        <f t="shared" si="21"/>
        <v>0</v>
      </c>
      <c r="CN80" s="62">
        <f t="shared" ref="CN80:CY80" si="380">SUM(CN81:CN86)</f>
        <v>0</v>
      </c>
      <c r="CO80" s="62">
        <f t="shared" si="380"/>
        <v>0</v>
      </c>
      <c r="CP80" s="62">
        <f t="shared" si="380"/>
        <v>0</v>
      </c>
      <c r="CQ80" s="62">
        <f t="shared" si="380"/>
        <v>0</v>
      </c>
      <c r="CR80" s="62">
        <f t="shared" si="380"/>
        <v>0</v>
      </c>
      <c r="CS80" s="62">
        <f t="shared" si="380"/>
        <v>0</v>
      </c>
      <c r="CT80" s="62">
        <f t="shared" si="380"/>
        <v>0</v>
      </c>
      <c r="CU80" s="62">
        <f t="shared" si="380"/>
        <v>0</v>
      </c>
      <c r="CV80" s="62">
        <f t="shared" si="380"/>
        <v>0</v>
      </c>
      <c r="CW80" s="62">
        <f t="shared" si="380"/>
        <v>0</v>
      </c>
      <c r="CX80" s="62">
        <f t="shared" si="380"/>
        <v>0</v>
      </c>
      <c r="CY80" s="62">
        <f t="shared" si="380"/>
        <v>0</v>
      </c>
      <c r="CZ80" s="190">
        <f t="shared" si="22"/>
        <v>0</v>
      </c>
      <c r="DA80" s="62">
        <f t="shared" ref="DA80:DL80" si="381">SUM(DA81:DA86)</f>
        <v>0</v>
      </c>
      <c r="DB80" s="62">
        <f t="shared" si="381"/>
        <v>0</v>
      </c>
      <c r="DC80" s="62">
        <f t="shared" si="381"/>
        <v>0</v>
      </c>
      <c r="DD80" s="62">
        <f t="shared" si="381"/>
        <v>0</v>
      </c>
      <c r="DE80" s="62">
        <f t="shared" si="381"/>
        <v>0</v>
      </c>
      <c r="DF80" s="62">
        <f t="shared" si="381"/>
        <v>0</v>
      </c>
      <c r="DG80" s="62">
        <f t="shared" si="381"/>
        <v>0</v>
      </c>
      <c r="DH80" s="62">
        <f t="shared" si="381"/>
        <v>0</v>
      </c>
      <c r="DI80" s="62">
        <f t="shared" si="381"/>
        <v>0</v>
      </c>
      <c r="DJ80" s="62">
        <f t="shared" si="381"/>
        <v>0</v>
      </c>
      <c r="DK80" s="62">
        <f t="shared" si="381"/>
        <v>0</v>
      </c>
      <c r="DL80" s="62">
        <f t="shared" si="381"/>
        <v>0</v>
      </c>
      <c r="DM80" s="190">
        <f t="shared" si="23"/>
        <v>0</v>
      </c>
      <c r="DN80" s="62">
        <f t="shared" ref="DN80:DQ80" si="382">SUM(DN81:DN86)</f>
        <v>0</v>
      </c>
      <c r="DO80" s="62">
        <f t="shared" si="382"/>
        <v>0</v>
      </c>
      <c r="DP80" s="62">
        <f t="shared" si="382"/>
        <v>0</v>
      </c>
      <c r="DQ80" s="62">
        <f t="shared" si="382"/>
        <v>0</v>
      </c>
      <c r="DR80" s="62">
        <f t="shared" ref="DR80:DU80" si="383">SUM(DR81:DR86)</f>
        <v>0</v>
      </c>
      <c r="DS80" s="62">
        <f t="shared" si="383"/>
        <v>0</v>
      </c>
      <c r="DT80" s="62">
        <f t="shared" si="383"/>
        <v>0</v>
      </c>
      <c r="DU80" s="62">
        <f t="shared" si="383"/>
        <v>0</v>
      </c>
      <c r="DV80" s="62">
        <f t="shared" ref="DV80:DW80" si="384">SUM(DV81:DV86)</f>
        <v>0</v>
      </c>
      <c r="DW80" s="62">
        <f t="shared" si="384"/>
        <v>0</v>
      </c>
      <c r="DX80" s="62">
        <f t="shared" si="374"/>
        <v>0</v>
      </c>
      <c r="DY80" s="62">
        <f t="shared" ref="DY80" si="385">SUM(DY81:DY86)</f>
        <v>0</v>
      </c>
      <c r="DZ80" s="190">
        <f t="shared" si="24"/>
        <v>0</v>
      </c>
    </row>
    <row r="81" spans="1:130" ht="20.45" customHeight="1" outlineLevel="2">
      <c r="A81" s="662"/>
      <c r="B81" s="653"/>
      <c r="C81" s="30" t="s">
        <v>347</v>
      </c>
      <c r="D81" s="62">
        <f t="shared" si="345"/>
        <v>42000</v>
      </c>
      <c r="E81" s="184">
        <f t="shared" si="179"/>
        <v>1.2994814174977211E-4</v>
      </c>
      <c r="F81" s="62">
        <v>0</v>
      </c>
      <c r="G81" s="190">
        <f t="shared" si="36"/>
        <v>0</v>
      </c>
      <c r="H81" s="197">
        <f t="shared" ref="H81:H86" si="386">G81/(G$5+G$6+G$7+G$8+G$10+G$9)</f>
        <v>0</v>
      </c>
      <c r="I81" s="62">
        <v>0</v>
      </c>
      <c r="J81" s="62">
        <v>0</v>
      </c>
      <c r="K81" s="62">
        <v>0</v>
      </c>
      <c r="L81" s="62">
        <v>0</v>
      </c>
      <c r="M81" s="62">
        <v>0</v>
      </c>
      <c r="N81" s="62">
        <v>42000</v>
      </c>
      <c r="O81" s="62">
        <v>0</v>
      </c>
      <c r="P81" s="62">
        <v>0</v>
      </c>
      <c r="Q81" s="62">
        <v>0</v>
      </c>
      <c r="R81" s="62">
        <v>0</v>
      </c>
      <c r="S81" s="62">
        <v>0</v>
      </c>
      <c r="T81" s="62">
        <v>0</v>
      </c>
      <c r="U81" s="190">
        <f t="shared" si="16"/>
        <v>42000</v>
      </c>
      <c r="V81" s="197">
        <f t="shared" ref="V81:V86" si="387">U81/(U$5+U$6+U$7+U$8+U$10+U$9)</f>
        <v>7.5702960113714494E-4</v>
      </c>
      <c r="W81" s="62">
        <v>0</v>
      </c>
      <c r="X81" s="62">
        <v>0</v>
      </c>
      <c r="Y81" s="62">
        <v>0</v>
      </c>
      <c r="Z81" s="62">
        <v>0</v>
      </c>
      <c r="AA81" s="62">
        <v>0</v>
      </c>
      <c r="AB81" s="62">
        <v>0</v>
      </c>
      <c r="AC81" s="62">
        <v>0</v>
      </c>
      <c r="AD81" s="62">
        <v>0</v>
      </c>
      <c r="AE81" s="62">
        <v>0</v>
      </c>
      <c r="AF81" s="62">
        <v>0</v>
      </c>
      <c r="AG81" s="62">
        <v>0</v>
      </c>
      <c r="AH81" s="62">
        <v>0</v>
      </c>
      <c r="AI81" s="190">
        <f t="shared" si="17"/>
        <v>0</v>
      </c>
      <c r="AJ81" s="197">
        <f t="shared" ref="AJ81:AJ86" si="388">AI81/(AI$5+AI$6+AI$7+AI$8+AI$10+AI$9)</f>
        <v>0</v>
      </c>
      <c r="AK81" s="62">
        <v>0</v>
      </c>
      <c r="AL81" s="62">
        <v>0</v>
      </c>
      <c r="AM81" s="62">
        <v>0</v>
      </c>
      <c r="AN81" s="62">
        <v>0</v>
      </c>
      <c r="AO81" s="62">
        <v>0</v>
      </c>
      <c r="AP81" s="62">
        <v>0</v>
      </c>
      <c r="AQ81" s="62">
        <v>0</v>
      </c>
      <c r="AR81" s="62">
        <v>0</v>
      </c>
      <c r="AS81" s="62">
        <v>0</v>
      </c>
      <c r="AT81" s="62">
        <v>0</v>
      </c>
      <c r="AU81" s="62">
        <v>0</v>
      </c>
      <c r="AV81" s="62">
        <v>0</v>
      </c>
      <c r="AW81" s="190">
        <f t="shared" si="18"/>
        <v>0</v>
      </c>
      <c r="AX81" s="197">
        <f t="shared" ref="AX81:AX86" si="389">AW81/(AW$5+AW$6+AW$7+AW$8+AW$10+AW$9)</f>
        <v>0</v>
      </c>
      <c r="AY81" s="62">
        <v>0</v>
      </c>
      <c r="AZ81" s="62">
        <v>0</v>
      </c>
      <c r="BA81" s="62">
        <v>0</v>
      </c>
      <c r="BB81" s="62">
        <v>0</v>
      </c>
      <c r="BC81" s="62">
        <v>0</v>
      </c>
      <c r="BD81" s="62">
        <v>0</v>
      </c>
      <c r="BE81" s="62">
        <v>0</v>
      </c>
      <c r="BF81" s="62">
        <v>0</v>
      </c>
      <c r="BG81" s="62">
        <v>0</v>
      </c>
      <c r="BH81" s="62">
        <v>0</v>
      </c>
      <c r="BI81" s="62">
        <v>0</v>
      </c>
      <c r="BJ81" s="62">
        <v>0</v>
      </c>
      <c r="BK81" s="190">
        <f t="shared" si="19"/>
        <v>0</v>
      </c>
      <c r="BL81" s="197">
        <f t="shared" ref="BL81:BL86" si="390">BK81/(BK$5+BK$6+BK$7+BK$8+BK$10+BK$9)</f>
        <v>0</v>
      </c>
      <c r="BM81" s="62">
        <v>0</v>
      </c>
      <c r="BN81" s="62">
        <v>0</v>
      </c>
      <c r="BO81" s="62">
        <v>0</v>
      </c>
      <c r="BP81" s="62">
        <v>0</v>
      </c>
      <c r="BQ81" s="62">
        <v>0</v>
      </c>
      <c r="BR81" s="62">
        <v>0</v>
      </c>
      <c r="BS81" s="62">
        <v>0</v>
      </c>
      <c r="BT81" s="62">
        <v>0</v>
      </c>
      <c r="BU81" s="62">
        <v>0</v>
      </c>
      <c r="BV81" s="62">
        <v>0</v>
      </c>
      <c r="BW81" s="62">
        <v>0</v>
      </c>
      <c r="BX81" s="62">
        <v>0</v>
      </c>
      <c r="BY81" s="190">
        <f t="shared" si="20"/>
        <v>0</v>
      </c>
      <c r="BZ81" s="197">
        <f t="shared" ref="BZ81:BZ86" si="391">BY81/(BY$5+BY$6+BY$7+BY$8+BY$10+BY$9)</f>
        <v>0</v>
      </c>
      <c r="CA81" s="62">
        <v>0</v>
      </c>
      <c r="CB81" s="62">
        <v>0</v>
      </c>
      <c r="CC81" s="62">
        <v>0</v>
      </c>
      <c r="CD81" s="62">
        <v>0</v>
      </c>
      <c r="CE81" s="62">
        <v>0</v>
      </c>
      <c r="CF81" s="62">
        <v>0</v>
      </c>
      <c r="CG81" s="62">
        <v>0</v>
      </c>
      <c r="CH81" s="62">
        <v>0</v>
      </c>
      <c r="CI81" s="62">
        <v>0</v>
      </c>
      <c r="CJ81" s="62">
        <v>0</v>
      </c>
      <c r="CK81" s="62">
        <v>0</v>
      </c>
      <c r="CL81" s="62">
        <v>0</v>
      </c>
      <c r="CM81" s="190">
        <f t="shared" si="21"/>
        <v>0</v>
      </c>
      <c r="CN81" s="62">
        <v>0</v>
      </c>
      <c r="CO81" s="62">
        <v>0</v>
      </c>
      <c r="CP81" s="62">
        <v>0</v>
      </c>
      <c r="CQ81" s="62">
        <v>0</v>
      </c>
      <c r="CR81" s="62">
        <v>0</v>
      </c>
      <c r="CS81" s="62">
        <v>0</v>
      </c>
      <c r="CT81" s="62">
        <v>0</v>
      </c>
      <c r="CU81" s="62">
        <v>0</v>
      </c>
      <c r="CV81" s="62">
        <v>0</v>
      </c>
      <c r="CW81" s="62">
        <v>0</v>
      </c>
      <c r="CX81" s="62">
        <v>0</v>
      </c>
      <c r="CY81" s="62">
        <v>0</v>
      </c>
      <c r="CZ81" s="190">
        <f t="shared" si="22"/>
        <v>0</v>
      </c>
      <c r="DA81" s="62">
        <v>0</v>
      </c>
      <c r="DB81" s="62">
        <v>0</v>
      </c>
      <c r="DC81" s="62">
        <v>0</v>
      </c>
      <c r="DD81" s="62">
        <v>0</v>
      </c>
      <c r="DE81" s="62">
        <v>0</v>
      </c>
      <c r="DF81" s="62">
        <v>0</v>
      </c>
      <c r="DG81" s="62">
        <v>0</v>
      </c>
      <c r="DH81" s="62">
        <v>0</v>
      </c>
      <c r="DI81" s="62">
        <v>0</v>
      </c>
      <c r="DJ81" s="62">
        <v>0</v>
      </c>
      <c r="DK81" s="62">
        <v>0</v>
      </c>
      <c r="DL81" s="62">
        <v>0</v>
      </c>
      <c r="DM81" s="190">
        <f t="shared" si="23"/>
        <v>0</v>
      </c>
      <c r="DN81" s="62">
        <v>0</v>
      </c>
      <c r="DO81" s="62">
        <v>0</v>
      </c>
      <c r="DP81" s="62">
        <v>0</v>
      </c>
      <c r="DQ81" s="62">
        <v>0</v>
      </c>
      <c r="DR81" s="62">
        <v>0</v>
      </c>
      <c r="DS81" s="62">
        <v>0</v>
      </c>
      <c r="DT81" s="62">
        <v>0</v>
      </c>
      <c r="DU81" s="62">
        <v>0</v>
      </c>
      <c r="DV81" s="62">
        <v>0</v>
      </c>
      <c r="DW81" s="62">
        <v>0</v>
      </c>
      <c r="DX81" s="62">
        <v>0</v>
      </c>
      <c r="DY81" s="62">
        <v>0</v>
      </c>
      <c r="DZ81" s="190">
        <f t="shared" si="24"/>
        <v>0</v>
      </c>
    </row>
    <row r="82" spans="1:130" ht="20.45" customHeight="1" outlineLevel="2">
      <c r="A82" s="663"/>
      <c r="B82" s="653"/>
      <c r="C82" s="30" t="s">
        <v>2616</v>
      </c>
      <c r="D82" s="62">
        <f t="shared" si="345"/>
        <v>99999.999999999985</v>
      </c>
      <c r="E82" s="184">
        <f t="shared" si="179"/>
        <v>3.0940033749945735E-4</v>
      </c>
      <c r="F82" s="62">
        <v>0</v>
      </c>
      <c r="G82" s="190">
        <f t="shared" ref="G82" si="392">SUM(F82)</f>
        <v>0</v>
      </c>
      <c r="H82" s="197">
        <f t="shared" si="386"/>
        <v>0</v>
      </c>
      <c r="I82" s="62">
        <v>0</v>
      </c>
      <c r="J82" s="62">
        <v>0</v>
      </c>
      <c r="K82" s="62">
        <v>0</v>
      </c>
      <c r="L82" s="62">
        <v>0</v>
      </c>
      <c r="M82" s="62">
        <v>0</v>
      </c>
      <c r="N82" s="62">
        <v>0</v>
      </c>
      <c r="O82" s="62">
        <v>0</v>
      </c>
      <c r="P82" s="62">
        <v>0</v>
      </c>
      <c r="Q82" s="62">
        <v>0</v>
      </c>
      <c r="R82" s="62">
        <v>0</v>
      </c>
      <c r="S82" s="62">
        <v>0</v>
      </c>
      <c r="T82" s="62">
        <v>0</v>
      </c>
      <c r="U82" s="190">
        <f t="shared" ref="U82" si="393">SUM(I82:T82)</f>
        <v>0</v>
      </c>
      <c r="V82" s="197">
        <f t="shared" si="387"/>
        <v>0</v>
      </c>
      <c r="W82" s="62">
        <v>0</v>
      </c>
      <c r="X82" s="62">
        <v>0</v>
      </c>
      <c r="Y82" s="62">
        <v>0</v>
      </c>
      <c r="Z82" s="62">
        <v>0</v>
      </c>
      <c r="AA82" s="62">
        <v>0</v>
      </c>
      <c r="AB82" s="62">
        <v>0</v>
      </c>
      <c r="AC82" s="62">
        <v>0</v>
      </c>
      <c r="AD82" s="62">
        <v>0</v>
      </c>
      <c r="AE82" s="62">
        <v>0</v>
      </c>
      <c r="AF82" s="62">
        <v>0</v>
      </c>
      <c r="AG82" s="62">
        <v>0</v>
      </c>
      <c r="AH82" s="62">
        <v>0</v>
      </c>
      <c r="AI82" s="190">
        <f t="shared" ref="AI82" si="394">SUM(W82:AH82)</f>
        <v>0</v>
      </c>
      <c r="AJ82" s="197">
        <f t="shared" si="388"/>
        <v>0</v>
      </c>
      <c r="AK82" s="62">
        <v>0</v>
      </c>
      <c r="AL82" s="62">
        <v>0</v>
      </c>
      <c r="AM82" s="62">
        <v>0</v>
      </c>
      <c r="AN82" s="62">
        <v>100000</v>
      </c>
      <c r="AO82" s="62">
        <v>0</v>
      </c>
      <c r="AP82" s="62">
        <v>0</v>
      </c>
      <c r="AQ82" s="62">
        <v>0</v>
      </c>
      <c r="AR82" s="62">
        <v>0</v>
      </c>
      <c r="AS82" s="62">
        <v>0</v>
      </c>
      <c r="AT82" s="62">
        <v>0</v>
      </c>
      <c r="AU82" s="62">
        <v>0</v>
      </c>
      <c r="AV82" s="62">
        <v>0</v>
      </c>
      <c r="AW82" s="190">
        <f t="shared" ref="AW82" si="395">SUM(AK82:AV82)</f>
        <v>100000</v>
      </c>
      <c r="AX82" s="197">
        <f t="shared" si="389"/>
        <v>1.3108335397786922E-3</v>
      </c>
      <c r="AY82" s="62">
        <v>0</v>
      </c>
      <c r="AZ82" s="62">
        <v>0</v>
      </c>
      <c r="BA82" s="62">
        <v>0</v>
      </c>
      <c r="BB82" s="62">
        <v>0</v>
      </c>
      <c r="BC82" s="62">
        <v>0</v>
      </c>
      <c r="BD82" s="62">
        <v>0</v>
      </c>
      <c r="BE82" s="62">
        <v>0</v>
      </c>
      <c r="BF82" s="62">
        <v>0</v>
      </c>
      <c r="BG82" s="62">
        <v>0</v>
      </c>
      <c r="BH82" s="62">
        <v>0</v>
      </c>
      <c r="BI82" s="62">
        <v>0</v>
      </c>
      <c r="BJ82" s="62">
        <v>0</v>
      </c>
      <c r="BK82" s="190">
        <f t="shared" ref="BK82" si="396">SUM(AY82:BJ82)</f>
        <v>0</v>
      </c>
      <c r="BL82" s="197">
        <f t="shared" si="390"/>
        <v>0</v>
      </c>
      <c r="BM82" s="62">
        <v>0</v>
      </c>
      <c r="BN82" s="62">
        <v>0</v>
      </c>
      <c r="BO82" s="62">
        <v>0</v>
      </c>
      <c r="BP82" s="62">
        <v>0</v>
      </c>
      <c r="BQ82" s="62">
        <v>0</v>
      </c>
      <c r="BR82" s="62">
        <v>0</v>
      </c>
      <c r="BS82" s="62">
        <v>0</v>
      </c>
      <c r="BT82" s="62">
        <v>0</v>
      </c>
      <c r="BU82" s="62">
        <v>0</v>
      </c>
      <c r="BV82" s="62">
        <v>0</v>
      </c>
      <c r="BW82" s="62">
        <v>0</v>
      </c>
      <c r="BX82" s="62">
        <v>0</v>
      </c>
      <c r="BY82" s="190">
        <f t="shared" ref="BY82" si="397">SUM(BM82:BX82)</f>
        <v>0</v>
      </c>
      <c r="BZ82" s="197">
        <f t="shared" si="391"/>
        <v>0</v>
      </c>
      <c r="CA82" s="62">
        <v>0</v>
      </c>
      <c r="CB82" s="62">
        <v>0</v>
      </c>
      <c r="CC82" s="62">
        <v>0</v>
      </c>
      <c r="CD82" s="62">
        <v>0</v>
      </c>
      <c r="CE82" s="62">
        <v>0</v>
      </c>
      <c r="CF82" s="62">
        <v>0</v>
      </c>
      <c r="CG82" s="62">
        <v>0</v>
      </c>
      <c r="CH82" s="62">
        <v>0</v>
      </c>
      <c r="CI82" s="62">
        <v>0</v>
      </c>
      <c r="CJ82" s="62">
        <v>0</v>
      </c>
      <c r="CK82" s="62">
        <v>0</v>
      </c>
      <c r="CL82" s="62">
        <v>0</v>
      </c>
      <c r="CM82" s="190">
        <f t="shared" ref="CM82" si="398">SUM(CA82:CL82)</f>
        <v>0</v>
      </c>
      <c r="CN82" s="62">
        <v>0</v>
      </c>
      <c r="CO82" s="62">
        <v>0</v>
      </c>
      <c r="CP82" s="62">
        <v>0</v>
      </c>
      <c r="CQ82" s="62">
        <v>0</v>
      </c>
      <c r="CR82" s="62">
        <v>0</v>
      </c>
      <c r="CS82" s="62">
        <v>0</v>
      </c>
      <c r="CT82" s="62">
        <v>0</v>
      </c>
      <c r="CU82" s="62">
        <v>0</v>
      </c>
      <c r="CV82" s="62">
        <v>0</v>
      </c>
      <c r="CW82" s="62">
        <v>0</v>
      </c>
      <c r="CX82" s="62">
        <v>0</v>
      </c>
      <c r="CY82" s="62">
        <v>0</v>
      </c>
      <c r="CZ82" s="190">
        <f t="shared" ref="CZ82" si="399">SUM(CN82:CY82)</f>
        <v>0</v>
      </c>
      <c r="DA82" s="62">
        <v>0</v>
      </c>
      <c r="DB82" s="62">
        <v>0</v>
      </c>
      <c r="DC82" s="62">
        <v>0</v>
      </c>
      <c r="DD82" s="62">
        <v>0</v>
      </c>
      <c r="DE82" s="62">
        <v>0</v>
      </c>
      <c r="DF82" s="62">
        <v>0</v>
      </c>
      <c r="DG82" s="62">
        <v>0</v>
      </c>
      <c r="DH82" s="62">
        <v>0</v>
      </c>
      <c r="DI82" s="62">
        <v>0</v>
      </c>
      <c r="DJ82" s="62">
        <v>0</v>
      </c>
      <c r="DK82" s="62">
        <v>0</v>
      </c>
      <c r="DL82" s="62">
        <v>0</v>
      </c>
      <c r="DM82" s="190">
        <f t="shared" ref="DM82" si="400">SUM(DA82:DL82)</f>
        <v>0</v>
      </c>
      <c r="DN82" s="62">
        <v>0</v>
      </c>
      <c r="DO82" s="62">
        <v>0</v>
      </c>
      <c r="DP82" s="62">
        <v>0</v>
      </c>
      <c r="DQ82" s="62">
        <v>0</v>
      </c>
      <c r="DR82" s="62">
        <v>0</v>
      </c>
      <c r="DS82" s="62">
        <v>0</v>
      </c>
      <c r="DT82" s="62">
        <v>0</v>
      </c>
      <c r="DU82" s="62">
        <v>0</v>
      </c>
      <c r="DV82" s="62">
        <v>0</v>
      </c>
      <c r="DW82" s="62">
        <v>0</v>
      </c>
      <c r="DX82" s="62">
        <v>0</v>
      </c>
      <c r="DY82" s="62">
        <v>0</v>
      </c>
      <c r="DZ82" s="190">
        <f t="shared" ref="DZ82" si="401">SUM(DN82:DY82)</f>
        <v>0</v>
      </c>
    </row>
    <row r="83" spans="1:130" ht="20.45" customHeight="1" outlineLevel="2">
      <c r="A83" s="663"/>
      <c r="B83" s="653"/>
      <c r="C83" s="30" t="s">
        <v>2786</v>
      </c>
      <c r="D83" s="62">
        <f t="shared" si="345"/>
        <v>739999.99999999988</v>
      </c>
      <c r="E83" s="184">
        <f t="shared" si="179"/>
        <v>2.2895624974959843E-3</v>
      </c>
      <c r="F83" s="62">
        <v>0</v>
      </c>
      <c r="G83" s="190">
        <f t="shared" ref="G83" si="402">SUM(F83)</f>
        <v>0</v>
      </c>
      <c r="H83" s="197">
        <f t="shared" si="386"/>
        <v>0</v>
      </c>
      <c r="I83" s="62">
        <v>0</v>
      </c>
      <c r="J83" s="62">
        <v>0</v>
      </c>
      <c r="K83" s="62">
        <v>0</v>
      </c>
      <c r="L83" s="62">
        <v>0</v>
      </c>
      <c r="M83" s="62">
        <v>0</v>
      </c>
      <c r="N83" s="62">
        <v>0</v>
      </c>
      <c r="O83" s="62">
        <v>0</v>
      </c>
      <c r="P83" s="62">
        <v>0</v>
      </c>
      <c r="Q83" s="62">
        <v>0</v>
      </c>
      <c r="R83" s="62">
        <v>0</v>
      </c>
      <c r="S83" s="62">
        <v>0</v>
      </c>
      <c r="T83" s="62">
        <v>0</v>
      </c>
      <c r="U83" s="190">
        <f t="shared" ref="U83" si="403">SUM(I83:T83)</f>
        <v>0</v>
      </c>
      <c r="V83" s="197">
        <f t="shared" si="387"/>
        <v>0</v>
      </c>
      <c r="W83" s="62">
        <v>0</v>
      </c>
      <c r="X83" s="62">
        <v>0</v>
      </c>
      <c r="Y83" s="62">
        <v>0</v>
      </c>
      <c r="Z83" s="62">
        <v>0</v>
      </c>
      <c r="AA83" s="62">
        <v>0</v>
      </c>
      <c r="AB83" s="62">
        <v>0</v>
      </c>
      <c r="AC83" s="62">
        <v>0</v>
      </c>
      <c r="AD83" s="62">
        <v>0</v>
      </c>
      <c r="AE83" s="62">
        <v>0</v>
      </c>
      <c r="AF83" s="62">
        <v>0</v>
      </c>
      <c r="AG83" s="62">
        <v>0</v>
      </c>
      <c r="AH83" s="62">
        <v>0</v>
      </c>
      <c r="AI83" s="190">
        <f t="shared" ref="AI83" si="404">SUM(W83:AH83)</f>
        <v>0</v>
      </c>
      <c r="AJ83" s="197">
        <f t="shared" si="388"/>
        <v>0</v>
      </c>
      <c r="AK83" s="62">
        <v>0</v>
      </c>
      <c r="AL83" s="62">
        <v>0</v>
      </c>
      <c r="AM83" s="62">
        <v>0</v>
      </c>
      <c r="AN83" s="62">
        <v>0</v>
      </c>
      <c r="AO83" s="62">
        <v>0</v>
      </c>
      <c r="AP83" s="62">
        <v>0</v>
      </c>
      <c r="AQ83" s="62">
        <v>0</v>
      </c>
      <c r="AR83" s="62">
        <v>0</v>
      </c>
      <c r="AS83" s="62">
        <v>0</v>
      </c>
      <c r="AT83" s="62">
        <v>0</v>
      </c>
      <c r="AU83" s="62">
        <v>0</v>
      </c>
      <c r="AV83" s="62">
        <f>-60000+900000</f>
        <v>840000</v>
      </c>
      <c r="AW83" s="190">
        <f t="shared" ref="AW83" si="405">SUM(AK83:AV83)</f>
        <v>840000</v>
      </c>
      <c r="AX83" s="197">
        <f t="shared" si="389"/>
        <v>1.1011001734141015E-2</v>
      </c>
      <c r="AY83" s="62">
        <v>0</v>
      </c>
      <c r="AZ83" s="62">
        <v>-100000</v>
      </c>
      <c r="BA83" s="62">
        <v>0</v>
      </c>
      <c r="BB83" s="62">
        <v>0</v>
      </c>
      <c r="BC83" s="62">
        <v>0</v>
      </c>
      <c r="BD83" s="62">
        <v>0</v>
      </c>
      <c r="BE83" s="62">
        <v>0</v>
      </c>
      <c r="BF83" s="62">
        <v>0</v>
      </c>
      <c r="BG83" s="62">
        <v>0</v>
      </c>
      <c r="BH83" s="62">
        <v>0</v>
      </c>
      <c r="BI83" s="62">
        <v>0</v>
      </c>
      <c r="BJ83" s="62">
        <v>0</v>
      </c>
      <c r="BK83" s="190">
        <f t="shared" ref="BK83" si="406">SUM(AY83:BJ83)</f>
        <v>-100000</v>
      </c>
      <c r="BL83" s="197">
        <f t="shared" si="390"/>
        <v>-1.4318642663695949E-3</v>
      </c>
      <c r="BM83" s="62">
        <v>0</v>
      </c>
      <c r="BN83" s="62">
        <v>0</v>
      </c>
      <c r="BO83" s="62">
        <v>0</v>
      </c>
      <c r="BP83" s="62">
        <v>0</v>
      </c>
      <c r="BQ83" s="62">
        <v>0</v>
      </c>
      <c r="BR83" s="62">
        <v>0</v>
      </c>
      <c r="BS83" s="62">
        <v>0</v>
      </c>
      <c r="BT83" s="62">
        <v>0</v>
      </c>
      <c r="BU83" s="62">
        <v>0</v>
      </c>
      <c r="BV83" s="62">
        <v>0</v>
      </c>
      <c r="BW83" s="62">
        <v>0</v>
      </c>
      <c r="BX83" s="62">
        <v>0</v>
      </c>
      <c r="BY83" s="190">
        <f t="shared" ref="BY83" si="407">SUM(BM83:BX83)</f>
        <v>0</v>
      </c>
      <c r="BZ83" s="197">
        <f t="shared" si="391"/>
        <v>0</v>
      </c>
      <c r="CA83" s="62">
        <v>0</v>
      </c>
      <c r="CB83" s="62">
        <v>0</v>
      </c>
      <c r="CC83" s="62">
        <v>0</v>
      </c>
      <c r="CD83" s="62">
        <v>0</v>
      </c>
      <c r="CE83" s="62">
        <v>0</v>
      </c>
      <c r="CF83" s="62">
        <v>0</v>
      </c>
      <c r="CG83" s="62">
        <v>0</v>
      </c>
      <c r="CH83" s="62">
        <v>0</v>
      </c>
      <c r="CI83" s="62">
        <v>0</v>
      </c>
      <c r="CJ83" s="62">
        <v>0</v>
      </c>
      <c r="CK83" s="62">
        <v>0</v>
      </c>
      <c r="CL83" s="62">
        <v>0</v>
      </c>
      <c r="CM83" s="190">
        <f t="shared" ref="CM83" si="408">SUM(CA83:CL83)</f>
        <v>0</v>
      </c>
      <c r="CN83" s="62">
        <v>0</v>
      </c>
      <c r="CO83" s="62">
        <v>0</v>
      </c>
      <c r="CP83" s="62">
        <v>0</v>
      </c>
      <c r="CQ83" s="62">
        <v>0</v>
      </c>
      <c r="CR83" s="62">
        <v>0</v>
      </c>
      <c r="CS83" s="62">
        <v>0</v>
      </c>
      <c r="CT83" s="62">
        <v>0</v>
      </c>
      <c r="CU83" s="62">
        <v>0</v>
      </c>
      <c r="CV83" s="62">
        <v>0</v>
      </c>
      <c r="CW83" s="62">
        <v>0</v>
      </c>
      <c r="CX83" s="62">
        <v>0</v>
      </c>
      <c r="CY83" s="62">
        <v>0</v>
      </c>
      <c r="CZ83" s="190">
        <f t="shared" ref="CZ83" si="409">SUM(CN83:CY83)</f>
        <v>0</v>
      </c>
      <c r="DA83" s="62">
        <v>0</v>
      </c>
      <c r="DB83" s="62">
        <v>0</v>
      </c>
      <c r="DC83" s="62">
        <v>0</v>
      </c>
      <c r="DD83" s="62">
        <v>0</v>
      </c>
      <c r="DE83" s="62">
        <v>0</v>
      </c>
      <c r="DF83" s="62">
        <v>0</v>
      </c>
      <c r="DG83" s="62">
        <v>0</v>
      </c>
      <c r="DH83" s="62">
        <v>0</v>
      </c>
      <c r="DI83" s="62">
        <v>0</v>
      </c>
      <c r="DJ83" s="62">
        <v>0</v>
      </c>
      <c r="DK83" s="62">
        <v>0</v>
      </c>
      <c r="DL83" s="62">
        <v>0</v>
      </c>
      <c r="DM83" s="190">
        <f t="shared" ref="DM83" si="410">SUM(DA83:DL83)</f>
        <v>0</v>
      </c>
      <c r="DN83" s="62">
        <v>0</v>
      </c>
      <c r="DO83" s="62">
        <v>0</v>
      </c>
      <c r="DP83" s="62">
        <v>0</v>
      </c>
      <c r="DQ83" s="62">
        <v>0</v>
      </c>
      <c r="DR83" s="62">
        <v>0</v>
      </c>
      <c r="DS83" s="62">
        <v>0</v>
      </c>
      <c r="DT83" s="62">
        <v>0</v>
      </c>
      <c r="DU83" s="62">
        <v>0</v>
      </c>
      <c r="DV83" s="62">
        <v>0</v>
      </c>
      <c r="DW83" s="62">
        <v>0</v>
      </c>
      <c r="DX83" s="62">
        <v>0</v>
      </c>
      <c r="DY83" s="62">
        <v>0</v>
      </c>
      <c r="DZ83" s="190">
        <f t="shared" ref="DZ83" si="411">SUM(DN83:DY83)</f>
        <v>0</v>
      </c>
    </row>
    <row r="84" spans="1:130" ht="20.45" customHeight="1" outlineLevel="2">
      <c r="A84" s="663"/>
      <c r="B84" s="653"/>
      <c r="C84" s="30" t="s">
        <v>2617</v>
      </c>
      <c r="D84" s="62">
        <f t="shared" si="345"/>
        <v>439999.99999999994</v>
      </c>
      <c r="E84" s="184">
        <f t="shared" si="179"/>
        <v>1.3613614849976123E-3</v>
      </c>
      <c r="F84" s="62">
        <v>0</v>
      </c>
      <c r="G84" s="190">
        <f t="shared" ref="G84" si="412">SUM(F84)</f>
        <v>0</v>
      </c>
      <c r="H84" s="197">
        <f t="shared" si="386"/>
        <v>0</v>
      </c>
      <c r="I84" s="62">
        <v>0</v>
      </c>
      <c r="J84" s="62">
        <v>0</v>
      </c>
      <c r="K84" s="62">
        <v>0</v>
      </c>
      <c r="L84" s="62">
        <v>0</v>
      </c>
      <c r="M84" s="62">
        <v>0</v>
      </c>
      <c r="N84" s="62">
        <v>0</v>
      </c>
      <c r="O84" s="62">
        <v>0</v>
      </c>
      <c r="P84" s="62">
        <v>0</v>
      </c>
      <c r="Q84" s="62">
        <v>0</v>
      </c>
      <c r="R84" s="62">
        <v>0</v>
      </c>
      <c r="S84" s="62">
        <v>0</v>
      </c>
      <c r="T84" s="62">
        <v>0</v>
      </c>
      <c r="U84" s="190">
        <f t="shared" ref="U84" si="413">SUM(I84:T84)</f>
        <v>0</v>
      </c>
      <c r="V84" s="197">
        <f t="shared" si="387"/>
        <v>0</v>
      </c>
      <c r="W84" s="62">
        <v>0</v>
      </c>
      <c r="X84" s="62">
        <v>0</v>
      </c>
      <c r="Y84" s="62">
        <v>0</v>
      </c>
      <c r="Z84" s="62">
        <v>0</v>
      </c>
      <c r="AA84" s="62">
        <v>0</v>
      </c>
      <c r="AB84" s="62">
        <v>0</v>
      </c>
      <c r="AC84" s="62">
        <v>0</v>
      </c>
      <c r="AD84" s="62">
        <v>0</v>
      </c>
      <c r="AE84" s="62">
        <v>210000</v>
      </c>
      <c r="AF84" s="62">
        <v>0</v>
      </c>
      <c r="AG84" s="62">
        <v>0</v>
      </c>
      <c r="AH84" s="62">
        <v>0</v>
      </c>
      <c r="AI84" s="190">
        <f t="shared" ref="AI84" si="414">SUM(W84:AH84)</f>
        <v>210000</v>
      </c>
      <c r="AJ84" s="197">
        <f t="shared" si="388"/>
        <v>2.8540867709245538E-3</v>
      </c>
      <c r="AK84" s="62">
        <v>0</v>
      </c>
      <c r="AL84" s="62">
        <v>0</v>
      </c>
      <c r="AM84" s="62">
        <v>0</v>
      </c>
      <c r="AN84" s="62">
        <v>0</v>
      </c>
      <c r="AO84" s="62">
        <v>0</v>
      </c>
      <c r="AP84" s="62">
        <v>230000</v>
      </c>
      <c r="AQ84" s="62">
        <v>0</v>
      </c>
      <c r="AR84" s="62">
        <v>0</v>
      </c>
      <c r="AS84" s="62">
        <v>0</v>
      </c>
      <c r="AT84" s="62">
        <v>0</v>
      </c>
      <c r="AU84" s="62">
        <v>0</v>
      </c>
      <c r="AV84" s="62">
        <v>0</v>
      </c>
      <c r="AW84" s="190">
        <f t="shared" ref="AW84" si="415">SUM(AK84:AV84)</f>
        <v>230000</v>
      </c>
      <c r="AX84" s="197">
        <f t="shared" si="389"/>
        <v>3.0149171414909923E-3</v>
      </c>
      <c r="AY84" s="62">
        <v>0</v>
      </c>
      <c r="AZ84" s="62">
        <v>0</v>
      </c>
      <c r="BA84" s="62">
        <v>0</v>
      </c>
      <c r="BB84" s="62">
        <v>0</v>
      </c>
      <c r="BC84" s="62">
        <v>0</v>
      </c>
      <c r="BD84" s="62">
        <v>0</v>
      </c>
      <c r="BE84" s="62">
        <v>0</v>
      </c>
      <c r="BF84" s="62">
        <v>0</v>
      </c>
      <c r="BG84" s="62">
        <v>0</v>
      </c>
      <c r="BH84" s="62">
        <v>0</v>
      </c>
      <c r="BI84" s="62">
        <v>0</v>
      </c>
      <c r="BJ84" s="62">
        <v>0</v>
      </c>
      <c r="BK84" s="190">
        <f t="shared" ref="BK84" si="416">SUM(AY84:BJ84)</f>
        <v>0</v>
      </c>
      <c r="BL84" s="197">
        <f t="shared" si="390"/>
        <v>0</v>
      </c>
      <c r="BM84" s="62">
        <v>0</v>
      </c>
      <c r="BN84" s="62">
        <v>0</v>
      </c>
      <c r="BO84" s="62">
        <v>0</v>
      </c>
      <c r="BP84" s="62">
        <v>0</v>
      </c>
      <c r="BQ84" s="62">
        <v>0</v>
      </c>
      <c r="BR84" s="62">
        <v>0</v>
      </c>
      <c r="BS84" s="62">
        <v>0</v>
      </c>
      <c r="BT84" s="62">
        <v>0</v>
      </c>
      <c r="BU84" s="62">
        <v>0</v>
      </c>
      <c r="BV84" s="62">
        <v>0</v>
      </c>
      <c r="BW84" s="62">
        <v>0</v>
      </c>
      <c r="BX84" s="62">
        <v>0</v>
      </c>
      <c r="BY84" s="190">
        <f t="shared" ref="BY84" si="417">SUM(BM84:BX84)</f>
        <v>0</v>
      </c>
      <c r="BZ84" s="197">
        <f t="shared" si="391"/>
        <v>0</v>
      </c>
      <c r="CA84" s="62">
        <v>0</v>
      </c>
      <c r="CB84" s="62">
        <v>0</v>
      </c>
      <c r="CC84" s="62">
        <v>0</v>
      </c>
      <c r="CD84" s="62">
        <v>0</v>
      </c>
      <c r="CE84" s="62">
        <v>0</v>
      </c>
      <c r="CF84" s="62">
        <v>0</v>
      </c>
      <c r="CG84" s="62">
        <v>0</v>
      </c>
      <c r="CH84" s="62">
        <v>0</v>
      </c>
      <c r="CI84" s="62">
        <v>0</v>
      </c>
      <c r="CJ84" s="62">
        <v>0</v>
      </c>
      <c r="CK84" s="62">
        <v>0</v>
      </c>
      <c r="CL84" s="62">
        <v>0</v>
      </c>
      <c r="CM84" s="190">
        <f t="shared" ref="CM84" si="418">SUM(CA84:CL84)</f>
        <v>0</v>
      </c>
      <c r="CN84" s="62">
        <v>0</v>
      </c>
      <c r="CO84" s="62">
        <v>0</v>
      </c>
      <c r="CP84" s="62">
        <v>0</v>
      </c>
      <c r="CQ84" s="62">
        <v>0</v>
      </c>
      <c r="CR84" s="62">
        <v>0</v>
      </c>
      <c r="CS84" s="62">
        <v>0</v>
      </c>
      <c r="CT84" s="62">
        <v>0</v>
      </c>
      <c r="CU84" s="62">
        <v>0</v>
      </c>
      <c r="CV84" s="62">
        <v>0</v>
      </c>
      <c r="CW84" s="62">
        <v>0</v>
      </c>
      <c r="CX84" s="62">
        <v>0</v>
      </c>
      <c r="CY84" s="62">
        <v>0</v>
      </c>
      <c r="CZ84" s="190">
        <f t="shared" ref="CZ84" si="419">SUM(CN84:CY84)</f>
        <v>0</v>
      </c>
      <c r="DA84" s="62">
        <v>0</v>
      </c>
      <c r="DB84" s="62">
        <v>0</v>
      </c>
      <c r="DC84" s="62">
        <v>0</v>
      </c>
      <c r="DD84" s="62">
        <v>0</v>
      </c>
      <c r="DE84" s="62">
        <v>0</v>
      </c>
      <c r="DF84" s="62">
        <v>0</v>
      </c>
      <c r="DG84" s="62">
        <v>0</v>
      </c>
      <c r="DH84" s="62">
        <v>0</v>
      </c>
      <c r="DI84" s="62">
        <v>0</v>
      </c>
      <c r="DJ84" s="62">
        <v>0</v>
      </c>
      <c r="DK84" s="62">
        <v>0</v>
      </c>
      <c r="DL84" s="62">
        <v>0</v>
      </c>
      <c r="DM84" s="190">
        <f t="shared" ref="DM84" si="420">SUM(DA84:DL84)</f>
        <v>0</v>
      </c>
      <c r="DN84" s="62">
        <v>0</v>
      </c>
      <c r="DO84" s="62">
        <v>0</v>
      </c>
      <c r="DP84" s="62">
        <v>0</v>
      </c>
      <c r="DQ84" s="62">
        <v>0</v>
      </c>
      <c r="DR84" s="62">
        <v>0</v>
      </c>
      <c r="DS84" s="62">
        <v>0</v>
      </c>
      <c r="DT84" s="62">
        <v>0</v>
      </c>
      <c r="DU84" s="62">
        <v>0</v>
      </c>
      <c r="DV84" s="62">
        <v>0</v>
      </c>
      <c r="DW84" s="62">
        <v>0</v>
      </c>
      <c r="DX84" s="62">
        <v>0</v>
      </c>
      <c r="DY84" s="62">
        <v>0</v>
      </c>
      <c r="DZ84" s="190">
        <f t="shared" ref="DZ84" si="421">SUM(DN84:DY84)</f>
        <v>0</v>
      </c>
    </row>
    <row r="85" spans="1:130" ht="20.45" customHeight="1" outlineLevel="2">
      <c r="A85" s="662"/>
      <c r="B85" s="653"/>
      <c r="C85" s="30" t="s">
        <v>348</v>
      </c>
      <c r="D85" s="62">
        <f t="shared" si="345"/>
        <v>1473048.0000000005</v>
      </c>
      <c r="E85" s="184">
        <f t="shared" si="179"/>
        <v>4.5576154835290086E-3</v>
      </c>
      <c r="F85" s="62">
        <v>0</v>
      </c>
      <c r="G85" s="190">
        <f t="shared" si="36"/>
        <v>0</v>
      </c>
      <c r="H85" s="197">
        <f t="shared" si="386"/>
        <v>0</v>
      </c>
      <c r="I85" s="62">
        <v>0</v>
      </c>
      <c r="J85" s="62">
        <v>0</v>
      </c>
      <c r="K85" s="62">
        <v>0</v>
      </c>
      <c r="L85" s="62">
        <v>0</v>
      </c>
      <c r="M85" s="62">
        <v>0</v>
      </c>
      <c r="N85" s="62">
        <v>20689</v>
      </c>
      <c r="O85" s="62">
        <f>7544+149502</f>
        <v>157046</v>
      </c>
      <c r="P85" s="62">
        <v>0</v>
      </c>
      <c r="Q85" s="62">
        <v>26927</v>
      </c>
      <c r="R85" s="62">
        <v>0</v>
      </c>
      <c r="S85" s="62">
        <v>0</v>
      </c>
      <c r="T85" s="62">
        <v>0</v>
      </c>
      <c r="U85" s="190">
        <f t="shared" si="16"/>
        <v>204662</v>
      </c>
      <c r="V85" s="197">
        <f t="shared" si="387"/>
        <v>3.6889331482840562E-3</v>
      </c>
      <c r="W85" s="62">
        <v>0</v>
      </c>
      <c r="X85" s="62">
        <v>0</v>
      </c>
      <c r="Y85" s="62">
        <v>172487</v>
      </c>
      <c r="Z85" s="62">
        <v>0</v>
      </c>
      <c r="AA85" s="62">
        <v>0</v>
      </c>
      <c r="AB85" s="62">
        <v>0</v>
      </c>
      <c r="AC85" s="62">
        <v>0</v>
      </c>
      <c r="AD85" s="62">
        <v>0</v>
      </c>
      <c r="AE85" s="62">
        <v>0</v>
      </c>
      <c r="AF85" s="62">
        <v>24578</v>
      </c>
      <c r="AG85" s="62">
        <v>0</v>
      </c>
      <c r="AH85" s="62">
        <v>0</v>
      </c>
      <c r="AI85" s="190">
        <f t="shared" si="17"/>
        <v>197065</v>
      </c>
      <c r="AJ85" s="197">
        <f t="shared" si="388"/>
        <v>2.6782886167249866E-3</v>
      </c>
      <c r="AK85" s="62">
        <f>19297+117572</f>
        <v>136869</v>
      </c>
      <c r="AL85" s="62">
        <v>0</v>
      </c>
      <c r="AM85" s="62">
        <v>0</v>
      </c>
      <c r="AN85" s="62">
        <v>0</v>
      </c>
      <c r="AO85" s="62">
        <v>0</v>
      </c>
      <c r="AP85" s="62">
        <v>0</v>
      </c>
      <c r="AQ85" s="62">
        <v>0</v>
      </c>
      <c r="AR85" s="62">
        <v>0</v>
      </c>
      <c r="AS85" s="62">
        <v>0</v>
      </c>
      <c r="AT85" s="62">
        <v>0</v>
      </c>
      <c r="AU85" s="62">
        <f>40281</f>
        <v>40281</v>
      </c>
      <c r="AV85" s="62">
        <v>0</v>
      </c>
      <c r="AW85" s="190">
        <f t="shared" si="18"/>
        <v>177150</v>
      </c>
      <c r="AX85" s="197">
        <f t="shared" si="389"/>
        <v>2.3221416157179534E-3</v>
      </c>
      <c r="AY85" s="62">
        <v>0</v>
      </c>
      <c r="AZ85" s="62">
        <v>0</v>
      </c>
      <c r="BA85" s="62">
        <v>0</v>
      </c>
      <c r="BB85" s="62">
        <v>0</v>
      </c>
      <c r="BC85" s="62">
        <v>0</v>
      </c>
      <c r="BD85" s="62">
        <v>0</v>
      </c>
      <c r="BE85" s="62">
        <v>0</v>
      </c>
      <c r="BF85" s="62">
        <v>0</v>
      </c>
      <c r="BG85" s="62">
        <v>0</v>
      </c>
      <c r="BH85" s="62">
        <f>525939+204862+163370</f>
        <v>894171</v>
      </c>
      <c r="BI85" s="62">
        <v>0</v>
      </c>
      <c r="BJ85" s="62">
        <v>0</v>
      </c>
      <c r="BK85" s="190">
        <f t="shared" si="19"/>
        <v>894171</v>
      </c>
      <c r="BL85" s="197">
        <f t="shared" si="390"/>
        <v>1.2803315029239671E-2</v>
      </c>
      <c r="BM85" s="62">
        <v>0</v>
      </c>
      <c r="BN85" s="62">
        <v>0</v>
      </c>
      <c r="BO85" s="62">
        <v>0</v>
      </c>
      <c r="BP85" s="62">
        <v>0</v>
      </c>
      <c r="BQ85" s="62">
        <v>0</v>
      </c>
      <c r="BR85" s="62">
        <v>0</v>
      </c>
      <c r="BS85" s="62">
        <v>0</v>
      </c>
      <c r="BT85" s="62">
        <v>0</v>
      </c>
      <c r="BU85" s="62">
        <v>0</v>
      </c>
      <c r="BV85" s="62">
        <v>0</v>
      </c>
      <c r="BW85" s="62">
        <v>0</v>
      </c>
      <c r="BX85" s="62">
        <v>0</v>
      </c>
      <c r="BY85" s="190">
        <f t="shared" si="20"/>
        <v>0</v>
      </c>
      <c r="BZ85" s="197">
        <f t="shared" si="391"/>
        <v>0</v>
      </c>
      <c r="CA85" s="62">
        <v>0</v>
      </c>
      <c r="CB85" s="62">
        <v>0</v>
      </c>
      <c r="CC85" s="62">
        <v>0</v>
      </c>
      <c r="CD85" s="62">
        <v>0</v>
      </c>
      <c r="CE85" s="62">
        <v>0</v>
      </c>
      <c r="CF85" s="62">
        <v>0</v>
      </c>
      <c r="CG85" s="62">
        <v>0</v>
      </c>
      <c r="CH85" s="62">
        <v>0</v>
      </c>
      <c r="CI85" s="62">
        <v>0</v>
      </c>
      <c r="CJ85" s="62">
        <v>0</v>
      </c>
      <c r="CK85" s="62">
        <v>0</v>
      </c>
      <c r="CL85" s="62">
        <v>0</v>
      </c>
      <c r="CM85" s="190">
        <f t="shared" si="21"/>
        <v>0</v>
      </c>
      <c r="CN85" s="62">
        <v>0</v>
      </c>
      <c r="CO85" s="62">
        <v>0</v>
      </c>
      <c r="CP85" s="62">
        <v>0</v>
      </c>
      <c r="CQ85" s="62">
        <v>0</v>
      </c>
      <c r="CR85" s="62">
        <v>0</v>
      </c>
      <c r="CS85" s="62">
        <v>0</v>
      </c>
      <c r="CT85" s="62">
        <v>0</v>
      </c>
      <c r="CU85" s="62">
        <v>0</v>
      </c>
      <c r="CV85" s="62">
        <v>0</v>
      </c>
      <c r="CW85" s="62">
        <v>0</v>
      </c>
      <c r="CX85" s="62">
        <v>0</v>
      </c>
      <c r="CY85" s="62">
        <v>0</v>
      </c>
      <c r="CZ85" s="190">
        <f t="shared" si="22"/>
        <v>0</v>
      </c>
      <c r="DA85" s="62">
        <v>0</v>
      </c>
      <c r="DB85" s="62">
        <v>0</v>
      </c>
      <c r="DC85" s="62">
        <v>0</v>
      </c>
      <c r="DD85" s="62">
        <v>0</v>
      </c>
      <c r="DE85" s="62">
        <v>0</v>
      </c>
      <c r="DF85" s="62">
        <v>0</v>
      </c>
      <c r="DG85" s="62">
        <v>0</v>
      </c>
      <c r="DH85" s="62">
        <v>0</v>
      </c>
      <c r="DI85" s="62">
        <v>0</v>
      </c>
      <c r="DJ85" s="62">
        <v>0</v>
      </c>
      <c r="DK85" s="62">
        <v>0</v>
      </c>
      <c r="DL85" s="62">
        <v>0</v>
      </c>
      <c r="DM85" s="190">
        <f t="shared" si="23"/>
        <v>0</v>
      </c>
      <c r="DN85" s="62">
        <v>0</v>
      </c>
      <c r="DO85" s="62">
        <v>0</v>
      </c>
      <c r="DP85" s="62">
        <v>0</v>
      </c>
      <c r="DQ85" s="62">
        <v>0</v>
      </c>
      <c r="DR85" s="62">
        <v>0</v>
      </c>
      <c r="DS85" s="62">
        <v>0</v>
      </c>
      <c r="DT85" s="62">
        <v>0</v>
      </c>
      <c r="DU85" s="62">
        <v>0</v>
      </c>
      <c r="DV85" s="62">
        <v>0</v>
      </c>
      <c r="DW85" s="62">
        <v>0</v>
      </c>
      <c r="DX85" s="62">
        <v>0</v>
      </c>
      <c r="DY85" s="62">
        <v>0</v>
      </c>
      <c r="DZ85" s="190">
        <f t="shared" si="24"/>
        <v>0</v>
      </c>
    </row>
    <row r="86" spans="1:130" ht="20.45" customHeight="1" outlineLevel="2">
      <c r="A86" s="662"/>
      <c r="B86" s="646"/>
      <c r="C86" s="30" t="s">
        <v>3022</v>
      </c>
      <c r="D86" s="62">
        <f t="shared" si="345"/>
        <v>2100569.9999999991</v>
      </c>
      <c r="E86" s="184">
        <f t="shared" si="179"/>
        <v>6.4991706694123496E-3</v>
      </c>
      <c r="F86" s="62">
        <v>14060</v>
      </c>
      <c r="G86" s="190">
        <f t="shared" si="36"/>
        <v>14060</v>
      </c>
      <c r="H86" s="197">
        <f t="shared" si="386"/>
        <v>3.2115817954021385E-3</v>
      </c>
      <c r="I86" s="62">
        <v>35800</v>
      </c>
      <c r="J86" s="62">
        <v>4990</v>
      </c>
      <c r="K86" s="62">
        <v>0</v>
      </c>
      <c r="L86" s="62">
        <v>0</v>
      </c>
      <c r="M86" s="62">
        <v>0</v>
      </c>
      <c r="N86" s="62">
        <v>0</v>
      </c>
      <c r="O86" s="62">
        <v>29800</v>
      </c>
      <c r="P86" s="62">
        <v>0</v>
      </c>
      <c r="Q86" s="62">
        <v>0</v>
      </c>
      <c r="R86" s="62">
        <v>4990</v>
      </c>
      <c r="S86" s="62">
        <v>0</v>
      </c>
      <c r="T86" s="62">
        <f>142150+52400+79000</f>
        <v>273550</v>
      </c>
      <c r="U86" s="190">
        <f t="shared" si="16"/>
        <v>349130</v>
      </c>
      <c r="V86" s="197">
        <f t="shared" si="387"/>
        <v>6.2928986820240812E-3</v>
      </c>
      <c r="W86" s="62">
        <f>152800+63000+40510</f>
        <v>256310</v>
      </c>
      <c r="X86" s="62">
        <v>0</v>
      </c>
      <c r="Y86" s="62">
        <v>0</v>
      </c>
      <c r="Z86" s="62">
        <v>0</v>
      </c>
      <c r="AA86" s="62">
        <f>94000+64800</f>
        <v>158800</v>
      </c>
      <c r="AB86" s="62">
        <f>15900+9900</f>
        <v>25800</v>
      </c>
      <c r="AC86" s="62">
        <v>0</v>
      </c>
      <c r="AD86" s="62">
        <v>2000</v>
      </c>
      <c r="AE86" s="62">
        <f>1000+17900+36750</f>
        <v>55650</v>
      </c>
      <c r="AF86" s="62">
        <f>52500+16680+22680</f>
        <v>91860</v>
      </c>
      <c r="AG86" s="62">
        <f>6500+56600</f>
        <v>63100</v>
      </c>
      <c r="AH86" s="62">
        <v>1000</v>
      </c>
      <c r="AI86" s="190">
        <f t="shared" si="17"/>
        <v>654520</v>
      </c>
      <c r="AJ86" s="197">
        <f t="shared" si="388"/>
        <v>8.8955089205025664E-3</v>
      </c>
      <c r="AK86" s="62">
        <f>22750+1000+10000-2470+8820+17220</f>
        <v>57320</v>
      </c>
      <c r="AL86" s="62">
        <f>25900+4990+13570</f>
        <v>44460</v>
      </c>
      <c r="AM86" s="62">
        <v>0</v>
      </c>
      <c r="AN86" s="62">
        <v>0</v>
      </c>
      <c r="AO86" s="62">
        <v>35800</v>
      </c>
      <c r="AP86" s="62">
        <v>0</v>
      </c>
      <c r="AQ86" s="62">
        <f>4000+2000</f>
        <v>6000</v>
      </c>
      <c r="AR86" s="62">
        <f>4000+24700+2000+21250</f>
        <v>51950</v>
      </c>
      <c r="AS86" s="62">
        <f>16900+6750+16730</f>
        <v>40380</v>
      </c>
      <c r="AT86" s="62">
        <f>3500</f>
        <v>3500</v>
      </c>
      <c r="AU86" s="62">
        <f>16200+29160</f>
        <v>45360</v>
      </c>
      <c r="AV86" s="62">
        <f>5000+139480</f>
        <v>144480</v>
      </c>
      <c r="AW86" s="190">
        <f t="shared" si="18"/>
        <v>429250</v>
      </c>
      <c r="AX86" s="197">
        <f t="shared" si="389"/>
        <v>5.6267529695000363E-3</v>
      </c>
      <c r="AY86" s="62">
        <v>0</v>
      </c>
      <c r="AZ86" s="62">
        <f>10000+31490+16300</f>
        <v>57790</v>
      </c>
      <c r="BA86" s="62">
        <f>20030-11400+82800+19800</f>
        <v>111230</v>
      </c>
      <c r="BB86" s="62">
        <f>9000+4500</f>
        <v>13500</v>
      </c>
      <c r="BC86" s="62">
        <f>18610+124900+2000+2000</f>
        <v>147510</v>
      </c>
      <c r="BD86" s="62">
        <f>15900</f>
        <v>15900</v>
      </c>
      <c r="BE86" s="62">
        <f>19000+54450</f>
        <v>73450</v>
      </c>
      <c r="BF86" s="62">
        <f>11620+9300</f>
        <v>20920</v>
      </c>
      <c r="BG86" s="62">
        <f>16200</f>
        <v>16200</v>
      </c>
      <c r="BH86" s="62">
        <f>7900+17890+4500</f>
        <v>30290</v>
      </c>
      <c r="BI86" s="62">
        <f>14900</f>
        <v>14900</v>
      </c>
      <c r="BJ86" s="62">
        <f>29400+10000+7080+2000</f>
        <v>48480</v>
      </c>
      <c r="BK86" s="190">
        <f t="shared" si="19"/>
        <v>550170</v>
      </c>
      <c r="BL86" s="197">
        <f t="shared" si="390"/>
        <v>7.877687634285601E-3</v>
      </c>
      <c r="BM86" s="62">
        <f>-7080</f>
        <v>-7080</v>
      </c>
      <c r="BN86" s="62">
        <f>6000</f>
        <v>6000</v>
      </c>
      <c r="BO86" s="62">
        <f>47290+6900</f>
        <v>54190</v>
      </c>
      <c r="BP86" s="62">
        <f>16700+15620+14010</f>
        <v>46330</v>
      </c>
      <c r="BQ86" s="62">
        <f>4000</f>
        <v>4000</v>
      </c>
      <c r="BR86" s="62">
        <v>0</v>
      </c>
      <c r="BS86" s="62">
        <v>0</v>
      </c>
      <c r="BT86" s="62">
        <v>0</v>
      </c>
      <c r="BU86" s="62">
        <v>0</v>
      </c>
      <c r="BV86" s="62">
        <v>0</v>
      </c>
      <c r="BW86" s="62">
        <v>0</v>
      </c>
      <c r="BX86" s="62">
        <v>0</v>
      </c>
      <c r="BY86" s="190">
        <f t="shared" si="20"/>
        <v>103440</v>
      </c>
      <c r="BZ86" s="197">
        <f t="shared" si="391"/>
        <v>2.370145515111396E-3</v>
      </c>
      <c r="CA86" s="62">
        <v>0</v>
      </c>
      <c r="CB86" s="62">
        <v>0</v>
      </c>
      <c r="CC86" s="62">
        <v>0</v>
      </c>
      <c r="CD86" s="62">
        <v>0</v>
      </c>
      <c r="CE86" s="62">
        <v>0</v>
      </c>
      <c r="CF86" s="62">
        <v>0</v>
      </c>
      <c r="CG86" s="62">
        <v>0</v>
      </c>
      <c r="CH86" s="62">
        <v>0</v>
      </c>
      <c r="CI86" s="62">
        <v>0</v>
      </c>
      <c r="CJ86" s="62">
        <v>0</v>
      </c>
      <c r="CK86" s="62">
        <v>0</v>
      </c>
      <c r="CL86" s="62">
        <v>0</v>
      </c>
      <c r="CM86" s="190">
        <f t="shared" si="21"/>
        <v>0</v>
      </c>
      <c r="CN86" s="62">
        <v>0</v>
      </c>
      <c r="CO86" s="62">
        <v>0</v>
      </c>
      <c r="CP86" s="62">
        <v>0</v>
      </c>
      <c r="CQ86" s="62">
        <v>0</v>
      </c>
      <c r="CR86" s="62">
        <v>0</v>
      </c>
      <c r="CS86" s="62">
        <v>0</v>
      </c>
      <c r="CT86" s="62">
        <v>0</v>
      </c>
      <c r="CU86" s="62">
        <v>0</v>
      </c>
      <c r="CV86" s="62">
        <v>0</v>
      </c>
      <c r="CW86" s="62">
        <v>0</v>
      </c>
      <c r="CX86" s="62">
        <v>0</v>
      </c>
      <c r="CY86" s="62">
        <v>0</v>
      </c>
      <c r="CZ86" s="190">
        <f t="shared" si="22"/>
        <v>0</v>
      </c>
      <c r="DA86" s="62">
        <v>0</v>
      </c>
      <c r="DB86" s="62">
        <v>0</v>
      </c>
      <c r="DC86" s="62">
        <v>0</v>
      </c>
      <c r="DD86" s="62">
        <v>0</v>
      </c>
      <c r="DE86" s="62">
        <v>0</v>
      </c>
      <c r="DF86" s="62">
        <v>0</v>
      </c>
      <c r="DG86" s="62">
        <v>0</v>
      </c>
      <c r="DH86" s="62">
        <v>0</v>
      </c>
      <c r="DI86" s="62">
        <v>0</v>
      </c>
      <c r="DJ86" s="62">
        <v>0</v>
      </c>
      <c r="DK86" s="62">
        <v>0</v>
      </c>
      <c r="DL86" s="62">
        <v>0</v>
      </c>
      <c r="DM86" s="190">
        <f t="shared" si="23"/>
        <v>0</v>
      </c>
      <c r="DN86" s="62">
        <v>0</v>
      </c>
      <c r="DO86" s="62">
        <v>0</v>
      </c>
      <c r="DP86" s="62">
        <v>0</v>
      </c>
      <c r="DQ86" s="62">
        <v>0</v>
      </c>
      <c r="DR86" s="62">
        <v>0</v>
      </c>
      <c r="DS86" s="62">
        <v>0</v>
      </c>
      <c r="DT86" s="62">
        <v>0</v>
      </c>
      <c r="DU86" s="62">
        <v>0</v>
      </c>
      <c r="DV86" s="62">
        <v>0</v>
      </c>
      <c r="DW86" s="62">
        <v>0</v>
      </c>
      <c r="DX86" s="62">
        <v>0</v>
      </c>
      <c r="DY86" s="62">
        <v>0</v>
      </c>
      <c r="DZ86" s="190">
        <f t="shared" si="24"/>
        <v>0</v>
      </c>
    </row>
    <row r="87" spans="1:130" s="194" customFormat="1" ht="20.45" customHeight="1" outlineLevel="1">
      <c r="A87" s="662"/>
      <c r="B87" s="645" t="s">
        <v>349</v>
      </c>
      <c r="C87" s="65" t="s">
        <v>307</v>
      </c>
      <c r="D87" s="66">
        <f t="shared" si="345"/>
        <v>3054000.0000000005</v>
      </c>
      <c r="E87" s="187">
        <f>SUM(E88)</f>
        <v>9.2789161216087299E-3</v>
      </c>
      <c r="F87" s="62">
        <f t="shared" ref="F87:DY87" si="422">SUM(F88)</f>
        <v>85000</v>
      </c>
      <c r="G87" s="190">
        <f t="shared" si="36"/>
        <v>85000</v>
      </c>
      <c r="H87" s="196">
        <f>SUM(H88)</f>
        <v>1.9415679417438249E-2</v>
      </c>
      <c r="I87" s="62">
        <f t="shared" si="422"/>
        <v>40000</v>
      </c>
      <c r="J87" s="62">
        <f t="shared" si="422"/>
        <v>35000</v>
      </c>
      <c r="K87" s="62">
        <f t="shared" si="422"/>
        <v>35000</v>
      </c>
      <c r="L87" s="62">
        <f t="shared" si="422"/>
        <v>60000</v>
      </c>
      <c r="M87" s="62">
        <f t="shared" si="422"/>
        <v>30000</v>
      </c>
      <c r="N87" s="62">
        <f t="shared" si="422"/>
        <v>30000</v>
      </c>
      <c r="O87" s="62">
        <f t="shared" si="422"/>
        <v>45000</v>
      </c>
      <c r="P87" s="62">
        <f t="shared" si="422"/>
        <v>60000</v>
      </c>
      <c r="Q87" s="62">
        <f t="shared" si="422"/>
        <v>30000</v>
      </c>
      <c r="R87" s="62">
        <f t="shared" si="422"/>
        <v>30000</v>
      </c>
      <c r="S87" s="62">
        <f t="shared" si="422"/>
        <v>30000</v>
      </c>
      <c r="T87" s="62">
        <f t="shared" si="422"/>
        <v>82000</v>
      </c>
      <c r="U87" s="190">
        <f t="shared" si="16"/>
        <v>507000</v>
      </c>
      <c r="V87" s="196">
        <f>SUM(V88)</f>
        <v>9.1384287565841067E-3</v>
      </c>
      <c r="W87" s="62">
        <f t="shared" si="422"/>
        <v>34000</v>
      </c>
      <c r="X87" s="62">
        <f t="shared" si="422"/>
        <v>40000</v>
      </c>
      <c r="Y87" s="62">
        <f t="shared" si="422"/>
        <v>175000</v>
      </c>
      <c r="Z87" s="62">
        <f t="shared" si="422"/>
        <v>70000</v>
      </c>
      <c r="AA87" s="62">
        <f t="shared" si="422"/>
        <v>0</v>
      </c>
      <c r="AB87" s="62">
        <f t="shared" si="422"/>
        <v>85000</v>
      </c>
      <c r="AC87" s="62">
        <f t="shared" si="422"/>
        <v>90000</v>
      </c>
      <c r="AD87" s="62">
        <f t="shared" si="422"/>
        <v>129000</v>
      </c>
      <c r="AE87" s="62">
        <f t="shared" si="422"/>
        <v>0</v>
      </c>
      <c r="AF87" s="62">
        <f t="shared" si="422"/>
        <v>117000</v>
      </c>
      <c r="AG87" s="62">
        <f t="shared" si="422"/>
        <v>50000</v>
      </c>
      <c r="AH87" s="62">
        <f t="shared" si="422"/>
        <v>0</v>
      </c>
      <c r="AI87" s="190">
        <f t="shared" si="17"/>
        <v>790000</v>
      </c>
      <c r="AJ87" s="196">
        <f>SUM(AJ88)</f>
        <v>1.0736802614430463E-2</v>
      </c>
      <c r="AK87" s="62">
        <f t="shared" si="422"/>
        <v>50000</v>
      </c>
      <c r="AL87" s="62">
        <f t="shared" si="422"/>
        <v>68000</v>
      </c>
      <c r="AM87" s="62">
        <f t="shared" si="422"/>
        <v>110000</v>
      </c>
      <c r="AN87" s="62">
        <f t="shared" si="422"/>
        <v>55000</v>
      </c>
      <c r="AO87" s="62">
        <f t="shared" si="422"/>
        <v>73000</v>
      </c>
      <c r="AP87" s="62">
        <f t="shared" si="422"/>
        <v>25000</v>
      </c>
      <c r="AQ87" s="62">
        <f t="shared" si="422"/>
        <v>73000</v>
      </c>
      <c r="AR87" s="62">
        <f t="shared" si="422"/>
        <v>55000</v>
      </c>
      <c r="AS87" s="62">
        <f t="shared" si="422"/>
        <v>22000</v>
      </c>
      <c r="AT87" s="62">
        <f t="shared" si="422"/>
        <v>113000</v>
      </c>
      <c r="AU87" s="62">
        <f t="shared" si="422"/>
        <v>55000</v>
      </c>
      <c r="AV87" s="62">
        <f t="shared" si="422"/>
        <v>32000</v>
      </c>
      <c r="AW87" s="190">
        <f t="shared" si="18"/>
        <v>731000</v>
      </c>
      <c r="AX87" s="196">
        <f>SUM(AX88)</f>
        <v>9.5821931757822405E-3</v>
      </c>
      <c r="AY87" s="62">
        <f t="shared" si="422"/>
        <v>88000</v>
      </c>
      <c r="AZ87" s="62">
        <f t="shared" si="422"/>
        <v>62000</v>
      </c>
      <c r="BA87" s="62">
        <f t="shared" si="422"/>
        <v>35000</v>
      </c>
      <c r="BB87" s="62">
        <f t="shared" si="422"/>
        <v>38000</v>
      </c>
      <c r="BC87" s="62">
        <f t="shared" si="422"/>
        <v>55000</v>
      </c>
      <c r="BD87" s="62">
        <f t="shared" si="422"/>
        <v>77000</v>
      </c>
      <c r="BE87" s="62">
        <f t="shared" si="422"/>
        <v>38000</v>
      </c>
      <c r="BF87" s="62">
        <f t="shared" si="422"/>
        <v>55000</v>
      </c>
      <c r="BG87" s="62">
        <f t="shared" si="422"/>
        <v>10000</v>
      </c>
      <c r="BH87" s="62">
        <f t="shared" si="422"/>
        <v>55000</v>
      </c>
      <c r="BI87" s="62">
        <f t="shared" si="422"/>
        <v>65000</v>
      </c>
      <c r="BJ87" s="62">
        <f t="shared" si="422"/>
        <v>93000</v>
      </c>
      <c r="BK87" s="190">
        <f t="shared" si="19"/>
        <v>671000</v>
      </c>
      <c r="BL87" s="196">
        <f>SUM(BL88)</f>
        <v>9.607809227339982E-3</v>
      </c>
      <c r="BM87" s="62">
        <f t="shared" si="422"/>
        <v>60000</v>
      </c>
      <c r="BN87" s="62">
        <f t="shared" si="422"/>
        <v>55000</v>
      </c>
      <c r="BO87" s="62">
        <f t="shared" si="422"/>
        <v>55000</v>
      </c>
      <c r="BP87" s="62">
        <f>55000</f>
        <v>55000</v>
      </c>
      <c r="BQ87" s="62">
        <f t="shared" si="422"/>
        <v>45000</v>
      </c>
      <c r="BR87" s="62">
        <f t="shared" si="422"/>
        <v>0</v>
      </c>
      <c r="BS87" s="62">
        <f t="shared" si="422"/>
        <v>0</v>
      </c>
      <c r="BT87" s="62">
        <f t="shared" si="422"/>
        <v>0</v>
      </c>
      <c r="BU87" s="62">
        <f t="shared" si="422"/>
        <v>0</v>
      </c>
      <c r="BV87" s="62">
        <f t="shared" si="422"/>
        <v>0</v>
      </c>
      <c r="BW87" s="62">
        <f t="shared" si="422"/>
        <v>0</v>
      </c>
      <c r="BX87" s="62">
        <f t="shared" si="422"/>
        <v>0</v>
      </c>
      <c r="BY87" s="190">
        <f t="shared" si="20"/>
        <v>270000</v>
      </c>
      <c r="BZ87" s="196">
        <f>SUM(BZ88)</f>
        <v>4.9263465366294491E-3</v>
      </c>
      <c r="CA87" s="62">
        <f t="shared" si="422"/>
        <v>0</v>
      </c>
      <c r="CB87" s="62">
        <f t="shared" si="422"/>
        <v>0</v>
      </c>
      <c r="CC87" s="62">
        <f t="shared" si="422"/>
        <v>0</v>
      </c>
      <c r="CD87" s="62">
        <f t="shared" si="422"/>
        <v>0</v>
      </c>
      <c r="CE87" s="62">
        <f t="shared" si="422"/>
        <v>0</v>
      </c>
      <c r="CF87" s="62">
        <f t="shared" si="422"/>
        <v>0</v>
      </c>
      <c r="CG87" s="62">
        <f t="shared" si="422"/>
        <v>0</v>
      </c>
      <c r="CH87" s="62">
        <f t="shared" si="422"/>
        <v>0</v>
      </c>
      <c r="CI87" s="62">
        <f t="shared" si="422"/>
        <v>0</v>
      </c>
      <c r="CJ87" s="62">
        <f t="shared" si="422"/>
        <v>0</v>
      </c>
      <c r="CK87" s="62">
        <f t="shared" si="422"/>
        <v>0</v>
      </c>
      <c r="CL87" s="62">
        <f t="shared" si="422"/>
        <v>0</v>
      </c>
      <c r="CM87" s="190">
        <f t="shared" si="21"/>
        <v>0</v>
      </c>
      <c r="CN87" s="62">
        <f t="shared" si="422"/>
        <v>0</v>
      </c>
      <c r="CO87" s="62">
        <f t="shared" si="422"/>
        <v>0</v>
      </c>
      <c r="CP87" s="62">
        <f t="shared" si="422"/>
        <v>0</v>
      </c>
      <c r="CQ87" s="62">
        <f t="shared" si="422"/>
        <v>0</v>
      </c>
      <c r="CR87" s="62">
        <f t="shared" si="422"/>
        <v>0</v>
      </c>
      <c r="CS87" s="62">
        <f t="shared" si="422"/>
        <v>0</v>
      </c>
      <c r="CT87" s="62">
        <f t="shared" si="422"/>
        <v>0</v>
      </c>
      <c r="CU87" s="62">
        <f t="shared" si="422"/>
        <v>0</v>
      </c>
      <c r="CV87" s="62">
        <f t="shared" si="422"/>
        <v>0</v>
      </c>
      <c r="CW87" s="62">
        <f t="shared" si="422"/>
        <v>0</v>
      </c>
      <c r="CX87" s="62">
        <f t="shared" si="422"/>
        <v>0</v>
      </c>
      <c r="CY87" s="62">
        <f t="shared" si="422"/>
        <v>0</v>
      </c>
      <c r="CZ87" s="190">
        <f t="shared" si="22"/>
        <v>0</v>
      </c>
      <c r="DA87" s="62">
        <f t="shared" si="422"/>
        <v>0</v>
      </c>
      <c r="DB87" s="62">
        <f t="shared" si="422"/>
        <v>0</v>
      </c>
      <c r="DC87" s="62">
        <f t="shared" si="422"/>
        <v>0</v>
      </c>
      <c r="DD87" s="62">
        <f t="shared" si="422"/>
        <v>0</v>
      </c>
      <c r="DE87" s="62">
        <f t="shared" si="422"/>
        <v>0</v>
      </c>
      <c r="DF87" s="62">
        <f t="shared" si="422"/>
        <v>0</v>
      </c>
      <c r="DG87" s="62">
        <f t="shared" si="422"/>
        <v>0</v>
      </c>
      <c r="DH87" s="62">
        <f t="shared" si="422"/>
        <v>0</v>
      </c>
      <c r="DI87" s="62">
        <f t="shared" si="422"/>
        <v>0</v>
      </c>
      <c r="DJ87" s="62">
        <f t="shared" si="422"/>
        <v>0</v>
      </c>
      <c r="DK87" s="62">
        <f t="shared" si="422"/>
        <v>0</v>
      </c>
      <c r="DL87" s="62">
        <f t="shared" si="422"/>
        <v>0</v>
      </c>
      <c r="DM87" s="190">
        <f t="shared" si="23"/>
        <v>0</v>
      </c>
      <c r="DN87" s="62">
        <f t="shared" si="422"/>
        <v>0</v>
      </c>
      <c r="DO87" s="62">
        <f t="shared" si="422"/>
        <v>0</v>
      </c>
      <c r="DP87" s="62">
        <f t="shared" si="422"/>
        <v>0</v>
      </c>
      <c r="DQ87" s="62">
        <f t="shared" si="422"/>
        <v>0</v>
      </c>
      <c r="DR87" s="62">
        <f t="shared" si="422"/>
        <v>0</v>
      </c>
      <c r="DS87" s="62">
        <f t="shared" si="422"/>
        <v>0</v>
      </c>
      <c r="DT87" s="62">
        <f t="shared" si="422"/>
        <v>0</v>
      </c>
      <c r="DU87" s="62">
        <f t="shared" si="422"/>
        <v>0</v>
      </c>
      <c r="DV87" s="62">
        <f t="shared" si="422"/>
        <v>0</v>
      </c>
      <c r="DW87" s="62">
        <f t="shared" si="422"/>
        <v>0</v>
      </c>
      <c r="DX87" s="62">
        <f t="shared" si="422"/>
        <v>0</v>
      </c>
      <c r="DY87" s="62">
        <f t="shared" si="422"/>
        <v>0</v>
      </c>
      <c r="DZ87" s="190">
        <f t="shared" si="24"/>
        <v>0</v>
      </c>
    </row>
    <row r="88" spans="1:130" ht="20.45" customHeight="1" outlineLevel="2">
      <c r="A88" s="662"/>
      <c r="B88" s="637"/>
      <c r="C88" s="30" t="s">
        <v>3038</v>
      </c>
      <c r="D88" s="62">
        <f t="shared" si="345"/>
        <v>2999000.0000000005</v>
      </c>
      <c r="E88" s="184">
        <f t="shared" si="179"/>
        <v>9.2789161216087299E-3</v>
      </c>
      <c r="F88" s="62">
        <v>85000</v>
      </c>
      <c r="G88" s="190">
        <f t="shared" si="36"/>
        <v>85000</v>
      </c>
      <c r="H88" s="197">
        <f>G88/(G$5+G$6+G$7+G$8+G$10+G$9)</f>
        <v>1.9415679417438249E-2</v>
      </c>
      <c r="I88" s="62">
        <v>40000</v>
      </c>
      <c r="J88" s="62">
        <v>35000</v>
      </c>
      <c r="K88" s="62">
        <v>35000</v>
      </c>
      <c r="L88" s="62">
        <v>60000</v>
      </c>
      <c r="M88" s="62">
        <v>30000</v>
      </c>
      <c r="N88" s="62">
        <v>30000</v>
      </c>
      <c r="O88" s="62">
        <v>45000</v>
      </c>
      <c r="P88" s="62">
        <v>60000</v>
      </c>
      <c r="Q88" s="62">
        <v>30000</v>
      </c>
      <c r="R88" s="62">
        <v>30000</v>
      </c>
      <c r="S88" s="62">
        <v>30000</v>
      </c>
      <c r="T88" s="62">
        <v>82000</v>
      </c>
      <c r="U88" s="190">
        <f t="shared" ref="U88:U154" si="423">SUM(I88:T88)</f>
        <v>507000</v>
      </c>
      <c r="V88" s="197">
        <f>U88/(U$5+U$6+U$7+U$8+U$10+U$9)</f>
        <v>9.1384287565841067E-3</v>
      </c>
      <c r="W88" s="62">
        <v>34000</v>
      </c>
      <c r="X88" s="62">
        <v>40000</v>
      </c>
      <c r="Y88" s="62">
        <f>110000+65000</f>
        <v>175000</v>
      </c>
      <c r="Z88" s="62">
        <v>70000</v>
      </c>
      <c r="AA88" s="62">
        <v>0</v>
      </c>
      <c r="AB88" s="62">
        <v>85000</v>
      </c>
      <c r="AC88" s="62">
        <v>90000</v>
      </c>
      <c r="AD88" s="62">
        <f>77000+17000+35000</f>
        <v>129000</v>
      </c>
      <c r="AE88" s="62">
        <v>0</v>
      </c>
      <c r="AF88" s="62">
        <f>100000+17000</f>
        <v>117000</v>
      </c>
      <c r="AG88" s="62">
        <v>50000</v>
      </c>
      <c r="AH88" s="62">
        <v>0</v>
      </c>
      <c r="AI88" s="190">
        <f t="shared" ref="AI88:AI154" si="424">SUM(W88:AH88)</f>
        <v>790000</v>
      </c>
      <c r="AJ88" s="197">
        <f>AI88/(AI$5+AI$6+AI$7+AI$8+AI$10+AI$9)</f>
        <v>1.0736802614430463E-2</v>
      </c>
      <c r="AK88" s="62">
        <f>50000</f>
        <v>50000</v>
      </c>
      <c r="AL88" s="62">
        <f>18000+50000</f>
        <v>68000</v>
      </c>
      <c r="AM88" s="62">
        <f>50000+60000</f>
        <v>110000</v>
      </c>
      <c r="AN88" s="62">
        <v>55000</v>
      </c>
      <c r="AO88" s="62">
        <f>55000+18000</f>
        <v>73000</v>
      </c>
      <c r="AP88" s="62">
        <f>25000</f>
        <v>25000</v>
      </c>
      <c r="AQ88" s="62">
        <f>18000+55000</f>
        <v>73000</v>
      </c>
      <c r="AR88" s="62">
        <v>55000</v>
      </c>
      <c r="AS88" s="62">
        <f>22000</f>
        <v>22000</v>
      </c>
      <c r="AT88" s="62">
        <f>58000+55000</f>
        <v>113000</v>
      </c>
      <c r="AU88" s="62">
        <f>55000</f>
        <v>55000</v>
      </c>
      <c r="AV88" s="62">
        <f>32000</f>
        <v>32000</v>
      </c>
      <c r="AW88" s="190">
        <f t="shared" ref="AW88:AW154" si="425">SUM(AK88:AV88)</f>
        <v>731000</v>
      </c>
      <c r="AX88" s="197">
        <f>AW88/(AW$5+AW$6+AW$7+AW$8+AW$10+AW$9)</f>
        <v>9.5821931757822405E-3</v>
      </c>
      <c r="AY88" s="62">
        <f>33000+55000</f>
        <v>88000</v>
      </c>
      <c r="AZ88" s="62">
        <f>22000+40000</f>
        <v>62000</v>
      </c>
      <c r="BA88" s="62">
        <f>35000</f>
        <v>35000</v>
      </c>
      <c r="BB88" s="62">
        <f>38000</f>
        <v>38000</v>
      </c>
      <c r="BC88" s="62">
        <f>55000</f>
        <v>55000</v>
      </c>
      <c r="BD88" s="62">
        <f>22000+55000</f>
        <v>77000</v>
      </c>
      <c r="BE88" s="62">
        <f>10000+28000</f>
        <v>38000</v>
      </c>
      <c r="BF88" s="62">
        <v>55000</v>
      </c>
      <c r="BG88" s="62">
        <f>10000</f>
        <v>10000</v>
      </c>
      <c r="BH88" s="62">
        <f>55000</f>
        <v>55000</v>
      </c>
      <c r="BI88" s="62">
        <f>55000+10000</f>
        <v>65000</v>
      </c>
      <c r="BJ88" s="62">
        <f>55000+10000+28000</f>
        <v>93000</v>
      </c>
      <c r="BK88" s="190">
        <f t="shared" ref="BK88:BK146" si="426">SUM(AY88:BJ88)</f>
        <v>671000</v>
      </c>
      <c r="BL88" s="197">
        <f>BK88/(BK$5+BK$6+BK$7+BK$8+BK$10+BK$9)</f>
        <v>9.607809227339982E-3</v>
      </c>
      <c r="BM88" s="62">
        <f>10000+22000+28000</f>
        <v>60000</v>
      </c>
      <c r="BN88" s="62">
        <f>55000</f>
        <v>55000</v>
      </c>
      <c r="BO88" s="62">
        <v>55000</v>
      </c>
      <c r="BP88" s="62">
        <v>0</v>
      </c>
      <c r="BQ88" s="62">
        <f>45000</f>
        <v>45000</v>
      </c>
      <c r="BR88" s="62">
        <v>0</v>
      </c>
      <c r="BS88" s="62">
        <v>0</v>
      </c>
      <c r="BT88" s="62">
        <v>0</v>
      </c>
      <c r="BU88" s="62">
        <v>0</v>
      </c>
      <c r="BV88" s="62">
        <v>0</v>
      </c>
      <c r="BW88" s="62">
        <v>0</v>
      </c>
      <c r="BX88" s="62">
        <v>0</v>
      </c>
      <c r="BY88" s="190">
        <f t="shared" ref="BY88:BY146" si="427">SUM(BM88:BX88)</f>
        <v>215000</v>
      </c>
      <c r="BZ88" s="197">
        <f>BY88/(BY$5+BY$6+BY$7+BY$8+BY$10+BY$9)</f>
        <v>4.9263465366294491E-3</v>
      </c>
      <c r="CA88" s="62">
        <v>0</v>
      </c>
      <c r="CB88" s="62">
        <v>0</v>
      </c>
      <c r="CC88" s="62">
        <v>0</v>
      </c>
      <c r="CD88" s="62">
        <v>0</v>
      </c>
      <c r="CE88" s="62">
        <v>0</v>
      </c>
      <c r="CF88" s="62">
        <v>0</v>
      </c>
      <c r="CG88" s="62">
        <v>0</v>
      </c>
      <c r="CH88" s="62">
        <v>0</v>
      </c>
      <c r="CI88" s="62">
        <v>0</v>
      </c>
      <c r="CJ88" s="62">
        <v>0</v>
      </c>
      <c r="CK88" s="62">
        <v>0</v>
      </c>
      <c r="CL88" s="62">
        <v>0</v>
      </c>
      <c r="CM88" s="190">
        <f t="shared" ref="CM88:CM147" si="428">SUM(CA88:CL88)</f>
        <v>0</v>
      </c>
      <c r="CN88" s="62">
        <v>0</v>
      </c>
      <c r="CO88" s="62">
        <v>0</v>
      </c>
      <c r="CP88" s="62">
        <v>0</v>
      </c>
      <c r="CQ88" s="62">
        <v>0</v>
      </c>
      <c r="CR88" s="62">
        <v>0</v>
      </c>
      <c r="CS88" s="62">
        <v>0</v>
      </c>
      <c r="CT88" s="62">
        <v>0</v>
      </c>
      <c r="CU88" s="62">
        <v>0</v>
      </c>
      <c r="CV88" s="62">
        <v>0</v>
      </c>
      <c r="CW88" s="62">
        <v>0</v>
      </c>
      <c r="CX88" s="62">
        <v>0</v>
      </c>
      <c r="CY88" s="62">
        <v>0</v>
      </c>
      <c r="CZ88" s="190">
        <f t="shared" ref="CZ88:CZ147" si="429">SUM(CN88:CY88)</f>
        <v>0</v>
      </c>
      <c r="DA88" s="62">
        <v>0</v>
      </c>
      <c r="DB88" s="62">
        <v>0</v>
      </c>
      <c r="DC88" s="62">
        <v>0</v>
      </c>
      <c r="DD88" s="62">
        <v>0</v>
      </c>
      <c r="DE88" s="62">
        <v>0</v>
      </c>
      <c r="DF88" s="62">
        <v>0</v>
      </c>
      <c r="DG88" s="62">
        <v>0</v>
      </c>
      <c r="DH88" s="62">
        <v>0</v>
      </c>
      <c r="DI88" s="62">
        <v>0</v>
      </c>
      <c r="DJ88" s="62">
        <v>0</v>
      </c>
      <c r="DK88" s="62">
        <v>0</v>
      </c>
      <c r="DL88" s="62">
        <v>0</v>
      </c>
      <c r="DM88" s="190">
        <f t="shared" ref="DM88:DM147" si="430">SUM(DA88:DL88)</f>
        <v>0</v>
      </c>
      <c r="DN88" s="62">
        <v>0</v>
      </c>
      <c r="DO88" s="62">
        <v>0</v>
      </c>
      <c r="DP88" s="62">
        <v>0</v>
      </c>
      <c r="DQ88" s="62">
        <v>0</v>
      </c>
      <c r="DR88" s="62">
        <v>0</v>
      </c>
      <c r="DS88" s="62">
        <v>0</v>
      </c>
      <c r="DT88" s="62">
        <v>0</v>
      </c>
      <c r="DU88" s="62">
        <v>0</v>
      </c>
      <c r="DV88" s="62">
        <v>0</v>
      </c>
      <c r="DW88" s="62">
        <v>0</v>
      </c>
      <c r="DX88" s="62">
        <v>0</v>
      </c>
      <c r="DY88" s="62">
        <v>0</v>
      </c>
      <c r="DZ88" s="190">
        <f t="shared" ref="DZ88:DZ147" si="431">SUM(DN88:DY88)</f>
        <v>0</v>
      </c>
    </row>
    <row r="89" spans="1:130" s="194" customFormat="1" ht="20.45" customHeight="1" outlineLevel="1">
      <c r="A89" s="662"/>
      <c r="B89" s="645" t="s">
        <v>351</v>
      </c>
      <c r="C89" s="65" t="s">
        <v>307</v>
      </c>
      <c r="D89" s="66">
        <f t="shared" si="345"/>
        <v>4556857.9999999991</v>
      </c>
      <c r="E89" s="187">
        <f>SUM(E90:E91)</f>
        <v>1.4098934031371028E-2</v>
      </c>
      <c r="F89" s="62">
        <f t="shared" ref="F89:DX89" si="432">SUM(F90:F91)</f>
        <v>23000</v>
      </c>
      <c r="G89" s="190">
        <f t="shared" ref="G89:G154" si="433">SUM(F89)</f>
        <v>23000</v>
      </c>
      <c r="H89" s="196">
        <f>SUM(H90:H91)</f>
        <v>5.2536544306009385E-3</v>
      </c>
      <c r="I89" s="62">
        <f t="shared" si="432"/>
        <v>4000</v>
      </c>
      <c r="J89" s="62">
        <f t="shared" si="432"/>
        <v>30000</v>
      </c>
      <c r="K89" s="62">
        <f t="shared" si="432"/>
        <v>0</v>
      </c>
      <c r="L89" s="62">
        <f t="shared" si="432"/>
        <v>0</v>
      </c>
      <c r="M89" s="62">
        <f t="shared" si="432"/>
        <v>234670</v>
      </c>
      <c r="N89" s="62">
        <f t="shared" si="432"/>
        <v>90000</v>
      </c>
      <c r="O89" s="62">
        <f t="shared" si="432"/>
        <v>0</v>
      </c>
      <c r="P89" s="62">
        <f t="shared" si="432"/>
        <v>53000</v>
      </c>
      <c r="Q89" s="62">
        <f t="shared" si="432"/>
        <v>22000</v>
      </c>
      <c r="R89" s="62">
        <f t="shared" si="432"/>
        <v>0</v>
      </c>
      <c r="S89" s="62">
        <f t="shared" si="432"/>
        <v>0</v>
      </c>
      <c r="T89" s="62">
        <f t="shared" si="432"/>
        <v>0</v>
      </c>
      <c r="U89" s="190">
        <f t="shared" si="423"/>
        <v>433670</v>
      </c>
      <c r="V89" s="196">
        <f>SUM(V90:V91)</f>
        <v>7.8166911220272778E-3</v>
      </c>
      <c r="W89" s="62">
        <f t="shared" si="432"/>
        <v>20000</v>
      </c>
      <c r="X89" s="62">
        <f t="shared" si="432"/>
        <v>28000</v>
      </c>
      <c r="Y89" s="62">
        <f t="shared" si="432"/>
        <v>0</v>
      </c>
      <c r="Z89" s="62">
        <f t="shared" si="432"/>
        <v>0</v>
      </c>
      <c r="AA89" s="62">
        <f t="shared" si="432"/>
        <v>75000</v>
      </c>
      <c r="AB89" s="62">
        <f t="shared" si="432"/>
        <v>7000</v>
      </c>
      <c r="AC89" s="62">
        <f t="shared" ref="AC89:AF89" si="434">SUM(AC90:AC91)</f>
        <v>0</v>
      </c>
      <c r="AD89" s="62">
        <f t="shared" si="434"/>
        <v>83415</v>
      </c>
      <c r="AE89" s="62">
        <f t="shared" si="434"/>
        <v>33000</v>
      </c>
      <c r="AF89" s="62">
        <f t="shared" si="434"/>
        <v>0</v>
      </c>
      <c r="AG89" s="62">
        <f t="shared" si="432"/>
        <v>0</v>
      </c>
      <c r="AH89" s="62">
        <f t="shared" si="432"/>
        <v>870720</v>
      </c>
      <c r="AI89" s="190">
        <f t="shared" si="424"/>
        <v>1117135</v>
      </c>
      <c r="AJ89" s="196">
        <f>SUM(AJ90:AJ91)</f>
        <v>1.5182858213508576E-2</v>
      </c>
      <c r="AK89" s="62">
        <f t="shared" ref="AK89:AV89" si="435">SUM(AK90:AK91)</f>
        <v>8000</v>
      </c>
      <c r="AL89" s="62">
        <f t="shared" si="435"/>
        <v>30000</v>
      </c>
      <c r="AM89" s="62">
        <f t="shared" si="435"/>
        <v>74580</v>
      </c>
      <c r="AN89" s="62">
        <f t="shared" si="435"/>
        <v>20000</v>
      </c>
      <c r="AO89" s="62">
        <f t="shared" si="435"/>
        <v>36000</v>
      </c>
      <c r="AP89" s="62">
        <f t="shared" si="435"/>
        <v>99000</v>
      </c>
      <c r="AQ89" s="62">
        <f t="shared" si="435"/>
        <v>15000</v>
      </c>
      <c r="AR89" s="62">
        <f t="shared" si="435"/>
        <v>0</v>
      </c>
      <c r="AS89" s="62">
        <f t="shared" si="435"/>
        <v>10000</v>
      </c>
      <c r="AT89" s="62">
        <f t="shared" si="435"/>
        <v>66168</v>
      </c>
      <c r="AU89" s="62">
        <f t="shared" si="435"/>
        <v>80700</v>
      </c>
      <c r="AV89" s="62">
        <f t="shared" si="435"/>
        <v>0</v>
      </c>
      <c r="AW89" s="190">
        <f t="shared" si="425"/>
        <v>439448</v>
      </c>
      <c r="AX89" s="196">
        <f>SUM(AX90:AX91)</f>
        <v>5.7604317738866673E-3</v>
      </c>
      <c r="AY89" s="62">
        <f t="shared" ref="AY89:BJ89" si="436">SUM(AY90:AY91)</f>
        <v>274025</v>
      </c>
      <c r="AZ89" s="62">
        <f t="shared" si="436"/>
        <v>0</v>
      </c>
      <c r="BA89" s="62">
        <f t="shared" si="436"/>
        <v>122894</v>
      </c>
      <c r="BB89" s="62">
        <f t="shared" si="436"/>
        <v>173100</v>
      </c>
      <c r="BC89" s="62">
        <f t="shared" si="436"/>
        <v>129521</v>
      </c>
      <c r="BD89" s="62">
        <f t="shared" si="436"/>
        <v>27175</v>
      </c>
      <c r="BE89" s="62">
        <f t="shared" si="436"/>
        <v>0</v>
      </c>
      <c r="BF89" s="62">
        <f t="shared" si="436"/>
        <v>0</v>
      </c>
      <c r="BG89" s="62">
        <f t="shared" si="436"/>
        <v>43000</v>
      </c>
      <c r="BH89" s="62">
        <f t="shared" si="436"/>
        <v>545500</v>
      </c>
      <c r="BI89" s="62">
        <f t="shared" si="436"/>
        <v>83200</v>
      </c>
      <c r="BJ89" s="62">
        <f t="shared" si="436"/>
        <v>87000</v>
      </c>
      <c r="BK89" s="190">
        <f t="shared" si="426"/>
        <v>1485415</v>
      </c>
      <c r="BL89" s="196">
        <f>SUM(BL90:BL91)</f>
        <v>2.1269126592293922E-2</v>
      </c>
      <c r="BM89" s="62">
        <f t="shared" ref="BM89:BX89" si="437">SUM(BM90:BM91)</f>
        <v>335290</v>
      </c>
      <c r="BN89" s="62">
        <f t="shared" si="437"/>
        <v>641000</v>
      </c>
      <c r="BO89" s="62">
        <f t="shared" si="437"/>
        <v>38900</v>
      </c>
      <c r="BP89" s="62">
        <f t="shared" si="437"/>
        <v>43000</v>
      </c>
      <c r="BQ89" s="62">
        <f t="shared" si="437"/>
        <v>0</v>
      </c>
      <c r="BR89" s="62">
        <f t="shared" si="437"/>
        <v>0</v>
      </c>
      <c r="BS89" s="62">
        <f t="shared" si="437"/>
        <v>0</v>
      </c>
      <c r="BT89" s="62">
        <f t="shared" si="437"/>
        <v>0</v>
      </c>
      <c r="BU89" s="62">
        <f t="shared" si="437"/>
        <v>0</v>
      </c>
      <c r="BV89" s="62">
        <f t="shared" si="437"/>
        <v>0</v>
      </c>
      <c r="BW89" s="62">
        <f t="shared" si="437"/>
        <v>0</v>
      </c>
      <c r="BX89" s="62">
        <f t="shared" si="437"/>
        <v>0</v>
      </c>
      <c r="BY89" s="190">
        <f t="shared" si="427"/>
        <v>1058190</v>
      </c>
      <c r="BZ89" s="196">
        <f>SUM(BZ90:BZ91)</f>
        <v>2.4246561123701937E-2</v>
      </c>
      <c r="CA89" s="62">
        <f t="shared" ref="CA89:CL89" si="438">SUM(CA90:CA91)</f>
        <v>0</v>
      </c>
      <c r="CB89" s="62">
        <f t="shared" si="438"/>
        <v>0</v>
      </c>
      <c r="CC89" s="62">
        <f t="shared" si="438"/>
        <v>0</v>
      </c>
      <c r="CD89" s="62">
        <f t="shared" si="438"/>
        <v>0</v>
      </c>
      <c r="CE89" s="62">
        <f t="shared" si="438"/>
        <v>0</v>
      </c>
      <c r="CF89" s="62">
        <f t="shared" si="438"/>
        <v>0</v>
      </c>
      <c r="CG89" s="62">
        <f t="shared" si="438"/>
        <v>0</v>
      </c>
      <c r="CH89" s="62">
        <f t="shared" si="438"/>
        <v>0</v>
      </c>
      <c r="CI89" s="62">
        <f t="shared" si="438"/>
        <v>0</v>
      </c>
      <c r="CJ89" s="62">
        <f t="shared" si="438"/>
        <v>0</v>
      </c>
      <c r="CK89" s="62">
        <f t="shared" si="438"/>
        <v>0</v>
      </c>
      <c r="CL89" s="62">
        <f t="shared" si="438"/>
        <v>0</v>
      </c>
      <c r="CM89" s="190">
        <f t="shared" si="428"/>
        <v>0</v>
      </c>
      <c r="CN89" s="62">
        <f t="shared" ref="CN89:CY89" si="439">SUM(CN90:CN91)</f>
        <v>0</v>
      </c>
      <c r="CO89" s="62">
        <f t="shared" si="439"/>
        <v>0</v>
      </c>
      <c r="CP89" s="62">
        <f t="shared" si="439"/>
        <v>0</v>
      </c>
      <c r="CQ89" s="62">
        <f t="shared" si="439"/>
        <v>0</v>
      </c>
      <c r="CR89" s="62">
        <f t="shared" si="439"/>
        <v>0</v>
      </c>
      <c r="CS89" s="62">
        <f t="shared" si="439"/>
        <v>0</v>
      </c>
      <c r="CT89" s="62">
        <f t="shared" si="439"/>
        <v>0</v>
      </c>
      <c r="CU89" s="62">
        <f t="shared" si="439"/>
        <v>0</v>
      </c>
      <c r="CV89" s="62">
        <f t="shared" si="439"/>
        <v>0</v>
      </c>
      <c r="CW89" s="62">
        <f t="shared" si="439"/>
        <v>0</v>
      </c>
      <c r="CX89" s="62">
        <f t="shared" si="439"/>
        <v>0</v>
      </c>
      <c r="CY89" s="62">
        <f t="shared" si="439"/>
        <v>0</v>
      </c>
      <c r="CZ89" s="190">
        <f t="shared" si="429"/>
        <v>0</v>
      </c>
      <c r="DA89" s="62">
        <f t="shared" ref="DA89:DL89" si="440">SUM(DA90:DA91)</f>
        <v>0</v>
      </c>
      <c r="DB89" s="62">
        <f t="shared" si="440"/>
        <v>0</v>
      </c>
      <c r="DC89" s="62">
        <f t="shared" si="440"/>
        <v>0</v>
      </c>
      <c r="DD89" s="62">
        <f t="shared" si="440"/>
        <v>0</v>
      </c>
      <c r="DE89" s="62">
        <f t="shared" si="440"/>
        <v>0</v>
      </c>
      <c r="DF89" s="62">
        <f t="shared" si="440"/>
        <v>0</v>
      </c>
      <c r="DG89" s="62">
        <f t="shared" si="440"/>
        <v>0</v>
      </c>
      <c r="DH89" s="62">
        <f t="shared" si="440"/>
        <v>0</v>
      </c>
      <c r="DI89" s="62">
        <f t="shared" si="440"/>
        <v>0</v>
      </c>
      <c r="DJ89" s="62">
        <f t="shared" si="440"/>
        <v>0</v>
      </c>
      <c r="DK89" s="62">
        <f t="shared" si="440"/>
        <v>0</v>
      </c>
      <c r="DL89" s="62">
        <f t="shared" si="440"/>
        <v>0</v>
      </c>
      <c r="DM89" s="190">
        <f t="shared" si="430"/>
        <v>0</v>
      </c>
      <c r="DN89" s="62">
        <f t="shared" ref="DN89:DQ89" si="441">SUM(DN90:DN91)</f>
        <v>0</v>
      </c>
      <c r="DO89" s="62">
        <f t="shared" si="441"/>
        <v>0</v>
      </c>
      <c r="DP89" s="62">
        <f t="shared" si="441"/>
        <v>0</v>
      </c>
      <c r="DQ89" s="62">
        <f t="shared" si="441"/>
        <v>0</v>
      </c>
      <c r="DR89" s="62">
        <f t="shared" ref="DR89:DU89" si="442">SUM(DR90:DR91)</f>
        <v>0</v>
      </c>
      <c r="DS89" s="62">
        <f t="shared" si="442"/>
        <v>0</v>
      </c>
      <c r="DT89" s="62">
        <f t="shared" si="442"/>
        <v>0</v>
      </c>
      <c r="DU89" s="62">
        <f t="shared" si="442"/>
        <v>0</v>
      </c>
      <c r="DV89" s="62">
        <f t="shared" ref="DV89:DW89" si="443">SUM(DV90:DV91)</f>
        <v>0</v>
      </c>
      <c r="DW89" s="62">
        <f t="shared" si="443"/>
        <v>0</v>
      </c>
      <c r="DX89" s="62">
        <f t="shared" si="432"/>
        <v>0</v>
      </c>
      <c r="DY89" s="62">
        <f t="shared" ref="DY89" si="444">SUM(DY90:DY91)</f>
        <v>0</v>
      </c>
      <c r="DZ89" s="190">
        <f t="shared" si="431"/>
        <v>0</v>
      </c>
    </row>
    <row r="90" spans="1:130" ht="20.45" customHeight="1" outlineLevel="2">
      <c r="A90" s="662"/>
      <c r="B90" s="636"/>
      <c r="C90" s="30" t="s">
        <v>352</v>
      </c>
      <c r="D90" s="62">
        <f t="shared" si="345"/>
        <v>2560916</v>
      </c>
      <c r="E90" s="184">
        <f t="shared" si="179"/>
        <v>7.9234827470776054E-3</v>
      </c>
      <c r="F90" s="62">
        <v>0</v>
      </c>
      <c r="G90" s="190">
        <f t="shared" si="433"/>
        <v>0</v>
      </c>
      <c r="H90" s="197">
        <f t="shared" ref="H90:H91" si="445">G90/(G$5+G$6+G$7+G$8+G$10+G$9)</f>
        <v>0</v>
      </c>
      <c r="I90" s="62">
        <v>0</v>
      </c>
      <c r="J90" s="62">
        <v>0</v>
      </c>
      <c r="K90" s="62">
        <v>0</v>
      </c>
      <c r="L90" s="62">
        <v>0</v>
      </c>
      <c r="M90" s="62">
        <v>184670</v>
      </c>
      <c r="N90" s="62">
        <v>0</v>
      </c>
      <c r="O90" s="62">
        <v>0</v>
      </c>
      <c r="P90" s="62">
        <v>0</v>
      </c>
      <c r="Q90" s="62">
        <v>0</v>
      </c>
      <c r="R90" s="62">
        <v>0</v>
      </c>
      <c r="S90" s="62">
        <v>0</v>
      </c>
      <c r="T90" s="62">
        <v>0</v>
      </c>
      <c r="U90" s="190">
        <f t="shared" si="423"/>
        <v>184670</v>
      </c>
      <c r="V90" s="197">
        <f t="shared" ref="V90:V91" si="446">U90/(U$5+U$6+U$7+U$8+U$10+U$9)</f>
        <v>3.3285870581427754E-3</v>
      </c>
      <c r="W90" s="62">
        <v>0</v>
      </c>
      <c r="X90" s="62">
        <v>0</v>
      </c>
      <c r="Y90" s="62">
        <v>0</v>
      </c>
      <c r="Z90" s="62">
        <v>0</v>
      </c>
      <c r="AA90" s="62">
        <v>0</v>
      </c>
      <c r="AB90" s="62">
        <v>0</v>
      </c>
      <c r="AC90" s="62">
        <v>0</v>
      </c>
      <c r="AD90" s="62">
        <v>71415</v>
      </c>
      <c r="AE90" s="62">
        <v>0</v>
      </c>
      <c r="AF90" s="62">
        <v>0</v>
      </c>
      <c r="AG90" s="62">
        <v>0</v>
      </c>
      <c r="AH90" s="62">
        <v>214720</v>
      </c>
      <c r="AI90" s="190">
        <f t="shared" si="424"/>
        <v>286135</v>
      </c>
      <c r="AJ90" s="197">
        <f t="shared" ref="AJ90:AJ91" si="447">AI90/(AI$5+AI$6+AI$7+AI$8+AI$10+AI$9)</f>
        <v>3.8888291342785578E-3</v>
      </c>
      <c r="AK90" s="62">
        <v>0</v>
      </c>
      <c r="AL90" s="62">
        <v>0</v>
      </c>
      <c r="AM90" s="62">
        <v>0</v>
      </c>
      <c r="AN90" s="62">
        <v>0</v>
      </c>
      <c r="AO90" s="62">
        <v>0</v>
      </c>
      <c r="AP90" s="62">
        <f>99000</f>
        <v>99000</v>
      </c>
      <c r="AQ90" s="62">
        <v>0</v>
      </c>
      <c r="AR90" s="62">
        <v>0</v>
      </c>
      <c r="AS90" s="62">
        <v>0</v>
      </c>
      <c r="AT90" s="62">
        <f>5000</f>
        <v>5000</v>
      </c>
      <c r="AU90" s="62">
        <f>28800</f>
        <v>28800</v>
      </c>
      <c r="AV90" s="62">
        <v>0</v>
      </c>
      <c r="AW90" s="190">
        <f t="shared" si="425"/>
        <v>132800</v>
      </c>
      <c r="AX90" s="197">
        <f t="shared" ref="AX90:AX91" si="448">AW90/(AW$5+AW$6+AW$7+AW$8+AW$10+AW$9)</f>
        <v>1.7407869408261032E-3</v>
      </c>
      <c r="AY90" s="62">
        <f>132170+49500</f>
        <v>181670</v>
      </c>
      <c r="AZ90" s="62">
        <v>0</v>
      </c>
      <c r="BA90" s="62">
        <f>66130</f>
        <v>66130</v>
      </c>
      <c r="BB90" s="62">
        <f>163100</f>
        <v>163100</v>
      </c>
      <c r="BC90" s="62">
        <f>91421</f>
        <v>91421</v>
      </c>
      <c r="BD90" s="62">
        <v>0</v>
      </c>
      <c r="BE90" s="62">
        <v>0</v>
      </c>
      <c r="BF90" s="62">
        <v>0</v>
      </c>
      <c r="BG90" s="62">
        <v>0</v>
      </c>
      <c r="BH90" s="62">
        <f>506700</f>
        <v>506700</v>
      </c>
      <c r="BI90" s="62">
        <f>45600</f>
        <v>45600</v>
      </c>
      <c r="BJ90" s="62">
        <f>49000</f>
        <v>49000</v>
      </c>
      <c r="BK90" s="190">
        <f t="shared" si="426"/>
        <v>1103621</v>
      </c>
      <c r="BL90" s="197">
        <f t="shared" ref="BL90:BL91" si="449">BK90/(BK$5+BK$6+BK$7+BK$8+BK$10+BK$9)</f>
        <v>1.5802354735150789E-2</v>
      </c>
      <c r="BM90" s="62">
        <f>63650+49000-63650+117850+121440+47000</f>
        <v>335290</v>
      </c>
      <c r="BN90" s="62">
        <f>518400</f>
        <v>518400</v>
      </c>
      <c r="BO90" s="62">
        <v>0</v>
      </c>
      <c r="BP90" s="62">
        <v>0</v>
      </c>
      <c r="BQ90" s="62">
        <v>0</v>
      </c>
      <c r="BR90" s="62">
        <v>0</v>
      </c>
      <c r="BS90" s="62">
        <v>0</v>
      </c>
      <c r="BT90" s="62">
        <v>0</v>
      </c>
      <c r="BU90" s="62">
        <v>0</v>
      </c>
      <c r="BV90" s="62">
        <v>0</v>
      </c>
      <c r="BW90" s="62">
        <v>0</v>
      </c>
      <c r="BX90" s="62">
        <v>0</v>
      </c>
      <c r="BY90" s="190">
        <f t="shared" si="427"/>
        <v>853690</v>
      </c>
      <c r="BZ90" s="197">
        <f t="shared" ref="BZ90:BZ91" si="450">BY90/(BY$5+BY$6+BY$7+BY$8+BY$10+BY$9)</f>
        <v>1.9560803603977647E-2</v>
      </c>
      <c r="CA90" s="62">
        <v>0</v>
      </c>
      <c r="CB90" s="62">
        <v>0</v>
      </c>
      <c r="CC90" s="62">
        <v>0</v>
      </c>
      <c r="CD90" s="62">
        <v>0</v>
      </c>
      <c r="CE90" s="62">
        <v>0</v>
      </c>
      <c r="CF90" s="62">
        <v>0</v>
      </c>
      <c r="CG90" s="62">
        <v>0</v>
      </c>
      <c r="CH90" s="62">
        <v>0</v>
      </c>
      <c r="CI90" s="62">
        <v>0</v>
      </c>
      <c r="CJ90" s="62">
        <v>0</v>
      </c>
      <c r="CK90" s="62">
        <v>0</v>
      </c>
      <c r="CL90" s="62">
        <v>0</v>
      </c>
      <c r="CM90" s="190">
        <f t="shared" si="428"/>
        <v>0</v>
      </c>
      <c r="CN90" s="62">
        <v>0</v>
      </c>
      <c r="CO90" s="62">
        <v>0</v>
      </c>
      <c r="CP90" s="62">
        <v>0</v>
      </c>
      <c r="CQ90" s="62">
        <v>0</v>
      </c>
      <c r="CR90" s="62">
        <v>0</v>
      </c>
      <c r="CS90" s="62">
        <v>0</v>
      </c>
      <c r="CT90" s="62">
        <v>0</v>
      </c>
      <c r="CU90" s="62">
        <v>0</v>
      </c>
      <c r="CV90" s="62">
        <v>0</v>
      </c>
      <c r="CW90" s="62">
        <v>0</v>
      </c>
      <c r="CX90" s="62">
        <v>0</v>
      </c>
      <c r="CY90" s="62">
        <v>0</v>
      </c>
      <c r="CZ90" s="190">
        <f t="shared" si="429"/>
        <v>0</v>
      </c>
      <c r="DA90" s="62">
        <v>0</v>
      </c>
      <c r="DB90" s="62">
        <v>0</v>
      </c>
      <c r="DC90" s="62">
        <v>0</v>
      </c>
      <c r="DD90" s="62">
        <v>0</v>
      </c>
      <c r="DE90" s="62">
        <v>0</v>
      </c>
      <c r="DF90" s="62">
        <v>0</v>
      </c>
      <c r="DG90" s="62">
        <v>0</v>
      </c>
      <c r="DH90" s="62">
        <v>0</v>
      </c>
      <c r="DI90" s="62">
        <v>0</v>
      </c>
      <c r="DJ90" s="62">
        <v>0</v>
      </c>
      <c r="DK90" s="62">
        <v>0</v>
      </c>
      <c r="DL90" s="62">
        <v>0</v>
      </c>
      <c r="DM90" s="190">
        <f t="shared" si="430"/>
        <v>0</v>
      </c>
      <c r="DN90" s="62">
        <v>0</v>
      </c>
      <c r="DO90" s="62">
        <v>0</v>
      </c>
      <c r="DP90" s="62">
        <v>0</v>
      </c>
      <c r="DQ90" s="62">
        <v>0</v>
      </c>
      <c r="DR90" s="62">
        <v>0</v>
      </c>
      <c r="DS90" s="62">
        <v>0</v>
      </c>
      <c r="DT90" s="62">
        <v>0</v>
      </c>
      <c r="DU90" s="62">
        <v>0</v>
      </c>
      <c r="DV90" s="62">
        <v>0</v>
      </c>
      <c r="DW90" s="62">
        <v>0</v>
      </c>
      <c r="DX90" s="62">
        <v>0</v>
      </c>
      <c r="DY90" s="62">
        <v>0</v>
      </c>
      <c r="DZ90" s="190">
        <f t="shared" si="431"/>
        <v>0</v>
      </c>
    </row>
    <row r="91" spans="1:130" ht="20.45" customHeight="1" outlineLevel="2">
      <c r="A91" s="662"/>
      <c r="B91" s="637"/>
      <c r="C91" s="30" t="s">
        <v>1928</v>
      </c>
      <c r="D91" s="62">
        <f t="shared" si="345"/>
        <v>1995942.0000000005</v>
      </c>
      <c r="E91" s="184">
        <f t="shared" ref="E91" si="451">D91/(D$5+D$6+D$7+D$8+D$10+D$9)</f>
        <v>6.1754512842934215E-3</v>
      </c>
      <c r="F91" s="62">
        <v>23000</v>
      </c>
      <c r="G91" s="190">
        <f t="shared" si="433"/>
        <v>23000</v>
      </c>
      <c r="H91" s="197">
        <f t="shared" si="445"/>
        <v>5.2536544306009385E-3</v>
      </c>
      <c r="I91" s="62">
        <v>4000</v>
      </c>
      <c r="J91" s="62">
        <v>30000</v>
      </c>
      <c r="K91" s="62">
        <v>0</v>
      </c>
      <c r="L91" s="62">
        <v>0</v>
      </c>
      <c r="M91" s="62">
        <v>50000</v>
      </c>
      <c r="N91" s="62">
        <v>90000</v>
      </c>
      <c r="O91" s="62">
        <v>0</v>
      </c>
      <c r="P91" s="62">
        <v>53000</v>
      </c>
      <c r="Q91" s="62">
        <v>22000</v>
      </c>
      <c r="R91" s="62">
        <v>0</v>
      </c>
      <c r="S91" s="62">
        <v>0</v>
      </c>
      <c r="T91" s="62">
        <v>0</v>
      </c>
      <c r="U91" s="190">
        <f t="shared" si="423"/>
        <v>249000</v>
      </c>
      <c r="V91" s="197">
        <f t="shared" si="446"/>
        <v>4.4881040638845024E-3</v>
      </c>
      <c r="W91" s="62">
        <v>20000</v>
      </c>
      <c r="X91" s="62">
        <v>28000</v>
      </c>
      <c r="Y91" s="62">
        <v>0</v>
      </c>
      <c r="Z91" s="62">
        <v>0</v>
      </c>
      <c r="AA91" s="62">
        <v>75000</v>
      </c>
      <c r="AB91" s="62">
        <v>7000</v>
      </c>
      <c r="AC91" s="62">
        <v>0</v>
      </c>
      <c r="AD91" s="62">
        <v>12000</v>
      </c>
      <c r="AE91" s="62">
        <v>33000</v>
      </c>
      <c r="AF91" s="62">
        <v>0</v>
      </c>
      <c r="AG91" s="62">
        <v>0</v>
      </c>
      <c r="AH91" s="62">
        <f>40000+600000+16000</f>
        <v>656000</v>
      </c>
      <c r="AI91" s="190">
        <f t="shared" si="424"/>
        <v>831000</v>
      </c>
      <c r="AJ91" s="197">
        <f t="shared" si="447"/>
        <v>1.1294029079230019E-2</v>
      </c>
      <c r="AK91" s="62">
        <f>8000</f>
        <v>8000</v>
      </c>
      <c r="AL91" s="62">
        <v>30000</v>
      </c>
      <c r="AM91" s="62">
        <f>15000+39580+20000</f>
        <v>74580</v>
      </c>
      <c r="AN91" s="62">
        <v>20000</v>
      </c>
      <c r="AO91" s="62">
        <f>36000</f>
        <v>36000</v>
      </c>
      <c r="AP91" s="62">
        <v>0</v>
      </c>
      <c r="AQ91" s="62">
        <v>15000</v>
      </c>
      <c r="AR91" s="62">
        <v>0</v>
      </c>
      <c r="AS91" s="62">
        <f>10000</f>
        <v>10000</v>
      </c>
      <c r="AT91" s="62">
        <f>26000+35168</f>
        <v>61168</v>
      </c>
      <c r="AU91" s="62">
        <v>51900</v>
      </c>
      <c r="AV91" s="62">
        <v>0</v>
      </c>
      <c r="AW91" s="190">
        <f t="shared" si="425"/>
        <v>306648</v>
      </c>
      <c r="AX91" s="197">
        <f t="shared" si="448"/>
        <v>4.0196448330605643E-3</v>
      </c>
      <c r="AY91" s="62">
        <f>41755+50600</f>
        <v>92355</v>
      </c>
      <c r="AZ91" s="62">
        <v>0</v>
      </c>
      <c r="BA91" s="62">
        <f>56764</f>
        <v>56764</v>
      </c>
      <c r="BB91" s="62">
        <f>10000</f>
        <v>10000</v>
      </c>
      <c r="BC91" s="62">
        <f>38100</f>
        <v>38100</v>
      </c>
      <c r="BD91" s="62">
        <f>27175</f>
        <v>27175</v>
      </c>
      <c r="BE91" s="62">
        <v>0</v>
      </c>
      <c r="BF91" s="62">
        <v>0</v>
      </c>
      <c r="BG91" s="62">
        <f>43000</f>
        <v>43000</v>
      </c>
      <c r="BH91" s="62">
        <f>38800</f>
        <v>38800</v>
      </c>
      <c r="BI91" s="62">
        <f>37600</f>
        <v>37600</v>
      </c>
      <c r="BJ91" s="62">
        <f>38000</f>
        <v>38000</v>
      </c>
      <c r="BK91" s="190">
        <f t="shared" si="426"/>
        <v>381794</v>
      </c>
      <c r="BL91" s="197">
        <f t="shared" si="449"/>
        <v>5.4667718571431313E-3</v>
      </c>
      <c r="BM91" s="62">
        <v>0</v>
      </c>
      <c r="BN91" s="62">
        <f>66300+56300</f>
        <v>122600</v>
      </c>
      <c r="BO91" s="62">
        <f>38900</f>
        <v>38900</v>
      </c>
      <c r="BP91" s="62">
        <f>43000</f>
        <v>43000</v>
      </c>
      <c r="BQ91" s="62">
        <v>0</v>
      </c>
      <c r="BR91" s="62">
        <v>0</v>
      </c>
      <c r="BS91" s="62">
        <v>0</v>
      </c>
      <c r="BT91" s="62">
        <v>0</v>
      </c>
      <c r="BU91" s="62">
        <v>0</v>
      </c>
      <c r="BV91" s="62">
        <v>0</v>
      </c>
      <c r="BW91" s="62">
        <v>0</v>
      </c>
      <c r="BX91" s="62">
        <v>0</v>
      </c>
      <c r="BY91" s="190">
        <f t="shared" si="427"/>
        <v>204500</v>
      </c>
      <c r="BZ91" s="197">
        <f t="shared" si="450"/>
        <v>4.6857575197242892E-3</v>
      </c>
      <c r="CA91" s="62">
        <v>0</v>
      </c>
      <c r="CB91" s="62">
        <v>0</v>
      </c>
      <c r="CC91" s="62">
        <v>0</v>
      </c>
      <c r="CD91" s="62">
        <v>0</v>
      </c>
      <c r="CE91" s="62">
        <v>0</v>
      </c>
      <c r="CF91" s="62">
        <v>0</v>
      </c>
      <c r="CG91" s="62">
        <v>0</v>
      </c>
      <c r="CH91" s="62">
        <v>0</v>
      </c>
      <c r="CI91" s="62">
        <v>0</v>
      </c>
      <c r="CJ91" s="62">
        <v>0</v>
      </c>
      <c r="CK91" s="62">
        <v>0</v>
      </c>
      <c r="CL91" s="62">
        <v>0</v>
      </c>
      <c r="CM91" s="190">
        <f t="shared" si="428"/>
        <v>0</v>
      </c>
      <c r="CN91" s="62">
        <v>0</v>
      </c>
      <c r="CO91" s="62">
        <v>0</v>
      </c>
      <c r="CP91" s="62">
        <v>0</v>
      </c>
      <c r="CQ91" s="62">
        <v>0</v>
      </c>
      <c r="CR91" s="62">
        <v>0</v>
      </c>
      <c r="CS91" s="62">
        <v>0</v>
      </c>
      <c r="CT91" s="62">
        <v>0</v>
      </c>
      <c r="CU91" s="62">
        <v>0</v>
      </c>
      <c r="CV91" s="62">
        <v>0</v>
      </c>
      <c r="CW91" s="62">
        <v>0</v>
      </c>
      <c r="CX91" s="62">
        <v>0</v>
      </c>
      <c r="CY91" s="62">
        <v>0</v>
      </c>
      <c r="CZ91" s="190">
        <f t="shared" si="429"/>
        <v>0</v>
      </c>
      <c r="DA91" s="62">
        <v>0</v>
      </c>
      <c r="DB91" s="62">
        <v>0</v>
      </c>
      <c r="DC91" s="62">
        <v>0</v>
      </c>
      <c r="DD91" s="62">
        <v>0</v>
      </c>
      <c r="DE91" s="62">
        <v>0</v>
      </c>
      <c r="DF91" s="62">
        <v>0</v>
      </c>
      <c r="DG91" s="62">
        <v>0</v>
      </c>
      <c r="DH91" s="62">
        <v>0</v>
      </c>
      <c r="DI91" s="62">
        <v>0</v>
      </c>
      <c r="DJ91" s="62">
        <v>0</v>
      </c>
      <c r="DK91" s="62">
        <v>0</v>
      </c>
      <c r="DL91" s="62">
        <v>0</v>
      </c>
      <c r="DM91" s="190">
        <f t="shared" si="430"/>
        <v>0</v>
      </c>
      <c r="DN91" s="62">
        <v>0</v>
      </c>
      <c r="DO91" s="62">
        <v>0</v>
      </c>
      <c r="DP91" s="62">
        <v>0</v>
      </c>
      <c r="DQ91" s="62">
        <v>0</v>
      </c>
      <c r="DR91" s="62">
        <v>0</v>
      </c>
      <c r="DS91" s="62">
        <v>0</v>
      </c>
      <c r="DT91" s="62">
        <v>0</v>
      </c>
      <c r="DU91" s="62">
        <v>0</v>
      </c>
      <c r="DV91" s="62">
        <v>0</v>
      </c>
      <c r="DW91" s="62">
        <v>0</v>
      </c>
      <c r="DX91" s="62">
        <v>0</v>
      </c>
      <c r="DY91" s="62">
        <v>0</v>
      </c>
      <c r="DZ91" s="190">
        <f t="shared" si="431"/>
        <v>0</v>
      </c>
    </row>
    <row r="92" spans="1:130" s="194" customFormat="1" ht="20.45" customHeight="1" outlineLevel="1">
      <c r="A92" s="662"/>
      <c r="B92" s="645" t="s">
        <v>353</v>
      </c>
      <c r="C92" s="65" t="s">
        <v>307</v>
      </c>
      <c r="D92" s="66">
        <f t="shared" si="345"/>
        <v>4260759.9999999981</v>
      </c>
      <c r="E92" s="187">
        <f>SUM(E93:E94)</f>
        <v>1.318280582004188E-2</v>
      </c>
      <c r="F92" s="62">
        <f>SUM(F93:F94)</f>
        <v>11100</v>
      </c>
      <c r="G92" s="190">
        <f t="shared" si="433"/>
        <v>11100</v>
      </c>
      <c r="H92" s="196">
        <f t="shared" ref="H92:T92" si="452">SUM(H93:H94)</f>
        <v>2.5354593121595832E-3</v>
      </c>
      <c r="I92" s="62">
        <f t="shared" si="452"/>
        <v>0</v>
      </c>
      <c r="J92" s="62">
        <f t="shared" si="452"/>
        <v>0</v>
      </c>
      <c r="K92" s="62">
        <f t="shared" si="452"/>
        <v>25000</v>
      </c>
      <c r="L92" s="62">
        <f t="shared" si="452"/>
        <v>8500</v>
      </c>
      <c r="M92" s="62">
        <f t="shared" si="452"/>
        <v>0</v>
      </c>
      <c r="N92" s="62">
        <f t="shared" si="452"/>
        <v>0</v>
      </c>
      <c r="O92" s="62">
        <f t="shared" si="452"/>
        <v>221400</v>
      </c>
      <c r="P92" s="62">
        <f t="shared" si="452"/>
        <v>0</v>
      </c>
      <c r="Q92" s="62">
        <f t="shared" si="452"/>
        <v>5500</v>
      </c>
      <c r="R92" s="62">
        <f t="shared" si="452"/>
        <v>220000</v>
      </c>
      <c r="S92" s="62">
        <f t="shared" si="452"/>
        <v>5800</v>
      </c>
      <c r="T92" s="62">
        <f t="shared" si="452"/>
        <v>12200</v>
      </c>
      <c r="U92" s="190">
        <f t="shared" si="423"/>
        <v>498400</v>
      </c>
      <c r="V92" s="196">
        <f t="shared" ref="V92" si="453">SUM(V93:V94)</f>
        <v>8.9834179334941193E-3</v>
      </c>
      <c r="W92" s="62">
        <f t="shared" ref="W92:AH92" si="454">SUM(W93:W94)</f>
        <v>10600</v>
      </c>
      <c r="X92" s="62">
        <f t="shared" si="454"/>
        <v>7200</v>
      </c>
      <c r="Y92" s="62">
        <f t="shared" si="454"/>
        <v>0</v>
      </c>
      <c r="Z92" s="62">
        <f t="shared" si="454"/>
        <v>0</v>
      </c>
      <c r="AA92" s="62">
        <f t="shared" si="454"/>
        <v>4000</v>
      </c>
      <c r="AB92" s="62">
        <f t="shared" si="454"/>
        <v>58300</v>
      </c>
      <c r="AC92" s="62">
        <f t="shared" si="454"/>
        <v>46100</v>
      </c>
      <c r="AD92" s="62">
        <f t="shared" si="454"/>
        <v>7000</v>
      </c>
      <c r="AE92" s="62">
        <f t="shared" si="454"/>
        <v>59400</v>
      </c>
      <c r="AF92" s="62">
        <f t="shared" si="454"/>
        <v>0</v>
      </c>
      <c r="AG92" s="62">
        <f t="shared" si="454"/>
        <v>7500</v>
      </c>
      <c r="AH92" s="62">
        <f t="shared" si="454"/>
        <v>30100</v>
      </c>
      <c r="AI92" s="190">
        <f t="shared" si="424"/>
        <v>230200</v>
      </c>
      <c r="AJ92" s="196">
        <f t="shared" ref="AJ92" si="455">SUM(AJ93:AJ94)</f>
        <v>3.1286227365087248E-3</v>
      </c>
      <c r="AK92" s="62">
        <f t="shared" ref="AK92:AV92" si="456">SUM(AK93:AK94)</f>
        <v>5000</v>
      </c>
      <c r="AL92" s="62">
        <f t="shared" si="456"/>
        <v>6500</v>
      </c>
      <c r="AM92" s="62">
        <f t="shared" si="456"/>
        <v>35100</v>
      </c>
      <c r="AN92" s="62">
        <f t="shared" si="456"/>
        <v>414300</v>
      </c>
      <c r="AO92" s="62">
        <f t="shared" si="456"/>
        <v>152000</v>
      </c>
      <c r="AP92" s="62">
        <f t="shared" si="456"/>
        <v>68500</v>
      </c>
      <c r="AQ92" s="62">
        <f t="shared" si="456"/>
        <v>51300</v>
      </c>
      <c r="AR92" s="62">
        <f t="shared" si="456"/>
        <v>100000</v>
      </c>
      <c r="AS92" s="62">
        <f t="shared" si="456"/>
        <v>31730</v>
      </c>
      <c r="AT92" s="62">
        <f t="shared" si="456"/>
        <v>316090</v>
      </c>
      <c r="AU92" s="62">
        <f t="shared" si="456"/>
        <v>124800</v>
      </c>
      <c r="AV92" s="62">
        <f t="shared" si="456"/>
        <v>122900</v>
      </c>
      <c r="AW92" s="190">
        <f t="shared" si="425"/>
        <v>1428220</v>
      </c>
      <c r="AX92" s="196">
        <f t="shared" ref="AX92" si="457">SUM(AX93:AX94)</f>
        <v>1.8721586781827237E-2</v>
      </c>
      <c r="AY92" s="62">
        <f t="shared" ref="AY92:BJ92" si="458">SUM(AY93:AY94)</f>
        <v>0</v>
      </c>
      <c r="AZ92" s="62">
        <f t="shared" si="458"/>
        <v>154900</v>
      </c>
      <c r="BA92" s="62">
        <f t="shared" si="458"/>
        <v>77900</v>
      </c>
      <c r="BB92" s="62">
        <f t="shared" si="458"/>
        <v>0</v>
      </c>
      <c r="BC92" s="62">
        <f t="shared" si="458"/>
        <v>65500</v>
      </c>
      <c r="BD92" s="62">
        <f t="shared" si="458"/>
        <v>2700</v>
      </c>
      <c r="BE92" s="62">
        <f t="shared" si="458"/>
        <v>536880</v>
      </c>
      <c r="BF92" s="62">
        <f t="shared" si="458"/>
        <v>34800</v>
      </c>
      <c r="BG92" s="62">
        <f t="shared" si="458"/>
        <v>648380</v>
      </c>
      <c r="BH92" s="62">
        <f t="shared" si="458"/>
        <v>55200</v>
      </c>
      <c r="BI92" s="62">
        <f t="shared" si="458"/>
        <v>0</v>
      </c>
      <c r="BJ92" s="62">
        <f t="shared" si="458"/>
        <v>255280</v>
      </c>
      <c r="BK92" s="190">
        <f t="shared" si="426"/>
        <v>1831540</v>
      </c>
      <c r="BL92" s="196">
        <f t="shared" ref="BL92" si="459">SUM(BL93:BL94)</f>
        <v>2.6225166784265678E-2</v>
      </c>
      <c r="BM92" s="62">
        <f t="shared" ref="BM92:BX92" si="460">SUM(BM93:BM94)</f>
        <v>228800</v>
      </c>
      <c r="BN92" s="62">
        <f t="shared" si="460"/>
        <v>14700</v>
      </c>
      <c r="BO92" s="62">
        <f t="shared" si="460"/>
        <v>0</v>
      </c>
      <c r="BP92" s="62">
        <f t="shared" si="460"/>
        <v>10800</v>
      </c>
      <c r="BQ92" s="62">
        <f t="shared" si="460"/>
        <v>7000</v>
      </c>
      <c r="BR92" s="62">
        <f t="shared" si="460"/>
        <v>0</v>
      </c>
      <c r="BS92" s="62">
        <f t="shared" si="460"/>
        <v>0</v>
      </c>
      <c r="BT92" s="62">
        <f t="shared" si="460"/>
        <v>0</v>
      </c>
      <c r="BU92" s="62">
        <f t="shared" si="460"/>
        <v>0</v>
      </c>
      <c r="BV92" s="62">
        <f t="shared" si="460"/>
        <v>0</v>
      </c>
      <c r="BW92" s="62">
        <f t="shared" si="460"/>
        <v>0</v>
      </c>
      <c r="BX92" s="62">
        <f t="shared" si="460"/>
        <v>0</v>
      </c>
      <c r="BY92" s="190">
        <f t="shared" si="427"/>
        <v>261300</v>
      </c>
      <c r="BZ92" s="196">
        <f t="shared" ref="BZ92" si="461">SUM(BZ93:BZ94)</f>
        <v>5.9872295349826738E-3</v>
      </c>
      <c r="CA92" s="62">
        <f t="shared" ref="CA92:CL92" si="462">SUM(CA93:CA94)</f>
        <v>0</v>
      </c>
      <c r="CB92" s="62">
        <f t="shared" si="462"/>
        <v>0</v>
      </c>
      <c r="CC92" s="62">
        <f t="shared" si="462"/>
        <v>0</v>
      </c>
      <c r="CD92" s="62">
        <f t="shared" si="462"/>
        <v>0</v>
      </c>
      <c r="CE92" s="62">
        <f t="shared" si="462"/>
        <v>0</v>
      </c>
      <c r="CF92" s="62">
        <f t="shared" si="462"/>
        <v>0</v>
      </c>
      <c r="CG92" s="62">
        <f t="shared" si="462"/>
        <v>0</v>
      </c>
      <c r="CH92" s="62">
        <f t="shared" si="462"/>
        <v>0</v>
      </c>
      <c r="CI92" s="62">
        <f t="shared" si="462"/>
        <v>0</v>
      </c>
      <c r="CJ92" s="62">
        <f t="shared" si="462"/>
        <v>0</v>
      </c>
      <c r="CK92" s="62">
        <f t="shared" si="462"/>
        <v>0</v>
      </c>
      <c r="CL92" s="62">
        <f t="shared" si="462"/>
        <v>0</v>
      </c>
      <c r="CM92" s="190">
        <f t="shared" si="428"/>
        <v>0</v>
      </c>
      <c r="CN92" s="62">
        <f t="shared" ref="CN92:CY92" si="463">SUM(CN93:CN94)</f>
        <v>0</v>
      </c>
      <c r="CO92" s="62">
        <f t="shared" si="463"/>
        <v>0</v>
      </c>
      <c r="CP92" s="62">
        <f t="shared" si="463"/>
        <v>0</v>
      </c>
      <c r="CQ92" s="62">
        <f t="shared" si="463"/>
        <v>0</v>
      </c>
      <c r="CR92" s="62">
        <f t="shared" si="463"/>
        <v>0</v>
      </c>
      <c r="CS92" s="62">
        <f t="shared" si="463"/>
        <v>0</v>
      </c>
      <c r="CT92" s="62">
        <f t="shared" si="463"/>
        <v>0</v>
      </c>
      <c r="CU92" s="62">
        <f t="shared" si="463"/>
        <v>0</v>
      </c>
      <c r="CV92" s="62">
        <f t="shared" si="463"/>
        <v>0</v>
      </c>
      <c r="CW92" s="62">
        <f t="shared" si="463"/>
        <v>0</v>
      </c>
      <c r="CX92" s="62">
        <f t="shared" si="463"/>
        <v>0</v>
      </c>
      <c r="CY92" s="62">
        <f t="shared" si="463"/>
        <v>0</v>
      </c>
      <c r="CZ92" s="190">
        <f t="shared" si="429"/>
        <v>0</v>
      </c>
      <c r="DA92" s="62">
        <f t="shared" ref="DA92:DL92" si="464">SUM(DA93:DA94)</f>
        <v>0</v>
      </c>
      <c r="DB92" s="62">
        <f t="shared" si="464"/>
        <v>0</v>
      </c>
      <c r="DC92" s="62">
        <f t="shared" si="464"/>
        <v>0</v>
      </c>
      <c r="DD92" s="62">
        <f t="shared" si="464"/>
        <v>0</v>
      </c>
      <c r="DE92" s="62">
        <f t="shared" si="464"/>
        <v>0</v>
      </c>
      <c r="DF92" s="62">
        <f t="shared" si="464"/>
        <v>0</v>
      </c>
      <c r="DG92" s="62">
        <f t="shared" si="464"/>
        <v>0</v>
      </c>
      <c r="DH92" s="62">
        <f t="shared" si="464"/>
        <v>0</v>
      </c>
      <c r="DI92" s="62">
        <f t="shared" si="464"/>
        <v>0</v>
      </c>
      <c r="DJ92" s="62">
        <f t="shared" si="464"/>
        <v>0</v>
      </c>
      <c r="DK92" s="62">
        <f t="shared" si="464"/>
        <v>0</v>
      </c>
      <c r="DL92" s="62">
        <f t="shared" si="464"/>
        <v>0</v>
      </c>
      <c r="DM92" s="190">
        <f t="shared" si="430"/>
        <v>0</v>
      </c>
      <c r="DN92" s="62">
        <f t="shared" ref="DN92:DY92" si="465">SUM(DN93:DN94)</f>
        <v>0</v>
      </c>
      <c r="DO92" s="62">
        <f t="shared" si="465"/>
        <v>0</v>
      </c>
      <c r="DP92" s="62">
        <f t="shared" si="465"/>
        <v>0</v>
      </c>
      <c r="DQ92" s="62">
        <f t="shared" si="465"/>
        <v>0</v>
      </c>
      <c r="DR92" s="62">
        <f t="shared" si="465"/>
        <v>0</v>
      </c>
      <c r="DS92" s="62">
        <f t="shared" si="465"/>
        <v>0</v>
      </c>
      <c r="DT92" s="62">
        <f t="shared" si="465"/>
        <v>0</v>
      </c>
      <c r="DU92" s="62">
        <f t="shared" si="465"/>
        <v>0</v>
      </c>
      <c r="DV92" s="62">
        <f t="shared" si="465"/>
        <v>0</v>
      </c>
      <c r="DW92" s="62">
        <f t="shared" si="465"/>
        <v>0</v>
      </c>
      <c r="DX92" s="62">
        <f t="shared" si="465"/>
        <v>0</v>
      </c>
      <c r="DY92" s="62">
        <f t="shared" si="465"/>
        <v>0</v>
      </c>
      <c r="DZ92" s="190">
        <f t="shared" si="431"/>
        <v>0</v>
      </c>
    </row>
    <row r="93" spans="1:130" ht="20.45" customHeight="1" outlineLevel="2">
      <c r="A93" s="662"/>
      <c r="B93" s="636"/>
      <c r="C93" s="30" t="s">
        <v>354</v>
      </c>
      <c r="D93" s="62">
        <f t="shared" si="345"/>
        <v>350000.00000000006</v>
      </c>
      <c r="E93" s="184">
        <f t="shared" ref="E93:E94" si="466">D93/(D$5+D$6+D$7+D$8+D$10+D$9)</f>
        <v>1.0829011812481012E-3</v>
      </c>
      <c r="F93" s="62">
        <v>0</v>
      </c>
      <c r="G93" s="190">
        <f t="shared" si="433"/>
        <v>0</v>
      </c>
      <c r="H93" s="197">
        <f t="shared" ref="H93:H94" si="467">G93/(G$5+G$6+G$7+G$8+G$10+G$9)</f>
        <v>0</v>
      </c>
      <c r="I93" s="62">
        <v>0</v>
      </c>
      <c r="J93" s="62">
        <v>0</v>
      </c>
      <c r="K93" s="62">
        <v>0</v>
      </c>
      <c r="L93" s="62">
        <v>0</v>
      </c>
      <c r="M93" s="62">
        <v>0</v>
      </c>
      <c r="N93" s="62">
        <v>0</v>
      </c>
      <c r="O93" s="62">
        <v>0</v>
      </c>
      <c r="P93" s="62">
        <v>0</v>
      </c>
      <c r="Q93" s="62">
        <v>0</v>
      </c>
      <c r="R93" s="62">
        <v>220000</v>
      </c>
      <c r="S93" s="62">
        <v>0</v>
      </c>
      <c r="T93" s="62">
        <v>0</v>
      </c>
      <c r="U93" s="190">
        <f t="shared" si="423"/>
        <v>220000</v>
      </c>
      <c r="V93" s="197">
        <f t="shared" ref="V93:V94" si="468">U93/(U$5+U$6+U$7+U$8+U$10+U$9)</f>
        <v>3.9653931488136162E-3</v>
      </c>
      <c r="W93" s="62">
        <v>0</v>
      </c>
      <c r="X93" s="62">
        <v>0</v>
      </c>
      <c r="Y93" s="62">
        <v>0</v>
      </c>
      <c r="Z93" s="62">
        <v>0</v>
      </c>
      <c r="AA93" s="62">
        <v>0</v>
      </c>
      <c r="AB93" s="62">
        <v>0</v>
      </c>
      <c r="AC93" s="62">
        <v>0</v>
      </c>
      <c r="AD93" s="62">
        <v>0</v>
      </c>
      <c r="AE93" s="62">
        <v>0</v>
      </c>
      <c r="AF93" s="62">
        <v>0</v>
      </c>
      <c r="AG93" s="62">
        <v>0</v>
      </c>
      <c r="AH93" s="62">
        <v>0</v>
      </c>
      <c r="AI93" s="190">
        <f t="shared" si="424"/>
        <v>0</v>
      </c>
      <c r="AJ93" s="197">
        <f t="shared" ref="AJ93:AJ94" si="469">AI93/(AI$5+AI$6+AI$7+AI$8+AI$10+AI$9)</f>
        <v>0</v>
      </c>
      <c r="AK93" s="62">
        <v>0</v>
      </c>
      <c r="AL93" s="62">
        <v>0</v>
      </c>
      <c r="AM93" s="62">
        <v>0</v>
      </c>
      <c r="AN93" s="62">
        <v>0</v>
      </c>
      <c r="AO93" s="62">
        <f>130000</f>
        <v>130000</v>
      </c>
      <c r="AP93" s="62">
        <v>0</v>
      </c>
      <c r="AQ93" s="62">
        <v>0</v>
      </c>
      <c r="AR93" s="62">
        <v>0</v>
      </c>
      <c r="AS93" s="62">
        <v>0</v>
      </c>
      <c r="AT93" s="62">
        <v>0</v>
      </c>
      <c r="AU93" s="62">
        <v>0</v>
      </c>
      <c r="AV93" s="62">
        <v>0</v>
      </c>
      <c r="AW93" s="190">
        <f t="shared" si="425"/>
        <v>130000</v>
      </c>
      <c r="AX93" s="197">
        <f t="shared" ref="AX93:AX94" si="470">AW93/(AW$5+AW$6+AW$7+AW$8+AW$10+AW$9)</f>
        <v>1.7040836017122999E-3</v>
      </c>
      <c r="AY93" s="62">
        <v>0</v>
      </c>
      <c r="AZ93" s="62">
        <v>0</v>
      </c>
      <c r="BA93" s="62">
        <v>0</v>
      </c>
      <c r="BB93" s="62">
        <v>0</v>
      </c>
      <c r="BC93" s="62">
        <v>0</v>
      </c>
      <c r="BD93" s="62">
        <v>0</v>
      </c>
      <c r="BE93" s="62">
        <v>0</v>
      </c>
      <c r="BF93" s="62">
        <v>0</v>
      </c>
      <c r="BG93" s="62">
        <v>0</v>
      </c>
      <c r="BH93" s="62">
        <v>0</v>
      </c>
      <c r="BI93" s="62">
        <v>0</v>
      </c>
      <c r="BJ93" s="62">
        <v>0</v>
      </c>
      <c r="BK93" s="190">
        <f t="shared" si="426"/>
        <v>0</v>
      </c>
      <c r="BL93" s="197">
        <f t="shared" ref="BL93:BL94" si="471">BK93/(BK$5+BK$6+BK$7+BK$8+BK$10+BK$9)</f>
        <v>0</v>
      </c>
      <c r="BM93" s="62">
        <v>0</v>
      </c>
      <c r="BN93" s="62">
        <v>0</v>
      </c>
      <c r="BO93" s="62">
        <v>0</v>
      </c>
      <c r="BP93" s="62">
        <v>0</v>
      </c>
      <c r="BQ93" s="62">
        <v>0</v>
      </c>
      <c r="BR93" s="62">
        <v>0</v>
      </c>
      <c r="BS93" s="62">
        <v>0</v>
      </c>
      <c r="BT93" s="62">
        <v>0</v>
      </c>
      <c r="BU93" s="62">
        <v>0</v>
      </c>
      <c r="BV93" s="62">
        <v>0</v>
      </c>
      <c r="BW93" s="62">
        <v>0</v>
      </c>
      <c r="BX93" s="62">
        <v>0</v>
      </c>
      <c r="BY93" s="190">
        <f t="shared" si="427"/>
        <v>0</v>
      </c>
      <c r="BZ93" s="197">
        <f t="shared" ref="BZ93:BZ94" si="472">BY93/(BY$5+BY$6+BY$7+BY$8+BY$10+BY$9)</f>
        <v>0</v>
      </c>
      <c r="CA93" s="62">
        <v>0</v>
      </c>
      <c r="CB93" s="62">
        <v>0</v>
      </c>
      <c r="CC93" s="62">
        <v>0</v>
      </c>
      <c r="CD93" s="62">
        <v>0</v>
      </c>
      <c r="CE93" s="62">
        <v>0</v>
      </c>
      <c r="CF93" s="62">
        <v>0</v>
      </c>
      <c r="CG93" s="62">
        <v>0</v>
      </c>
      <c r="CH93" s="62">
        <v>0</v>
      </c>
      <c r="CI93" s="62">
        <v>0</v>
      </c>
      <c r="CJ93" s="62">
        <v>0</v>
      </c>
      <c r="CK93" s="62">
        <v>0</v>
      </c>
      <c r="CL93" s="62">
        <v>0</v>
      </c>
      <c r="CM93" s="190">
        <f t="shared" si="428"/>
        <v>0</v>
      </c>
      <c r="CN93" s="62">
        <v>0</v>
      </c>
      <c r="CO93" s="62">
        <v>0</v>
      </c>
      <c r="CP93" s="62">
        <v>0</v>
      </c>
      <c r="CQ93" s="62">
        <v>0</v>
      </c>
      <c r="CR93" s="62">
        <v>0</v>
      </c>
      <c r="CS93" s="62">
        <v>0</v>
      </c>
      <c r="CT93" s="62">
        <v>0</v>
      </c>
      <c r="CU93" s="62">
        <v>0</v>
      </c>
      <c r="CV93" s="62">
        <v>0</v>
      </c>
      <c r="CW93" s="62">
        <v>0</v>
      </c>
      <c r="CX93" s="62">
        <v>0</v>
      </c>
      <c r="CY93" s="62">
        <v>0</v>
      </c>
      <c r="CZ93" s="190">
        <f t="shared" si="429"/>
        <v>0</v>
      </c>
      <c r="DA93" s="62">
        <v>0</v>
      </c>
      <c r="DB93" s="62">
        <v>0</v>
      </c>
      <c r="DC93" s="62">
        <v>0</v>
      </c>
      <c r="DD93" s="62">
        <v>0</v>
      </c>
      <c r="DE93" s="62">
        <v>0</v>
      </c>
      <c r="DF93" s="62">
        <v>0</v>
      </c>
      <c r="DG93" s="62">
        <v>0</v>
      </c>
      <c r="DH93" s="62">
        <v>0</v>
      </c>
      <c r="DI93" s="62">
        <v>0</v>
      </c>
      <c r="DJ93" s="62">
        <v>0</v>
      </c>
      <c r="DK93" s="62">
        <v>0</v>
      </c>
      <c r="DL93" s="62">
        <v>0</v>
      </c>
      <c r="DM93" s="190">
        <f t="shared" si="430"/>
        <v>0</v>
      </c>
      <c r="DN93" s="62">
        <v>0</v>
      </c>
      <c r="DO93" s="62">
        <v>0</v>
      </c>
      <c r="DP93" s="62">
        <v>0</v>
      </c>
      <c r="DQ93" s="62">
        <v>0</v>
      </c>
      <c r="DR93" s="62">
        <v>0</v>
      </c>
      <c r="DS93" s="62">
        <v>0</v>
      </c>
      <c r="DT93" s="62">
        <v>0</v>
      </c>
      <c r="DU93" s="62">
        <v>0</v>
      </c>
      <c r="DV93" s="62">
        <v>0</v>
      </c>
      <c r="DW93" s="62">
        <v>0</v>
      </c>
      <c r="DX93" s="62">
        <v>0</v>
      </c>
      <c r="DY93" s="62">
        <v>0</v>
      </c>
      <c r="DZ93" s="190">
        <f t="shared" si="431"/>
        <v>0</v>
      </c>
    </row>
    <row r="94" spans="1:130" ht="20.45" customHeight="1" outlineLevel="2">
      <c r="A94" s="662"/>
      <c r="B94" s="637"/>
      <c r="C94" s="30" t="s">
        <v>2440</v>
      </c>
      <c r="D94" s="62">
        <f t="shared" si="345"/>
        <v>3910760</v>
      </c>
      <c r="E94" s="184">
        <f t="shared" si="466"/>
        <v>1.209990463879378E-2</v>
      </c>
      <c r="F94" s="62">
        <v>11100</v>
      </c>
      <c r="G94" s="190">
        <f t="shared" si="433"/>
        <v>11100</v>
      </c>
      <c r="H94" s="197">
        <f t="shared" si="467"/>
        <v>2.5354593121595832E-3</v>
      </c>
      <c r="I94" s="62">
        <v>0</v>
      </c>
      <c r="J94" s="62">
        <v>0</v>
      </c>
      <c r="K94" s="62">
        <v>25000</v>
      </c>
      <c r="L94" s="62">
        <v>8500</v>
      </c>
      <c r="M94" s="62">
        <v>0</v>
      </c>
      <c r="N94" s="62">
        <v>0</v>
      </c>
      <c r="O94" s="62">
        <v>221400</v>
      </c>
      <c r="P94" s="62">
        <v>0</v>
      </c>
      <c r="Q94" s="62">
        <v>5500</v>
      </c>
      <c r="R94" s="62">
        <v>0</v>
      </c>
      <c r="S94" s="62">
        <v>5800</v>
      </c>
      <c r="T94" s="62">
        <v>12200</v>
      </c>
      <c r="U94" s="190">
        <f t="shared" si="423"/>
        <v>278400</v>
      </c>
      <c r="V94" s="197">
        <f t="shared" si="468"/>
        <v>5.018024784680504E-3</v>
      </c>
      <c r="W94" s="62">
        <v>10600</v>
      </c>
      <c r="X94" s="62">
        <v>7200</v>
      </c>
      <c r="Y94" s="62">
        <v>0</v>
      </c>
      <c r="Z94" s="62">
        <v>0</v>
      </c>
      <c r="AA94" s="62">
        <v>4000</v>
      </c>
      <c r="AB94" s="62">
        <f>138300-80000</f>
        <v>58300</v>
      </c>
      <c r="AC94" s="62">
        <v>46100</v>
      </c>
      <c r="AD94" s="62">
        <v>7000</v>
      </c>
      <c r="AE94" s="62">
        <f>11100+33300+15000</f>
        <v>59400</v>
      </c>
      <c r="AF94" s="62">
        <v>0</v>
      </c>
      <c r="AG94" s="62">
        <v>7500</v>
      </c>
      <c r="AH94" s="62">
        <f>5900+24200</f>
        <v>30100</v>
      </c>
      <c r="AI94" s="190">
        <f t="shared" si="424"/>
        <v>230200</v>
      </c>
      <c r="AJ94" s="197">
        <f t="shared" si="469"/>
        <v>3.1286227365087248E-3</v>
      </c>
      <c r="AK94" s="62">
        <f>5000</f>
        <v>5000</v>
      </c>
      <c r="AL94" s="62">
        <f>6500</f>
        <v>6500</v>
      </c>
      <c r="AM94" s="62">
        <f>35100</f>
        <v>35100</v>
      </c>
      <c r="AN94" s="62">
        <f>95700+86000+86000+15600+15900+29100+86000</f>
        <v>414300</v>
      </c>
      <c r="AO94" s="62">
        <f>5200+16800</f>
        <v>22000</v>
      </c>
      <c r="AP94" s="62">
        <f>35500+33000</f>
        <v>68500</v>
      </c>
      <c r="AQ94" s="62">
        <v>51300</v>
      </c>
      <c r="AR94" s="62">
        <v>100000</v>
      </c>
      <c r="AS94" s="62">
        <f>6400+7000+6900+11430</f>
        <v>31730</v>
      </c>
      <c r="AT94" s="62">
        <f>33900+93600+4000+5300+4900+3900+170490</f>
        <v>316090</v>
      </c>
      <c r="AU94" s="62">
        <f>20600+98300+5900</f>
        <v>124800</v>
      </c>
      <c r="AV94" s="62">
        <f>5500+6900+43400+2900+64200</f>
        <v>122900</v>
      </c>
      <c r="AW94" s="190">
        <f t="shared" si="425"/>
        <v>1298220</v>
      </c>
      <c r="AX94" s="197">
        <f t="shared" si="470"/>
        <v>1.7017503180114937E-2</v>
      </c>
      <c r="AY94" s="62">
        <v>0</v>
      </c>
      <c r="AZ94" s="62">
        <f>20000+150000+11000+20000-100000+20000+33900</f>
        <v>154900</v>
      </c>
      <c r="BA94" s="62">
        <f>71200+3400+3300</f>
        <v>77900</v>
      </c>
      <c r="BB94" s="62">
        <v>0</v>
      </c>
      <c r="BC94" s="62">
        <f>6200+8700+5200+5400+40000</f>
        <v>65500</v>
      </c>
      <c r="BD94" s="62">
        <f>2700</f>
        <v>2700</v>
      </c>
      <c r="BE94" s="62">
        <f>532280+4600</f>
        <v>536880</v>
      </c>
      <c r="BF94" s="62">
        <f>11600+5700+7700+9800</f>
        <v>34800</v>
      </c>
      <c r="BG94" s="62">
        <f>15000+633380</f>
        <v>648380</v>
      </c>
      <c r="BH94" s="62">
        <f>39700+3800+6200+5500</f>
        <v>55200</v>
      </c>
      <c r="BI94" s="62">
        <v>0</v>
      </c>
      <c r="BJ94" s="62">
        <f>3500+251780</f>
        <v>255280</v>
      </c>
      <c r="BK94" s="190">
        <f t="shared" si="426"/>
        <v>1831540</v>
      </c>
      <c r="BL94" s="197">
        <f t="shared" si="471"/>
        <v>2.6225166784265678E-2</v>
      </c>
      <c r="BM94" s="62">
        <f>26400+5900+189200+7300</f>
        <v>228800</v>
      </c>
      <c r="BN94" s="62">
        <f>8000+6700</f>
        <v>14700</v>
      </c>
      <c r="BO94" s="62">
        <v>0</v>
      </c>
      <c r="BP94" s="62">
        <f>10800</f>
        <v>10800</v>
      </c>
      <c r="BQ94" s="62">
        <f>7000</f>
        <v>7000</v>
      </c>
      <c r="BR94" s="62">
        <v>0</v>
      </c>
      <c r="BS94" s="62">
        <v>0</v>
      </c>
      <c r="BT94" s="62">
        <v>0</v>
      </c>
      <c r="BU94" s="62">
        <v>0</v>
      </c>
      <c r="BV94" s="62">
        <v>0</v>
      </c>
      <c r="BW94" s="62">
        <v>0</v>
      </c>
      <c r="BX94" s="62">
        <v>0</v>
      </c>
      <c r="BY94" s="190">
        <f t="shared" si="427"/>
        <v>261300</v>
      </c>
      <c r="BZ94" s="197">
        <f t="shared" si="472"/>
        <v>5.9872295349826738E-3</v>
      </c>
      <c r="CA94" s="62">
        <v>0</v>
      </c>
      <c r="CB94" s="62">
        <v>0</v>
      </c>
      <c r="CC94" s="62">
        <v>0</v>
      </c>
      <c r="CD94" s="62">
        <v>0</v>
      </c>
      <c r="CE94" s="62">
        <v>0</v>
      </c>
      <c r="CF94" s="62">
        <v>0</v>
      </c>
      <c r="CG94" s="62">
        <v>0</v>
      </c>
      <c r="CH94" s="62">
        <v>0</v>
      </c>
      <c r="CI94" s="62">
        <v>0</v>
      </c>
      <c r="CJ94" s="62">
        <v>0</v>
      </c>
      <c r="CK94" s="62">
        <v>0</v>
      </c>
      <c r="CL94" s="62">
        <v>0</v>
      </c>
      <c r="CM94" s="190">
        <f t="shared" si="428"/>
        <v>0</v>
      </c>
      <c r="CN94" s="62">
        <v>0</v>
      </c>
      <c r="CO94" s="62">
        <v>0</v>
      </c>
      <c r="CP94" s="62">
        <v>0</v>
      </c>
      <c r="CQ94" s="62">
        <v>0</v>
      </c>
      <c r="CR94" s="62">
        <v>0</v>
      </c>
      <c r="CS94" s="62">
        <v>0</v>
      </c>
      <c r="CT94" s="62">
        <v>0</v>
      </c>
      <c r="CU94" s="62">
        <v>0</v>
      </c>
      <c r="CV94" s="62">
        <v>0</v>
      </c>
      <c r="CW94" s="62">
        <v>0</v>
      </c>
      <c r="CX94" s="62">
        <v>0</v>
      </c>
      <c r="CY94" s="62">
        <v>0</v>
      </c>
      <c r="CZ94" s="190">
        <f t="shared" si="429"/>
        <v>0</v>
      </c>
      <c r="DA94" s="62">
        <v>0</v>
      </c>
      <c r="DB94" s="62">
        <v>0</v>
      </c>
      <c r="DC94" s="62">
        <v>0</v>
      </c>
      <c r="DD94" s="62">
        <v>0</v>
      </c>
      <c r="DE94" s="62">
        <v>0</v>
      </c>
      <c r="DF94" s="62">
        <v>0</v>
      </c>
      <c r="DG94" s="62">
        <v>0</v>
      </c>
      <c r="DH94" s="62">
        <v>0</v>
      </c>
      <c r="DI94" s="62">
        <v>0</v>
      </c>
      <c r="DJ94" s="62">
        <v>0</v>
      </c>
      <c r="DK94" s="62">
        <v>0</v>
      </c>
      <c r="DL94" s="62">
        <v>0</v>
      </c>
      <c r="DM94" s="190">
        <f t="shared" si="430"/>
        <v>0</v>
      </c>
      <c r="DN94" s="62">
        <v>0</v>
      </c>
      <c r="DO94" s="62">
        <v>0</v>
      </c>
      <c r="DP94" s="62">
        <v>0</v>
      </c>
      <c r="DQ94" s="62">
        <v>0</v>
      </c>
      <c r="DR94" s="62">
        <v>0</v>
      </c>
      <c r="DS94" s="62">
        <v>0</v>
      </c>
      <c r="DT94" s="62">
        <v>0</v>
      </c>
      <c r="DU94" s="62">
        <v>0</v>
      </c>
      <c r="DV94" s="62">
        <v>0</v>
      </c>
      <c r="DW94" s="62">
        <v>0</v>
      </c>
      <c r="DX94" s="62">
        <v>0</v>
      </c>
      <c r="DY94" s="62">
        <v>0</v>
      </c>
      <c r="DZ94" s="190">
        <f t="shared" si="431"/>
        <v>0</v>
      </c>
    </row>
    <row r="95" spans="1:130" s="194" customFormat="1" ht="20.45" customHeight="1" outlineLevel="1">
      <c r="A95" s="662"/>
      <c r="B95" s="664" t="s">
        <v>355</v>
      </c>
      <c r="C95" s="65" t="s">
        <v>307</v>
      </c>
      <c r="D95" s="66">
        <f t="shared" si="345"/>
        <v>510430</v>
      </c>
      <c r="E95" s="187">
        <f>SUM(E96)</f>
        <v>1.5792721426984805E-3</v>
      </c>
      <c r="F95" s="62">
        <f t="shared" ref="F95:DY95" si="473">SUM(F96)</f>
        <v>105700</v>
      </c>
      <c r="G95" s="190">
        <f t="shared" si="433"/>
        <v>105700</v>
      </c>
      <c r="H95" s="196">
        <f>SUM(H96)</f>
        <v>2.4143968404979094E-2</v>
      </c>
      <c r="I95" s="62">
        <f t="shared" si="473"/>
        <v>0</v>
      </c>
      <c r="J95" s="62">
        <f t="shared" si="473"/>
        <v>0</v>
      </c>
      <c r="K95" s="62">
        <f t="shared" si="473"/>
        <v>13600</v>
      </c>
      <c r="L95" s="62">
        <f t="shared" si="473"/>
        <v>201430</v>
      </c>
      <c r="M95" s="62">
        <f t="shared" si="473"/>
        <v>0</v>
      </c>
      <c r="N95" s="62">
        <f t="shared" si="473"/>
        <v>0</v>
      </c>
      <c r="O95" s="62">
        <f t="shared" si="473"/>
        <v>63300</v>
      </c>
      <c r="P95" s="62">
        <f t="shared" si="473"/>
        <v>0</v>
      </c>
      <c r="Q95" s="62">
        <f t="shared" si="473"/>
        <v>33200</v>
      </c>
      <c r="R95" s="62">
        <f t="shared" si="473"/>
        <v>0</v>
      </c>
      <c r="S95" s="62">
        <f t="shared" si="473"/>
        <v>0</v>
      </c>
      <c r="T95" s="62">
        <f t="shared" si="473"/>
        <v>0</v>
      </c>
      <c r="U95" s="190">
        <f t="shared" si="423"/>
        <v>311530</v>
      </c>
      <c r="V95" s="196">
        <f>SUM(V96)</f>
        <v>5.6151769438632093E-3</v>
      </c>
      <c r="W95" s="62">
        <f t="shared" si="473"/>
        <v>0</v>
      </c>
      <c r="X95" s="62">
        <f t="shared" si="473"/>
        <v>0</v>
      </c>
      <c r="Y95" s="62">
        <f t="shared" si="473"/>
        <v>0</v>
      </c>
      <c r="Z95" s="62">
        <f t="shared" si="473"/>
        <v>0</v>
      </c>
      <c r="AA95" s="62">
        <f t="shared" si="473"/>
        <v>0</v>
      </c>
      <c r="AB95" s="62">
        <f t="shared" si="473"/>
        <v>0</v>
      </c>
      <c r="AC95" s="62">
        <f t="shared" si="473"/>
        <v>0</v>
      </c>
      <c r="AD95" s="62">
        <f t="shared" si="473"/>
        <v>0</v>
      </c>
      <c r="AE95" s="62">
        <f t="shared" si="473"/>
        <v>0</v>
      </c>
      <c r="AF95" s="62">
        <f t="shared" si="473"/>
        <v>0</v>
      </c>
      <c r="AG95" s="62">
        <f t="shared" si="473"/>
        <v>0</v>
      </c>
      <c r="AH95" s="62">
        <f t="shared" si="473"/>
        <v>63300</v>
      </c>
      <c r="AI95" s="190">
        <f t="shared" si="424"/>
        <v>63300</v>
      </c>
      <c r="AJ95" s="196">
        <f>SUM(AJ96)</f>
        <v>8.6030329809297259E-4</v>
      </c>
      <c r="AK95" s="62">
        <f t="shared" si="473"/>
        <v>0</v>
      </c>
      <c r="AL95" s="62">
        <f t="shared" si="473"/>
        <v>0</v>
      </c>
      <c r="AM95" s="62">
        <f t="shared" si="473"/>
        <v>0</v>
      </c>
      <c r="AN95" s="62">
        <f t="shared" si="473"/>
        <v>0</v>
      </c>
      <c r="AO95" s="62">
        <f t="shared" si="473"/>
        <v>0</v>
      </c>
      <c r="AP95" s="62">
        <f t="shared" si="473"/>
        <v>0</v>
      </c>
      <c r="AQ95" s="62">
        <f t="shared" si="473"/>
        <v>0</v>
      </c>
      <c r="AR95" s="62">
        <f t="shared" si="473"/>
        <v>0</v>
      </c>
      <c r="AS95" s="62">
        <f t="shared" si="473"/>
        <v>0</v>
      </c>
      <c r="AT95" s="62">
        <f t="shared" si="473"/>
        <v>0</v>
      </c>
      <c r="AU95" s="62">
        <f t="shared" si="473"/>
        <v>0</v>
      </c>
      <c r="AV95" s="62">
        <f t="shared" si="473"/>
        <v>0</v>
      </c>
      <c r="AW95" s="190">
        <f t="shared" si="425"/>
        <v>0</v>
      </c>
      <c r="AX95" s="196">
        <f>SUM(AX96)</f>
        <v>0</v>
      </c>
      <c r="AY95" s="62">
        <f t="shared" si="473"/>
        <v>0</v>
      </c>
      <c r="AZ95" s="62">
        <f t="shared" si="473"/>
        <v>0</v>
      </c>
      <c r="BA95" s="62">
        <f t="shared" si="473"/>
        <v>0</v>
      </c>
      <c r="BB95" s="62">
        <f t="shared" si="473"/>
        <v>29900</v>
      </c>
      <c r="BC95" s="62">
        <f t="shared" si="473"/>
        <v>0</v>
      </c>
      <c r="BD95" s="62">
        <f t="shared" si="473"/>
        <v>0</v>
      </c>
      <c r="BE95" s="62">
        <f t="shared" si="473"/>
        <v>0</v>
      </c>
      <c r="BF95" s="62">
        <f t="shared" si="473"/>
        <v>0</v>
      </c>
      <c r="BG95" s="62">
        <f t="shared" si="473"/>
        <v>0</v>
      </c>
      <c r="BH95" s="62">
        <f t="shared" si="473"/>
        <v>0</v>
      </c>
      <c r="BI95" s="62">
        <f t="shared" si="473"/>
        <v>0</v>
      </c>
      <c r="BJ95" s="62">
        <f t="shared" si="473"/>
        <v>188100</v>
      </c>
      <c r="BK95" s="190">
        <f t="shared" si="426"/>
        <v>218000</v>
      </c>
      <c r="BL95" s="196">
        <f>SUM(BL96)</f>
        <v>3.1214641006857167E-3</v>
      </c>
      <c r="BM95" s="62">
        <f t="shared" si="473"/>
        <v>-188100</v>
      </c>
      <c r="BN95" s="62">
        <f t="shared" si="473"/>
        <v>0</v>
      </c>
      <c r="BO95" s="62">
        <f t="shared" si="473"/>
        <v>0</v>
      </c>
      <c r="BP95" s="62">
        <f t="shared" si="473"/>
        <v>0</v>
      </c>
      <c r="BQ95" s="62">
        <f t="shared" si="473"/>
        <v>0</v>
      </c>
      <c r="BR95" s="62">
        <f t="shared" si="473"/>
        <v>0</v>
      </c>
      <c r="BS95" s="62">
        <f t="shared" si="473"/>
        <v>0</v>
      </c>
      <c r="BT95" s="62">
        <f t="shared" si="473"/>
        <v>0</v>
      </c>
      <c r="BU95" s="62">
        <f t="shared" si="473"/>
        <v>0</v>
      </c>
      <c r="BV95" s="62">
        <f t="shared" si="473"/>
        <v>0</v>
      </c>
      <c r="BW95" s="62">
        <f t="shared" si="473"/>
        <v>0</v>
      </c>
      <c r="BX95" s="62">
        <f t="shared" si="473"/>
        <v>0</v>
      </c>
      <c r="BY95" s="190">
        <f t="shared" si="427"/>
        <v>-188100</v>
      </c>
      <c r="BZ95" s="196">
        <f>SUM(BZ96)</f>
        <v>-4.3099803885581359E-3</v>
      </c>
      <c r="CA95" s="62">
        <f t="shared" si="473"/>
        <v>0</v>
      </c>
      <c r="CB95" s="62">
        <f t="shared" si="473"/>
        <v>0</v>
      </c>
      <c r="CC95" s="62">
        <f t="shared" si="473"/>
        <v>0</v>
      </c>
      <c r="CD95" s="62">
        <f t="shared" si="473"/>
        <v>0</v>
      </c>
      <c r="CE95" s="62">
        <f t="shared" si="473"/>
        <v>0</v>
      </c>
      <c r="CF95" s="62">
        <f t="shared" si="473"/>
        <v>0</v>
      </c>
      <c r="CG95" s="62">
        <f t="shared" si="473"/>
        <v>0</v>
      </c>
      <c r="CH95" s="62">
        <f t="shared" si="473"/>
        <v>0</v>
      </c>
      <c r="CI95" s="62">
        <f t="shared" si="473"/>
        <v>0</v>
      </c>
      <c r="CJ95" s="62">
        <f t="shared" si="473"/>
        <v>0</v>
      </c>
      <c r="CK95" s="62">
        <f t="shared" si="473"/>
        <v>0</v>
      </c>
      <c r="CL95" s="62">
        <f t="shared" si="473"/>
        <v>0</v>
      </c>
      <c r="CM95" s="190">
        <f t="shared" si="428"/>
        <v>0</v>
      </c>
      <c r="CN95" s="62">
        <f t="shared" si="473"/>
        <v>0</v>
      </c>
      <c r="CO95" s="62">
        <f t="shared" si="473"/>
        <v>0</v>
      </c>
      <c r="CP95" s="62">
        <f t="shared" si="473"/>
        <v>0</v>
      </c>
      <c r="CQ95" s="62">
        <f t="shared" si="473"/>
        <v>0</v>
      </c>
      <c r="CR95" s="62">
        <f t="shared" si="473"/>
        <v>0</v>
      </c>
      <c r="CS95" s="62">
        <f t="shared" si="473"/>
        <v>0</v>
      </c>
      <c r="CT95" s="62">
        <f t="shared" si="473"/>
        <v>0</v>
      </c>
      <c r="CU95" s="62">
        <f t="shared" si="473"/>
        <v>0</v>
      </c>
      <c r="CV95" s="62">
        <f t="shared" si="473"/>
        <v>0</v>
      </c>
      <c r="CW95" s="62">
        <f t="shared" si="473"/>
        <v>0</v>
      </c>
      <c r="CX95" s="62">
        <f t="shared" si="473"/>
        <v>0</v>
      </c>
      <c r="CY95" s="62">
        <f t="shared" si="473"/>
        <v>0</v>
      </c>
      <c r="CZ95" s="190">
        <f t="shared" si="429"/>
        <v>0</v>
      </c>
      <c r="DA95" s="62">
        <f t="shared" si="473"/>
        <v>0</v>
      </c>
      <c r="DB95" s="62">
        <f t="shared" si="473"/>
        <v>0</v>
      </c>
      <c r="DC95" s="62">
        <f t="shared" si="473"/>
        <v>0</v>
      </c>
      <c r="DD95" s="62">
        <f t="shared" si="473"/>
        <v>0</v>
      </c>
      <c r="DE95" s="62">
        <f t="shared" si="473"/>
        <v>0</v>
      </c>
      <c r="DF95" s="62">
        <f t="shared" si="473"/>
        <v>0</v>
      </c>
      <c r="DG95" s="62">
        <f t="shared" si="473"/>
        <v>0</v>
      </c>
      <c r="DH95" s="62">
        <f t="shared" si="473"/>
        <v>0</v>
      </c>
      <c r="DI95" s="62">
        <f t="shared" si="473"/>
        <v>0</v>
      </c>
      <c r="DJ95" s="62">
        <f t="shared" si="473"/>
        <v>0</v>
      </c>
      <c r="DK95" s="62">
        <f t="shared" si="473"/>
        <v>0</v>
      </c>
      <c r="DL95" s="62">
        <f t="shared" si="473"/>
        <v>0</v>
      </c>
      <c r="DM95" s="190">
        <f t="shared" si="430"/>
        <v>0</v>
      </c>
      <c r="DN95" s="62">
        <f t="shared" si="473"/>
        <v>0</v>
      </c>
      <c r="DO95" s="62">
        <f t="shared" si="473"/>
        <v>0</v>
      </c>
      <c r="DP95" s="62">
        <f t="shared" si="473"/>
        <v>0</v>
      </c>
      <c r="DQ95" s="62">
        <f t="shared" si="473"/>
        <v>0</v>
      </c>
      <c r="DR95" s="62">
        <f t="shared" si="473"/>
        <v>0</v>
      </c>
      <c r="DS95" s="62">
        <f t="shared" si="473"/>
        <v>0</v>
      </c>
      <c r="DT95" s="62">
        <f t="shared" si="473"/>
        <v>0</v>
      </c>
      <c r="DU95" s="62">
        <f t="shared" si="473"/>
        <v>0</v>
      </c>
      <c r="DV95" s="62">
        <f t="shared" si="473"/>
        <v>0</v>
      </c>
      <c r="DW95" s="62">
        <f t="shared" si="473"/>
        <v>0</v>
      </c>
      <c r="DX95" s="62">
        <f t="shared" si="473"/>
        <v>0</v>
      </c>
      <c r="DY95" s="62">
        <f t="shared" si="473"/>
        <v>0</v>
      </c>
      <c r="DZ95" s="190">
        <f t="shared" si="431"/>
        <v>0</v>
      </c>
    </row>
    <row r="96" spans="1:130" ht="20.45" customHeight="1" outlineLevel="2">
      <c r="A96" s="662"/>
      <c r="B96" s="637"/>
      <c r="C96" s="30" t="s">
        <v>356</v>
      </c>
      <c r="D96" s="62">
        <f t="shared" si="345"/>
        <v>510430</v>
      </c>
      <c r="E96" s="184">
        <f t="shared" ref="E96" si="474">D96/(D$5+D$6+D$7+D$8+D$10+D$9)</f>
        <v>1.5792721426984805E-3</v>
      </c>
      <c r="F96" s="62">
        <v>105700</v>
      </c>
      <c r="G96" s="190">
        <f t="shared" si="433"/>
        <v>105700</v>
      </c>
      <c r="H96" s="197">
        <f>G96/(G$5+G$6+G$7+G$8+G$10+G$9)</f>
        <v>2.4143968404979094E-2</v>
      </c>
      <c r="I96" s="62">
        <v>0</v>
      </c>
      <c r="J96" s="62">
        <v>0</v>
      </c>
      <c r="K96" s="62">
        <v>13600</v>
      </c>
      <c r="L96" s="62">
        <f>51000+81430+69000</f>
        <v>201430</v>
      </c>
      <c r="M96" s="62">
        <v>0</v>
      </c>
      <c r="N96" s="62">
        <v>0</v>
      </c>
      <c r="O96" s="62">
        <v>63300</v>
      </c>
      <c r="P96" s="62">
        <v>0</v>
      </c>
      <c r="Q96" s="62">
        <v>33200</v>
      </c>
      <c r="R96" s="62">
        <v>0</v>
      </c>
      <c r="S96" s="62">
        <v>0</v>
      </c>
      <c r="T96" s="62">
        <v>0</v>
      </c>
      <c r="U96" s="190">
        <f t="shared" si="423"/>
        <v>311530</v>
      </c>
      <c r="V96" s="197">
        <f>U96/(U$5+U$6+U$7+U$8+U$10+U$9)</f>
        <v>5.6151769438632093E-3</v>
      </c>
      <c r="W96" s="62">
        <v>0</v>
      </c>
      <c r="X96" s="62">
        <v>0</v>
      </c>
      <c r="Y96" s="62">
        <v>0</v>
      </c>
      <c r="Z96" s="62">
        <v>0</v>
      </c>
      <c r="AA96" s="62">
        <v>0</v>
      </c>
      <c r="AB96" s="62">
        <v>0</v>
      </c>
      <c r="AC96" s="62">
        <v>0</v>
      </c>
      <c r="AD96" s="62">
        <v>0</v>
      </c>
      <c r="AE96" s="62">
        <v>0</v>
      </c>
      <c r="AF96" s="62">
        <v>0</v>
      </c>
      <c r="AG96" s="62">
        <v>0</v>
      </c>
      <c r="AH96" s="62">
        <f>59000+4300</f>
        <v>63300</v>
      </c>
      <c r="AI96" s="190">
        <f t="shared" si="424"/>
        <v>63300</v>
      </c>
      <c r="AJ96" s="197">
        <f>AI96/(AI$5+AI$6+AI$7+AI$8+AI$10+AI$9)</f>
        <v>8.6030329809297259E-4</v>
      </c>
      <c r="AK96" s="62">
        <v>0</v>
      </c>
      <c r="AL96" s="62">
        <v>0</v>
      </c>
      <c r="AM96" s="62">
        <v>0</v>
      </c>
      <c r="AN96" s="62">
        <v>0</v>
      </c>
      <c r="AO96" s="62">
        <v>0</v>
      </c>
      <c r="AP96" s="62">
        <v>0</v>
      </c>
      <c r="AQ96" s="62">
        <v>0</v>
      </c>
      <c r="AR96" s="62">
        <v>0</v>
      </c>
      <c r="AS96" s="62">
        <v>0</v>
      </c>
      <c r="AT96" s="62">
        <v>0</v>
      </c>
      <c r="AU96" s="62">
        <v>0</v>
      </c>
      <c r="AV96" s="62">
        <v>0</v>
      </c>
      <c r="AW96" s="190">
        <f t="shared" si="425"/>
        <v>0</v>
      </c>
      <c r="AX96" s="197">
        <f>AW96/(AW$5+AW$6+AW$7+AW$8+AW$10+AW$9)</f>
        <v>0</v>
      </c>
      <c r="AY96" s="62">
        <v>0</v>
      </c>
      <c r="AZ96" s="62">
        <v>0</v>
      </c>
      <c r="BA96" s="62">
        <v>0</v>
      </c>
      <c r="BB96" s="62">
        <f>29900</f>
        <v>29900</v>
      </c>
      <c r="BC96" s="62">
        <v>0</v>
      </c>
      <c r="BD96" s="62">
        <v>0</v>
      </c>
      <c r="BE96" s="62">
        <v>0</v>
      </c>
      <c r="BF96" s="62">
        <v>0</v>
      </c>
      <c r="BG96" s="62">
        <v>0</v>
      </c>
      <c r="BH96" s="62">
        <f t="shared" ref="AY96:BJ97" si="475">SUM(BH97:BH106)</f>
        <v>0</v>
      </c>
      <c r="BI96" s="62">
        <v>0</v>
      </c>
      <c r="BJ96" s="62">
        <f>188100</f>
        <v>188100</v>
      </c>
      <c r="BK96" s="190">
        <f t="shared" si="426"/>
        <v>218000</v>
      </c>
      <c r="BL96" s="197">
        <f>BK96/(BK$5+BK$6+BK$7+BK$8+BK$10+BK$9)</f>
        <v>3.1214641006857167E-3</v>
      </c>
      <c r="BM96" s="62">
        <f>-188100</f>
        <v>-188100</v>
      </c>
      <c r="BN96" s="62">
        <v>0</v>
      </c>
      <c r="BO96" s="62">
        <v>0</v>
      </c>
      <c r="BP96" s="62">
        <v>0</v>
      </c>
      <c r="BQ96" s="62">
        <v>0</v>
      </c>
      <c r="BR96" s="62">
        <v>0</v>
      </c>
      <c r="BS96" s="62">
        <v>0</v>
      </c>
      <c r="BT96" s="62">
        <v>0</v>
      </c>
      <c r="BU96" s="62">
        <v>0</v>
      </c>
      <c r="BV96" s="62">
        <v>0</v>
      </c>
      <c r="BW96" s="62">
        <v>0</v>
      </c>
      <c r="BX96" s="62">
        <v>0</v>
      </c>
      <c r="BY96" s="190">
        <f t="shared" si="427"/>
        <v>-188100</v>
      </c>
      <c r="BZ96" s="197">
        <f>BY96/(BY$5+BY$6+BY$7+BY$8+BY$10+BY$9)</f>
        <v>-4.3099803885581359E-3</v>
      </c>
      <c r="CA96" s="62">
        <v>0</v>
      </c>
      <c r="CB96" s="62">
        <v>0</v>
      </c>
      <c r="CC96" s="62">
        <v>0</v>
      </c>
      <c r="CD96" s="62">
        <v>0</v>
      </c>
      <c r="CE96" s="62">
        <v>0</v>
      </c>
      <c r="CF96" s="62">
        <v>0</v>
      </c>
      <c r="CG96" s="62">
        <v>0</v>
      </c>
      <c r="CH96" s="62">
        <v>0</v>
      </c>
      <c r="CI96" s="62">
        <v>0</v>
      </c>
      <c r="CJ96" s="62">
        <v>0</v>
      </c>
      <c r="CK96" s="62">
        <v>0</v>
      </c>
      <c r="CL96" s="62">
        <v>0</v>
      </c>
      <c r="CM96" s="190">
        <f t="shared" si="428"/>
        <v>0</v>
      </c>
      <c r="CN96" s="62">
        <v>0</v>
      </c>
      <c r="CO96" s="62">
        <v>0</v>
      </c>
      <c r="CP96" s="62">
        <v>0</v>
      </c>
      <c r="CQ96" s="62">
        <v>0</v>
      </c>
      <c r="CR96" s="62">
        <v>0</v>
      </c>
      <c r="CS96" s="62">
        <v>0</v>
      </c>
      <c r="CT96" s="62">
        <v>0</v>
      </c>
      <c r="CU96" s="62">
        <v>0</v>
      </c>
      <c r="CV96" s="62">
        <v>0</v>
      </c>
      <c r="CW96" s="62">
        <v>0</v>
      </c>
      <c r="CX96" s="62">
        <v>0</v>
      </c>
      <c r="CY96" s="62">
        <v>0</v>
      </c>
      <c r="CZ96" s="190">
        <f t="shared" si="429"/>
        <v>0</v>
      </c>
      <c r="DA96" s="62">
        <v>0</v>
      </c>
      <c r="DB96" s="62">
        <v>0</v>
      </c>
      <c r="DC96" s="62">
        <v>0</v>
      </c>
      <c r="DD96" s="62">
        <v>0</v>
      </c>
      <c r="DE96" s="62">
        <v>0</v>
      </c>
      <c r="DF96" s="62">
        <v>0</v>
      </c>
      <c r="DG96" s="62">
        <v>0</v>
      </c>
      <c r="DH96" s="62">
        <v>0</v>
      </c>
      <c r="DI96" s="62">
        <v>0</v>
      </c>
      <c r="DJ96" s="62">
        <v>0</v>
      </c>
      <c r="DK96" s="62">
        <v>0</v>
      </c>
      <c r="DL96" s="62">
        <v>0</v>
      </c>
      <c r="DM96" s="190">
        <f t="shared" si="430"/>
        <v>0</v>
      </c>
      <c r="DN96" s="62">
        <v>0</v>
      </c>
      <c r="DO96" s="62">
        <v>0</v>
      </c>
      <c r="DP96" s="62">
        <v>0</v>
      </c>
      <c r="DQ96" s="62">
        <v>0</v>
      </c>
      <c r="DR96" s="62">
        <v>0</v>
      </c>
      <c r="DS96" s="62">
        <v>0</v>
      </c>
      <c r="DT96" s="62">
        <v>0</v>
      </c>
      <c r="DU96" s="62">
        <v>0</v>
      </c>
      <c r="DV96" s="62">
        <v>0</v>
      </c>
      <c r="DW96" s="62">
        <v>0</v>
      </c>
      <c r="DX96" s="62">
        <v>0</v>
      </c>
      <c r="DY96" s="62">
        <v>0</v>
      </c>
      <c r="DZ96" s="190">
        <f t="shared" si="431"/>
        <v>0</v>
      </c>
    </row>
    <row r="97" spans="1:130" s="194" customFormat="1" ht="20.45" customHeight="1" outlineLevel="1">
      <c r="A97" s="662"/>
      <c r="B97" s="645" t="s">
        <v>2619</v>
      </c>
      <c r="C97" s="65" t="s">
        <v>307</v>
      </c>
      <c r="D97" s="66">
        <f t="shared" si="345"/>
        <v>2312169.9999999995</v>
      </c>
      <c r="E97" s="187">
        <f>SUM(E98:E107)</f>
        <v>7.1538617835612056E-3</v>
      </c>
      <c r="F97" s="62">
        <f>SUM(F98:F107)</f>
        <v>0</v>
      </c>
      <c r="G97" s="190">
        <f t="shared" si="433"/>
        <v>0</v>
      </c>
      <c r="H97" s="196">
        <f t="shared" ref="H97:T97" si="476">SUM(H98:H107)</f>
        <v>0</v>
      </c>
      <c r="I97" s="62">
        <f t="shared" si="476"/>
        <v>56000</v>
      </c>
      <c r="J97" s="62">
        <f t="shared" si="476"/>
        <v>0</v>
      </c>
      <c r="K97" s="62">
        <f t="shared" si="476"/>
        <v>13900</v>
      </c>
      <c r="L97" s="62">
        <f t="shared" si="476"/>
        <v>0</v>
      </c>
      <c r="M97" s="62">
        <f t="shared" si="476"/>
        <v>103100</v>
      </c>
      <c r="N97" s="62">
        <f t="shared" si="476"/>
        <v>0</v>
      </c>
      <c r="O97" s="62">
        <f t="shared" si="476"/>
        <v>0</v>
      </c>
      <c r="P97" s="62">
        <f t="shared" si="476"/>
        <v>0</v>
      </c>
      <c r="Q97" s="62">
        <f t="shared" si="476"/>
        <v>75300</v>
      </c>
      <c r="R97" s="62">
        <f t="shared" si="476"/>
        <v>0</v>
      </c>
      <c r="S97" s="62">
        <f t="shared" si="476"/>
        <v>0</v>
      </c>
      <c r="T97" s="62">
        <f t="shared" si="476"/>
        <v>0</v>
      </c>
      <c r="U97" s="190">
        <f t="shared" si="423"/>
        <v>248300</v>
      </c>
      <c r="V97" s="196">
        <f t="shared" ref="V97" si="477">SUM(V98:V107)</f>
        <v>4.47548690386555E-3</v>
      </c>
      <c r="W97" s="62">
        <f t="shared" ref="W97:AH97" si="478">SUM(W98:W107)</f>
        <v>0</v>
      </c>
      <c r="X97" s="62">
        <f t="shared" si="478"/>
        <v>0</v>
      </c>
      <c r="Y97" s="62">
        <f t="shared" si="478"/>
        <v>4000</v>
      </c>
      <c r="Z97" s="62">
        <f t="shared" si="478"/>
        <v>0</v>
      </c>
      <c r="AA97" s="62">
        <f t="shared" si="478"/>
        <v>14500</v>
      </c>
      <c r="AB97" s="62">
        <f t="shared" si="478"/>
        <v>0</v>
      </c>
      <c r="AC97" s="62">
        <f t="shared" si="478"/>
        <v>71000</v>
      </c>
      <c r="AD97" s="62">
        <f t="shared" si="478"/>
        <v>86200</v>
      </c>
      <c r="AE97" s="62">
        <f t="shared" si="478"/>
        <v>2000</v>
      </c>
      <c r="AF97" s="62">
        <f t="shared" si="478"/>
        <v>0</v>
      </c>
      <c r="AG97" s="62">
        <f t="shared" si="478"/>
        <v>32700</v>
      </c>
      <c r="AH97" s="62">
        <f t="shared" si="478"/>
        <v>89420</v>
      </c>
      <c r="AI97" s="190">
        <f t="shared" si="424"/>
        <v>299820</v>
      </c>
      <c r="AJ97" s="196">
        <f t="shared" ref="AJ97" si="479">SUM(AJ98:AJ107)</f>
        <v>4.0748204555171412E-3</v>
      </c>
      <c r="AK97" s="62">
        <f t="shared" ref="AK97:AV97" si="480">SUM(AK98:AK107)</f>
        <v>70750</v>
      </c>
      <c r="AL97" s="62">
        <f t="shared" si="480"/>
        <v>4500</v>
      </c>
      <c r="AM97" s="62">
        <f t="shared" si="480"/>
        <v>26000</v>
      </c>
      <c r="AN97" s="62">
        <f t="shared" si="480"/>
        <v>6000</v>
      </c>
      <c r="AO97" s="62">
        <f t="shared" si="480"/>
        <v>18000</v>
      </c>
      <c r="AP97" s="62">
        <f t="shared" si="480"/>
        <v>0</v>
      </c>
      <c r="AQ97" s="62">
        <f t="shared" si="480"/>
        <v>192000</v>
      </c>
      <c r="AR97" s="62">
        <f t="shared" si="480"/>
        <v>246000</v>
      </c>
      <c r="AS97" s="62">
        <f t="shared" si="480"/>
        <v>288500</v>
      </c>
      <c r="AT97" s="62">
        <f t="shared" si="480"/>
        <v>596000</v>
      </c>
      <c r="AU97" s="62">
        <f t="shared" si="480"/>
        <v>0</v>
      </c>
      <c r="AV97" s="62">
        <f t="shared" si="480"/>
        <v>15500</v>
      </c>
      <c r="AW97" s="190">
        <f t="shared" si="425"/>
        <v>1463250</v>
      </c>
      <c r="AX97" s="196">
        <f t="shared" ref="AX97" si="481">SUM(AX98:AX107)</f>
        <v>1.9180771770811712E-2</v>
      </c>
      <c r="AY97" s="62">
        <f t="shared" si="475"/>
        <v>18000</v>
      </c>
      <c r="AZ97" s="62">
        <f t="shared" si="475"/>
        <v>79500</v>
      </c>
      <c r="BA97" s="62">
        <f t="shared" si="475"/>
        <v>28800</v>
      </c>
      <c r="BB97" s="62">
        <f t="shared" si="475"/>
        <v>27000</v>
      </c>
      <c r="BC97" s="62">
        <f t="shared" si="475"/>
        <v>18000</v>
      </c>
      <c r="BD97" s="62">
        <f t="shared" si="475"/>
        <v>4000</v>
      </c>
      <c r="BE97" s="62">
        <f t="shared" si="475"/>
        <v>63000</v>
      </c>
      <c r="BF97" s="62">
        <f t="shared" si="475"/>
        <v>0</v>
      </c>
      <c r="BG97" s="62">
        <f t="shared" si="475"/>
        <v>0</v>
      </c>
      <c r="BH97" s="62">
        <f t="shared" si="475"/>
        <v>0</v>
      </c>
      <c r="BI97" s="62">
        <f t="shared" si="475"/>
        <v>0</v>
      </c>
      <c r="BJ97" s="62">
        <f t="shared" si="475"/>
        <v>19000</v>
      </c>
      <c r="BK97" s="190">
        <f t="shared" si="426"/>
        <v>257300</v>
      </c>
      <c r="BL97" s="196">
        <f t="shared" ref="BL97" si="482">SUM(BL98:BL107)</f>
        <v>3.6841867573689678E-3</v>
      </c>
      <c r="BM97" s="62">
        <f t="shared" ref="BM97:BX97" si="483">SUM(BM98:BM107)</f>
        <v>0</v>
      </c>
      <c r="BN97" s="62">
        <f t="shared" si="483"/>
        <v>0</v>
      </c>
      <c r="BO97" s="62">
        <f t="shared" si="483"/>
        <v>30000</v>
      </c>
      <c r="BP97" s="62">
        <f t="shared" si="483"/>
        <v>0</v>
      </c>
      <c r="BQ97" s="62">
        <f t="shared" si="483"/>
        <v>13500</v>
      </c>
      <c r="BR97" s="62">
        <f t="shared" si="483"/>
        <v>0</v>
      </c>
      <c r="BS97" s="62">
        <f t="shared" si="483"/>
        <v>0</v>
      </c>
      <c r="BT97" s="62">
        <f t="shared" si="483"/>
        <v>0</v>
      </c>
      <c r="BU97" s="62">
        <f t="shared" si="483"/>
        <v>0</v>
      </c>
      <c r="BV97" s="62">
        <f t="shared" si="483"/>
        <v>0</v>
      </c>
      <c r="BW97" s="62">
        <f t="shared" si="483"/>
        <v>0</v>
      </c>
      <c r="BX97" s="62">
        <f t="shared" si="483"/>
        <v>0</v>
      </c>
      <c r="BY97" s="190">
        <f t="shared" si="427"/>
        <v>43500</v>
      </c>
      <c r="BZ97" s="196">
        <f t="shared" ref="BZ97" si="484">SUM(BZ98:BZ107)</f>
        <v>9.9672592717851643E-4</v>
      </c>
      <c r="CA97" s="62">
        <f t="shared" ref="CA97:CL97" si="485">SUM(CA98:CA107)</f>
        <v>0</v>
      </c>
      <c r="CB97" s="62">
        <f t="shared" si="485"/>
        <v>0</v>
      </c>
      <c r="CC97" s="62">
        <f t="shared" si="485"/>
        <v>0</v>
      </c>
      <c r="CD97" s="62">
        <f t="shared" si="485"/>
        <v>0</v>
      </c>
      <c r="CE97" s="62">
        <f t="shared" si="485"/>
        <v>0</v>
      </c>
      <c r="CF97" s="62">
        <f t="shared" si="485"/>
        <v>0</v>
      </c>
      <c r="CG97" s="62">
        <f t="shared" si="485"/>
        <v>0</v>
      </c>
      <c r="CH97" s="62">
        <f t="shared" si="485"/>
        <v>0</v>
      </c>
      <c r="CI97" s="62">
        <f t="shared" si="485"/>
        <v>0</v>
      </c>
      <c r="CJ97" s="62">
        <f t="shared" si="485"/>
        <v>0</v>
      </c>
      <c r="CK97" s="62">
        <f t="shared" si="485"/>
        <v>0</v>
      </c>
      <c r="CL97" s="62">
        <f t="shared" si="485"/>
        <v>0</v>
      </c>
      <c r="CM97" s="190">
        <f t="shared" si="428"/>
        <v>0</v>
      </c>
      <c r="CN97" s="62">
        <f t="shared" ref="CN97:CY97" si="486">SUM(CN98:CN107)</f>
        <v>0</v>
      </c>
      <c r="CO97" s="62">
        <f t="shared" si="486"/>
        <v>0</v>
      </c>
      <c r="CP97" s="62">
        <f t="shared" si="486"/>
        <v>0</v>
      </c>
      <c r="CQ97" s="62">
        <f t="shared" si="486"/>
        <v>0</v>
      </c>
      <c r="CR97" s="62">
        <f t="shared" si="486"/>
        <v>0</v>
      </c>
      <c r="CS97" s="62">
        <f t="shared" si="486"/>
        <v>0</v>
      </c>
      <c r="CT97" s="62">
        <f t="shared" si="486"/>
        <v>0</v>
      </c>
      <c r="CU97" s="62">
        <f t="shared" si="486"/>
        <v>0</v>
      </c>
      <c r="CV97" s="62">
        <f t="shared" si="486"/>
        <v>0</v>
      </c>
      <c r="CW97" s="62">
        <f t="shared" si="486"/>
        <v>0</v>
      </c>
      <c r="CX97" s="62">
        <f t="shared" si="486"/>
        <v>0</v>
      </c>
      <c r="CY97" s="62">
        <f t="shared" si="486"/>
        <v>0</v>
      </c>
      <c r="CZ97" s="190">
        <f t="shared" si="429"/>
        <v>0</v>
      </c>
      <c r="DA97" s="62">
        <f t="shared" ref="DA97:DL97" si="487">SUM(DA98:DA107)</f>
        <v>0</v>
      </c>
      <c r="DB97" s="62">
        <f t="shared" si="487"/>
        <v>0</v>
      </c>
      <c r="DC97" s="62">
        <f t="shared" si="487"/>
        <v>0</v>
      </c>
      <c r="DD97" s="62">
        <f t="shared" si="487"/>
        <v>0</v>
      </c>
      <c r="DE97" s="62">
        <f t="shared" si="487"/>
        <v>0</v>
      </c>
      <c r="DF97" s="62">
        <f t="shared" si="487"/>
        <v>0</v>
      </c>
      <c r="DG97" s="62">
        <f t="shared" si="487"/>
        <v>0</v>
      </c>
      <c r="DH97" s="62">
        <f t="shared" si="487"/>
        <v>0</v>
      </c>
      <c r="DI97" s="62">
        <f t="shared" si="487"/>
        <v>0</v>
      </c>
      <c r="DJ97" s="62">
        <f t="shared" si="487"/>
        <v>0</v>
      </c>
      <c r="DK97" s="62">
        <f t="shared" si="487"/>
        <v>0</v>
      </c>
      <c r="DL97" s="62">
        <f t="shared" si="487"/>
        <v>0</v>
      </c>
      <c r="DM97" s="190">
        <f t="shared" si="430"/>
        <v>0</v>
      </c>
      <c r="DN97" s="62">
        <f t="shared" ref="DN97:DY97" si="488">SUM(DN98:DN107)</f>
        <v>0</v>
      </c>
      <c r="DO97" s="62">
        <f t="shared" si="488"/>
        <v>0</v>
      </c>
      <c r="DP97" s="62">
        <f t="shared" si="488"/>
        <v>0</v>
      </c>
      <c r="DQ97" s="62">
        <f t="shared" si="488"/>
        <v>0</v>
      </c>
      <c r="DR97" s="62">
        <f t="shared" si="488"/>
        <v>0</v>
      </c>
      <c r="DS97" s="62">
        <f t="shared" si="488"/>
        <v>0</v>
      </c>
      <c r="DT97" s="62">
        <f t="shared" si="488"/>
        <v>0</v>
      </c>
      <c r="DU97" s="62">
        <f t="shared" si="488"/>
        <v>0</v>
      </c>
      <c r="DV97" s="62">
        <f t="shared" si="488"/>
        <v>0</v>
      </c>
      <c r="DW97" s="62">
        <f t="shared" si="488"/>
        <v>0</v>
      </c>
      <c r="DX97" s="62">
        <f t="shared" si="488"/>
        <v>0</v>
      </c>
      <c r="DY97" s="62">
        <f t="shared" si="488"/>
        <v>0</v>
      </c>
      <c r="DZ97" s="190">
        <f t="shared" si="431"/>
        <v>0</v>
      </c>
    </row>
    <row r="98" spans="1:130" ht="20.45" customHeight="1" outlineLevel="2">
      <c r="A98" s="662"/>
      <c r="B98" s="653"/>
      <c r="C98" s="30" t="s">
        <v>357</v>
      </c>
      <c r="D98" s="62">
        <f t="shared" si="345"/>
        <v>35000.000000000007</v>
      </c>
      <c r="E98" s="184">
        <f t="shared" ref="E98:E107" si="489">D98/(D$5+D$6+D$7+D$8+D$10+D$9)</f>
        <v>1.0829011812481011E-4</v>
      </c>
      <c r="F98" s="62">
        <v>0</v>
      </c>
      <c r="G98" s="190">
        <f t="shared" si="433"/>
        <v>0</v>
      </c>
      <c r="H98" s="197">
        <f t="shared" ref="H98:H107" si="490">G98/(G$5+G$6+G$7+G$8+G$10+G$9)</f>
        <v>0</v>
      </c>
      <c r="I98" s="62">
        <v>35000</v>
      </c>
      <c r="J98" s="62">
        <v>0</v>
      </c>
      <c r="K98" s="62">
        <v>0</v>
      </c>
      <c r="L98" s="62">
        <v>0</v>
      </c>
      <c r="M98" s="62">
        <v>0</v>
      </c>
      <c r="N98" s="62">
        <v>0</v>
      </c>
      <c r="O98" s="62">
        <v>0</v>
      </c>
      <c r="P98" s="62">
        <v>0</v>
      </c>
      <c r="Q98" s="62">
        <v>0</v>
      </c>
      <c r="R98" s="62">
        <v>0</v>
      </c>
      <c r="S98" s="62">
        <v>0</v>
      </c>
      <c r="T98" s="62">
        <v>0</v>
      </c>
      <c r="U98" s="190">
        <f t="shared" si="423"/>
        <v>35000</v>
      </c>
      <c r="V98" s="197">
        <f t="shared" ref="V98:V107" si="491">U98/(U$5+U$6+U$7+U$8+U$10+U$9)</f>
        <v>6.3085800094762076E-4</v>
      </c>
      <c r="W98" s="62">
        <v>0</v>
      </c>
      <c r="X98" s="62">
        <v>0</v>
      </c>
      <c r="Y98" s="62">
        <v>0</v>
      </c>
      <c r="Z98" s="62">
        <v>0</v>
      </c>
      <c r="AA98" s="62">
        <v>0</v>
      </c>
      <c r="AB98" s="62">
        <v>0</v>
      </c>
      <c r="AC98" s="62">
        <v>0</v>
      </c>
      <c r="AD98" s="62">
        <v>0</v>
      </c>
      <c r="AE98" s="62">
        <v>0</v>
      </c>
      <c r="AF98" s="62">
        <v>0</v>
      </c>
      <c r="AG98" s="62">
        <v>0</v>
      </c>
      <c r="AH98" s="62">
        <v>0</v>
      </c>
      <c r="AI98" s="190">
        <f t="shared" si="424"/>
        <v>0</v>
      </c>
      <c r="AJ98" s="197">
        <f t="shared" ref="AJ98:AJ107" si="492">AI98/(AI$5+AI$6+AI$7+AI$8+AI$10+AI$9)</f>
        <v>0</v>
      </c>
      <c r="AK98" s="62">
        <v>0</v>
      </c>
      <c r="AL98" s="62">
        <v>0</v>
      </c>
      <c r="AM98" s="62">
        <v>0</v>
      </c>
      <c r="AN98" s="62">
        <v>0</v>
      </c>
      <c r="AO98" s="62">
        <v>0</v>
      </c>
      <c r="AP98" s="62">
        <v>0</v>
      </c>
      <c r="AQ98" s="62">
        <v>0</v>
      </c>
      <c r="AR98" s="62">
        <v>0</v>
      </c>
      <c r="AS98" s="62">
        <v>0</v>
      </c>
      <c r="AT98" s="62">
        <v>0</v>
      </c>
      <c r="AU98" s="62">
        <v>0</v>
      </c>
      <c r="AV98" s="62">
        <v>0</v>
      </c>
      <c r="AW98" s="190">
        <f t="shared" si="425"/>
        <v>0</v>
      </c>
      <c r="AX98" s="197">
        <f t="shared" ref="AX98:AX107" si="493">AW98/(AW$5+AW$6+AW$7+AW$8+AW$10+AW$9)</f>
        <v>0</v>
      </c>
      <c r="AY98" s="62">
        <v>0</v>
      </c>
      <c r="AZ98" s="62">
        <v>0</v>
      </c>
      <c r="BA98" s="62">
        <v>0</v>
      </c>
      <c r="BB98" s="62">
        <v>0</v>
      </c>
      <c r="BC98" s="62">
        <v>0</v>
      </c>
      <c r="BD98" s="62">
        <v>0</v>
      </c>
      <c r="BE98" s="62">
        <v>0</v>
      </c>
      <c r="BF98" s="62">
        <v>0</v>
      </c>
      <c r="BG98" s="62">
        <v>0</v>
      </c>
      <c r="BH98" s="62">
        <v>0</v>
      </c>
      <c r="BI98" s="62">
        <v>0</v>
      </c>
      <c r="BJ98" s="62">
        <v>0</v>
      </c>
      <c r="BK98" s="190">
        <f t="shared" si="426"/>
        <v>0</v>
      </c>
      <c r="BL98" s="197">
        <f t="shared" ref="BL98:BL107" si="494">BK98/(BK$5+BK$6+BK$7+BK$8+BK$10+BK$9)</f>
        <v>0</v>
      </c>
      <c r="BM98" s="62">
        <v>0</v>
      </c>
      <c r="BN98" s="62">
        <v>0</v>
      </c>
      <c r="BO98" s="62">
        <v>0</v>
      </c>
      <c r="BP98" s="62">
        <v>0</v>
      </c>
      <c r="BQ98" s="62">
        <v>0</v>
      </c>
      <c r="BR98" s="62">
        <v>0</v>
      </c>
      <c r="BS98" s="62">
        <v>0</v>
      </c>
      <c r="BT98" s="62">
        <v>0</v>
      </c>
      <c r="BU98" s="62">
        <v>0</v>
      </c>
      <c r="BV98" s="62">
        <v>0</v>
      </c>
      <c r="BW98" s="62">
        <v>0</v>
      </c>
      <c r="BX98" s="62">
        <v>0</v>
      </c>
      <c r="BY98" s="190">
        <f t="shared" si="427"/>
        <v>0</v>
      </c>
      <c r="BZ98" s="197">
        <f t="shared" ref="BZ98:BZ107" si="495">BY98/(BY$5+BY$6+BY$7+BY$8+BY$10+BY$9)</f>
        <v>0</v>
      </c>
      <c r="CA98" s="62">
        <v>0</v>
      </c>
      <c r="CB98" s="62">
        <v>0</v>
      </c>
      <c r="CC98" s="62">
        <v>0</v>
      </c>
      <c r="CD98" s="62">
        <v>0</v>
      </c>
      <c r="CE98" s="62">
        <v>0</v>
      </c>
      <c r="CF98" s="62">
        <v>0</v>
      </c>
      <c r="CG98" s="62">
        <v>0</v>
      </c>
      <c r="CH98" s="62">
        <v>0</v>
      </c>
      <c r="CI98" s="62">
        <v>0</v>
      </c>
      <c r="CJ98" s="62">
        <v>0</v>
      </c>
      <c r="CK98" s="62">
        <v>0</v>
      </c>
      <c r="CL98" s="62">
        <v>0</v>
      </c>
      <c r="CM98" s="190">
        <f t="shared" si="428"/>
        <v>0</v>
      </c>
      <c r="CN98" s="62">
        <v>0</v>
      </c>
      <c r="CO98" s="62">
        <v>0</v>
      </c>
      <c r="CP98" s="62">
        <v>0</v>
      </c>
      <c r="CQ98" s="62">
        <v>0</v>
      </c>
      <c r="CR98" s="62">
        <v>0</v>
      </c>
      <c r="CS98" s="62">
        <v>0</v>
      </c>
      <c r="CT98" s="62">
        <v>0</v>
      </c>
      <c r="CU98" s="62">
        <v>0</v>
      </c>
      <c r="CV98" s="62">
        <v>0</v>
      </c>
      <c r="CW98" s="62">
        <v>0</v>
      </c>
      <c r="CX98" s="62">
        <v>0</v>
      </c>
      <c r="CY98" s="62">
        <v>0</v>
      </c>
      <c r="CZ98" s="190">
        <f t="shared" si="429"/>
        <v>0</v>
      </c>
      <c r="DA98" s="62">
        <v>0</v>
      </c>
      <c r="DB98" s="62">
        <v>0</v>
      </c>
      <c r="DC98" s="62">
        <v>0</v>
      </c>
      <c r="DD98" s="62">
        <v>0</v>
      </c>
      <c r="DE98" s="62">
        <v>0</v>
      </c>
      <c r="DF98" s="62">
        <v>0</v>
      </c>
      <c r="DG98" s="62">
        <v>0</v>
      </c>
      <c r="DH98" s="62">
        <v>0</v>
      </c>
      <c r="DI98" s="62">
        <v>0</v>
      </c>
      <c r="DJ98" s="62">
        <v>0</v>
      </c>
      <c r="DK98" s="62">
        <v>0</v>
      </c>
      <c r="DL98" s="62">
        <v>0</v>
      </c>
      <c r="DM98" s="190">
        <f t="shared" si="430"/>
        <v>0</v>
      </c>
      <c r="DN98" s="62">
        <v>0</v>
      </c>
      <c r="DO98" s="62">
        <v>0</v>
      </c>
      <c r="DP98" s="62">
        <v>0</v>
      </c>
      <c r="DQ98" s="62">
        <v>0</v>
      </c>
      <c r="DR98" s="62">
        <v>0</v>
      </c>
      <c r="DS98" s="62">
        <v>0</v>
      </c>
      <c r="DT98" s="62">
        <v>0</v>
      </c>
      <c r="DU98" s="62">
        <v>0</v>
      </c>
      <c r="DV98" s="62">
        <v>0</v>
      </c>
      <c r="DW98" s="62">
        <v>0</v>
      </c>
      <c r="DX98" s="62">
        <v>0</v>
      </c>
      <c r="DY98" s="62">
        <v>0</v>
      </c>
      <c r="DZ98" s="190">
        <f t="shared" si="431"/>
        <v>0</v>
      </c>
    </row>
    <row r="99" spans="1:130" ht="20.45" customHeight="1" outlineLevel="2">
      <c r="A99" s="662"/>
      <c r="B99" s="653"/>
      <c r="C99" s="30" t="s">
        <v>358</v>
      </c>
      <c r="D99" s="62">
        <f t="shared" si="345"/>
        <v>21000</v>
      </c>
      <c r="E99" s="184">
        <f t="shared" si="489"/>
        <v>6.4974070874886057E-5</v>
      </c>
      <c r="F99" s="62">
        <v>0</v>
      </c>
      <c r="G99" s="190">
        <f t="shared" si="433"/>
        <v>0</v>
      </c>
      <c r="H99" s="197">
        <f t="shared" si="490"/>
        <v>0</v>
      </c>
      <c r="I99" s="62">
        <v>21000</v>
      </c>
      <c r="J99" s="62">
        <v>0</v>
      </c>
      <c r="K99" s="62">
        <v>0</v>
      </c>
      <c r="L99" s="62">
        <v>0</v>
      </c>
      <c r="M99" s="62">
        <v>0</v>
      </c>
      <c r="N99" s="62">
        <v>0</v>
      </c>
      <c r="O99" s="62">
        <v>0</v>
      </c>
      <c r="P99" s="62">
        <v>0</v>
      </c>
      <c r="Q99" s="62">
        <v>0</v>
      </c>
      <c r="R99" s="62">
        <v>0</v>
      </c>
      <c r="S99" s="62">
        <v>0</v>
      </c>
      <c r="T99" s="62">
        <v>0</v>
      </c>
      <c r="U99" s="190">
        <f t="shared" si="423"/>
        <v>21000</v>
      </c>
      <c r="V99" s="197">
        <f t="shared" si="491"/>
        <v>3.7851480056857247E-4</v>
      </c>
      <c r="W99" s="62">
        <v>0</v>
      </c>
      <c r="X99" s="62">
        <v>0</v>
      </c>
      <c r="Y99" s="62">
        <v>0</v>
      </c>
      <c r="Z99" s="62">
        <v>0</v>
      </c>
      <c r="AA99" s="62">
        <v>0</v>
      </c>
      <c r="AB99" s="62">
        <v>0</v>
      </c>
      <c r="AC99" s="62">
        <v>0</v>
      </c>
      <c r="AD99" s="62">
        <v>0</v>
      </c>
      <c r="AE99" s="62">
        <v>0</v>
      </c>
      <c r="AF99" s="62">
        <v>0</v>
      </c>
      <c r="AG99" s="62">
        <v>0</v>
      </c>
      <c r="AH99" s="62">
        <v>0</v>
      </c>
      <c r="AI99" s="190">
        <f t="shared" si="424"/>
        <v>0</v>
      </c>
      <c r="AJ99" s="197">
        <f t="shared" si="492"/>
        <v>0</v>
      </c>
      <c r="AK99" s="62">
        <v>0</v>
      </c>
      <c r="AL99" s="62">
        <v>0</v>
      </c>
      <c r="AM99" s="62">
        <v>0</v>
      </c>
      <c r="AN99" s="62">
        <v>0</v>
      </c>
      <c r="AO99" s="62">
        <v>0</v>
      </c>
      <c r="AP99" s="62">
        <v>0</v>
      </c>
      <c r="AQ99" s="62">
        <v>0</v>
      </c>
      <c r="AR99" s="62">
        <v>0</v>
      </c>
      <c r="AS99" s="62">
        <v>0</v>
      </c>
      <c r="AT99" s="62">
        <v>0</v>
      </c>
      <c r="AU99" s="62">
        <v>0</v>
      </c>
      <c r="AV99" s="62">
        <v>0</v>
      </c>
      <c r="AW99" s="190">
        <f t="shared" si="425"/>
        <v>0</v>
      </c>
      <c r="AX99" s="197">
        <f t="shared" si="493"/>
        <v>0</v>
      </c>
      <c r="AY99" s="62">
        <v>0</v>
      </c>
      <c r="AZ99" s="62">
        <v>0</v>
      </c>
      <c r="BA99" s="62">
        <v>0</v>
      </c>
      <c r="BB99" s="62">
        <v>0</v>
      </c>
      <c r="BC99" s="62">
        <v>0</v>
      </c>
      <c r="BD99" s="62">
        <v>0</v>
      </c>
      <c r="BE99" s="62">
        <v>0</v>
      </c>
      <c r="BF99" s="62">
        <v>0</v>
      </c>
      <c r="BG99" s="62">
        <v>0</v>
      </c>
      <c r="BH99" s="62">
        <v>0</v>
      </c>
      <c r="BI99" s="62">
        <v>0</v>
      </c>
      <c r="BJ99" s="62">
        <v>0</v>
      </c>
      <c r="BK99" s="190">
        <f t="shared" si="426"/>
        <v>0</v>
      </c>
      <c r="BL99" s="197">
        <f t="shared" si="494"/>
        <v>0</v>
      </c>
      <c r="BM99" s="62">
        <v>0</v>
      </c>
      <c r="BN99" s="62">
        <v>0</v>
      </c>
      <c r="BO99" s="62">
        <v>0</v>
      </c>
      <c r="BP99" s="62">
        <v>0</v>
      </c>
      <c r="BQ99" s="62">
        <v>0</v>
      </c>
      <c r="BR99" s="62">
        <v>0</v>
      </c>
      <c r="BS99" s="62">
        <v>0</v>
      </c>
      <c r="BT99" s="62">
        <v>0</v>
      </c>
      <c r="BU99" s="62">
        <v>0</v>
      </c>
      <c r="BV99" s="62">
        <v>0</v>
      </c>
      <c r="BW99" s="62">
        <v>0</v>
      </c>
      <c r="BX99" s="62">
        <v>0</v>
      </c>
      <c r="BY99" s="190">
        <f t="shared" si="427"/>
        <v>0</v>
      </c>
      <c r="BZ99" s="197">
        <f t="shared" si="495"/>
        <v>0</v>
      </c>
      <c r="CA99" s="62">
        <v>0</v>
      </c>
      <c r="CB99" s="62">
        <v>0</v>
      </c>
      <c r="CC99" s="62">
        <v>0</v>
      </c>
      <c r="CD99" s="62">
        <v>0</v>
      </c>
      <c r="CE99" s="62">
        <v>0</v>
      </c>
      <c r="CF99" s="62">
        <v>0</v>
      </c>
      <c r="CG99" s="62">
        <v>0</v>
      </c>
      <c r="CH99" s="62">
        <v>0</v>
      </c>
      <c r="CI99" s="62">
        <v>0</v>
      </c>
      <c r="CJ99" s="62">
        <v>0</v>
      </c>
      <c r="CK99" s="62">
        <v>0</v>
      </c>
      <c r="CL99" s="62">
        <v>0</v>
      </c>
      <c r="CM99" s="190">
        <f t="shared" si="428"/>
        <v>0</v>
      </c>
      <c r="CN99" s="62">
        <v>0</v>
      </c>
      <c r="CO99" s="62">
        <v>0</v>
      </c>
      <c r="CP99" s="62">
        <v>0</v>
      </c>
      <c r="CQ99" s="62">
        <v>0</v>
      </c>
      <c r="CR99" s="62">
        <v>0</v>
      </c>
      <c r="CS99" s="62">
        <v>0</v>
      </c>
      <c r="CT99" s="62">
        <v>0</v>
      </c>
      <c r="CU99" s="62">
        <v>0</v>
      </c>
      <c r="CV99" s="62">
        <v>0</v>
      </c>
      <c r="CW99" s="62">
        <v>0</v>
      </c>
      <c r="CX99" s="62">
        <v>0</v>
      </c>
      <c r="CY99" s="62">
        <v>0</v>
      </c>
      <c r="CZ99" s="190">
        <f t="shared" si="429"/>
        <v>0</v>
      </c>
      <c r="DA99" s="62">
        <v>0</v>
      </c>
      <c r="DB99" s="62">
        <v>0</v>
      </c>
      <c r="DC99" s="62">
        <v>0</v>
      </c>
      <c r="DD99" s="62">
        <v>0</v>
      </c>
      <c r="DE99" s="62">
        <v>0</v>
      </c>
      <c r="DF99" s="62">
        <v>0</v>
      </c>
      <c r="DG99" s="62">
        <v>0</v>
      </c>
      <c r="DH99" s="62">
        <v>0</v>
      </c>
      <c r="DI99" s="62">
        <v>0</v>
      </c>
      <c r="DJ99" s="62">
        <v>0</v>
      </c>
      <c r="DK99" s="62">
        <v>0</v>
      </c>
      <c r="DL99" s="62">
        <v>0</v>
      </c>
      <c r="DM99" s="190">
        <f t="shared" si="430"/>
        <v>0</v>
      </c>
      <c r="DN99" s="62">
        <v>0</v>
      </c>
      <c r="DO99" s="62">
        <v>0</v>
      </c>
      <c r="DP99" s="62">
        <v>0</v>
      </c>
      <c r="DQ99" s="62">
        <v>0</v>
      </c>
      <c r="DR99" s="62">
        <v>0</v>
      </c>
      <c r="DS99" s="62">
        <v>0</v>
      </c>
      <c r="DT99" s="62">
        <v>0</v>
      </c>
      <c r="DU99" s="62">
        <v>0</v>
      </c>
      <c r="DV99" s="62">
        <v>0</v>
      </c>
      <c r="DW99" s="62">
        <v>0</v>
      </c>
      <c r="DX99" s="62">
        <v>0</v>
      </c>
      <c r="DY99" s="62">
        <v>0</v>
      </c>
      <c r="DZ99" s="190">
        <f t="shared" si="431"/>
        <v>0</v>
      </c>
    </row>
    <row r="100" spans="1:130" ht="20.45" customHeight="1" outlineLevel="2">
      <c r="A100" s="662"/>
      <c r="B100" s="653"/>
      <c r="C100" s="30" t="s">
        <v>359</v>
      </c>
      <c r="D100" s="62">
        <f t="shared" si="345"/>
        <v>13900.000000000002</v>
      </c>
      <c r="E100" s="184">
        <f t="shared" si="489"/>
        <v>4.3006646912424584E-5</v>
      </c>
      <c r="F100" s="62">
        <v>0</v>
      </c>
      <c r="G100" s="190">
        <f t="shared" si="433"/>
        <v>0</v>
      </c>
      <c r="H100" s="197">
        <f t="shared" si="490"/>
        <v>0</v>
      </c>
      <c r="I100" s="62">
        <v>0</v>
      </c>
      <c r="J100" s="62">
        <v>0</v>
      </c>
      <c r="K100" s="62">
        <v>13900</v>
      </c>
      <c r="L100" s="62">
        <v>0</v>
      </c>
      <c r="M100" s="62">
        <v>0</v>
      </c>
      <c r="N100" s="62">
        <v>0</v>
      </c>
      <c r="O100" s="62">
        <v>0</v>
      </c>
      <c r="P100" s="62">
        <v>0</v>
      </c>
      <c r="Q100" s="62">
        <v>0</v>
      </c>
      <c r="R100" s="62">
        <v>0</v>
      </c>
      <c r="S100" s="62">
        <v>0</v>
      </c>
      <c r="T100" s="62">
        <v>0</v>
      </c>
      <c r="U100" s="190">
        <f t="shared" si="423"/>
        <v>13900</v>
      </c>
      <c r="V100" s="197">
        <f t="shared" si="491"/>
        <v>2.5054074894776941E-4</v>
      </c>
      <c r="W100" s="62">
        <v>0</v>
      </c>
      <c r="X100" s="62">
        <v>0</v>
      </c>
      <c r="Y100" s="62">
        <v>0</v>
      </c>
      <c r="Z100" s="62">
        <v>0</v>
      </c>
      <c r="AA100" s="62">
        <v>0</v>
      </c>
      <c r="AB100" s="62">
        <v>0</v>
      </c>
      <c r="AC100" s="62">
        <v>0</v>
      </c>
      <c r="AD100" s="62">
        <v>0</v>
      </c>
      <c r="AE100" s="62">
        <v>0</v>
      </c>
      <c r="AF100" s="62">
        <v>0</v>
      </c>
      <c r="AG100" s="62">
        <v>0</v>
      </c>
      <c r="AH100" s="62">
        <v>0</v>
      </c>
      <c r="AI100" s="190">
        <f t="shared" si="424"/>
        <v>0</v>
      </c>
      <c r="AJ100" s="197">
        <f t="shared" si="492"/>
        <v>0</v>
      </c>
      <c r="AK100" s="62">
        <v>0</v>
      </c>
      <c r="AL100" s="62">
        <v>0</v>
      </c>
      <c r="AM100" s="62">
        <v>0</v>
      </c>
      <c r="AN100" s="62">
        <v>0</v>
      </c>
      <c r="AO100" s="62">
        <v>0</v>
      </c>
      <c r="AP100" s="62">
        <v>0</v>
      </c>
      <c r="AQ100" s="62">
        <v>0</v>
      </c>
      <c r="AR100" s="62">
        <v>0</v>
      </c>
      <c r="AS100" s="62">
        <v>0</v>
      </c>
      <c r="AT100" s="62">
        <v>0</v>
      </c>
      <c r="AU100" s="62">
        <v>0</v>
      </c>
      <c r="AV100" s="62">
        <v>0</v>
      </c>
      <c r="AW100" s="190">
        <f t="shared" si="425"/>
        <v>0</v>
      </c>
      <c r="AX100" s="197">
        <f t="shared" si="493"/>
        <v>0</v>
      </c>
      <c r="AY100" s="62">
        <v>0</v>
      </c>
      <c r="AZ100" s="62">
        <v>0</v>
      </c>
      <c r="BA100" s="62">
        <v>0</v>
      </c>
      <c r="BB100" s="62">
        <v>0</v>
      </c>
      <c r="BC100" s="62">
        <v>0</v>
      </c>
      <c r="BD100" s="62">
        <v>0</v>
      </c>
      <c r="BE100" s="62">
        <v>0</v>
      </c>
      <c r="BF100" s="62">
        <v>0</v>
      </c>
      <c r="BG100" s="62">
        <v>0</v>
      </c>
      <c r="BH100" s="62">
        <v>0</v>
      </c>
      <c r="BI100" s="62">
        <v>0</v>
      </c>
      <c r="BJ100" s="62">
        <v>0</v>
      </c>
      <c r="BK100" s="190">
        <f t="shared" si="426"/>
        <v>0</v>
      </c>
      <c r="BL100" s="197">
        <f t="shared" si="494"/>
        <v>0</v>
      </c>
      <c r="BM100" s="62">
        <v>0</v>
      </c>
      <c r="BN100" s="62">
        <v>0</v>
      </c>
      <c r="BO100" s="62">
        <v>0</v>
      </c>
      <c r="BP100" s="62">
        <v>0</v>
      </c>
      <c r="BQ100" s="62">
        <v>0</v>
      </c>
      <c r="BR100" s="62">
        <v>0</v>
      </c>
      <c r="BS100" s="62">
        <v>0</v>
      </c>
      <c r="BT100" s="62">
        <v>0</v>
      </c>
      <c r="BU100" s="62">
        <v>0</v>
      </c>
      <c r="BV100" s="62">
        <v>0</v>
      </c>
      <c r="BW100" s="62">
        <v>0</v>
      </c>
      <c r="BX100" s="62">
        <v>0</v>
      </c>
      <c r="BY100" s="190">
        <f t="shared" si="427"/>
        <v>0</v>
      </c>
      <c r="BZ100" s="197">
        <f t="shared" si="495"/>
        <v>0</v>
      </c>
      <c r="CA100" s="62">
        <v>0</v>
      </c>
      <c r="CB100" s="62">
        <v>0</v>
      </c>
      <c r="CC100" s="62">
        <v>0</v>
      </c>
      <c r="CD100" s="62">
        <v>0</v>
      </c>
      <c r="CE100" s="62">
        <v>0</v>
      </c>
      <c r="CF100" s="62">
        <v>0</v>
      </c>
      <c r="CG100" s="62">
        <v>0</v>
      </c>
      <c r="CH100" s="62">
        <v>0</v>
      </c>
      <c r="CI100" s="62">
        <v>0</v>
      </c>
      <c r="CJ100" s="62">
        <v>0</v>
      </c>
      <c r="CK100" s="62">
        <v>0</v>
      </c>
      <c r="CL100" s="62">
        <v>0</v>
      </c>
      <c r="CM100" s="190">
        <f t="shared" si="428"/>
        <v>0</v>
      </c>
      <c r="CN100" s="62">
        <v>0</v>
      </c>
      <c r="CO100" s="62">
        <v>0</v>
      </c>
      <c r="CP100" s="62">
        <v>0</v>
      </c>
      <c r="CQ100" s="62">
        <v>0</v>
      </c>
      <c r="CR100" s="62">
        <v>0</v>
      </c>
      <c r="CS100" s="62">
        <v>0</v>
      </c>
      <c r="CT100" s="62">
        <v>0</v>
      </c>
      <c r="CU100" s="62">
        <v>0</v>
      </c>
      <c r="CV100" s="62">
        <v>0</v>
      </c>
      <c r="CW100" s="62">
        <v>0</v>
      </c>
      <c r="CX100" s="62">
        <v>0</v>
      </c>
      <c r="CY100" s="62">
        <v>0</v>
      </c>
      <c r="CZ100" s="190">
        <f t="shared" si="429"/>
        <v>0</v>
      </c>
      <c r="DA100" s="62">
        <v>0</v>
      </c>
      <c r="DB100" s="62">
        <v>0</v>
      </c>
      <c r="DC100" s="62">
        <v>0</v>
      </c>
      <c r="DD100" s="62">
        <v>0</v>
      </c>
      <c r="DE100" s="62">
        <v>0</v>
      </c>
      <c r="DF100" s="62">
        <v>0</v>
      </c>
      <c r="DG100" s="62">
        <v>0</v>
      </c>
      <c r="DH100" s="62">
        <v>0</v>
      </c>
      <c r="DI100" s="62">
        <v>0</v>
      </c>
      <c r="DJ100" s="62">
        <v>0</v>
      </c>
      <c r="DK100" s="62">
        <v>0</v>
      </c>
      <c r="DL100" s="62">
        <v>0</v>
      </c>
      <c r="DM100" s="190">
        <f t="shared" si="430"/>
        <v>0</v>
      </c>
      <c r="DN100" s="62">
        <v>0</v>
      </c>
      <c r="DO100" s="62">
        <v>0</v>
      </c>
      <c r="DP100" s="62">
        <v>0</v>
      </c>
      <c r="DQ100" s="62">
        <v>0</v>
      </c>
      <c r="DR100" s="62">
        <v>0</v>
      </c>
      <c r="DS100" s="62">
        <v>0</v>
      </c>
      <c r="DT100" s="62">
        <v>0</v>
      </c>
      <c r="DU100" s="62">
        <v>0</v>
      </c>
      <c r="DV100" s="62">
        <v>0</v>
      </c>
      <c r="DW100" s="62">
        <v>0</v>
      </c>
      <c r="DX100" s="62">
        <v>0</v>
      </c>
      <c r="DY100" s="62">
        <v>0</v>
      </c>
      <c r="DZ100" s="190">
        <f t="shared" si="431"/>
        <v>0</v>
      </c>
    </row>
    <row r="101" spans="1:130" ht="20.45" customHeight="1" outlineLevel="2">
      <c r="A101" s="662"/>
      <c r="B101" s="653"/>
      <c r="C101" s="30" t="s">
        <v>360</v>
      </c>
      <c r="D101" s="62">
        <f t="shared" si="345"/>
        <v>226150.00000000006</v>
      </c>
      <c r="E101" s="184">
        <f t="shared" si="489"/>
        <v>6.9970886325502308E-4</v>
      </c>
      <c r="F101" s="62">
        <v>0</v>
      </c>
      <c r="G101" s="190">
        <f t="shared" si="433"/>
        <v>0</v>
      </c>
      <c r="H101" s="197">
        <f t="shared" si="490"/>
        <v>0</v>
      </c>
      <c r="I101" s="62">
        <v>0</v>
      </c>
      <c r="J101" s="62">
        <v>0</v>
      </c>
      <c r="K101" s="62">
        <v>0</v>
      </c>
      <c r="L101" s="62">
        <v>0</v>
      </c>
      <c r="M101" s="62">
        <v>72100</v>
      </c>
      <c r="N101" s="62">
        <v>0</v>
      </c>
      <c r="O101" s="62">
        <v>0</v>
      </c>
      <c r="P101" s="62">
        <v>0</v>
      </c>
      <c r="Q101" s="62">
        <v>53300</v>
      </c>
      <c r="R101" s="62">
        <v>0</v>
      </c>
      <c r="S101" s="62">
        <v>0</v>
      </c>
      <c r="T101" s="62">
        <v>0</v>
      </c>
      <c r="U101" s="190">
        <f t="shared" si="423"/>
        <v>125400</v>
      </c>
      <c r="V101" s="197">
        <f t="shared" si="491"/>
        <v>2.2602740948237613E-3</v>
      </c>
      <c r="W101" s="62">
        <v>0</v>
      </c>
      <c r="X101" s="62">
        <v>0</v>
      </c>
      <c r="Y101" s="62">
        <v>0</v>
      </c>
      <c r="Z101" s="62">
        <v>0</v>
      </c>
      <c r="AA101" s="62">
        <v>0</v>
      </c>
      <c r="AB101" s="62">
        <v>0</v>
      </c>
      <c r="AC101" s="62">
        <v>0</v>
      </c>
      <c r="AD101" s="62">
        <v>0</v>
      </c>
      <c r="AE101" s="62">
        <v>0</v>
      </c>
      <c r="AF101" s="62">
        <v>0</v>
      </c>
      <c r="AG101" s="62">
        <v>0</v>
      </c>
      <c r="AH101" s="62">
        <v>0</v>
      </c>
      <c r="AI101" s="190">
        <f t="shared" si="424"/>
        <v>0</v>
      </c>
      <c r="AJ101" s="197">
        <f t="shared" si="492"/>
        <v>0</v>
      </c>
      <c r="AK101" s="62">
        <v>70750</v>
      </c>
      <c r="AL101" s="62">
        <v>0</v>
      </c>
      <c r="AM101" s="62">
        <v>0</v>
      </c>
      <c r="AN101" s="62">
        <v>0</v>
      </c>
      <c r="AO101" s="62">
        <v>0</v>
      </c>
      <c r="AP101" s="62">
        <v>0</v>
      </c>
      <c r="AQ101" s="62">
        <v>0</v>
      </c>
      <c r="AR101" s="62">
        <v>0</v>
      </c>
      <c r="AS101" s="62">
        <v>0</v>
      </c>
      <c r="AT101" s="62">
        <v>0</v>
      </c>
      <c r="AU101" s="62">
        <v>0</v>
      </c>
      <c r="AV101" s="62">
        <v>0</v>
      </c>
      <c r="AW101" s="190">
        <f t="shared" si="425"/>
        <v>70750</v>
      </c>
      <c r="AX101" s="197">
        <f t="shared" si="493"/>
        <v>9.2741472939342478E-4</v>
      </c>
      <c r="AY101" s="62">
        <v>0</v>
      </c>
      <c r="AZ101" s="62">
        <v>0</v>
      </c>
      <c r="BA101" s="62">
        <v>0</v>
      </c>
      <c r="BB101" s="62">
        <v>0</v>
      </c>
      <c r="BC101" s="62">
        <v>0</v>
      </c>
      <c r="BD101" s="62">
        <v>0</v>
      </c>
      <c r="BE101" s="62">
        <v>0</v>
      </c>
      <c r="BF101" s="62">
        <v>0</v>
      </c>
      <c r="BG101" s="62">
        <v>0</v>
      </c>
      <c r="BH101" s="62">
        <v>0</v>
      </c>
      <c r="BI101" s="62">
        <v>0</v>
      </c>
      <c r="BJ101" s="62">
        <v>0</v>
      </c>
      <c r="BK101" s="190">
        <f t="shared" si="426"/>
        <v>0</v>
      </c>
      <c r="BL101" s="197">
        <f t="shared" si="494"/>
        <v>0</v>
      </c>
      <c r="BM101" s="62">
        <v>0</v>
      </c>
      <c r="BN101" s="62">
        <v>0</v>
      </c>
      <c r="BO101" s="62">
        <v>30000</v>
      </c>
      <c r="BP101" s="62">
        <v>0</v>
      </c>
      <c r="BQ101" s="62">
        <v>0</v>
      </c>
      <c r="BR101" s="62">
        <v>0</v>
      </c>
      <c r="BS101" s="62">
        <v>0</v>
      </c>
      <c r="BT101" s="62">
        <v>0</v>
      </c>
      <c r="BU101" s="62">
        <v>0</v>
      </c>
      <c r="BV101" s="62">
        <v>0</v>
      </c>
      <c r="BW101" s="62">
        <v>0</v>
      </c>
      <c r="BX101" s="62">
        <v>0</v>
      </c>
      <c r="BY101" s="190">
        <f t="shared" si="427"/>
        <v>30000</v>
      </c>
      <c r="BZ101" s="197">
        <f t="shared" si="495"/>
        <v>6.8739719115759753E-4</v>
      </c>
      <c r="CA101" s="62">
        <v>0</v>
      </c>
      <c r="CB101" s="62">
        <v>0</v>
      </c>
      <c r="CC101" s="62">
        <v>0</v>
      </c>
      <c r="CD101" s="62">
        <v>0</v>
      </c>
      <c r="CE101" s="62">
        <v>0</v>
      </c>
      <c r="CF101" s="62">
        <v>0</v>
      </c>
      <c r="CG101" s="62">
        <v>0</v>
      </c>
      <c r="CH101" s="62">
        <v>0</v>
      </c>
      <c r="CI101" s="62">
        <v>0</v>
      </c>
      <c r="CJ101" s="62">
        <v>0</v>
      </c>
      <c r="CK101" s="62">
        <v>0</v>
      </c>
      <c r="CL101" s="62">
        <v>0</v>
      </c>
      <c r="CM101" s="190">
        <f t="shared" si="428"/>
        <v>0</v>
      </c>
      <c r="CN101" s="62">
        <v>0</v>
      </c>
      <c r="CO101" s="62">
        <v>0</v>
      </c>
      <c r="CP101" s="62">
        <v>0</v>
      </c>
      <c r="CQ101" s="62">
        <v>0</v>
      </c>
      <c r="CR101" s="62">
        <v>0</v>
      </c>
      <c r="CS101" s="62">
        <v>0</v>
      </c>
      <c r="CT101" s="62">
        <v>0</v>
      </c>
      <c r="CU101" s="62">
        <v>0</v>
      </c>
      <c r="CV101" s="62">
        <v>0</v>
      </c>
      <c r="CW101" s="62">
        <v>0</v>
      </c>
      <c r="CX101" s="62">
        <v>0</v>
      </c>
      <c r="CY101" s="62">
        <v>0</v>
      </c>
      <c r="CZ101" s="190">
        <f t="shared" si="429"/>
        <v>0</v>
      </c>
      <c r="DA101" s="62">
        <v>0</v>
      </c>
      <c r="DB101" s="62">
        <v>0</v>
      </c>
      <c r="DC101" s="62">
        <v>0</v>
      </c>
      <c r="DD101" s="62">
        <v>0</v>
      </c>
      <c r="DE101" s="62">
        <v>0</v>
      </c>
      <c r="DF101" s="62">
        <v>0</v>
      </c>
      <c r="DG101" s="62">
        <v>0</v>
      </c>
      <c r="DH101" s="62">
        <v>0</v>
      </c>
      <c r="DI101" s="62">
        <v>0</v>
      </c>
      <c r="DJ101" s="62">
        <v>0</v>
      </c>
      <c r="DK101" s="62">
        <v>0</v>
      </c>
      <c r="DL101" s="62">
        <v>0</v>
      </c>
      <c r="DM101" s="190">
        <f t="shared" si="430"/>
        <v>0</v>
      </c>
      <c r="DN101" s="62">
        <v>0</v>
      </c>
      <c r="DO101" s="62">
        <v>0</v>
      </c>
      <c r="DP101" s="62">
        <v>0</v>
      </c>
      <c r="DQ101" s="62">
        <v>0</v>
      </c>
      <c r="DR101" s="62">
        <v>0</v>
      </c>
      <c r="DS101" s="62">
        <v>0</v>
      </c>
      <c r="DT101" s="62">
        <v>0</v>
      </c>
      <c r="DU101" s="62">
        <v>0</v>
      </c>
      <c r="DV101" s="62">
        <v>0</v>
      </c>
      <c r="DW101" s="62">
        <v>0</v>
      </c>
      <c r="DX101" s="62">
        <v>0</v>
      </c>
      <c r="DY101" s="62">
        <v>0</v>
      </c>
      <c r="DZ101" s="190">
        <f t="shared" si="431"/>
        <v>0</v>
      </c>
    </row>
    <row r="102" spans="1:130" ht="20.45" customHeight="1" outlineLevel="2">
      <c r="A102" s="662"/>
      <c r="B102" s="653"/>
      <c r="C102" s="30" t="s">
        <v>361</v>
      </c>
      <c r="D102" s="62">
        <f t="shared" si="345"/>
        <v>138200.00000000009</v>
      </c>
      <c r="E102" s="184">
        <f t="shared" si="489"/>
        <v>4.275912664242504E-4</v>
      </c>
      <c r="F102" s="62">
        <v>0</v>
      </c>
      <c r="G102" s="190">
        <f t="shared" si="433"/>
        <v>0</v>
      </c>
      <c r="H102" s="197">
        <f t="shared" si="490"/>
        <v>0</v>
      </c>
      <c r="I102" s="62">
        <v>0</v>
      </c>
      <c r="J102" s="62">
        <v>0</v>
      </c>
      <c r="K102" s="62">
        <v>0</v>
      </c>
      <c r="L102" s="62">
        <v>0</v>
      </c>
      <c r="M102" s="62">
        <v>31000</v>
      </c>
      <c r="N102" s="62">
        <v>0</v>
      </c>
      <c r="O102" s="62">
        <v>0</v>
      </c>
      <c r="P102" s="62">
        <v>0</v>
      </c>
      <c r="Q102" s="62">
        <v>0</v>
      </c>
      <c r="R102" s="62">
        <v>0</v>
      </c>
      <c r="S102" s="62">
        <v>0</v>
      </c>
      <c r="T102" s="62">
        <v>0</v>
      </c>
      <c r="U102" s="190">
        <f t="shared" si="423"/>
        <v>31000</v>
      </c>
      <c r="V102" s="197">
        <f t="shared" si="491"/>
        <v>5.5875994369646411E-4</v>
      </c>
      <c r="W102" s="62">
        <v>0</v>
      </c>
      <c r="X102" s="62">
        <v>0</v>
      </c>
      <c r="Y102" s="62">
        <v>0</v>
      </c>
      <c r="Z102" s="62">
        <v>0</v>
      </c>
      <c r="AA102" s="62">
        <v>0</v>
      </c>
      <c r="AB102" s="62">
        <v>0</v>
      </c>
      <c r="AC102" s="62">
        <v>0</v>
      </c>
      <c r="AD102" s="62">
        <v>86200</v>
      </c>
      <c r="AE102" s="62">
        <v>0</v>
      </c>
      <c r="AF102" s="62">
        <v>0</v>
      </c>
      <c r="AG102" s="62">
        <v>0</v>
      </c>
      <c r="AH102" s="62">
        <v>0</v>
      </c>
      <c r="AI102" s="190">
        <f t="shared" si="424"/>
        <v>86200</v>
      </c>
      <c r="AJ102" s="197">
        <f t="shared" si="492"/>
        <v>1.1715346650176025E-3</v>
      </c>
      <c r="AK102" s="62">
        <v>0</v>
      </c>
      <c r="AL102" s="62">
        <v>0</v>
      </c>
      <c r="AM102" s="62">
        <v>0</v>
      </c>
      <c r="AN102" s="62">
        <v>0</v>
      </c>
      <c r="AO102" s="62">
        <v>0</v>
      </c>
      <c r="AP102" s="62">
        <v>0</v>
      </c>
      <c r="AQ102" s="62">
        <v>0</v>
      </c>
      <c r="AR102" s="62">
        <v>0</v>
      </c>
      <c r="AS102" s="62">
        <v>0</v>
      </c>
      <c r="AT102" s="62">
        <v>0</v>
      </c>
      <c r="AU102" s="62">
        <v>0</v>
      </c>
      <c r="AV102" s="62">
        <v>0</v>
      </c>
      <c r="AW102" s="190">
        <f t="shared" si="425"/>
        <v>0</v>
      </c>
      <c r="AX102" s="197">
        <f t="shared" si="493"/>
        <v>0</v>
      </c>
      <c r="AY102" s="62">
        <v>0</v>
      </c>
      <c r="AZ102" s="62">
        <v>21000</v>
      </c>
      <c r="BA102" s="62">
        <v>0</v>
      </c>
      <c r="BB102" s="62">
        <v>0</v>
      </c>
      <c r="BC102" s="62">
        <v>0</v>
      </c>
      <c r="BD102" s="62">
        <v>0</v>
      </c>
      <c r="BE102" s="62">
        <v>0</v>
      </c>
      <c r="BF102" s="62">
        <v>0</v>
      </c>
      <c r="BG102" s="62">
        <v>0</v>
      </c>
      <c r="BH102" s="62">
        <v>0</v>
      </c>
      <c r="BI102" s="62">
        <v>0</v>
      </c>
      <c r="BJ102" s="62">
        <v>0</v>
      </c>
      <c r="BK102" s="190">
        <f t="shared" si="426"/>
        <v>21000</v>
      </c>
      <c r="BL102" s="197">
        <f t="shared" si="494"/>
        <v>3.0069149593761493E-4</v>
      </c>
      <c r="BM102" s="62">
        <v>0</v>
      </c>
      <c r="BN102" s="62">
        <v>0</v>
      </c>
      <c r="BO102" s="62">
        <v>0</v>
      </c>
      <c r="BP102" s="62">
        <v>0</v>
      </c>
      <c r="BQ102" s="62">
        <v>0</v>
      </c>
      <c r="BR102" s="62">
        <v>0</v>
      </c>
      <c r="BS102" s="62">
        <v>0</v>
      </c>
      <c r="BT102" s="62">
        <v>0</v>
      </c>
      <c r="BU102" s="62">
        <v>0</v>
      </c>
      <c r="BV102" s="62">
        <v>0</v>
      </c>
      <c r="BW102" s="62">
        <v>0</v>
      </c>
      <c r="BX102" s="62">
        <v>0</v>
      </c>
      <c r="BY102" s="190">
        <f t="shared" si="427"/>
        <v>0</v>
      </c>
      <c r="BZ102" s="197">
        <f t="shared" si="495"/>
        <v>0</v>
      </c>
      <c r="CA102" s="62">
        <v>0</v>
      </c>
      <c r="CB102" s="62">
        <v>0</v>
      </c>
      <c r="CC102" s="62">
        <v>0</v>
      </c>
      <c r="CD102" s="62">
        <v>0</v>
      </c>
      <c r="CE102" s="62">
        <v>0</v>
      </c>
      <c r="CF102" s="62">
        <v>0</v>
      </c>
      <c r="CG102" s="62">
        <v>0</v>
      </c>
      <c r="CH102" s="62">
        <v>0</v>
      </c>
      <c r="CI102" s="62">
        <v>0</v>
      </c>
      <c r="CJ102" s="62">
        <v>0</v>
      </c>
      <c r="CK102" s="62">
        <v>0</v>
      </c>
      <c r="CL102" s="62">
        <v>0</v>
      </c>
      <c r="CM102" s="190">
        <f t="shared" si="428"/>
        <v>0</v>
      </c>
      <c r="CN102" s="62">
        <v>0</v>
      </c>
      <c r="CO102" s="62">
        <v>0</v>
      </c>
      <c r="CP102" s="62">
        <v>0</v>
      </c>
      <c r="CQ102" s="62">
        <v>0</v>
      </c>
      <c r="CR102" s="62">
        <v>0</v>
      </c>
      <c r="CS102" s="62">
        <v>0</v>
      </c>
      <c r="CT102" s="62">
        <v>0</v>
      </c>
      <c r="CU102" s="62">
        <v>0</v>
      </c>
      <c r="CV102" s="62">
        <v>0</v>
      </c>
      <c r="CW102" s="62">
        <v>0</v>
      </c>
      <c r="CX102" s="62">
        <v>0</v>
      </c>
      <c r="CY102" s="62">
        <v>0</v>
      </c>
      <c r="CZ102" s="190">
        <f t="shared" si="429"/>
        <v>0</v>
      </c>
      <c r="DA102" s="62">
        <v>0</v>
      </c>
      <c r="DB102" s="62">
        <v>0</v>
      </c>
      <c r="DC102" s="62">
        <v>0</v>
      </c>
      <c r="DD102" s="62">
        <v>0</v>
      </c>
      <c r="DE102" s="62">
        <v>0</v>
      </c>
      <c r="DF102" s="62">
        <v>0</v>
      </c>
      <c r="DG102" s="62">
        <v>0</v>
      </c>
      <c r="DH102" s="62">
        <v>0</v>
      </c>
      <c r="DI102" s="62">
        <v>0</v>
      </c>
      <c r="DJ102" s="62">
        <v>0</v>
      </c>
      <c r="DK102" s="62">
        <v>0</v>
      </c>
      <c r="DL102" s="62">
        <v>0</v>
      </c>
      <c r="DM102" s="190">
        <f t="shared" si="430"/>
        <v>0</v>
      </c>
      <c r="DN102" s="62">
        <v>0</v>
      </c>
      <c r="DO102" s="62">
        <v>0</v>
      </c>
      <c r="DP102" s="62">
        <v>0</v>
      </c>
      <c r="DQ102" s="62">
        <v>0</v>
      </c>
      <c r="DR102" s="62">
        <v>0</v>
      </c>
      <c r="DS102" s="62">
        <v>0</v>
      </c>
      <c r="DT102" s="62">
        <v>0</v>
      </c>
      <c r="DU102" s="62">
        <v>0</v>
      </c>
      <c r="DV102" s="62">
        <v>0</v>
      </c>
      <c r="DW102" s="62">
        <v>0</v>
      </c>
      <c r="DX102" s="62">
        <v>0</v>
      </c>
      <c r="DY102" s="62">
        <v>0</v>
      </c>
      <c r="DZ102" s="190">
        <f t="shared" si="431"/>
        <v>0</v>
      </c>
    </row>
    <row r="103" spans="1:130" ht="20.45" customHeight="1" outlineLevel="2">
      <c r="A103" s="663"/>
      <c r="B103" s="653"/>
      <c r="C103" s="30" t="s">
        <v>2787</v>
      </c>
      <c r="D103" s="62">
        <f t="shared" si="345"/>
        <v>83999.999999999985</v>
      </c>
      <c r="E103" s="184">
        <f t="shared" si="489"/>
        <v>2.5989628349954417E-4</v>
      </c>
      <c r="F103" s="62">
        <v>0</v>
      </c>
      <c r="G103" s="190">
        <f t="shared" si="433"/>
        <v>0</v>
      </c>
      <c r="H103" s="197">
        <f t="shared" si="490"/>
        <v>0</v>
      </c>
      <c r="I103" s="62">
        <v>0</v>
      </c>
      <c r="J103" s="62">
        <v>0</v>
      </c>
      <c r="K103" s="62">
        <v>0</v>
      </c>
      <c r="L103" s="62">
        <v>0</v>
      </c>
      <c r="M103" s="62">
        <v>0</v>
      </c>
      <c r="N103" s="62">
        <v>0</v>
      </c>
      <c r="O103" s="62">
        <v>0</v>
      </c>
      <c r="P103" s="62">
        <v>0</v>
      </c>
      <c r="Q103" s="62">
        <v>22000</v>
      </c>
      <c r="R103" s="62">
        <v>0</v>
      </c>
      <c r="S103" s="62">
        <v>0</v>
      </c>
      <c r="T103" s="62">
        <v>0</v>
      </c>
      <c r="U103" s="190">
        <f t="shared" si="423"/>
        <v>22000</v>
      </c>
      <c r="V103" s="197">
        <f t="shared" si="491"/>
        <v>3.9653931488136166E-4</v>
      </c>
      <c r="W103" s="62">
        <v>0</v>
      </c>
      <c r="X103" s="62">
        <v>0</v>
      </c>
      <c r="Y103" s="62">
        <v>0</v>
      </c>
      <c r="Z103" s="62">
        <v>0</v>
      </c>
      <c r="AA103" s="62">
        <v>0</v>
      </c>
      <c r="AB103" s="62">
        <v>0</v>
      </c>
      <c r="AC103" s="62">
        <v>28000</v>
      </c>
      <c r="AD103" s="62">
        <v>0</v>
      </c>
      <c r="AE103" s="62">
        <v>0</v>
      </c>
      <c r="AF103" s="62">
        <v>0</v>
      </c>
      <c r="AG103" s="62">
        <v>0</v>
      </c>
      <c r="AH103" s="62">
        <v>0</v>
      </c>
      <c r="AI103" s="190">
        <f t="shared" si="424"/>
        <v>28000</v>
      </c>
      <c r="AJ103" s="197">
        <f t="shared" si="492"/>
        <v>3.8054490278994048E-4</v>
      </c>
      <c r="AK103" s="62">
        <v>0</v>
      </c>
      <c r="AL103" s="62">
        <v>0</v>
      </c>
      <c r="AM103" s="62">
        <v>0</v>
      </c>
      <c r="AN103" s="62">
        <v>0</v>
      </c>
      <c r="AO103" s="62">
        <v>0</v>
      </c>
      <c r="AP103" s="62">
        <v>0</v>
      </c>
      <c r="AQ103" s="62">
        <v>0</v>
      </c>
      <c r="AR103" s="62">
        <v>0</v>
      </c>
      <c r="AS103" s="62">
        <v>0</v>
      </c>
      <c r="AT103" s="62">
        <f>6000+28000</f>
        <v>34000</v>
      </c>
      <c r="AU103" s="62">
        <v>0</v>
      </c>
      <c r="AV103" s="62">
        <v>0</v>
      </c>
      <c r="AW103" s="190">
        <f t="shared" si="425"/>
        <v>34000</v>
      </c>
      <c r="AX103" s="197">
        <f t="shared" si="493"/>
        <v>4.4568340352475538E-4</v>
      </c>
      <c r="AY103" s="62">
        <v>0</v>
      </c>
      <c r="AZ103" s="62">
        <v>0</v>
      </c>
      <c r="BA103" s="62">
        <v>0</v>
      </c>
      <c r="BB103" s="62">
        <v>0</v>
      </c>
      <c r="BC103" s="62">
        <v>0</v>
      </c>
      <c r="BD103" s="62">
        <v>0</v>
      </c>
      <c r="BE103" s="62">
        <v>0</v>
      </c>
      <c r="BF103" s="62">
        <v>0</v>
      </c>
      <c r="BG103" s="62">
        <v>0</v>
      </c>
      <c r="BH103" s="62">
        <v>0</v>
      </c>
      <c r="BI103" s="62">
        <v>0</v>
      </c>
      <c r="BJ103" s="62">
        <v>0</v>
      </c>
      <c r="BK103" s="190">
        <f t="shared" si="426"/>
        <v>0</v>
      </c>
      <c r="BL103" s="197">
        <f t="shared" si="494"/>
        <v>0</v>
      </c>
      <c r="BM103" s="62">
        <v>0</v>
      </c>
      <c r="BN103" s="62">
        <v>0</v>
      </c>
      <c r="BO103" s="62">
        <v>0</v>
      </c>
      <c r="BP103" s="62">
        <v>0</v>
      </c>
      <c r="BQ103" s="62">
        <v>0</v>
      </c>
      <c r="BR103" s="62">
        <v>0</v>
      </c>
      <c r="BS103" s="62">
        <v>0</v>
      </c>
      <c r="BT103" s="62">
        <v>0</v>
      </c>
      <c r="BU103" s="62">
        <v>0</v>
      </c>
      <c r="BV103" s="62">
        <v>0</v>
      </c>
      <c r="BW103" s="62">
        <v>0</v>
      </c>
      <c r="BX103" s="62">
        <v>0</v>
      </c>
      <c r="BY103" s="190">
        <f t="shared" si="427"/>
        <v>0</v>
      </c>
      <c r="BZ103" s="197">
        <f t="shared" si="495"/>
        <v>0</v>
      </c>
      <c r="CA103" s="62">
        <v>0</v>
      </c>
      <c r="CB103" s="62">
        <v>0</v>
      </c>
      <c r="CC103" s="62">
        <v>0</v>
      </c>
      <c r="CD103" s="62">
        <v>0</v>
      </c>
      <c r="CE103" s="62">
        <v>0</v>
      </c>
      <c r="CF103" s="62">
        <v>0</v>
      </c>
      <c r="CG103" s="62">
        <v>0</v>
      </c>
      <c r="CH103" s="62">
        <v>0</v>
      </c>
      <c r="CI103" s="62">
        <v>0</v>
      </c>
      <c r="CJ103" s="62">
        <v>0</v>
      </c>
      <c r="CK103" s="62">
        <v>0</v>
      </c>
      <c r="CL103" s="62">
        <v>0</v>
      </c>
      <c r="CM103" s="190">
        <f t="shared" si="428"/>
        <v>0</v>
      </c>
      <c r="CN103" s="62">
        <v>0</v>
      </c>
      <c r="CO103" s="62">
        <v>0</v>
      </c>
      <c r="CP103" s="62">
        <v>0</v>
      </c>
      <c r="CQ103" s="62">
        <v>0</v>
      </c>
      <c r="CR103" s="62">
        <v>0</v>
      </c>
      <c r="CS103" s="62">
        <v>0</v>
      </c>
      <c r="CT103" s="62">
        <v>0</v>
      </c>
      <c r="CU103" s="62">
        <v>0</v>
      </c>
      <c r="CV103" s="62">
        <v>0</v>
      </c>
      <c r="CW103" s="62">
        <v>0</v>
      </c>
      <c r="CX103" s="62">
        <v>0</v>
      </c>
      <c r="CY103" s="62">
        <v>0</v>
      </c>
      <c r="CZ103" s="190">
        <f t="shared" si="429"/>
        <v>0</v>
      </c>
      <c r="DA103" s="62">
        <v>0</v>
      </c>
      <c r="DB103" s="62">
        <v>0</v>
      </c>
      <c r="DC103" s="62">
        <v>0</v>
      </c>
      <c r="DD103" s="62">
        <v>0</v>
      </c>
      <c r="DE103" s="62">
        <v>0</v>
      </c>
      <c r="DF103" s="62">
        <v>0</v>
      </c>
      <c r="DG103" s="62">
        <v>0</v>
      </c>
      <c r="DH103" s="62">
        <v>0</v>
      </c>
      <c r="DI103" s="62">
        <v>0</v>
      </c>
      <c r="DJ103" s="62">
        <v>0</v>
      </c>
      <c r="DK103" s="62">
        <v>0</v>
      </c>
      <c r="DL103" s="62">
        <v>0</v>
      </c>
      <c r="DM103" s="190">
        <f t="shared" si="430"/>
        <v>0</v>
      </c>
      <c r="DN103" s="62">
        <v>0</v>
      </c>
      <c r="DO103" s="62">
        <v>0</v>
      </c>
      <c r="DP103" s="62">
        <v>0</v>
      </c>
      <c r="DQ103" s="62">
        <v>0</v>
      </c>
      <c r="DR103" s="62">
        <v>0</v>
      </c>
      <c r="DS103" s="62">
        <v>0</v>
      </c>
      <c r="DT103" s="62">
        <v>0</v>
      </c>
      <c r="DU103" s="62">
        <v>0</v>
      </c>
      <c r="DV103" s="62">
        <v>0</v>
      </c>
      <c r="DW103" s="62">
        <v>0</v>
      </c>
      <c r="DX103" s="62">
        <v>0</v>
      </c>
      <c r="DY103" s="62">
        <v>0</v>
      </c>
      <c r="DZ103" s="190">
        <f t="shared" si="431"/>
        <v>0</v>
      </c>
    </row>
    <row r="104" spans="1:130" ht="20.45" customHeight="1" outlineLevel="2">
      <c r="A104" s="663"/>
      <c r="B104" s="653"/>
      <c r="C104" s="30" t="s">
        <v>2620</v>
      </c>
      <c r="D104" s="62">
        <f t="shared" si="345"/>
        <v>43000.000000000007</v>
      </c>
      <c r="E104" s="184">
        <f t="shared" si="489"/>
        <v>1.3304214512476671E-4</v>
      </c>
      <c r="F104" s="62">
        <v>0</v>
      </c>
      <c r="G104" s="190">
        <f t="shared" ref="G104" si="496">SUM(F104)</f>
        <v>0</v>
      </c>
      <c r="H104" s="197">
        <f t="shared" si="490"/>
        <v>0</v>
      </c>
      <c r="I104" s="62">
        <v>0</v>
      </c>
      <c r="J104" s="62">
        <v>0</v>
      </c>
      <c r="K104" s="62">
        <v>0</v>
      </c>
      <c r="L104" s="62">
        <v>0</v>
      </c>
      <c r="M104" s="62">
        <v>0</v>
      </c>
      <c r="N104" s="62">
        <v>0</v>
      </c>
      <c r="O104" s="62">
        <v>0</v>
      </c>
      <c r="P104" s="62">
        <v>0</v>
      </c>
      <c r="Q104" s="62">
        <v>0</v>
      </c>
      <c r="R104" s="62">
        <v>0</v>
      </c>
      <c r="S104" s="62">
        <v>0</v>
      </c>
      <c r="T104" s="62">
        <v>0</v>
      </c>
      <c r="U104" s="190">
        <f t="shared" ref="U104:U105" si="497">SUM(I104:T104)</f>
        <v>0</v>
      </c>
      <c r="V104" s="197">
        <f t="shared" si="491"/>
        <v>0</v>
      </c>
      <c r="W104" s="62">
        <v>0</v>
      </c>
      <c r="X104" s="62">
        <v>0</v>
      </c>
      <c r="Y104" s="62">
        <v>0</v>
      </c>
      <c r="Z104" s="62">
        <v>0</v>
      </c>
      <c r="AA104" s="62">
        <v>0</v>
      </c>
      <c r="AB104" s="62">
        <v>0</v>
      </c>
      <c r="AC104" s="62">
        <v>43000</v>
      </c>
      <c r="AD104" s="62">
        <v>0</v>
      </c>
      <c r="AE104" s="62">
        <v>0</v>
      </c>
      <c r="AF104" s="62">
        <v>0</v>
      </c>
      <c r="AG104" s="62">
        <v>0</v>
      </c>
      <c r="AH104" s="62">
        <v>0</v>
      </c>
      <c r="AI104" s="190">
        <f t="shared" ref="AI104" si="498">SUM(W104:AH104)</f>
        <v>43000</v>
      </c>
      <c r="AJ104" s="197">
        <f t="shared" si="492"/>
        <v>5.8440824357026576E-4</v>
      </c>
      <c r="AK104" s="62">
        <v>0</v>
      </c>
      <c r="AL104" s="62">
        <v>0</v>
      </c>
      <c r="AM104" s="62">
        <v>0</v>
      </c>
      <c r="AN104" s="62">
        <v>0</v>
      </c>
      <c r="AO104" s="62">
        <v>0</v>
      </c>
      <c r="AP104" s="62">
        <v>0</v>
      </c>
      <c r="AQ104" s="62">
        <v>0</v>
      </c>
      <c r="AR104" s="62">
        <v>0</v>
      </c>
      <c r="AS104" s="62">
        <v>0</v>
      </c>
      <c r="AT104" s="62">
        <v>0</v>
      </c>
      <c r="AU104" s="62">
        <v>0</v>
      </c>
      <c r="AV104" s="62">
        <v>0</v>
      </c>
      <c r="AW104" s="190">
        <f t="shared" ref="AW104:AW105" si="499">SUM(AK104:AV104)</f>
        <v>0</v>
      </c>
      <c r="AX104" s="197">
        <f t="shared" si="493"/>
        <v>0</v>
      </c>
      <c r="AY104" s="62">
        <v>0</v>
      </c>
      <c r="AZ104" s="62">
        <v>0</v>
      </c>
      <c r="BA104" s="62">
        <v>0</v>
      </c>
      <c r="BB104" s="62">
        <v>0</v>
      </c>
      <c r="BC104" s="62">
        <v>0</v>
      </c>
      <c r="BD104" s="62">
        <v>0</v>
      </c>
      <c r="BE104" s="62">
        <v>0</v>
      </c>
      <c r="BF104" s="62">
        <v>0</v>
      </c>
      <c r="BG104" s="62">
        <v>0</v>
      </c>
      <c r="BH104" s="62">
        <v>0</v>
      </c>
      <c r="BI104" s="62">
        <v>0</v>
      </c>
      <c r="BJ104" s="62">
        <v>0</v>
      </c>
      <c r="BK104" s="190">
        <f t="shared" ref="BK104:BK105" si="500">SUM(AY104:BJ104)</f>
        <v>0</v>
      </c>
      <c r="BL104" s="197">
        <f t="shared" si="494"/>
        <v>0</v>
      </c>
      <c r="BM104" s="62">
        <v>0</v>
      </c>
      <c r="BN104" s="62">
        <v>0</v>
      </c>
      <c r="BO104" s="62">
        <v>0</v>
      </c>
      <c r="BP104" s="62">
        <v>0</v>
      </c>
      <c r="BQ104" s="62">
        <v>0</v>
      </c>
      <c r="BR104" s="62">
        <v>0</v>
      </c>
      <c r="BS104" s="62">
        <v>0</v>
      </c>
      <c r="BT104" s="62">
        <v>0</v>
      </c>
      <c r="BU104" s="62">
        <v>0</v>
      </c>
      <c r="BV104" s="62">
        <v>0</v>
      </c>
      <c r="BW104" s="62">
        <v>0</v>
      </c>
      <c r="BX104" s="62">
        <v>0</v>
      </c>
      <c r="BY104" s="190">
        <f t="shared" ref="BY104:BY105" si="501">SUM(BM104:BX104)</f>
        <v>0</v>
      </c>
      <c r="BZ104" s="197">
        <f t="shared" si="495"/>
        <v>0</v>
      </c>
      <c r="CA104" s="62">
        <v>0</v>
      </c>
      <c r="CB104" s="62">
        <v>0</v>
      </c>
      <c r="CC104" s="62">
        <v>0</v>
      </c>
      <c r="CD104" s="62">
        <v>0</v>
      </c>
      <c r="CE104" s="62">
        <v>0</v>
      </c>
      <c r="CF104" s="62">
        <v>0</v>
      </c>
      <c r="CG104" s="62">
        <v>0</v>
      </c>
      <c r="CH104" s="62">
        <v>0</v>
      </c>
      <c r="CI104" s="62">
        <v>0</v>
      </c>
      <c r="CJ104" s="62">
        <v>0</v>
      </c>
      <c r="CK104" s="62">
        <v>0</v>
      </c>
      <c r="CL104" s="62">
        <v>0</v>
      </c>
      <c r="CM104" s="190">
        <f t="shared" ref="CM104:CM105" si="502">SUM(CA104:CL104)</f>
        <v>0</v>
      </c>
      <c r="CN104" s="62">
        <v>0</v>
      </c>
      <c r="CO104" s="62">
        <v>0</v>
      </c>
      <c r="CP104" s="62">
        <v>0</v>
      </c>
      <c r="CQ104" s="62">
        <v>0</v>
      </c>
      <c r="CR104" s="62">
        <v>0</v>
      </c>
      <c r="CS104" s="62">
        <v>0</v>
      </c>
      <c r="CT104" s="62">
        <v>0</v>
      </c>
      <c r="CU104" s="62">
        <v>0</v>
      </c>
      <c r="CV104" s="62">
        <v>0</v>
      </c>
      <c r="CW104" s="62">
        <v>0</v>
      </c>
      <c r="CX104" s="62">
        <v>0</v>
      </c>
      <c r="CY104" s="62">
        <v>0</v>
      </c>
      <c r="CZ104" s="190">
        <f t="shared" ref="CZ104:CZ105" si="503">SUM(CN104:CY104)</f>
        <v>0</v>
      </c>
      <c r="DA104" s="62">
        <v>0</v>
      </c>
      <c r="DB104" s="62">
        <v>0</v>
      </c>
      <c r="DC104" s="62">
        <v>0</v>
      </c>
      <c r="DD104" s="62">
        <v>0</v>
      </c>
      <c r="DE104" s="62">
        <v>0</v>
      </c>
      <c r="DF104" s="62">
        <v>0</v>
      </c>
      <c r="DG104" s="62">
        <v>0</v>
      </c>
      <c r="DH104" s="62">
        <v>0</v>
      </c>
      <c r="DI104" s="62">
        <v>0</v>
      </c>
      <c r="DJ104" s="62">
        <v>0</v>
      </c>
      <c r="DK104" s="62">
        <v>0</v>
      </c>
      <c r="DL104" s="62">
        <v>0</v>
      </c>
      <c r="DM104" s="190">
        <f t="shared" ref="DM104:DM105" si="504">SUM(DA104:DL104)</f>
        <v>0</v>
      </c>
      <c r="DN104" s="62">
        <v>0</v>
      </c>
      <c r="DO104" s="62">
        <v>0</v>
      </c>
      <c r="DP104" s="62">
        <v>0</v>
      </c>
      <c r="DQ104" s="62">
        <v>0</v>
      </c>
      <c r="DR104" s="62">
        <v>0</v>
      </c>
      <c r="DS104" s="62">
        <v>0</v>
      </c>
      <c r="DT104" s="62">
        <v>0</v>
      </c>
      <c r="DU104" s="62">
        <v>0</v>
      </c>
      <c r="DV104" s="62">
        <v>0</v>
      </c>
      <c r="DW104" s="62">
        <v>0</v>
      </c>
      <c r="DX104" s="62">
        <v>0</v>
      </c>
      <c r="DY104" s="62">
        <v>0</v>
      </c>
      <c r="DZ104" s="190">
        <f t="shared" ref="DZ104:DZ105" si="505">SUM(DN104:DY104)</f>
        <v>0</v>
      </c>
    </row>
    <row r="105" spans="1:130" ht="20.45" customHeight="1" outlineLevel="2">
      <c r="A105" s="663"/>
      <c r="B105" s="653"/>
      <c r="C105" s="30" t="s">
        <v>2621</v>
      </c>
      <c r="D105" s="62">
        <f t="shared" si="345"/>
        <v>1254500.0000000002</v>
      </c>
      <c r="E105" s="184">
        <f t="shared" si="489"/>
        <v>3.8814272339306941E-3</v>
      </c>
      <c r="F105" s="62">
        <v>0</v>
      </c>
      <c r="G105" s="190">
        <f t="shared" ref="G105" si="506">SUM(F105)</f>
        <v>0</v>
      </c>
      <c r="H105" s="197">
        <f t="shared" si="490"/>
        <v>0</v>
      </c>
      <c r="I105" s="62">
        <v>0</v>
      </c>
      <c r="J105" s="62">
        <v>0</v>
      </c>
      <c r="K105" s="62">
        <v>0</v>
      </c>
      <c r="L105" s="62">
        <v>0</v>
      </c>
      <c r="M105" s="62">
        <v>0</v>
      </c>
      <c r="N105" s="62">
        <v>0</v>
      </c>
      <c r="O105" s="62">
        <v>0</v>
      </c>
      <c r="P105" s="62">
        <v>0</v>
      </c>
      <c r="Q105" s="62">
        <v>0</v>
      </c>
      <c r="R105" s="62">
        <v>0</v>
      </c>
      <c r="S105" s="62">
        <v>0</v>
      </c>
      <c r="T105" s="62">
        <v>0</v>
      </c>
      <c r="U105" s="190">
        <f t="shared" si="497"/>
        <v>0</v>
      </c>
      <c r="V105" s="197">
        <f t="shared" si="491"/>
        <v>0</v>
      </c>
      <c r="W105" s="62">
        <v>0</v>
      </c>
      <c r="X105" s="62">
        <v>0</v>
      </c>
      <c r="Y105" s="62">
        <v>0</v>
      </c>
      <c r="Z105" s="62">
        <v>0</v>
      </c>
      <c r="AA105" s="62">
        <v>0</v>
      </c>
      <c r="AB105" s="62">
        <v>0</v>
      </c>
      <c r="AC105" s="62">
        <v>0</v>
      </c>
      <c r="AD105" s="62">
        <v>0</v>
      </c>
      <c r="AE105" s="62">
        <v>0</v>
      </c>
      <c r="AF105" s="62">
        <v>0</v>
      </c>
      <c r="AG105" s="62">
        <v>0</v>
      </c>
      <c r="AH105" s="62">
        <v>0</v>
      </c>
      <c r="AI105" s="190">
        <f t="shared" ref="AI105:AI106" si="507">SUM(W105:AH105)</f>
        <v>0</v>
      </c>
      <c r="AJ105" s="197">
        <f t="shared" si="492"/>
        <v>0</v>
      </c>
      <c r="AK105" s="62">
        <v>0</v>
      </c>
      <c r="AL105" s="62">
        <v>0</v>
      </c>
      <c r="AM105" s="62">
        <v>0</v>
      </c>
      <c r="AN105" s="62">
        <v>0</v>
      </c>
      <c r="AO105" s="62">
        <v>0</v>
      </c>
      <c r="AP105" s="62">
        <v>0</v>
      </c>
      <c r="AQ105" s="62">
        <v>165000</v>
      </c>
      <c r="AR105" s="62">
        <f>215000+42500-12500</f>
        <v>245000</v>
      </c>
      <c r="AS105" s="62">
        <v>282500</v>
      </c>
      <c r="AT105" s="62">
        <f>250000+22000+290000</f>
        <v>562000</v>
      </c>
      <c r="AU105" s="62">
        <v>0</v>
      </c>
      <c r="AV105" s="62">
        <v>0</v>
      </c>
      <c r="AW105" s="190">
        <f t="shared" si="499"/>
        <v>1254500</v>
      </c>
      <c r="AX105" s="197">
        <f t="shared" si="493"/>
        <v>1.6444406756523693E-2</v>
      </c>
      <c r="AY105" s="62">
        <v>0</v>
      </c>
      <c r="AZ105" s="62">
        <v>0</v>
      </c>
      <c r="BA105" s="62">
        <v>0</v>
      </c>
      <c r="BB105" s="62">
        <v>0</v>
      </c>
      <c r="BC105" s="62">
        <v>0</v>
      </c>
      <c r="BD105" s="62">
        <v>0</v>
      </c>
      <c r="BE105" s="62">
        <v>0</v>
      </c>
      <c r="BF105" s="62">
        <v>0</v>
      </c>
      <c r="BG105" s="62">
        <v>0</v>
      </c>
      <c r="BH105" s="62">
        <v>0</v>
      </c>
      <c r="BI105" s="62">
        <v>0</v>
      </c>
      <c r="BJ105" s="62">
        <v>0</v>
      </c>
      <c r="BK105" s="190">
        <f t="shared" si="500"/>
        <v>0</v>
      </c>
      <c r="BL105" s="197">
        <f t="shared" si="494"/>
        <v>0</v>
      </c>
      <c r="BM105" s="62">
        <v>0</v>
      </c>
      <c r="BN105" s="62">
        <v>0</v>
      </c>
      <c r="BO105" s="62">
        <v>0</v>
      </c>
      <c r="BP105" s="62">
        <v>0</v>
      </c>
      <c r="BQ105" s="62">
        <v>0</v>
      </c>
      <c r="BR105" s="62">
        <v>0</v>
      </c>
      <c r="BS105" s="62">
        <v>0</v>
      </c>
      <c r="BT105" s="62">
        <v>0</v>
      </c>
      <c r="BU105" s="62">
        <v>0</v>
      </c>
      <c r="BV105" s="62">
        <v>0</v>
      </c>
      <c r="BW105" s="62">
        <v>0</v>
      </c>
      <c r="BX105" s="62">
        <v>0</v>
      </c>
      <c r="BY105" s="190">
        <f t="shared" si="501"/>
        <v>0</v>
      </c>
      <c r="BZ105" s="197">
        <f t="shared" si="495"/>
        <v>0</v>
      </c>
      <c r="CA105" s="62">
        <v>0</v>
      </c>
      <c r="CB105" s="62">
        <v>0</v>
      </c>
      <c r="CC105" s="62">
        <v>0</v>
      </c>
      <c r="CD105" s="62">
        <v>0</v>
      </c>
      <c r="CE105" s="62">
        <v>0</v>
      </c>
      <c r="CF105" s="62">
        <v>0</v>
      </c>
      <c r="CG105" s="62">
        <v>0</v>
      </c>
      <c r="CH105" s="62">
        <v>0</v>
      </c>
      <c r="CI105" s="62">
        <v>0</v>
      </c>
      <c r="CJ105" s="62">
        <v>0</v>
      </c>
      <c r="CK105" s="62">
        <v>0</v>
      </c>
      <c r="CL105" s="62">
        <v>0</v>
      </c>
      <c r="CM105" s="190">
        <f t="shared" si="502"/>
        <v>0</v>
      </c>
      <c r="CN105" s="62">
        <v>0</v>
      </c>
      <c r="CO105" s="62">
        <v>0</v>
      </c>
      <c r="CP105" s="62">
        <v>0</v>
      </c>
      <c r="CQ105" s="62">
        <v>0</v>
      </c>
      <c r="CR105" s="62">
        <v>0</v>
      </c>
      <c r="CS105" s="62">
        <v>0</v>
      </c>
      <c r="CT105" s="62">
        <v>0</v>
      </c>
      <c r="CU105" s="62">
        <v>0</v>
      </c>
      <c r="CV105" s="62">
        <v>0</v>
      </c>
      <c r="CW105" s="62">
        <v>0</v>
      </c>
      <c r="CX105" s="62">
        <v>0</v>
      </c>
      <c r="CY105" s="62">
        <v>0</v>
      </c>
      <c r="CZ105" s="190">
        <f t="shared" si="503"/>
        <v>0</v>
      </c>
      <c r="DA105" s="62">
        <v>0</v>
      </c>
      <c r="DB105" s="62">
        <v>0</v>
      </c>
      <c r="DC105" s="62">
        <v>0</v>
      </c>
      <c r="DD105" s="62">
        <v>0</v>
      </c>
      <c r="DE105" s="62">
        <v>0</v>
      </c>
      <c r="DF105" s="62">
        <v>0</v>
      </c>
      <c r="DG105" s="62">
        <v>0</v>
      </c>
      <c r="DH105" s="62">
        <v>0</v>
      </c>
      <c r="DI105" s="62">
        <v>0</v>
      </c>
      <c r="DJ105" s="62">
        <v>0</v>
      </c>
      <c r="DK105" s="62">
        <v>0</v>
      </c>
      <c r="DL105" s="62">
        <v>0</v>
      </c>
      <c r="DM105" s="190">
        <f t="shared" si="504"/>
        <v>0</v>
      </c>
      <c r="DN105" s="62">
        <v>0</v>
      </c>
      <c r="DO105" s="62">
        <v>0</v>
      </c>
      <c r="DP105" s="62">
        <v>0</v>
      </c>
      <c r="DQ105" s="62">
        <v>0</v>
      </c>
      <c r="DR105" s="62">
        <v>0</v>
      </c>
      <c r="DS105" s="62">
        <v>0</v>
      </c>
      <c r="DT105" s="62">
        <v>0</v>
      </c>
      <c r="DU105" s="62">
        <v>0</v>
      </c>
      <c r="DV105" s="62">
        <v>0</v>
      </c>
      <c r="DW105" s="62">
        <v>0</v>
      </c>
      <c r="DX105" s="62">
        <v>0</v>
      </c>
      <c r="DY105" s="62">
        <v>0</v>
      </c>
      <c r="DZ105" s="190">
        <f t="shared" si="505"/>
        <v>0</v>
      </c>
    </row>
    <row r="106" spans="1:130" ht="20.45" customHeight="1" outlineLevel="2">
      <c r="A106" s="663"/>
      <c r="B106" s="653"/>
      <c r="C106" s="30" t="s">
        <v>2958</v>
      </c>
      <c r="D106" s="62">
        <f t="shared" si="345"/>
        <v>27000</v>
      </c>
      <c r="E106" s="184">
        <f t="shared" si="489"/>
        <v>8.3538091124853498E-5</v>
      </c>
      <c r="F106" s="62">
        <v>0</v>
      </c>
      <c r="G106" s="190">
        <f t="shared" ref="G106" si="508">SUM(F106)</f>
        <v>0</v>
      </c>
      <c r="H106" s="197">
        <f t="shared" si="490"/>
        <v>0</v>
      </c>
      <c r="I106" s="62">
        <v>0</v>
      </c>
      <c r="J106" s="62">
        <v>0</v>
      </c>
      <c r="K106" s="62">
        <v>0</v>
      </c>
      <c r="L106" s="62">
        <v>0</v>
      </c>
      <c r="M106" s="62">
        <v>0</v>
      </c>
      <c r="N106" s="62">
        <v>0</v>
      </c>
      <c r="O106" s="62">
        <v>0</v>
      </c>
      <c r="P106" s="62">
        <v>0</v>
      </c>
      <c r="Q106" s="62">
        <v>0</v>
      </c>
      <c r="R106" s="62">
        <v>0</v>
      </c>
      <c r="S106" s="62">
        <v>0</v>
      </c>
      <c r="T106" s="62">
        <v>0</v>
      </c>
      <c r="U106" s="190">
        <f t="shared" ref="U106" si="509">SUM(I106:T106)</f>
        <v>0</v>
      </c>
      <c r="V106" s="197">
        <f t="shared" si="491"/>
        <v>0</v>
      </c>
      <c r="W106" s="62">
        <v>0</v>
      </c>
      <c r="X106" s="62">
        <v>0</v>
      </c>
      <c r="Y106" s="62">
        <v>0</v>
      </c>
      <c r="Z106" s="62">
        <v>0</v>
      </c>
      <c r="AA106" s="62">
        <v>0</v>
      </c>
      <c r="AB106" s="62">
        <v>0</v>
      </c>
      <c r="AC106" s="62">
        <v>0</v>
      </c>
      <c r="AD106" s="62">
        <v>0</v>
      </c>
      <c r="AE106" s="62">
        <v>0</v>
      </c>
      <c r="AF106" s="62">
        <v>0</v>
      </c>
      <c r="AG106" s="62">
        <v>0</v>
      </c>
      <c r="AH106" s="62">
        <v>0</v>
      </c>
      <c r="AI106" s="190">
        <f t="shared" si="507"/>
        <v>0</v>
      </c>
      <c r="AJ106" s="197">
        <f t="shared" si="492"/>
        <v>0</v>
      </c>
      <c r="AK106" s="62">
        <v>0</v>
      </c>
      <c r="AL106" s="62">
        <v>0</v>
      </c>
      <c r="AM106" s="62">
        <v>0</v>
      </c>
      <c r="AN106" s="62">
        <v>0</v>
      </c>
      <c r="AO106" s="62">
        <v>0</v>
      </c>
      <c r="AP106" s="62">
        <v>0</v>
      </c>
      <c r="AQ106" s="62">
        <v>0</v>
      </c>
      <c r="AR106" s="62">
        <v>0</v>
      </c>
      <c r="AS106" s="62">
        <v>0</v>
      </c>
      <c r="AT106" s="62">
        <v>0</v>
      </c>
      <c r="AU106" s="62">
        <v>0</v>
      </c>
      <c r="AV106" s="62">
        <v>0</v>
      </c>
      <c r="AW106" s="190">
        <f t="shared" ref="AW106" si="510">SUM(AK106:AV106)</f>
        <v>0</v>
      </c>
      <c r="AX106" s="197">
        <f t="shared" si="493"/>
        <v>0</v>
      </c>
      <c r="AY106" s="62">
        <v>0</v>
      </c>
      <c r="AZ106" s="62">
        <v>0</v>
      </c>
      <c r="BA106" s="62">
        <v>0</v>
      </c>
      <c r="BB106" s="62">
        <f>27000</f>
        <v>27000</v>
      </c>
      <c r="BC106" s="62">
        <v>0</v>
      </c>
      <c r="BD106" s="62">
        <v>0</v>
      </c>
      <c r="BE106" s="62">
        <v>0</v>
      </c>
      <c r="BF106" s="62">
        <v>0</v>
      </c>
      <c r="BG106" s="62">
        <v>0</v>
      </c>
      <c r="BH106" s="62">
        <v>0</v>
      </c>
      <c r="BI106" s="62">
        <v>0</v>
      </c>
      <c r="BJ106" s="62">
        <v>0</v>
      </c>
      <c r="BK106" s="190">
        <f t="shared" ref="BK106" si="511">SUM(AY106:BJ106)</f>
        <v>27000</v>
      </c>
      <c r="BL106" s="197">
        <f t="shared" si="494"/>
        <v>3.8660335191979063E-4</v>
      </c>
      <c r="BM106" s="62">
        <v>0</v>
      </c>
      <c r="BN106" s="62">
        <v>0</v>
      </c>
      <c r="BO106" s="62">
        <v>0</v>
      </c>
      <c r="BP106" s="62">
        <v>0</v>
      </c>
      <c r="BQ106" s="62">
        <v>0</v>
      </c>
      <c r="BR106" s="62">
        <v>0</v>
      </c>
      <c r="BS106" s="62">
        <v>0</v>
      </c>
      <c r="BT106" s="62">
        <v>0</v>
      </c>
      <c r="BU106" s="62">
        <v>0</v>
      </c>
      <c r="BV106" s="62">
        <v>0</v>
      </c>
      <c r="BW106" s="62">
        <v>0</v>
      </c>
      <c r="BX106" s="62">
        <v>0</v>
      </c>
      <c r="BY106" s="190">
        <f t="shared" ref="BY106" si="512">SUM(BM106:BX106)</f>
        <v>0</v>
      </c>
      <c r="BZ106" s="197">
        <f t="shared" si="495"/>
        <v>0</v>
      </c>
      <c r="CA106" s="62">
        <v>0</v>
      </c>
      <c r="CB106" s="62">
        <v>0</v>
      </c>
      <c r="CC106" s="62">
        <v>0</v>
      </c>
      <c r="CD106" s="62">
        <v>0</v>
      </c>
      <c r="CE106" s="62">
        <v>0</v>
      </c>
      <c r="CF106" s="62">
        <v>0</v>
      </c>
      <c r="CG106" s="62">
        <v>0</v>
      </c>
      <c r="CH106" s="62">
        <v>0</v>
      </c>
      <c r="CI106" s="62">
        <v>0</v>
      </c>
      <c r="CJ106" s="62">
        <v>0</v>
      </c>
      <c r="CK106" s="62">
        <v>0</v>
      </c>
      <c r="CL106" s="62">
        <v>0</v>
      </c>
      <c r="CM106" s="190">
        <f t="shared" ref="CM106" si="513">SUM(CA106:CL106)</f>
        <v>0</v>
      </c>
      <c r="CN106" s="62">
        <v>0</v>
      </c>
      <c r="CO106" s="62">
        <v>0</v>
      </c>
      <c r="CP106" s="62">
        <v>0</v>
      </c>
      <c r="CQ106" s="62">
        <v>0</v>
      </c>
      <c r="CR106" s="62">
        <v>0</v>
      </c>
      <c r="CS106" s="62">
        <v>0</v>
      </c>
      <c r="CT106" s="62">
        <v>0</v>
      </c>
      <c r="CU106" s="62">
        <v>0</v>
      </c>
      <c r="CV106" s="62">
        <v>0</v>
      </c>
      <c r="CW106" s="62">
        <v>0</v>
      </c>
      <c r="CX106" s="62">
        <v>0</v>
      </c>
      <c r="CY106" s="62">
        <v>0</v>
      </c>
      <c r="CZ106" s="190">
        <f t="shared" ref="CZ106" si="514">SUM(CN106:CY106)</f>
        <v>0</v>
      </c>
      <c r="DA106" s="62">
        <v>0</v>
      </c>
      <c r="DB106" s="62">
        <v>0</v>
      </c>
      <c r="DC106" s="62">
        <v>0</v>
      </c>
      <c r="DD106" s="62">
        <v>0</v>
      </c>
      <c r="DE106" s="62">
        <v>0</v>
      </c>
      <c r="DF106" s="62">
        <v>0</v>
      </c>
      <c r="DG106" s="62">
        <v>0</v>
      </c>
      <c r="DH106" s="62">
        <v>0</v>
      </c>
      <c r="DI106" s="62">
        <v>0</v>
      </c>
      <c r="DJ106" s="62">
        <v>0</v>
      </c>
      <c r="DK106" s="62">
        <v>0</v>
      </c>
      <c r="DL106" s="62">
        <v>0</v>
      </c>
      <c r="DM106" s="190">
        <f t="shared" ref="DM106" si="515">SUM(DA106:DL106)</f>
        <v>0</v>
      </c>
      <c r="DN106" s="62">
        <v>0</v>
      </c>
      <c r="DO106" s="62">
        <v>0</v>
      </c>
      <c r="DP106" s="62">
        <v>0</v>
      </c>
      <c r="DQ106" s="62">
        <v>0</v>
      </c>
      <c r="DR106" s="62">
        <v>0</v>
      </c>
      <c r="DS106" s="62">
        <v>0</v>
      </c>
      <c r="DT106" s="62">
        <v>0</v>
      </c>
      <c r="DU106" s="62">
        <v>0</v>
      </c>
      <c r="DV106" s="62">
        <v>0</v>
      </c>
      <c r="DW106" s="62">
        <v>0</v>
      </c>
      <c r="DX106" s="62">
        <v>0</v>
      </c>
      <c r="DY106" s="62">
        <v>0</v>
      </c>
      <c r="DZ106" s="190">
        <f t="shared" ref="DZ106" si="516">SUM(DN106:DY106)</f>
        <v>0</v>
      </c>
    </row>
    <row r="107" spans="1:130" ht="20.45" customHeight="1" outlineLevel="2">
      <c r="A107" s="662"/>
      <c r="B107" s="646"/>
      <c r="C107" s="30" t="s">
        <v>380</v>
      </c>
      <c r="D107" s="62">
        <f t="shared" si="345"/>
        <v>469420</v>
      </c>
      <c r="E107" s="184">
        <f t="shared" si="489"/>
        <v>1.452387064289953E-3</v>
      </c>
      <c r="F107" s="62">
        <v>0</v>
      </c>
      <c r="G107" s="190">
        <f t="shared" si="433"/>
        <v>0</v>
      </c>
      <c r="H107" s="197">
        <f t="shared" si="490"/>
        <v>0</v>
      </c>
      <c r="I107" s="62">
        <v>0</v>
      </c>
      <c r="J107" s="62">
        <v>0</v>
      </c>
      <c r="K107" s="62">
        <v>0</v>
      </c>
      <c r="L107" s="62">
        <v>0</v>
      </c>
      <c r="M107" s="62">
        <v>0</v>
      </c>
      <c r="N107" s="62">
        <v>0</v>
      </c>
      <c r="O107" s="62">
        <v>0</v>
      </c>
      <c r="P107" s="62">
        <v>0</v>
      </c>
      <c r="Q107" s="62">
        <v>0</v>
      </c>
      <c r="R107" s="62">
        <v>0</v>
      </c>
      <c r="S107" s="62">
        <v>0</v>
      </c>
      <c r="T107" s="62">
        <v>0</v>
      </c>
      <c r="U107" s="190">
        <f t="shared" si="423"/>
        <v>0</v>
      </c>
      <c r="V107" s="197">
        <f t="shared" si="491"/>
        <v>0</v>
      </c>
      <c r="W107" s="62">
        <v>0</v>
      </c>
      <c r="X107" s="62">
        <v>0</v>
      </c>
      <c r="Y107" s="62">
        <v>4000</v>
      </c>
      <c r="Z107" s="62">
        <v>0</v>
      </c>
      <c r="AA107" s="62">
        <f>12500+2000</f>
        <v>14500</v>
      </c>
      <c r="AB107" s="62">
        <v>0</v>
      </c>
      <c r="AC107" s="62">
        <v>0</v>
      </c>
      <c r="AD107" s="62">
        <v>0</v>
      </c>
      <c r="AE107" s="62">
        <v>2000</v>
      </c>
      <c r="AF107" s="62">
        <v>0</v>
      </c>
      <c r="AG107" s="62">
        <v>32700</v>
      </c>
      <c r="AH107" s="62">
        <f>12000+2000+51720+23700</f>
        <v>89420</v>
      </c>
      <c r="AI107" s="190">
        <f t="shared" si="424"/>
        <v>142620</v>
      </c>
      <c r="AJ107" s="197">
        <f t="shared" si="492"/>
        <v>1.9383326441393327E-3</v>
      </c>
      <c r="AK107" s="62">
        <v>0</v>
      </c>
      <c r="AL107" s="62">
        <v>4500</v>
      </c>
      <c r="AM107" s="62">
        <f>26000</f>
        <v>26000</v>
      </c>
      <c r="AN107" s="62">
        <v>6000</v>
      </c>
      <c r="AO107" s="62">
        <f>18000</f>
        <v>18000</v>
      </c>
      <c r="AP107" s="62">
        <v>0</v>
      </c>
      <c r="AQ107" s="62">
        <f>18000+9000</f>
        <v>27000</v>
      </c>
      <c r="AR107" s="62">
        <f>1000</f>
        <v>1000</v>
      </c>
      <c r="AS107" s="62">
        <v>6000</v>
      </c>
      <c r="AT107" s="62">
        <v>0</v>
      </c>
      <c r="AU107" s="62">
        <v>0</v>
      </c>
      <c r="AV107" s="62">
        <f>15500</f>
        <v>15500</v>
      </c>
      <c r="AW107" s="190">
        <f t="shared" si="425"/>
        <v>104000</v>
      </c>
      <c r="AX107" s="197">
        <f t="shared" si="493"/>
        <v>1.3632668813698399E-3</v>
      </c>
      <c r="AY107" s="62">
        <v>18000</v>
      </c>
      <c r="AZ107" s="62">
        <f>5000+35500+18000</f>
        <v>58500</v>
      </c>
      <c r="BA107" s="62">
        <f>5000+23800</f>
        <v>28800</v>
      </c>
      <c r="BB107" s="62">
        <v>0</v>
      </c>
      <c r="BC107" s="62">
        <f>18000</f>
        <v>18000</v>
      </c>
      <c r="BD107" s="62">
        <f>4000</f>
        <v>4000</v>
      </c>
      <c r="BE107" s="62">
        <f>67000-4000</f>
        <v>63000</v>
      </c>
      <c r="BF107" s="62">
        <v>0</v>
      </c>
      <c r="BG107" s="62">
        <v>0</v>
      </c>
      <c r="BH107" s="62">
        <v>0</v>
      </c>
      <c r="BI107" s="62">
        <v>0</v>
      </c>
      <c r="BJ107" s="62">
        <f>19000</f>
        <v>19000</v>
      </c>
      <c r="BK107" s="190">
        <f t="shared" si="426"/>
        <v>209300</v>
      </c>
      <c r="BL107" s="197">
        <f t="shared" si="494"/>
        <v>2.9968919095115622E-3</v>
      </c>
      <c r="BM107" s="62">
        <v>0</v>
      </c>
      <c r="BN107" s="62">
        <v>0</v>
      </c>
      <c r="BO107" s="62">
        <v>0</v>
      </c>
      <c r="BP107" s="62">
        <v>0</v>
      </c>
      <c r="BQ107" s="62">
        <f>13500</f>
        <v>13500</v>
      </c>
      <c r="BR107" s="62">
        <v>0</v>
      </c>
      <c r="BS107" s="62">
        <v>0</v>
      </c>
      <c r="BT107" s="62">
        <v>0</v>
      </c>
      <c r="BU107" s="62">
        <v>0</v>
      </c>
      <c r="BV107" s="62">
        <v>0</v>
      </c>
      <c r="BW107" s="62">
        <v>0</v>
      </c>
      <c r="BX107" s="62">
        <v>0</v>
      </c>
      <c r="BY107" s="190">
        <f t="shared" si="427"/>
        <v>13500</v>
      </c>
      <c r="BZ107" s="197">
        <f t="shared" si="495"/>
        <v>3.0932873602091884E-4</v>
      </c>
      <c r="CA107" s="62">
        <v>0</v>
      </c>
      <c r="CB107" s="62">
        <v>0</v>
      </c>
      <c r="CC107" s="62">
        <v>0</v>
      </c>
      <c r="CD107" s="62">
        <v>0</v>
      </c>
      <c r="CE107" s="62">
        <v>0</v>
      </c>
      <c r="CF107" s="62">
        <v>0</v>
      </c>
      <c r="CG107" s="62">
        <v>0</v>
      </c>
      <c r="CH107" s="62">
        <v>0</v>
      </c>
      <c r="CI107" s="62">
        <v>0</v>
      </c>
      <c r="CJ107" s="62">
        <v>0</v>
      </c>
      <c r="CK107" s="62">
        <v>0</v>
      </c>
      <c r="CL107" s="62">
        <v>0</v>
      </c>
      <c r="CM107" s="190">
        <f t="shared" si="428"/>
        <v>0</v>
      </c>
      <c r="CN107" s="62">
        <v>0</v>
      </c>
      <c r="CO107" s="62">
        <v>0</v>
      </c>
      <c r="CP107" s="62">
        <v>0</v>
      </c>
      <c r="CQ107" s="62">
        <v>0</v>
      </c>
      <c r="CR107" s="62">
        <v>0</v>
      </c>
      <c r="CS107" s="62">
        <v>0</v>
      </c>
      <c r="CT107" s="62">
        <v>0</v>
      </c>
      <c r="CU107" s="62">
        <v>0</v>
      </c>
      <c r="CV107" s="62">
        <v>0</v>
      </c>
      <c r="CW107" s="62">
        <v>0</v>
      </c>
      <c r="CX107" s="62">
        <v>0</v>
      </c>
      <c r="CY107" s="62">
        <v>0</v>
      </c>
      <c r="CZ107" s="190">
        <f t="shared" si="429"/>
        <v>0</v>
      </c>
      <c r="DA107" s="62">
        <v>0</v>
      </c>
      <c r="DB107" s="62">
        <v>0</v>
      </c>
      <c r="DC107" s="62">
        <v>0</v>
      </c>
      <c r="DD107" s="62">
        <v>0</v>
      </c>
      <c r="DE107" s="62">
        <v>0</v>
      </c>
      <c r="DF107" s="62">
        <v>0</v>
      </c>
      <c r="DG107" s="62">
        <v>0</v>
      </c>
      <c r="DH107" s="62">
        <v>0</v>
      </c>
      <c r="DI107" s="62">
        <v>0</v>
      </c>
      <c r="DJ107" s="62">
        <v>0</v>
      </c>
      <c r="DK107" s="62">
        <v>0</v>
      </c>
      <c r="DL107" s="62">
        <v>0</v>
      </c>
      <c r="DM107" s="190">
        <f t="shared" si="430"/>
        <v>0</v>
      </c>
      <c r="DN107" s="62">
        <v>0</v>
      </c>
      <c r="DO107" s="62">
        <v>0</v>
      </c>
      <c r="DP107" s="62">
        <v>0</v>
      </c>
      <c r="DQ107" s="62">
        <v>0</v>
      </c>
      <c r="DR107" s="62">
        <v>0</v>
      </c>
      <c r="DS107" s="62">
        <v>0</v>
      </c>
      <c r="DT107" s="62">
        <v>0</v>
      </c>
      <c r="DU107" s="62">
        <v>0</v>
      </c>
      <c r="DV107" s="62">
        <v>0</v>
      </c>
      <c r="DW107" s="62">
        <v>0</v>
      </c>
      <c r="DX107" s="62">
        <v>0</v>
      </c>
      <c r="DY107" s="62">
        <v>0</v>
      </c>
      <c r="DZ107" s="190">
        <f t="shared" si="431"/>
        <v>0</v>
      </c>
    </row>
    <row r="108" spans="1:130" s="194" customFormat="1" ht="20.45" customHeight="1" outlineLevel="1">
      <c r="A108" s="662"/>
      <c r="B108" s="645" t="s">
        <v>362</v>
      </c>
      <c r="C108" s="65" t="s">
        <v>307</v>
      </c>
      <c r="D108" s="66">
        <f t="shared" si="345"/>
        <v>3034100</v>
      </c>
      <c r="E108" s="187">
        <f>SUM(E109:E112)</f>
        <v>9.3875156400710369E-3</v>
      </c>
      <c r="F108" s="62">
        <f t="shared" ref="F108:DX108" si="517">SUM(F109:F112)</f>
        <v>220600</v>
      </c>
      <c r="G108" s="190">
        <f t="shared" si="433"/>
        <v>220600</v>
      </c>
      <c r="H108" s="196">
        <f>SUM(H109:H112)</f>
        <v>5.0389398582198562E-2</v>
      </c>
      <c r="I108" s="62">
        <f t="shared" si="517"/>
        <v>258700</v>
      </c>
      <c r="J108" s="62">
        <f t="shared" si="517"/>
        <v>0</v>
      </c>
      <c r="K108" s="62">
        <f t="shared" si="517"/>
        <v>0</v>
      </c>
      <c r="L108" s="62">
        <f t="shared" si="517"/>
        <v>0</v>
      </c>
      <c r="M108" s="62">
        <f t="shared" si="517"/>
        <v>0</v>
      </c>
      <c r="N108" s="62">
        <f t="shared" si="517"/>
        <v>0</v>
      </c>
      <c r="O108" s="62">
        <f t="shared" si="517"/>
        <v>0</v>
      </c>
      <c r="P108" s="62">
        <f t="shared" si="517"/>
        <v>0</v>
      </c>
      <c r="Q108" s="62">
        <f t="shared" si="517"/>
        <v>0</v>
      </c>
      <c r="R108" s="62">
        <f t="shared" si="517"/>
        <v>0</v>
      </c>
      <c r="S108" s="62">
        <f t="shared" si="517"/>
        <v>170700</v>
      </c>
      <c r="T108" s="62">
        <f t="shared" si="517"/>
        <v>12400</v>
      </c>
      <c r="U108" s="190">
        <f t="shared" si="423"/>
        <v>441800</v>
      </c>
      <c r="V108" s="196">
        <f>SUM(V109:V112)</f>
        <v>7.9632304233902534E-3</v>
      </c>
      <c r="W108" s="62">
        <f t="shared" si="517"/>
        <v>7500</v>
      </c>
      <c r="X108" s="62">
        <f t="shared" si="517"/>
        <v>0</v>
      </c>
      <c r="Y108" s="62">
        <f t="shared" si="517"/>
        <v>0</v>
      </c>
      <c r="Z108" s="62">
        <f t="shared" si="517"/>
        <v>0</v>
      </c>
      <c r="AA108" s="62">
        <f t="shared" si="517"/>
        <v>0</v>
      </c>
      <c r="AB108" s="62">
        <f t="shared" si="517"/>
        <v>228000</v>
      </c>
      <c r="AC108" s="62">
        <f t="shared" ref="AC108:AF108" si="518">SUM(AC109:AC112)</f>
        <v>-57300</v>
      </c>
      <c r="AD108" s="62">
        <f t="shared" si="518"/>
        <v>0</v>
      </c>
      <c r="AE108" s="62">
        <f t="shared" si="518"/>
        <v>123600</v>
      </c>
      <c r="AF108" s="62">
        <f t="shared" si="518"/>
        <v>0</v>
      </c>
      <c r="AG108" s="62">
        <f t="shared" si="517"/>
        <v>0</v>
      </c>
      <c r="AH108" s="62">
        <f t="shared" si="517"/>
        <v>512500</v>
      </c>
      <c r="AI108" s="190">
        <f t="shared" si="424"/>
        <v>814300</v>
      </c>
      <c r="AJ108" s="196">
        <f>SUM(AJ109:AJ112)</f>
        <v>1.1067061226494592E-2</v>
      </c>
      <c r="AK108" s="62">
        <f t="shared" ref="AK108:AV108" si="519">SUM(AK109:AK112)</f>
        <v>0</v>
      </c>
      <c r="AL108" s="62">
        <f t="shared" si="519"/>
        <v>0</v>
      </c>
      <c r="AM108" s="62">
        <f t="shared" si="519"/>
        <v>48800</v>
      </c>
      <c r="AN108" s="62">
        <f t="shared" si="519"/>
        <v>374500</v>
      </c>
      <c r="AO108" s="62">
        <f t="shared" si="519"/>
        <v>229500</v>
      </c>
      <c r="AP108" s="62">
        <f t="shared" si="519"/>
        <v>-168900</v>
      </c>
      <c r="AQ108" s="62">
        <f t="shared" si="519"/>
        <v>0</v>
      </c>
      <c r="AR108" s="62">
        <f t="shared" si="519"/>
        <v>0</v>
      </c>
      <c r="AS108" s="62">
        <f t="shared" si="519"/>
        <v>0</v>
      </c>
      <c r="AT108" s="62">
        <f t="shared" si="519"/>
        <v>20400</v>
      </c>
      <c r="AU108" s="62">
        <f t="shared" si="519"/>
        <v>0</v>
      </c>
      <c r="AV108" s="62">
        <f t="shared" si="519"/>
        <v>0</v>
      </c>
      <c r="AW108" s="190">
        <f t="shared" si="425"/>
        <v>504300</v>
      </c>
      <c r="AX108" s="196">
        <f>SUM(AX109:AX112)</f>
        <v>6.6105335411039447E-3</v>
      </c>
      <c r="AY108" s="62">
        <f t="shared" ref="AY108:BJ108" si="520">SUM(AY109:AY112)</f>
        <v>0</v>
      </c>
      <c r="AZ108" s="62">
        <f t="shared" si="520"/>
        <v>0</v>
      </c>
      <c r="BA108" s="62">
        <f t="shared" si="520"/>
        <v>-2200</v>
      </c>
      <c r="BB108" s="62">
        <f t="shared" si="520"/>
        <v>0</v>
      </c>
      <c r="BC108" s="62">
        <f t="shared" si="520"/>
        <v>124400</v>
      </c>
      <c r="BD108" s="62">
        <f t="shared" si="520"/>
        <v>-42500</v>
      </c>
      <c r="BE108" s="62">
        <f t="shared" si="520"/>
        <v>0</v>
      </c>
      <c r="BF108" s="62">
        <f t="shared" si="520"/>
        <v>437200</v>
      </c>
      <c r="BG108" s="62">
        <f t="shared" si="520"/>
        <v>-178400</v>
      </c>
      <c r="BH108" s="62">
        <f t="shared" si="520"/>
        <v>400</v>
      </c>
      <c r="BI108" s="62">
        <f t="shared" si="520"/>
        <v>254900</v>
      </c>
      <c r="BJ108" s="62">
        <f t="shared" si="520"/>
        <v>11000</v>
      </c>
      <c r="BK108" s="190">
        <f t="shared" si="426"/>
        <v>604800</v>
      </c>
      <c r="BL108" s="196">
        <f>SUM(BL109:BL112)</f>
        <v>8.6599150830033098E-3</v>
      </c>
      <c r="BM108" s="62">
        <f t="shared" ref="BM108:BX108" si="521">SUM(BM109:BM112)</f>
        <v>467400</v>
      </c>
      <c r="BN108" s="62">
        <f t="shared" si="521"/>
        <v>-206800</v>
      </c>
      <c r="BO108" s="62">
        <f t="shared" si="521"/>
        <v>0</v>
      </c>
      <c r="BP108" s="62">
        <f t="shared" si="521"/>
        <v>0</v>
      </c>
      <c r="BQ108" s="62">
        <f t="shared" si="521"/>
        <v>187700</v>
      </c>
      <c r="BR108" s="62">
        <f t="shared" si="521"/>
        <v>0</v>
      </c>
      <c r="BS108" s="62">
        <f t="shared" si="521"/>
        <v>0</v>
      </c>
      <c r="BT108" s="62">
        <f t="shared" si="521"/>
        <v>0</v>
      </c>
      <c r="BU108" s="62">
        <f t="shared" si="521"/>
        <v>0</v>
      </c>
      <c r="BV108" s="62">
        <f t="shared" si="521"/>
        <v>0</v>
      </c>
      <c r="BW108" s="62">
        <f t="shared" si="521"/>
        <v>0</v>
      </c>
      <c r="BX108" s="62">
        <f t="shared" si="521"/>
        <v>0</v>
      </c>
      <c r="BY108" s="190">
        <f t="shared" si="427"/>
        <v>448300</v>
      </c>
      <c r="BZ108" s="196">
        <f>SUM(BZ109:BZ112)</f>
        <v>1.0272005359865031E-2</v>
      </c>
      <c r="CA108" s="62">
        <f t="shared" ref="CA108:CL108" si="522">SUM(CA109:CA112)</f>
        <v>0</v>
      </c>
      <c r="CB108" s="62">
        <f t="shared" si="522"/>
        <v>0</v>
      </c>
      <c r="CC108" s="62">
        <f t="shared" si="522"/>
        <v>0</v>
      </c>
      <c r="CD108" s="62">
        <f t="shared" si="522"/>
        <v>0</v>
      </c>
      <c r="CE108" s="62">
        <f t="shared" si="522"/>
        <v>0</v>
      </c>
      <c r="CF108" s="62">
        <f t="shared" si="522"/>
        <v>0</v>
      </c>
      <c r="CG108" s="62">
        <f t="shared" si="522"/>
        <v>0</v>
      </c>
      <c r="CH108" s="62">
        <f t="shared" si="522"/>
        <v>0</v>
      </c>
      <c r="CI108" s="62">
        <f t="shared" si="522"/>
        <v>0</v>
      </c>
      <c r="CJ108" s="62">
        <f t="shared" si="522"/>
        <v>0</v>
      </c>
      <c r="CK108" s="62">
        <f t="shared" si="522"/>
        <v>0</v>
      </c>
      <c r="CL108" s="62">
        <f t="shared" si="522"/>
        <v>0</v>
      </c>
      <c r="CM108" s="190">
        <f t="shared" si="428"/>
        <v>0</v>
      </c>
      <c r="CN108" s="62">
        <f t="shared" ref="CN108:CY108" si="523">SUM(CN109:CN112)</f>
        <v>0</v>
      </c>
      <c r="CO108" s="62">
        <f t="shared" si="523"/>
        <v>0</v>
      </c>
      <c r="CP108" s="62">
        <f t="shared" si="523"/>
        <v>0</v>
      </c>
      <c r="CQ108" s="62">
        <f t="shared" si="523"/>
        <v>0</v>
      </c>
      <c r="CR108" s="62">
        <f t="shared" si="523"/>
        <v>0</v>
      </c>
      <c r="CS108" s="62">
        <f t="shared" si="523"/>
        <v>0</v>
      </c>
      <c r="CT108" s="62">
        <f t="shared" si="523"/>
        <v>0</v>
      </c>
      <c r="CU108" s="62">
        <f t="shared" si="523"/>
        <v>0</v>
      </c>
      <c r="CV108" s="62">
        <f t="shared" si="523"/>
        <v>0</v>
      </c>
      <c r="CW108" s="62">
        <f t="shared" si="523"/>
        <v>0</v>
      </c>
      <c r="CX108" s="62">
        <f t="shared" si="523"/>
        <v>0</v>
      </c>
      <c r="CY108" s="62">
        <f t="shared" si="523"/>
        <v>0</v>
      </c>
      <c r="CZ108" s="190">
        <f t="shared" si="429"/>
        <v>0</v>
      </c>
      <c r="DA108" s="62">
        <f t="shared" ref="DA108:DL108" si="524">SUM(DA109:DA112)</f>
        <v>0</v>
      </c>
      <c r="DB108" s="62">
        <f t="shared" si="524"/>
        <v>0</v>
      </c>
      <c r="DC108" s="62">
        <f t="shared" si="524"/>
        <v>0</v>
      </c>
      <c r="DD108" s="62">
        <f t="shared" si="524"/>
        <v>0</v>
      </c>
      <c r="DE108" s="62">
        <f t="shared" si="524"/>
        <v>0</v>
      </c>
      <c r="DF108" s="62">
        <f t="shared" si="524"/>
        <v>0</v>
      </c>
      <c r="DG108" s="62">
        <f t="shared" si="524"/>
        <v>0</v>
      </c>
      <c r="DH108" s="62">
        <f t="shared" si="524"/>
        <v>0</v>
      </c>
      <c r="DI108" s="62">
        <f t="shared" si="524"/>
        <v>0</v>
      </c>
      <c r="DJ108" s="62">
        <f t="shared" si="524"/>
        <v>0</v>
      </c>
      <c r="DK108" s="62">
        <f t="shared" si="524"/>
        <v>0</v>
      </c>
      <c r="DL108" s="62">
        <f t="shared" si="524"/>
        <v>0</v>
      </c>
      <c r="DM108" s="190">
        <f t="shared" si="430"/>
        <v>0</v>
      </c>
      <c r="DN108" s="62">
        <f t="shared" ref="DN108:DQ108" si="525">SUM(DN109:DN112)</f>
        <v>0</v>
      </c>
      <c r="DO108" s="62">
        <f t="shared" si="525"/>
        <v>0</v>
      </c>
      <c r="DP108" s="62">
        <f t="shared" si="525"/>
        <v>0</v>
      </c>
      <c r="DQ108" s="62">
        <f t="shared" si="525"/>
        <v>0</v>
      </c>
      <c r="DR108" s="62">
        <f t="shared" ref="DR108:DU108" si="526">SUM(DR109:DR112)</f>
        <v>0</v>
      </c>
      <c r="DS108" s="62">
        <f t="shared" si="526"/>
        <v>0</v>
      </c>
      <c r="DT108" s="62">
        <f t="shared" si="526"/>
        <v>0</v>
      </c>
      <c r="DU108" s="62">
        <f t="shared" si="526"/>
        <v>0</v>
      </c>
      <c r="DV108" s="62">
        <f t="shared" ref="DV108:DW108" si="527">SUM(DV109:DV112)</f>
        <v>0</v>
      </c>
      <c r="DW108" s="62">
        <f t="shared" si="527"/>
        <v>0</v>
      </c>
      <c r="DX108" s="62">
        <f t="shared" si="517"/>
        <v>0</v>
      </c>
      <c r="DY108" s="62">
        <f t="shared" ref="DY108" si="528">SUM(DY109:DY112)</f>
        <v>0</v>
      </c>
      <c r="DZ108" s="190">
        <f t="shared" si="431"/>
        <v>0</v>
      </c>
    </row>
    <row r="109" spans="1:130" ht="20.45" customHeight="1" outlineLevel="2">
      <c r="A109" s="662"/>
      <c r="B109" s="636"/>
      <c r="C109" s="30" t="s">
        <v>363</v>
      </c>
      <c r="D109" s="62">
        <f t="shared" si="345"/>
        <v>268700.00000000012</v>
      </c>
      <c r="E109" s="184">
        <f t="shared" ref="E109:E112" si="529">D109/(D$5+D$6+D$7+D$8+D$10+D$9)</f>
        <v>8.3135870686104239E-4</v>
      </c>
      <c r="F109" s="62">
        <v>0</v>
      </c>
      <c r="G109" s="190">
        <f t="shared" si="433"/>
        <v>0</v>
      </c>
      <c r="H109" s="197">
        <f t="shared" ref="H109:H112" si="530">G109/(G$5+G$6+G$7+G$8+G$10+G$9)</f>
        <v>0</v>
      </c>
      <c r="I109" s="62">
        <v>258700</v>
      </c>
      <c r="J109" s="62">
        <v>0</v>
      </c>
      <c r="K109" s="62">
        <v>0</v>
      </c>
      <c r="L109" s="62">
        <v>0</v>
      </c>
      <c r="M109" s="62">
        <v>0</v>
      </c>
      <c r="N109" s="62">
        <v>0</v>
      </c>
      <c r="O109" s="62">
        <v>0</v>
      </c>
      <c r="P109" s="62">
        <v>0</v>
      </c>
      <c r="Q109" s="62">
        <v>0</v>
      </c>
      <c r="R109" s="62">
        <v>0</v>
      </c>
      <c r="S109" s="62">
        <v>0</v>
      </c>
      <c r="T109" s="62">
        <v>0</v>
      </c>
      <c r="U109" s="190">
        <f t="shared" si="423"/>
        <v>258700</v>
      </c>
      <c r="V109" s="197">
        <f t="shared" ref="V109:V112" si="531">U109/(U$5+U$6+U$7+U$8+U$10+U$9)</f>
        <v>4.6629418527185575E-3</v>
      </c>
      <c r="W109" s="62">
        <v>0</v>
      </c>
      <c r="X109" s="62">
        <v>0</v>
      </c>
      <c r="Y109" s="62">
        <v>0</v>
      </c>
      <c r="Z109" s="62">
        <v>0</v>
      </c>
      <c r="AA109" s="62">
        <v>0</v>
      </c>
      <c r="AB109" s="62">
        <v>10000</v>
      </c>
      <c r="AC109" s="62">
        <v>0</v>
      </c>
      <c r="AD109" s="62">
        <v>0</v>
      </c>
      <c r="AE109" s="62">
        <v>0</v>
      </c>
      <c r="AF109" s="62">
        <v>0</v>
      </c>
      <c r="AG109" s="62">
        <v>0</v>
      </c>
      <c r="AH109" s="62">
        <v>0</v>
      </c>
      <c r="AI109" s="190">
        <f t="shared" si="424"/>
        <v>10000</v>
      </c>
      <c r="AJ109" s="197">
        <f t="shared" ref="AJ109:AJ112" si="532">AI109/(AI$5+AI$6+AI$7+AI$8+AI$10+AI$9)</f>
        <v>1.3590889385355016E-4</v>
      </c>
      <c r="AK109" s="62">
        <v>0</v>
      </c>
      <c r="AL109" s="62">
        <v>0</v>
      </c>
      <c r="AM109" s="62">
        <v>0</v>
      </c>
      <c r="AN109" s="62">
        <v>0</v>
      </c>
      <c r="AO109" s="62">
        <v>0</v>
      </c>
      <c r="AP109" s="62">
        <v>0</v>
      </c>
      <c r="AQ109" s="62">
        <v>0</v>
      </c>
      <c r="AR109" s="62">
        <v>0</v>
      </c>
      <c r="AS109" s="62">
        <v>0</v>
      </c>
      <c r="AT109" s="62">
        <v>0</v>
      </c>
      <c r="AU109" s="62">
        <v>0</v>
      </c>
      <c r="AV109" s="62">
        <v>0</v>
      </c>
      <c r="AW109" s="190">
        <f t="shared" si="425"/>
        <v>0</v>
      </c>
      <c r="AX109" s="197">
        <f t="shared" ref="AX109:AX112" si="533">AW109/(AW$5+AW$6+AW$7+AW$8+AW$10+AW$9)</f>
        <v>0</v>
      </c>
      <c r="AY109" s="62">
        <v>0</v>
      </c>
      <c r="AZ109" s="62">
        <v>0</v>
      </c>
      <c r="BA109" s="62">
        <v>0</v>
      </c>
      <c r="BB109" s="62">
        <v>0</v>
      </c>
      <c r="BC109" s="62">
        <v>0</v>
      </c>
      <c r="BD109" s="62">
        <v>0</v>
      </c>
      <c r="BE109" s="62">
        <v>0</v>
      </c>
      <c r="BF109" s="62">
        <v>0</v>
      </c>
      <c r="BG109" s="62">
        <v>0</v>
      </c>
      <c r="BH109" s="62">
        <v>0</v>
      </c>
      <c r="BI109" s="62">
        <v>0</v>
      </c>
      <c r="BJ109" s="62">
        <v>0</v>
      </c>
      <c r="BK109" s="190">
        <f t="shared" si="426"/>
        <v>0</v>
      </c>
      <c r="BL109" s="197">
        <f t="shared" ref="BL109:BL112" si="534">BK109/(BK$5+BK$6+BK$7+BK$8+BK$10+BK$9)</f>
        <v>0</v>
      </c>
      <c r="BM109" s="62">
        <v>0</v>
      </c>
      <c r="BN109" s="62">
        <v>0</v>
      </c>
      <c r="BO109" s="62">
        <v>0</v>
      </c>
      <c r="BP109" s="62">
        <v>0</v>
      </c>
      <c r="BQ109" s="62">
        <v>0</v>
      </c>
      <c r="BR109" s="62">
        <v>0</v>
      </c>
      <c r="BS109" s="62">
        <v>0</v>
      </c>
      <c r="BT109" s="62">
        <v>0</v>
      </c>
      <c r="BU109" s="62">
        <v>0</v>
      </c>
      <c r="BV109" s="62">
        <v>0</v>
      </c>
      <c r="BW109" s="62">
        <v>0</v>
      </c>
      <c r="BX109" s="62">
        <v>0</v>
      </c>
      <c r="BY109" s="190">
        <f t="shared" si="427"/>
        <v>0</v>
      </c>
      <c r="BZ109" s="197">
        <f t="shared" ref="BZ109:BZ112" si="535">BY109/(BY$5+BY$6+BY$7+BY$8+BY$10+BY$9)</f>
        <v>0</v>
      </c>
      <c r="CA109" s="62">
        <v>0</v>
      </c>
      <c r="CB109" s="62">
        <v>0</v>
      </c>
      <c r="CC109" s="62">
        <v>0</v>
      </c>
      <c r="CD109" s="62">
        <v>0</v>
      </c>
      <c r="CE109" s="62">
        <v>0</v>
      </c>
      <c r="CF109" s="62">
        <v>0</v>
      </c>
      <c r="CG109" s="62">
        <v>0</v>
      </c>
      <c r="CH109" s="62">
        <v>0</v>
      </c>
      <c r="CI109" s="62">
        <v>0</v>
      </c>
      <c r="CJ109" s="62">
        <v>0</v>
      </c>
      <c r="CK109" s="62">
        <v>0</v>
      </c>
      <c r="CL109" s="62">
        <v>0</v>
      </c>
      <c r="CM109" s="190">
        <f t="shared" si="428"/>
        <v>0</v>
      </c>
      <c r="CN109" s="62">
        <v>0</v>
      </c>
      <c r="CO109" s="62">
        <v>0</v>
      </c>
      <c r="CP109" s="62">
        <v>0</v>
      </c>
      <c r="CQ109" s="62">
        <v>0</v>
      </c>
      <c r="CR109" s="62">
        <v>0</v>
      </c>
      <c r="CS109" s="62">
        <v>0</v>
      </c>
      <c r="CT109" s="62">
        <v>0</v>
      </c>
      <c r="CU109" s="62">
        <v>0</v>
      </c>
      <c r="CV109" s="62">
        <v>0</v>
      </c>
      <c r="CW109" s="62">
        <v>0</v>
      </c>
      <c r="CX109" s="62">
        <v>0</v>
      </c>
      <c r="CY109" s="62">
        <v>0</v>
      </c>
      <c r="CZ109" s="190">
        <f t="shared" si="429"/>
        <v>0</v>
      </c>
      <c r="DA109" s="62">
        <v>0</v>
      </c>
      <c r="DB109" s="62">
        <v>0</v>
      </c>
      <c r="DC109" s="62">
        <v>0</v>
      </c>
      <c r="DD109" s="62">
        <v>0</v>
      </c>
      <c r="DE109" s="62">
        <v>0</v>
      </c>
      <c r="DF109" s="62">
        <v>0</v>
      </c>
      <c r="DG109" s="62">
        <v>0</v>
      </c>
      <c r="DH109" s="62">
        <v>0</v>
      </c>
      <c r="DI109" s="62">
        <v>0</v>
      </c>
      <c r="DJ109" s="62">
        <v>0</v>
      </c>
      <c r="DK109" s="62">
        <v>0</v>
      </c>
      <c r="DL109" s="62">
        <v>0</v>
      </c>
      <c r="DM109" s="190">
        <f t="shared" si="430"/>
        <v>0</v>
      </c>
      <c r="DN109" s="62">
        <v>0</v>
      </c>
      <c r="DO109" s="62">
        <v>0</v>
      </c>
      <c r="DP109" s="62">
        <v>0</v>
      </c>
      <c r="DQ109" s="62">
        <v>0</v>
      </c>
      <c r="DR109" s="62">
        <v>0</v>
      </c>
      <c r="DS109" s="62">
        <v>0</v>
      </c>
      <c r="DT109" s="62">
        <v>0</v>
      </c>
      <c r="DU109" s="62">
        <v>0</v>
      </c>
      <c r="DV109" s="62">
        <v>0</v>
      </c>
      <c r="DW109" s="62">
        <v>0</v>
      </c>
      <c r="DX109" s="62">
        <v>0</v>
      </c>
      <c r="DY109" s="62">
        <v>0</v>
      </c>
      <c r="DZ109" s="190">
        <f t="shared" si="431"/>
        <v>0</v>
      </c>
    </row>
    <row r="110" spans="1:130" ht="20.45" customHeight="1" outlineLevel="2">
      <c r="A110" s="663"/>
      <c r="B110" s="636"/>
      <c r="C110" s="30" t="s">
        <v>364</v>
      </c>
      <c r="D110" s="62">
        <f t="shared" si="345"/>
        <v>2447599.9999999995</v>
      </c>
      <c r="E110" s="184">
        <f t="shared" si="529"/>
        <v>7.5728826606367185E-3</v>
      </c>
      <c r="F110" s="62">
        <v>220600</v>
      </c>
      <c r="G110" s="190">
        <f t="shared" ref="G110:G111" si="536">SUM(F110)</f>
        <v>220600</v>
      </c>
      <c r="H110" s="197">
        <f t="shared" si="530"/>
        <v>5.0389398582198562E-2</v>
      </c>
      <c r="I110" s="62">
        <v>0</v>
      </c>
      <c r="J110" s="62">
        <v>0</v>
      </c>
      <c r="K110" s="62">
        <v>0</v>
      </c>
      <c r="L110" s="62">
        <v>0</v>
      </c>
      <c r="M110" s="62">
        <v>0</v>
      </c>
      <c r="N110" s="62">
        <v>0</v>
      </c>
      <c r="O110" s="62">
        <v>0</v>
      </c>
      <c r="P110" s="62">
        <v>0</v>
      </c>
      <c r="Q110" s="62">
        <v>0</v>
      </c>
      <c r="R110" s="62">
        <v>0</v>
      </c>
      <c r="S110" s="62">
        <f>116900+53800</f>
        <v>170700</v>
      </c>
      <c r="T110" s="62">
        <v>12400</v>
      </c>
      <c r="U110" s="190">
        <f t="shared" ref="U110:U111" si="537">SUM(I110:T110)</f>
        <v>183100</v>
      </c>
      <c r="V110" s="197">
        <f t="shared" si="531"/>
        <v>3.3002885706716963E-3</v>
      </c>
      <c r="W110" s="62">
        <v>7500</v>
      </c>
      <c r="X110" s="62">
        <v>0</v>
      </c>
      <c r="Y110" s="62">
        <v>0</v>
      </c>
      <c r="Z110" s="62">
        <v>0</v>
      </c>
      <c r="AA110" s="62">
        <v>0</v>
      </c>
      <c r="AB110" s="62">
        <f>57300+52100+47000+49100-9800+51700-47000</f>
        <v>200400</v>
      </c>
      <c r="AC110" s="62">
        <f>120200-57300-120200</f>
        <v>-57300</v>
      </c>
      <c r="AD110" s="62">
        <v>0</v>
      </c>
      <c r="AE110" s="62">
        <f>155700-107200-48500+6000+65100+52500</f>
        <v>123600</v>
      </c>
      <c r="AF110" s="62">
        <v>0</v>
      </c>
      <c r="AG110" s="62">
        <v>0</v>
      </c>
      <c r="AH110" s="62">
        <f>-25800-103400-99000-24700+123900-260400+129200+130200+130200+123700+129200+260400+129200-130200</f>
        <v>512500</v>
      </c>
      <c r="AI110" s="190">
        <f t="shared" ref="AI110:AI111" si="538">SUM(W110:AH110)</f>
        <v>786700</v>
      </c>
      <c r="AJ110" s="197">
        <f t="shared" si="532"/>
        <v>1.0691952679458792E-2</v>
      </c>
      <c r="AK110" s="62">
        <v>0</v>
      </c>
      <c r="AL110" s="62">
        <v>0</v>
      </c>
      <c r="AM110" s="62">
        <v>32900</v>
      </c>
      <c r="AN110" s="62">
        <f>47800+49100-47800+900+147100+137500+129200+130200-147100+800-103400-25800</f>
        <v>318500</v>
      </c>
      <c r="AO110" s="62">
        <f>117200+112300</f>
        <v>229500</v>
      </c>
      <c r="AP110" s="62">
        <f>60600-164400-65100</f>
        <v>-168900</v>
      </c>
      <c r="AQ110" s="62">
        <v>0</v>
      </c>
      <c r="AR110" s="62">
        <f>130200+117200+64600-312000</f>
        <v>0</v>
      </c>
      <c r="AS110" s="62">
        <v>0</v>
      </c>
      <c r="AT110" s="62">
        <v>0</v>
      </c>
      <c r="AU110" s="62">
        <f>130200-65100-65100</f>
        <v>0</v>
      </c>
      <c r="AV110" s="62">
        <v>0</v>
      </c>
      <c r="AW110" s="190">
        <f t="shared" ref="AW110:AW111" si="539">SUM(AK110:AV110)</f>
        <v>412000</v>
      </c>
      <c r="AX110" s="197">
        <f t="shared" si="533"/>
        <v>5.4006341838882116E-3</v>
      </c>
      <c r="AY110" s="62">
        <v>0</v>
      </c>
      <c r="AZ110" s="62">
        <v>0</v>
      </c>
      <c r="BA110" s="62">
        <f>-2200</f>
        <v>-2200</v>
      </c>
      <c r="BB110" s="62">
        <v>0</v>
      </c>
      <c r="BC110" s="62">
        <f>64600+59800</f>
        <v>124400</v>
      </c>
      <c r="BD110" s="62">
        <f>-64600</f>
        <v>-64600</v>
      </c>
      <c r="BE110" s="62">
        <v>0</v>
      </c>
      <c r="BF110" s="62">
        <f>140200+142100+143200</f>
        <v>425500</v>
      </c>
      <c r="BG110" s="62">
        <f>-143200-42000+6800</f>
        <v>-178400</v>
      </c>
      <c r="BH110" s="62">
        <f>52100-52100+400</f>
        <v>400</v>
      </c>
      <c r="BI110" s="62">
        <f>129200-2800</f>
        <v>126400</v>
      </c>
      <c r="BJ110" s="62">
        <v>0</v>
      </c>
      <c r="BK110" s="190">
        <f t="shared" ref="BK110:BK111" si="540">SUM(AY110:BJ110)</f>
        <v>431500</v>
      </c>
      <c r="BL110" s="197">
        <f t="shared" si="534"/>
        <v>6.1784943093848022E-3</v>
      </c>
      <c r="BM110" s="62">
        <f>510700+104200+104200-129200-130200+1200+6500</f>
        <v>467400</v>
      </c>
      <c r="BN110" s="62">
        <f>-208400+1600</f>
        <v>-206800</v>
      </c>
      <c r="BO110" s="62">
        <v>0</v>
      </c>
      <c r="BP110" s="62">
        <v>0</v>
      </c>
      <c r="BQ110" s="62">
        <f>104200+48900</f>
        <v>153100</v>
      </c>
      <c r="BR110" s="62">
        <v>0</v>
      </c>
      <c r="BS110" s="62">
        <v>0</v>
      </c>
      <c r="BT110" s="62">
        <v>0</v>
      </c>
      <c r="BU110" s="62">
        <v>0</v>
      </c>
      <c r="BV110" s="62">
        <v>0</v>
      </c>
      <c r="BW110" s="62">
        <v>0</v>
      </c>
      <c r="BX110" s="62">
        <v>0</v>
      </c>
      <c r="BY110" s="190">
        <f t="shared" ref="BY110:BY111" si="541">SUM(BM110:BX110)</f>
        <v>413700</v>
      </c>
      <c r="BZ110" s="197">
        <f t="shared" si="535"/>
        <v>9.4792072660632685E-3</v>
      </c>
      <c r="CA110" s="62">
        <v>0</v>
      </c>
      <c r="CB110" s="62">
        <v>0</v>
      </c>
      <c r="CC110" s="62">
        <v>0</v>
      </c>
      <c r="CD110" s="62">
        <v>0</v>
      </c>
      <c r="CE110" s="62">
        <v>0</v>
      </c>
      <c r="CF110" s="62">
        <v>0</v>
      </c>
      <c r="CG110" s="62">
        <v>0</v>
      </c>
      <c r="CH110" s="62">
        <v>0</v>
      </c>
      <c r="CI110" s="62">
        <v>0</v>
      </c>
      <c r="CJ110" s="62">
        <v>0</v>
      </c>
      <c r="CK110" s="62">
        <v>0</v>
      </c>
      <c r="CL110" s="62">
        <v>0</v>
      </c>
      <c r="CM110" s="190">
        <f t="shared" ref="CM110:CM111" si="542">SUM(CA110:CL110)</f>
        <v>0</v>
      </c>
      <c r="CN110" s="62">
        <v>0</v>
      </c>
      <c r="CO110" s="62">
        <v>0</v>
      </c>
      <c r="CP110" s="62">
        <v>0</v>
      </c>
      <c r="CQ110" s="62">
        <v>0</v>
      </c>
      <c r="CR110" s="62">
        <v>0</v>
      </c>
      <c r="CS110" s="62">
        <v>0</v>
      </c>
      <c r="CT110" s="62">
        <v>0</v>
      </c>
      <c r="CU110" s="62">
        <v>0</v>
      </c>
      <c r="CV110" s="62">
        <v>0</v>
      </c>
      <c r="CW110" s="62">
        <v>0</v>
      </c>
      <c r="CX110" s="62">
        <v>0</v>
      </c>
      <c r="CY110" s="62">
        <v>0</v>
      </c>
      <c r="CZ110" s="190">
        <f t="shared" ref="CZ110:CZ111" si="543">SUM(CN110:CY110)</f>
        <v>0</v>
      </c>
      <c r="DA110" s="62">
        <v>0</v>
      </c>
      <c r="DB110" s="62">
        <v>0</v>
      </c>
      <c r="DC110" s="62">
        <v>0</v>
      </c>
      <c r="DD110" s="62">
        <v>0</v>
      </c>
      <c r="DE110" s="62">
        <v>0</v>
      </c>
      <c r="DF110" s="62">
        <v>0</v>
      </c>
      <c r="DG110" s="62">
        <v>0</v>
      </c>
      <c r="DH110" s="62">
        <v>0</v>
      </c>
      <c r="DI110" s="62">
        <v>0</v>
      </c>
      <c r="DJ110" s="62">
        <v>0</v>
      </c>
      <c r="DK110" s="62">
        <v>0</v>
      </c>
      <c r="DL110" s="62">
        <v>0</v>
      </c>
      <c r="DM110" s="190">
        <f t="shared" ref="DM110:DM111" si="544">SUM(DA110:DL110)</f>
        <v>0</v>
      </c>
      <c r="DN110" s="62">
        <v>0</v>
      </c>
      <c r="DO110" s="62">
        <v>0</v>
      </c>
      <c r="DP110" s="62">
        <v>0</v>
      </c>
      <c r="DQ110" s="62">
        <v>0</v>
      </c>
      <c r="DR110" s="62">
        <v>0</v>
      </c>
      <c r="DS110" s="62">
        <v>0</v>
      </c>
      <c r="DT110" s="62">
        <v>0</v>
      </c>
      <c r="DU110" s="62">
        <v>0</v>
      </c>
      <c r="DV110" s="62">
        <v>0</v>
      </c>
      <c r="DW110" s="62">
        <v>0</v>
      </c>
      <c r="DX110" s="62">
        <v>0</v>
      </c>
      <c r="DY110" s="62">
        <v>0</v>
      </c>
      <c r="DZ110" s="190">
        <f t="shared" ref="DZ110:DZ111" si="545">SUM(DN110:DY110)</f>
        <v>0</v>
      </c>
    </row>
    <row r="111" spans="1:130" ht="20.45" customHeight="1" outlineLevel="2">
      <c r="A111" s="663"/>
      <c r="B111" s="636"/>
      <c r="C111" s="30" t="s">
        <v>2622</v>
      </c>
      <c r="D111" s="62">
        <f t="shared" si="345"/>
        <v>153400</v>
      </c>
      <c r="E111" s="184">
        <f t="shared" si="529"/>
        <v>4.7462011772416769E-4</v>
      </c>
      <c r="F111" s="62">
        <v>0</v>
      </c>
      <c r="G111" s="190">
        <f t="shared" si="536"/>
        <v>0</v>
      </c>
      <c r="H111" s="197">
        <f t="shared" si="530"/>
        <v>0</v>
      </c>
      <c r="I111" s="62">
        <v>0</v>
      </c>
      <c r="J111" s="62">
        <v>0</v>
      </c>
      <c r="K111" s="62">
        <v>0</v>
      </c>
      <c r="L111" s="62">
        <v>0</v>
      </c>
      <c r="M111" s="62">
        <v>0</v>
      </c>
      <c r="N111" s="62">
        <v>0</v>
      </c>
      <c r="O111" s="62">
        <v>0</v>
      </c>
      <c r="P111" s="62">
        <v>0</v>
      </c>
      <c r="Q111" s="62">
        <v>0</v>
      </c>
      <c r="R111" s="62">
        <v>0</v>
      </c>
      <c r="S111" s="62">
        <v>0</v>
      </c>
      <c r="T111" s="62">
        <v>0</v>
      </c>
      <c r="U111" s="190">
        <f t="shared" si="537"/>
        <v>0</v>
      </c>
      <c r="V111" s="197">
        <f t="shared" si="531"/>
        <v>0</v>
      </c>
      <c r="W111" s="62">
        <v>0</v>
      </c>
      <c r="X111" s="62">
        <v>0</v>
      </c>
      <c r="Y111" s="62">
        <v>0</v>
      </c>
      <c r="Z111" s="62">
        <v>0</v>
      </c>
      <c r="AA111" s="62">
        <v>0</v>
      </c>
      <c r="AB111" s="62">
        <v>8200</v>
      </c>
      <c r="AC111" s="62">
        <f>45400-45400</f>
        <v>0</v>
      </c>
      <c r="AD111" s="62">
        <v>0</v>
      </c>
      <c r="AE111" s="62">
        <v>0</v>
      </c>
      <c r="AF111" s="62">
        <v>0</v>
      </c>
      <c r="AG111" s="62">
        <v>0</v>
      </c>
      <c r="AH111" s="62">
        <v>0</v>
      </c>
      <c r="AI111" s="190">
        <f t="shared" si="538"/>
        <v>8200</v>
      </c>
      <c r="AJ111" s="197">
        <f t="shared" si="532"/>
        <v>1.1144529295991115E-4</v>
      </c>
      <c r="AK111" s="62">
        <v>0</v>
      </c>
      <c r="AL111" s="62">
        <v>0</v>
      </c>
      <c r="AM111" s="62">
        <v>0</v>
      </c>
      <c r="AN111" s="62">
        <f>45400*2-43200</f>
        <v>47600</v>
      </c>
      <c r="AO111" s="62">
        <v>0</v>
      </c>
      <c r="AP111" s="62">
        <v>0</v>
      </c>
      <c r="AQ111" s="62">
        <v>0</v>
      </c>
      <c r="AR111" s="62">
        <v>0</v>
      </c>
      <c r="AS111" s="62">
        <v>0</v>
      </c>
      <c r="AT111" s="62">
        <v>0</v>
      </c>
      <c r="AU111" s="62">
        <v>0</v>
      </c>
      <c r="AV111" s="62">
        <v>0</v>
      </c>
      <c r="AW111" s="190">
        <f t="shared" si="539"/>
        <v>47600</v>
      </c>
      <c r="AX111" s="197">
        <f t="shared" si="533"/>
        <v>6.2395676493465755E-4</v>
      </c>
      <c r="AY111" s="62">
        <v>0</v>
      </c>
      <c r="AZ111" s="62">
        <v>0</v>
      </c>
      <c r="BA111" s="62">
        <v>0</v>
      </c>
      <c r="BB111" s="62">
        <v>0</v>
      </c>
      <c r="BC111" s="62">
        <v>0</v>
      </c>
      <c r="BD111" s="62">
        <v>0</v>
      </c>
      <c r="BE111" s="62">
        <v>0</v>
      </c>
      <c r="BF111" s="62">
        <v>0</v>
      </c>
      <c r="BG111" s="62">
        <v>0</v>
      </c>
      <c r="BH111" s="62">
        <v>0</v>
      </c>
      <c r="BI111" s="62">
        <f>52200+45400</f>
        <v>97600</v>
      </c>
      <c r="BJ111" s="62">
        <v>0</v>
      </c>
      <c r="BK111" s="190">
        <f t="shared" si="540"/>
        <v>97600</v>
      </c>
      <c r="BL111" s="197">
        <f t="shared" si="534"/>
        <v>1.3974995239767246E-3</v>
      </c>
      <c r="BM111" s="62">
        <v>0</v>
      </c>
      <c r="BN111" s="62">
        <v>0</v>
      </c>
      <c r="BO111" s="62">
        <v>0</v>
      </c>
      <c r="BP111" s="62">
        <v>0</v>
      </c>
      <c r="BQ111" s="62">
        <v>0</v>
      </c>
      <c r="BR111" s="62">
        <v>0</v>
      </c>
      <c r="BS111" s="62">
        <v>0</v>
      </c>
      <c r="BT111" s="62">
        <v>0</v>
      </c>
      <c r="BU111" s="62">
        <v>0</v>
      </c>
      <c r="BV111" s="62">
        <v>0</v>
      </c>
      <c r="BW111" s="62">
        <v>0</v>
      </c>
      <c r="BX111" s="62">
        <v>0</v>
      </c>
      <c r="BY111" s="190">
        <f t="shared" si="541"/>
        <v>0</v>
      </c>
      <c r="BZ111" s="197">
        <f t="shared" si="535"/>
        <v>0</v>
      </c>
      <c r="CA111" s="62">
        <v>0</v>
      </c>
      <c r="CB111" s="62">
        <v>0</v>
      </c>
      <c r="CC111" s="62">
        <v>0</v>
      </c>
      <c r="CD111" s="62">
        <v>0</v>
      </c>
      <c r="CE111" s="62">
        <v>0</v>
      </c>
      <c r="CF111" s="62">
        <v>0</v>
      </c>
      <c r="CG111" s="62">
        <v>0</v>
      </c>
      <c r="CH111" s="62">
        <v>0</v>
      </c>
      <c r="CI111" s="62">
        <v>0</v>
      </c>
      <c r="CJ111" s="62">
        <v>0</v>
      </c>
      <c r="CK111" s="62">
        <v>0</v>
      </c>
      <c r="CL111" s="62">
        <v>0</v>
      </c>
      <c r="CM111" s="190">
        <f t="shared" si="542"/>
        <v>0</v>
      </c>
      <c r="CN111" s="62">
        <v>0</v>
      </c>
      <c r="CO111" s="62">
        <v>0</v>
      </c>
      <c r="CP111" s="62">
        <v>0</v>
      </c>
      <c r="CQ111" s="62">
        <v>0</v>
      </c>
      <c r="CR111" s="62">
        <v>0</v>
      </c>
      <c r="CS111" s="62">
        <v>0</v>
      </c>
      <c r="CT111" s="62">
        <v>0</v>
      </c>
      <c r="CU111" s="62">
        <v>0</v>
      </c>
      <c r="CV111" s="62">
        <v>0</v>
      </c>
      <c r="CW111" s="62">
        <v>0</v>
      </c>
      <c r="CX111" s="62">
        <v>0</v>
      </c>
      <c r="CY111" s="62">
        <v>0</v>
      </c>
      <c r="CZ111" s="190">
        <f t="shared" si="543"/>
        <v>0</v>
      </c>
      <c r="DA111" s="62">
        <v>0</v>
      </c>
      <c r="DB111" s="62">
        <v>0</v>
      </c>
      <c r="DC111" s="62">
        <v>0</v>
      </c>
      <c r="DD111" s="62">
        <v>0</v>
      </c>
      <c r="DE111" s="62">
        <v>0</v>
      </c>
      <c r="DF111" s="62">
        <v>0</v>
      </c>
      <c r="DG111" s="62">
        <v>0</v>
      </c>
      <c r="DH111" s="62">
        <v>0</v>
      </c>
      <c r="DI111" s="62">
        <v>0</v>
      </c>
      <c r="DJ111" s="62">
        <v>0</v>
      </c>
      <c r="DK111" s="62">
        <v>0</v>
      </c>
      <c r="DL111" s="62">
        <v>0</v>
      </c>
      <c r="DM111" s="190">
        <f t="shared" si="544"/>
        <v>0</v>
      </c>
      <c r="DN111" s="62">
        <v>0</v>
      </c>
      <c r="DO111" s="62">
        <v>0</v>
      </c>
      <c r="DP111" s="62">
        <v>0</v>
      </c>
      <c r="DQ111" s="62">
        <v>0</v>
      </c>
      <c r="DR111" s="62">
        <v>0</v>
      </c>
      <c r="DS111" s="62">
        <v>0</v>
      </c>
      <c r="DT111" s="62">
        <v>0</v>
      </c>
      <c r="DU111" s="62">
        <v>0</v>
      </c>
      <c r="DV111" s="62">
        <v>0</v>
      </c>
      <c r="DW111" s="62">
        <v>0</v>
      </c>
      <c r="DX111" s="62">
        <v>0</v>
      </c>
      <c r="DY111" s="62">
        <v>0</v>
      </c>
      <c r="DZ111" s="190">
        <f t="shared" si="545"/>
        <v>0</v>
      </c>
    </row>
    <row r="112" spans="1:130" ht="20.45" customHeight="1" outlineLevel="2">
      <c r="A112" s="662"/>
      <c r="B112" s="637"/>
      <c r="C112" s="30" t="s">
        <v>2623</v>
      </c>
      <c r="D112" s="62">
        <f t="shared" si="345"/>
        <v>164400.00000000006</v>
      </c>
      <c r="E112" s="184">
        <f t="shared" si="529"/>
        <v>5.0865415484910813E-4</v>
      </c>
      <c r="F112" s="62">
        <v>0</v>
      </c>
      <c r="G112" s="190">
        <f t="shared" si="433"/>
        <v>0</v>
      </c>
      <c r="H112" s="197">
        <f t="shared" si="530"/>
        <v>0</v>
      </c>
      <c r="I112" s="62">
        <v>0</v>
      </c>
      <c r="J112" s="62">
        <v>0</v>
      </c>
      <c r="K112" s="62">
        <v>0</v>
      </c>
      <c r="L112" s="62">
        <v>0</v>
      </c>
      <c r="M112" s="62">
        <v>0</v>
      </c>
      <c r="N112" s="62">
        <v>0</v>
      </c>
      <c r="O112" s="62">
        <v>0</v>
      </c>
      <c r="P112" s="62">
        <v>0</v>
      </c>
      <c r="Q112" s="62">
        <v>0</v>
      </c>
      <c r="R112" s="62">
        <v>0</v>
      </c>
      <c r="S112" s="62">
        <v>0</v>
      </c>
      <c r="T112" s="62">
        <v>0</v>
      </c>
      <c r="U112" s="190">
        <f t="shared" si="423"/>
        <v>0</v>
      </c>
      <c r="V112" s="197">
        <f t="shared" si="531"/>
        <v>0</v>
      </c>
      <c r="W112" s="62">
        <v>0</v>
      </c>
      <c r="X112" s="62">
        <v>0</v>
      </c>
      <c r="Y112" s="62">
        <v>0</v>
      </c>
      <c r="Z112" s="62">
        <v>0</v>
      </c>
      <c r="AA112" s="62">
        <v>0</v>
      </c>
      <c r="AB112" s="62">
        <v>9400</v>
      </c>
      <c r="AC112" s="62">
        <v>0</v>
      </c>
      <c r="AD112" s="62">
        <v>0</v>
      </c>
      <c r="AE112" s="62">
        <v>0</v>
      </c>
      <c r="AF112" s="62">
        <v>0</v>
      </c>
      <c r="AG112" s="62">
        <v>0</v>
      </c>
      <c r="AH112" s="62">
        <v>0</v>
      </c>
      <c r="AI112" s="190">
        <f t="shared" si="424"/>
        <v>9400</v>
      </c>
      <c r="AJ112" s="197">
        <f t="shared" si="532"/>
        <v>1.2775436022233717E-4</v>
      </c>
      <c r="AK112" s="62">
        <v>0</v>
      </c>
      <c r="AL112" s="62">
        <v>0</v>
      </c>
      <c r="AM112" s="62">
        <v>15900</v>
      </c>
      <c r="AN112" s="62">
        <f>8400</f>
        <v>8400</v>
      </c>
      <c r="AO112" s="62">
        <v>0</v>
      </c>
      <c r="AP112" s="62">
        <v>0</v>
      </c>
      <c r="AQ112" s="62">
        <v>0</v>
      </c>
      <c r="AR112" s="62">
        <v>0</v>
      </c>
      <c r="AS112" s="62">
        <v>0</v>
      </c>
      <c r="AT112" s="62">
        <v>20400</v>
      </c>
      <c r="AU112" s="62">
        <v>0</v>
      </c>
      <c r="AV112" s="62">
        <v>0</v>
      </c>
      <c r="AW112" s="190">
        <f t="shared" si="425"/>
        <v>44700</v>
      </c>
      <c r="AX112" s="197">
        <f t="shared" si="533"/>
        <v>5.8594259228107542E-4</v>
      </c>
      <c r="AY112" s="62">
        <v>0</v>
      </c>
      <c r="AZ112" s="62">
        <v>0</v>
      </c>
      <c r="BA112" s="62">
        <v>0</v>
      </c>
      <c r="BB112" s="62">
        <v>0</v>
      </c>
      <c r="BC112" s="62">
        <v>0</v>
      </c>
      <c r="BD112" s="62">
        <f>12000+10100</f>
        <v>22100</v>
      </c>
      <c r="BE112" s="62">
        <v>0</v>
      </c>
      <c r="BF112" s="62">
        <v>11700</v>
      </c>
      <c r="BG112" s="62">
        <v>0</v>
      </c>
      <c r="BH112" s="62">
        <v>0</v>
      </c>
      <c r="BI112" s="62">
        <f>15700+8000+7200</f>
        <v>30900</v>
      </c>
      <c r="BJ112" s="62">
        <f>11000</f>
        <v>11000</v>
      </c>
      <c r="BK112" s="190">
        <f t="shared" si="426"/>
        <v>75700</v>
      </c>
      <c r="BL112" s="197">
        <f t="shared" si="534"/>
        <v>1.0839212496417834E-3</v>
      </c>
      <c r="BM112" s="62">
        <v>0</v>
      </c>
      <c r="BN112" s="62">
        <v>0</v>
      </c>
      <c r="BO112" s="62">
        <v>0</v>
      </c>
      <c r="BP112" s="62">
        <v>0</v>
      </c>
      <c r="BQ112" s="62">
        <f>34600</f>
        <v>34600</v>
      </c>
      <c r="BR112" s="62">
        <v>0</v>
      </c>
      <c r="BS112" s="62">
        <v>0</v>
      </c>
      <c r="BT112" s="62">
        <v>0</v>
      </c>
      <c r="BU112" s="62">
        <v>0</v>
      </c>
      <c r="BV112" s="62">
        <v>0</v>
      </c>
      <c r="BW112" s="62">
        <v>0</v>
      </c>
      <c r="BX112" s="62">
        <v>0</v>
      </c>
      <c r="BY112" s="190">
        <f t="shared" si="427"/>
        <v>34600</v>
      </c>
      <c r="BZ112" s="197">
        <f t="shared" si="535"/>
        <v>7.9279809380176241E-4</v>
      </c>
      <c r="CA112" s="62">
        <v>0</v>
      </c>
      <c r="CB112" s="62">
        <v>0</v>
      </c>
      <c r="CC112" s="62">
        <v>0</v>
      </c>
      <c r="CD112" s="62">
        <v>0</v>
      </c>
      <c r="CE112" s="62">
        <v>0</v>
      </c>
      <c r="CF112" s="62">
        <v>0</v>
      </c>
      <c r="CG112" s="62">
        <v>0</v>
      </c>
      <c r="CH112" s="62">
        <v>0</v>
      </c>
      <c r="CI112" s="62">
        <v>0</v>
      </c>
      <c r="CJ112" s="62">
        <v>0</v>
      </c>
      <c r="CK112" s="62">
        <v>0</v>
      </c>
      <c r="CL112" s="62">
        <v>0</v>
      </c>
      <c r="CM112" s="190">
        <f t="shared" si="428"/>
        <v>0</v>
      </c>
      <c r="CN112" s="62">
        <v>0</v>
      </c>
      <c r="CO112" s="62">
        <v>0</v>
      </c>
      <c r="CP112" s="62">
        <v>0</v>
      </c>
      <c r="CQ112" s="62">
        <v>0</v>
      </c>
      <c r="CR112" s="62">
        <v>0</v>
      </c>
      <c r="CS112" s="62">
        <v>0</v>
      </c>
      <c r="CT112" s="62">
        <v>0</v>
      </c>
      <c r="CU112" s="62">
        <v>0</v>
      </c>
      <c r="CV112" s="62">
        <v>0</v>
      </c>
      <c r="CW112" s="62">
        <v>0</v>
      </c>
      <c r="CX112" s="62">
        <v>0</v>
      </c>
      <c r="CY112" s="62">
        <v>0</v>
      </c>
      <c r="CZ112" s="190">
        <f t="shared" si="429"/>
        <v>0</v>
      </c>
      <c r="DA112" s="62">
        <v>0</v>
      </c>
      <c r="DB112" s="62">
        <v>0</v>
      </c>
      <c r="DC112" s="62">
        <v>0</v>
      </c>
      <c r="DD112" s="62">
        <v>0</v>
      </c>
      <c r="DE112" s="62">
        <v>0</v>
      </c>
      <c r="DF112" s="62">
        <v>0</v>
      </c>
      <c r="DG112" s="62">
        <v>0</v>
      </c>
      <c r="DH112" s="62">
        <v>0</v>
      </c>
      <c r="DI112" s="62">
        <v>0</v>
      </c>
      <c r="DJ112" s="62">
        <v>0</v>
      </c>
      <c r="DK112" s="62">
        <v>0</v>
      </c>
      <c r="DL112" s="62">
        <v>0</v>
      </c>
      <c r="DM112" s="190">
        <f t="shared" si="430"/>
        <v>0</v>
      </c>
      <c r="DN112" s="62">
        <v>0</v>
      </c>
      <c r="DO112" s="62">
        <v>0</v>
      </c>
      <c r="DP112" s="62">
        <v>0</v>
      </c>
      <c r="DQ112" s="62">
        <v>0</v>
      </c>
      <c r="DR112" s="62">
        <v>0</v>
      </c>
      <c r="DS112" s="62">
        <v>0</v>
      </c>
      <c r="DT112" s="62">
        <v>0</v>
      </c>
      <c r="DU112" s="62">
        <v>0</v>
      </c>
      <c r="DV112" s="62">
        <v>0</v>
      </c>
      <c r="DW112" s="62">
        <v>0</v>
      </c>
      <c r="DX112" s="62">
        <v>0</v>
      </c>
      <c r="DY112" s="62">
        <v>0</v>
      </c>
      <c r="DZ112" s="190">
        <f t="shared" si="431"/>
        <v>0</v>
      </c>
    </row>
    <row r="113" spans="1:130" s="194" customFormat="1" ht="20.45" customHeight="1" outlineLevel="1">
      <c r="A113" s="662"/>
      <c r="B113" s="645" t="s">
        <v>365</v>
      </c>
      <c r="C113" s="65" t="s">
        <v>307</v>
      </c>
      <c r="D113" s="66">
        <f t="shared" si="345"/>
        <v>4203897.0000000009</v>
      </c>
      <c r="E113" s="187">
        <f>SUM(E114)</f>
        <v>1.3006871506129569E-2</v>
      </c>
      <c r="F113" s="62">
        <f t="shared" ref="F113:DY113" si="546">SUM(F114)</f>
        <v>0</v>
      </c>
      <c r="G113" s="190">
        <f t="shared" si="433"/>
        <v>0</v>
      </c>
      <c r="H113" s="196">
        <f>SUM(H114)</f>
        <v>0</v>
      </c>
      <c r="I113" s="62">
        <f t="shared" si="546"/>
        <v>0</v>
      </c>
      <c r="J113" s="62">
        <f t="shared" si="546"/>
        <v>0</v>
      </c>
      <c r="K113" s="62">
        <f t="shared" si="546"/>
        <v>0</v>
      </c>
      <c r="L113" s="62">
        <f t="shared" si="546"/>
        <v>0</v>
      </c>
      <c r="M113" s="62">
        <f t="shared" si="546"/>
        <v>0</v>
      </c>
      <c r="N113" s="62">
        <f t="shared" si="546"/>
        <v>0</v>
      </c>
      <c r="O113" s="62">
        <f t="shared" si="546"/>
        <v>0</v>
      </c>
      <c r="P113" s="62">
        <f t="shared" si="546"/>
        <v>270500</v>
      </c>
      <c r="Q113" s="62">
        <f t="shared" si="546"/>
        <v>0</v>
      </c>
      <c r="R113" s="62">
        <f t="shared" si="546"/>
        <v>0</v>
      </c>
      <c r="S113" s="62">
        <f t="shared" si="546"/>
        <v>0</v>
      </c>
      <c r="T113" s="62">
        <f t="shared" si="546"/>
        <v>0</v>
      </c>
      <c r="U113" s="190">
        <f t="shared" si="423"/>
        <v>270500</v>
      </c>
      <c r="V113" s="196">
        <f>SUM(V114)</f>
        <v>4.8756311216094691E-3</v>
      </c>
      <c r="W113" s="62">
        <f t="shared" si="546"/>
        <v>0</v>
      </c>
      <c r="X113" s="62">
        <f t="shared" si="546"/>
        <v>0</v>
      </c>
      <c r="Y113" s="62">
        <f t="shared" si="546"/>
        <v>147000</v>
      </c>
      <c r="Z113" s="62">
        <f t="shared" si="546"/>
        <v>-147000</v>
      </c>
      <c r="AA113" s="62">
        <f t="shared" si="546"/>
        <v>145600</v>
      </c>
      <c r="AB113" s="62">
        <f t="shared" si="546"/>
        <v>0</v>
      </c>
      <c r="AC113" s="62">
        <f t="shared" si="546"/>
        <v>276100</v>
      </c>
      <c r="AD113" s="62">
        <f t="shared" si="546"/>
        <v>312684</v>
      </c>
      <c r="AE113" s="62">
        <f t="shared" si="546"/>
        <v>0</v>
      </c>
      <c r="AF113" s="62">
        <f t="shared" si="546"/>
        <v>0</v>
      </c>
      <c r="AG113" s="62">
        <f t="shared" si="546"/>
        <v>179000</v>
      </c>
      <c r="AH113" s="62">
        <f t="shared" si="546"/>
        <v>0</v>
      </c>
      <c r="AI113" s="190">
        <f t="shared" si="424"/>
        <v>913384</v>
      </c>
      <c r="AJ113" s="196">
        <f>SUM(AJ114)</f>
        <v>1.2413700910353107E-2</v>
      </c>
      <c r="AK113" s="62">
        <f t="shared" si="546"/>
        <v>0</v>
      </c>
      <c r="AL113" s="62">
        <f t="shared" si="546"/>
        <v>0</v>
      </c>
      <c r="AM113" s="62">
        <f t="shared" si="546"/>
        <v>0</v>
      </c>
      <c r="AN113" s="62">
        <f t="shared" si="546"/>
        <v>80850</v>
      </c>
      <c r="AO113" s="62">
        <f t="shared" si="546"/>
        <v>99810</v>
      </c>
      <c r="AP113" s="62">
        <f t="shared" si="546"/>
        <v>577810</v>
      </c>
      <c r="AQ113" s="62">
        <f t="shared" si="546"/>
        <v>0</v>
      </c>
      <c r="AR113" s="62">
        <f t="shared" si="546"/>
        <v>0</v>
      </c>
      <c r="AS113" s="62">
        <f t="shared" si="546"/>
        <v>128600</v>
      </c>
      <c r="AT113" s="62">
        <f t="shared" si="546"/>
        <v>0</v>
      </c>
      <c r="AU113" s="62">
        <f t="shared" si="546"/>
        <v>22656</v>
      </c>
      <c r="AV113" s="62">
        <f t="shared" si="546"/>
        <v>0</v>
      </c>
      <c r="AW113" s="190">
        <f t="shared" si="425"/>
        <v>909726</v>
      </c>
      <c r="AX113" s="196">
        <f>SUM(AX114)</f>
        <v>1.1924993528087105E-2</v>
      </c>
      <c r="AY113" s="62">
        <f t="shared" si="546"/>
        <v>0</v>
      </c>
      <c r="AZ113" s="62">
        <f t="shared" si="546"/>
        <v>0</v>
      </c>
      <c r="BA113" s="62">
        <f t="shared" si="546"/>
        <v>0</v>
      </c>
      <c r="BB113" s="62">
        <f t="shared" si="546"/>
        <v>0</v>
      </c>
      <c r="BC113" s="62">
        <f t="shared" si="546"/>
        <v>0</v>
      </c>
      <c r="BD113" s="62">
        <f t="shared" si="546"/>
        <v>0</v>
      </c>
      <c r="BE113" s="62">
        <f t="shared" si="546"/>
        <v>398100</v>
      </c>
      <c r="BF113" s="62">
        <f t="shared" si="546"/>
        <v>0</v>
      </c>
      <c r="BG113" s="62">
        <f t="shared" si="546"/>
        <v>0</v>
      </c>
      <c r="BH113" s="62">
        <f t="shared" si="546"/>
        <v>208341</v>
      </c>
      <c r="BI113" s="62">
        <f t="shared" si="546"/>
        <v>236920</v>
      </c>
      <c r="BJ113" s="62">
        <f t="shared" si="546"/>
        <v>771410</v>
      </c>
      <c r="BK113" s="190">
        <f t="shared" si="426"/>
        <v>1614771</v>
      </c>
      <c r="BL113" s="196">
        <f>SUM(BL114)</f>
        <v>2.312132893269897E-2</v>
      </c>
      <c r="BM113" s="62">
        <f t="shared" si="546"/>
        <v>404416</v>
      </c>
      <c r="BN113" s="62">
        <f t="shared" si="546"/>
        <v>0</v>
      </c>
      <c r="BO113" s="62">
        <f t="shared" si="546"/>
        <v>91100</v>
      </c>
      <c r="BP113" s="62">
        <f t="shared" si="546"/>
        <v>0</v>
      </c>
      <c r="BQ113" s="62">
        <f t="shared" si="546"/>
        <v>0</v>
      </c>
      <c r="BR113" s="62">
        <f t="shared" si="546"/>
        <v>0</v>
      </c>
      <c r="BS113" s="62">
        <f t="shared" si="546"/>
        <v>0</v>
      </c>
      <c r="BT113" s="62">
        <f t="shared" si="546"/>
        <v>0</v>
      </c>
      <c r="BU113" s="62">
        <f t="shared" si="546"/>
        <v>0</v>
      </c>
      <c r="BV113" s="62">
        <f t="shared" si="546"/>
        <v>0</v>
      </c>
      <c r="BW113" s="62">
        <f t="shared" si="546"/>
        <v>0</v>
      </c>
      <c r="BX113" s="62">
        <f t="shared" si="546"/>
        <v>0</v>
      </c>
      <c r="BY113" s="190">
        <f t="shared" si="427"/>
        <v>495516</v>
      </c>
      <c r="BZ113" s="196">
        <f>SUM(BZ114)</f>
        <v>1.135387688578827E-2</v>
      </c>
      <c r="CA113" s="62">
        <f t="shared" si="546"/>
        <v>0</v>
      </c>
      <c r="CB113" s="62">
        <f t="shared" si="546"/>
        <v>0</v>
      </c>
      <c r="CC113" s="62">
        <f t="shared" si="546"/>
        <v>0</v>
      </c>
      <c r="CD113" s="62">
        <f t="shared" si="546"/>
        <v>0</v>
      </c>
      <c r="CE113" s="62">
        <f t="shared" si="546"/>
        <v>0</v>
      </c>
      <c r="CF113" s="62">
        <f t="shared" si="546"/>
        <v>0</v>
      </c>
      <c r="CG113" s="62">
        <f t="shared" si="546"/>
        <v>0</v>
      </c>
      <c r="CH113" s="62">
        <f t="shared" si="546"/>
        <v>0</v>
      </c>
      <c r="CI113" s="62">
        <f t="shared" si="546"/>
        <v>0</v>
      </c>
      <c r="CJ113" s="62">
        <f t="shared" si="546"/>
        <v>0</v>
      </c>
      <c r="CK113" s="62">
        <f t="shared" si="546"/>
        <v>0</v>
      </c>
      <c r="CL113" s="62">
        <f t="shared" si="546"/>
        <v>0</v>
      </c>
      <c r="CM113" s="190">
        <f t="shared" si="428"/>
        <v>0</v>
      </c>
      <c r="CN113" s="62">
        <f t="shared" si="546"/>
        <v>0</v>
      </c>
      <c r="CO113" s="62">
        <f t="shared" si="546"/>
        <v>0</v>
      </c>
      <c r="CP113" s="62">
        <f t="shared" si="546"/>
        <v>0</v>
      </c>
      <c r="CQ113" s="62">
        <f t="shared" si="546"/>
        <v>0</v>
      </c>
      <c r="CR113" s="62">
        <f t="shared" si="546"/>
        <v>0</v>
      </c>
      <c r="CS113" s="62">
        <f t="shared" si="546"/>
        <v>0</v>
      </c>
      <c r="CT113" s="62">
        <f t="shared" si="546"/>
        <v>0</v>
      </c>
      <c r="CU113" s="62">
        <f t="shared" si="546"/>
        <v>0</v>
      </c>
      <c r="CV113" s="62">
        <f t="shared" si="546"/>
        <v>0</v>
      </c>
      <c r="CW113" s="62">
        <f t="shared" si="546"/>
        <v>0</v>
      </c>
      <c r="CX113" s="62">
        <f t="shared" si="546"/>
        <v>0</v>
      </c>
      <c r="CY113" s="62">
        <f t="shared" si="546"/>
        <v>0</v>
      </c>
      <c r="CZ113" s="190">
        <f t="shared" si="429"/>
        <v>0</v>
      </c>
      <c r="DA113" s="62">
        <f t="shared" si="546"/>
        <v>0</v>
      </c>
      <c r="DB113" s="62">
        <f t="shared" si="546"/>
        <v>0</v>
      </c>
      <c r="DC113" s="62">
        <f t="shared" si="546"/>
        <v>0</v>
      </c>
      <c r="DD113" s="62">
        <f t="shared" si="546"/>
        <v>0</v>
      </c>
      <c r="DE113" s="62">
        <f t="shared" si="546"/>
        <v>0</v>
      </c>
      <c r="DF113" s="62">
        <f t="shared" si="546"/>
        <v>0</v>
      </c>
      <c r="DG113" s="62">
        <f t="shared" si="546"/>
        <v>0</v>
      </c>
      <c r="DH113" s="62">
        <f t="shared" si="546"/>
        <v>0</v>
      </c>
      <c r="DI113" s="62">
        <f t="shared" si="546"/>
        <v>0</v>
      </c>
      <c r="DJ113" s="62">
        <f t="shared" si="546"/>
        <v>0</v>
      </c>
      <c r="DK113" s="62">
        <f t="shared" si="546"/>
        <v>0</v>
      </c>
      <c r="DL113" s="62">
        <f t="shared" si="546"/>
        <v>0</v>
      </c>
      <c r="DM113" s="190">
        <f t="shared" si="430"/>
        <v>0</v>
      </c>
      <c r="DN113" s="62">
        <f t="shared" si="546"/>
        <v>0</v>
      </c>
      <c r="DO113" s="62">
        <f t="shared" si="546"/>
        <v>0</v>
      </c>
      <c r="DP113" s="62">
        <f t="shared" si="546"/>
        <v>0</v>
      </c>
      <c r="DQ113" s="62">
        <f t="shared" si="546"/>
        <v>0</v>
      </c>
      <c r="DR113" s="62">
        <f t="shared" si="546"/>
        <v>0</v>
      </c>
      <c r="DS113" s="62">
        <f t="shared" si="546"/>
        <v>0</v>
      </c>
      <c r="DT113" s="62">
        <f t="shared" si="546"/>
        <v>0</v>
      </c>
      <c r="DU113" s="62">
        <f t="shared" si="546"/>
        <v>0</v>
      </c>
      <c r="DV113" s="62">
        <f t="shared" si="546"/>
        <v>0</v>
      </c>
      <c r="DW113" s="62">
        <f t="shared" si="546"/>
        <v>0</v>
      </c>
      <c r="DX113" s="62">
        <f t="shared" si="546"/>
        <v>0</v>
      </c>
      <c r="DY113" s="62">
        <f t="shared" si="546"/>
        <v>0</v>
      </c>
      <c r="DZ113" s="190">
        <f t="shared" si="431"/>
        <v>0</v>
      </c>
    </row>
    <row r="114" spans="1:130" ht="20.45" customHeight="1" outlineLevel="2">
      <c r="A114" s="662"/>
      <c r="B114" s="646"/>
      <c r="C114" s="30" t="s">
        <v>2601</v>
      </c>
      <c r="D114" s="62">
        <f t="shared" si="345"/>
        <v>4203897.0000000009</v>
      </c>
      <c r="E114" s="184">
        <f t="shared" ref="E114" si="547">D114/(D$5+D$6+D$7+D$8+D$10+D$9)</f>
        <v>1.3006871506129569E-2</v>
      </c>
      <c r="F114" s="62">
        <v>0</v>
      </c>
      <c r="G114" s="190">
        <f t="shared" si="433"/>
        <v>0</v>
      </c>
      <c r="H114" s="197">
        <f>G114/(G$5+G$6+G$7+G$8+G$10+G$9)</f>
        <v>0</v>
      </c>
      <c r="I114" s="62">
        <v>0</v>
      </c>
      <c r="J114" s="62">
        <v>0</v>
      </c>
      <c r="K114" s="62">
        <v>0</v>
      </c>
      <c r="L114" s="62">
        <v>0</v>
      </c>
      <c r="M114" s="62">
        <v>0</v>
      </c>
      <c r="N114" s="62">
        <v>0</v>
      </c>
      <c r="O114" s="62">
        <v>0</v>
      </c>
      <c r="P114" s="62">
        <v>270500</v>
      </c>
      <c r="Q114" s="62">
        <v>0</v>
      </c>
      <c r="R114" s="62">
        <v>0</v>
      </c>
      <c r="S114" s="62">
        <v>0</v>
      </c>
      <c r="T114" s="62">
        <v>0</v>
      </c>
      <c r="U114" s="190">
        <f t="shared" si="423"/>
        <v>270500</v>
      </c>
      <c r="V114" s="197">
        <f>U114/(U$5+U$6+U$7+U$8+U$10+U$9)</f>
        <v>4.8756311216094691E-3</v>
      </c>
      <c r="W114" s="62">
        <v>0</v>
      </c>
      <c r="X114" s="62">
        <v>0</v>
      </c>
      <c r="Y114" s="62">
        <v>147000</v>
      </c>
      <c r="Z114" s="62">
        <v>-147000</v>
      </c>
      <c r="AA114" s="62">
        <f>64600+16000+61800+3200</f>
        <v>145600</v>
      </c>
      <c r="AB114" s="62">
        <v>0</v>
      </c>
      <c r="AC114" s="62">
        <v>276100</v>
      </c>
      <c r="AD114" s="62">
        <f>165900+46000+112000-98489+63373+23900</f>
        <v>312684</v>
      </c>
      <c r="AE114" s="62">
        <v>0</v>
      </c>
      <c r="AF114" s="62">
        <v>0</v>
      </c>
      <c r="AG114" s="62">
        <f>161400+17600</f>
        <v>179000</v>
      </c>
      <c r="AH114" s="62">
        <v>0</v>
      </c>
      <c r="AI114" s="190">
        <f t="shared" si="424"/>
        <v>913384</v>
      </c>
      <c r="AJ114" s="197">
        <f>AI114/(AI$5+AI$6+AI$7+AI$8+AI$10+AI$9)</f>
        <v>1.2413700910353107E-2</v>
      </c>
      <c r="AK114" s="62">
        <v>0</v>
      </c>
      <c r="AL114" s="62">
        <v>0</v>
      </c>
      <c r="AM114" s="62">
        <v>0</v>
      </c>
      <c r="AN114" s="62">
        <f>20000+11000+3350+36000+10500</f>
        <v>80850</v>
      </c>
      <c r="AO114" s="62">
        <f>14500+9500+11200+4000+7000+53610</f>
        <v>99810</v>
      </c>
      <c r="AP114" s="62">
        <v>577810</v>
      </c>
      <c r="AQ114" s="62">
        <v>0</v>
      </c>
      <c r="AR114" s="62">
        <v>0</v>
      </c>
      <c r="AS114" s="62">
        <v>128600</v>
      </c>
      <c r="AT114" s="62">
        <v>0</v>
      </c>
      <c r="AU114" s="62">
        <f>22656</f>
        <v>22656</v>
      </c>
      <c r="AV114" s="62">
        <v>0</v>
      </c>
      <c r="AW114" s="190">
        <f t="shared" si="425"/>
        <v>909726</v>
      </c>
      <c r="AX114" s="197">
        <f>AW114/(AW$5+AW$6+AW$7+AW$8+AW$10+AW$9)</f>
        <v>1.1924993528087105E-2</v>
      </c>
      <c r="AY114" s="62">
        <v>0</v>
      </c>
      <c r="AZ114" s="62">
        <v>0</v>
      </c>
      <c r="BA114" s="62">
        <v>0</v>
      </c>
      <c r="BB114" s="62">
        <v>0</v>
      </c>
      <c r="BC114" s="62">
        <v>0</v>
      </c>
      <c r="BD114" s="62">
        <v>0</v>
      </c>
      <c r="BE114" s="62">
        <f>389000+5100+4000</f>
        <v>398100</v>
      </c>
      <c r="BF114" s="62">
        <v>0</v>
      </c>
      <c r="BG114" s="62">
        <v>0</v>
      </c>
      <c r="BH114" s="62">
        <v>208341</v>
      </c>
      <c r="BI114" s="62">
        <f>236920</f>
        <v>236920</v>
      </c>
      <c r="BJ114" s="62">
        <f>197400+67810+84800+421400</f>
        <v>771410</v>
      </c>
      <c r="BK114" s="190">
        <f t="shared" si="426"/>
        <v>1614771</v>
      </c>
      <c r="BL114" s="197">
        <f>BK114/(BK$5+BK$6+BK$7+BK$8+BK$10+BK$9)</f>
        <v>2.312132893269897E-2</v>
      </c>
      <c r="BM114" s="62">
        <f>434547-30131</f>
        <v>404416</v>
      </c>
      <c r="BN114" s="62">
        <v>0</v>
      </c>
      <c r="BO114" s="62">
        <f>9000+50400+31700</f>
        <v>91100</v>
      </c>
      <c r="BP114" s="62">
        <v>0</v>
      </c>
      <c r="BQ114" s="62">
        <v>0</v>
      </c>
      <c r="BR114" s="62">
        <v>0</v>
      </c>
      <c r="BS114" s="62">
        <v>0</v>
      </c>
      <c r="BT114" s="62">
        <v>0</v>
      </c>
      <c r="BU114" s="62">
        <v>0</v>
      </c>
      <c r="BV114" s="62">
        <v>0</v>
      </c>
      <c r="BW114" s="62">
        <v>0</v>
      </c>
      <c r="BX114" s="62">
        <v>0</v>
      </c>
      <c r="BY114" s="190">
        <f t="shared" si="427"/>
        <v>495516</v>
      </c>
      <c r="BZ114" s="197">
        <f>BY114/(BY$5+BY$6+BY$7+BY$8+BY$10+BY$9)</f>
        <v>1.135387688578827E-2</v>
      </c>
      <c r="CA114" s="62">
        <v>0</v>
      </c>
      <c r="CB114" s="62">
        <v>0</v>
      </c>
      <c r="CC114" s="62">
        <v>0</v>
      </c>
      <c r="CD114" s="62">
        <v>0</v>
      </c>
      <c r="CE114" s="62">
        <v>0</v>
      </c>
      <c r="CF114" s="62">
        <v>0</v>
      </c>
      <c r="CG114" s="62">
        <v>0</v>
      </c>
      <c r="CH114" s="62">
        <v>0</v>
      </c>
      <c r="CI114" s="62">
        <v>0</v>
      </c>
      <c r="CJ114" s="62">
        <v>0</v>
      </c>
      <c r="CK114" s="62">
        <v>0</v>
      </c>
      <c r="CL114" s="62">
        <v>0</v>
      </c>
      <c r="CM114" s="190">
        <f t="shared" si="428"/>
        <v>0</v>
      </c>
      <c r="CN114" s="62">
        <v>0</v>
      </c>
      <c r="CO114" s="62">
        <v>0</v>
      </c>
      <c r="CP114" s="62">
        <v>0</v>
      </c>
      <c r="CQ114" s="62">
        <v>0</v>
      </c>
      <c r="CR114" s="62">
        <v>0</v>
      </c>
      <c r="CS114" s="62">
        <v>0</v>
      </c>
      <c r="CT114" s="62">
        <v>0</v>
      </c>
      <c r="CU114" s="62">
        <v>0</v>
      </c>
      <c r="CV114" s="62">
        <v>0</v>
      </c>
      <c r="CW114" s="62">
        <v>0</v>
      </c>
      <c r="CX114" s="62">
        <v>0</v>
      </c>
      <c r="CY114" s="62">
        <v>0</v>
      </c>
      <c r="CZ114" s="190">
        <f t="shared" si="429"/>
        <v>0</v>
      </c>
      <c r="DA114" s="62">
        <v>0</v>
      </c>
      <c r="DB114" s="62">
        <v>0</v>
      </c>
      <c r="DC114" s="62">
        <v>0</v>
      </c>
      <c r="DD114" s="62">
        <v>0</v>
      </c>
      <c r="DE114" s="62">
        <v>0</v>
      </c>
      <c r="DF114" s="62">
        <v>0</v>
      </c>
      <c r="DG114" s="62">
        <v>0</v>
      </c>
      <c r="DH114" s="62">
        <v>0</v>
      </c>
      <c r="DI114" s="62">
        <v>0</v>
      </c>
      <c r="DJ114" s="62">
        <v>0</v>
      </c>
      <c r="DK114" s="62">
        <v>0</v>
      </c>
      <c r="DL114" s="62">
        <v>0</v>
      </c>
      <c r="DM114" s="190">
        <f t="shared" si="430"/>
        <v>0</v>
      </c>
      <c r="DN114" s="62">
        <v>0</v>
      </c>
      <c r="DO114" s="62">
        <v>0</v>
      </c>
      <c r="DP114" s="62">
        <v>0</v>
      </c>
      <c r="DQ114" s="62">
        <v>0</v>
      </c>
      <c r="DR114" s="62">
        <v>0</v>
      </c>
      <c r="DS114" s="62">
        <v>0</v>
      </c>
      <c r="DT114" s="62">
        <v>0</v>
      </c>
      <c r="DU114" s="62">
        <v>0</v>
      </c>
      <c r="DV114" s="62">
        <v>0</v>
      </c>
      <c r="DW114" s="62">
        <v>0</v>
      </c>
      <c r="DX114" s="62">
        <v>0</v>
      </c>
      <c r="DY114" s="62">
        <v>0</v>
      </c>
      <c r="DZ114" s="190">
        <f t="shared" si="431"/>
        <v>0</v>
      </c>
    </row>
    <row r="115" spans="1:130" s="194" customFormat="1" ht="20.45" customHeight="1" outlineLevel="1">
      <c r="A115" s="663"/>
      <c r="B115" s="645" t="s">
        <v>3222</v>
      </c>
      <c r="C115" s="65" t="s">
        <v>307</v>
      </c>
      <c r="D115" s="66">
        <f t="shared" si="345"/>
        <v>8028299.9999999991</v>
      </c>
      <c r="E115" s="187">
        <f>SUM(E116:E122)</f>
        <v>2.4839587295468937E-2</v>
      </c>
      <c r="F115" s="62">
        <f>SUM(F116:F122)</f>
        <v>0</v>
      </c>
      <c r="G115" s="190">
        <f t="shared" ref="G115:G117" si="548">SUM(F115)</f>
        <v>0</v>
      </c>
      <c r="H115" s="196">
        <f t="shared" ref="H115:T115" si="549">SUM(H116:H122)</f>
        <v>0</v>
      </c>
      <c r="I115" s="62">
        <f t="shared" si="549"/>
        <v>0</v>
      </c>
      <c r="J115" s="62">
        <f t="shared" si="549"/>
        <v>0</v>
      </c>
      <c r="K115" s="62">
        <f t="shared" si="549"/>
        <v>0</v>
      </c>
      <c r="L115" s="62">
        <f t="shared" si="549"/>
        <v>0</v>
      </c>
      <c r="M115" s="62">
        <f t="shared" si="549"/>
        <v>0</v>
      </c>
      <c r="N115" s="62">
        <f t="shared" si="549"/>
        <v>0</v>
      </c>
      <c r="O115" s="62">
        <f t="shared" si="549"/>
        <v>0</v>
      </c>
      <c r="P115" s="62">
        <f t="shared" si="549"/>
        <v>145000</v>
      </c>
      <c r="Q115" s="62">
        <f t="shared" si="549"/>
        <v>0</v>
      </c>
      <c r="R115" s="62">
        <f t="shared" si="549"/>
        <v>105000</v>
      </c>
      <c r="S115" s="62">
        <f t="shared" si="549"/>
        <v>105000</v>
      </c>
      <c r="T115" s="62">
        <f t="shared" si="549"/>
        <v>105000</v>
      </c>
      <c r="U115" s="190">
        <f t="shared" ref="U115:U122" si="550">SUM(I115:T115)</f>
        <v>460000</v>
      </c>
      <c r="V115" s="196">
        <f t="shared" ref="V115" si="551">SUM(V116:V122)</f>
        <v>8.2912765838830168E-3</v>
      </c>
      <c r="W115" s="62">
        <f t="shared" ref="W115:AH115" si="552">SUM(W116:W122)</f>
        <v>104000</v>
      </c>
      <c r="X115" s="62">
        <f t="shared" si="552"/>
        <v>103000</v>
      </c>
      <c r="Y115" s="62">
        <f t="shared" si="552"/>
        <v>103000</v>
      </c>
      <c r="Z115" s="62">
        <f t="shared" si="552"/>
        <v>103000</v>
      </c>
      <c r="AA115" s="62">
        <f t="shared" si="552"/>
        <v>103000</v>
      </c>
      <c r="AB115" s="62">
        <f t="shared" si="552"/>
        <v>1603000</v>
      </c>
      <c r="AC115" s="62">
        <f t="shared" si="552"/>
        <v>1453000</v>
      </c>
      <c r="AD115" s="62">
        <f t="shared" si="552"/>
        <v>103000</v>
      </c>
      <c r="AE115" s="62">
        <f t="shared" si="552"/>
        <v>0</v>
      </c>
      <c r="AF115" s="62">
        <f t="shared" si="552"/>
        <v>0</v>
      </c>
      <c r="AG115" s="62">
        <f t="shared" si="552"/>
        <v>76000</v>
      </c>
      <c r="AH115" s="62">
        <f t="shared" si="552"/>
        <v>38000</v>
      </c>
      <c r="AI115" s="190">
        <f t="shared" ref="AI115:AI117" si="553">SUM(W115:AH115)</f>
        <v>3789000</v>
      </c>
      <c r="AJ115" s="196">
        <f t="shared" ref="AJ115" si="554">SUM(AJ116:AJ122)</f>
        <v>5.1495879881110165E-2</v>
      </c>
      <c r="AK115" s="62">
        <f t="shared" ref="AK115:AV115" si="555">SUM(AK116:AK122)</f>
        <v>38000</v>
      </c>
      <c r="AL115" s="62">
        <f t="shared" si="555"/>
        <v>43000</v>
      </c>
      <c r="AM115" s="62">
        <f t="shared" si="555"/>
        <v>179100</v>
      </c>
      <c r="AN115" s="62">
        <f t="shared" si="555"/>
        <v>200000</v>
      </c>
      <c r="AO115" s="62">
        <f t="shared" si="555"/>
        <v>200000</v>
      </c>
      <c r="AP115" s="62">
        <f t="shared" si="555"/>
        <v>200000</v>
      </c>
      <c r="AQ115" s="62">
        <f t="shared" si="555"/>
        <v>2006200</v>
      </c>
      <c r="AR115" s="62">
        <f t="shared" si="555"/>
        <v>0</v>
      </c>
      <c r="AS115" s="62">
        <f t="shared" si="555"/>
        <v>60000</v>
      </c>
      <c r="AT115" s="62">
        <f t="shared" si="555"/>
        <v>60000</v>
      </c>
      <c r="AU115" s="62">
        <f t="shared" si="555"/>
        <v>60000</v>
      </c>
      <c r="AV115" s="62">
        <f t="shared" si="555"/>
        <v>60000</v>
      </c>
      <c r="AW115" s="190">
        <f t="shared" ref="AW115:AW122" si="556">SUM(AK115:AV115)</f>
        <v>3106300</v>
      </c>
      <c r="AX115" s="196">
        <f t="shared" ref="AX115" si="557">SUM(AX116:AX122)</f>
        <v>4.0718422246145518E-2</v>
      </c>
      <c r="AY115" s="62">
        <f t="shared" ref="AY115:BJ115" si="558">SUM(AY116:AY122)</f>
        <v>60000</v>
      </c>
      <c r="AZ115" s="62">
        <f t="shared" si="558"/>
        <v>60000</v>
      </c>
      <c r="BA115" s="62">
        <f t="shared" si="558"/>
        <v>60000</v>
      </c>
      <c r="BB115" s="62">
        <f t="shared" si="558"/>
        <v>60000</v>
      </c>
      <c r="BC115" s="62">
        <f t="shared" si="558"/>
        <v>63000</v>
      </c>
      <c r="BD115" s="62">
        <f t="shared" si="558"/>
        <v>80000</v>
      </c>
      <c r="BE115" s="62">
        <f t="shared" si="558"/>
        <v>3200</v>
      </c>
      <c r="BF115" s="62">
        <f t="shared" si="558"/>
        <v>60000</v>
      </c>
      <c r="BG115" s="62">
        <f t="shared" si="558"/>
        <v>36800</v>
      </c>
      <c r="BH115" s="62">
        <f t="shared" si="558"/>
        <v>60000</v>
      </c>
      <c r="BI115" s="62">
        <f t="shared" si="558"/>
        <v>70000</v>
      </c>
      <c r="BJ115" s="62">
        <f t="shared" si="558"/>
        <v>0</v>
      </c>
      <c r="BK115" s="190">
        <f t="shared" ref="BK115:BK122" si="559">SUM(AY115:BJ115)</f>
        <v>613000</v>
      </c>
      <c r="BL115" s="196">
        <f t="shared" ref="BL115" si="560">SUM(BL116:BL122)</f>
        <v>8.7773279528456163E-3</v>
      </c>
      <c r="BM115" s="62">
        <f t="shared" ref="BM115:BX115" si="561">SUM(BM116:BM122)</f>
        <v>60000</v>
      </c>
      <c r="BN115" s="62">
        <f t="shared" si="561"/>
        <v>0</v>
      </c>
      <c r="BO115" s="62">
        <f t="shared" si="561"/>
        <v>0</v>
      </c>
      <c r="BP115" s="62">
        <f t="shared" si="561"/>
        <v>0</v>
      </c>
      <c r="BQ115" s="62">
        <f t="shared" si="561"/>
        <v>0</v>
      </c>
      <c r="BR115" s="62">
        <f t="shared" si="561"/>
        <v>0</v>
      </c>
      <c r="BS115" s="62">
        <f t="shared" si="561"/>
        <v>0</v>
      </c>
      <c r="BT115" s="62">
        <f t="shared" si="561"/>
        <v>0</v>
      </c>
      <c r="BU115" s="62">
        <f t="shared" si="561"/>
        <v>0</v>
      </c>
      <c r="BV115" s="62">
        <f t="shared" si="561"/>
        <v>0</v>
      </c>
      <c r="BW115" s="62">
        <f t="shared" si="561"/>
        <v>0</v>
      </c>
      <c r="BX115" s="62">
        <f t="shared" si="561"/>
        <v>0</v>
      </c>
      <c r="BY115" s="190">
        <f t="shared" ref="BY115:BY122" si="562">SUM(BM115:BX115)</f>
        <v>60000</v>
      </c>
      <c r="BZ115" s="196">
        <f t="shared" ref="BZ115" si="563">SUM(BZ116:BZ122)</f>
        <v>1.3747943823151951E-3</v>
      </c>
      <c r="CA115" s="62">
        <f t="shared" ref="CA115:CL115" si="564">SUM(CA116:CA122)</f>
        <v>0</v>
      </c>
      <c r="CB115" s="62">
        <f t="shared" si="564"/>
        <v>0</v>
      </c>
      <c r="CC115" s="62">
        <f t="shared" si="564"/>
        <v>0</v>
      </c>
      <c r="CD115" s="62">
        <f t="shared" si="564"/>
        <v>0</v>
      </c>
      <c r="CE115" s="62">
        <f t="shared" si="564"/>
        <v>0</v>
      </c>
      <c r="CF115" s="62">
        <f t="shared" si="564"/>
        <v>0</v>
      </c>
      <c r="CG115" s="62">
        <f t="shared" si="564"/>
        <v>0</v>
      </c>
      <c r="CH115" s="62">
        <f t="shared" si="564"/>
        <v>0</v>
      </c>
      <c r="CI115" s="62">
        <f t="shared" si="564"/>
        <v>0</v>
      </c>
      <c r="CJ115" s="62">
        <f t="shared" si="564"/>
        <v>0</v>
      </c>
      <c r="CK115" s="62">
        <f t="shared" si="564"/>
        <v>0</v>
      </c>
      <c r="CL115" s="62">
        <f t="shared" si="564"/>
        <v>0</v>
      </c>
      <c r="CM115" s="190">
        <f t="shared" ref="CM115:CM122" si="565">SUM(CA115:CL115)</f>
        <v>0</v>
      </c>
      <c r="CN115" s="62">
        <f t="shared" ref="CN115:CY115" si="566">SUM(CN116:CN122)</f>
        <v>0</v>
      </c>
      <c r="CO115" s="62">
        <f t="shared" si="566"/>
        <v>0</v>
      </c>
      <c r="CP115" s="62">
        <f t="shared" si="566"/>
        <v>0</v>
      </c>
      <c r="CQ115" s="62">
        <f t="shared" si="566"/>
        <v>0</v>
      </c>
      <c r="CR115" s="62">
        <f t="shared" si="566"/>
        <v>0</v>
      </c>
      <c r="CS115" s="62">
        <f t="shared" si="566"/>
        <v>0</v>
      </c>
      <c r="CT115" s="62">
        <f t="shared" si="566"/>
        <v>0</v>
      </c>
      <c r="CU115" s="62">
        <f t="shared" si="566"/>
        <v>0</v>
      </c>
      <c r="CV115" s="62">
        <f t="shared" si="566"/>
        <v>0</v>
      </c>
      <c r="CW115" s="62">
        <f t="shared" si="566"/>
        <v>0</v>
      </c>
      <c r="CX115" s="62">
        <f t="shared" si="566"/>
        <v>0</v>
      </c>
      <c r="CY115" s="62">
        <f t="shared" si="566"/>
        <v>0</v>
      </c>
      <c r="CZ115" s="190">
        <f t="shared" ref="CZ115:CZ122" si="567">SUM(CN115:CY115)</f>
        <v>0</v>
      </c>
      <c r="DA115" s="62">
        <f t="shared" ref="DA115:DL115" si="568">SUM(DA116:DA122)</f>
        <v>0</v>
      </c>
      <c r="DB115" s="62">
        <f t="shared" si="568"/>
        <v>0</v>
      </c>
      <c r="DC115" s="62">
        <f t="shared" si="568"/>
        <v>0</v>
      </c>
      <c r="DD115" s="62">
        <f t="shared" si="568"/>
        <v>0</v>
      </c>
      <c r="DE115" s="62">
        <f t="shared" si="568"/>
        <v>0</v>
      </c>
      <c r="DF115" s="62">
        <f t="shared" si="568"/>
        <v>0</v>
      </c>
      <c r="DG115" s="62">
        <f t="shared" si="568"/>
        <v>0</v>
      </c>
      <c r="DH115" s="62">
        <f t="shared" si="568"/>
        <v>0</v>
      </c>
      <c r="DI115" s="62">
        <f t="shared" si="568"/>
        <v>0</v>
      </c>
      <c r="DJ115" s="62">
        <f t="shared" si="568"/>
        <v>0</v>
      </c>
      <c r="DK115" s="62">
        <f t="shared" si="568"/>
        <v>0</v>
      </c>
      <c r="DL115" s="62">
        <f t="shared" si="568"/>
        <v>0</v>
      </c>
      <c r="DM115" s="190">
        <f t="shared" ref="DM115:DM122" si="569">SUM(DA115:DL115)</f>
        <v>0</v>
      </c>
      <c r="DN115" s="62">
        <f t="shared" ref="DN115:DY115" si="570">SUM(DN116:DN122)</f>
        <v>0</v>
      </c>
      <c r="DO115" s="62">
        <f t="shared" si="570"/>
        <v>0</v>
      </c>
      <c r="DP115" s="62">
        <f t="shared" si="570"/>
        <v>0</v>
      </c>
      <c r="DQ115" s="62">
        <f t="shared" si="570"/>
        <v>0</v>
      </c>
      <c r="DR115" s="62">
        <f t="shared" si="570"/>
        <v>0</v>
      </c>
      <c r="DS115" s="62">
        <f t="shared" si="570"/>
        <v>0</v>
      </c>
      <c r="DT115" s="62">
        <f t="shared" si="570"/>
        <v>0</v>
      </c>
      <c r="DU115" s="62">
        <f t="shared" si="570"/>
        <v>0</v>
      </c>
      <c r="DV115" s="62">
        <f t="shared" si="570"/>
        <v>0</v>
      </c>
      <c r="DW115" s="62">
        <f t="shared" si="570"/>
        <v>0</v>
      </c>
      <c r="DX115" s="62">
        <f t="shared" si="570"/>
        <v>0</v>
      </c>
      <c r="DY115" s="62">
        <f t="shared" si="570"/>
        <v>0</v>
      </c>
      <c r="DZ115" s="190">
        <f t="shared" ref="DZ115:DZ122" si="571">SUM(DN115:DY115)</f>
        <v>0</v>
      </c>
    </row>
    <row r="116" spans="1:130" ht="20.45" customHeight="1" outlineLevel="2">
      <c r="A116" s="663"/>
      <c r="B116" s="636"/>
      <c r="C116" s="30" t="s">
        <v>366</v>
      </c>
      <c r="D116" s="62">
        <f t="shared" si="345"/>
        <v>40000.000000000007</v>
      </c>
      <c r="E116" s="184">
        <f t="shared" ref="E116:E122" si="572">D116/(D$5+D$6+D$7+D$8+D$10+D$9)</f>
        <v>1.2376013499978299E-4</v>
      </c>
      <c r="F116" s="62">
        <v>0</v>
      </c>
      <c r="G116" s="190">
        <f t="shared" si="548"/>
        <v>0</v>
      </c>
      <c r="H116" s="197">
        <f t="shared" ref="H116:H122" si="573">G116/(G$5+G$6+G$7+G$8+G$10+G$9)</f>
        <v>0</v>
      </c>
      <c r="I116" s="62">
        <v>0</v>
      </c>
      <c r="J116" s="62">
        <v>0</v>
      </c>
      <c r="K116" s="62">
        <v>0</v>
      </c>
      <c r="L116" s="62">
        <v>0</v>
      </c>
      <c r="M116" s="62">
        <v>0</v>
      </c>
      <c r="N116" s="62">
        <v>0</v>
      </c>
      <c r="O116" s="62">
        <v>0</v>
      </c>
      <c r="P116" s="62">
        <v>40000</v>
      </c>
      <c r="Q116" s="62">
        <v>0</v>
      </c>
      <c r="R116" s="62">
        <v>0</v>
      </c>
      <c r="S116" s="62">
        <v>0</v>
      </c>
      <c r="T116" s="62">
        <v>0</v>
      </c>
      <c r="U116" s="190">
        <f t="shared" si="550"/>
        <v>40000</v>
      </c>
      <c r="V116" s="197">
        <f t="shared" ref="V116:V122" si="574">U116/(U$5+U$6+U$7+U$8+U$10+U$9)</f>
        <v>7.2098057251156666E-4</v>
      </c>
      <c r="W116" s="62">
        <v>0</v>
      </c>
      <c r="X116" s="62">
        <v>0</v>
      </c>
      <c r="Y116" s="62">
        <v>0</v>
      </c>
      <c r="Z116" s="62">
        <v>0</v>
      </c>
      <c r="AA116" s="62">
        <v>0</v>
      </c>
      <c r="AB116" s="62">
        <v>0</v>
      </c>
      <c r="AC116" s="62">
        <v>0</v>
      </c>
      <c r="AD116" s="62">
        <v>0</v>
      </c>
      <c r="AE116" s="62">
        <v>0</v>
      </c>
      <c r="AF116" s="62">
        <v>0</v>
      </c>
      <c r="AG116" s="62">
        <v>0</v>
      </c>
      <c r="AH116" s="62">
        <v>0</v>
      </c>
      <c r="AI116" s="190">
        <f t="shared" si="553"/>
        <v>0</v>
      </c>
      <c r="AJ116" s="197">
        <f t="shared" ref="AJ116:AJ122" si="575">AI116/(AI$5+AI$6+AI$7+AI$8+AI$10+AI$9)</f>
        <v>0</v>
      </c>
      <c r="AK116" s="62">
        <v>0</v>
      </c>
      <c r="AL116" s="62">
        <v>0</v>
      </c>
      <c r="AM116" s="62">
        <v>0</v>
      </c>
      <c r="AN116" s="62">
        <v>0</v>
      </c>
      <c r="AO116" s="62">
        <v>0</v>
      </c>
      <c r="AP116" s="62">
        <v>0</v>
      </c>
      <c r="AQ116" s="62">
        <v>0</v>
      </c>
      <c r="AR116" s="62">
        <v>0</v>
      </c>
      <c r="AS116" s="62">
        <v>0</v>
      </c>
      <c r="AT116" s="62">
        <v>0</v>
      </c>
      <c r="AU116" s="62">
        <v>0</v>
      </c>
      <c r="AV116" s="62">
        <v>0</v>
      </c>
      <c r="AW116" s="190">
        <f t="shared" si="556"/>
        <v>0</v>
      </c>
      <c r="AX116" s="197">
        <f t="shared" ref="AX116:AX122" si="576">AW116/(AW$5+AW$6+AW$7+AW$8+AW$10+AW$9)</f>
        <v>0</v>
      </c>
      <c r="AY116" s="62">
        <v>0</v>
      </c>
      <c r="AZ116" s="62">
        <v>0</v>
      </c>
      <c r="BA116" s="62">
        <v>0</v>
      </c>
      <c r="BB116" s="62">
        <v>0</v>
      </c>
      <c r="BC116" s="62">
        <v>0</v>
      </c>
      <c r="BD116" s="62">
        <v>0</v>
      </c>
      <c r="BE116" s="62">
        <v>0</v>
      </c>
      <c r="BF116" s="62">
        <v>0</v>
      </c>
      <c r="BG116" s="62">
        <v>0</v>
      </c>
      <c r="BH116" s="62">
        <v>0</v>
      </c>
      <c r="BI116" s="62">
        <v>0</v>
      </c>
      <c r="BJ116" s="62">
        <v>0</v>
      </c>
      <c r="BK116" s="190">
        <f t="shared" si="559"/>
        <v>0</v>
      </c>
      <c r="BL116" s="197">
        <f t="shared" ref="BL116:BL122" si="577">BK116/(BK$5+BK$6+BK$7+BK$8+BK$10+BK$9)</f>
        <v>0</v>
      </c>
      <c r="BM116" s="62">
        <v>0</v>
      </c>
      <c r="BN116" s="62">
        <v>0</v>
      </c>
      <c r="BO116" s="62">
        <v>0</v>
      </c>
      <c r="BP116" s="62">
        <v>0</v>
      </c>
      <c r="BQ116" s="62">
        <v>0</v>
      </c>
      <c r="BR116" s="62">
        <v>0</v>
      </c>
      <c r="BS116" s="62">
        <v>0</v>
      </c>
      <c r="BT116" s="62">
        <v>0</v>
      </c>
      <c r="BU116" s="62">
        <v>0</v>
      </c>
      <c r="BV116" s="62">
        <v>0</v>
      </c>
      <c r="BW116" s="62">
        <v>0</v>
      </c>
      <c r="BX116" s="62">
        <v>0</v>
      </c>
      <c r="BY116" s="190">
        <f t="shared" si="562"/>
        <v>0</v>
      </c>
      <c r="BZ116" s="197">
        <f t="shared" ref="BZ116:BZ122" si="578">BY116/(BY$5+BY$6+BY$7+BY$8+BY$10+BY$9)</f>
        <v>0</v>
      </c>
      <c r="CA116" s="62">
        <v>0</v>
      </c>
      <c r="CB116" s="62">
        <v>0</v>
      </c>
      <c r="CC116" s="62">
        <v>0</v>
      </c>
      <c r="CD116" s="62">
        <v>0</v>
      </c>
      <c r="CE116" s="62">
        <v>0</v>
      </c>
      <c r="CF116" s="62">
        <v>0</v>
      </c>
      <c r="CG116" s="62">
        <v>0</v>
      </c>
      <c r="CH116" s="62">
        <v>0</v>
      </c>
      <c r="CI116" s="62">
        <v>0</v>
      </c>
      <c r="CJ116" s="62">
        <v>0</v>
      </c>
      <c r="CK116" s="62">
        <v>0</v>
      </c>
      <c r="CL116" s="62">
        <v>0</v>
      </c>
      <c r="CM116" s="190">
        <f t="shared" si="565"/>
        <v>0</v>
      </c>
      <c r="CN116" s="62">
        <v>0</v>
      </c>
      <c r="CO116" s="62">
        <v>0</v>
      </c>
      <c r="CP116" s="62">
        <v>0</v>
      </c>
      <c r="CQ116" s="62">
        <v>0</v>
      </c>
      <c r="CR116" s="62">
        <v>0</v>
      </c>
      <c r="CS116" s="62">
        <v>0</v>
      </c>
      <c r="CT116" s="62">
        <v>0</v>
      </c>
      <c r="CU116" s="62">
        <v>0</v>
      </c>
      <c r="CV116" s="62">
        <v>0</v>
      </c>
      <c r="CW116" s="62">
        <v>0</v>
      </c>
      <c r="CX116" s="62">
        <v>0</v>
      </c>
      <c r="CY116" s="62">
        <v>0</v>
      </c>
      <c r="CZ116" s="190">
        <f t="shared" si="567"/>
        <v>0</v>
      </c>
      <c r="DA116" s="62">
        <v>0</v>
      </c>
      <c r="DB116" s="62">
        <v>0</v>
      </c>
      <c r="DC116" s="62">
        <v>0</v>
      </c>
      <c r="DD116" s="62">
        <v>0</v>
      </c>
      <c r="DE116" s="62">
        <v>0</v>
      </c>
      <c r="DF116" s="62">
        <v>0</v>
      </c>
      <c r="DG116" s="62">
        <v>0</v>
      </c>
      <c r="DH116" s="62">
        <v>0</v>
      </c>
      <c r="DI116" s="62">
        <v>0</v>
      </c>
      <c r="DJ116" s="62">
        <v>0</v>
      </c>
      <c r="DK116" s="62">
        <v>0</v>
      </c>
      <c r="DL116" s="62">
        <v>0</v>
      </c>
      <c r="DM116" s="190">
        <f t="shared" si="569"/>
        <v>0</v>
      </c>
      <c r="DN116" s="62">
        <v>0</v>
      </c>
      <c r="DO116" s="62">
        <v>0</v>
      </c>
      <c r="DP116" s="62">
        <v>0</v>
      </c>
      <c r="DQ116" s="62">
        <v>0</v>
      </c>
      <c r="DR116" s="62">
        <v>0</v>
      </c>
      <c r="DS116" s="62">
        <v>0</v>
      </c>
      <c r="DT116" s="62">
        <v>0</v>
      </c>
      <c r="DU116" s="62">
        <v>0</v>
      </c>
      <c r="DV116" s="62">
        <v>0</v>
      </c>
      <c r="DW116" s="62">
        <v>0</v>
      </c>
      <c r="DX116" s="62">
        <v>0</v>
      </c>
      <c r="DY116" s="62">
        <v>0</v>
      </c>
      <c r="DZ116" s="190">
        <f t="shared" si="571"/>
        <v>0</v>
      </c>
    </row>
    <row r="117" spans="1:130" ht="20.45" customHeight="1" outlineLevel="2">
      <c r="A117" s="663"/>
      <c r="B117" s="636"/>
      <c r="C117" s="30" t="s">
        <v>367</v>
      </c>
      <c r="D117" s="62">
        <f t="shared" si="345"/>
        <v>1397000.0000000005</v>
      </c>
      <c r="E117" s="184">
        <f t="shared" si="572"/>
        <v>4.3223227148674213E-3</v>
      </c>
      <c r="F117" s="62">
        <v>0</v>
      </c>
      <c r="G117" s="190">
        <f t="shared" si="548"/>
        <v>0</v>
      </c>
      <c r="H117" s="197">
        <f t="shared" si="573"/>
        <v>0</v>
      </c>
      <c r="I117" s="62">
        <v>0</v>
      </c>
      <c r="J117" s="62">
        <v>0</v>
      </c>
      <c r="K117" s="62">
        <v>0</v>
      </c>
      <c r="L117" s="62">
        <v>0</v>
      </c>
      <c r="M117" s="62">
        <v>0</v>
      </c>
      <c r="N117" s="62">
        <v>0</v>
      </c>
      <c r="O117" s="62">
        <v>0</v>
      </c>
      <c r="P117" s="62">
        <v>105000</v>
      </c>
      <c r="Q117" s="62">
        <v>0</v>
      </c>
      <c r="R117" s="62">
        <v>105000</v>
      </c>
      <c r="S117" s="62">
        <v>105000</v>
      </c>
      <c r="T117" s="62">
        <v>105000</v>
      </c>
      <c r="U117" s="190">
        <f t="shared" si="550"/>
        <v>420000</v>
      </c>
      <c r="V117" s="197">
        <f t="shared" si="574"/>
        <v>7.5702960113714496E-3</v>
      </c>
      <c r="W117" s="62">
        <v>104000</v>
      </c>
      <c r="X117" s="62">
        <v>103000</v>
      </c>
      <c r="Y117" s="62">
        <v>103000</v>
      </c>
      <c r="Z117" s="62">
        <v>103000</v>
      </c>
      <c r="AA117" s="62">
        <v>103000</v>
      </c>
      <c r="AB117" s="62">
        <v>103000</v>
      </c>
      <c r="AC117" s="62">
        <v>103000</v>
      </c>
      <c r="AD117" s="62">
        <v>103000</v>
      </c>
      <c r="AE117" s="62">
        <f>85000-85000</f>
        <v>0</v>
      </c>
      <c r="AF117" s="62">
        <v>0</v>
      </c>
      <c r="AG117" s="62">
        <f>38000+38000</f>
        <v>76000</v>
      </c>
      <c r="AH117" s="62">
        <v>38000</v>
      </c>
      <c r="AI117" s="190">
        <f t="shared" si="553"/>
        <v>939000</v>
      </c>
      <c r="AJ117" s="197">
        <f t="shared" si="575"/>
        <v>1.2761845132848362E-2</v>
      </c>
      <c r="AK117" s="62">
        <v>38000</v>
      </c>
      <c r="AL117" s="62">
        <v>43000</v>
      </c>
      <c r="AM117" s="62">
        <v>-43000</v>
      </c>
      <c r="AN117" s="62">
        <v>0</v>
      </c>
      <c r="AO117" s="62">
        <v>0</v>
      </c>
      <c r="AP117" s="62">
        <v>0</v>
      </c>
      <c r="AQ117" s="62">
        <v>0</v>
      </c>
      <c r="AR117" s="62">
        <v>0</v>
      </c>
      <c r="AS117" s="62">
        <v>0</v>
      </c>
      <c r="AT117" s="62">
        <v>0</v>
      </c>
      <c r="AU117" s="62">
        <v>0</v>
      </c>
      <c r="AV117" s="62">
        <v>0</v>
      </c>
      <c r="AW117" s="190">
        <f t="shared" si="556"/>
        <v>38000</v>
      </c>
      <c r="AX117" s="197">
        <f t="shared" si="576"/>
        <v>4.9811674511590306E-4</v>
      </c>
      <c r="AY117" s="62">
        <v>0</v>
      </c>
      <c r="AZ117" s="62">
        <v>0</v>
      </c>
      <c r="BA117" s="62">
        <v>0</v>
      </c>
      <c r="BB117" s="62">
        <v>0</v>
      </c>
      <c r="BC117" s="62">
        <v>0</v>
      </c>
      <c r="BD117" s="62">
        <v>0</v>
      </c>
      <c r="BE117" s="62">
        <v>0</v>
      </c>
      <c r="BF117" s="62">
        <v>0</v>
      </c>
      <c r="BG117" s="62">
        <v>0</v>
      </c>
      <c r="BH117" s="62">
        <v>0</v>
      </c>
      <c r="BI117" s="62">
        <v>0</v>
      </c>
      <c r="BJ117" s="62">
        <v>0</v>
      </c>
      <c r="BK117" s="190">
        <f t="shared" si="559"/>
        <v>0</v>
      </c>
      <c r="BL117" s="197">
        <f t="shared" si="577"/>
        <v>0</v>
      </c>
      <c r="BM117" s="62">
        <v>0</v>
      </c>
      <c r="BN117" s="62">
        <v>0</v>
      </c>
      <c r="BO117" s="62">
        <v>0</v>
      </c>
      <c r="BP117" s="62">
        <v>0</v>
      </c>
      <c r="BQ117" s="62">
        <v>0</v>
      </c>
      <c r="BR117" s="62">
        <v>0</v>
      </c>
      <c r="BS117" s="62">
        <v>0</v>
      </c>
      <c r="BT117" s="62">
        <v>0</v>
      </c>
      <c r="BU117" s="62">
        <v>0</v>
      </c>
      <c r="BV117" s="62">
        <v>0</v>
      </c>
      <c r="BW117" s="62">
        <v>0</v>
      </c>
      <c r="BX117" s="62">
        <v>0</v>
      </c>
      <c r="BY117" s="190">
        <f t="shared" si="562"/>
        <v>0</v>
      </c>
      <c r="BZ117" s="197">
        <f t="shared" si="578"/>
        <v>0</v>
      </c>
      <c r="CA117" s="62">
        <v>0</v>
      </c>
      <c r="CB117" s="62">
        <v>0</v>
      </c>
      <c r="CC117" s="62">
        <v>0</v>
      </c>
      <c r="CD117" s="62">
        <v>0</v>
      </c>
      <c r="CE117" s="62">
        <v>0</v>
      </c>
      <c r="CF117" s="62">
        <v>0</v>
      </c>
      <c r="CG117" s="62">
        <v>0</v>
      </c>
      <c r="CH117" s="62">
        <v>0</v>
      </c>
      <c r="CI117" s="62">
        <v>0</v>
      </c>
      <c r="CJ117" s="62">
        <v>0</v>
      </c>
      <c r="CK117" s="62">
        <v>0</v>
      </c>
      <c r="CL117" s="62">
        <v>0</v>
      </c>
      <c r="CM117" s="190">
        <f t="shared" si="565"/>
        <v>0</v>
      </c>
      <c r="CN117" s="62">
        <v>0</v>
      </c>
      <c r="CO117" s="62">
        <v>0</v>
      </c>
      <c r="CP117" s="62">
        <v>0</v>
      </c>
      <c r="CQ117" s="62">
        <v>0</v>
      </c>
      <c r="CR117" s="62">
        <v>0</v>
      </c>
      <c r="CS117" s="62">
        <v>0</v>
      </c>
      <c r="CT117" s="62">
        <v>0</v>
      </c>
      <c r="CU117" s="62">
        <v>0</v>
      </c>
      <c r="CV117" s="62">
        <v>0</v>
      </c>
      <c r="CW117" s="62">
        <v>0</v>
      </c>
      <c r="CX117" s="62">
        <v>0</v>
      </c>
      <c r="CY117" s="62">
        <v>0</v>
      </c>
      <c r="CZ117" s="190">
        <f t="shared" si="567"/>
        <v>0</v>
      </c>
      <c r="DA117" s="62">
        <v>0</v>
      </c>
      <c r="DB117" s="62">
        <v>0</v>
      </c>
      <c r="DC117" s="62">
        <v>0</v>
      </c>
      <c r="DD117" s="62">
        <v>0</v>
      </c>
      <c r="DE117" s="62">
        <v>0</v>
      </c>
      <c r="DF117" s="62">
        <v>0</v>
      </c>
      <c r="DG117" s="62">
        <v>0</v>
      </c>
      <c r="DH117" s="62">
        <v>0</v>
      </c>
      <c r="DI117" s="62">
        <v>0</v>
      </c>
      <c r="DJ117" s="62">
        <v>0</v>
      </c>
      <c r="DK117" s="62">
        <v>0</v>
      </c>
      <c r="DL117" s="62">
        <v>0</v>
      </c>
      <c r="DM117" s="190">
        <f t="shared" si="569"/>
        <v>0</v>
      </c>
      <c r="DN117" s="62">
        <v>0</v>
      </c>
      <c r="DO117" s="62">
        <v>0</v>
      </c>
      <c r="DP117" s="62">
        <v>0</v>
      </c>
      <c r="DQ117" s="62">
        <v>0</v>
      </c>
      <c r="DR117" s="62">
        <v>0</v>
      </c>
      <c r="DS117" s="62">
        <v>0</v>
      </c>
      <c r="DT117" s="62">
        <v>0</v>
      </c>
      <c r="DU117" s="62">
        <v>0</v>
      </c>
      <c r="DV117" s="62">
        <v>0</v>
      </c>
      <c r="DW117" s="62">
        <v>0</v>
      </c>
      <c r="DX117" s="62">
        <v>0</v>
      </c>
      <c r="DY117" s="62">
        <v>0</v>
      </c>
      <c r="DZ117" s="190">
        <f t="shared" si="571"/>
        <v>0</v>
      </c>
    </row>
    <row r="118" spans="1:130" ht="20.45" customHeight="1" outlineLevel="2">
      <c r="A118" s="663"/>
      <c r="B118" s="636"/>
      <c r="C118" s="30" t="s">
        <v>2624</v>
      </c>
      <c r="D118" s="62">
        <f t="shared" si="345"/>
        <v>1010000</v>
      </c>
      <c r="E118" s="184">
        <f t="shared" si="572"/>
        <v>3.1249434087445198E-3</v>
      </c>
      <c r="F118" s="62">
        <v>0</v>
      </c>
      <c r="G118" s="190">
        <f t="shared" ref="G118:G122" si="579">SUM(F118)</f>
        <v>0</v>
      </c>
      <c r="H118" s="197">
        <f t="shared" si="573"/>
        <v>0</v>
      </c>
      <c r="I118" s="62">
        <v>0</v>
      </c>
      <c r="J118" s="62">
        <v>0</v>
      </c>
      <c r="K118" s="62">
        <v>0</v>
      </c>
      <c r="L118" s="62">
        <v>0</v>
      </c>
      <c r="M118" s="62">
        <v>0</v>
      </c>
      <c r="N118" s="62">
        <v>0</v>
      </c>
      <c r="O118" s="62">
        <v>0</v>
      </c>
      <c r="P118" s="62">
        <v>0</v>
      </c>
      <c r="Q118" s="62">
        <v>0</v>
      </c>
      <c r="R118" s="62">
        <v>0</v>
      </c>
      <c r="S118" s="62">
        <v>0</v>
      </c>
      <c r="T118" s="62">
        <v>0</v>
      </c>
      <c r="U118" s="190">
        <f t="shared" si="550"/>
        <v>0</v>
      </c>
      <c r="V118" s="197">
        <f t="shared" si="574"/>
        <v>0</v>
      </c>
      <c r="W118" s="62">
        <v>0</v>
      </c>
      <c r="X118" s="62">
        <v>0</v>
      </c>
      <c r="Y118" s="62">
        <v>0</v>
      </c>
      <c r="Z118" s="62">
        <v>0</v>
      </c>
      <c r="AA118" s="62">
        <v>0</v>
      </c>
      <c r="AB118" s="62">
        <v>0</v>
      </c>
      <c r="AC118" s="62">
        <v>0</v>
      </c>
      <c r="AD118" s="62">
        <v>0</v>
      </c>
      <c r="AE118" s="62">
        <v>0</v>
      </c>
      <c r="AF118" s="62">
        <v>0</v>
      </c>
      <c r="AG118" s="62">
        <v>0</v>
      </c>
      <c r="AH118" s="62">
        <v>0</v>
      </c>
      <c r="AI118" s="190">
        <f t="shared" ref="AI118:AI122" si="580">SUM(W118:AH118)</f>
        <v>0</v>
      </c>
      <c r="AJ118" s="197">
        <f t="shared" si="575"/>
        <v>0</v>
      </c>
      <c r="AK118" s="62">
        <v>0</v>
      </c>
      <c r="AL118" s="62">
        <v>0</v>
      </c>
      <c r="AM118" s="62">
        <v>200000</v>
      </c>
      <c r="AN118" s="62">
        <v>200000</v>
      </c>
      <c r="AO118" s="62">
        <v>200000</v>
      </c>
      <c r="AP118" s="62">
        <v>200000</v>
      </c>
      <c r="AQ118" s="62">
        <v>200000</v>
      </c>
      <c r="AR118" s="62">
        <v>0</v>
      </c>
      <c r="AS118" s="62">
        <v>0</v>
      </c>
      <c r="AT118" s="62">
        <v>0</v>
      </c>
      <c r="AU118" s="62">
        <v>0</v>
      </c>
      <c r="AV118" s="62">
        <v>0</v>
      </c>
      <c r="AW118" s="190">
        <f t="shared" si="556"/>
        <v>1000000</v>
      </c>
      <c r="AX118" s="197">
        <f t="shared" si="576"/>
        <v>1.3108335397786922E-2</v>
      </c>
      <c r="AY118" s="62">
        <v>0</v>
      </c>
      <c r="AZ118" s="62">
        <v>0</v>
      </c>
      <c r="BA118" s="62">
        <v>0</v>
      </c>
      <c r="BB118" s="62">
        <v>0</v>
      </c>
      <c r="BC118" s="62">
        <v>0</v>
      </c>
      <c r="BD118" s="62">
        <v>0</v>
      </c>
      <c r="BE118" s="62">
        <v>0</v>
      </c>
      <c r="BF118" s="62">
        <v>0</v>
      </c>
      <c r="BG118" s="62">
        <v>0</v>
      </c>
      <c r="BH118" s="62">
        <v>0</v>
      </c>
      <c r="BI118" s="62">
        <f>10000</f>
        <v>10000</v>
      </c>
      <c r="BJ118" s="62">
        <v>0</v>
      </c>
      <c r="BK118" s="190">
        <f t="shared" si="559"/>
        <v>10000</v>
      </c>
      <c r="BL118" s="197">
        <f t="shared" si="577"/>
        <v>1.4318642663695949E-4</v>
      </c>
      <c r="BM118" s="62">
        <v>0</v>
      </c>
      <c r="BN118" s="62">
        <v>0</v>
      </c>
      <c r="BO118" s="62">
        <v>0</v>
      </c>
      <c r="BP118" s="62">
        <v>0</v>
      </c>
      <c r="BQ118" s="62">
        <v>0</v>
      </c>
      <c r="BR118" s="62">
        <v>0</v>
      </c>
      <c r="BS118" s="62">
        <v>0</v>
      </c>
      <c r="BT118" s="62">
        <v>0</v>
      </c>
      <c r="BU118" s="62">
        <v>0</v>
      </c>
      <c r="BV118" s="62">
        <v>0</v>
      </c>
      <c r="BW118" s="62">
        <v>0</v>
      </c>
      <c r="BX118" s="62">
        <v>0</v>
      </c>
      <c r="BY118" s="190">
        <f t="shared" si="562"/>
        <v>0</v>
      </c>
      <c r="BZ118" s="197">
        <f t="shared" si="578"/>
        <v>0</v>
      </c>
      <c r="CA118" s="62">
        <v>0</v>
      </c>
      <c r="CB118" s="62">
        <v>0</v>
      </c>
      <c r="CC118" s="62">
        <v>0</v>
      </c>
      <c r="CD118" s="62">
        <v>0</v>
      </c>
      <c r="CE118" s="62">
        <v>0</v>
      </c>
      <c r="CF118" s="62">
        <v>0</v>
      </c>
      <c r="CG118" s="62">
        <v>0</v>
      </c>
      <c r="CH118" s="62">
        <v>0</v>
      </c>
      <c r="CI118" s="62">
        <v>0</v>
      </c>
      <c r="CJ118" s="62">
        <v>0</v>
      </c>
      <c r="CK118" s="62">
        <v>0</v>
      </c>
      <c r="CL118" s="62">
        <v>0</v>
      </c>
      <c r="CM118" s="190">
        <f t="shared" si="565"/>
        <v>0</v>
      </c>
      <c r="CN118" s="62">
        <v>0</v>
      </c>
      <c r="CO118" s="62">
        <v>0</v>
      </c>
      <c r="CP118" s="62">
        <v>0</v>
      </c>
      <c r="CQ118" s="62">
        <v>0</v>
      </c>
      <c r="CR118" s="62">
        <v>0</v>
      </c>
      <c r="CS118" s="62">
        <v>0</v>
      </c>
      <c r="CT118" s="62">
        <v>0</v>
      </c>
      <c r="CU118" s="62">
        <v>0</v>
      </c>
      <c r="CV118" s="62">
        <v>0</v>
      </c>
      <c r="CW118" s="62">
        <v>0</v>
      </c>
      <c r="CX118" s="62">
        <v>0</v>
      </c>
      <c r="CY118" s="62">
        <v>0</v>
      </c>
      <c r="CZ118" s="190">
        <f t="shared" si="567"/>
        <v>0</v>
      </c>
      <c r="DA118" s="62">
        <v>0</v>
      </c>
      <c r="DB118" s="62">
        <v>0</v>
      </c>
      <c r="DC118" s="62">
        <v>0</v>
      </c>
      <c r="DD118" s="62">
        <v>0</v>
      </c>
      <c r="DE118" s="62">
        <v>0</v>
      </c>
      <c r="DF118" s="62">
        <v>0</v>
      </c>
      <c r="DG118" s="62">
        <v>0</v>
      </c>
      <c r="DH118" s="62">
        <v>0</v>
      </c>
      <c r="DI118" s="62">
        <v>0</v>
      </c>
      <c r="DJ118" s="62">
        <v>0</v>
      </c>
      <c r="DK118" s="62">
        <v>0</v>
      </c>
      <c r="DL118" s="62">
        <v>0</v>
      </c>
      <c r="DM118" s="190">
        <f t="shared" si="569"/>
        <v>0</v>
      </c>
      <c r="DN118" s="62">
        <v>0</v>
      </c>
      <c r="DO118" s="62">
        <v>0</v>
      </c>
      <c r="DP118" s="62">
        <v>0</v>
      </c>
      <c r="DQ118" s="62">
        <v>0</v>
      </c>
      <c r="DR118" s="62">
        <v>0</v>
      </c>
      <c r="DS118" s="62">
        <v>0</v>
      </c>
      <c r="DT118" s="62">
        <v>0</v>
      </c>
      <c r="DU118" s="62">
        <v>0</v>
      </c>
      <c r="DV118" s="62">
        <v>0</v>
      </c>
      <c r="DW118" s="62">
        <v>0</v>
      </c>
      <c r="DX118" s="62">
        <v>0</v>
      </c>
      <c r="DY118" s="62">
        <v>0</v>
      </c>
      <c r="DZ118" s="190">
        <f t="shared" si="571"/>
        <v>0</v>
      </c>
    </row>
    <row r="119" spans="1:130" ht="20.45" customHeight="1" outlineLevel="2">
      <c r="A119" s="663"/>
      <c r="B119" s="636"/>
      <c r="C119" s="30" t="s">
        <v>2625</v>
      </c>
      <c r="D119" s="62">
        <f t="shared" si="345"/>
        <v>4649999.9999999991</v>
      </c>
      <c r="E119" s="184">
        <f t="shared" si="572"/>
        <v>1.4387115693724766E-2</v>
      </c>
      <c r="F119" s="62">
        <v>0</v>
      </c>
      <c r="G119" s="190">
        <f t="shared" ref="G119" si="581">SUM(F119)</f>
        <v>0</v>
      </c>
      <c r="H119" s="197">
        <f t="shared" si="573"/>
        <v>0</v>
      </c>
      <c r="I119" s="62">
        <v>0</v>
      </c>
      <c r="J119" s="62">
        <v>0</v>
      </c>
      <c r="K119" s="62">
        <v>0</v>
      </c>
      <c r="L119" s="62">
        <v>0</v>
      </c>
      <c r="M119" s="62">
        <v>0</v>
      </c>
      <c r="N119" s="62">
        <v>0</v>
      </c>
      <c r="O119" s="62">
        <v>0</v>
      </c>
      <c r="P119" s="62">
        <v>0</v>
      </c>
      <c r="Q119" s="62">
        <v>0</v>
      </c>
      <c r="R119" s="62">
        <v>0</v>
      </c>
      <c r="S119" s="62">
        <v>0</v>
      </c>
      <c r="T119" s="62">
        <v>0</v>
      </c>
      <c r="U119" s="190">
        <f t="shared" ref="U119:U121" si="582">SUM(I119:T119)</f>
        <v>0</v>
      </c>
      <c r="V119" s="197">
        <f t="shared" si="574"/>
        <v>0</v>
      </c>
      <c r="W119" s="62">
        <v>0</v>
      </c>
      <c r="X119" s="62">
        <v>0</v>
      </c>
      <c r="Y119" s="62">
        <v>0</v>
      </c>
      <c r="Z119" s="62">
        <v>0</v>
      </c>
      <c r="AA119" s="62">
        <v>0</v>
      </c>
      <c r="AB119" s="62">
        <v>1500000</v>
      </c>
      <c r="AC119" s="62">
        <v>1350000</v>
      </c>
      <c r="AD119" s="62">
        <v>0</v>
      </c>
      <c r="AE119" s="62">
        <v>0</v>
      </c>
      <c r="AF119" s="62">
        <v>0</v>
      </c>
      <c r="AG119" s="62">
        <v>0</v>
      </c>
      <c r="AH119" s="62">
        <v>0</v>
      </c>
      <c r="AI119" s="190">
        <f t="shared" ref="AI119" si="583">SUM(W119:AH119)</f>
        <v>2850000</v>
      </c>
      <c r="AJ119" s="197">
        <f t="shared" si="575"/>
        <v>3.87340347482618E-2</v>
      </c>
      <c r="AK119" s="62">
        <v>0</v>
      </c>
      <c r="AL119" s="62">
        <v>0</v>
      </c>
      <c r="AM119" s="62">
        <v>0</v>
      </c>
      <c r="AN119" s="62">
        <v>0</v>
      </c>
      <c r="AO119" s="62">
        <v>0</v>
      </c>
      <c r="AP119" s="62">
        <v>0</v>
      </c>
      <c r="AQ119" s="62">
        <v>1800000</v>
      </c>
      <c r="AR119" s="62">
        <v>0</v>
      </c>
      <c r="AS119" s="62">
        <v>0</v>
      </c>
      <c r="AT119" s="62">
        <v>0</v>
      </c>
      <c r="AU119" s="62">
        <v>0</v>
      </c>
      <c r="AV119" s="62">
        <v>0</v>
      </c>
      <c r="AW119" s="190">
        <f t="shared" ref="AW119:AW121" si="584">SUM(AK119:AV119)</f>
        <v>1800000</v>
      </c>
      <c r="AX119" s="197">
        <f t="shared" si="576"/>
        <v>2.3595003716016461E-2</v>
      </c>
      <c r="AY119" s="62">
        <v>0</v>
      </c>
      <c r="AZ119" s="62">
        <v>0</v>
      </c>
      <c r="BA119" s="62">
        <v>0</v>
      </c>
      <c r="BB119" s="62">
        <v>0</v>
      </c>
      <c r="BC119" s="62">
        <v>0</v>
      </c>
      <c r="BD119" s="62">
        <v>0</v>
      </c>
      <c r="BE119" s="62">
        <v>0</v>
      </c>
      <c r="BF119" s="62">
        <v>0</v>
      </c>
      <c r="BG119" s="62">
        <v>0</v>
      </c>
      <c r="BH119" s="62">
        <v>0</v>
      </c>
      <c r="BI119" s="62">
        <v>0</v>
      </c>
      <c r="BJ119" s="62">
        <v>0</v>
      </c>
      <c r="BK119" s="190">
        <f t="shared" ref="BK119:BK121" si="585">SUM(AY119:BJ119)</f>
        <v>0</v>
      </c>
      <c r="BL119" s="197">
        <f t="shared" si="577"/>
        <v>0</v>
      </c>
      <c r="BM119" s="62">
        <v>0</v>
      </c>
      <c r="BN119" s="62">
        <v>0</v>
      </c>
      <c r="BO119" s="62">
        <v>0</v>
      </c>
      <c r="BP119" s="62">
        <v>0</v>
      </c>
      <c r="BQ119" s="62">
        <v>0</v>
      </c>
      <c r="BR119" s="62">
        <v>0</v>
      </c>
      <c r="BS119" s="62">
        <v>0</v>
      </c>
      <c r="BT119" s="62">
        <v>0</v>
      </c>
      <c r="BU119" s="62">
        <v>0</v>
      </c>
      <c r="BV119" s="62">
        <v>0</v>
      </c>
      <c r="BW119" s="62">
        <v>0</v>
      </c>
      <c r="BX119" s="62">
        <v>0</v>
      </c>
      <c r="BY119" s="190">
        <f t="shared" ref="BY119:BY121" si="586">SUM(BM119:BX119)</f>
        <v>0</v>
      </c>
      <c r="BZ119" s="197">
        <f t="shared" si="578"/>
        <v>0</v>
      </c>
      <c r="CA119" s="62">
        <v>0</v>
      </c>
      <c r="CB119" s="62">
        <v>0</v>
      </c>
      <c r="CC119" s="62">
        <v>0</v>
      </c>
      <c r="CD119" s="62">
        <v>0</v>
      </c>
      <c r="CE119" s="62">
        <v>0</v>
      </c>
      <c r="CF119" s="62">
        <v>0</v>
      </c>
      <c r="CG119" s="62">
        <v>0</v>
      </c>
      <c r="CH119" s="62">
        <v>0</v>
      </c>
      <c r="CI119" s="62">
        <v>0</v>
      </c>
      <c r="CJ119" s="62">
        <v>0</v>
      </c>
      <c r="CK119" s="62">
        <v>0</v>
      </c>
      <c r="CL119" s="62">
        <v>0</v>
      </c>
      <c r="CM119" s="190">
        <f t="shared" ref="CM119:CM121" si="587">SUM(CA119:CL119)</f>
        <v>0</v>
      </c>
      <c r="CN119" s="62">
        <v>0</v>
      </c>
      <c r="CO119" s="62">
        <v>0</v>
      </c>
      <c r="CP119" s="62">
        <v>0</v>
      </c>
      <c r="CQ119" s="62">
        <v>0</v>
      </c>
      <c r="CR119" s="62">
        <v>0</v>
      </c>
      <c r="CS119" s="62">
        <v>0</v>
      </c>
      <c r="CT119" s="62">
        <v>0</v>
      </c>
      <c r="CU119" s="62">
        <v>0</v>
      </c>
      <c r="CV119" s="62">
        <v>0</v>
      </c>
      <c r="CW119" s="62">
        <v>0</v>
      </c>
      <c r="CX119" s="62">
        <v>0</v>
      </c>
      <c r="CY119" s="62">
        <v>0</v>
      </c>
      <c r="CZ119" s="190">
        <f t="shared" ref="CZ119:CZ121" si="588">SUM(CN119:CY119)</f>
        <v>0</v>
      </c>
      <c r="DA119" s="62">
        <v>0</v>
      </c>
      <c r="DB119" s="62">
        <v>0</v>
      </c>
      <c r="DC119" s="62">
        <v>0</v>
      </c>
      <c r="DD119" s="62">
        <v>0</v>
      </c>
      <c r="DE119" s="62">
        <v>0</v>
      </c>
      <c r="DF119" s="62">
        <v>0</v>
      </c>
      <c r="DG119" s="62">
        <v>0</v>
      </c>
      <c r="DH119" s="62">
        <v>0</v>
      </c>
      <c r="DI119" s="62">
        <v>0</v>
      </c>
      <c r="DJ119" s="62">
        <v>0</v>
      </c>
      <c r="DK119" s="62">
        <v>0</v>
      </c>
      <c r="DL119" s="62">
        <v>0</v>
      </c>
      <c r="DM119" s="190">
        <f t="shared" ref="DM119:DM121" si="589">SUM(DA119:DL119)</f>
        <v>0</v>
      </c>
      <c r="DN119" s="62">
        <v>0</v>
      </c>
      <c r="DO119" s="62">
        <v>0</v>
      </c>
      <c r="DP119" s="62">
        <v>0</v>
      </c>
      <c r="DQ119" s="62">
        <v>0</v>
      </c>
      <c r="DR119" s="62">
        <v>0</v>
      </c>
      <c r="DS119" s="62">
        <v>0</v>
      </c>
      <c r="DT119" s="62">
        <v>0</v>
      </c>
      <c r="DU119" s="62">
        <v>0</v>
      </c>
      <c r="DV119" s="62">
        <v>0</v>
      </c>
      <c r="DW119" s="62">
        <v>0</v>
      </c>
      <c r="DX119" s="62">
        <v>0</v>
      </c>
      <c r="DY119" s="62">
        <v>0</v>
      </c>
      <c r="DZ119" s="190">
        <f t="shared" ref="DZ119:DZ121" si="590">SUM(DN119:DY119)</f>
        <v>0</v>
      </c>
    </row>
    <row r="120" spans="1:130" ht="20.45" customHeight="1" outlineLevel="2">
      <c r="A120" s="663"/>
      <c r="B120" s="636"/>
      <c r="C120" s="30" t="s">
        <v>2626</v>
      </c>
      <c r="D120" s="62">
        <f t="shared" si="345"/>
        <v>876800</v>
      </c>
      <c r="E120" s="184">
        <f t="shared" si="572"/>
        <v>2.7128221591952426E-3</v>
      </c>
      <c r="F120" s="62">
        <v>0</v>
      </c>
      <c r="G120" s="190">
        <f t="shared" ref="G120" si="591">SUM(F120)</f>
        <v>0</v>
      </c>
      <c r="H120" s="197">
        <f t="shared" si="573"/>
        <v>0</v>
      </c>
      <c r="I120" s="62">
        <v>0</v>
      </c>
      <c r="J120" s="62">
        <v>0</v>
      </c>
      <c r="K120" s="62">
        <v>0</v>
      </c>
      <c r="L120" s="62">
        <v>0</v>
      </c>
      <c r="M120" s="62">
        <v>0</v>
      </c>
      <c r="N120" s="62">
        <v>0</v>
      </c>
      <c r="O120" s="62">
        <v>0</v>
      </c>
      <c r="P120" s="62">
        <v>0</v>
      </c>
      <c r="Q120" s="62">
        <v>0</v>
      </c>
      <c r="R120" s="62">
        <v>0</v>
      </c>
      <c r="S120" s="62">
        <v>0</v>
      </c>
      <c r="T120" s="62">
        <v>0</v>
      </c>
      <c r="U120" s="190">
        <f t="shared" si="582"/>
        <v>0</v>
      </c>
      <c r="V120" s="197">
        <f t="shared" si="574"/>
        <v>0</v>
      </c>
      <c r="W120" s="62">
        <v>0</v>
      </c>
      <c r="X120" s="62">
        <v>0</v>
      </c>
      <c r="Y120" s="62">
        <v>0</v>
      </c>
      <c r="Z120" s="62">
        <v>0</v>
      </c>
      <c r="AA120" s="62">
        <v>0</v>
      </c>
      <c r="AB120" s="62">
        <v>0</v>
      </c>
      <c r="AC120" s="62">
        <v>0</v>
      </c>
      <c r="AD120" s="62">
        <v>0</v>
      </c>
      <c r="AE120" s="62">
        <v>0</v>
      </c>
      <c r="AF120" s="62">
        <v>0</v>
      </c>
      <c r="AG120" s="62">
        <v>0</v>
      </c>
      <c r="AH120" s="62">
        <v>0</v>
      </c>
      <c r="AI120" s="190">
        <f t="shared" ref="AI120" si="592">SUM(W120:AH120)</f>
        <v>0</v>
      </c>
      <c r="AJ120" s="197">
        <f t="shared" si="575"/>
        <v>0</v>
      </c>
      <c r="AK120" s="62">
        <v>0</v>
      </c>
      <c r="AL120" s="62">
        <v>0</v>
      </c>
      <c r="AM120" s="62">
        <v>0</v>
      </c>
      <c r="AN120" s="62">
        <v>0</v>
      </c>
      <c r="AO120" s="62">
        <v>0</v>
      </c>
      <c r="AP120" s="62">
        <v>0</v>
      </c>
      <c r="AQ120" s="62">
        <v>0</v>
      </c>
      <c r="AR120" s="62">
        <v>0</v>
      </c>
      <c r="AS120" s="62">
        <v>60000</v>
      </c>
      <c r="AT120" s="62">
        <v>60000</v>
      </c>
      <c r="AU120" s="62">
        <v>60000</v>
      </c>
      <c r="AV120" s="62">
        <v>60000</v>
      </c>
      <c r="AW120" s="190">
        <f t="shared" si="584"/>
        <v>240000</v>
      </c>
      <c r="AX120" s="197">
        <f t="shared" si="576"/>
        <v>3.1460004954688612E-3</v>
      </c>
      <c r="AY120" s="62">
        <v>60000</v>
      </c>
      <c r="AZ120" s="62">
        <v>60000</v>
      </c>
      <c r="BA120" s="62">
        <v>60000</v>
      </c>
      <c r="BB120" s="62">
        <v>60000</v>
      </c>
      <c r="BC120" s="62">
        <v>60000</v>
      </c>
      <c r="BD120" s="62">
        <v>60000</v>
      </c>
      <c r="BE120" s="62">
        <v>0</v>
      </c>
      <c r="BF120" s="62">
        <v>60000</v>
      </c>
      <c r="BG120" s="62">
        <v>36800</v>
      </c>
      <c r="BH120" s="62">
        <v>60000</v>
      </c>
      <c r="BI120" s="62">
        <v>60000</v>
      </c>
      <c r="BJ120" s="62">
        <v>0</v>
      </c>
      <c r="BK120" s="190">
        <f t="shared" si="585"/>
        <v>576800</v>
      </c>
      <c r="BL120" s="197">
        <f t="shared" si="577"/>
        <v>8.2589930884198227E-3</v>
      </c>
      <c r="BM120" s="62">
        <v>60000</v>
      </c>
      <c r="BN120" s="62">
        <v>0</v>
      </c>
      <c r="BO120" s="62">
        <v>0</v>
      </c>
      <c r="BP120" s="62">
        <v>0</v>
      </c>
      <c r="BQ120" s="62">
        <v>0</v>
      </c>
      <c r="BR120" s="62">
        <v>0</v>
      </c>
      <c r="BS120" s="62">
        <v>0</v>
      </c>
      <c r="BT120" s="62">
        <v>0</v>
      </c>
      <c r="BU120" s="62">
        <v>0</v>
      </c>
      <c r="BV120" s="62">
        <v>0</v>
      </c>
      <c r="BW120" s="62">
        <v>0</v>
      </c>
      <c r="BX120" s="62">
        <v>0</v>
      </c>
      <c r="BY120" s="190">
        <f t="shared" si="586"/>
        <v>60000</v>
      </c>
      <c r="BZ120" s="197">
        <f t="shared" si="578"/>
        <v>1.3747943823151951E-3</v>
      </c>
      <c r="CA120" s="62">
        <v>0</v>
      </c>
      <c r="CB120" s="62">
        <v>0</v>
      </c>
      <c r="CC120" s="62">
        <v>0</v>
      </c>
      <c r="CD120" s="62">
        <v>0</v>
      </c>
      <c r="CE120" s="62">
        <v>0</v>
      </c>
      <c r="CF120" s="62">
        <v>0</v>
      </c>
      <c r="CG120" s="62">
        <v>0</v>
      </c>
      <c r="CH120" s="62">
        <v>0</v>
      </c>
      <c r="CI120" s="62">
        <v>0</v>
      </c>
      <c r="CJ120" s="62">
        <v>0</v>
      </c>
      <c r="CK120" s="62">
        <v>0</v>
      </c>
      <c r="CL120" s="62">
        <v>0</v>
      </c>
      <c r="CM120" s="190">
        <f t="shared" si="587"/>
        <v>0</v>
      </c>
      <c r="CN120" s="62">
        <v>0</v>
      </c>
      <c r="CO120" s="62">
        <v>0</v>
      </c>
      <c r="CP120" s="62">
        <v>0</v>
      </c>
      <c r="CQ120" s="62">
        <v>0</v>
      </c>
      <c r="CR120" s="62">
        <v>0</v>
      </c>
      <c r="CS120" s="62">
        <v>0</v>
      </c>
      <c r="CT120" s="62">
        <v>0</v>
      </c>
      <c r="CU120" s="62">
        <v>0</v>
      </c>
      <c r="CV120" s="62">
        <v>0</v>
      </c>
      <c r="CW120" s="62">
        <v>0</v>
      </c>
      <c r="CX120" s="62">
        <v>0</v>
      </c>
      <c r="CY120" s="62">
        <v>0</v>
      </c>
      <c r="CZ120" s="190">
        <f t="shared" si="588"/>
        <v>0</v>
      </c>
      <c r="DA120" s="62">
        <v>0</v>
      </c>
      <c r="DB120" s="62">
        <v>0</v>
      </c>
      <c r="DC120" s="62">
        <v>0</v>
      </c>
      <c r="DD120" s="62">
        <v>0</v>
      </c>
      <c r="DE120" s="62">
        <v>0</v>
      </c>
      <c r="DF120" s="62">
        <v>0</v>
      </c>
      <c r="DG120" s="62">
        <v>0</v>
      </c>
      <c r="DH120" s="62">
        <v>0</v>
      </c>
      <c r="DI120" s="62">
        <v>0</v>
      </c>
      <c r="DJ120" s="62">
        <v>0</v>
      </c>
      <c r="DK120" s="62">
        <v>0</v>
      </c>
      <c r="DL120" s="62">
        <v>0</v>
      </c>
      <c r="DM120" s="190">
        <f t="shared" si="589"/>
        <v>0</v>
      </c>
      <c r="DN120" s="62">
        <v>0</v>
      </c>
      <c r="DO120" s="62">
        <v>0</v>
      </c>
      <c r="DP120" s="62">
        <v>0</v>
      </c>
      <c r="DQ120" s="62">
        <v>0</v>
      </c>
      <c r="DR120" s="62">
        <v>0</v>
      </c>
      <c r="DS120" s="62">
        <v>0</v>
      </c>
      <c r="DT120" s="62">
        <v>0</v>
      </c>
      <c r="DU120" s="62">
        <v>0</v>
      </c>
      <c r="DV120" s="62">
        <v>0</v>
      </c>
      <c r="DW120" s="62">
        <v>0</v>
      </c>
      <c r="DX120" s="62">
        <v>0</v>
      </c>
      <c r="DY120" s="62">
        <v>0</v>
      </c>
      <c r="DZ120" s="190">
        <f t="shared" si="590"/>
        <v>0</v>
      </c>
    </row>
    <row r="121" spans="1:130" ht="20.45" customHeight="1" outlineLevel="2">
      <c r="A121" s="663"/>
      <c r="B121" s="636"/>
      <c r="C121" s="30" t="s">
        <v>3060</v>
      </c>
      <c r="D121" s="62">
        <f t="shared" si="345"/>
        <v>34500.000000000007</v>
      </c>
      <c r="E121" s="184">
        <f t="shared" si="572"/>
        <v>1.0674311643731283E-4</v>
      </c>
      <c r="F121" s="62">
        <v>0</v>
      </c>
      <c r="G121" s="190">
        <f t="shared" ref="G121" si="593">SUM(F121)</f>
        <v>0</v>
      </c>
      <c r="H121" s="197">
        <f t="shared" si="573"/>
        <v>0</v>
      </c>
      <c r="I121" s="62">
        <v>0</v>
      </c>
      <c r="J121" s="62">
        <v>0</v>
      </c>
      <c r="K121" s="62">
        <v>0</v>
      </c>
      <c r="L121" s="62">
        <v>0</v>
      </c>
      <c r="M121" s="62">
        <v>0</v>
      </c>
      <c r="N121" s="62">
        <v>0</v>
      </c>
      <c r="O121" s="62">
        <v>0</v>
      </c>
      <c r="P121" s="62">
        <v>0</v>
      </c>
      <c r="Q121" s="62">
        <v>0</v>
      </c>
      <c r="R121" s="62">
        <v>0</v>
      </c>
      <c r="S121" s="62">
        <v>0</v>
      </c>
      <c r="T121" s="62">
        <v>0</v>
      </c>
      <c r="U121" s="190">
        <f t="shared" si="582"/>
        <v>0</v>
      </c>
      <c r="V121" s="197">
        <f t="shared" si="574"/>
        <v>0</v>
      </c>
      <c r="W121" s="62">
        <v>0</v>
      </c>
      <c r="X121" s="62">
        <v>0</v>
      </c>
      <c r="Y121" s="62">
        <v>0</v>
      </c>
      <c r="Z121" s="62">
        <v>0</v>
      </c>
      <c r="AA121" s="62">
        <v>0</v>
      </c>
      <c r="AB121" s="62">
        <v>0</v>
      </c>
      <c r="AC121" s="62">
        <v>0</v>
      </c>
      <c r="AD121" s="62">
        <v>0</v>
      </c>
      <c r="AE121" s="62">
        <v>0</v>
      </c>
      <c r="AF121" s="62">
        <v>0</v>
      </c>
      <c r="AG121" s="62">
        <v>0</v>
      </c>
      <c r="AH121" s="62">
        <v>0</v>
      </c>
      <c r="AI121" s="190">
        <f t="shared" ref="AI121" si="594">SUM(W121:AH121)</f>
        <v>0</v>
      </c>
      <c r="AJ121" s="197">
        <f t="shared" si="575"/>
        <v>0</v>
      </c>
      <c r="AK121" s="62">
        <v>0</v>
      </c>
      <c r="AL121" s="62">
        <v>0</v>
      </c>
      <c r="AM121" s="62">
        <v>22100</v>
      </c>
      <c r="AN121" s="62">
        <v>0</v>
      </c>
      <c r="AO121" s="62">
        <v>0</v>
      </c>
      <c r="AP121" s="62">
        <v>0</v>
      </c>
      <c r="AQ121" s="62">
        <v>6200</v>
      </c>
      <c r="AR121" s="62">
        <v>0</v>
      </c>
      <c r="AS121" s="62">
        <v>0</v>
      </c>
      <c r="AT121" s="62">
        <v>0</v>
      </c>
      <c r="AU121" s="62">
        <v>0</v>
      </c>
      <c r="AV121" s="62">
        <v>0</v>
      </c>
      <c r="AW121" s="190">
        <f t="shared" si="584"/>
        <v>28300</v>
      </c>
      <c r="AX121" s="197">
        <f t="shared" si="576"/>
        <v>3.7096589175736989E-4</v>
      </c>
      <c r="AY121" s="62">
        <v>0</v>
      </c>
      <c r="AZ121" s="62">
        <v>0</v>
      </c>
      <c r="BA121" s="62">
        <v>0</v>
      </c>
      <c r="BB121" s="62">
        <v>0</v>
      </c>
      <c r="BC121" s="62">
        <f>3000</f>
        <v>3000</v>
      </c>
      <c r="BD121" s="62">
        <v>0</v>
      </c>
      <c r="BE121" s="62">
        <f>3200</f>
        <v>3200</v>
      </c>
      <c r="BF121" s="62">
        <v>0</v>
      </c>
      <c r="BG121" s="62">
        <v>0</v>
      </c>
      <c r="BH121" s="62">
        <v>0</v>
      </c>
      <c r="BI121" s="62">
        <v>0</v>
      </c>
      <c r="BJ121" s="62">
        <v>0</v>
      </c>
      <c r="BK121" s="190">
        <f t="shared" si="585"/>
        <v>6200</v>
      </c>
      <c r="BL121" s="197">
        <f t="shared" si="577"/>
        <v>8.877558451491488E-5</v>
      </c>
      <c r="BM121" s="62">
        <v>0</v>
      </c>
      <c r="BN121" s="62">
        <v>0</v>
      </c>
      <c r="BO121" s="62">
        <v>0</v>
      </c>
      <c r="BP121" s="62">
        <v>0</v>
      </c>
      <c r="BQ121" s="62">
        <v>0</v>
      </c>
      <c r="BR121" s="62">
        <v>0</v>
      </c>
      <c r="BS121" s="62">
        <v>0</v>
      </c>
      <c r="BT121" s="62">
        <v>0</v>
      </c>
      <c r="BU121" s="62">
        <v>0</v>
      </c>
      <c r="BV121" s="62">
        <v>0</v>
      </c>
      <c r="BW121" s="62">
        <v>0</v>
      </c>
      <c r="BX121" s="62">
        <v>0</v>
      </c>
      <c r="BY121" s="190">
        <f t="shared" si="586"/>
        <v>0</v>
      </c>
      <c r="BZ121" s="197">
        <f t="shared" si="578"/>
        <v>0</v>
      </c>
      <c r="CA121" s="62">
        <v>0</v>
      </c>
      <c r="CB121" s="62">
        <v>0</v>
      </c>
      <c r="CC121" s="62">
        <v>0</v>
      </c>
      <c r="CD121" s="62">
        <v>0</v>
      </c>
      <c r="CE121" s="62">
        <v>0</v>
      </c>
      <c r="CF121" s="62">
        <v>0</v>
      </c>
      <c r="CG121" s="62">
        <v>0</v>
      </c>
      <c r="CH121" s="62">
        <v>0</v>
      </c>
      <c r="CI121" s="62">
        <v>0</v>
      </c>
      <c r="CJ121" s="62">
        <v>0</v>
      </c>
      <c r="CK121" s="62">
        <v>0</v>
      </c>
      <c r="CL121" s="62">
        <v>0</v>
      </c>
      <c r="CM121" s="190">
        <f t="shared" si="587"/>
        <v>0</v>
      </c>
      <c r="CN121" s="62">
        <v>0</v>
      </c>
      <c r="CO121" s="62">
        <v>0</v>
      </c>
      <c r="CP121" s="62">
        <v>0</v>
      </c>
      <c r="CQ121" s="62">
        <v>0</v>
      </c>
      <c r="CR121" s="62">
        <v>0</v>
      </c>
      <c r="CS121" s="62">
        <v>0</v>
      </c>
      <c r="CT121" s="62">
        <v>0</v>
      </c>
      <c r="CU121" s="62">
        <v>0</v>
      </c>
      <c r="CV121" s="62">
        <v>0</v>
      </c>
      <c r="CW121" s="62">
        <v>0</v>
      </c>
      <c r="CX121" s="62">
        <v>0</v>
      </c>
      <c r="CY121" s="62">
        <v>0</v>
      </c>
      <c r="CZ121" s="190">
        <f t="shared" si="588"/>
        <v>0</v>
      </c>
      <c r="DA121" s="62">
        <v>0</v>
      </c>
      <c r="DB121" s="62">
        <v>0</v>
      </c>
      <c r="DC121" s="62">
        <v>0</v>
      </c>
      <c r="DD121" s="62">
        <v>0</v>
      </c>
      <c r="DE121" s="62">
        <v>0</v>
      </c>
      <c r="DF121" s="62">
        <v>0</v>
      </c>
      <c r="DG121" s="62">
        <v>0</v>
      </c>
      <c r="DH121" s="62">
        <v>0</v>
      </c>
      <c r="DI121" s="62">
        <v>0</v>
      </c>
      <c r="DJ121" s="62">
        <v>0</v>
      </c>
      <c r="DK121" s="62">
        <v>0</v>
      </c>
      <c r="DL121" s="62">
        <v>0</v>
      </c>
      <c r="DM121" s="190">
        <f t="shared" si="589"/>
        <v>0</v>
      </c>
      <c r="DN121" s="62">
        <v>0</v>
      </c>
      <c r="DO121" s="62">
        <v>0</v>
      </c>
      <c r="DP121" s="62">
        <v>0</v>
      </c>
      <c r="DQ121" s="62">
        <v>0</v>
      </c>
      <c r="DR121" s="62">
        <v>0</v>
      </c>
      <c r="DS121" s="62">
        <v>0</v>
      </c>
      <c r="DT121" s="62">
        <v>0</v>
      </c>
      <c r="DU121" s="62">
        <v>0</v>
      </c>
      <c r="DV121" s="62">
        <v>0</v>
      </c>
      <c r="DW121" s="62">
        <v>0</v>
      </c>
      <c r="DX121" s="62">
        <v>0</v>
      </c>
      <c r="DY121" s="62">
        <v>0</v>
      </c>
      <c r="DZ121" s="190">
        <f t="shared" si="590"/>
        <v>0</v>
      </c>
    </row>
    <row r="122" spans="1:130" ht="20.45" customHeight="1" outlineLevel="2">
      <c r="A122" s="663"/>
      <c r="B122" s="636"/>
      <c r="C122" s="30" t="s">
        <v>3223</v>
      </c>
      <c r="D122" s="62">
        <f t="shared" si="345"/>
        <v>19999.999999999996</v>
      </c>
      <c r="E122" s="184">
        <f t="shared" si="572"/>
        <v>6.188006749989147E-5</v>
      </c>
      <c r="F122" s="62">
        <v>0</v>
      </c>
      <c r="G122" s="190">
        <f t="shared" si="579"/>
        <v>0</v>
      </c>
      <c r="H122" s="197">
        <f t="shared" si="573"/>
        <v>0</v>
      </c>
      <c r="I122" s="62">
        <v>0</v>
      </c>
      <c r="J122" s="62">
        <v>0</v>
      </c>
      <c r="K122" s="62">
        <v>0</v>
      </c>
      <c r="L122" s="62">
        <v>0</v>
      </c>
      <c r="M122" s="62">
        <v>0</v>
      </c>
      <c r="N122" s="62">
        <v>0</v>
      </c>
      <c r="O122" s="62">
        <v>0</v>
      </c>
      <c r="P122" s="62">
        <v>0</v>
      </c>
      <c r="Q122" s="62">
        <v>0</v>
      </c>
      <c r="R122" s="62">
        <v>0</v>
      </c>
      <c r="S122" s="62">
        <v>0</v>
      </c>
      <c r="T122" s="62">
        <v>0</v>
      </c>
      <c r="U122" s="190">
        <f t="shared" si="550"/>
        <v>0</v>
      </c>
      <c r="V122" s="197">
        <f t="shared" si="574"/>
        <v>0</v>
      </c>
      <c r="W122" s="62">
        <v>0</v>
      </c>
      <c r="X122" s="62">
        <v>0</v>
      </c>
      <c r="Y122" s="62">
        <v>0</v>
      </c>
      <c r="Z122" s="62">
        <v>0</v>
      </c>
      <c r="AA122" s="62">
        <v>0</v>
      </c>
      <c r="AB122" s="62">
        <v>0</v>
      </c>
      <c r="AC122" s="62">
        <v>0</v>
      </c>
      <c r="AD122" s="62">
        <v>0</v>
      </c>
      <c r="AE122" s="62">
        <v>0</v>
      </c>
      <c r="AF122" s="62">
        <v>0</v>
      </c>
      <c r="AG122" s="62">
        <v>0</v>
      </c>
      <c r="AH122" s="62">
        <v>0</v>
      </c>
      <c r="AI122" s="190">
        <f t="shared" si="580"/>
        <v>0</v>
      </c>
      <c r="AJ122" s="197">
        <f t="shared" si="575"/>
        <v>0</v>
      </c>
      <c r="AK122" s="62">
        <v>0</v>
      </c>
      <c r="AL122" s="62">
        <v>0</v>
      </c>
      <c r="AM122" s="62">
        <v>0</v>
      </c>
      <c r="AN122" s="62">
        <v>0</v>
      </c>
      <c r="AO122" s="62">
        <v>0</v>
      </c>
      <c r="AP122" s="62">
        <v>0</v>
      </c>
      <c r="AQ122" s="62">
        <v>0</v>
      </c>
      <c r="AR122" s="62">
        <v>0</v>
      </c>
      <c r="AS122" s="62">
        <v>0</v>
      </c>
      <c r="AT122" s="62">
        <v>0</v>
      </c>
      <c r="AU122" s="62">
        <v>0</v>
      </c>
      <c r="AV122" s="62">
        <v>0</v>
      </c>
      <c r="AW122" s="190">
        <f t="shared" si="556"/>
        <v>0</v>
      </c>
      <c r="AX122" s="197">
        <f t="shared" si="576"/>
        <v>0</v>
      </c>
      <c r="AY122" s="62">
        <v>0</v>
      </c>
      <c r="AZ122" s="62">
        <v>0</v>
      </c>
      <c r="BA122" s="62">
        <v>0</v>
      </c>
      <c r="BB122" s="62">
        <v>0</v>
      </c>
      <c r="BC122" s="62">
        <v>0</v>
      </c>
      <c r="BD122" s="62">
        <f>20000</f>
        <v>20000</v>
      </c>
      <c r="BE122" s="62">
        <v>0</v>
      </c>
      <c r="BF122" s="62">
        <v>0</v>
      </c>
      <c r="BG122" s="62">
        <v>0</v>
      </c>
      <c r="BH122" s="62">
        <v>0</v>
      </c>
      <c r="BI122" s="62">
        <v>0</v>
      </c>
      <c r="BJ122" s="62">
        <v>0</v>
      </c>
      <c r="BK122" s="190">
        <f t="shared" si="559"/>
        <v>20000</v>
      </c>
      <c r="BL122" s="197">
        <f t="shared" si="577"/>
        <v>2.8637285327391898E-4</v>
      </c>
      <c r="BM122" s="62">
        <v>0</v>
      </c>
      <c r="BN122" s="62">
        <v>0</v>
      </c>
      <c r="BO122" s="62">
        <v>0</v>
      </c>
      <c r="BP122" s="62">
        <v>0</v>
      </c>
      <c r="BQ122" s="62">
        <v>0</v>
      </c>
      <c r="BR122" s="62">
        <v>0</v>
      </c>
      <c r="BS122" s="62">
        <v>0</v>
      </c>
      <c r="BT122" s="62">
        <v>0</v>
      </c>
      <c r="BU122" s="62">
        <v>0</v>
      </c>
      <c r="BV122" s="62">
        <v>0</v>
      </c>
      <c r="BW122" s="62">
        <v>0</v>
      </c>
      <c r="BX122" s="62">
        <v>0</v>
      </c>
      <c r="BY122" s="190">
        <f t="shared" si="562"/>
        <v>0</v>
      </c>
      <c r="BZ122" s="197">
        <f t="shared" si="578"/>
        <v>0</v>
      </c>
      <c r="CA122" s="62">
        <v>0</v>
      </c>
      <c r="CB122" s="62">
        <v>0</v>
      </c>
      <c r="CC122" s="62">
        <v>0</v>
      </c>
      <c r="CD122" s="62">
        <v>0</v>
      </c>
      <c r="CE122" s="62">
        <v>0</v>
      </c>
      <c r="CF122" s="62">
        <v>0</v>
      </c>
      <c r="CG122" s="62">
        <v>0</v>
      </c>
      <c r="CH122" s="62">
        <v>0</v>
      </c>
      <c r="CI122" s="62">
        <v>0</v>
      </c>
      <c r="CJ122" s="62">
        <v>0</v>
      </c>
      <c r="CK122" s="62">
        <v>0</v>
      </c>
      <c r="CL122" s="62">
        <v>0</v>
      </c>
      <c r="CM122" s="190">
        <f t="shared" si="565"/>
        <v>0</v>
      </c>
      <c r="CN122" s="62">
        <v>0</v>
      </c>
      <c r="CO122" s="62">
        <v>0</v>
      </c>
      <c r="CP122" s="62">
        <v>0</v>
      </c>
      <c r="CQ122" s="62">
        <v>0</v>
      </c>
      <c r="CR122" s="62">
        <v>0</v>
      </c>
      <c r="CS122" s="62">
        <v>0</v>
      </c>
      <c r="CT122" s="62">
        <v>0</v>
      </c>
      <c r="CU122" s="62">
        <v>0</v>
      </c>
      <c r="CV122" s="62">
        <v>0</v>
      </c>
      <c r="CW122" s="62">
        <v>0</v>
      </c>
      <c r="CX122" s="62">
        <v>0</v>
      </c>
      <c r="CY122" s="62">
        <v>0</v>
      </c>
      <c r="CZ122" s="190">
        <f t="shared" si="567"/>
        <v>0</v>
      </c>
      <c r="DA122" s="62">
        <v>0</v>
      </c>
      <c r="DB122" s="62">
        <v>0</v>
      </c>
      <c r="DC122" s="62">
        <v>0</v>
      </c>
      <c r="DD122" s="62">
        <v>0</v>
      </c>
      <c r="DE122" s="62">
        <v>0</v>
      </c>
      <c r="DF122" s="62">
        <v>0</v>
      </c>
      <c r="DG122" s="62">
        <v>0</v>
      </c>
      <c r="DH122" s="62">
        <v>0</v>
      </c>
      <c r="DI122" s="62">
        <v>0</v>
      </c>
      <c r="DJ122" s="62">
        <v>0</v>
      </c>
      <c r="DK122" s="62">
        <v>0</v>
      </c>
      <c r="DL122" s="62">
        <v>0</v>
      </c>
      <c r="DM122" s="190">
        <f t="shared" si="569"/>
        <v>0</v>
      </c>
      <c r="DN122" s="62">
        <v>0</v>
      </c>
      <c r="DO122" s="62">
        <v>0</v>
      </c>
      <c r="DP122" s="62">
        <v>0</v>
      </c>
      <c r="DQ122" s="62">
        <v>0</v>
      </c>
      <c r="DR122" s="62">
        <v>0</v>
      </c>
      <c r="DS122" s="62">
        <v>0</v>
      </c>
      <c r="DT122" s="62">
        <v>0</v>
      </c>
      <c r="DU122" s="62">
        <v>0</v>
      </c>
      <c r="DV122" s="62">
        <v>0</v>
      </c>
      <c r="DW122" s="62">
        <v>0</v>
      </c>
      <c r="DX122" s="62">
        <v>0</v>
      </c>
      <c r="DY122" s="62">
        <v>0</v>
      </c>
      <c r="DZ122" s="190">
        <f t="shared" si="571"/>
        <v>0</v>
      </c>
    </row>
    <row r="123" spans="1:130" s="194" customFormat="1" ht="20.45" customHeight="1" outlineLevel="1">
      <c r="A123" s="662"/>
      <c r="B123" s="645" t="s">
        <v>2103</v>
      </c>
      <c r="C123" s="65" t="s">
        <v>307</v>
      </c>
      <c r="D123" s="66">
        <f t="shared" si="345"/>
        <v>3909150</v>
      </c>
      <c r="E123" s="187">
        <f>SUM(E124:E128)</f>
        <v>1.2094923293360038E-2</v>
      </c>
      <c r="F123" s="62">
        <f>SUM(F124:F128)</f>
        <v>0</v>
      </c>
      <c r="G123" s="190">
        <f t="shared" si="433"/>
        <v>0</v>
      </c>
      <c r="H123" s="196">
        <f t="shared" ref="H123:T123" si="595">SUM(H124:H128)</f>
        <v>0</v>
      </c>
      <c r="I123" s="62">
        <f t="shared" si="595"/>
        <v>0</v>
      </c>
      <c r="J123" s="62">
        <f t="shared" si="595"/>
        <v>0</v>
      </c>
      <c r="K123" s="62">
        <f t="shared" si="595"/>
        <v>0</v>
      </c>
      <c r="L123" s="62">
        <f t="shared" si="595"/>
        <v>0</v>
      </c>
      <c r="M123" s="62">
        <f t="shared" si="595"/>
        <v>0</v>
      </c>
      <c r="N123" s="62">
        <f t="shared" si="595"/>
        <v>0</v>
      </c>
      <c r="O123" s="62">
        <f t="shared" si="595"/>
        <v>0</v>
      </c>
      <c r="P123" s="62">
        <f t="shared" si="595"/>
        <v>0</v>
      </c>
      <c r="Q123" s="62">
        <f t="shared" si="595"/>
        <v>0</v>
      </c>
      <c r="R123" s="62">
        <f t="shared" si="595"/>
        <v>174602</v>
      </c>
      <c r="S123" s="62">
        <f t="shared" si="595"/>
        <v>377508</v>
      </c>
      <c r="T123" s="62">
        <f t="shared" si="595"/>
        <v>0</v>
      </c>
      <c r="U123" s="190">
        <f t="shared" si="423"/>
        <v>552110</v>
      </c>
      <c r="V123" s="196">
        <f t="shared" ref="V123" si="596">SUM(V124:V128)</f>
        <v>9.951514597234026E-3</v>
      </c>
      <c r="W123" s="62">
        <f t="shared" ref="W123:AH123" si="597">SUM(W124:W128)</f>
        <v>0</v>
      </c>
      <c r="X123" s="62">
        <f t="shared" si="597"/>
        <v>0</v>
      </c>
      <c r="Y123" s="62">
        <f t="shared" si="597"/>
        <v>0</v>
      </c>
      <c r="Z123" s="62">
        <f t="shared" si="597"/>
        <v>0</v>
      </c>
      <c r="AA123" s="62">
        <f t="shared" si="597"/>
        <v>0</v>
      </c>
      <c r="AB123" s="62">
        <f t="shared" si="597"/>
        <v>0</v>
      </c>
      <c r="AC123" s="62">
        <f t="shared" si="597"/>
        <v>430120</v>
      </c>
      <c r="AD123" s="62">
        <f t="shared" si="597"/>
        <v>400000</v>
      </c>
      <c r="AE123" s="62">
        <f t="shared" si="597"/>
        <v>400000</v>
      </c>
      <c r="AF123" s="62">
        <f t="shared" si="597"/>
        <v>400000</v>
      </c>
      <c r="AG123" s="62">
        <f t="shared" si="597"/>
        <v>0</v>
      </c>
      <c r="AH123" s="62">
        <f t="shared" si="597"/>
        <v>0</v>
      </c>
      <c r="AI123" s="190">
        <f t="shared" si="424"/>
        <v>1630120</v>
      </c>
      <c r="AJ123" s="196">
        <f t="shared" ref="AJ123" si="598">SUM(AJ124:AJ128)</f>
        <v>2.2154780604854922E-2</v>
      </c>
      <c r="AK123" s="62">
        <f t="shared" ref="AK123:AV123" si="599">SUM(AK124:AK128)</f>
        <v>0</v>
      </c>
      <c r="AL123" s="62">
        <f t="shared" si="599"/>
        <v>264220</v>
      </c>
      <c r="AM123" s="62">
        <f t="shared" si="599"/>
        <v>0</v>
      </c>
      <c r="AN123" s="62">
        <f t="shared" si="599"/>
        <v>59400</v>
      </c>
      <c r="AO123" s="62">
        <f t="shared" si="599"/>
        <v>0</v>
      </c>
      <c r="AP123" s="62">
        <f t="shared" si="599"/>
        <v>0</v>
      </c>
      <c r="AQ123" s="62">
        <f t="shared" si="599"/>
        <v>0</v>
      </c>
      <c r="AR123" s="62">
        <f t="shared" si="599"/>
        <v>538126</v>
      </c>
      <c r="AS123" s="62">
        <f t="shared" si="599"/>
        <v>0</v>
      </c>
      <c r="AT123" s="62">
        <f t="shared" si="599"/>
        <v>0</v>
      </c>
      <c r="AU123" s="62">
        <f t="shared" si="599"/>
        <v>0</v>
      </c>
      <c r="AV123" s="62">
        <f t="shared" si="599"/>
        <v>0</v>
      </c>
      <c r="AW123" s="190">
        <f t="shared" si="425"/>
        <v>861746</v>
      </c>
      <c r="AX123" s="196">
        <f t="shared" ref="AX123" si="600">SUM(AX124:AX128)</f>
        <v>1.129605559570129E-2</v>
      </c>
      <c r="AY123" s="62">
        <f t="shared" ref="AY123:BJ123" si="601">SUM(AY124:AY128)</f>
        <v>0</v>
      </c>
      <c r="AZ123" s="62">
        <f t="shared" si="601"/>
        <v>0</v>
      </c>
      <c r="BA123" s="62">
        <f t="shared" si="601"/>
        <v>0</v>
      </c>
      <c r="BB123" s="62">
        <f t="shared" si="601"/>
        <v>0</v>
      </c>
      <c r="BC123" s="62">
        <f t="shared" si="601"/>
        <v>0</v>
      </c>
      <c r="BD123" s="62">
        <f t="shared" si="601"/>
        <v>0</v>
      </c>
      <c r="BE123" s="62">
        <f t="shared" si="601"/>
        <v>0</v>
      </c>
      <c r="BF123" s="62">
        <f t="shared" si="601"/>
        <v>0</v>
      </c>
      <c r="BG123" s="62">
        <f t="shared" si="601"/>
        <v>587574</v>
      </c>
      <c r="BH123" s="62">
        <f t="shared" si="601"/>
        <v>0</v>
      </c>
      <c r="BI123" s="62">
        <f t="shared" si="601"/>
        <v>0</v>
      </c>
      <c r="BJ123" s="62">
        <f t="shared" si="601"/>
        <v>0</v>
      </c>
      <c r="BK123" s="190">
        <f t="shared" si="426"/>
        <v>587574</v>
      </c>
      <c r="BL123" s="196">
        <f t="shared" ref="BL123" si="602">SUM(BL124:BL128)</f>
        <v>8.4132621444784842E-3</v>
      </c>
      <c r="BM123" s="62">
        <f t="shared" ref="BM123:BX123" si="603">SUM(BM124:BM128)</f>
        <v>40000</v>
      </c>
      <c r="BN123" s="62">
        <f t="shared" si="603"/>
        <v>0</v>
      </c>
      <c r="BO123" s="62">
        <f t="shared" si="603"/>
        <v>237600</v>
      </c>
      <c r="BP123" s="62">
        <f t="shared" si="603"/>
        <v>0</v>
      </c>
      <c r="BQ123" s="62">
        <f t="shared" si="603"/>
        <v>0</v>
      </c>
      <c r="BR123" s="62">
        <f t="shared" si="603"/>
        <v>0</v>
      </c>
      <c r="BS123" s="62">
        <f t="shared" si="603"/>
        <v>0</v>
      </c>
      <c r="BT123" s="62">
        <f t="shared" si="603"/>
        <v>0</v>
      </c>
      <c r="BU123" s="62">
        <f t="shared" si="603"/>
        <v>0</v>
      </c>
      <c r="BV123" s="62">
        <f t="shared" si="603"/>
        <v>0</v>
      </c>
      <c r="BW123" s="62">
        <f t="shared" si="603"/>
        <v>0</v>
      </c>
      <c r="BX123" s="62">
        <f t="shared" si="603"/>
        <v>0</v>
      </c>
      <c r="BY123" s="190">
        <f t="shared" si="427"/>
        <v>277600</v>
      </c>
      <c r="BZ123" s="196">
        <f t="shared" ref="BZ123" si="604">SUM(BZ124:BZ128)</f>
        <v>6.3607153421783025E-3</v>
      </c>
      <c r="CA123" s="62">
        <f t="shared" ref="CA123:CL123" si="605">SUM(CA124:CA128)</f>
        <v>0</v>
      </c>
      <c r="CB123" s="62">
        <f t="shared" si="605"/>
        <v>0</v>
      </c>
      <c r="CC123" s="62">
        <f t="shared" si="605"/>
        <v>0</v>
      </c>
      <c r="CD123" s="62">
        <f t="shared" si="605"/>
        <v>0</v>
      </c>
      <c r="CE123" s="62">
        <f t="shared" si="605"/>
        <v>0</v>
      </c>
      <c r="CF123" s="62">
        <f t="shared" si="605"/>
        <v>0</v>
      </c>
      <c r="CG123" s="62">
        <f t="shared" si="605"/>
        <v>0</v>
      </c>
      <c r="CH123" s="62">
        <f t="shared" si="605"/>
        <v>0</v>
      </c>
      <c r="CI123" s="62">
        <f t="shared" si="605"/>
        <v>0</v>
      </c>
      <c r="CJ123" s="62">
        <f t="shared" si="605"/>
        <v>0</v>
      </c>
      <c r="CK123" s="62">
        <f t="shared" si="605"/>
        <v>0</v>
      </c>
      <c r="CL123" s="62">
        <f t="shared" si="605"/>
        <v>0</v>
      </c>
      <c r="CM123" s="190">
        <f t="shared" si="428"/>
        <v>0</v>
      </c>
      <c r="CN123" s="62">
        <f t="shared" ref="CN123:CY123" si="606">SUM(CN124:CN128)</f>
        <v>0</v>
      </c>
      <c r="CO123" s="62">
        <f t="shared" si="606"/>
        <v>0</v>
      </c>
      <c r="CP123" s="62">
        <f t="shared" si="606"/>
        <v>0</v>
      </c>
      <c r="CQ123" s="62">
        <f t="shared" si="606"/>
        <v>0</v>
      </c>
      <c r="CR123" s="62">
        <f t="shared" si="606"/>
        <v>0</v>
      </c>
      <c r="CS123" s="62">
        <f t="shared" si="606"/>
        <v>0</v>
      </c>
      <c r="CT123" s="62">
        <f t="shared" si="606"/>
        <v>0</v>
      </c>
      <c r="CU123" s="62">
        <f t="shared" si="606"/>
        <v>0</v>
      </c>
      <c r="CV123" s="62">
        <f t="shared" si="606"/>
        <v>0</v>
      </c>
      <c r="CW123" s="62">
        <f t="shared" si="606"/>
        <v>0</v>
      </c>
      <c r="CX123" s="62">
        <f t="shared" si="606"/>
        <v>0</v>
      </c>
      <c r="CY123" s="62">
        <f t="shared" si="606"/>
        <v>0</v>
      </c>
      <c r="CZ123" s="190">
        <f t="shared" si="429"/>
        <v>0</v>
      </c>
      <c r="DA123" s="62">
        <f t="shared" ref="DA123:DL123" si="607">SUM(DA124:DA128)</f>
        <v>0</v>
      </c>
      <c r="DB123" s="62">
        <f t="shared" si="607"/>
        <v>0</v>
      </c>
      <c r="DC123" s="62">
        <f t="shared" si="607"/>
        <v>0</v>
      </c>
      <c r="DD123" s="62">
        <f t="shared" si="607"/>
        <v>0</v>
      </c>
      <c r="DE123" s="62">
        <f t="shared" si="607"/>
        <v>0</v>
      </c>
      <c r="DF123" s="62">
        <f t="shared" si="607"/>
        <v>0</v>
      </c>
      <c r="DG123" s="62">
        <f t="shared" si="607"/>
        <v>0</v>
      </c>
      <c r="DH123" s="62">
        <f t="shared" si="607"/>
        <v>0</v>
      </c>
      <c r="DI123" s="62">
        <f t="shared" si="607"/>
        <v>0</v>
      </c>
      <c r="DJ123" s="62">
        <f t="shared" si="607"/>
        <v>0</v>
      </c>
      <c r="DK123" s="62">
        <f t="shared" si="607"/>
        <v>0</v>
      </c>
      <c r="DL123" s="62">
        <f t="shared" si="607"/>
        <v>0</v>
      </c>
      <c r="DM123" s="190">
        <f t="shared" si="430"/>
        <v>0</v>
      </c>
      <c r="DN123" s="62">
        <f t="shared" ref="DN123:DY123" si="608">SUM(DN124:DN128)</f>
        <v>0</v>
      </c>
      <c r="DO123" s="62">
        <f t="shared" si="608"/>
        <v>0</v>
      </c>
      <c r="DP123" s="62">
        <f t="shared" si="608"/>
        <v>0</v>
      </c>
      <c r="DQ123" s="62">
        <f t="shared" si="608"/>
        <v>0</v>
      </c>
      <c r="DR123" s="62">
        <f t="shared" si="608"/>
        <v>0</v>
      </c>
      <c r="DS123" s="62">
        <f t="shared" si="608"/>
        <v>0</v>
      </c>
      <c r="DT123" s="62">
        <f t="shared" si="608"/>
        <v>0</v>
      </c>
      <c r="DU123" s="62">
        <f t="shared" si="608"/>
        <v>0</v>
      </c>
      <c r="DV123" s="62">
        <f t="shared" si="608"/>
        <v>0</v>
      </c>
      <c r="DW123" s="62">
        <f t="shared" si="608"/>
        <v>0</v>
      </c>
      <c r="DX123" s="62">
        <f t="shared" si="608"/>
        <v>0</v>
      </c>
      <c r="DY123" s="62">
        <f t="shared" si="608"/>
        <v>0</v>
      </c>
      <c r="DZ123" s="190">
        <f t="shared" si="431"/>
        <v>0</v>
      </c>
    </row>
    <row r="124" spans="1:130" ht="20.45" customHeight="1" outlineLevel="2">
      <c r="A124" s="662"/>
      <c r="B124" s="636"/>
      <c r="C124" s="30" t="s">
        <v>368</v>
      </c>
      <c r="D124" s="62">
        <f t="shared" si="345"/>
        <v>1969129.9999999998</v>
      </c>
      <c r="E124" s="184">
        <f t="shared" ref="E124:E128" si="609">D124/(D$5+D$6+D$7+D$8+D$10+D$9)</f>
        <v>6.092494865803065E-3</v>
      </c>
      <c r="F124" s="62">
        <v>0</v>
      </c>
      <c r="G124" s="190">
        <f t="shared" si="433"/>
        <v>0</v>
      </c>
      <c r="H124" s="197">
        <f t="shared" ref="H124:H128" si="610">G124/(G$5+G$6+G$7+G$8+G$10+G$9)</f>
        <v>0</v>
      </c>
      <c r="I124" s="62">
        <v>0</v>
      </c>
      <c r="J124" s="62">
        <v>0</v>
      </c>
      <c r="K124" s="62">
        <v>0</v>
      </c>
      <c r="L124" s="62">
        <v>0</v>
      </c>
      <c r="M124" s="62">
        <v>0</v>
      </c>
      <c r="N124" s="62">
        <v>0</v>
      </c>
      <c r="O124" s="62">
        <v>0</v>
      </c>
      <c r="P124" s="62">
        <v>0</v>
      </c>
      <c r="Q124" s="62">
        <v>0</v>
      </c>
      <c r="R124" s="62">
        <v>174602</v>
      </c>
      <c r="S124" s="62">
        <v>357508</v>
      </c>
      <c r="T124" s="62">
        <v>0</v>
      </c>
      <c r="U124" s="190">
        <f t="shared" si="423"/>
        <v>532110</v>
      </c>
      <c r="V124" s="197">
        <f t="shared" ref="V124:V128" si="611">U124/(U$5+U$6+U$7+U$8+U$10+U$9)</f>
        <v>9.5910243109782432E-3</v>
      </c>
      <c r="W124" s="62">
        <v>0</v>
      </c>
      <c r="X124" s="62">
        <v>0</v>
      </c>
      <c r="Y124" s="62">
        <v>0</v>
      </c>
      <c r="Z124" s="62">
        <v>0</v>
      </c>
      <c r="AA124" s="62">
        <v>0</v>
      </c>
      <c r="AB124" s="62">
        <v>0</v>
      </c>
      <c r="AC124" s="62">
        <v>430120</v>
      </c>
      <c r="AD124" s="62">
        <v>0</v>
      </c>
      <c r="AE124" s="62">
        <v>0</v>
      </c>
      <c r="AF124" s="62">
        <v>0</v>
      </c>
      <c r="AG124" s="62">
        <v>0</v>
      </c>
      <c r="AH124" s="62">
        <v>0</v>
      </c>
      <c r="AI124" s="190">
        <f t="shared" si="424"/>
        <v>430120</v>
      </c>
      <c r="AJ124" s="197">
        <f t="shared" ref="AJ124:AJ128" si="612">AI124/(AI$5+AI$6+AI$7+AI$8+AI$10+AI$9)</f>
        <v>5.8457133424289001E-3</v>
      </c>
      <c r="AK124" s="62">
        <v>0</v>
      </c>
      <c r="AL124" s="62">
        <v>0</v>
      </c>
      <c r="AM124" s="62">
        <v>0</v>
      </c>
      <c r="AN124" s="62">
        <v>0</v>
      </c>
      <c r="AO124" s="62">
        <v>0</v>
      </c>
      <c r="AP124" s="62">
        <v>0</v>
      </c>
      <c r="AQ124" s="62">
        <v>0</v>
      </c>
      <c r="AR124" s="62">
        <v>478726</v>
      </c>
      <c r="AS124" s="62">
        <v>0</v>
      </c>
      <c r="AT124" s="62">
        <v>0</v>
      </c>
      <c r="AU124" s="62">
        <v>0</v>
      </c>
      <c r="AV124" s="62">
        <v>0</v>
      </c>
      <c r="AW124" s="190">
        <f t="shared" si="425"/>
        <v>478726</v>
      </c>
      <c r="AX124" s="197">
        <f t="shared" ref="AX124:AX128" si="613">AW124/(AW$5+AW$6+AW$7+AW$8+AW$10+AW$9)</f>
        <v>6.2753009716409423E-3</v>
      </c>
      <c r="AY124" s="62">
        <v>0</v>
      </c>
      <c r="AZ124" s="62">
        <v>0</v>
      </c>
      <c r="BA124" s="62">
        <v>0</v>
      </c>
      <c r="BB124" s="62">
        <v>0</v>
      </c>
      <c r="BC124" s="62">
        <v>0</v>
      </c>
      <c r="BD124" s="62">
        <v>0</v>
      </c>
      <c r="BE124" s="62">
        <v>0</v>
      </c>
      <c r="BF124" s="62">
        <v>0</v>
      </c>
      <c r="BG124" s="62">
        <v>528174</v>
      </c>
      <c r="BH124" s="62">
        <v>0</v>
      </c>
      <c r="BI124" s="62">
        <v>0</v>
      </c>
      <c r="BJ124" s="62">
        <v>0</v>
      </c>
      <c r="BK124" s="190">
        <f t="shared" si="426"/>
        <v>528174</v>
      </c>
      <c r="BL124" s="197">
        <f t="shared" ref="BL124:BL128" si="614">BK124/(BK$5+BK$6+BK$7+BK$8+BK$10+BK$9)</f>
        <v>7.5627347702549447E-3</v>
      </c>
      <c r="BM124" s="62">
        <v>0</v>
      </c>
      <c r="BN124" s="62">
        <v>0</v>
      </c>
      <c r="BO124" s="62">
        <v>0</v>
      </c>
      <c r="BP124" s="62">
        <v>0</v>
      </c>
      <c r="BQ124" s="62">
        <v>0</v>
      </c>
      <c r="BR124" s="62">
        <v>0</v>
      </c>
      <c r="BS124" s="62">
        <v>0</v>
      </c>
      <c r="BT124" s="62">
        <v>0</v>
      </c>
      <c r="BU124" s="62">
        <v>0</v>
      </c>
      <c r="BV124" s="62">
        <v>0</v>
      </c>
      <c r="BW124" s="62">
        <v>0</v>
      </c>
      <c r="BX124" s="62">
        <v>0</v>
      </c>
      <c r="BY124" s="190">
        <f t="shared" si="427"/>
        <v>0</v>
      </c>
      <c r="BZ124" s="197">
        <f t="shared" ref="BZ124:BZ128" si="615">BY124/(BY$5+BY$6+BY$7+BY$8+BY$10+BY$9)</f>
        <v>0</v>
      </c>
      <c r="CA124" s="62">
        <v>0</v>
      </c>
      <c r="CB124" s="62">
        <v>0</v>
      </c>
      <c r="CC124" s="62">
        <v>0</v>
      </c>
      <c r="CD124" s="62">
        <v>0</v>
      </c>
      <c r="CE124" s="62">
        <v>0</v>
      </c>
      <c r="CF124" s="62">
        <v>0</v>
      </c>
      <c r="CG124" s="62">
        <v>0</v>
      </c>
      <c r="CH124" s="62">
        <v>0</v>
      </c>
      <c r="CI124" s="62">
        <v>0</v>
      </c>
      <c r="CJ124" s="62">
        <v>0</v>
      </c>
      <c r="CK124" s="62">
        <v>0</v>
      </c>
      <c r="CL124" s="62">
        <v>0</v>
      </c>
      <c r="CM124" s="190">
        <f t="shared" si="428"/>
        <v>0</v>
      </c>
      <c r="CN124" s="62">
        <v>0</v>
      </c>
      <c r="CO124" s="62">
        <v>0</v>
      </c>
      <c r="CP124" s="62">
        <v>0</v>
      </c>
      <c r="CQ124" s="62">
        <v>0</v>
      </c>
      <c r="CR124" s="62">
        <v>0</v>
      </c>
      <c r="CS124" s="62">
        <v>0</v>
      </c>
      <c r="CT124" s="62">
        <v>0</v>
      </c>
      <c r="CU124" s="62">
        <v>0</v>
      </c>
      <c r="CV124" s="62">
        <v>0</v>
      </c>
      <c r="CW124" s="62">
        <v>0</v>
      </c>
      <c r="CX124" s="62">
        <v>0</v>
      </c>
      <c r="CY124" s="62">
        <v>0</v>
      </c>
      <c r="CZ124" s="190">
        <f t="shared" si="429"/>
        <v>0</v>
      </c>
      <c r="DA124" s="62">
        <v>0</v>
      </c>
      <c r="DB124" s="62">
        <v>0</v>
      </c>
      <c r="DC124" s="62">
        <v>0</v>
      </c>
      <c r="DD124" s="62">
        <v>0</v>
      </c>
      <c r="DE124" s="62">
        <v>0</v>
      </c>
      <c r="DF124" s="62">
        <v>0</v>
      </c>
      <c r="DG124" s="62">
        <v>0</v>
      </c>
      <c r="DH124" s="62">
        <v>0</v>
      </c>
      <c r="DI124" s="62">
        <v>0</v>
      </c>
      <c r="DJ124" s="62">
        <v>0</v>
      </c>
      <c r="DK124" s="62">
        <v>0</v>
      </c>
      <c r="DL124" s="62">
        <v>0</v>
      </c>
      <c r="DM124" s="190">
        <f t="shared" si="430"/>
        <v>0</v>
      </c>
      <c r="DN124" s="62">
        <v>0</v>
      </c>
      <c r="DO124" s="62">
        <v>0</v>
      </c>
      <c r="DP124" s="62">
        <v>0</v>
      </c>
      <c r="DQ124" s="62">
        <v>0</v>
      </c>
      <c r="DR124" s="62">
        <v>0</v>
      </c>
      <c r="DS124" s="62">
        <v>0</v>
      </c>
      <c r="DT124" s="62">
        <v>0</v>
      </c>
      <c r="DU124" s="62">
        <v>0</v>
      </c>
      <c r="DV124" s="62">
        <v>0</v>
      </c>
      <c r="DW124" s="62">
        <v>0</v>
      </c>
      <c r="DX124" s="62">
        <v>0</v>
      </c>
      <c r="DY124" s="62">
        <v>0</v>
      </c>
      <c r="DZ124" s="190">
        <f t="shared" si="431"/>
        <v>0</v>
      </c>
    </row>
    <row r="125" spans="1:130" ht="20.45" customHeight="1" outlineLevel="2">
      <c r="A125" s="663"/>
      <c r="B125" s="636"/>
      <c r="C125" s="30" t="s">
        <v>2010</v>
      </c>
      <c r="D125" s="62">
        <f t="shared" si="345"/>
        <v>224220</v>
      </c>
      <c r="E125" s="184">
        <f t="shared" si="609"/>
        <v>6.9373743674128337E-4</v>
      </c>
      <c r="F125" s="62">
        <v>0</v>
      </c>
      <c r="G125" s="190">
        <f t="shared" ref="G125" si="616">SUM(F125)</f>
        <v>0</v>
      </c>
      <c r="H125" s="197">
        <f t="shared" si="610"/>
        <v>0</v>
      </c>
      <c r="I125" s="62">
        <v>0</v>
      </c>
      <c r="J125" s="62">
        <v>0</v>
      </c>
      <c r="K125" s="62">
        <v>0</v>
      </c>
      <c r="L125" s="62">
        <v>0</v>
      </c>
      <c r="M125" s="62">
        <v>0</v>
      </c>
      <c r="N125" s="62">
        <v>0</v>
      </c>
      <c r="O125" s="62">
        <v>0</v>
      </c>
      <c r="P125" s="62">
        <v>0</v>
      </c>
      <c r="Q125" s="62">
        <v>0</v>
      </c>
      <c r="R125" s="62">
        <v>0</v>
      </c>
      <c r="S125" s="62">
        <v>0</v>
      </c>
      <c r="T125" s="62">
        <v>0</v>
      </c>
      <c r="U125" s="190">
        <f t="shared" si="423"/>
        <v>0</v>
      </c>
      <c r="V125" s="197">
        <f t="shared" si="611"/>
        <v>0</v>
      </c>
      <c r="W125" s="62">
        <v>0</v>
      </c>
      <c r="X125" s="62">
        <v>0</v>
      </c>
      <c r="Y125" s="62">
        <v>0</v>
      </c>
      <c r="Z125" s="62">
        <v>0</v>
      </c>
      <c r="AA125" s="62">
        <v>0</v>
      </c>
      <c r="AB125" s="62">
        <v>0</v>
      </c>
      <c r="AC125" s="62">
        <v>0</v>
      </c>
      <c r="AD125" s="62">
        <v>0</v>
      </c>
      <c r="AE125" s="62">
        <v>0</v>
      </c>
      <c r="AF125" s="62">
        <v>0</v>
      </c>
      <c r="AG125" s="62">
        <v>0</v>
      </c>
      <c r="AH125" s="62">
        <v>0</v>
      </c>
      <c r="AI125" s="190">
        <f t="shared" ref="AI125" si="617">SUM(W125:AH125)</f>
        <v>0</v>
      </c>
      <c r="AJ125" s="197">
        <f t="shared" si="612"/>
        <v>0</v>
      </c>
      <c r="AK125" s="62">
        <v>0</v>
      </c>
      <c r="AL125" s="62">
        <v>224220</v>
      </c>
      <c r="AM125" s="62">
        <v>0</v>
      </c>
      <c r="AN125" s="62">
        <v>0</v>
      </c>
      <c r="AO125" s="62">
        <v>0</v>
      </c>
      <c r="AP125" s="62">
        <v>0</v>
      </c>
      <c r="AQ125" s="62">
        <v>0</v>
      </c>
      <c r="AR125" s="62">
        <v>0</v>
      </c>
      <c r="AS125" s="62">
        <v>0</v>
      </c>
      <c r="AT125" s="62">
        <v>0</v>
      </c>
      <c r="AU125" s="62">
        <v>0</v>
      </c>
      <c r="AV125" s="62">
        <v>0</v>
      </c>
      <c r="AW125" s="190">
        <f t="shared" si="425"/>
        <v>224220</v>
      </c>
      <c r="AX125" s="197">
        <f t="shared" si="613"/>
        <v>2.9391509628917839E-3</v>
      </c>
      <c r="AY125" s="62">
        <v>0</v>
      </c>
      <c r="AZ125" s="62">
        <v>0</v>
      </c>
      <c r="BA125" s="62">
        <v>0</v>
      </c>
      <c r="BB125" s="62">
        <v>0</v>
      </c>
      <c r="BC125" s="62">
        <v>0</v>
      </c>
      <c r="BD125" s="62">
        <v>0</v>
      </c>
      <c r="BE125" s="62">
        <v>0</v>
      </c>
      <c r="BF125" s="62">
        <v>0</v>
      </c>
      <c r="BG125" s="62">
        <v>0</v>
      </c>
      <c r="BH125" s="62">
        <v>0</v>
      </c>
      <c r="BI125" s="62">
        <v>0</v>
      </c>
      <c r="BJ125" s="62">
        <v>0</v>
      </c>
      <c r="BK125" s="190">
        <f t="shared" si="426"/>
        <v>0</v>
      </c>
      <c r="BL125" s="197">
        <f t="shared" si="614"/>
        <v>0</v>
      </c>
      <c r="BM125" s="62">
        <v>0</v>
      </c>
      <c r="BN125" s="62">
        <v>0</v>
      </c>
      <c r="BO125" s="62">
        <v>0</v>
      </c>
      <c r="BP125" s="62">
        <v>0</v>
      </c>
      <c r="BQ125" s="62">
        <v>0</v>
      </c>
      <c r="BR125" s="62">
        <v>0</v>
      </c>
      <c r="BS125" s="62">
        <v>0</v>
      </c>
      <c r="BT125" s="62">
        <v>0</v>
      </c>
      <c r="BU125" s="62">
        <v>0</v>
      </c>
      <c r="BV125" s="62">
        <v>0</v>
      </c>
      <c r="BW125" s="62">
        <v>0</v>
      </c>
      <c r="BX125" s="62">
        <v>0</v>
      </c>
      <c r="BY125" s="190">
        <f t="shared" si="427"/>
        <v>0</v>
      </c>
      <c r="BZ125" s="197">
        <f t="shared" si="615"/>
        <v>0</v>
      </c>
      <c r="CA125" s="62">
        <v>0</v>
      </c>
      <c r="CB125" s="62">
        <v>0</v>
      </c>
      <c r="CC125" s="62">
        <v>0</v>
      </c>
      <c r="CD125" s="62">
        <v>0</v>
      </c>
      <c r="CE125" s="62">
        <v>0</v>
      </c>
      <c r="CF125" s="62">
        <v>0</v>
      </c>
      <c r="CG125" s="62">
        <v>0</v>
      </c>
      <c r="CH125" s="62">
        <v>0</v>
      </c>
      <c r="CI125" s="62">
        <v>0</v>
      </c>
      <c r="CJ125" s="62">
        <v>0</v>
      </c>
      <c r="CK125" s="62">
        <v>0</v>
      </c>
      <c r="CL125" s="62">
        <v>0</v>
      </c>
      <c r="CM125" s="190">
        <f t="shared" si="428"/>
        <v>0</v>
      </c>
      <c r="CN125" s="62">
        <v>0</v>
      </c>
      <c r="CO125" s="62">
        <v>0</v>
      </c>
      <c r="CP125" s="62">
        <v>0</v>
      </c>
      <c r="CQ125" s="62">
        <v>0</v>
      </c>
      <c r="CR125" s="62">
        <v>0</v>
      </c>
      <c r="CS125" s="62">
        <v>0</v>
      </c>
      <c r="CT125" s="62">
        <v>0</v>
      </c>
      <c r="CU125" s="62">
        <v>0</v>
      </c>
      <c r="CV125" s="62">
        <v>0</v>
      </c>
      <c r="CW125" s="62">
        <v>0</v>
      </c>
      <c r="CX125" s="62">
        <v>0</v>
      </c>
      <c r="CY125" s="62">
        <v>0</v>
      </c>
      <c r="CZ125" s="190">
        <f t="shared" si="429"/>
        <v>0</v>
      </c>
      <c r="DA125" s="62">
        <v>0</v>
      </c>
      <c r="DB125" s="62">
        <v>0</v>
      </c>
      <c r="DC125" s="62">
        <v>0</v>
      </c>
      <c r="DD125" s="62">
        <v>0</v>
      </c>
      <c r="DE125" s="62">
        <v>0</v>
      </c>
      <c r="DF125" s="62">
        <v>0</v>
      </c>
      <c r="DG125" s="62">
        <v>0</v>
      </c>
      <c r="DH125" s="62">
        <v>0</v>
      </c>
      <c r="DI125" s="62">
        <v>0</v>
      </c>
      <c r="DJ125" s="62">
        <v>0</v>
      </c>
      <c r="DK125" s="62">
        <v>0</v>
      </c>
      <c r="DL125" s="62">
        <v>0</v>
      </c>
      <c r="DM125" s="190">
        <f t="shared" si="430"/>
        <v>0</v>
      </c>
      <c r="DN125" s="62">
        <v>0</v>
      </c>
      <c r="DO125" s="62">
        <v>0</v>
      </c>
      <c r="DP125" s="62">
        <v>0</v>
      </c>
      <c r="DQ125" s="62">
        <v>0</v>
      </c>
      <c r="DR125" s="62">
        <v>0</v>
      </c>
      <c r="DS125" s="62">
        <v>0</v>
      </c>
      <c r="DT125" s="62">
        <v>0</v>
      </c>
      <c r="DU125" s="62">
        <v>0</v>
      </c>
      <c r="DV125" s="62">
        <v>0</v>
      </c>
      <c r="DW125" s="62">
        <v>0</v>
      </c>
      <c r="DX125" s="62">
        <v>0</v>
      </c>
      <c r="DY125" s="62">
        <v>0</v>
      </c>
      <c r="DZ125" s="190">
        <f t="shared" si="431"/>
        <v>0</v>
      </c>
    </row>
    <row r="126" spans="1:130" ht="20.45" customHeight="1" outlineLevel="2">
      <c r="A126" s="663"/>
      <c r="B126" s="636"/>
      <c r="C126" s="30" t="s">
        <v>369</v>
      </c>
      <c r="D126" s="62">
        <f t="shared" si="345"/>
        <v>100000</v>
      </c>
      <c r="E126" s="184">
        <f t="shared" si="609"/>
        <v>3.094003374994574E-4</v>
      </c>
      <c r="F126" s="62">
        <v>0</v>
      </c>
      <c r="G126" s="190">
        <f t="shared" ref="G126" si="618">SUM(F126)</f>
        <v>0</v>
      </c>
      <c r="H126" s="197">
        <f t="shared" si="610"/>
        <v>0</v>
      </c>
      <c r="I126" s="62">
        <v>0</v>
      </c>
      <c r="J126" s="62">
        <v>0</v>
      </c>
      <c r="K126" s="62">
        <v>0</v>
      </c>
      <c r="L126" s="62">
        <v>0</v>
      </c>
      <c r="M126" s="62">
        <v>0</v>
      </c>
      <c r="N126" s="62">
        <v>0</v>
      </c>
      <c r="O126" s="62">
        <v>0</v>
      </c>
      <c r="P126" s="62">
        <v>0</v>
      </c>
      <c r="Q126" s="62">
        <v>0</v>
      </c>
      <c r="R126" s="62">
        <v>0</v>
      </c>
      <c r="S126" s="62">
        <v>20000</v>
      </c>
      <c r="T126" s="62">
        <v>0</v>
      </c>
      <c r="U126" s="190">
        <f t="shared" ref="U126:U127" si="619">SUM(I126:T126)</f>
        <v>20000</v>
      </c>
      <c r="V126" s="197">
        <f t="shared" si="611"/>
        <v>3.6049028625578333E-4</v>
      </c>
      <c r="W126" s="62">
        <v>0</v>
      </c>
      <c r="X126" s="62">
        <v>0</v>
      </c>
      <c r="Y126" s="62">
        <v>0</v>
      </c>
      <c r="Z126" s="62">
        <v>0</v>
      </c>
      <c r="AA126" s="62">
        <v>0</v>
      </c>
      <c r="AB126" s="62">
        <v>0</v>
      </c>
      <c r="AC126" s="62">
        <v>0</v>
      </c>
      <c r="AD126" s="62">
        <v>0</v>
      </c>
      <c r="AE126" s="62">
        <v>0</v>
      </c>
      <c r="AF126" s="62">
        <v>0</v>
      </c>
      <c r="AG126" s="62">
        <v>0</v>
      </c>
      <c r="AH126" s="62">
        <v>0</v>
      </c>
      <c r="AI126" s="190">
        <f t="shared" ref="AI126" si="620">SUM(W126:AH126)</f>
        <v>0</v>
      </c>
      <c r="AJ126" s="197">
        <f t="shared" si="612"/>
        <v>0</v>
      </c>
      <c r="AK126" s="62">
        <v>0</v>
      </c>
      <c r="AL126" s="62">
        <v>40000</v>
      </c>
      <c r="AM126" s="62">
        <v>0</v>
      </c>
      <c r="AN126" s="62">
        <v>0</v>
      </c>
      <c r="AO126" s="62">
        <v>0</v>
      </c>
      <c r="AP126" s="62">
        <v>0</v>
      </c>
      <c r="AQ126" s="62">
        <v>0</v>
      </c>
      <c r="AR126" s="62">
        <v>0</v>
      </c>
      <c r="AS126" s="62">
        <v>0</v>
      </c>
      <c r="AT126" s="62">
        <v>0</v>
      </c>
      <c r="AU126" s="62">
        <v>0</v>
      </c>
      <c r="AV126" s="62">
        <v>0</v>
      </c>
      <c r="AW126" s="190">
        <f t="shared" ref="AW126:AW127" si="621">SUM(AK126:AV126)</f>
        <v>40000</v>
      </c>
      <c r="AX126" s="197">
        <f t="shared" si="613"/>
        <v>5.243334159114769E-4</v>
      </c>
      <c r="AY126" s="62">
        <v>0</v>
      </c>
      <c r="AZ126" s="62">
        <v>0</v>
      </c>
      <c r="BA126" s="62">
        <v>0</v>
      </c>
      <c r="BB126" s="62">
        <v>0</v>
      </c>
      <c r="BC126" s="62">
        <v>0</v>
      </c>
      <c r="BD126" s="62">
        <v>0</v>
      </c>
      <c r="BE126" s="62">
        <v>0</v>
      </c>
      <c r="BF126" s="62">
        <v>0</v>
      </c>
      <c r="BG126" s="62">
        <v>0</v>
      </c>
      <c r="BH126" s="62">
        <v>0</v>
      </c>
      <c r="BI126" s="62">
        <v>0</v>
      </c>
      <c r="BJ126" s="62">
        <v>0</v>
      </c>
      <c r="BK126" s="190">
        <f t="shared" ref="BK126:BK127" si="622">SUM(AY126:BJ126)</f>
        <v>0</v>
      </c>
      <c r="BL126" s="197">
        <f t="shared" si="614"/>
        <v>0</v>
      </c>
      <c r="BM126" s="62">
        <v>40000</v>
      </c>
      <c r="BN126" s="62">
        <v>0</v>
      </c>
      <c r="BO126" s="62">
        <v>0</v>
      </c>
      <c r="BP126" s="62">
        <v>0</v>
      </c>
      <c r="BQ126" s="62">
        <v>0</v>
      </c>
      <c r="BR126" s="62">
        <v>0</v>
      </c>
      <c r="BS126" s="62">
        <v>0</v>
      </c>
      <c r="BT126" s="62">
        <v>0</v>
      </c>
      <c r="BU126" s="62">
        <v>0</v>
      </c>
      <c r="BV126" s="62">
        <v>0</v>
      </c>
      <c r="BW126" s="62">
        <v>0</v>
      </c>
      <c r="BX126" s="62">
        <v>0</v>
      </c>
      <c r="BY126" s="190">
        <f t="shared" ref="BY126:BY127" si="623">SUM(BM126:BX126)</f>
        <v>40000</v>
      </c>
      <c r="BZ126" s="197">
        <f t="shared" si="615"/>
        <v>9.1652958821013004E-4</v>
      </c>
      <c r="CA126" s="62">
        <v>0</v>
      </c>
      <c r="CB126" s="62">
        <v>0</v>
      </c>
      <c r="CC126" s="62">
        <v>0</v>
      </c>
      <c r="CD126" s="62">
        <v>0</v>
      </c>
      <c r="CE126" s="62">
        <v>0</v>
      </c>
      <c r="CF126" s="62">
        <v>0</v>
      </c>
      <c r="CG126" s="62">
        <v>0</v>
      </c>
      <c r="CH126" s="62">
        <v>0</v>
      </c>
      <c r="CI126" s="62">
        <v>0</v>
      </c>
      <c r="CJ126" s="62">
        <v>0</v>
      </c>
      <c r="CK126" s="62">
        <v>0</v>
      </c>
      <c r="CL126" s="62">
        <v>0</v>
      </c>
      <c r="CM126" s="190">
        <f t="shared" ref="CM126:CM127" si="624">SUM(CA126:CL126)</f>
        <v>0</v>
      </c>
      <c r="CN126" s="62">
        <v>0</v>
      </c>
      <c r="CO126" s="62">
        <v>0</v>
      </c>
      <c r="CP126" s="62">
        <v>0</v>
      </c>
      <c r="CQ126" s="62">
        <v>0</v>
      </c>
      <c r="CR126" s="62">
        <v>0</v>
      </c>
      <c r="CS126" s="62">
        <v>0</v>
      </c>
      <c r="CT126" s="62">
        <v>0</v>
      </c>
      <c r="CU126" s="62">
        <v>0</v>
      </c>
      <c r="CV126" s="62">
        <v>0</v>
      </c>
      <c r="CW126" s="62">
        <v>0</v>
      </c>
      <c r="CX126" s="62">
        <v>0</v>
      </c>
      <c r="CY126" s="62">
        <v>0</v>
      </c>
      <c r="CZ126" s="190">
        <f t="shared" ref="CZ126:CZ127" si="625">SUM(CN126:CY126)</f>
        <v>0</v>
      </c>
      <c r="DA126" s="62">
        <v>0</v>
      </c>
      <c r="DB126" s="62">
        <v>0</v>
      </c>
      <c r="DC126" s="62">
        <v>0</v>
      </c>
      <c r="DD126" s="62">
        <v>0</v>
      </c>
      <c r="DE126" s="62">
        <v>0</v>
      </c>
      <c r="DF126" s="62">
        <v>0</v>
      </c>
      <c r="DG126" s="62">
        <v>0</v>
      </c>
      <c r="DH126" s="62">
        <v>0</v>
      </c>
      <c r="DI126" s="62">
        <v>0</v>
      </c>
      <c r="DJ126" s="62">
        <v>0</v>
      </c>
      <c r="DK126" s="62">
        <v>0</v>
      </c>
      <c r="DL126" s="62">
        <v>0</v>
      </c>
      <c r="DM126" s="190">
        <f t="shared" ref="DM126:DM127" si="626">SUM(DA126:DL126)</f>
        <v>0</v>
      </c>
      <c r="DN126" s="62">
        <v>0</v>
      </c>
      <c r="DO126" s="62">
        <v>0</v>
      </c>
      <c r="DP126" s="62">
        <v>0</v>
      </c>
      <c r="DQ126" s="62">
        <v>0</v>
      </c>
      <c r="DR126" s="62">
        <v>0</v>
      </c>
      <c r="DS126" s="62">
        <v>0</v>
      </c>
      <c r="DT126" s="62">
        <v>0</v>
      </c>
      <c r="DU126" s="62">
        <v>0</v>
      </c>
      <c r="DV126" s="62">
        <v>0</v>
      </c>
      <c r="DW126" s="62">
        <v>0</v>
      </c>
      <c r="DX126" s="62">
        <v>0</v>
      </c>
      <c r="DY126" s="62">
        <v>0</v>
      </c>
      <c r="DZ126" s="190">
        <f t="shared" ref="DZ126:DZ127" si="627">SUM(DN126:DY126)</f>
        <v>0</v>
      </c>
    </row>
    <row r="127" spans="1:130" ht="20.45" customHeight="1" outlineLevel="2">
      <c r="A127" s="663"/>
      <c r="B127" s="636"/>
      <c r="C127" s="30" t="s">
        <v>2628</v>
      </c>
      <c r="D127" s="62">
        <f t="shared" si="345"/>
        <v>1199999.9999999998</v>
      </c>
      <c r="E127" s="184">
        <f t="shared" si="609"/>
        <v>3.7128040499934882E-3</v>
      </c>
      <c r="F127" s="62">
        <v>0</v>
      </c>
      <c r="G127" s="190">
        <f t="shared" ref="G127" si="628">SUM(F127)</f>
        <v>0</v>
      </c>
      <c r="H127" s="197">
        <f t="shared" si="610"/>
        <v>0</v>
      </c>
      <c r="I127" s="62">
        <v>0</v>
      </c>
      <c r="J127" s="62">
        <v>0</v>
      </c>
      <c r="K127" s="62">
        <v>0</v>
      </c>
      <c r="L127" s="62">
        <v>0</v>
      </c>
      <c r="M127" s="62">
        <v>0</v>
      </c>
      <c r="N127" s="62">
        <v>0</v>
      </c>
      <c r="O127" s="62">
        <v>0</v>
      </c>
      <c r="P127" s="62">
        <v>0</v>
      </c>
      <c r="Q127" s="62">
        <v>0</v>
      </c>
      <c r="R127" s="62">
        <v>0</v>
      </c>
      <c r="S127" s="62">
        <v>0</v>
      </c>
      <c r="T127" s="62">
        <v>0</v>
      </c>
      <c r="U127" s="190">
        <f t="shared" si="619"/>
        <v>0</v>
      </c>
      <c r="V127" s="197">
        <f t="shared" si="611"/>
        <v>0</v>
      </c>
      <c r="W127" s="62">
        <v>0</v>
      </c>
      <c r="X127" s="62">
        <v>0</v>
      </c>
      <c r="Y127" s="62">
        <v>0</v>
      </c>
      <c r="Z127" s="62">
        <v>0</v>
      </c>
      <c r="AA127" s="62">
        <v>0</v>
      </c>
      <c r="AB127" s="62">
        <v>0</v>
      </c>
      <c r="AC127" s="62">
        <v>0</v>
      </c>
      <c r="AD127" s="62">
        <v>400000</v>
      </c>
      <c r="AE127" s="62">
        <v>400000</v>
      </c>
      <c r="AF127" s="62">
        <v>400000</v>
      </c>
      <c r="AG127" s="62">
        <v>0</v>
      </c>
      <c r="AH127" s="62">
        <v>0</v>
      </c>
      <c r="AI127" s="190">
        <f t="shared" ref="AI127" si="629">SUM(W127:AH127)</f>
        <v>1200000</v>
      </c>
      <c r="AJ127" s="197">
        <f t="shared" si="612"/>
        <v>1.6309067262426022E-2</v>
      </c>
      <c r="AK127" s="62">
        <v>0</v>
      </c>
      <c r="AL127" s="62">
        <v>0</v>
      </c>
      <c r="AM127" s="62">
        <v>0</v>
      </c>
      <c r="AN127" s="62">
        <v>0</v>
      </c>
      <c r="AO127" s="62">
        <v>0</v>
      </c>
      <c r="AP127" s="62">
        <v>0</v>
      </c>
      <c r="AQ127" s="62">
        <v>0</v>
      </c>
      <c r="AR127" s="62">
        <v>0</v>
      </c>
      <c r="AS127" s="62">
        <v>0</v>
      </c>
      <c r="AT127" s="62">
        <v>0</v>
      </c>
      <c r="AU127" s="62">
        <v>0</v>
      </c>
      <c r="AV127" s="62">
        <v>0</v>
      </c>
      <c r="AW127" s="190">
        <f t="shared" si="621"/>
        <v>0</v>
      </c>
      <c r="AX127" s="197">
        <f t="shared" si="613"/>
        <v>0</v>
      </c>
      <c r="AY127" s="62">
        <v>0</v>
      </c>
      <c r="AZ127" s="62">
        <v>0</v>
      </c>
      <c r="BA127" s="62">
        <v>0</v>
      </c>
      <c r="BB127" s="62">
        <v>0</v>
      </c>
      <c r="BC127" s="62">
        <v>0</v>
      </c>
      <c r="BD127" s="62">
        <v>0</v>
      </c>
      <c r="BE127" s="62">
        <v>0</v>
      </c>
      <c r="BF127" s="62">
        <v>0</v>
      </c>
      <c r="BG127" s="62">
        <v>0</v>
      </c>
      <c r="BH127" s="62">
        <v>0</v>
      </c>
      <c r="BI127" s="62">
        <v>0</v>
      </c>
      <c r="BJ127" s="62">
        <v>0</v>
      </c>
      <c r="BK127" s="190">
        <f t="shared" si="622"/>
        <v>0</v>
      </c>
      <c r="BL127" s="197">
        <f t="shared" si="614"/>
        <v>0</v>
      </c>
      <c r="BM127" s="62">
        <v>0</v>
      </c>
      <c r="BN127" s="62">
        <v>0</v>
      </c>
      <c r="BO127" s="62">
        <v>0</v>
      </c>
      <c r="BP127" s="62">
        <v>0</v>
      </c>
      <c r="BQ127" s="62">
        <v>0</v>
      </c>
      <c r="BR127" s="62">
        <v>0</v>
      </c>
      <c r="BS127" s="62">
        <v>0</v>
      </c>
      <c r="BT127" s="62">
        <v>0</v>
      </c>
      <c r="BU127" s="62">
        <v>0</v>
      </c>
      <c r="BV127" s="62">
        <v>0</v>
      </c>
      <c r="BW127" s="62">
        <v>0</v>
      </c>
      <c r="BX127" s="62">
        <v>0</v>
      </c>
      <c r="BY127" s="190">
        <f t="shared" si="623"/>
        <v>0</v>
      </c>
      <c r="BZ127" s="197">
        <f t="shared" si="615"/>
        <v>0</v>
      </c>
      <c r="CA127" s="62">
        <v>0</v>
      </c>
      <c r="CB127" s="62">
        <v>0</v>
      </c>
      <c r="CC127" s="62">
        <v>0</v>
      </c>
      <c r="CD127" s="62">
        <v>0</v>
      </c>
      <c r="CE127" s="62">
        <v>0</v>
      </c>
      <c r="CF127" s="62">
        <v>0</v>
      </c>
      <c r="CG127" s="62">
        <v>0</v>
      </c>
      <c r="CH127" s="62">
        <v>0</v>
      </c>
      <c r="CI127" s="62">
        <v>0</v>
      </c>
      <c r="CJ127" s="62">
        <v>0</v>
      </c>
      <c r="CK127" s="62">
        <v>0</v>
      </c>
      <c r="CL127" s="62">
        <v>0</v>
      </c>
      <c r="CM127" s="190">
        <f t="shared" si="624"/>
        <v>0</v>
      </c>
      <c r="CN127" s="62">
        <v>0</v>
      </c>
      <c r="CO127" s="62">
        <v>0</v>
      </c>
      <c r="CP127" s="62">
        <v>0</v>
      </c>
      <c r="CQ127" s="62">
        <v>0</v>
      </c>
      <c r="CR127" s="62">
        <v>0</v>
      </c>
      <c r="CS127" s="62">
        <v>0</v>
      </c>
      <c r="CT127" s="62">
        <v>0</v>
      </c>
      <c r="CU127" s="62">
        <v>0</v>
      </c>
      <c r="CV127" s="62">
        <v>0</v>
      </c>
      <c r="CW127" s="62">
        <v>0</v>
      </c>
      <c r="CX127" s="62">
        <v>0</v>
      </c>
      <c r="CY127" s="62">
        <v>0</v>
      </c>
      <c r="CZ127" s="190">
        <f t="shared" si="625"/>
        <v>0</v>
      </c>
      <c r="DA127" s="62">
        <v>0</v>
      </c>
      <c r="DB127" s="62">
        <v>0</v>
      </c>
      <c r="DC127" s="62">
        <v>0</v>
      </c>
      <c r="DD127" s="62">
        <v>0</v>
      </c>
      <c r="DE127" s="62">
        <v>0</v>
      </c>
      <c r="DF127" s="62">
        <v>0</v>
      </c>
      <c r="DG127" s="62">
        <v>0</v>
      </c>
      <c r="DH127" s="62">
        <v>0</v>
      </c>
      <c r="DI127" s="62">
        <v>0</v>
      </c>
      <c r="DJ127" s="62">
        <v>0</v>
      </c>
      <c r="DK127" s="62">
        <v>0</v>
      </c>
      <c r="DL127" s="62">
        <v>0</v>
      </c>
      <c r="DM127" s="190">
        <f t="shared" si="626"/>
        <v>0</v>
      </c>
      <c r="DN127" s="62">
        <v>0</v>
      </c>
      <c r="DO127" s="62">
        <v>0</v>
      </c>
      <c r="DP127" s="62">
        <v>0</v>
      </c>
      <c r="DQ127" s="62">
        <v>0</v>
      </c>
      <c r="DR127" s="62">
        <v>0</v>
      </c>
      <c r="DS127" s="62">
        <v>0</v>
      </c>
      <c r="DT127" s="62">
        <v>0</v>
      </c>
      <c r="DU127" s="62">
        <v>0</v>
      </c>
      <c r="DV127" s="62">
        <v>0</v>
      </c>
      <c r="DW127" s="62">
        <v>0</v>
      </c>
      <c r="DX127" s="62">
        <v>0</v>
      </c>
      <c r="DY127" s="62">
        <v>0</v>
      </c>
      <c r="DZ127" s="190">
        <f t="shared" si="627"/>
        <v>0</v>
      </c>
    </row>
    <row r="128" spans="1:130" ht="20.45" customHeight="1" outlineLevel="2">
      <c r="A128" s="662"/>
      <c r="B128" s="637"/>
      <c r="C128" s="30" t="s">
        <v>2629</v>
      </c>
      <c r="D128" s="62">
        <f t="shared" si="345"/>
        <v>415800.00000000006</v>
      </c>
      <c r="E128" s="184">
        <f t="shared" si="609"/>
        <v>1.2864866033227441E-3</v>
      </c>
      <c r="F128" s="62">
        <v>0</v>
      </c>
      <c r="G128" s="190">
        <f t="shared" si="433"/>
        <v>0</v>
      </c>
      <c r="H128" s="197">
        <f t="shared" si="610"/>
        <v>0</v>
      </c>
      <c r="I128" s="62">
        <v>0</v>
      </c>
      <c r="J128" s="62">
        <v>0</v>
      </c>
      <c r="K128" s="62">
        <v>0</v>
      </c>
      <c r="L128" s="62">
        <v>0</v>
      </c>
      <c r="M128" s="62">
        <v>0</v>
      </c>
      <c r="N128" s="62">
        <v>0</v>
      </c>
      <c r="O128" s="62">
        <v>0</v>
      </c>
      <c r="P128" s="62">
        <v>0</v>
      </c>
      <c r="Q128" s="62">
        <v>0</v>
      </c>
      <c r="R128" s="62">
        <v>0</v>
      </c>
      <c r="S128" s="62">
        <v>0</v>
      </c>
      <c r="T128" s="62">
        <v>0</v>
      </c>
      <c r="U128" s="190">
        <f t="shared" si="423"/>
        <v>0</v>
      </c>
      <c r="V128" s="197">
        <f t="shared" si="611"/>
        <v>0</v>
      </c>
      <c r="W128" s="62">
        <v>0</v>
      </c>
      <c r="X128" s="62">
        <v>0</v>
      </c>
      <c r="Y128" s="62">
        <v>0</v>
      </c>
      <c r="Z128" s="62">
        <v>0</v>
      </c>
      <c r="AA128" s="62">
        <v>0</v>
      </c>
      <c r="AB128" s="62">
        <v>0</v>
      </c>
      <c r="AC128" s="62">
        <v>0</v>
      </c>
      <c r="AD128" s="62">
        <v>0</v>
      </c>
      <c r="AE128" s="62">
        <v>0</v>
      </c>
      <c r="AF128" s="62">
        <v>0</v>
      </c>
      <c r="AG128" s="62">
        <v>0</v>
      </c>
      <c r="AH128" s="62">
        <v>0</v>
      </c>
      <c r="AI128" s="190">
        <f t="shared" si="424"/>
        <v>0</v>
      </c>
      <c r="AJ128" s="197">
        <f t="shared" si="612"/>
        <v>0</v>
      </c>
      <c r="AK128" s="62">
        <v>0</v>
      </c>
      <c r="AL128" s="62">
        <v>0</v>
      </c>
      <c r="AM128" s="62">
        <v>0</v>
      </c>
      <c r="AN128" s="62">
        <v>59400</v>
      </c>
      <c r="AO128" s="62">
        <v>0</v>
      </c>
      <c r="AP128" s="62">
        <v>0</v>
      </c>
      <c r="AQ128" s="62">
        <v>0</v>
      </c>
      <c r="AR128" s="62">
        <v>59400</v>
      </c>
      <c r="AS128" s="62">
        <v>0</v>
      </c>
      <c r="AT128" s="62">
        <v>0</v>
      </c>
      <c r="AU128" s="62">
        <v>0</v>
      </c>
      <c r="AV128" s="62">
        <v>0</v>
      </c>
      <c r="AW128" s="190">
        <f t="shared" si="425"/>
        <v>118800</v>
      </c>
      <c r="AX128" s="197">
        <f t="shared" si="613"/>
        <v>1.5572702452570865E-3</v>
      </c>
      <c r="AY128" s="62">
        <v>0</v>
      </c>
      <c r="AZ128" s="62">
        <v>0</v>
      </c>
      <c r="BA128" s="62">
        <v>0</v>
      </c>
      <c r="BB128" s="62">
        <v>0</v>
      </c>
      <c r="BC128" s="62">
        <v>0</v>
      </c>
      <c r="BD128" s="62">
        <v>0</v>
      </c>
      <c r="BE128" s="62">
        <v>0</v>
      </c>
      <c r="BF128" s="62">
        <v>0</v>
      </c>
      <c r="BG128" s="62">
        <v>59400</v>
      </c>
      <c r="BH128" s="62">
        <v>0</v>
      </c>
      <c r="BI128" s="62">
        <v>0</v>
      </c>
      <c r="BJ128" s="62">
        <v>0</v>
      </c>
      <c r="BK128" s="190">
        <f t="shared" si="426"/>
        <v>59400</v>
      </c>
      <c r="BL128" s="197">
        <f t="shared" si="614"/>
        <v>8.5052737422353943E-4</v>
      </c>
      <c r="BM128" s="62">
        <v>0</v>
      </c>
      <c r="BN128" s="62">
        <v>0</v>
      </c>
      <c r="BO128" s="62">
        <f>59400*4</f>
        <v>237600</v>
      </c>
      <c r="BP128" s="62">
        <v>0</v>
      </c>
      <c r="BQ128" s="62">
        <v>0</v>
      </c>
      <c r="BR128" s="62">
        <v>0</v>
      </c>
      <c r="BS128" s="62">
        <v>0</v>
      </c>
      <c r="BT128" s="62">
        <v>0</v>
      </c>
      <c r="BU128" s="62">
        <v>0</v>
      </c>
      <c r="BV128" s="62">
        <v>0</v>
      </c>
      <c r="BW128" s="62">
        <v>0</v>
      </c>
      <c r="BX128" s="62">
        <v>0</v>
      </c>
      <c r="BY128" s="190">
        <f t="shared" si="427"/>
        <v>237600</v>
      </c>
      <c r="BZ128" s="197">
        <f t="shared" si="615"/>
        <v>5.4441857539681724E-3</v>
      </c>
      <c r="CA128" s="62">
        <v>0</v>
      </c>
      <c r="CB128" s="62">
        <v>0</v>
      </c>
      <c r="CC128" s="62">
        <v>0</v>
      </c>
      <c r="CD128" s="62">
        <v>0</v>
      </c>
      <c r="CE128" s="62">
        <v>0</v>
      </c>
      <c r="CF128" s="62">
        <v>0</v>
      </c>
      <c r="CG128" s="62">
        <v>0</v>
      </c>
      <c r="CH128" s="62">
        <v>0</v>
      </c>
      <c r="CI128" s="62">
        <v>0</v>
      </c>
      <c r="CJ128" s="62">
        <v>0</v>
      </c>
      <c r="CK128" s="62">
        <v>0</v>
      </c>
      <c r="CL128" s="62">
        <v>0</v>
      </c>
      <c r="CM128" s="190">
        <f t="shared" si="428"/>
        <v>0</v>
      </c>
      <c r="CN128" s="62">
        <v>0</v>
      </c>
      <c r="CO128" s="62">
        <v>0</v>
      </c>
      <c r="CP128" s="62">
        <v>0</v>
      </c>
      <c r="CQ128" s="62">
        <v>0</v>
      </c>
      <c r="CR128" s="62">
        <v>0</v>
      </c>
      <c r="CS128" s="62">
        <v>0</v>
      </c>
      <c r="CT128" s="62">
        <v>0</v>
      </c>
      <c r="CU128" s="62">
        <v>0</v>
      </c>
      <c r="CV128" s="62">
        <v>0</v>
      </c>
      <c r="CW128" s="62">
        <v>0</v>
      </c>
      <c r="CX128" s="62">
        <v>0</v>
      </c>
      <c r="CY128" s="62">
        <v>0</v>
      </c>
      <c r="CZ128" s="190">
        <f t="shared" si="429"/>
        <v>0</v>
      </c>
      <c r="DA128" s="62">
        <v>0</v>
      </c>
      <c r="DB128" s="62">
        <v>0</v>
      </c>
      <c r="DC128" s="62">
        <v>0</v>
      </c>
      <c r="DD128" s="62">
        <v>0</v>
      </c>
      <c r="DE128" s="62">
        <v>0</v>
      </c>
      <c r="DF128" s="62">
        <v>0</v>
      </c>
      <c r="DG128" s="62">
        <v>0</v>
      </c>
      <c r="DH128" s="62">
        <v>0</v>
      </c>
      <c r="DI128" s="62">
        <v>0</v>
      </c>
      <c r="DJ128" s="62">
        <v>0</v>
      </c>
      <c r="DK128" s="62">
        <v>0</v>
      </c>
      <c r="DL128" s="62">
        <v>0</v>
      </c>
      <c r="DM128" s="190">
        <f t="shared" si="430"/>
        <v>0</v>
      </c>
      <c r="DN128" s="62">
        <v>0</v>
      </c>
      <c r="DO128" s="62">
        <v>0</v>
      </c>
      <c r="DP128" s="62">
        <v>0</v>
      </c>
      <c r="DQ128" s="62">
        <v>0</v>
      </c>
      <c r="DR128" s="62">
        <v>0</v>
      </c>
      <c r="DS128" s="62">
        <v>0</v>
      </c>
      <c r="DT128" s="62">
        <v>0</v>
      </c>
      <c r="DU128" s="62">
        <v>0</v>
      </c>
      <c r="DV128" s="62">
        <v>0</v>
      </c>
      <c r="DW128" s="62">
        <v>0</v>
      </c>
      <c r="DX128" s="62">
        <v>0</v>
      </c>
      <c r="DY128" s="62">
        <v>0</v>
      </c>
      <c r="DZ128" s="190">
        <f t="shared" si="431"/>
        <v>0</v>
      </c>
    </row>
    <row r="129" spans="1:130" s="194" customFormat="1" ht="20.45" customHeight="1" outlineLevel="1">
      <c r="A129" s="662"/>
      <c r="B129" s="645" t="s">
        <v>370</v>
      </c>
      <c r="C129" s="65" t="s">
        <v>307</v>
      </c>
      <c r="D129" s="66">
        <f t="shared" si="345"/>
        <v>26691542.999999996</v>
      </c>
      <c r="E129" s="187">
        <f>SUM(E130:E131)</f>
        <v>8.2583724125812816E-2</v>
      </c>
      <c r="F129" s="62">
        <f t="shared" ref="F129:DX129" si="630">SUM(F130:F131)</f>
        <v>400000</v>
      </c>
      <c r="G129" s="190">
        <f t="shared" si="433"/>
        <v>400000</v>
      </c>
      <c r="H129" s="196">
        <f>SUM(H130:H131)</f>
        <v>9.1367903140885887E-2</v>
      </c>
      <c r="I129" s="62">
        <f t="shared" si="630"/>
        <v>1068000</v>
      </c>
      <c r="J129" s="62">
        <f t="shared" si="630"/>
        <v>100000</v>
      </c>
      <c r="K129" s="62">
        <f t="shared" si="630"/>
        <v>100000</v>
      </c>
      <c r="L129" s="62">
        <f t="shared" si="630"/>
        <v>809000</v>
      </c>
      <c r="M129" s="62">
        <f t="shared" si="630"/>
        <v>100000</v>
      </c>
      <c r="N129" s="62">
        <f t="shared" si="630"/>
        <v>600000</v>
      </c>
      <c r="O129" s="62">
        <f t="shared" si="630"/>
        <v>100000</v>
      </c>
      <c r="P129" s="62">
        <f t="shared" si="630"/>
        <v>987000</v>
      </c>
      <c r="Q129" s="62">
        <f t="shared" si="630"/>
        <v>100000</v>
      </c>
      <c r="R129" s="62">
        <f t="shared" si="630"/>
        <v>200000</v>
      </c>
      <c r="S129" s="62">
        <f t="shared" si="630"/>
        <v>100000</v>
      </c>
      <c r="T129" s="62">
        <f t="shared" si="630"/>
        <v>842000</v>
      </c>
      <c r="U129" s="190">
        <f t="shared" si="423"/>
        <v>5106000</v>
      </c>
      <c r="V129" s="196">
        <f>SUM(V130:V131)</f>
        <v>9.2033170081101484E-2</v>
      </c>
      <c r="W129" s="62">
        <f t="shared" si="630"/>
        <v>651400</v>
      </c>
      <c r="X129" s="62">
        <f t="shared" si="630"/>
        <v>200000</v>
      </c>
      <c r="Y129" s="62">
        <f t="shared" si="630"/>
        <v>500000</v>
      </c>
      <c r="Z129" s="62">
        <f t="shared" si="630"/>
        <v>500000</v>
      </c>
      <c r="AA129" s="62">
        <f t="shared" si="630"/>
        <v>295500</v>
      </c>
      <c r="AB129" s="62">
        <f t="shared" si="630"/>
        <v>519000</v>
      </c>
      <c r="AC129" s="62">
        <f t="shared" ref="AC129:AF129" si="631">SUM(AC130:AC131)</f>
        <v>833000</v>
      </c>
      <c r="AD129" s="62">
        <f t="shared" si="631"/>
        <v>488000</v>
      </c>
      <c r="AE129" s="62">
        <f t="shared" si="631"/>
        <v>650000</v>
      </c>
      <c r="AF129" s="62">
        <f t="shared" si="631"/>
        <v>200000</v>
      </c>
      <c r="AG129" s="62">
        <f t="shared" si="630"/>
        <v>500000</v>
      </c>
      <c r="AH129" s="62">
        <f t="shared" si="630"/>
        <v>1035000</v>
      </c>
      <c r="AI129" s="190">
        <f t="shared" si="424"/>
        <v>6371900</v>
      </c>
      <c r="AJ129" s="196">
        <f>SUM(AJ130:AJ131)</f>
        <v>8.6599788074543632E-2</v>
      </c>
      <c r="AK129" s="62">
        <f t="shared" ref="AK129:AV129" si="632">SUM(AK130:AK131)</f>
        <v>1102550</v>
      </c>
      <c r="AL129" s="62">
        <f t="shared" si="632"/>
        <v>500000</v>
      </c>
      <c r="AM129" s="62">
        <f t="shared" si="632"/>
        <v>396920</v>
      </c>
      <c r="AN129" s="62">
        <f t="shared" si="632"/>
        <v>1116713</v>
      </c>
      <c r="AO129" s="62">
        <f t="shared" si="632"/>
        <v>239700</v>
      </c>
      <c r="AP129" s="62">
        <f t="shared" si="632"/>
        <v>681500</v>
      </c>
      <c r="AQ129" s="62">
        <f t="shared" si="632"/>
        <v>402200</v>
      </c>
      <c r="AR129" s="62">
        <f t="shared" si="632"/>
        <v>895000</v>
      </c>
      <c r="AS129" s="62">
        <f t="shared" si="632"/>
        <v>200000</v>
      </c>
      <c r="AT129" s="62">
        <f t="shared" si="632"/>
        <v>200000</v>
      </c>
      <c r="AU129" s="62">
        <f t="shared" si="632"/>
        <v>545300</v>
      </c>
      <c r="AV129" s="62">
        <f t="shared" si="632"/>
        <v>440000</v>
      </c>
      <c r="AW129" s="190">
        <f t="shared" si="425"/>
        <v>6719883</v>
      </c>
      <c r="AX129" s="196">
        <f>SUM(AX130:AX131)</f>
        <v>8.8086480197886577E-2</v>
      </c>
      <c r="AY129" s="62">
        <f t="shared" ref="AY129:BJ129" si="633">SUM(AY130:AY131)</f>
        <v>650000</v>
      </c>
      <c r="AZ129" s="62">
        <f t="shared" si="633"/>
        <v>604200</v>
      </c>
      <c r="BA129" s="62">
        <f t="shared" si="633"/>
        <v>200000</v>
      </c>
      <c r="BB129" s="62">
        <f t="shared" si="633"/>
        <v>864800</v>
      </c>
      <c r="BC129" s="62">
        <f t="shared" si="633"/>
        <v>109200</v>
      </c>
      <c r="BD129" s="62">
        <f t="shared" si="633"/>
        <v>554000</v>
      </c>
      <c r="BE129" s="62">
        <f t="shared" si="633"/>
        <v>200000</v>
      </c>
      <c r="BF129" s="62">
        <f t="shared" si="633"/>
        <v>200000</v>
      </c>
      <c r="BG129" s="62">
        <f t="shared" si="633"/>
        <v>920000</v>
      </c>
      <c r="BH129" s="62">
        <f t="shared" si="633"/>
        <v>267000</v>
      </c>
      <c r="BI129" s="62">
        <f t="shared" si="633"/>
        <v>500000</v>
      </c>
      <c r="BJ129" s="62">
        <f t="shared" si="633"/>
        <v>272000</v>
      </c>
      <c r="BK129" s="190">
        <f t="shared" si="426"/>
        <v>5341200</v>
      </c>
      <c r="BL129" s="196">
        <f>SUM(BL130:BL131)</f>
        <v>7.6478734195332812E-2</v>
      </c>
      <c r="BM129" s="62">
        <f t="shared" ref="BM129:BX129" si="634">SUM(BM130:BM131)</f>
        <v>1150000</v>
      </c>
      <c r="BN129" s="62">
        <f t="shared" si="634"/>
        <v>200000</v>
      </c>
      <c r="BO129" s="62">
        <f t="shared" si="634"/>
        <v>500000</v>
      </c>
      <c r="BP129" s="62">
        <f t="shared" si="634"/>
        <v>702560</v>
      </c>
      <c r="BQ129" s="62">
        <f t="shared" si="634"/>
        <v>200000</v>
      </c>
      <c r="BR129" s="62">
        <f t="shared" si="634"/>
        <v>0</v>
      </c>
      <c r="BS129" s="62">
        <f t="shared" si="634"/>
        <v>0</v>
      </c>
      <c r="BT129" s="62">
        <f t="shared" si="634"/>
        <v>0</v>
      </c>
      <c r="BU129" s="62">
        <f t="shared" si="634"/>
        <v>0</v>
      </c>
      <c r="BV129" s="62">
        <f t="shared" si="634"/>
        <v>0</v>
      </c>
      <c r="BW129" s="62">
        <f t="shared" si="634"/>
        <v>0</v>
      </c>
      <c r="BX129" s="62">
        <f t="shared" si="634"/>
        <v>0</v>
      </c>
      <c r="BY129" s="190">
        <f t="shared" si="427"/>
        <v>2752560</v>
      </c>
      <c r="BZ129" s="196">
        <f>SUM(BZ130:BZ131)</f>
        <v>6.3070067083091888E-2</v>
      </c>
      <c r="CA129" s="62">
        <f t="shared" ref="CA129:CL129" si="635">SUM(CA130:CA131)</f>
        <v>0</v>
      </c>
      <c r="CB129" s="62">
        <f t="shared" si="635"/>
        <v>0</v>
      </c>
      <c r="CC129" s="62">
        <f t="shared" si="635"/>
        <v>0</v>
      </c>
      <c r="CD129" s="62">
        <f t="shared" si="635"/>
        <v>0</v>
      </c>
      <c r="CE129" s="62">
        <f t="shared" si="635"/>
        <v>0</v>
      </c>
      <c r="CF129" s="62">
        <f t="shared" si="635"/>
        <v>0</v>
      </c>
      <c r="CG129" s="62">
        <f t="shared" si="635"/>
        <v>0</v>
      </c>
      <c r="CH129" s="62">
        <f t="shared" si="635"/>
        <v>0</v>
      </c>
      <c r="CI129" s="62">
        <f t="shared" si="635"/>
        <v>0</v>
      </c>
      <c r="CJ129" s="62">
        <f t="shared" si="635"/>
        <v>0</v>
      </c>
      <c r="CK129" s="62">
        <f t="shared" si="635"/>
        <v>0</v>
      </c>
      <c r="CL129" s="62">
        <f t="shared" si="635"/>
        <v>0</v>
      </c>
      <c r="CM129" s="190">
        <f t="shared" si="428"/>
        <v>0</v>
      </c>
      <c r="CN129" s="62">
        <f t="shared" ref="CN129:CY129" si="636">SUM(CN130:CN131)</f>
        <v>0</v>
      </c>
      <c r="CO129" s="62">
        <f t="shared" si="636"/>
        <v>0</v>
      </c>
      <c r="CP129" s="62">
        <f t="shared" si="636"/>
        <v>0</v>
      </c>
      <c r="CQ129" s="62">
        <f t="shared" si="636"/>
        <v>0</v>
      </c>
      <c r="CR129" s="62">
        <f t="shared" si="636"/>
        <v>0</v>
      </c>
      <c r="CS129" s="62">
        <f t="shared" si="636"/>
        <v>0</v>
      </c>
      <c r="CT129" s="62">
        <f t="shared" si="636"/>
        <v>0</v>
      </c>
      <c r="CU129" s="62">
        <f t="shared" si="636"/>
        <v>0</v>
      </c>
      <c r="CV129" s="62">
        <f t="shared" si="636"/>
        <v>0</v>
      </c>
      <c r="CW129" s="62">
        <f t="shared" si="636"/>
        <v>0</v>
      </c>
      <c r="CX129" s="62">
        <f t="shared" si="636"/>
        <v>0</v>
      </c>
      <c r="CY129" s="62">
        <f t="shared" si="636"/>
        <v>0</v>
      </c>
      <c r="CZ129" s="190">
        <f t="shared" si="429"/>
        <v>0</v>
      </c>
      <c r="DA129" s="62">
        <f t="shared" ref="DA129:DL129" si="637">SUM(DA130:DA131)</f>
        <v>0</v>
      </c>
      <c r="DB129" s="62">
        <f t="shared" si="637"/>
        <v>0</v>
      </c>
      <c r="DC129" s="62">
        <f t="shared" si="637"/>
        <v>0</v>
      </c>
      <c r="DD129" s="62">
        <f t="shared" si="637"/>
        <v>0</v>
      </c>
      <c r="DE129" s="62">
        <f t="shared" si="637"/>
        <v>0</v>
      </c>
      <c r="DF129" s="62">
        <f t="shared" si="637"/>
        <v>0</v>
      </c>
      <c r="DG129" s="62">
        <f t="shared" si="637"/>
        <v>0</v>
      </c>
      <c r="DH129" s="62">
        <f t="shared" si="637"/>
        <v>0</v>
      </c>
      <c r="DI129" s="62">
        <f t="shared" si="637"/>
        <v>0</v>
      </c>
      <c r="DJ129" s="62">
        <f t="shared" si="637"/>
        <v>0</v>
      </c>
      <c r="DK129" s="62">
        <f t="shared" si="637"/>
        <v>0</v>
      </c>
      <c r="DL129" s="62">
        <f t="shared" si="637"/>
        <v>0</v>
      </c>
      <c r="DM129" s="190">
        <f t="shared" si="430"/>
        <v>0</v>
      </c>
      <c r="DN129" s="62">
        <f t="shared" ref="DN129:DQ129" si="638">SUM(DN130:DN131)</f>
        <v>0</v>
      </c>
      <c r="DO129" s="62">
        <f t="shared" si="638"/>
        <v>0</v>
      </c>
      <c r="DP129" s="62">
        <f t="shared" si="638"/>
        <v>0</v>
      </c>
      <c r="DQ129" s="62">
        <f t="shared" si="638"/>
        <v>0</v>
      </c>
      <c r="DR129" s="62">
        <f t="shared" ref="DR129:DU129" si="639">SUM(DR130:DR131)</f>
        <v>0</v>
      </c>
      <c r="DS129" s="62">
        <f t="shared" si="639"/>
        <v>0</v>
      </c>
      <c r="DT129" s="62">
        <f t="shared" si="639"/>
        <v>0</v>
      </c>
      <c r="DU129" s="62">
        <f t="shared" si="639"/>
        <v>0</v>
      </c>
      <c r="DV129" s="62">
        <f t="shared" ref="DV129:DW129" si="640">SUM(DV130:DV131)</f>
        <v>0</v>
      </c>
      <c r="DW129" s="62">
        <f t="shared" si="640"/>
        <v>0</v>
      </c>
      <c r="DX129" s="62">
        <f t="shared" si="630"/>
        <v>0</v>
      </c>
      <c r="DY129" s="62">
        <f t="shared" ref="DY129" si="641">SUM(DY130:DY131)</f>
        <v>0</v>
      </c>
      <c r="DZ129" s="190">
        <f t="shared" si="431"/>
        <v>0</v>
      </c>
    </row>
    <row r="130" spans="1:130" ht="20.45" customHeight="1" outlineLevel="2">
      <c r="A130" s="662"/>
      <c r="B130" s="636"/>
      <c r="C130" s="30" t="s">
        <v>371</v>
      </c>
      <c r="D130" s="62">
        <f t="shared" si="345"/>
        <v>24891543.000000007</v>
      </c>
      <c r="E130" s="184">
        <f t="shared" ref="E130:E131" si="642">D130/(D$5+D$6+D$7+D$8+D$10+D$9)</f>
        <v>7.7014518050822586E-2</v>
      </c>
      <c r="F130" s="62">
        <v>200000</v>
      </c>
      <c r="G130" s="190">
        <f t="shared" si="433"/>
        <v>200000</v>
      </c>
      <c r="H130" s="197">
        <f t="shared" ref="H130:H131" si="643">G130/(G$5+G$6+G$7+G$8+G$10+G$9)</f>
        <v>4.5683951570442943E-2</v>
      </c>
      <c r="I130" s="62">
        <v>1068000</v>
      </c>
      <c r="J130" s="62">
        <v>100000</v>
      </c>
      <c r="K130" s="62">
        <v>100000</v>
      </c>
      <c r="L130" s="62">
        <v>809000</v>
      </c>
      <c r="M130" s="62">
        <v>100000</v>
      </c>
      <c r="N130" s="62">
        <v>600000</v>
      </c>
      <c r="O130" s="62">
        <v>100000</v>
      </c>
      <c r="P130" s="62">
        <v>787000</v>
      </c>
      <c r="Q130" s="62">
        <v>100000</v>
      </c>
      <c r="R130" s="62">
        <v>200000</v>
      </c>
      <c r="S130" s="62">
        <v>100000</v>
      </c>
      <c r="T130" s="62">
        <f>35000+100000+424000+83000</f>
        <v>642000</v>
      </c>
      <c r="U130" s="190">
        <f t="shared" si="423"/>
        <v>4706000</v>
      </c>
      <c r="V130" s="197">
        <f t="shared" ref="V130:V131" si="644">U130/(U$5+U$6+U$7+U$8+U$10+U$9)</f>
        <v>8.4823364355985822E-2</v>
      </c>
      <c r="W130" s="62">
        <f>200000+400000+51400</f>
        <v>651400</v>
      </c>
      <c r="X130" s="62">
        <v>200000</v>
      </c>
      <c r="Y130" s="62">
        <f>200000+300000</f>
        <v>500000</v>
      </c>
      <c r="Z130" s="62">
        <v>500000</v>
      </c>
      <c r="AA130" s="62">
        <f>26000+200000+69500</f>
        <v>295500</v>
      </c>
      <c r="AB130" s="62">
        <f>300000+219000</f>
        <v>519000</v>
      </c>
      <c r="AC130" s="62">
        <f>200000+6000+118000+300000+109000+100000</f>
        <v>833000</v>
      </c>
      <c r="AD130" s="62">
        <f>200000+43000+45000</f>
        <v>288000</v>
      </c>
      <c r="AE130" s="62">
        <f>200000+50000+100000+300000</f>
        <v>650000</v>
      </c>
      <c r="AF130" s="62">
        <v>200000</v>
      </c>
      <c r="AG130" s="62">
        <f>200000+300000</f>
        <v>500000</v>
      </c>
      <c r="AH130" s="62">
        <f>200000+34000+52100+130000-52100+300000+3000+68000+300000</f>
        <v>1035000</v>
      </c>
      <c r="AI130" s="190">
        <f t="shared" si="424"/>
        <v>6171900</v>
      </c>
      <c r="AJ130" s="197">
        <f t="shared" ref="AJ130:AJ131" si="645">AI130/(AI$5+AI$6+AI$7+AI$8+AI$10+AI$9)</f>
        <v>8.3881610197472631E-2</v>
      </c>
      <c r="AK130" s="62">
        <f>22750+200000+79800+600000</f>
        <v>902550</v>
      </c>
      <c r="AL130" s="62">
        <f>200000+300000</f>
        <v>500000</v>
      </c>
      <c r="AM130" s="62">
        <f>200000+151720+16500+21400+7300</f>
        <v>396920</v>
      </c>
      <c r="AN130" s="62">
        <f>200000+50000+200000+27000+439713+200000</f>
        <v>1116713</v>
      </c>
      <c r="AO130" s="62">
        <f>200000+39700</f>
        <v>239700</v>
      </c>
      <c r="AP130" s="62">
        <f>200000+300000+49000+22500+110000</f>
        <v>681500</v>
      </c>
      <c r="AQ130" s="62">
        <f>200000+102200+100000</f>
        <v>402200</v>
      </c>
      <c r="AR130" s="62">
        <f>200000+300000+300000-105000</f>
        <v>695000</v>
      </c>
      <c r="AS130" s="62">
        <v>200000</v>
      </c>
      <c r="AT130" s="62">
        <v>200000</v>
      </c>
      <c r="AU130" s="62">
        <f>200000+300000+45300</f>
        <v>545300</v>
      </c>
      <c r="AV130" s="62">
        <f>200000+40000</f>
        <v>240000</v>
      </c>
      <c r="AW130" s="190">
        <f t="shared" si="425"/>
        <v>6119883</v>
      </c>
      <c r="AX130" s="197">
        <f t="shared" ref="AX130:AX131" si="646">AW130/(AW$5+AW$6+AW$7+AW$8+AW$10+AW$9)</f>
        <v>8.0221478959214429E-2</v>
      </c>
      <c r="AY130" s="62">
        <f>50000+200000+400000</f>
        <v>650000</v>
      </c>
      <c r="AZ130" s="62">
        <f>200000+104200+300000</f>
        <v>604200</v>
      </c>
      <c r="BA130" s="62">
        <v>200000</v>
      </c>
      <c r="BB130" s="62">
        <f>211000+400000+163000+90800</f>
        <v>864800</v>
      </c>
      <c r="BC130" s="62">
        <f>200000+90800-181600</f>
        <v>109200</v>
      </c>
      <c r="BD130" s="62">
        <f>200000+300000+18000+36000</f>
        <v>554000</v>
      </c>
      <c r="BE130" s="62">
        <f>200000</f>
        <v>200000</v>
      </c>
      <c r="BF130" s="62">
        <f>200000</f>
        <v>200000</v>
      </c>
      <c r="BG130" s="62">
        <f>200000+400000+70000+50000+103400+400+400-104200</f>
        <v>720000</v>
      </c>
      <c r="BH130" s="62">
        <f>200000+67000</f>
        <v>267000</v>
      </c>
      <c r="BI130" s="62">
        <f>200000+300000</f>
        <v>500000</v>
      </c>
      <c r="BJ130" s="62">
        <f>200000+72000</f>
        <v>272000</v>
      </c>
      <c r="BK130" s="190">
        <f t="shared" si="426"/>
        <v>5141200</v>
      </c>
      <c r="BL130" s="197">
        <f t="shared" ref="BL130:BL131" si="647">BK130/(BK$5+BK$6+BK$7+BK$8+BK$10+BK$9)</f>
        <v>7.3615005662593616E-2</v>
      </c>
      <c r="BM130" s="62">
        <f>200000+300000+400000+50000</f>
        <v>950000</v>
      </c>
      <c r="BN130" s="62">
        <v>200000</v>
      </c>
      <c r="BO130" s="62">
        <v>500000</v>
      </c>
      <c r="BP130" s="62">
        <f>200000+14560+38000+450000</f>
        <v>702560</v>
      </c>
      <c r="BQ130" s="62">
        <v>200000</v>
      </c>
      <c r="BR130" s="62">
        <v>0</v>
      </c>
      <c r="BS130" s="62">
        <v>0</v>
      </c>
      <c r="BT130" s="62">
        <v>0</v>
      </c>
      <c r="BU130" s="62">
        <v>0</v>
      </c>
      <c r="BV130" s="62">
        <v>0</v>
      </c>
      <c r="BW130" s="62">
        <v>0</v>
      </c>
      <c r="BX130" s="62">
        <v>0</v>
      </c>
      <c r="BY130" s="190">
        <f t="shared" si="427"/>
        <v>2552560</v>
      </c>
      <c r="BZ130" s="197">
        <f t="shared" ref="BZ130:BZ131" si="648">BY130/(BY$5+BY$6+BY$7+BY$8+BY$10+BY$9)</f>
        <v>5.8487419142041232E-2</v>
      </c>
      <c r="CA130" s="62">
        <v>0</v>
      </c>
      <c r="CB130" s="62">
        <v>0</v>
      </c>
      <c r="CC130" s="62">
        <v>0</v>
      </c>
      <c r="CD130" s="62">
        <v>0</v>
      </c>
      <c r="CE130" s="62">
        <v>0</v>
      </c>
      <c r="CF130" s="62">
        <v>0</v>
      </c>
      <c r="CG130" s="62">
        <v>0</v>
      </c>
      <c r="CH130" s="62">
        <v>0</v>
      </c>
      <c r="CI130" s="62">
        <v>0</v>
      </c>
      <c r="CJ130" s="62">
        <v>0</v>
      </c>
      <c r="CK130" s="62">
        <v>0</v>
      </c>
      <c r="CL130" s="62">
        <v>0</v>
      </c>
      <c r="CM130" s="190">
        <f t="shared" si="428"/>
        <v>0</v>
      </c>
      <c r="CN130" s="62">
        <v>0</v>
      </c>
      <c r="CO130" s="62">
        <v>0</v>
      </c>
      <c r="CP130" s="62">
        <v>0</v>
      </c>
      <c r="CQ130" s="62">
        <v>0</v>
      </c>
      <c r="CR130" s="62">
        <v>0</v>
      </c>
      <c r="CS130" s="62">
        <v>0</v>
      </c>
      <c r="CT130" s="62">
        <v>0</v>
      </c>
      <c r="CU130" s="62">
        <v>0</v>
      </c>
      <c r="CV130" s="62">
        <v>0</v>
      </c>
      <c r="CW130" s="62">
        <v>0</v>
      </c>
      <c r="CX130" s="62">
        <v>0</v>
      </c>
      <c r="CY130" s="62">
        <v>0</v>
      </c>
      <c r="CZ130" s="190">
        <f t="shared" si="429"/>
        <v>0</v>
      </c>
      <c r="DA130" s="62">
        <v>0</v>
      </c>
      <c r="DB130" s="62">
        <v>0</v>
      </c>
      <c r="DC130" s="62">
        <v>0</v>
      </c>
      <c r="DD130" s="62">
        <v>0</v>
      </c>
      <c r="DE130" s="62">
        <v>0</v>
      </c>
      <c r="DF130" s="62">
        <v>0</v>
      </c>
      <c r="DG130" s="62">
        <v>0</v>
      </c>
      <c r="DH130" s="62">
        <v>0</v>
      </c>
      <c r="DI130" s="62">
        <v>0</v>
      </c>
      <c r="DJ130" s="62">
        <v>0</v>
      </c>
      <c r="DK130" s="62">
        <v>0</v>
      </c>
      <c r="DL130" s="62">
        <v>0</v>
      </c>
      <c r="DM130" s="190">
        <f t="shared" si="430"/>
        <v>0</v>
      </c>
      <c r="DN130" s="62">
        <v>0</v>
      </c>
      <c r="DO130" s="62">
        <v>0</v>
      </c>
      <c r="DP130" s="62">
        <v>0</v>
      </c>
      <c r="DQ130" s="62">
        <v>0</v>
      </c>
      <c r="DR130" s="62">
        <v>0</v>
      </c>
      <c r="DS130" s="62">
        <v>0</v>
      </c>
      <c r="DT130" s="62">
        <v>0</v>
      </c>
      <c r="DU130" s="62">
        <v>0</v>
      </c>
      <c r="DV130" s="62">
        <v>0</v>
      </c>
      <c r="DW130" s="62">
        <v>0</v>
      </c>
      <c r="DX130" s="62">
        <v>0</v>
      </c>
      <c r="DY130" s="62">
        <v>0</v>
      </c>
      <c r="DZ130" s="190">
        <f t="shared" si="431"/>
        <v>0</v>
      </c>
    </row>
    <row r="131" spans="1:130" ht="20.45" customHeight="1" outlineLevel="2">
      <c r="A131" s="662"/>
      <c r="B131" s="637"/>
      <c r="C131" s="30" t="s">
        <v>372</v>
      </c>
      <c r="D131" s="62">
        <f t="shared" si="345"/>
        <v>1800000.0000000007</v>
      </c>
      <c r="E131" s="184">
        <f t="shared" si="642"/>
        <v>5.5692060749902355E-3</v>
      </c>
      <c r="F131" s="62">
        <v>200000</v>
      </c>
      <c r="G131" s="190">
        <f t="shared" si="433"/>
        <v>200000</v>
      </c>
      <c r="H131" s="197">
        <f t="shared" si="643"/>
        <v>4.5683951570442943E-2</v>
      </c>
      <c r="I131" s="62">
        <v>0</v>
      </c>
      <c r="J131" s="62">
        <v>0</v>
      </c>
      <c r="K131" s="62">
        <v>0</v>
      </c>
      <c r="L131" s="62">
        <v>0</v>
      </c>
      <c r="M131" s="62">
        <v>0</v>
      </c>
      <c r="N131" s="62">
        <v>0</v>
      </c>
      <c r="O131" s="62">
        <v>0</v>
      </c>
      <c r="P131" s="62">
        <v>200000</v>
      </c>
      <c r="Q131" s="62">
        <v>0</v>
      </c>
      <c r="R131" s="62">
        <v>0</v>
      </c>
      <c r="S131" s="62">
        <v>0</v>
      </c>
      <c r="T131" s="62">
        <v>200000</v>
      </c>
      <c r="U131" s="190">
        <f t="shared" si="423"/>
        <v>400000</v>
      </c>
      <c r="V131" s="197">
        <f t="shared" si="644"/>
        <v>7.2098057251156668E-3</v>
      </c>
      <c r="W131" s="62">
        <v>0</v>
      </c>
      <c r="X131" s="62">
        <v>0</v>
      </c>
      <c r="Y131" s="62">
        <v>0</v>
      </c>
      <c r="Z131" s="62">
        <v>0</v>
      </c>
      <c r="AA131" s="62">
        <v>0</v>
      </c>
      <c r="AB131" s="62">
        <v>0</v>
      </c>
      <c r="AC131" s="62">
        <v>0</v>
      </c>
      <c r="AD131" s="62">
        <v>200000</v>
      </c>
      <c r="AE131" s="62">
        <v>0</v>
      </c>
      <c r="AF131" s="62">
        <v>0</v>
      </c>
      <c r="AG131" s="62">
        <v>0</v>
      </c>
      <c r="AH131" s="62">
        <v>0</v>
      </c>
      <c r="AI131" s="190">
        <f t="shared" si="424"/>
        <v>200000</v>
      </c>
      <c r="AJ131" s="197">
        <f t="shared" si="645"/>
        <v>2.7181778770710035E-3</v>
      </c>
      <c r="AK131" s="62">
        <v>200000</v>
      </c>
      <c r="AL131" s="62">
        <v>0</v>
      </c>
      <c r="AM131" s="62">
        <v>0</v>
      </c>
      <c r="AN131" s="62">
        <v>0</v>
      </c>
      <c r="AO131" s="62">
        <v>0</v>
      </c>
      <c r="AP131" s="62">
        <v>0</v>
      </c>
      <c r="AQ131" s="62">
        <v>0</v>
      </c>
      <c r="AR131" s="62">
        <v>200000</v>
      </c>
      <c r="AS131" s="62">
        <v>0</v>
      </c>
      <c r="AT131" s="62">
        <v>0</v>
      </c>
      <c r="AU131" s="62">
        <v>0</v>
      </c>
      <c r="AV131" s="62">
        <v>200000</v>
      </c>
      <c r="AW131" s="190">
        <f t="shared" si="425"/>
        <v>600000</v>
      </c>
      <c r="AX131" s="197">
        <f t="shared" si="646"/>
        <v>7.8650012386721532E-3</v>
      </c>
      <c r="AY131" s="62">
        <v>0</v>
      </c>
      <c r="AZ131" s="62">
        <v>0</v>
      </c>
      <c r="BA131" s="62">
        <v>0</v>
      </c>
      <c r="BB131" s="62">
        <v>0</v>
      </c>
      <c r="BC131" s="62">
        <v>0</v>
      </c>
      <c r="BD131" s="62">
        <v>0</v>
      </c>
      <c r="BE131" s="62">
        <v>0</v>
      </c>
      <c r="BF131" s="62">
        <v>0</v>
      </c>
      <c r="BG131" s="62">
        <v>200000</v>
      </c>
      <c r="BH131" s="62">
        <v>0</v>
      </c>
      <c r="BI131" s="62">
        <v>0</v>
      </c>
      <c r="BJ131" s="62">
        <v>0</v>
      </c>
      <c r="BK131" s="190">
        <f t="shared" si="426"/>
        <v>200000</v>
      </c>
      <c r="BL131" s="197">
        <f t="shared" si="647"/>
        <v>2.8637285327391898E-3</v>
      </c>
      <c r="BM131" s="62">
        <v>200000</v>
      </c>
      <c r="BN131" s="62">
        <v>0</v>
      </c>
      <c r="BO131" s="62">
        <v>0</v>
      </c>
      <c r="BP131" s="62">
        <v>0</v>
      </c>
      <c r="BQ131" s="62">
        <v>0</v>
      </c>
      <c r="BR131" s="62">
        <v>0</v>
      </c>
      <c r="BS131" s="62">
        <v>0</v>
      </c>
      <c r="BT131" s="62">
        <v>0</v>
      </c>
      <c r="BU131" s="62">
        <v>0</v>
      </c>
      <c r="BV131" s="62">
        <v>0</v>
      </c>
      <c r="BW131" s="62">
        <v>0</v>
      </c>
      <c r="BX131" s="62">
        <v>0</v>
      </c>
      <c r="BY131" s="190">
        <f t="shared" si="427"/>
        <v>200000</v>
      </c>
      <c r="BZ131" s="197">
        <f t="shared" si="648"/>
        <v>4.5826479410506502E-3</v>
      </c>
      <c r="CA131" s="62">
        <v>0</v>
      </c>
      <c r="CB131" s="62">
        <v>0</v>
      </c>
      <c r="CC131" s="62">
        <v>0</v>
      </c>
      <c r="CD131" s="62">
        <v>0</v>
      </c>
      <c r="CE131" s="62">
        <v>0</v>
      </c>
      <c r="CF131" s="62">
        <v>0</v>
      </c>
      <c r="CG131" s="62">
        <v>0</v>
      </c>
      <c r="CH131" s="62">
        <v>0</v>
      </c>
      <c r="CI131" s="62">
        <v>0</v>
      </c>
      <c r="CJ131" s="62">
        <v>0</v>
      </c>
      <c r="CK131" s="62">
        <v>0</v>
      </c>
      <c r="CL131" s="62">
        <v>0</v>
      </c>
      <c r="CM131" s="190">
        <f t="shared" si="428"/>
        <v>0</v>
      </c>
      <c r="CN131" s="62">
        <v>0</v>
      </c>
      <c r="CO131" s="62">
        <v>0</v>
      </c>
      <c r="CP131" s="62">
        <v>0</v>
      </c>
      <c r="CQ131" s="62">
        <v>0</v>
      </c>
      <c r="CR131" s="62">
        <v>0</v>
      </c>
      <c r="CS131" s="62">
        <v>0</v>
      </c>
      <c r="CT131" s="62">
        <v>0</v>
      </c>
      <c r="CU131" s="62">
        <v>0</v>
      </c>
      <c r="CV131" s="62">
        <v>0</v>
      </c>
      <c r="CW131" s="62">
        <v>0</v>
      </c>
      <c r="CX131" s="62">
        <v>0</v>
      </c>
      <c r="CY131" s="62">
        <v>0</v>
      </c>
      <c r="CZ131" s="190">
        <f t="shared" si="429"/>
        <v>0</v>
      </c>
      <c r="DA131" s="62">
        <v>0</v>
      </c>
      <c r="DB131" s="62">
        <v>0</v>
      </c>
      <c r="DC131" s="62">
        <v>0</v>
      </c>
      <c r="DD131" s="62">
        <v>0</v>
      </c>
      <c r="DE131" s="62">
        <v>0</v>
      </c>
      <c r="DF131" s="62">
        <v>0</v>
      </c>
      <c r="DG131" s="62">
        <v>0</v>
      </c>
      <c r="DH131" s="62">
        <v>0</v>
      </c>
      <c r="DI131" s="62">
        <v>0</v>
      </c>
      <c r="DJ131" s="62">
        <v>0</v>
      </c>
      <c r="DK131" s="62">
        <v>0</v>
      </c>
      <c r="DL131" s="62">
        <v>0</v>
      </c>
      <c r="DM131" s="190">
        <f t="shared" si="430"/>
        <v>0</v>
      </c>
      <c r="DN131" s="62">
        <v>0</v>
      </c>
      <c r="DO131" s="62">
        <v>0</v>
      </c>
      <c r="DP131" s="62">
        <v>0</v>
      </c>
      <c r="DQ131" s="62">
        <v>0</v>
      </c>
      <c r="DR131" s="62">
        <v>0</v>
      </c>
      <c r="DS131" s="62">
        <v>0</v>
      </c>
      <c r="DT131" s="62">
        <v>0</v>
      </c>
      <c r="DU131" s="62">
        <v>0</v>
      </c>
      <c r="DV131" s="62">
        <v>0</v>
      </c>
      <c r="DW131" s="62">
        <v>0</v>
      </c>
      <c r="DX131" s="62">
        <v>0</v>
      </c>
      <c r="DY131" s="62">
        <v>0</v>
      </c>
      <c r="DZ131" s="190">
        <f t="shared" si="431"/>
        <v>0</v>
      </c>
    </row>
    <row r="132" spans="1:130" s="194" customFormat="1" ht="20.45" customHeight="1" outlineLevel="1">
      <c r="A132" s="662"/>
      <c r="B132" s="645" t="s">
        <v>373</v>
      </c>
      <c r="C132" s="65" t="s">
        <v>307</v>
      </c>
      <c r="D132" s="66">
        <f t="shared" si="345"/>
        <v>4077667.0000000005</v>
      </c>
      <c r="E132" s="187">
        <f>SUM(E133:E134)</f>
        <v>1.2616315460104001E-2</v>
      </c>
      <c r="F132" s="62">
        <f t="shared" ref="F132:DX132" si="649">SUM(F133:F134)</f>
        <v>100000</v>
      </c>
      <c r="G132" s="190">
        <f t="shared" si="433"/>
        <v>100000</v>
      </c>
      <c r="H132" s="196">
        <f>SUM(H133:H134)</f>
        <v>2.2841975785221472E-2</v>
      </c>
      <c r="I132" s="62">
        <f t="shared" si="649"/>
        <v>0</v>
      </c>
      <c r="J132" s="62">
        <f t="shared" si="649"/>
        <v>50000</v>
      </c>
      <c r="K132" s="62">
        <f t="shared" si="649"/>
        <v>50000</v>
      </c>
      <c r="L132" s="62">
        <f t="shared" si="649"/>
        <v>0</v>
      </c>
      <c r="M132" s="62">
        <f t="shared" si="649"/>
        <v>0</v>
      </c>
      <c r="N132" s="62">
        <f t="shared" si="649"/>
        <v>0</v>
      </c>
      <c r="O132" s="62">
        <f t="shared" si="649"/>
        <v>0</v>
      </c>
      <c r="P132" s="62">
        <f t="shared" si="649"/>
        <v>50000</v>
      </c>
      <c r="Q132" s="62">
        <f t="shared" si="649"/>
        <v>50000</v>
      </c>
      <c r="R132" s="62">
        <f t="shared" si="649"/>
        <v>0</v>
      </c>
      <c r="S132" s="62">
        <f t="shared" si="649"/>
        <v>150000</v>
      </c>
      <c r="T132" s="62">
        <f t="shared" si="649"/>
        <v>377667</v>
      </c>
      <c r="U132" s="190">
        <f t="shared" si="423"/>
        <v>727667</v>
      </c>
      <c r="V132" s="196">
        <f>SUM(V133:V134)</f>
        <v>1.3115844256444355E-2</v>
      </c>
      <c r="W132" s="62">
        <f t="shared" si="649"/>
        <v>0</v>
      </c>
      <c r="X132" s="62">
        <f t="shared" si="649"/>
        <v>400000</v>
      </c>
      <c r="Y132" s="62">
        <f t="shared" si="649"/>
        <v>0</v>
      </c>
      <c r="Z132" s="62">
        <f t="shared" si="649"/>
        <v>0</v>
      </c>
      <c r="AA132" s="62">
        <f t="shared" si="649"/>
        <v>50000</v>
      </c>
      <c r="AB132" s="62">
        <f t="shared" si="649"/>
        <v>0</v>
      </c>
      <c r="AC132" s="62">
        <f t="shared" ref="AC132:AF132" si="650">SUM(AC133:AC134)</f>
        <v>0</v>
      </c>
      <c r="AD132" s="62">
        <f t="shared" si="650"/>
        <v>0</v>
      </c>
      <c r="AE132" s="62">
        <f t="shared" si="650"/>
        <v>50000</v>
      </c>
      <c r="AF132" s="62">
        <f t="shared" si="650"/>
        <v>200000</v>
      </c>
      <c r="AG132" s="62">
        <f t="shared" si="649"/>
        <v>0</v>
      </c>
      <c r="AH132" s="62">
        <f t="shared" si="649"/>
        <v>150000</v>
      </c>
      <c r="AI132" s="190">
        <f t="shared" si="424"/>
        <v>850000</v>
      </c>
      <c r="AJ132" s="196">
        <f>SUM(AJ133:AJ134)</f>
        <v>1.1552255977551764E-2</v>
      </c>
      <c r="AK132" s="62">
        <f t="shared" ref="AK132:AV132" si="651">SUM(AK133:AK134)</f>
        <v>50000</v>
      </c>
      <c r="AL132" s="62">
        <f t="shared" si="651"/>
        <v>0</v>
      </c>
      <c r="AM132" s="62">
        <f t="shared" si="651"/>
        <v>300000</v>
      </c>
      <c r="AN132" s="62">
        <f t="shared" si="651"/>
        <v>300000</v>
      </c>
      <c r="AO132" s="62">
        <f t="shared" si="651"/>
        <v>50000</v>
      </c>
      <c r="AP132" s="62">
        <f t="shared" si="651"/>
        <v>0</v>
      </c>
      <c r="AQ132" s="62">
        <f t="shared" si="651"/>
        <v>0</v>
      </c>
      <c r="AR132" s="62">
        <f t="shared" si="651"/>
        <v>200000</v>
      </c>
      <c r="AS132" s="62">
        <f t="shared" si="651"/>
        <v>0</v>
      </c>
      <c r="AT132" s="62">
        <f t="shared" si="651"/>
        <v>0</v>
      </c>
      <c r="AU132" s="62">
        <f t="shared" si="651"/>
        <v>0</v>
      </c>
      <c r="AV132" s="62">
        <f t="shared" si="651"/>
        <v>0</v>
      </c>
      <c r="AW132" s="190">
        <f t="shared" si="425"/>
        <v>900000</v>
      </c>
      <c r="AX132" s="196">
        <f>SUM(AX133:AX134)</f>
        <v>1.1797501858008231E-2</v>
      </c>
      <c r="AY132" s="62">
        <f t="shared" ref="AY132:BJ132" si="652">SUM(AY133:AY134)</f>
        <v>100000</v>
      </c>
      <c r="AZ132" s="62">
        <f t="shared" si="652"/>
        <v>100000</v>
      </c>
      <c r="BA132" s="62">
        <f t="shared" si="652"/>
        <v>0</v>
      </c>
      <c r="BB132" s="62">
        <f t="shared" si="652"/>
        <v>600000</v>
      </c>
      <c r="BC132" s="62">
        <f t="shared" si="652"/>
        <v>0</v>
      </c>
      <c r="BD132" s="62">
        <f t="shared" si="652"/>
        <v>0</v>
      </c>
      <c r="BE132" s="62">
        <f t="shared" si="652"/>
        <v>0</v>
      </c>
      <c r="BF132" s="62">
        <f t="shared" si="652"/>
        <v>0</v>
      </c>
      <c r="BG132" s="62">
        <f t="shared" si="652"/>
        <v>50000</v>
      </c>
      <c r="BH132" s="62">
        <f t="shared" si="652"/>
        <v>50000</v>
      </c>
      <c r="BI132" s="62">
        <f t="shared" si="652"/>
        <v>500000</v>
      </c>
      <c r="BJ132" s="62">
        <f t="shared" si="652"/>
        <v>0</v>
      </c>
      <c r="BK132" s="190">
        <f t="shared" si="426"/>
        <v>1400000</v>
      </c>
      <c r="BL132" s="196">
        <f>SUM(BL133:BL134)</f>
        <v>2.004609972917433E-2</v>
      </c>
      <c r="BM132" s="62">
        <f t="shared" ref="BM132:BX132" si="653">SUM(BM133:BM134)</f>
        <v>50000</v>
      </c>
      <c r="BN132" s="62">
        <f t="shared" si="653"/>
        <v>0</v>
      </c>
      <c r="BO132" s="62">
        <f t="shared" si="653"/>
        <v>50000</v>
      </c>
      <c r="BP132" s="62">
        <f t="shared" si="653"/>
        <v>0</v>
      </c>
      <c r="BQ132" s="62">
        <f t="shared" si="653"/>
        <v>0</v>
      </c>
      <c r="BR132" s="62">
        <f t="shared" si="653"/>
        <v>0</v>
      </c>
      <c r="BS132" s="62">
        <f t="shared" si="653"/>
        <v>0</v>
      </c>
      <c r="BT132" s="62">
        <f t="shared" si="653"/>
        <v>0</v>
      </c>
      <c r="BU132" s="62">
        <f t="shared" si="653"/>
        <v>0</v>
      </c>
      <c r="BV132" s="62">
        <f t="shared" si="653"/>
        <v>0</v>
      </c>
      <c r="BW132" s="62">
        <f t="shared" si="653"/>
        <v>0</v>
      </c>
      <c r="BX132" s="62">
        <f t="shared" si="653"/>
        <v>0</v>
      </c>
      <c r="BY132" s="190">
        <f t="shared" si="427"/>
        <v>100000</v>
      </c>
      <c r="BZ132" s="196">
        <f>SUM(BZ133:BZ134)</f>
        <v>2.2913239705253251E-3</v>
      </c>
      <c r="CA132" s="62">
        <f t="shared" ref="CA132:CL132" si="654">SUM(CA133:CA134)</f>
        <v>0</v>
      </c>
      <c r="CB132" s="62">
        <f t="shared" si="654"/>
        <v>0</v>
      </c>
      <c r="CC132" s="62">
        <f t="shared" si="654"/>
        <v>0</v>
      </c>
      <c r="CD132" s="62">
        <f t="shared" si="654"/>
        <v>0</v>
      </c>
      <c r="CE132" s="62">
        <f t="shared" si="654"/>
        <v>0</v>
      </c>
      <c r="CF132" s="62">
        <f t="shared" si="654"/>
        <v>0</v>
      </c>
      <c r="CG132" s="62">
        <f t="shared" si="654"/>
        <v>0</v>
      </c>
      <c r="CH132" s="62">
        <f t="shared" si="654"/>
        <v>0</v>
      </c>
      <c r="CI132" s="62">
        <f t="shared" si="654"/>
        <v>0</v>
      </c>
      <c r="CJ132" s="62">
        <f t="shared" si="654"/>
        <v>0</v>
      </c>
      <c r="CK132" s="62">
        <f t="shared" si="654"/>
        <v>0</v>
      </c>
      <c r="CL132" s="62">
        <f t="shared" si="654"/>
        <v>0</v>
      </c>
      <c r="CM132" s="190">
        <f t="shared" si="428"/>
        <v>0</v>
      </c>
      <c r="CN132" s="62">
        <f t="shared" ref="CN132:CY132" si="655">SUM(CN133:CN134)</f>
        <v>0</v>
      </c>
      <c r="CO132" s="62">
        <f t="shared" si="655"/>
        <v>0</v>
      </c>
      <c r="CP132" s="62">
        <f t="shared" si="655"/>
        <v>0</v>
      </c>
      <c r="CQ132" s="62">
        <f t="shared" si="655"/>
        <v>0</v>
      </c>
      <c r="CR132" s="62">
        <f t="shared" si="655"/>
        <v>0</v>
      </c>
      <c r="CS132" s="62">
        <f t="shared" si="655"/>
        <v>0</v>
      </c>
      <c r="CT132" s="62">
        <f t="shared" si="655"/>
        <v>0</v>
      </c>
      <c r="CU132" s="62">
        <f t="shared" si="655"/>
        <v>0</v>
      </c>
      <c r="CV132" s="62">
        <f t="shared" si="655"/>
        <v>0</v>
      </c>
      <c r="CW132" s="62">
        <f t="shared" si="655"/>
        <v>0</v>
      </c>
      <c r="CX132" s="62">
        <f t="shared" si="655"/>
        <v>0</v>
      </c>
      <c r="CY132" s="62">
        <f t="shared" si="655"/>
        <v>0</v>
      </c>
      <c r="CZ132" s="190">
        <f t="shared" si="429"/>
        <v>0</v>
      </c>
      <c r="DA132" s="62">
        <f t="shared" ref="DA132:DL132" si="656">SUM(DA133:DA134)</f>
        <v>0</v>
      </c>
      <c r="DB132" s="62">
        <f t="shared" si="656"/>
        <v>0</v>
      </c>
      <c r="DC132" s="62">
        <f t="shared" si="656"/>
        <v>0</v>
      </c>
      <c r="DD132" s="62">
        <f t="shared" si="656"/>
        <v>0</v>
      </c>
      <c r="DE132" s="62">
        <f t="shared" si="656"/>
        <v>0</v>
      </c>
      <c r="DF132" s="62">
        <f t="shared" si="656"/>
        <v>0</v>
      </c>
      <c r="DG132" s="62">
        <f t="shared" si="656"/>
        <v>0</v>
      </c>
      <c r="DH132" s="62">
        <f t="shared" si="656"/>
        <v>0</v>
      </c>
      <c r="DI132" s="62">
        <f t="shared" si="656"/>
        <v>0</v>
      </c>
      <c r="DJ132" s="62">
        <f t="shared" si="656"/>
        <v>0</v>
      </c>
      <c r="DK132" s="62">
        <f t="shared" si="656"/>
        <v>0</v>
      </c>
      <c r="DL132" s="62">
        <f t="shared" si="656"/>
        <v>0</v>
      </c>
      <c r="DM132" s="190">
        <f t="shared" si="430"/>
        <v>0</v>
      </c>
      <c r="DN132" s="62">
        <f t="shared" ref="DN132:DQ132" si="657">SUM(DN133:DN134)</f>
        <v>0</v>
      </c>
      <c r="DO132" s="62">
        <f t="shared" si="657"/>
        <v>0</v>
      </c>
      <c r="DP132" s="62">
        <f t="shared" si="657"/>
        <v>0</v>
      </c>
      <c r="DQ132" s="62">
        <f t="shared" si="657"/>
        <v>0</v>
      </c>
      <c r="DR132" s="62">
        <f t="shared" ref="DR132:DU132" si="658">SUM(DR133:DR134)</f>
        <v>0</v>
      </c>
      <c r="DS132" s="62">
        <f t="shared" si="658"/>
        <v>0</v>
      </c>
      <c r="DT132" s="62">
        <f t="shared" si="658"/>
        <v>0</v>
      </c>
      <c r="DU132" s="62">
        <f t="shared" si="658"/>
        <v>0</v>
      </c>
      <c r="DV132" s="62">
        <f t="shared" ref="DV132:DW132" si="659">SUM(DV133:DV134)</f>
        <v>0</v>
      </c>
      <c r="DW132" s="62">
        <f t="shared" si="659"/>
        <v>0</v>
      </c>
      <c r="DX132" s="62">
        <f t="shared" si="649"/>
        <v>0</v>
      </c>
      <c r="DY132" s="62">
        <f t="shared" ref="DY132" si="660">SUM(DY133:DY134)</f>
        <v>0</v>
      </c>
      <c r="DZ132" s="190">
        <f t="shared" si="431"/>
        <v>0</v>
      </c>
    </row>
    <row r="133" spans="1:130" ht="20.45" customHeight="1" outlineLevel="2">
      <c r="A133" s="662"/>
      <c r="B133" s="636"/>
      <c r="C133" s="30" t="s">
        <v>374</v>
      </c>
      <c r="D133" s="62">
        <f t="shared" ref="D133:D151" si="661">SUM(F133:FJ133)-G133-U133-AI133-AW133-BK133-BY133-CM133-CZ133-DM133-DZ133-H133-V133-AJ133-AX133-BL133-BZ133</f>
        <v>3900000</v>
      </c>
      <c r="E133" s="184">
        <f t="shared" ref="E133:E134" si="662">D133/(D$5+D$6+D$7+D$8+D$10+D$9)</f>
        <v>1.206661316247884E-2</v>
      </c>
      <c r="F133" s="62">
        <v>100000</v>
      </c>
      <c r="G133" s="190">
        <f t="shared" si="433"/>
        <v>100000</v>
      </c>
      <c r="H133" s="197">
        <f t="shared" ref="H133:H134" si="663">G133/(G$5+G$6+G$7+G$8+G$10+G$9)</f>
        <v>2.2841975785221472E-2</v>
      </c>
      <c r="I133" s="62">
        <v>0</v>
      </c>
      <c r="J133" s="62">
        <v>50000</v>
      </c>
      <c r="K133" s="62">
        <v>50000</v>
      </c>
      <c r="L133" s="62">
        <v>0</v>
      </c>
      <c r="M133" s="62">
        <v>0</v>
      </c>
      <c r="N133" s="62">
        <v>0</v>
      </c>
      <c r="O133" s="62">
        <v>0</v>
      </c>
      <c r="P133" s="62">
        <v>50000</v>
      </c>
      <c r="Q133" s="62">
        <v>50000</v>
      </c>
      <c r="R133" s="62">
        <v>0</v>
      </c>
      <c r="S133" s="62">
        <v>150000</v>
      </c>
      <c r="T133" s="62">
        <f>150000+50000</f>
        <v>200000</v>
      </c>
      <c r="U133" s="190">
        <f t="shared" si="423"/>
        <v>550000</v>
      </c>
      <c r="V133" s="197">
        <f t="shared" ref="V133:V134" si="664">U133/(U$5+U$6+U$7+U$8+U$10+U$9)</f>
        <v>9.9134828720340417E-3</v>
      </c>
      <c r="W133" s="62">
        <v>0</v>
      </c>
      <c r="X133" s="62">
        <v>400000</v>
      </c>
      <c r="Y133" s="62">
        <v>0</v>
      </c>
      <c r="Z133" s="62">
        <v>0</v>
      </c>
      <c r="AA133" s="62">
        <v>50000</v>
      </c>
      <c r="AB133" s="62">
        <v>0</v>
      </c>
      <c r="AC133" s="62">
        <v>0</v>
      </c>
      <c r="AD133" s="62">
        <v>0</v>
      </c>
      <c r="AE133" s="62">
        <v>50000</v>
      </c>
      <c r="AF133" s="62">
        <v>200000</v>
      </c>
      <c r="AG133" s="62">
        <v>0</v>
      </c>
      <c r="AH133" s="62">
        <v>150000</v>
      </c>
      <c r="AI133" s="190">
        <f t="shared" si="424"/>
        <v>850000</v>
      </c>
      <c r="AJ133" s="197">
        <f t="shared" ref="AJ133:AJ134" si="665">AI133/(AI$5+AI$6+AI$7+AI$8+AI$10+AI$9)</f>
        <v>1.1552255977551764E-2</v>
      </c>
      <c r="AK133" s="62">
        <v>50000</v>
      </c>
      <c r="AL133" s="62">
        <v>0</v>
      </c>
      <c r="AM133" s="62">
        <f>100000+100000+100000</f>
        <v>300000</v>
      </c>
      <c r="AN133" s="62">
        <v>300000</v>
      </c>
      <c r="AO133" s="62">
        <f>50000</f>
        <v>50000</v>
      </c>
      <c r="AP133" s="62">
        <v>0</v>
      </c>
      <c r="AQ133" s="62">
        <v>0</v>
      </c>
      <c r="AR133" s="62">
        <f>100000+100000</f>
        <v>200000</v>
      </c>
      <c r="AS133" s="62">
        <v>0</v>
      </c>
      <c r="AT133" s="62">
        <v>0</v>
      </c>
      <c r="AU133" s="62">
        <v>0</v>
      </c>
      <c r="AV133" s="62">
        <v>0</v>
      </c>
      <c r="AW133" s="190">
        <f t="shared" si="425"/>
        <v>900000</v>
      </c>
      <c r="AX133" s="197">
        <f t="shared" ref="AX133:AX134" si="666">AW133/(AW$5+AW$6+AW$7+AW$8+AW$10+AW$9)</f>
        <v>1.1797501858008231E-2</v>
      </c>
      <c r="AY133" s="62">
        <v>100000</v>
      </c>
      <c r="AZ133" s="62">
        <v>100000</v>
      </c>
      <c r="BA133" s="62">
        <v>0</v>
      </c>
      <c r="BB133" s="62">
        <f>100000+500000</f>
        <v>600000</v>
      </c>
      <c r="BC133" s="62">
        <v>0</v>
      </c>
      <c r="BD133" s="62">
        <v>0</v>
      </c>
      <c r="BE133" s="62">
        <v>0</v>
      </c>
      <c r="BF133" s="62">
        <v>0</v>
      </c>
      <c r="BG133" s="62">
        <v>50000</v>
      </c>
      <c r="BH133" s="62">
        <v>50000</v>
      </c>
      <c r="BI133" s="62">
        <f>200000+50000+50000+200000</f>
        <v>500000</v>
      </c>
      <c r="BJ133" s="62">
        <v>0</v>
      </c>
      <c r="BK133" s="190">
        <f t="shared" si="426"/>
        <v>1400000</v>
      </c>
      <c r="BL133" s="197">
        <f t="shared" ref="BL133:BL134" si="667">BK133/(BK$5+BK$6+BK$7+BK$8+BK$10+BK$9)</f>
        <v>2.004609972917433E-2</v>
      </c>
      <c r="BM133" s="62">
        <f>50000</f>
        <v>50000</v>
      </c>
      <c r="BN133" s="62">
        <v>0</v>
      </c>
      <c r="BO133" s="62">
        <f>50000</f>
        <v>50000</v>
      </c>
      <c r="BP133" s="62">
        <v>0</v>
      </c>
      <c r="BQ133" s="62">
        <v>0</v>
      </c>
      <c r="BR133" s="62">
        <v>0</v>
      </c>
      <c r="BS133" s="62">
        <v>0</v>
      </c>
      <c r="BT133" s="62">
        <v>0</v>
      </c>
      <c r="BU133" s="62">
        <v>0</v>
      </c>
      <c r="BV133" s="62">
        <v>0</v>
      </c>
      <c r="BW133" s="62">
        <v>0</v>
      </c>
      <c r="BX133" s="62">
        <v>0</v>
      </c>
      <c r="BY133" s="190">
        <f t="shared" si="427"/>
        <v>100000</v>
      </c>
      <c r="BZ133" s="197">
        <f t="shared" ref="BZ133:BZ134" si="668">BY133/(BY$5+BY$6+BY$7+BY$8+BY$10+BY$9)</f>
        <v>2.2913239705253251E-3</v>
      </c>
      <c r="CA133" s="62">
        <v>0</v>
      </c>
      <c r="CB133" s="62">
        <v>0</v>
      </c>
      <c r="CC133" s="62">
        <v>0</v>
      </c>
      <c r="CD133" s="62">
        <v>0</v>
      </c>
      <c r="CE133" s="62">
        <v>0</v>
      </c>
      <c r="CF133" s="62">
        <v>0</v>
      </c>
      <c r="CG133" s="62">
        <v>0</v>
      </c>
      <c r="CH133" s="62">
        <v>0</v>
      </c>
      <c r="CI133" s="62">
        <v>0</v>
      </c>
      <c r="CJ133" s="62">
        <v>0</v>
      </c>
      <c r="CK133" s="62">
        <v>0</v>
      </c>
      <c r="CL133" s="62">
        <v>0</v>
      </c>
      <c r="CM133" s="190">
        <f t="shared" si="428"/>
        <v>0</v>
      </c>
      <c r="CN133" s="62">
        <v>0</v>
      </c>
      <c r="CO133" s="62">
        <v>0</v>
      </c>
      <c r="CP133" s="62">
        <v>0</v>
      </c>
      <c r="CQ133" s="62">
        <v>0</v>
      </c>
      <c r="CR133" s="62">
        <v>0</v>
      </c>
      <c r="CS133" s="62">
        <v>0</v>
      </c>
      <c r="CT133" s="62">
        <v>0</v>
      </c>
      <c r="CU133" s="62">
        <v>0</v>
      </c>
      <c r="CV133" s="62">
        <v>0</v>
      </c>
      <c r="CW133" s="62">
        <v>0</v>
      </c>
      <c r="CX133" s="62">
        <v>0</v>
      </c>
      <c r="CY133" s="62">
        <v>0</v>
      </c>
      <c r="CZ133" s="190">
        <f t="shared" si="429"/>
        <v>0</v>
      </c>
      <c r="DA133" s="62">
        <v>0</v>
      </c>
      <c r="DB133" s="62">
        <v>0</v>
      </c>
      <c r="DC133" s="62">
        <v>0</v>
      </c>
      <c r="DD133" s="62">
        <v>0</v>
      </c>
      <c r="DE133" s="62">
        <v>0</v>
      </c>
      <c r="DF133" s="62">
        <v>0</v>
      </c>
      <c r="DG133" s="62">
        <v>0</v>
      </c>
      <c r="DH133" s="62">
        <v>0</v>
      </c>
      <c r="DI133" s="62">
        <v>0</v>
      </c>
      <c r="DJ133" s="62">
        <v>0</v>
      </c>
      <c r="DK133" s="62">
        <v>0</v>
      </c>
      <c r="DL133" s="62">
        <v>0</v>
      </c>
      <c r="DM133" s="190">
        <f t="shared" si="430"/>
        <v>0</v>
      </c>
      <c r="DN133" s="62">
        <v>0</v>
      </c>
      <c r="DO133" s="62">
        <v>0</v>
      </c>
      <c r="DP133" s="62">
        <v>0</v>
      </c>
      <c r="DQ133" s="62">
        <v>0</v>
      </c>
      <c r="DR133" s="62">
        <v>0</v>
      </c>
      <c r="DS133" s="62">
        <v>0</v>
      </c>
      <c r="DT133" s="62">
        <v>0</v>
      </c>
      <c r="DU133" s="62">
        <v>0</v>
      </c>
      <c r="DV133" s="62">
        <v>0</v>
      </c>
      <c r="DW133" s="62">
        <v>0</v>
      </c>
      <c r="DX133" s="62">
        <v>0</v>
      </c>
      <c r="DY133" s="62">
        <v>0</v>
      </c>
      <c r="DZ133" s="190">
        <f t="shared" si="431"/>
        <v>0</v>
      </c>
    </row>
    <row r="134" spans="1:130" ht="20.45" customHeight="1" outlineLevel="2">
      <c r="A134" s="662"/>
      <c r="B134" s="637"/>
      <c r="C134" s="30" t="s">
        <v>375</v>
      </c>
      <c r="D134" s="62">
        <f t="shared" si="661"/>
        <v>177667.00000000003</v>
      </c>
      <c r="E134" s="184">
        <f t="shared" si="662"/>
        <v>5.4970229762516106E-4</v>
      </c>
      <c r="F134" s="62">
        <v>0</v>
      </c>
      <c r="G134" s="190">
        <f t="shared" si="433"/>
        <v>0</v>
      </c>
      <c r="H134" s="197">
        <f t="shared" si="663"/>
        <v>0</v>
      </c>
      <c r="I134" s="62">
        <v>0</v>
      </c>
      <c r="J134" s="62">
        <v>0</v>
      </c>
      <c r="K134" s="62">
        <v>0</v>
      </c>
      <c r="L134" s="62">
        <v>0</v>
      </c>
      <c r="M134" s="62">
        <v>0</v>
      </c>
      <c r="N134" s="62">
        <v>0</v>
      </c>
      <c r="O134" s="62">
        <v>0</v>
      </c>
      <c r="P134" s="62">
        <v>0</v>
      </c>
      <c r="Q134" s="62">
        <v>0</v>
      </c>
      <c r="R134" s="62">
        <v>0</v>
      </c>
      <c r="S134" s="62">
        <v>0</v>
      </c>
      <c r="T134" s="62">
        <v>177667</v>
      </c>
      <c r="U134" s="190">
        <f t="shared" si="423"/>
        <v>177667</v>
      </c>
      <c r="V134" s="197">
        <f t="shared" si="664"/>
        <v>3.202361384410313E-3</v>
      </c>
      <c r="W134" s="62">
        <v>0</v>
      </c>
      <c r="X134" s="62">
        <v>0</v>
      </c>
      <c r="Y134" s="62">
        <v>0</v>
      </c>
      <c r="Z134" s="62">
        <v>0</v>
      </c>
      <c r="AA134" s="62">
        <v>0</v>
      </c>
      <c r="AB134" s="62">
        <v>0</v>
      </c>
      <c r="AC134" s="62">
        <v>0</v>
      </c>
      <c r="AD134" s="62">
        <v>0</v>
      </c>
      <c r="AE134" s="62">
        <v>0</v>
      </c>
      <c r="AF134" s="62">
        <v>0</v>
      </c>
      <c r="AG134" s="62">
        <v>0</v>
      </c>
      <c r="AH134" s="62">
        <v>0</v>
      </c>
      <c r="AI134" s="190">
        <f t="shared" si="424"/>
        <v>0</v>
      </c>
      <c r="AJ134" s="197">
        <f t="shared" si="665"/>
        <v>0</v>
      </c>
      <c r="AK134" s="62">
        <v>0</v>
      </c>
      <c r="AL134" s="62">
        <v>0</v>
      </c>
      <c r="AM134" s="62">
        <v>0</v>
      </c>
      <c r="AN134" s="62">
        <v>0</v>
      </c>
      <c r="AO134" s="62">
        <v>0</v>
      </c>
      <c r="AP134" s="62">
        <v>0</v>
      </c>
      <c r="AQ134" s="62">
        <v>0</v>
      </c>
      <c r="AR134" s="62">
        <v>0</v>
      </c>
      <c r="AS134" s="62">
        <v>0</v>
      </c>
      <c r="AT134" s="62">
        <v>0</v>
      </c>
      <c r="AU134" s="62">
        <v>0</v>
      </c>
      <c r="AV134" s="62">
        <v>0</v>
      </c>
      <c r="AW134" s="190">
        <f t="shared" si="425"/>
        <v>0</v>
      </c>
      <c r="AX134" s="197">
        <f t="shared" si="666"/>
        <v>0</v>
      </c>
      <c r="AY134" s="62">
        <v>0</v>
      </c>
      <c r="AZ134" s="62">
        <v>0</v>
      </c>
      <c r="BA134" s="62">
        <v>0</v>
      </c>
      <c r="BB134" s="62">
        <v>0</v>
      </c>
      <c r="BC134" s="62">
        <v>0</v>
      </c>
      <c r="BD134" s="62">
        <v>0</v>
      </c>
      <c r="BE134" s="62">
        <v>0</v>
      </c>
      <c r="BF134" s="62">
        <v>0</v>
      </c>
      <c r="BG134" s="62">
        <v>0</v>
      </c>
      <c r="BH134" s="62">
        <v>0</v>
      </c>
      <c r="BI134" s="62">
        <v>0</v>
      </c>
      <c r="BJ134" s="62">
        <v>0</v>
      </c>
      <c r="BK134" s="190">
        <f t="shared" si="426"/>
        <v>0</v>
      </c>
      <c r="BL134" s="197">
        <f t="shared" si="667"/>
        <v>0</v>
      </c>
      <c r="BM134" s="62">
        <v>0</v>
      </c>
      <c r="BN134" s="62">
        <v>0</v>
      </c>
      <c r="BO134" s="62">
        <v>0</v>
      </c>
      <c r="BP134" s="62">
        <v>0</v>
      </c>
      <c r="BQ134" s="62">
        <v>0</v>
      </c>
      <c r="BR134" s="62">
        <v>0</v>
      </c>
      <c r="BS134" s="62">
        <v>0</v>
      </c>
      <c r="BT134" s="62">
        <v>0</v>
      </c>
      <c r="BU134" s="62">
        <v>0</v>
      </c>
      <c r="BV134" s="62">
        <v>0</v>
      </c>
      <c r="BW134" s="62">
        <v>0</v>
      </c>
      <c r="BX134" s="62">
        <v>0</v>
      </c>
      <c r="BY134" s="190">
        <f t="shared" si="427"/>
        <v>0</v>
      </c>
      <c r="BZ134" s="197">
        <f t="shared" si="668"/>
        <v>0</v>
      </c>
      <c r="CA134" s="62">
        <v>0</v>
      </c>
      <c r="CB134" s="62">
        <v>0</v>
      </c>
      <c r="CC134" s="62">
        <v>0</v>
      </c>
      <c r="CD134" s="62">
        <v>0</v>
      </c>
      <c r="CE134" s="62">
        <v>0</v>
      </c>
      <c r="CF134" s="62">
        <v>0</v>
      </c>
      <c r="CG134" s="62">
        <v>0</v>
      </c>
      <c r="CH134" s="62">
        <v>0</v>
      </c>
      <c r="CI134" s="62">
        <v>0</v>
      </c>
      <c r="CJ134" s="62">
        <v>0</v>
      </c>
      <c r="CK134" s="62">
        <v>0</v>
      </c>
      <c r="CL134" s="62">
        <v>0</v>
      </c>
      <c r="CM134" s="190">
        <f t="shared" si="428"/>
        <v>0</v>
      </c>
      <c r="CN134" s="62">
        <v>0</v>
      </c>
      <c r="CO134" s="62">
        <v>0</v>
      </c>
      <c r="CP134" s="62">
        <v>0</v>
      </c>
      <c r="CQ134" s="62">
        <v>0</v>
      </c>
      <c r="CR134" s="62">
        <v>0</v>
      </c>
      <c r="CS134" s="62">
        <v>0</v>
      </c>
      <c r="CT134" s="62">
        <v>0</v>
      </c>
      <c r="CU134" s="62">
        <v>0</v>
      </c>
      <c r="CV134" s="62">
        <v>0</v>
      </c>
      <c r="CW134" s="62">
        <v>0</v>
      </c>
      <c r="CX134" s="62">
        <v>0</v>
      </c>
      <c r="CY134" s="62">
        <v>0</v>
      </c>
      <c r="CZ134" s="190">
        <f t="shared" si="429"/>
        <v>0</v>
      </c>
      <c r="DA134" s="62">
        <v>0</v>
      </c>
      <c r="DB134" s="62">
        <v>0</v>
      </c>
      <c r="DC134" s="62">
        <v>0</v>
      </c>
      <c r="DD134" s="62">
        <v>0</v>
      </c>
      <c r="DE134" s="62">
        <v>0</v>
      </c>
      <c r="DF134" s="62">
        <v>0</v>
      </c>
      <c r="DG134" s="62">
        <v>0</v>
      </c>
      <c r="DH134" s="62">
        <v>0</v>
      </c>
      <c r="DI134" s="62">
        <v>0</v>
      </c>
      <c r="DJ134" s="62">
        <v>0</v>
      </c>
      <c r="DK134" s="62">
        <v>0</v>
      </c>
      <c r="DL134" s="62">
        <v>0</v>
      </c>
      <c r="DM134" s="190">
        <f t="shared" si="430"/>
        <v>0</v>
      </c>
      <c r="DN134" s="62">
        <v>0</v>
      </c>
      <c r="DO134" s="62">
        <v>0</v>
      </c>
      <c r="DP134" s="62">
        <v>0</v>
      </c>
      <c r="DQ134" s="62">
        <v>0</v>
      </c>
      <c r="DR134" s="62">
        <v>0</v>
      </c>
      <c r="DS134" s="62">
        <v>0</v>
      </c>
      <c r="DT134" s="62">
        <v>0</v>
      </c>
      <c r="DU134" s="62">
        <v>0</v>
      </c>
      <c r="DV134" s="62">
        <v>0</v>
      </c>
      <c r="DW134" s="62">
        <v>0</v>
      </c>
      <c r="DX134" s="62">
        <v>0</v>
      </c>
      <c r="DY134" s="62">
        <v>0</v>
      </c>
      <c r="DZ134" s="190">
        <f t="shared" si="431"/>
        <v>0</v>
      </c>
    </row>
    <row r="135" spans="1:130" s="194" customFormat="1" ht="20.45" customHeight="1" outlineLevel="1">
      <c r="A135" s="663"/>
      <c r="B135" s="645" t="s">
        <v>2630</v>
      </c>
      <c r="C135" s="65" t="s">
        <v>307</v>
      </c>
      <c r="D135" s="66">
        <f t="shared" si="661"/>
        <v>2686164.0000000009</v>
      </c>
      <c r="E135" s="187">
        <f>SUM(E136:E137)</f>
        <v>8.3110004817889271E-3</v>
      </c>
      <c r="F135" s="62">
        <f>SUM(F136:F137)</f>
        <v>0</v>
      </c>
      <c r="G135" s="190">
        <f t="shared" si="433"/>
        <v>0</v>
      </c>
      <c r="H135" s="196">
        <f>SUM(H136:H137)</f>
        <v>0</v>
      </c>
      <c r="I135" s="62">
        <f t="shared" ref="I135:DX135" si="669">SUM(I136:I137)</f>
        <v>0</v>
      </c>
      <c r="J135" s="62">
        <f t="shared" si="669"/>
        <v>0</v>
      </c>
      <c r="K135" s="62">
        <f t="shared" si="669"/>
        <v>0</v>
      </c>
      <c r="L135" s="62">
        <f t="shared" si="669"/>
        <v>0</v>
      </c>
      <c r="M135" s="62">
        <f t="shared" si="669"/>
        <v>0</v>
      </c>
      <c r="N135" s="62">
        <f t="shared" si="669"/>
        <v>0</v>
      </c>
      <c r="O135" s="62">
        <f t="shared" si="669"/>
        <v>0</v>
      </c>
      <c r="P135" s="62">
        <f t="shared" si="669"/>
        <v>0</v>
      </c>
      <c r="Q135" s="62">
        <f t="shared" si="669"/>
        <v>0</v>
      </c>
      <c r="R135" s="62">
        <f t="shared" si="669"/>
        <v>0</v>
      </c>
      <c r="S135" s="62">
        <f t="shared" si="669"/>
        <v>0</v>
      </c>
      <c r="T135" s="62">
        <f t="shared" si="669"/>
        <v>0</v>
      </c>
      <c r="U135" s="190">
        <f t="shared" si="423"/>
        <v>0</v>
      </c>
      <c r="V135" s="196">
        <f>SUM(V136:V137)</f>
        <v>0</v>
      </c>
      <c r="W135" s="62">
        <f t="shared" si="669"/>
        <v>0</v>
      </c>
      <c r="X135" s="62">
        <f t="shared" si="669"/>
        <v>0</v>
      </c>
      <c r="Y135" s="62">
        <f t="shared" si="669"/>
        <v>420040</v>
      </c>
      <c r="Z135" s="62">
        <f t="shared" si="669"/>
        <v>31500</v>
      </c>
      <c r="AA135" s="62">
        <f t="shared" si="669"/>
        <v>814032</v>
      </c>
      <c r="AB135" s="62">
        <f t="shared" si="669"/>
        <v>0</v>
      </c>
      <c r="AC135" s="62">
        <f t="shared" ref="AC135:AF135" si="670">SUM(AC136:AC137)</f>
        <v>0</v>
      </c>
      <c r="AD135" s="62">
        <f t="shared" si="670"/>
        <v>0</v>
      </c>
      <c r="AE135" s="62">
        <f t="shared" si="670"/>
        <v>0</v>
      </c>
      <c r="AF135" s="62">
        <f t="shared" si="670"/>
        <v>22500</v>
      </c>
      <c r="AG135" s="62">
        <f t="shared" si="669"/>
        <v>0</v>
      </c>
      <c r="AH135" s="62">
        <f t="shared" si="669"/>
        <v>0</v>
      </c>
      <c r="AI135" s="190">
        <f t="shared" si="424"/>
        <v>1288072</v>
      </c>
      <c r="AJ135" s="196">
        <f>SUM(AJ136:AJ137)</f>
        <v>1.7506044072373005E-2</v>
      </c>
      <c r="AK135" s="62">
        <f t="shared" ref="AK135:AV135" si="671">SUM(AK136:AK137)</f>
        <v>28900</v>
      </c>
      <c r="AL135" s="62">
        <f t="shared" si="671"/>
        <v>0</v>
      </c>
      <c r="AM135" s="62">
        <f t="shared" si="671"/>
        <v>0</v>
      </c>
      <c r="AN135" s="62">
        <f t="shared" si="671"/>
        <v>0</v>
      </c>
      <c r="AO135" s="62">
        <f t="shared" si="671"/>
        <v>0</v>
      </c>
      <c r="AP135" s="62">
        <f t="shared" si="671"/>
        <v>0</v>
      </c>
      <c r="AQ135" s="62">
        <f t="shared" si="671"/>
        <v>0</v>
      </c>
      <c r="AR135" s="62">
        <f t="shared" si="671"/>
        <v>0</v>
      </c>
      <c r="AS135" s="62">
        <f t="shared" si="671"/>
        <v>0</v>
      </c>
      <c r="AT135" s="62">
        <f t="shared" si="671"/>
        <v>0</v>
      </c>
      <c r="AU135" s="62">
        <f t="shared" si="671"/>
        <v>1315592</v>
      </c>
      <c r="AV135" s="62">
        <f t="shared" si="671"/>
        <v>0</v>
      </c>
      <c r="AW135" s="190">
        <f t="shared" si="425"/>
        <v>1344492</v>
      </c>
      <c r="AX135" s="196">
        <f>SUM(AX136:AX137)</f>
        <v>1.7624052075641335E-2</v>
      </c>
      <c r="AY135" s="62">
        <f t="shared" ref="AY135:BJ135" si="672">SUM(AY136:AY137)</f>
        <v>0</v>
      </c>
      <c r="AZ135" s="62">
        <f t="shared" si="672"/>
        <v>0</v>
      </c>
      <c r="BA135" s="62">
        <f t="shared" si="672"/>
        <v>0</v>
      </c>
      <c r="BB135" s="62">
        <f t="shared" si="672"/>
        <v>0</v>
      </c>
      <c r="BC135" s="62">
        <f t="shared" si="672"/>
        <v>0</v>
      </c>
      <c r="BD135" s="62">
        <f t="shared" si="672"/>
        <v>0</v>
      </c>
      <c r="BE135" s="62">
        <f t="shared" si="672"/>
        <v>0</v>
      </c>
      <c r="BF135" s="62">
        <f t="shared" si="672"/>
        <v>0</v>
      </c>
      <c r="BG135" s="62">
        <f t="shared" si="672"/>
        <v>0</v>
      </c>
      <c r="BH135" s="62">
        <f t="shared" si="672"/>
        <v>21200</v>
      </c>
      <c r="BI135" s="62">
        <f t="shared" si="672"/>
        <v>32400</v>
      </c>
      <c r="BJ135" s="62">
        <f t="shared" si="672"/>
        <v>0</v>
      </c>
      <c r="BK135" s="190">
        <f t="shared" si="426"/>
        <v>53600</v>
      </c>
      <c r="BL135" s="196">
        <f>SUM(BL136:BL137)</f>
        <v>7.6747924677410284E-4</v>
      </c>
      <c r="BM135" s="62">
        <f t="shared" ref="BM135:BX135" si="673">SUM(BM136:BM137)</f>
        <v>0</v>
      </c>
      <c r="BN135" s="62">
        <f t="shared" si="673"/>
        <v>0</v>
      </c>
      <c r="BO135" s="62">
        <f t="shared" si="673"/>
        <v>0</v>
      </c>
      <c r="BP135" s="62">
        <f t="shared" si="673"/>
        <v>0</v>
      </c>
      <c r="BQ135" s="62">
        <f t="shared" si="673"/>
        <v>0</v>
      </c>
      <c r="BR135" s="62">
        <f t="shared" si="673"/>
        <v>0</v>
      </c>
      <c r="BS135" s="62">
        <f t="shared" si="673"/>
        <v>0</v>
      </c>
      <c r="BT135" s="62">
        <f t="shared" si="673"/>
        <v>0</v>
      </c>
      <c r="BU135" s="62">
        <f t="shared" si="673"/>
        <v>0</v>
      </c>
      <c r="BV135" s="62">
        <f t="shared" si="673"/>
        <v>0</v>
      </c>
      <c r="BW135" s="62">
        <f t="shared" si="673"/>
        <v>0</v>
      </c>
      <c r="BX135" s="62">
        <f t="shared" si="673"/>
        <v>0</v>
      </c>
      <c r="BY135" s="190">
        <f t="shared" si="427"/>
        <v>0</v>
      </c>
      <c r="BZ135" s="196">
        <f>SUM(BZ136:BZ137)</f>
        <v>0</v>
      </c>
      <c r="CA135" s="62">
        <f t="shared" ref="CA135:CL135" si="674">SUM(CA136:CA137)</f>
        <v>0</v>
      </c>
      <c r="CB135" s="62">
        <f t="shared" si="674"/>
        <v>0</v>
      </c>
      <c r="CC135" s="62">
        <f t="shared" si="674"/>
        <v>0</v>
      </c>
      <c r="CD135" s="62">
        <f t="shared" si="674"/>
        <v>0</v>
      </c>
      <c r="CE135" s="62">
        <f t="shared" si="674"/>
        <v>0</v>
      </c>
      <c r="CF135" s="62">
        <f t="shared" si="674"/>
        <v>0</v>
      </c>
      <c r="CG135" s="62">
        <f t="shared" si="674"/>
        <v>0</v>
      </c>
      <c r="CH135" s="62">
        <f t="shared" si="674"/>
        <v>0</v>
      </c>
      <c r="CI135" s="62">
        <f t="shared" si="674"/>
        <v>0</v>
      </c>
      <c r="CJ135" s="62">
        <f t="shared" si="674"/>
        <v>0</v>
      </c>
      <c r="CK135" s="62">
        <f t="shared" si="674"/>
        <v>0</v>
      </c>
      <c r="CL135" s="62">
        <f t="shared" si="674"/>
        <v>0</v>
      </c>
      <c r="CM135" s="190">
        <f t="shared" si="428"/>
        <v>0</v>
      </c>
      <c r="CN135" s="62">
        <f t="shared" ref="CN135:CY135" si="675">SUM(CN136:CN137)</f>
        <v>0</v>
      </c>
      <c r="CO135" s="62">
        <f t="shared" si="675"/>
        <v>0</v>
      </c>
      <c r="CP135" s="62">
        <f t="shared" si="675"/>
        <v>0</v>
      </c>
      <c r="CQ135" s="62">
        <f t="shared" si="675"/>
        <v>0</v>
      </c>
      <c r="CR135" s="62">
        <f t="shared" si="675"/>
        <v>0</v>
      </c>
      <c r="CS135" s="62">
        <f t="shared" si="675"/>
        <v>0</v>
      </c>
      <c r="CT135" s="62">
        <f t="shared" si="675"/>
        <v>0</v>
      </c>
      <c r="CU135" s="62">
        <f t="shared" si="675"/>
        <v>0</v>
      </c>
      <c r="CV135" s="62">
        <f t="shared" si="675"/>
        <v>0</v>
      </c>
      <c r="CW135" s="62">
        <f t="shared" si="675"/>
        <v>0</v>
      </c>
      <c r="CX135" s="62">
        <f t="shared" si="675"/>
        <v>0</v>
      </c>
      <c r="CY135" s="62">
        <f t="shared" si="675"/>
        <v>0</v>
      </c>
      <c r="CZ135" s="190">
        <f t="shared" si="429"/>
        <v>0</v>
      </c>
      <c r="DA135" s="62">
        <f t="shared" ref="DA135:DL135" si="676">SUM(DA136:DA137)</f>
        <v>0</v>
      </c>
      <c r="DB135" s="62">
        <f t="shared" si="676"/>
        <v>0</v>
      </c>
      <c r="DC135" s="62">
        <f t="shared" si="676"/>
        <v>0</v>
      </c>
      <c r="DD135" s="62">
        <f t="shared" si="676"/>
        <v>0</v>
      </c>
      <c r="DE135" s="62">
        <f t="shared" si="676"/>
        <v>0</v>
      </c>
      <c r="DF135" s="62">
        <f t="shared" si="676"/>
        <v>0</v>
      </c>
      <c r="DG135" s="62">
        <f t="shared" si="676"/>
        <v>0</v>
      </c>
      <c r="DH135" s="62">
        <f t="shared" si="676"/>
        <v>0</v>
      </c>
      <c r="DI135" s="62">
        <f t="shared" si="676"/>
        <v>0</v>
      </c>
      <c r="DJ135" s="62">
        <f t="shared" si="676"/>
        <v>0</v>
      </c>
      <c r="DK135" s="62">
        <f t="shared" si="676"/>
        <v>0</v>
      </c>
      <c r="DL135" s="62">
        <f t="shared" si="676"/>
        <v>0</v>
      </c>
      <c r="DM135" s="190">
        <f t="shared" si="430"/>
        <v>0</v>
      </c>
      <c r="DN135" s="62">
        <f t="shared" ref="DN135:DQ135" si="677">SUM(DN136:DN137)</f>
        <v>0</v>
      </c>
      <c r="DO135" s="62">
        <f t="shared" si="677"/>
        <v>0</v>
      </c>
      <c r="DP135" s="62">
        <f t="shared" si="677"/>
        <v>0</v>
      </c>
      <c r="DQ135" s="62">
        <f t="shared" si="677"/>
        <v>0</v>
      </c>
      <c r="DR135" s="62">
        <f t="shared" ref="DR135:DU135" si="678">SUM(DR136:DR137)</f>
        <v>0</v>
      </c>
      <c r="DS135" s="62">
        <f t="shared" si="678"/>
        <v>0</v>
      </c>
      <c r="DT135" s="62">
        <f t="shared" si="678"/>
        <v>0</v>
      </c>
      <c r="DU135" s="62">
        <f t="shared" si="678"/>
        <v>0</v>
      </c>
      <c r="DV135" s="62">
        <f t="shared" ref="DV135:DW135" si="679">SUM(DV136:DV137)</f>
        <v>0</v>
      </c>
      <c r="DW135" s="62">
        <f t="shared" si="679"/>
        <v>0</v>
      </c>
      <c r="DX135" s="62">
        <f t="shared" si="669"/>
        <v>0</v>
      </c>
      <c r="DY135" s="62">
        <f t="shared" ref="DY135" si="680">SUM(DY136:DY137)</f>
        <v>0</v>
      </c>
      <c r="DZ135" s="190">
        <f t="shared" si="431"/>
        <v>0</v>
      </c>
    </row>
    <row r="136" spans="1:130" ht="20.45" customHeight="1" outlineLevel="2">
      <c r="A136" s="663"/>
      <c r="B136" s="636"/>
      <c r="C136" s="30" t="s">
        <v>2631</v>
      </c>
      <c r="D136" s="62">
        <f t="shared" si="661"/>
        <v>2580964.0000000005</v>
      </c>
      <c r="E136" s="184">
        <f t="shared" ref="E136:E137" si="681">D136/(D$5+D$6+D$7+D$8+D$10+D$9)</f>
        <v>7.9855113267394973E-3</v>
      </c>
      <c r="F136" s="62">
        <v>0</v>
      </c>
      <c r="G136" s="190">
        <f t="shared" si="433"/>
        <v>0</v>
      </c>
      <c r="H136" s="197">
        <f t="shared" ref="H136:H137" si="682">G136/(G$5+G$6+G$7+G$8+G$10+G$9)</f>
        <v>0</v>
      </c>
      <c r="I136" s="62">
        <v>0</v>
      </c>
      <c r="J136" s="62">
        <v>0</v>
      </c>
      <c r="K136" s="62">
        <v>0</v>
      </c>
      <c r="L136" s="62">
        <v>0</v>
      </c>
      <c r="M136" s="62">
        <v>0</v>
      </c>
      <c r="N136" s="62">
        <v>0</v>
      </c>
      <c r="O136" s="62">
        <v>0</v>
      </c>
      <c r="P136" s="62">
        <v>0</v>
      </c>
      <c r="Q136" s="62">
        <v>0</v>
      </c>
      <c r="R136" s="62">
        <v>0</v>
      </c>
      <c r="S136" s="62">
        <v>0</v>
      </c>
      <c r="T136" s="62">
        <v>0</v>
      </c>
      <c r="U136" s="190">
        <f t="shared" si="423"/>
        <v>0</v>
      </c>
      <c r="V136" s="197">
        <f t="shared" ref="V136:V137" si="683">U136/(U$5+U$6+U$7+U$8+U$10+U$9)</f>
        <v>0</v>
      </c>
      <c r="W136" s="62">
        <v>0</v>
      </c>
      <c r="X136" s="62">
        <v>0</v>
      </c>
      <c r="Y136" s="62">
        <v>420040</v>
      </c>
      <c r="Z136" s="62">
        <v>31500</v>
      </c>
      <c r="AA136" s="62">
        <f>812032-82000</f>
        <v>730032</v>
      </c>
      <c r="AB136" s="62">
        <v>0</v>
      </c>
      <c r="AC136" s="62">
        <v>0</v>
      </c>
      <c r="AD136" s="62">
        <v>0</v>
      </c>
      <c r="AE136" s="62">
        <v>0</v>
      </c>
      <c r="AF136" s="62">
        <v>22500</v>
      </c>
      <c r="AG136" s="62">
        <v>0</v>
      </c>
      <c r="AH136" s="62">
        <v>0</v>
      </c>
      <c r="AI136" s="190">
        <f t="shared" si="424"/>
        <v>1204072</v>
      </c>
      <c r="AJ136" s="197">
        <f t="shared" ref="AJ136:AJ137" si="684">AI136/(AI$5+AI$6+AI$7+AI$8+AI$10+AI$9)</f>
        <v>1.6364409364003185E-2</v>
      </c>
      <c r="AK136" s="62">
        <f>3200+22500+3200</f>
        <v>28900</v>
      </c>
      <c r="AL136" s="62">
        <v>0</v>
      </c>
      <c r="AM136" s="62">
        <v>0</v>
      </c>
      <c r="AN136" s="62">
        <v>0</v>
      </c>
      <c r="AO136" s="62">
        <v>0</v>
      </c>
      <c r="AP136" s="62">
        <v>0</v>
      </c>
      <c r="AQ136" s="62">
        <v>0</v>
      </c>
      <c r="AR136" s="62">
        <v>0</v>
      </c>
      <c r="AS136" s="62">
        <v>0</v>
      </c>
      <c r="AT136" s="62">
        <v>0</v>
      </c>
      <c r="AU136" s="62">
        <f>751420+1447+228537+12682+34892+3200+3200+27000+526221-273007</f>
        <v>1315592</v>
      </c>
      <c r="AV136" s="62">
        <v>0</v>
      </c>
      <c r="AW136" s="190">
        <f t="shared" si="425"/>
        <v>1344492</v>
      </c>
      <c r="AX136" s="197">
        <f t="shared" ref="AX136:AX137" si="685">AW136/(AW$5+AW$6+AW$7+AW$8+AW$10+AW$9)</f>
        <v>1.7624052075641335E-2</v>
      </c>
      <c r="AY136" s="62">
        <v>0</v>
      </c>
      <c r="AZ136" s="62">
        <v>0</v>
      </c>
      <c r="BA136" s="62">
        <v>0</v>
      </c>
      <c r="BB136" s="62">
        <v>0</v>
      </c>
      <c r="BC136" s="62">
        <v>0</v>
      </c>
      <c r="BD136" s="62">
        <v>0</v>
      </c>
      <c r="BE136" s="62">
        <v>0</v>
      </c>
      <c r="BF136" s="62">
        <v>0</v>
      </c>
      <c r="BG136" s="62">
        <v>0</v>
      </c>
      <c r="BH136" s="62">
        <v>0</v>
      </c>
      <c r="BI136" s="62">
        <f>6400+26000</f>
        <v>32400</v>
      </c>
      <c r="BJ136" s="62">
        <v>0</v>
      </c>
      <c r="BK136" s="190">
        <f t="shared" si="426"/>
        <v>32400</v>
      </c>
      <c r="BL136" s="197">
        <f t="shared" ref="BL136:BL137" si="686">BK136/(BK$5+BK$6+BK$7+BK$8+BK$10+BK$9)</f>
        <v>4.6392402230374874E-4</v>
      </c>
      <c r="BM136" s="62">
        <v>0</v>
      </c>
      <c r="BN136" s="62">
        <v>0</v>
      </c>
      <c r="BO136" s="62">
        <v>0</v>
      </c>
      <c r="BP136" s="62">
        <v>0</v>
      </c>
      <c r="BQ136" s="62">
        <v>0</v>
      </c>
      <c r="BR136" s="62">
        <v>0</v>
      </c>
      <c r="BS136" s="62">
        <v>0</v>
      </c>
      <c r="BT136" s="62">
        <v>0</v>
      </c>
      <c r="BU136" s="62">
        <v>0</v>
      </c>
      <c r="BV136" s="62">
        <v>0</v>
      </c>
      <c r="BW136" s="62">
        <v>0</v>
      </c>
      <c r="BX136" s="62">
        <v>0</v>
      </c>
      <c r="BY136" s="190">
        <f t="shared" si="427"/>
        <v>0</v>
      </c>
      <c r="BZ136" s="197">
        <f t="shared" ref="BZ136:BZ137" si="687">BY136/(BY$5+BY$6+BY$7+BY$8+BY$10+BY$9)</f>
        <v>0</v>
      </c>
      <c r="CA136" s="62">
        <v>0</v>
      </c>
      <c r="CB136" s="62">
        <v>0</v>
      </c>
      <c r="CC136" s="62">
        <v>0</v>
      </c>
      <c r="CD136" s="62">
        <v>0</v>
      </c>
      <c r="CE136" s="62">
        <v>0</v>
      </c>
      <c r="CF136" s="62">
        <v>0</v>
      </c>
      <c r="CG136" s="62">
        <v>0</v>
      </c>
      <c r="CH136" s="62">
        <v>0</v>
      </c>
      <c r="CI136" s="62">
        <v>0</v>
      </c>
      <c r="CJ136" s="62">
        <v>0</v>
      </c>
      <c r="CK136" s="62">
        <v>0</v>
      </c>
      <c r="CL136" s="62">
        <v>0</v>
      </c>
      <c r="CM136" s="190">
        <f t="shared" si="428"/>
        <v>0</v>
      </c>
      <c r="CN136" s="62">
        <v>0</v>
      </c>
      <c r="CO136" s="62">
        <v>0</v>
      </c>
      <c r="CP136" s="62">
        <v>0</v>
      </c>
      <c r="CQ136" s="62">
        <v>0</v>
      </c>
      <c r="CR136" s="62">
        <v>0</v>
      </c>
      <c r="CS136" s="62">
        <v>0</v>
      </c>
      <c r="CT136" s="62">
        <v>0</v>
      </c>
      <c r="CU136" s="62">
        <v>0</v>
      </c>
      <c r="CV136" s="62">
        <v>0</v>
      </c>
      <c r="CW136" s="62">
        <v>0</v>
      </c>
      <c r="CX136" s="62">
        <v>0</v>
      </c>
      <c r="CY136" s="62">
        <v>0</v>
      </c>
      <c r="CZ136" s="190">
        <f t="shared" si="429"/>
        <v>0</v>
      </c>
      <c r="DA136" s="62">
        <v>0</v>
      </c>
      <c r="DB136" s="62">
        <v>0</v>
      </c>
      <c r="DC136" s="62">
        <v>0</v>
      </c>
      <c r="DD136" s="62">
        <v>0</v>
      </c>
      <c r="DE136" s="62">
        <v>0</v>
      </c>
      <c r="DF136" s="62">
        <v>0</v>
      </c>
      <c r="DG136" s="62">
        <v>0</v>
      </c>
      <c r="DH136" s="62">
        <v>0</v>
      </c>
      <c r="DI136" s="62">
        <v>0</v>
      </c>
      <c r="DJ136" s="62">
        <v>0</v>
      </c>
      <c r="DK136" s="62">
        <v>0</v>
      </c>
      <c r="DL136" s="62">
        <v>0</v>
      </c>
      <c r="DM136" s="190">
        <f t="shared" si="430"/>
        <v>0</v>
      </c>
      <c r="DN136" s="62">
        <v>0</v>
      </c>
      <c r="DO136" s="62">
        <v>0</v>
      </c>
      <c r="DP136" s="62">
        <v>0</v>
      </c>
      <c r="DQ136" s="62">
        <v>0</v>
      </c>
      <c r="DR136" s="62">
        <v>0</v>
      </c>
      <c r="DS136" s="62">
        <v>0</v>
      </c>
      <c r="DT136" s="62">
        <v>0</v>
      </c>
      <c r="DU136" s="62">
        <v>0</v>
      </c>
      <c r="DV136" s="62">
        <v>0</v>
      </c>
      <c r="DW136" s="62">
        <v>0</v>
      </c>
      <c r="DX136" s="62">
        <v>0</v>
      </c>
      <c r="DY136" s="62">
        <v>0</v>
      </c>
      <c r="DZ136" s="190">
        <f t="shared" si="431"/>
        <v>0</v>
      </c>
    </row>
    <row r="137" spans="1:130" ht="20.45" customHeight="1" outlineLevel="2">
      <c r="A137" s="663"/>
      <c r="B137" s="646"/>
      <c r="C137" s="30" t="s">
        <v>2632</v>
      </c>
      <c r="D137" s="62">
        <f t="shared" si="661"/>
        <v>105200</v>
      </c>
      <c r="E137" s="184">
        <f t="shared" si="681"/>
        <v>3.2548915504942917E-4</v>
      </c>
      <c r="F137" s="62">
        <v>0</v>
      </c>
      <c r="G137" s="190">
        <f t="shared" si="433"/>
        <v>0</v>
      </c>
      <c r="H137" s="197">
        <f t="shared" si="682"/>
        <v>0</v>
      </c>
      <c r="I137" s="62">
        <v>0</v>
      </c>
      <c r="J137" s="62">
        <v>0</v>
      </c>
      <c r="K137" s="62">
        <v>0</v>
      </c>
      <c r="L137" s="62">
        <v>0</v>
      </c>
      <c r="M137" s="62">
        <v>0</v>
      </c>
      <c r="N137" s="62">
        <v>0</v>
      </c>
      <c r="O137" s="62">
        <v>0</v>
      </c>
      <c r="P137" s="62">
        <v>0</v>
      </c>
      <c r="Q137" s="62">
        <v>0</v>
      </c>
      <c r="R137" s="62">
        <v>0</v>
      </c>
      <c r="S137" s="62">
        <v>0</v>
      </c>
      <c r="T137" s="62">
        <v>0</v>
      </c>
      <c r="U137" s="190">
        <f t="shared" si="423"/>
        <v>0</v>
      </c>
      <c r="V137" s="197">
        <f t="shared" si="683"/>
        <v>0</v>
      </c>
      <c r="W137" s="62">
        <v>0</v>
      </c>
      <c r="X137" s="62">
        <v>0</v>
      </c>
      <c r="Y137" s="62">
        <v>0</v>
      </c>
      <c r="Z137" s="62">
        <v>0</v>
      </c>
      <c r="AA137" s="62">
        <v>84000</v>
      </c>
      <c r="AB137" s="62">
        <v>0</v>
      </c>
      <c r="AC137" s="62">
        <v>0</v>
      </c>
      <c r="AD137" s="62">
        <v>0</v>
      </c>
      <c r="AE137" s="62">
        <v>0</v>
      </c>
      <c r="AF137" s="62">
        <v>0</v>
      </c>
      <c r="AG137" s="62">
        <v>0</v>
      </c>
      <c r="AH137" s="62">
        <v>0</v>
      </c>
      <c r="AI137" s="190">
        <f t="shared" si="424"/>
        <v>84000</v>
      </c>
      <c r="AJ137" s="197">
        <f t="shared" si="684"/>
        <v>1.1416347083698214E-3</v>
      </c>
      <c r="AK137" s="62">
        <v>0</v>
      </c>
      <c r="AL137" s="62">
        <v>0</v>
      </c>
      <c r="AM137" s="62">
        <v>0</v>
      </c>
      <c r="AN137" s="62">
        <v>0</v>
      </c>
      <c r="AO137" s="62">
        <v>0</v>
      </c>
      <c r="AP137" s="62">
        <v>0</v>
      </c>
      <c r="AQ137" s="62">
        <v>0</v>
      </c>
      <c r="AR137" s="62">
        <v>0</v>
      </c>
      <c r="AS137" s="62">
        <v>0</v>
      </c>
      <c r="AT137" s="62">
        <v>0</v>
      </c>
      <c r="AU137" s="62">
        <v>0</v>
      </c>
      <c r="AV137" s="62">
        <v>0</v>
      </c>
      <c r="AW137" s="190">
        <f t="shared" si="425"/>
        <v>0</v>
      </c>
      <c r="AX137" s="197">
        <f t="shared" si="685"/>
        <v>0</v>
      </c>
      <c r="AY137" s="62">
        <v>0</v>
      </c>
      <c r="AZ137" s="62">
        <v>0</v>
      </c>
      <c r="BA137" s="62">
        <v>0</v>
      </c>
      <c r="BB137" s="62">
        <v>0</v>
      </c>
      <c r="BC137" s="62">
        <v>0</v>
      </c>
      <c r="BD137" s="62">
        <v>0</v>
      </c>
      <c r="BE137" s="62">
        <v>0</v>
      </c>
      <c r="BF137" s="62">
        <v>0</v>
      </c>
      <c r="BG137" s="62">
        <v>0</v>
      </c>
      <c r="BH137" s="62">
        <f>51700-51700+21200</f>
        <v>21200</v>
      </c>
      <c r="BI137" s="62">
        <v>0</v>
      </c>
      <c r="BJ137" s="62">
        <v>0</v>
      </c>
      <c r="BK137" s="190">
        <f t="shared" si="426"/>
        <v>21200</v>
      </c>
      <c r="BL137" s="197">
        <f t="shared" si="686"/>
        <v>3.0355522447035415E-4</v>
      </c>
      <c r="BM137" s="62">
        <v>0</v>
      </c>
      <c r="BN137" s="62">
        <v>0</v>
      </c>
      <c r="BO137" s="62">
        <v>0</v>
      </c>
      <c r="BP137" s="62">
        <v>0</v>
      </c>
      <c r="BQ137" s="62">
        <v>0</v>
      </c>
      <c r="BR137" s="62">
        <v>0</v>
      </c>
      <c r="BS137" s="62">
        <v>0</v>
      </c>
      <c r="BT137" s="62">
        <v>0</v>
      </c>
      <c r="BU137" s="62">
        <v>0</v>
      </c>
      <c r="BV137" s="62">
        <v>0</v>
      </c>
      <c r="BW137" s="62">
        <v>0</v>
      </c>
      <c r="BX137" s="62">
        <v>0</v>
      </c>
      <c r="BY137" s="190">
        <f t="shared" si="427"/>
        <v>0</v>
      </c>
      <c r="BZ137" s="197">
        <f t="shared" si="687"/>
        <v>0</v>
      </c>
      <c r="CA137" s="62">
        <v>0</v>
      </c>
      <c r="CB137" s="62">
        <v>0</v>
      </c>
      <c r="CC137" s="62">
        <v>0</v>
      </c>
      <c r="CD137" s="62">
        <v>0</v>
      </c>
      <c r="CE137" s="62">
        <v>0</v>
      </c>
      <c r="CF137" s="62">
        <v>0</v>
      </c>
      <c r="CG137" s="62">
        <v>0</v>
      </c>
      <c r="CH137" s="62">
        <v>0</v>
      </c>
      <c r="CI137" s="62">
        <v>0</v>
      </c>
      <c r="CJ137" s="62">
        <v>0</v>
      </c>
      <c r="CK137" s="62">
        <v>0</v>
      </c>
      <c r="CL137" s="62">
        <v>0</v>
      </c>
      <c r="CM137" s="190">
        <f t="shared" si="428"/>
        <v>0</v>
      </c>
      <c r="CN137" s="62">
        <v>0</v>
      </c>
      <c r="CO137" s="62">
        <v>0</v>
      </c>
      <c r="CP137" s="62">
        <v>0</v>
      </c>
      <c r="CQ137" s="62">
        <v>0</v>
      </c>
      <c r="CR137" s="62">
        <v>0</v>
      </c>
      <c r="CS137" s="62">
        <v>0</v>
      </c>
      <c r="CT137" s="62">
        <v>0</v>
      </c>
      <c r="CU137" s="62">
        <v>0</v>
      </c>
      <c r="CV137" s="62">
        <v>0</v>
      </c>
      <c r="CW137" s="62">
        <v>0</v>
      </c>
      <c r="CX137" s="62">
        <v>0</v>
      </c>
      <c r="CY137" s="62">
        <v>0</v>
      </c>
      <c r="CZ137" s="190">
        <f t="shared" si="429"/>
        <v>0</v>
      </c>
      <c r="DA137" s="62">
        <v>0</v>
      </c>
      <c r="DB137" s="62">
        <v>0</v>
      </c>
      <c r="DC137" s="62">
        <v>0</v>
      </c>
      <c r="DD137" s="62">
        <v>0</v>
      </c>
      <c r="DE137" s="62">
        <v>0</v>
      </c>
      <c r="DF137" s="62">
        <v>0</v>
      </c>
      <c r="DG137" s="62">
        <v>0</v>
      </c>
      <c r="DH137" s="62">
        <v>0</v>
      </c>
      <c r="DI137" s="62">
        <v>0</v>
      </c>
      <c r="DJ137" s="62">
        <v>0</v>
      </c>
      <c r="DK137" s="62">
        <v>0</v>
      </c>
      <c r="DL137" s="62">
        <v>0</v>
      </c>
      <c r="DM137" s="190">
        <f t="shared" si="430"/>
        <v>0</v>
      </c>
      <c r="DN137" s="62">
        <v>0</v>
      </c>
      <c r="DO137" s="62">
        <v>0</v>
      </c>
      <c r="DP137" s="62">
        <v>0</v>
      </c>
      <c r="DQ137" s="62">
        <v>0</v>
      </c>
      <c r="DR137" s="62">
        <v>0</v>
      </c>
      <c r="DS137" s="62">
        <v>0</v>
      </c>
      <c r="DT137" s="62">
        <v>0</v>
      </c>
      <c r="DU137" s="62">
        <v>0</v>
      </c>
      <c r="DV137" s="62">
        <v>0</v>
      </c>
      <c r="DW137" s="62">
        <v>0</v>
      </c>
      <c r="DX137" s="62">
        <v>0</v>
      </c>
      <c r="DY137" s="62">
        <v>0</v>
      </c>
      <c r="DZ137" s="190">
        <f t="shared" si="431"/>
        <v>0</v>
      </c>
    </row>
    <row r="138" spans="1:130" s="194" customFormat="1" ht="20.45" customHeight="1" outlineLevel="1">
      <c r="A138" s="662"/>
      <c r="B138" s="645" t="s">
        <v>376</v>
      </c>
      <c r="C138" s="65" t="s">
        <v>307</v>
      </c>
      <c r="D138" s="66">
        <f t="shared" si="661"/>
        <v>10955638.000000002</v>
      </c>
      <c r="E138" s="187">
        <f>SUM(E139:E144)</f>
        <v>3.3896780947218798E-2</v>
      </c>
      <c r="F138" s="62">
        <f>SUM(F139:F144)</f>
        <v>35000</v>
      </c>
      <c r="G138" s="190">
        <f t="shared" si="433"/>
        <v>35000</v>
      </c>
      <c r="H138" s="196">
        <f t="shared" ref="H138:T138" si="688">SUM(H139:H144)</f>
        <v>7.9946915248275147E-3</v>
      </c>
      <c r="I138" s="62">
        <f t="shared" si="688"/>
        <v>0</v>
      </c>
      <c r="J138" s="62">
        <f t="shared" si="688"/>
        <v>0</v>
      </c>
      <c r="K138" s="62">
        <f t="shared" si="688"/>
        <v>0</v>
      </c>
      <c r="L138" s="62">
        <f t="shared" si="688"/>
        <v>155000</v>
      </c>
      <c r="M138" s="62">
        <f t="shared" si="688"/>
        <v>74000</v>
      </c>
      <c r="N138" s="62">
        <f t="shared" si="688"/>
        <v>0</v>
      </c>
      <c r="O138" s="62">
        <f t="shared" si="688"/>
        <v>0</v>
      </c>
      <c r="P138" s="62">
        <f t="shared" si="688"/>
        <v>10000</v>
      </c>
      <c r="Q138" s="62">
        <f t="shared" si="688"/>
        <v>5000</v>
      </c>
      <c r="R138" s="62">
        <f t="shared" si="688"/>
        <v>0</v>
      </c>
      <c r="S138" s="62">
        <f t="shared" si="688"/>
        <v>20250</v>
      </c>
      <c r="T138" s="62">
        <f t="shared" si="688"/>
        <v>30400</v>
      </c>
      <c r="U138" s="190">
        <f t="shared" si="423"/>
        <v>294650</v>
      </c>
      <c r="V138" s="196">
        <f t="shared" ref="V138" si="689">SUM(V139:V144)</f>
        <v>5.3109231422633282E-3</v>
      </c>
      <c r="W138" s="62">
        <f t="shared" ref="W138:AH138" si="690">SUM(W139:W144)</f>
        <v>35000</v>
      </c>
      <c r="X138" s="62">
        <f t="shared" si="690"/>
        <v>0</v>
      </c>
      <c r="Y138" s="62">
        <f t="shared" si="690"/>
        <v>0</v>
      </c>
      <c r="Z138" s="62">
        <f t="shared" si="690"/>
        <v>5000</v>
      </c>
      <c r="AA138" s="62">
        <f t="shared" si="690"/>
        <v>0</v>
      </c>
      <c r="AB138" s="62">
        <f t="shared" si="690"/>
        <v>0</v>
      </c>
      <c r="AC138" s="62">
        <f t="shared" si="690"/>
        <v>6500000</v>
      </c>
      <c r="AD138" s="62">
        <f t="shared" si="690"/>
        <v>0</v>
      </c>
      <c r="AE138" s="62">
        <f t="shared" si="690"/>
        <v>44000</v>
      </c>
      <c r="AF138" s="62">
        <f t="shared" si="690"/>
        <v>299970</v>
      </c>
      <c r="AG138" s="62">
        <f t="shared" si="690"/>
        <v>0</v>
      </c>
      <c r="AH138" s="62">
        <f t="shared" si="690"/>
        <v>44800</v>
      </c>
      <c r="AI138" s="190">
        <f t="shared" si="424"/>
        <v>6928770</v>
      </c>
      <c r="AJ138" s="196">
        <f t="shared" ref="AJ138" si="691">SUM(AJ139:AJ144)</f>
        <v>9.4168146646566281E-2</v>
      </c>
      <c r="AK138" s="62">
        <f t="shared" ref="AK138:AV138" si="692">SUM(AK139:AK144)</f>
        <v>15150</v>
      </c>
      <c r="AL138" s="62">
        <f t="shared" si="692"/>
        <v>20000</v>
      </c>
      <c r="AM138" s="62">
        <f t="shared" si="692"/>
        <v>20000</v>
      </c>
      <c r="AN138" s="62">
        <f t="shared" si="692"/>
        <v>20000</v>
      </c>
      <c r="AO138" s="62">
        <f t="shared" si="692"/>
        <v>29000</v>
      </c>
      <c r="AP138" s="62">
        <f t="shared" si="692"/>
        <v>253400</v>
      </c>
      <c r="AQ138" s="62">
        <f t="shared" si="692"/>
        <v>38000</v>
      </c>
      <c r="AR138" s="62">
        <f t="shared" si="692"/>
        <v>20000</v>
      </c>
      <c r="AS138" s="62">
        <f t="shared" si="692"/>
        <v>123160</v>
      </c>
      <c r="AT138" s="62">
        <f t="shared" si="692"/>
        <v>20000</v>
      </c>
      <c r="AU138" s="62">
        <f t="shared" si="692"/>
        <v>708710</v>
      </c>
      <c r="AV138" s="62">
        <f t="shared" si="692"/>
        <v>310000</v>
      </c>
      <c r="AW138" s="190">
        <f t="shared" si="425"/>
        <v>1577420</v>
      </c>
      <c r="AX138" s="196">
        <f t="shared" ref="AX138" si="693">SUM(AX139:AX144)</f>
        <v>2.0677350423177043E-2</v>
      </c>
      <c r="AY138" s="62">
        <f t="shared" ref="AY138:BJ138" si="694">SUM(AY139:AY144)</f>
        <v>20000</v>
      </c>
      <c r="AZ138" s="62">
        <f t="shared" si="694"/>
        <v>20400</v>
      </c>
      <c r="BA138" s="62">
        <f t="shared" si="694"/>
        <v>20000</v>
      </c>
      <c r="BB138" s="62">
        <f t="shared" si="694"/>
        <v>742300</v>
      </c>
      <c r="BC138" s="62">
        <f t="shared" si="694"/>
        <v>39999</v>
      </c>
      <c r="BD138" s="62">
        <f t="shared" si="694"/>
        <v>400000</v>
      </c>
      <c r="BE138" s="62">
        <f t="shared" si="694"/>
        <v>20000</v>
      </c>
      <c r="BF138" s="62">
        <f t="shared" si="694"/>
        <v>350000</v>
      </c>
      <c r="BG138" s="62">
        <f t="shared" si="694"/>
        <v>47000</v>
      </c>
      <c r="BH138" s="62">
        <f t="shared" si="694"/>
        <v>70000</v>
      </c>
      <c r="BI138" s="62">
        <f t="shared" si="694"/>
        <v>86387</v>
      </c>
      <c r="BJ138" s="62">
        <f t="shared" si="694"/>
        <v>62657</v>
      </c>
      <c r="BK138" s="190">
        <f t="shared" si="426"/>
        <v>1878743</v>
      </c>
      <c r="BL138" s="196">
        <f t="shared" ref="BL138" si="695">SUM(BL139:BL144)</f>
        <v>2.6901049673920117E-2</v>
      </c>
      <c r="BM138" s="62">
        <f t="shared" ref="BM138:BX138" si="696">SUM(BM139:BM144)</f>
        <v>20000</v>
      </c>
      <c r="BN138" s="62">
        <f t="shared" si="696"/>
        <v>20000</v>
      </c>
      <c r="BO138" s="62">
        <f t="shared" si="696"/>
        <v>20000</v>
      </c>
      <c r="BP138" s="62">
        <f t="shared" si="696"/>
        <v>152555</v>
      </c>
      <c r="BQ138" s="62">
        <f t="shared" si="696"/>
        <v>28500</v>
      </c>
      <c r="BR138" s="62">
        <f t="shared" si="696"/>
        <v>0</v>
      </c>
      <c r="BS138" s="62">
        <f t="shared" si="696"/>
        <v>0</v>
      </c>
      <c r="BT138" s="62">
        <f t="shared" si="696"/>
        <v>0</v>
      </c>
      <c r="BU138" s="62">
        <f t="shared" si="696"/>
        <v>0</v>
      </c>
      <c r="BV138" s="62">
        <f t="shared" si="696"/>
        <v>0</v>
      </c>
      <c r="BW138" s="62">
        <f t="shared" si="696"/>
        <v>0</v>
      </c>
      <c r="BX138" s="62">
        <f t="shared" si="696"/>
        <v>0</v>
      </c>
      <c r="BY138" s="190">
        <f t="shared" si="427"/>
        <v>241055</v>
      </c>
      <c r="BZ138" s="196">
        <f t="shared" ref="BZ138" si="697">SUM(BZ139:BZ144)</f>
        <v>5.5233509971498226E-3</v>
      </c>
      <c r="CA138" s="62">
        <f t="shared" ref="CA138:CL138" si="698">SUM(CA139:CA144)</f>
        <v>0</v>
      </c>
      <c r="CB138" s="62">
        <f t="shared" si="698"/>
        <v>0</v>
      </c>
      <c r="CC138" s="62">
        <f t="shared" si="698"/>
        <v>0</v>
      </c>
      <c r="CD138" s="62">
        <f t="shared" si="698"/>
        <v>0</v>
      </c>
      <c r="CE138" s="62">
        <f t="shared" si="698"/>
        <v>0</v>
      </c>
      <c r="CF138" s="62">
        <f t="shared" si="698"/>
        <v>0</v>
      </c>
      <c r="CG138" s="62">
        <f t="shared" si="698"/>
        <v>0</v>
      </c>
      <c r="CH138" s="62">
        <f t="shared" si="698"/>
        <v>0</v>
      </c>
      <c r="CI138" s="62">
        <f t="shared" si="698"/>
        <v>0</v>
      </c>
      <c r="CJ138" s="62">
        <f t="shared" si="698"/>
        <v>0</v>
      </c>
      <c r="CK138" s="62">
        <f t="shared" si="698"/>
        <v>0</v>
      </c>
      <c r="CL138" s="62">
        <f t="shared" si="698"/>
        <v>0</v>
      </c>
      <c r="CM138" s="190">
        <f t="shared" si="428"/>
        <v>0</v>
      </c>
      <c r="CN138" s="62">
        <f t="shared" ref="CN138:CY138" si="699">SUM(CN139:CN144)</f>
        <v>0</v>
      </c>
      <c r="CO138" s="62">
        <f t="shared" si="699"/>
        <v>0</v>
      </c>
      <c r="CP138" s="62">
        <f t="shared" si="699"/>
        <v>0</v>
      </c>
      <c r="CQ138" s="62">
        <f t="shared" si="699"/>
        <v>0</v>
      </c>
      <c r="CR138" s="62">
        <f t="shared" si="699"/>
        <v>0</v>
      </c>
      <c r="CS138" s="62">
        <f t="shared" si="699"/>
        <v>0</v>
      </c>
      <c r="CT138" s="62">
        <f t="shared" si="699"/>
        <v>0</v>
      </c>
      <c r="CU138" s="62">
        <f t="shared" si="699"/>
        <v>0</v>
      </c>
      <c r="CV138" s="62">
        <f t="shared" si="699"/>
        <v>0</v>
      </c>
      <c r="CW138" s="62">
        <f t="shared" si="699"/>
        <v>0</v>
      </c>
      <c r="CX138" s="62">
        <f t="shared" si="699"/>
        <v>0</v>
      </c>
      <c r="CY138" s="62">
        <f t="shared" si="699"/>
        <v>0</v>
      </c>
      <c r="CZ138" s="190">
        <f t="shared" si="429"/>
        <v>0</v>
      </c>
      <c r="DA138" s="62">
        <f t="shared" ref="DA138:DL138" si="700">SUM(DA139:DA144)</f>
        <v>0</v>
      </c>
      <c r="DB138" s="62">
        <f t="shared" si="700"/>
        <v>0</v>
      </c>
      <c r="DC138" s="62">
        <f t="shared" si="700"/>
        <v>0</v>
      </c>
      <c r="DD138" s="62">
        <f t="shared" si="700"/>
        <v>0</v>
      </c>
      <c r="DE138" s="62">
        <f t="shared" si="700"/>
        <v>0</v>
      </c>
      <c r="DF138" s="62">
        <f t="shared" si="700"/>
        <v>0</v>
      </c>
      <c r="DG138" s="62">
        <f t="shared" si="700"/>
        <v>0</v>
      </c>
      <c r="DH138" s="62">
        <f t="shared" si="700"/>
        <v>0</v>
      </c>
      <c r="DI138" s="62">
        <f t="shared" si="700"/>
        <v>0</v>
      </c>
      <c r="DJ138" s="62">
        <f t="shared" si="700"/>
        <v>0</v>
      </c>
      <c r="DK138" s="62">
        <f t="shared" si="700"/>
        <v>0</v>
      </c>
      <c r="DL138" s="62">
        <f t="shared" si="700"/>
        <v>0</v>
      </c>
      <c r="DM138" s="190">
        <f t="shared" si="430"/>
        <v>0</v>
      </c>
      <c r="DN138" s="62">
        <f t="shared" ref="DN138:DY138" si="701">SUM(DN139:DN144)</f>
        <v>0</v>
      </c>
      <c r="DO138" s="62">
        <f t="shared" si="701"/>
        <v>0</v>
      </c>
      <c r="DP138" s="62">
        <f t="shared" si="701"/>
        <v>0</v>
      </c>
      <c r="DQ138" s="62">
        <f t="shared" si="701"/>
        <v>0</v>
      </c>
      <c r="DR138" s="62">
        <f t="shared" si="701"/>
        <v>0</v>
      </c>
      <c r="DS138" s="62">
        <f t="shared" si="701"/>
        <v>0</v>
      </c>
      <c r="DT138" s="62">
        <f t="shared" si="701"/>
        <v>0</v>
      </c>
      <c r="DU138" s="62">
        <f t="shared" si="701"/>
        <v>0</v>
      </c>
      <c r="DV138" s="62">
        <f t="shared" si="701"/>
        <v>0</v>
      </c>
      <c r="DW138" s="62">
        <f t="shared" si="701"/>
        <v>0</v>
      </c>
      <c r="DX138" s="62">
        <f t="shared" si="701"/>
        <v>0</v>
      </c>
      <c r="DY138" s="62">
        <f t="shared" si="701"/>
        <v>0</v>
      </c>
      <c r="DZ138" s="190">
        <f t="shared" si="431"/>
        <v>0</v>
      </c>
    </row>
    <row r="139" spans="1:130" ht="20.45" customHeight="1" outlineLevel="2">
      <c r="A139" s="662"/>
      <c r="B139" s="636"/>
      <c r="C139" s="30" t="s">
        <v>377</v>
      </c>
      <c r="D139" s="62">
        <f t="shared" si="661"/>
        <v>34999.999999999993</v>
      </c>
      <c r="E139" s="184">
        <f t="shared" ref="E139:E144" si="702">D139/(D$5+D$6+D$7+D$8+D$10+D$9)</f>
        <v>1.0829011812481007E-4</v>
      </c>
      <c r="F139" s="62">
        <v>35000</v>
      </c>
      <c r="G139" s="190">
        <f t="shared" si="433"/>
        <v>35000</v>
      </c>
      <c r="H139" s="197">
        <f t="shared" ref="H139:H144" si="703">G139/(G$5+G$6+G$7+G$8+G$10+G$9)</f>
        <v>7.9946915248275147E-3</v>
      </c>
      <c r="I139" s="62">
        <v>0</v>
      </c>
      <c r="J139" s="62">
        <v>0</v>
      </c>
      <c r="K139" s="62">
        <v>0</v>
      </c>
      <c r="L139" s="62">
        <v>0</v>
      </c>
      <c r="M139" s="62">
        <v>0</v>
      </c>
      <c r="N139" s="62">
        <v>0</v>
      </c>
      <c r="O139" s="62">
        <v>0</v>
      </c>
      <c r="P139" s="62">
        <v>0</v>
      </c>
      <c r="Q139" s="62">
        <v>0</v>
      </c>
      <c r="R139" s="62">
        <v>0</v>
      </c>
      <c r="S139" s="62">
        <v>0</v>
      </c>
      <c r="T139" s="62">
        <v>0</v>
      </c>
      <c r="U139" s="190">
        <f t="shared" si="423"/>
        <v>0</v>
      </c>
      <c r="V139" s="197">
        <f t="shared" ref="V139:V144" si="704">U139/(U$5+U$6+U$7+U$8+U$10+U$9)</f>
        <v>0</v>
      </c>
      <c r="W139" s="62">
        <v>0</v>
      </c>
      <c r="X139" s="62">
        <v>0</v>
      </c>
      <c r="Y139" s="62">
        <v>0</v>
      </c>
      <c r="Z139" s="62">
        <v>0</v>
      </c>
      <c r="AA139" s="62">
        <v>0</v>
      </c>
      <c r="AB139" s="62">
        <v>0</v>
      </c>
      <c r="AC139" s="62">
        <v>0</v>
      </c>
      <c r="AD139" s="62">
        <v>0</v>
      </c>
      <c r="AE139" s="62">
        <v>0</v>
      </c>
      <c r="AF139" s="62">
        <v>0</v>
      </c>
      <c r="AG139" s="62">
        <v>0</v>
      </c>
      <c r="AH139" s="62">
        <v>0</v>
      </c>
      <c r="AI139" s="190">
        <f t="shared" si="424"/>
        <v>0</v>
      </c>
      <c r="AJ139" s="197">
        <f t="shared" ref="AJ139:AJ144" si="705">AI139/(AI$5+AI$6+AI$7+AI$8+AI$10+AI$9)</f>
        <v>0</v>
      </c>
      <c r="AK139" s="62">
        <v>0</v>
      </c>
      <c r="AL139" s="62">
        <v>0</v>
      </c>
      <c r="AM139" s="62">
        <v>0</v>
      </c>
      <c r="AN139" s="62">
        <v>0</v>
      </c>
      <c r="AO139" s="62">
        <v>0</v>
      </c>
      <c r="AP139" s="62">
        <v>0</v>
      </c>
      <c r="AQ139" s="62">
        <v>0</v>
      </c>
      <c r="AR139" s="62">
        <v>0</v>
      </c>
      <c r="AS139" s="62">
        <v>0</v>
      </c>
      <c r="AT139" s="62">
        <v>0</v>
      </c>
      <c r="AU139" s="62">
        <v>0</v>
      </c>
      <c r="AV139" s="62">
        <v>0</v>
      </c>
      <c r="AW139" s="190">
        <f t="shared" si="425"/>
        <v>0</v>
      </c>
      <c r="AX139" s="197">
        <f t="shared" ref="AX139:AX144" si="706">AW139/(AW$5+AW$6+AW$7+AW$8+AW$10+AW$9)</f>
        <v>0</v>
      </c>
      <c r="AY139" s="62">
        <v>0</v>
      </c>
      <c r="AZ139" s="62">
        <v>0</v>
      </c>
      <c r="BA139" s="62">
        <v>0</v>
      </c>
      <c r="BB139" s="62">
        <v>0</v>
      </c>
      <c r="BC139" s="62">
        <v>0</v>
      </c>
      <c r="BD139" s="62">
        <v>0</v>
      </c>
      <c r="BE139" s="62">
        <v>0</v>
      </c>
      <c r="BF139" s="62">
        <v>0</v>
      </c>
      <c r="BG139" s="62">
        <v>0</v>
      </c>
      <c r="BH139" s="62">
        <v>0</v>
      </c>
      <c r="BI139" s="62">
        <v>0</v>
      </c>
      <c r="BJ139" s="62">
        <v>0</v>
      </c>
      <c r="BK139" s="190">
        <f t="shared" si="426"/>
        <v>0</v>
      </c>
      <c r="BL139" s="197">
        <f t="shared" ref="BL139:BL144" si="707">BK139/(BK$5+BK$6+BK$7+BK$8+BK$10+BK$9)</f>
        <v>0</v>
      </c>
      <c r="BM139" s="62">
        <v>0</v>
      </c>
      <c r="BN139" s="62">
        <v>0</v>
      </c>
      <c r="BO139" s="62">
        <v>0</v>
      </c>
      <c r="BP139" s="62">
        <v>0</v>
      </c>
      <c r="BQ139" s="62">
        <v>0</v>
      </c>
      <c r="BR139" s="62">
        <v>0</v>
      </c>
      <c r="BS139" s="62">
        <v>0</v>
      </c>
      <c r="BT139" s="62">
        <v>0</v>
      </c>
      <c r="BU139" s="62">
        <v>0</v>
      </c>
      <c r="BV139" s="62">
        <v>0</v>
      </c>
      <c r="BW139" s="62">
        <v>0</v>
      </c>
      <c r="BX139" s="62">
        <v>0</v>
      </c>
      <c r="BY139" s="190">
        <f t="shared" si="427"/>
        <v>0</v>
      </c>
      <c r="BZ139" s="197">
        <f t="shared" ref="BZ139:BZ144" si="708">BY139/(BY$5+BY$6+BY$7+BY$8+BY$10+BY$9)</f>
        <v>0</v>
      </c>
      <c r="CA139" s="62">
        <v>0</v>
      </c>
      <c r="CB139" s="62">
        <v>0</v>
      </c>
      <c r="CC139" s="62">
        <v>0</v>
      </c>
      <c r="CD139" s="62">
        <v>0</v>
      </c>
      <c r="CE139" s="62">
        <v>0</v>
      </c>
      <c r="CF139" s="62">
        <v>0</v>
      </c>
      <c r="CG139" s="62">
        <v>0</v>
      </c>
      <c r="CH139" s="62">
        <v>0</v>
      </c>
      <c r="CI139" s="62">
        <v>0</v>
      </c>
      <c r="CJ139" s="62">
        <v>0</v>
      </c>
      <c r="CK139" s="62">
        <v>0</v>
      </c>
      <c r="CL139" s="62">
        <v>0</v>
      </c>
      <c r="CM139" s="190">
        <f t="shared" si="428"/>
        <v>0</v>
      </c>
      <c r="CN139" s="62">
        <v>0</v>
      </c>
      <c r="CO139" s="62">
        <v>0</v>
      </c>
      <c r="CP139" s="62">
        <v>0</v>
      </c>
      <c r="CQ139" s="62">
        <v>0</v>
      </c>
      <c r="CR139" s="62">
        <v>0</v>
      </c>
      <c r="CS139" s="62">
        <v>0</v>
      </c>
      <c r="CT139" s="62">
        <v>0</v>
      </c>
      <c r="CU139" s="62">
        <v>0</v>
      </c>
      <c r="CV139" s="62">
        <v>0</v>
      </c>
      <c r="CW139" s="62">
        <v>0</v>
      </c>
      <c r="CX139" s="62">
        <v>0</v>
      </c>
      <c r="CY139" s="62">
        <v>0</v>
      </c>
      <c r="CZ139" s="190">
        <f t="shared" si="429"/>
        <v>0</v>
      </c>
      <c r="DA139" s="62">
        <v>0</v>
      </c>
      <c r="DB139" s="62">
        <v>0</v>
      </c>
      <c r="DC139" s="62">
        <v>0</v>
      </c>
      <c r="DD139" s="62">
        <v>0</v>
      </c>
      <c r="DE139" s="62">
        <v>0</v>
      </c>
      <c r="DF139" s="62">
        <v>0</v>
      </c>
      <c r="DG139" s="62">
        <v>0</v>
      </c>
      <c r="DH139" s="62">
        <v>0</v>
      </c>
      <c r="DI139" s="62">
        <v>0</v>
      </c>
      <c r="DJ139" s="62">
        <v>0</v>
      </c>
      <c r="DK139" s="62">
        <v>0</v>
      </c>
      <c r="DL139" s="62">
        <v>0</v>
      </c>
      <c r="DM139" s="190">
        <f t="shared" si="430"/>
        <v>0</v>
      </c>
      <c r="DN139" s="62">
        <v>0</v>
      </c>
      <c r="DO139" s="62">
        <v>0</v>
      </c>
      <c r="DP139" s="62">
        <v>0</v>
      </c>
      <c r="DQ139" s="62">
        <v>0</v>
      </c>
      <c r="DR139" s="62">
        <v>0</v>
      </c>
      <c r="DS139" s="62">
        <v>0</v>
      </c>
      <c r="DT139" s="62">
        <v>0</v>
      </c>
      <c r="DU139" s="62">
        <v>0</v>
      </c>
      <c r="DV139" s="62">
        <v>0</v>
      </c>
      <c r="DW139" s="62">
        <v>0</v>
      </c>
      <c r="DX139" s="62">
        <v>0</v>
      </c>
      <c r="DY139" s="62">
        <v>0</v>
      </c>
      <c r="DZ139" s="190">
        <f t="shared" si="431"/>
        <v>0</v>
      </c>
    </row>
    <row r="140" spans="1:130" ht="20.45" customHeight="1" outlineLevel="2">
      <c r="A140" s="662"/>
      <c r="B140" s="636"/>
      <c r="C140" s="30" t="s">
        <v>378</v>
      </c>
      <c r="D140" s="62">
        <f t="shared" si="661"/>
        <v>82999.999999999985</v>
      </c>
      <c r="E140" s="184">
        <f t="shared" si="702"/>
        <v>2.5680228012454963E-4</v>
      </c>
      <c r="F140" s="62">
        <v>0</v>
      </c>
      <c r="G140" s="190">
        <f t="shared" si="433"/>
        <v>0</v>
      </c>
      <c r="H140" s="197">
        <f t="shared" si="703"/>
        <v>0</v>
      </c>
      <c r="I140" s="62">
        <v>0</v>
      </c>
      <c r="J140" s="62">
        <v>0</v>
      </c>
      <c r="K140" s="62">
        <v>0</v>
      </c>
      <c r="L140" s="62">
        <v>0</v>
      </c>
      <c r="M140" s="62">
        <v>53000</v>
      </c>
      <c r="N140" s="62">
        <v>0</v>
      </c>
      <c r="O140" s="62">
        <v>0</v>
      </c>
      <c r="P140" s="62">
        <v>0</v>
      </c>
      <c r="Q140" s="62">
        <v>0</v>
      </c>
      <c r="R140" s="62">
        <v>0</v>
      </c>
      <c r="S140" s="62">
        <v>0</v>
      </c>
      <c r="T140" s="62">
        <v>30000</v>
      </c>
      <c r="U140" s="190">
        <f t="shared" si="423"/>
        <v>83000</v>
      </c>
      <c r="V140" s="197">
        <f t="shared" si="704"/>
        <v>1.4960346879615007E-3</v>
      </c>
      <c r="W140" s="62">
        <v>0</v>
      </c>
      <c r="X140" s="62">
        <v>0</v>
      </c>
      <c r="Y140" s="62">
        <v>0</v>
      </c>
      <c r="Z140" s="62">
        <v>0</v>
      </c>
      <c r="AA140" s="62">
        <v>0</v>
      </c>
      <c r="AB140" s="62">
        <v>0</v>
      </c>
      <c r="AC140" s="62">
        <v>0</v>
      </c>
      <c r="AD140" s="62">
        <v>0</v>
      </c>
      <c r="AE140" s="62">
        <v>0</v>
      </c>
      <c r="AF140" s="62">
        <v>0</v>
      </c>
      <c r="AG140" s="62">
        <v>0</v>
      </c>
      <c r="AH140" s="62">
        <v>0</v>
      </c>
      <c r="AI140" s="190">
        <f t="shared" si="424"/>
        <v>0</v>
      </c>
      <c r="AJ140" s="197">
        <f t="shared" si="705"/>
        <v>0</v>
      </c>
      <c r="AK140" s="62">
        <v>0</v>
      </c>
      <c r="AL140" s="62">
        <v>0</v>
      </c>
      <c r="AM140" s="62">
        <v>0</v>
      </c>
      <c r="AN140" s="62">
        <v>0</v>
      </c>
      <c r="AO140" s="62">
        <v>0</v>
      </c>
      <c r="AP140" s="62">
        <v>0</v>
      </c>
      <c r="AQ140" s="62">
        <v>0</v>
      </c>
      <c r="AR140" s="62">
        <v>0</v>
      </c>
      <c r="AS140" s="62">
        <v>0</v>
      </c>
      <c r="AT140" s="62">
        <v>0</v>
      </c>
      <c r="AU140" s="62">
        <v>0</v>
      </c>
      <c r="AV140" s="62">
        <v>0</v>
      </c>
      <c r="AW140" s="190">
        <f t="shared" si="425"/>
        <v>0</v>
      </c>
      <c r="AX140" s="197">
        <f t="shared" si="706"/>
        <v>0</v>
      </c>
      <c r="AY140" s="62">
        <v>0</v>
      </c>
      <c r="AZ140" s="62">
        <v>0</v>
      </c>
      <c r="BA140" s="62">
        <v>0</v>
      </c>
      <c r="BB140" s="62">
        <v>0</v>
      </c>
      <c r="BC140" s="62">
        <v>0</v>
      </c>
      <c r="BD140" s="62">
        <v>0</v>
      </c>
      <c r="BE140" s="62">
        <v>0</v>
      </c>
      <c r="BF140" s="62">
        <v>0</v>
      </c>
      <c r="BG140" s="62">
        <v>0</v>
      </c>
      <c r="BH140" s="62">
        <v>0</v>
      </c>
      <c r="BI140" s="62">
        <v>0</v>
      </c>
      <c r="BJ140" s="62">
        <v>0</v>
      </c>
      <c r="BK140" s="190">
        <f t="shared" si="426"/>
        <v>0</v>
      </c>
      <c r="BL140" s="197">
        <f t="shared" si="707"/>
        <v>0</v>
      </c>
      <c r="BM140" s="62">
        <v>0</v>
      </c>
      <c r="BN140" s="62">
        <v>0</v>
      </c>
      <c r="BO140" s="62">
        <v>0</v>
      </c>
      <c r="BP140" s="62">
        <v>0</v>
      </c>
      <c r="BQ140" s="62">
        <v>0</v>
      </c>
      <c r="BR140" s="62">
        <v>0</v>
      </c>
      <c r="BS140" s="62">
        <v>0</v>
      </c>
      <c r="BT140" s="62">
        <v>0</v>
      </c>
      <c r="BU140" s="62">
        <v>0</v>
      </c>
      <c r="BV140" s="62">
        <v>0</v>
      </c>
      <c r="BW140" s="62">
        <v>0</v>
      </c>
      <c r="BX140" s="62">
        <v>0</v>
      </c>
      <c r="BY140" s="190">
        <f t="shared" si="427"/>
        <v>0</v>
      </c>
      <c r="BZ140" s="197">
        <f t="shared" si="708"/>
        <v>0</v>
      </c>
      <c r="CA140" s="62">
        <v>0</v>
      </c>
      <c r="CB140" s="62">
        <v>0</v>
      </c>
      <c r="CC140" s="62">
        <v>0</v>
      </c>
      <c r="CD140" s="62">
        <v>0</v>
      </c>
      <c r="CE140" s="62">
        <v>0</v>
      </c>
      <c r="CF140" s="62">
        <v>0</v>
      </c>
      <c r="CG140" s="62">
        <v>0</v>
      </c>
      <c r="CH140" s="62">
        <v>0</v>
      </c>
      <c r="CI140" s="62">
        <v>0</v>
      </c>
      <c r="CJ140" s="62">
        <v>0</v>
      </c>
      <c r="CK140" s="62">
        <v>0</v>
      </c>
      <c r="CL140" s="62">
        <v>0</v>
      </c>
      <c r="CM140" s="190">
        <f t="shared" si="428"/>
        <v>0</v>
      </c>
      <c r="CN140" s="62">
        <v>0</v>
      </c>
      <c r="CO140" s="62">
        <v>0</v>
      </c>
      <c r="CP140" s="62">
        <v>0</v>
      </c>
      <c r="CQ140" s="62">
        <v>0</v>
      </c>
      <c r="CR140" s="62">
        <v>0</v>
      </c>
      <c r="CS140" s="62">
        <v>0</v>
      </c>
      <c r="CT140" s="62">
        <v>0</v>
      </c>
      <c r="CU140" s="62">
        <v>0</v>
      </c>
      <c r="CV140" s="62">
        <v>0</v>
      </c>
      <c r="CW140" s="62">
        <v>0</v>
      </c>
      <c r="CX140" s="62">
        <v>0</v>
      </c>
      <c r="CY140" s="62">
        <v>0</v>
      </c>
      <c r="CZ140" s="190">
        <f t="shared" si="429"/>
        <v>0</v>
      </c>
      <c r="DA140" s="62">
        <v>0</v>
      </c>
      <c r="DB140" s="62">
        <v>0</v>
      </c>
      <c r="DC140" s="62">
        <v>0</v>
      </c>
      <c r="DD140" s="62">
        <v>0</v>
      </c>
      <c r="DE140" s="62">
        <v>0</v>
      </c>
      <c r="DF140" s="62">
        <v>0</v>
      </c>
      <c r="DG140" s="62">
        <v>0</v>
      </c>
      <c r="DH140" s="62">
        <v>0</v>
      </c>
      <c r="DI140" s="62">
        <v>0</v>
      </c>
      <c r="DJ140" s="62">
        <v>0</v>
      </c>
      <c r="DK140" s="62">
        <v>0</v>
      </c>
      <c r="DL140" s="62">
        <v>0</v>
      </c>
      <c r="DM140" s="190">
        <f t="shared" si="430"/>
        <v>0</v>
      </c>
      <c r="DN140" s="62">
        <v>0</v>
      </c>
      <c r="DO140" s="62">
        <v>0</v>
      </c>
      <c r="DP140" s="62">
        <v>0</v>
      </c>
      <c r="DQ140" s="62">
        <v>0</v>
      </c>
      <c r="DR140" s="62">
        <v>0</v>
      </c>
      <c r="DS140" s="62">
        <v>0</v>
      </c>
      <c r="DT140" s="62">
        <v>0</v>
      </c>
      <c r="DU140" s="62">
        <v>0</v>
      </c>
      <c r="DV140" s="62">
        <v>0</v>
      </c>
      <c r="DW140" s="62">
        <v>0</v>
      </c>
      <c r="DX140" s="62">
        <v>0</v>
      </c>
      <c r="DY140" s="62">
        <v>0</v>
      </c>
      <c r="DZ140" s="190">
        <f t="shared" si="431"/>
        <v>0</v>
      </c>
    </row>
    <row r="141" spans="1:130" ht="20.45" customHeight="1" outlineLevel="2">
      <c r="A141" s="662"/>
      <c r="B141" s="636"/>
      <c r="C141" s="30" t="s">
        <v>2633</v>
      </c>
      <c r="D141" s="62">
        <f t="shared" si="661"/>
        <v>1490000</v>
      </c>
      <c r="E141" s="184">
        <f t="shared" si="702"/>
        <v>4.6100650287419151E-3</v>
      </c>
      <c r="F141" s="62">
        <v>0</v>
      </c>
      <c r="G141" s="190">
        <f t="shared" si="433"/>
        <v>0</v>
      </c>
      <c r="H141" s="197">
        <f t="shared" si="703"/>
        <v>0</v>
      </c>
      <c r="I141" s="62">
        <v>0</v>
      </c>
      <c r="J141" s="62">
        <v>0</v>
      </c>
      <c r="K141" s="62">
        <v>0</v>
      </c>
      <c r="L141" s="62">
        <v>0</v>
      </c>
      <c r="M141" s="62">
        <v>21000</v>
      </c>
      <c r="N141" s="62">
        <v>0</v>
      </c>
      <c r="O141" s="62">
        <v>0</v>
      </c>
      <c r="P141" s="62">
        <v>0</v>
      </c>
      <c r="Q141" s="62">
        <v>0</v>
      </c>
      <c r="R141" s="62">
        <v>0</v>
      </c>
      <c r="S141" s="62">
        <v>0</v>
      </c>
      <c r="T141" s="62">
        <v>0</v>
      </c>
      <c r="U141" s="190">
        <f t="shared" si="423"/>
        <v>21000</v>
      </c>
      <c r="V141" s="197">
        <f t="shared" si="704"/>
        <v>3.7851480056857247E-4</v>
      </c>
      <c r="W141" s="62">
        <v>0</v>
      </c>
      <c r="X141" s="62">
        <v>0</v>
      </c>
      <c r="Y141" s="62">
        <v>0</v>
      </c>
      <c r="Z141" s="62">
        <v>0</v>
      </c>
      <c r="AA141" s="62">
        <v>0</v>
      </c>
      <c r="AB141" s="62">
        <v>0</v>
      </c>
      <c r="AC141" s="62">
        <v>0</v>
      </c>
      <c r="AD141" s="62">
        <v>0</v>
      </c>
      <c r="AE141" s="62">
        <v>44000</v>
      </c>
      <c r="AF141" s="62">
        <v>0</v>
      </c>
      <c r="AG141" s="62">
        <v>0</v>
      </c>
      <c r="AH141" s="62">
        <v>0</v>
      </c>
      <c r="AI141" s="190">
        <f t="shared" si="424"/>
        <v>44000</v>
      </c>
      <c r="AJ141" s="197">
        <f t="shared" si="705"/>
        <v>5.9799913295562079E-4</v>
      </c>
      <c r="AK141" s="62">
        <v>0</v>
      </c>
      <c r="AL141" s="62">
        <v>0</v>
      </c>
      <c r="AM141" s="62">
        <v>0</v>
      </c>
      <c r="AN141" s="62">
        <v>0</v>
      </c>
      <c r="AO141" s="62">
        <v>0</v>
      </c>
      <c r="AP141" s="62">
        <v>0</v>
      </c>
      <c r="AQ141" s="62">
        <v>0</v>
      </c>
      <c r="AR141" s="62">
        <v>0</v>
      </c>
      <c r="AS141" s="62">
        <v>0</v>
      </c>
      <c r="AT141" s="62">
        <v>0</v>
      </c>
      <c r="AU141" s="62">
        <f>650000</f>
        <v>650000</v>
      </c>
      <c r="AV141" s="62">
        <v>0</v>
      </c>
      <c r="AW141" s="190">
        <f t="shared" si="425"/>
        <v>650000</v>
      </c>
      <c r="AX141" s="197">
        <f t="shared" si="706"/>
        <v>8.5204180085614988E-3</v>
      </c>
      <c r="AY141" s="62">
        <v>0</v>
      </c>
      <c r="AZ141" s="62">
        <v>0</v>
      </c>
      <c r="BA141" s="62">
        <v>0</v>
      </c>
      <c r="BB141" s="62">
        <f>700000+5000</f>
        <v>705000</v>
      </c>
      <c r="BC141" s="62">
        <v>10000</v>
      </c>
      <c r="BD141" s="62">
        <v>50000</v>
      </c>
      <c r="BE141" s="62">
        <v>0</v>
      </c>
      <c r="BF141" s="62">
        <f>5000+5000</f>
        <v>10000</v>
      </c>
      <c r="BG141" s="62">
        <v>0</v>
      </c>
      <c r="BH141" s="62">
        <v>0</v>
      </c>
      <c r="BI141" s="62">
        <v>0</v>
      </c>
      <c r="BJ141" s="62">
        <v>0</v>
      </c>
      <c r="BK141" s="190">
        <f t="shared" si="426"/>
        <v>775000</v>
      </c>
      <c r="BL141" s="197">
        <f t="shared" si="707"/>
        <v>1.109694806436436E-2</v>
      </c>
      <c r="BM141" s="62">
        <v>0</v>
      </c>
      <c r="BN141" s="62">
        <v>0</v>
      </c>
      <c r="BO141" s="62">
        <v>0</v>
      </c>
      <c r="BP141" s="62">
        <v>0</v>
      </c>
      <c r="BQ141" s="62">
        <v>0</v>
      </c>
      <c r="BR141" s="62">
        <v>0</v>
      </c>
      <c r="BS141" s="62">
        <v>0</v>
      </c>
      <c r="BT141" s="62">
        <v>0</v>
      </c>
      <c r="BU141" s="62">
        <v>0</v>
      </c>
      <c r="BV141" s="62">
        <v>0</v>
      </c>
      <c r="BW141" s="62">
        <v>0</v>
      </c>
      <c r="BX141" s="62">
        <v>0</v>
      </c>
      <c r="BY141" s="190">
        <f t="shared" si="427"/>
        <v>0</v>
      </c>
      <c r="BZ141" s="197">
        <f t="shared" si="708"/>
        <v>0</v>
      </c>
      <c r="CA141" s="62">
        <v>0</v>
      </c>
      <c r="CB141" s="62">
        <v>0</v>
      </c>
      <c r="CC141" s="62">
        <v>0</v>
      </c>
      <c r="CD141" s="62">
        <v>0</v>
      </c>
      <c r="CE141" s="62">
        <v>0</v>
      </c>
      <c r="CF141" s="62">
        <v>0</v>
      </c>
      <c r="CG141" s="62">
        <v>0</v>
      </c>
      <c r="CH141" s="62">
        <v>0</v>
      </c>
      <c r="CI141" s="62">
        <v>0</v>
      </c>
      <c r="CJ141" s="62">
        <v>0</v>
      </c>
      <c r="CK141" s="62">
        <v>0</v>
      </c>
      <c r="CL141" s="62">
        <v>0</v>
      </c>
      <c r="CM141" s="190">
        <f t="shared" si="428"/>
        <v>0</v>
      </c>
      <c r="CN141" s="62">
        <v>0</v>
      </c>
      <c r="CO141" s="62">
        <v>0</v>
      </c>
      <c r="CP141" s="62">
        <v>0</v>
      </c>
      <c r="CQ141" s="62">
        <v>0</v>
      </c>
      <c r="CR141" s="62">
        <v>0</v>
      </c>
      <c r="CS141" s="62">
        <v>0</v>
      </c>
      <c r="CT141" s="62">
        <v>0</v>
      </c>
      <c r="CU141" s="62">
        <v>0</v>
      </c>
      <c r="CV141" s="62">
        <v>0</v>
      </c>
      <c r="CW141" s="62">
        <v>0</v>
      </c>
      <c r="CX141" s="62">
        <v>0</v>
      </c>
      <c r="CY141" s="62">
        <v>0</v>
      </c>
      <c r="CZ141" s="190">
        <f t="shared" si="429"/>
        <v>0</v>
      </c>
      <c r="DA141" s="62">
        <v>0</v>
      </c>
      <c r="DB141" s="62">
        <v>0</v>
      </c>
      <c r="DC141" s="62">
        <v>0</v>
      </c>
      <c r="DD141" s="62">
        <v>0</v>
      </c>
      <c r="DE141" s="62">
        <v>0</v>
      </c>
      <c r="DF141" s="62">
        <v>0</v>
      </c>
      <c r="DG141" s="62">
        <v>0</v>
      </c>
      <c r="DH141" s="62">
        <v>0</v>
      </c>
      <c r="DI141" s="62">
        <v>0</v>
      </c>
      <c r="DJ141" s="62">
        <v>0</v>
      </c>
      <c r="DK141" s="62">
        <v>0</v>
      </c>
      <c r="DL141" s="62">
        <v>0</v>
      </c>
      <c r="DM141" s="190">
        <f t="shared" si="430"/>
        <v>0</v>
      </c>
      <c r="DN141" s="62">
        <v>0</v>
      </c>
      <c r="DO141" s="62">
        <v>0</v>
      </c>
      <c r="DP141" s="62">
        <v>0</v>
      </c>
      <c r="DQ141" s="62">
        <v>0</v>
      </c>
      <c r="DR141" s="62">
        <v>0</v>
      </c>
      <c r="DS141" s="62">
        <v>0</v>
      </c>
      <c r="DT141" s="62">
        <v>0</v>
      </c>
      <c r="DU141" s="62">
        <v>0</v>
      </c>
      <c r="DV141" s="62">
        <v>0</v>
      </c>
      <c r="DW141" s="62">
        <v>0</v>
      </c>
      <c r="DX141" s="62">
        <v>0</v>
      </c>
      <c r="DY141" s="62">
        <v>0</v>
      </c>
      <c r="DZ141" s="190">
        <f t="shared" si="431"/>
        <v>0</v>
      </c>
    </row>
    <row r="142" spans="1:130" ht="20.45" customHeight="1" outlineLevel="2">
      <c r="A142" s="662"/>
      <c r="B142" s="636"/>
      <c r="C142" s="30" t="s">
        <v>3039</v>
      </c>
      <c r="D142" s="62">
        <f t="shared" si="661"/>
        <v>563999.99999999988</v>
      </c>
      <c r="E142" s="184">
        <f t="shared" si="702"/>
        <v>1.7450179034969393E-3</v>
      </c>
      <c r="F142" s="62">
        <v>0</v>
      </c>
      <c r="G142" s="190">
        <f t="shared" si="433"/>
        <v>0</v>
      </c>
      <c r="H142" s="197">
        <f t="shared" si="703"/>
        <v>0</v>
      </c>
      <c r="I142" s="62">
        <v>0</v>
      </c>
      <c r="J142" s="62">
        <v>0</v>
      </c>
      <c r="K142" s="62">
        <v>0</v>
      </c>
      <c r="L142" s="62">
        <v>150000</v>
      </c>
      <c r="M142" s="62">
        <v>0</v>
      </c>
      <c r="N142" s="62">
        <v>0</v>
      </c>
      <c r="O142" s="62">
        <v>0</v>
      </c>
      <c r="P142" s="62">
        <v>10000</v>
      </c>
      <c r="Q142" s="62">
        <v>5000</v>
      </c>
      <c r="R142" s="62">
        <v>0</v>
      </c>
      <c r="S142" s="62">
        <v>15000</v>
      </c>
      <c r="T142" s="62">
        <v>0</v>
      </c>
      <c r="U142" s="190">
        <f t="shared" si="423"/>
        <v>180000</v>
      </c>
      <c r="V142" s="197">
        <f t="shared" si="704"/>
        <v>3.2444125763020498E-3</v>
      </c>
      <c r="W142" s="62">
        <v>0</v>
      </c>
      <c r="X142" s="62">
        <v>0</v>
      </c>
      <c r="Y142" s="62">
        <v>0</v>
      </c>
      <c r="Z142" s="62">
        <v>0</v>
      </c>
      <c r="AA142" s="62">
        <v>0</v>
      </c>
      <c r="AB142" s="62">
        <v>0</v>
      </c>
      <c r="AC142" s="62">
        <v>0</v>
      </c>
      <c r="AD142" s="62">
        <v>0</v>
      </c>
      <c r="AE142" s="62">
        <v>0</v>
      </c>
      <c r="AF142" s="62">
        <v>0</v>
      </c>
      <c r="AG142" s="62">
        <v>0</v>
      </c>
      <c r="AH142" s="62">
        <v>0</v>
      </c>
      <c r="AI142" s="190">
        <f t="shared" si="424"/>
        <v>0</v>
      </c>
      <c r="AJ142" s="197">
        <f t="shared" si="705"/>
        <v>0</v>
      </c>
      <c r="AK142" s="62">
        <v>0</v>
      </c>
      <c r="AL142" s="62">
        <v>0</v>
      </c>
      <c r="AM142" s="62">
        <v>0</v>
      </c>
      <c r="AN142" s="62">
        <v>0</v>
      </c>
      <c r="AO142" s="62">
        <v>9000</v>
      </c>
      <c r="AP142" s="62">
        <v>180000</v>
      </c>
      <c r="AQ142" s="62">
        <v>0</v>
      </c>
      <c r="AR142" s="62">
        <v>0</v>
      </c>
      <c r="AS142" s="62">
        <v>-5000</v>
      </c>
      <c r="AT142" s="62">
        <v>0</v>
      </c>
      <c r="AU142" s="62">
        <v>0</v>
      </c>
      <c r="AV142" s="62">
        <v>180000</v>
      </c>
      <c r="AW142" s="190">
        <f t="shared" si="425"/>
        <v>364000</v>
      </c>
      <c r="AX142" s="197">
        <f t="shared" si="706"/>
        <v>4.7714340847944394E-3</v>
      </c>
      <c r="AY142" s="62">
        <v>0</v>
      </c>
      <c r="AZ142" s="62">
        <v>0</v>
      </c>
      <c r="BA142" s="62">
        <v>0</v>
      </c>
      <c r="BB142" s="62">
        <v>0</v>
      </c>
      <c r="BC142" s="62">
        <f>10000</f>
        <v>10000</v>
      </c>
      <c r="BD142" s="62">
        <f>10000</f>
        <v>10000</v>
      </c>
      <c r="BE142" s="62">
        <v>0</v>
      </c>
      <c r="BF142" s="62">
        <v>0</v>
      </c>
      <c r="BG142" s="62">
        <v>0</v>
      </c>
      <c r="BH142" s="62">
        <v>0</v>
      </c>
      <c r="BI142" s="62">
        <v>0</v>
      </c>
      <c r="BJ142" s="62">
        <v>0</v>
      </c>
      <c r="BK142" s="190">
        <f t="shared" si="426"/>
        <v>20000</v>
      </c>
      <c r="BL142" s="197">
        <f t="shared" si="707"/>
        <v>2.8637285327391898E-4</v>
      </c>
      <c r="BM142" s="62">
        <v>0</v>
      </c>
      <c r="BN142" s="62">
        <v>0</v>
      </c>
      <c r="BO142" s="62">
        <v>0</v>
      </c>
      <c r="BP142" s="62">
        <v>0</v>
      </c>
      <c r="BQ142" s="62">
        <v>0</v>
      </c>
      <c r="BR142" s="62">
        <v>0</v>
      </c>
      <c r="BS142" s="62">
        <v>0</v>
      </c>
      <c r="BT142" s="62">
        <v>0</v>
      </c>
      <c r="BU142" s="62">
        <v>0</v>
      </c>
      <c r="BV142" s="62">
        <v>0</v>
      </c>
      <c r="BW142" s="62">
        <v>0</v>
      </c>
      <c r="BX142" s="62">
        <v>0</v>
      </c>
      <c r="BY142" s="190">
        <f t="shared" si="427"/>
        <v>0</v>
      </c>
      <c r="BZ142" s="197">
        <f t="shared" si="708"/>
        <v>0</v>
      </c>
      <c r="CA142" s="62">
        <v>0</v>
      </c>
      <c r="CB142" s="62">
        <v>0</v>
      </c>
      <c r="CC142" s="62">
        <v>0</v>
      </c>
      <c r="CD142" s="62">
        <v>0</v>
      </c>
      <c r="CE142" s="62">
        <v>0</v>
      </c>
      <c r="CF142" s="62">
        <v>0</v>
      </c>
      <c r="CG142" s="62">
        <v>0</v>
      </c>
      <c r="CH142" s="62">
        <v>0</v>
      </c>
      <c r="CI142" s="62">
        <v>0</v>
      </c>
      <c r="CJ142" s="62">
        <v>0</v>
      </c>
      <c r="CK142" s="62">
        <v>0</v>
      </c>
      <c r="CL142" s="62">
        <v>0</v>
      </c>
      <c r="CM142" s="190">
        <f t="shared" si="428"/>
        <v>0</v>
      </c>
      <c r="CN142" s="62">
        <v>0</v>
      </c>
      <c r="CO142" s="62">
        <v>0</v>
      </c>
      <c r="CP142" s="62">
        <v>0</v>
      </c>
      <c r="CQ142" s="62">
        <v>0</v>
      </c>
      <c r="CR142" s="62">
        <v>0</v>
      </c>
      <c r="CS142" s="62">
        <v>0</v>
      </c>
      <c r="CT142" s="62">
        <v>0</v>
      </c>
      <c r="CU142" s="62">
        <v>0</v>
      </c>
      <c r="CV142" s="62">
        <v>0</v>
      </c>
      <c r="CW142" s="62">
        <v>0</v>
      </c>
      <c r="CX142" s="62">
        <v>0</v>
      </c>
      <c r="CY142" s="62">
        <v>0</v>
      </c>
      <c r="CZ142" s="190">
        <f t="shared" si="429"/>
        <v>0</v>
      </c>
      <c r="DA142" s="62">
        <v>0</v>
      </c>
      <c r="DB142" s="62">
        <v>0</v>
      </c>
      <c r="DC142" s="62">
        <v>0</v>
      </c>
      <c r="DD142" s="62">
        <v>0</v>
      </c>
      <c r="DE142" s="62">
        <v>0</v>
      </c>
      <c r="DF142" s="62">
        <v>0</v>
      </c>
      <c r="DG142" s="62">
        <v>0</v>
      </c>
      <c r="DH142" s="62">
        <v>0</v>
      </c>
      <c r="DI142" s="62">
        <v>0</v>
      </c>
      <c r="DJ142" s="62">
        <v>0</v>
      </c>
      <c r="DK142" s="62">
        <v>0</v>
      </c>
      <c r="DL142" s="62">
        <v>0</v>
      </c>
      <c r="DM142" s="190">
        <f t="shared" si="430"/>
        <v>0</v>
      </c>
      <c r="DN142" s="62">
        <v>0</v>
      </c>
      <c r="DO142" s="62">
        <v>0</v>
      </c>
      <c r="DP142" s="62">
        <v>0</v>
      </c>
      <c r="DQ142" s="62">
        <v>0</v>
      </c>
      <c r="DR142" s="62">
        <v>0</v>
      </c>
      <c r="DS142" s="62">
        <v>0</v>
      </c>
      <c r="DT142" s="62">
        <v>0</v>
      </c>
      <c r="DU142" s="62">
        <v>0</v>
      </c>
      <c r="DV142" s="62">
        <v>0</v>
      </c>
      <c r="DW142" s="62">
        <v>0</v>
      </c>
      <c r="DX142" s="62">
        <v>0</v>
      </c>
      <c r="DY142" s="62">
        <v>0</v>
      </c>
      <c r="DZ142" s="190">
        <f t="shared" si="431"/>
        <v>0</v>
      </c>
    </row>
    <row r="143" spans="1:130" ht="20.45" customHeight="1" outlineLevel="2">
      <c r="A143" s="663"/>
      <c r="B143" s="636"/>
      <c r="C143" s="30" t="s">
        <v>2634</v>
      </c>
      <c r="D143" s="62">
        <f t="shared" si="661"/>
        <v>580000</v>
      </c>
      <c r="E143" s="184">
        <f t="shared" si="702"/>
        <v>1.7945219574968529E-3</v>
      </c>
      <c r="F143" s="62">
        <v>0</v>
      </c>
      <c r="G143" s="190">
        <f t="shared" si="433"/>
        <v>0</v>
      </c>
      <c r="H143" s="197">
        <f t="shared" si="703"/>
        <v>0</v>
      </c>
      <c r="I143" s="62">
        <v>0</v>
      </c>
      <c r="J143" s="62">
        <v>0</v>
      </c>
      <c r="K143" s="62">
        <v>0</v>
      </c>
      <c r="L143" s="62">
        <v>0</v>
      </c>
      <c r="M143" s="62">
        <v>0</v>
      </c>
      <c r="N143" s="62">
        <v>0</v>
      </c>
      <c r="O143" s="62">
        <v>0</v>
      </c>
      <c r="P143" s="62">
        <v>0</v>
      </c>
      <c r="Q143" s="62">
        <v>0</v>
      </c>
      <c r="R143" s="62">
        <v>0</v>
      </c>
      <c r="S143" s="62">
        <v>0</v>
      </c>
      <c r="T143" s="62">
        <v>0</v>
      </c>
      <c r="U143" s="190">
        <f t="shared" ref="U143" si="709">SUM(I143:T143)</f>
        <v>0</v>
      </c>
      <c r="V143" s="197">
        <f t="shared" si="704"/>
        <v>0</v>
      </c>
      <c r="W143" s="62">
        <v>0</v>
      </c>
      <c r="X143" s="62">
        <v>0</v>
      </c>
      <c r="Y143" s="62">
        <v>0</v>
      </c>
      <c r="Z143" s="62">
        <v>0</v>
      </c>
      <c r="AA143" s="62">
        <v>0</v>
      </c>
      <c r="AB143" s="62">
        <v>0</v>
      </c>
      <c r="AC143" s="62">
        <v>0</v>
      </c>
      <c r="AD143" s="62">
        <v>0</v>
      </c>
      <c r="AE143" s="62">
        <v>0</v>
      </c>
      <c r="AF143" s="62">
        <v>0</v>
      </c>
      <c r="AG143" s="62">
        <v>0</v>
      </c>
      <c r="AH143" s="62">
        <v>20000</v>
      </c>
      <c r="AI143" s="190">
        <f t="shared" si="424"/>
        <v>20000</v>
      </c>
      <c r="AJ143" s="197">
        <f t="shared" si="705"/>
        <v>2.7181778770710033E-4</v>
      </c>
      <c r="AK143" s="62">
        <v>20000</v>
      </c>
      <c r="AL143" s="62">
        <v>20000</v>
      </c>
      <c r="AM143" s="62">
        <v>20000</v>
      </c>
      <c r="AN143" s="62">
        <v>20000</v>
      </c>
      <c r="AO143" s="62">
        <v>20000</v>
      </c>
      <c r="AP143" s="62">
        <v>20000</v>
      </c>
      <c r="AQ143" s="62">
        <v>20000</v>
      </c>
      <c r="AR143" s="62">
        <v>20000</v>
      </c>
      <c r="AS143" s="62">
        <v>20000</v>
      </c>
      <c r="AT143" s="62">
        <v>20000</v>
      </c>
      <c r="AU143" s="62">
        <v>20000</v>
      </c>
      <c r="AV143" s="62">
        <v>20000</v>
      </c>
      <c r="AW143" s="190">
        <f t="shared" ref="AW143" si="710">SUM(AK143:AV143)</f>
        <v>240000</v>
      </c>
      <c r="AX143" s="197">
        <f t="shared" si="706"/>
        <v>3.1460004954688612E-3</v>
      </c>
      <c r="AY143" s="62">
        <v>20000</v>
      </c>
      <c r="AZ143" s="62">
        <v>20000</v>
      </c>
      <c r="BA143" s="62">
        <v>20000</v>
      </c>
      <c r="BB143" s="62">
        <v>20000</v>
      </c>
      <c r="BC143" s="62">
        <v>20000</v>
      </c>
      <c r="BD143" s="62">
        <v>20000</v>
      </c>
      <c r="BE143" s="62">
        <v>20000</v>
      </c>
      <c r="BF143" s="62">
        <v>20000</v>
      </c>
      <c r="BG143" s="62">
        <v>20000</v>
      </c>
      <c r="BH143" s="62">
        <v>20000</v>
      </c>
      <c r="BI143" s="62">
        <v>20000</v>
      </c>
      <c r="BJ143" s="62">
        <v>20000</v>
      </c>
      <c r="BK143" s="190">
        <f t="shared" ref="BK143" si="711">SUM(AY143:BJ143)</f>
        <v>240000</v>
      </c>
      <c r="BL143" s="197">
        <f t="shared" si="707"/>
        <v>3.4364742392870278E-3</v>
      </c>
      <c r="BM143" s="62">
        <v>20000</v>
      </c>
      <c r="BN143" s="62">
        <v>20000</v>
      </c>
      <c r="BO143" s="62">
        <v>20000</v>
      </c>
      <c r="BP143" s="62">
        <v>20000</v>
      </c>
      <c r="BQ143" s="62">
        <v>0</v>
      </c>
      <c r="BR143" s="62">
        <v>0</v>
      </c>
      <c r="BS143" s="62">
        <v>0</v>
      </c>
      <c r="BT143" s="62">
        <v>0</v>
      </c>
      <c r="BU143" s="62">
        <v>0</v>
      </c>
      <c r="BV143" s="62">
        <v>0</v>
      </c>
      <c r="BW143" s="62">
        <v>0</v>
      </c>
      <c r="BX143" s="62">
        <v>0</v>
      </c>
      <c r="BY143" s="190">
        <f t="shared" ref="BY143" si="712">SUM(BM143:BX143)</f>
        <v>80000</v>
      </c>
      <c r="BZ143" s="197">
        <f t="shared" si="708"/>
        <v>1.8330591764202601E-3</v>
      </c>
      <c r="CA143" s="62">
        <v>0</v>
      </c>
      <c r="CB143" s="62">
        <v>0</v>
      </c>
      <c r="CC143" s="62">
        <v>0</v>
      </c>
      <c r="CD143" s="62">
        <v>0</v>
      </c>
      <c r="CE143" s="62">
        <v>0</v>
      </c>
      <c r="CF143" s="62">
        <v>0</v>
      </c>
      <c r="CG143" s="62">
        <v>0</v>
      </c>
      <c r="CH143" s="62">
        <v>0</v>
      </c>
      <c r="CI143" s="62">
        <v>0</v>
      </c>
      <c r="CJ143" s="62">
        <v>0</v>
      </c>
      <c r="CK143" s="62">
        <v>0</v>
      </c>
      <c r="CL143" s="62">
        <v>0</v>
      </c>
      <c r="CM143" s="190">
        <f t="shared" ref="CM143" si="713">SUM(CA143:CL143)</f>
        <v>0</v>
      </c>
      <c r="CN143" s="62">
        <v>0</v>
      </c>
      <c r="CO143" s="62">
        <v>0</v>
      </c>
      <c r="CP143" s="62">
        <v>0</v>
      </c>
      <c r="CQ143" s="62">
        <v>0</v>
      </c>
      <c r="CR143" s="62">
        <v>0</v>
      </c>
      <c r="CS143" s="62">
        <v>0</v>
      </c>
      <c r="CT143" s="62">
        <v>0</v>
      </c>
      <c r="CU143" s="62">
        <v>0</v>
      </c>
      <c r="CV143" s="62">
        <v>0</v>
      </c>
      <c r="CW143" s="62">
        <v>0</v>
      </c>
      <c r="CX143" s="62">
        <v>0</v>
      </c>
      <c r="CY143" s="62">
        <v>0</v>
      </c>
      <c r="CZ143" s="190">
        <f t="shared" ref="CZ143" si="714">SUM(CN143:CY143)</f>
        <v>0</v>
      </c>
      <c r="DA143" s="62">
        <v>0</v>
      </c>
      <c r="DB143" s="62">
        <v>0</v>
      </c>
      <c r="DC143" s="62">
        <v>0</v>
      </c>
      <c r="DD143" s="62">
        <v>0</v>
      </c>
      <c r="DE143" s="62">
        <v>0</v>
      </c>
      <c r="DF143" s="62">
        <v>0</v>
      </c>
      <c r="DG143" s="62">
        <v>0</v>
      </c>
      <c r="DH143" s="62">
        <v>0</v>
      </c>
      <c r="DI143" s="62">
        <v>0</v>
      </c>
      <c r="DJ143" s="62">
        <v>0</v>
      </c>
      <c r="DK143" s="62">
        <v>0</v>
      </c>
      <c r="DL143" s="62">
        <v>0</v>
      </c>
      <c r="DM143" s="190">
        <f t="shared" ref="DM143" si="715">SUM(DA143:DL143)</f>
        <v>0</v>
      </c>
      <c r="DN143" s="62">
        <v>0</v>
      </c>
      <c r="DO143" s="62">
        <v>0</v>
      </c>
      <c r="DP143" s="62">
        <v>0</v>
      </c>
      <c r="DQ143" s="62">
        <v>0</v>
      </c>
      <c r="DR143" s="62">
        <v>0</v>
      </c>
      <c r="DS143" s="62">
        <v>0</v>
      </c>
      <c r="DT143" s="62">
        <v>0</v>
      </c>
      <c r="DU143" s="62">
        <v>0</v>
      </c>
      <c r="DV143" s="62">
        <v>0</v>
      </c>
      <c r="DW143" s="62">
        <v>0</v>
      </c>
      <c r="DX143" s="62">
        <v>0</v>
      </c>
      <c r="DY143" s="62">
        <v>0</v>
      </c>
      <c r="DZ143" s="190">
        <f t="shared" ref="DZ143" si="716">SUM(DN143:DY143)</f>
        <v>0</v>
      </c>
    </row>
    <row r="144" spans="1:130" ht="20.45" customHeight="1" outlineLevel="2">
      <c r="A144" s="662"/>
      <c r="B144" s="637"/>
      <c r="C144" s="30" t="s">
        <v>380</v>
      </c>
      <c r="D144" s="62">
        <f t="shared" si="661"/>
        <v>8203637.9999999972</v>
      </c>
      <c r="E144" s="184">
        <f t="shared" si="702"/>
        <v>2.538208365923373E-2</v>
      </c>
      <c r="F144" s="62">
        <v>0</v>
      </c>
      <c r="G144" s="190">
        <f t="shared" si="433"/>
        <v>0</v>
      </c>
      <c r="H144" s="197">
        <f t="shared" si="703"/>
        <v>0</v>
      </c>
      <c r="I144" s="62">
        <v>0</v>
      </c>
      <c r="J144" s="62">
        <v>0</v>
      </c>
      <c r="K144" s="62">
        <v>0</v>
      </c>
      <c r="L144" s="62">
        <v>5000</v>
      </c>
      <c r="M144" s="62">
        <v>0</v>
      </c>
      <c r="N144" s="62">
        <v>0</v>
      </c>
      <c r="O144" s="62">
        <v>0</v>
      </c>
      <c r="P144" s="62">
        <v>0</v>
      </c>
      <c r="Q144" s="62">
        <v>0</v>
      </c>
      <c r="R144" s="62">
        <v>0</v>
      </c>
      <c r="S144" s="62">
        <v>5250</v>
      </c>
      <c r="T144" s="62">
        <v>400</v>
      </c>
      <c r="U144" s="190">
        <f t="shared" si="423"/>
        <v>10650</v>
      </c>
      <c r="V144" s="197">
        <f t="shared" si="704"/>
        <v>1.9196107743120461E-4</v>
      </c>
      <c r="W144" s="62">
        <v>35000</v>
      </c>
      <c r="X144" s="62">
        <v>0</v>
      </c>
      <c r="Y144" s="62">
        <v>0</v>
      </c>
      <c r="Z144" s="62">
        <v>5000</v>
      </c>
      <c r="AA144" s="62">
        <v>0</v>
      </c>
      <c r="AB144" s="62">
        <v>0</v>
      </c>
      <c r="AC144" s="62">
        <v>6500000</v>
      </c>
      <c r="AD144" s="62">
        <v>0</v>
      </c>
      <c r="AE144" s="62">
        <v>0</v>
      </c>
      <c r="AF144" s="62">
        <v>299970</v>
      </c>
      <c r="AG144" s="62">
        <v>0</v>
      </c>
      <c r="AH144" s="62">
        <f>15100+9700</f>
        <v>24800</v>
      </c>
      <c r="AI144" s="190">
        <f t="shared" si="424"/>
        <v>6864770</v>
      </c>
      <c r="AJ144" s="197">
        <f t="shared" si="705"/>
        <v>9.3298329725903559E-2</v>
      </c>
      <c r="AK144" s="62">
        <f>-4850</f>
        <v>-4850</v>
      </c>
      <c r="AL144" s="62">
        <v>0</v>
      </c>
      <c r="AM144" s="62">
        <v>0</v>
      </c>
      <c r="AN144" s="62">
        <v>0</v>
      </c>
      <c r="AO144" s="62">
        <v>0</v>
      </c>
      <c r="AP144" s="62">
        <f>50000+3400</f>
        <v>53400</v>
      </c>
      <c r="AQ144" s="62">
        <f>18000</f>
        <v>18000</v>
      </c>
      <c r="AR144" s="62">
        <v>0</v>
      </c>
      <c r="AS144" s="62">
        <f>108160</f>
        <v>108160</v>
      </c>
      <c r="AT144" s="62">
        <v>0</v>
      </c>
      <c r="AU144" s="62">
        <f>10000+28710</f>
        <v>38710</v>
      </c>
      <c r="AV144" s="62">
        <f>100000+2000+8000</f>
        <v>110000</v>
      </c>
      <c r="AW144" s="190">
        <f t="shared" si="425"/>
        <v>323420</v>
      </c>
      <c r="AX144" s="197">
        <f t="shared" si="706"/>
        <v>4.2394978343522462E-3</v>
      </c>
      <c r="AY144" s="62">
        <v>0</v>
      </c>
      <c r="AZ144" s="62">
        <v>400</v>
      </c>
      <c r="BA144" s="62">
        <v>0</v>
      </c>
      <c r="BB144" s="62">
        <f>12000+5300</f>
        <v>17300</v>
      </c>
      <c r="BC144" s="62">
        <f>-1</f>
        <v>-1</v>
      </c>
      <c r="BD144" s="62">
        <v>320000</v>
      </c>
      <c r="BE144" s="62">
        <v>0</v>
      </c>
      <c r="BF144" s="62">
        <v>320000</v>
      </c>
      <c r="BG144" s="62">
        <f>-160000+150000+20000+17000</f>
        <v>27000</v>
      </c>
      <c r="BH144" s="62">
        <f>50000</f>
        <v>50000</v>
      </c>
      <c r="BI144" s="62">
        <f>3000+39900+4000+3000+16487</f>
        <v>66387</v>
      </c>
      <c r="BJ144" s="62">
        <f>42657</f>
        <v>42657</v>
      </c>
      <c r="BK144" s="190">
        <f t="shared" si="426"/>
        <v>843743</v>
      </c>
      <c r="BL144" s="197">
        <f t="shared" si="707"/>
        <v>1.2081254516994811E-2</v>
      </c>
      <c r="BM144" s="62">
        <v>0</v>
      </c>
      <c r="BN144" s="62">
        <v>0</v>
      </c>
      <c r="BO144" s="62">
        <v>0</v>
      </c>
      <c r="BP144" s="62">
        <f>8000+24555+100000</f>
        <v>132555</v>
      </c>
      <c r="BQ144" s="62">
        <f>28500</f>
        <v>28500</v>
      </c>
      <c r="BR144" s="62">
        <v>0</v>
      </c>
      <c r="BS144" s="62">
        <v>0</v>
      </c>
      <c r="BT144" s="62">
        <v>0</v>
      </c>
      <c r="BU144" s="62">
        <v>0</v>
      </c>
      <c r="BV144" s="62">
        <v>0</v>
      </c>
      <c r="BW144" s="62">
        <v>0</v>
      </c>
      <c r="BX144" s="62">
        <v>0</v>
      </c>
      <c r="BY144" s="190">
        <f t="shared" si="427"/>
        <v>161055</v>
      </c>
      <c r="BZ144" s="197">
        <f t="shared" si="708"/>
        <v>3.6902918207295621E-3</v>
      </c>
      <c r="CA144" s="62">
        <v>0</v>
      </c>
      <c r="CB144" s="62">
        <v>0</v>
      </c>
      <c r="CC144" s="62">
        <v>0</v>
      </c>
      <c r="CD144" s="62">
        <v>0</v>
      </c>
      <c r="CE144" s="62">
        <v>0</v>
      </c>
      <c r="CF144" s="62">
        <v>0</v>
      </c>
      <c r="CG144" s="62">
        <v>0</v>
      </c>
      <c r="CH144" s="62">
        <v>0</v>
      </c>
      <c r="CI144" s="62">
        <v>0</v>
      </c>
      <c r="CJ144" s="62">
        <v>0</v>
      </c>
      <c r="CK144" s="62">
        <v>0</v>
      </c>
      <c r="CL144" s="62">
        <v>0</v>
      </c>
      <c r="CM144" s="190">
        <f t="shared" si="428"/>
        <v>0</v>
      </c>
      <c r="CN144" s="62">
        <v>0</v>
      </c>
      <c r="CO144" s="62">
        <v>0</v>
      </c>
      <c r="CP144" s="62">
        <v>0</v>
      </c>
      <c r="CQ144" s="62">
        <v>0</v>
      </c>
      <c r="CR144" s="62">
        <v>0</v>
      </c>
      <c r="CS144" s="62">
        <v>0</v>
      </c>
      <c r="CT144" s="62">
        <v>0</v>
      </c>
      <c r="CU144" s="62">
        <v>0</v>
      </c>
      <c r="CV144" s="62">
        <v>0</v>
      </c>
      <c r="CW144" s="62">
        <v>0</v>
      </c>
      <c r="CX144" s="62">
        <v>0</v>
      </c>
      <c r="CY144" s="62">
        <v>0</v>
      </c>
      <c r="CZ144" s="190">
        <f t="shared" si="429"/>
        <v>0</v>
      </c>
      <c r="DA144" s="62">
        <v>0</v>
      </c>
      <c r="DB144" s="62">
        <v>0</v>
      </c>
      <c r="DC144" s="62">
        <v>0</v>
      </c>
      <c r="DD144" s="62">
        <v>0</v>
      </c>
      <c r="DE144" s="62">
        <v>0</v>
      </c>
      <c r="DF144" s="62">
        <v>0</v>
      </c>
      <c r="DG144" s="62">
        <v>0</v>
      </c>
      <c r="DH144" s="62">
        <v>0</v>
      </c>
      <c r="DI144" s="62">
        <v>0</v>
      </c>
      <c r="DJ144" s="62">
        <v>0</v>
      </c>
      <c r="DK144" s="62">
        <v>0</v>
      </c>
      <c r="DL144" s="62">
        <v>0</v>
      </c>
      <c r="DM144" s="190">
        <f t="shared" si="430"/>
        <v>0</v>
      </c>
      <c r="DN144" s="62">
        <v>0</v>
      </c>
      <c r="DO144" s="62">
        <v>0</v>
      </c>
      <c r="DP144" s="62">
        <v>0</v>
      </c>
      <c r="DQ144" s="62">
        <v>0</v>
      </c>
      <c r="DR144" s="62">
        <v>0</v>
      </c>
      <c r="DS144" s="62">
        <v>0</v>
      </c>
      <c r="DT144" s="62">
        <v>0</v>
      </c>
      <c r="DU144" s="62">
        <v>0</v>
      </c>
      <c r="DV144" s="62">
        <v>0</v>
      </c>
      <c r="DW144" s="62">
        <v>0</v>
      </c>
      <c r="DX144" s="62">
        <v>0</v>
      </c>
      <c r="DY144" s="62">
        <v>0</v>
      </c>
      <c r="DZ144" s="190">
        <f t="shared" si="431"/>
        <v>0</v>
      </c>
    </row>
    <row r="145" spans="1:130" s="194" customFormat="1" ht="20.45" customHeight="1">
      <c r="A145" s="638" t="s">
        <v>381</v>
      </c>
      <c r="B145" s="67"/>
      <c r="C145" s="328" t="s">
        <v>2635</v>
      </c>
      <c r="D145" s="68">
        <f t="shared" si="661"/>
        <v>75180610</v>
      </c>
      <c r="E145" s="188">
        <f>SUM(E146)</f>
        <v>0.23260906107415083</v>
      </c>
      <c r="F145" s="62">
        <f t="shared" ref="F145:DY150" si="717">SUM(F146)</f>
        <v>916411</v>
      </c>
      <c r="G145" s="193">
        <f t="shared" si="433"/>
        <v>916411</v>
      </c>
      <c r="H145" s="196">
        <f>SUM(H146)</f>
        <v>0.20932637871310592</v>
      </c>
      <c r="I145" s="192">
        <f t="shared" si="717"/>
        <v>1225415</v>
      </c>
      <c r="J145" s="192">
        <f t="shared" si="717"/>
        <v>0</v>
      </c>
      <c r="K145" s="192">
        <f t="shared" si="717"/>
        <v>1000000</v>
      </c>
      <c r="L145" s="192">
        <f t="shared" si="717"/>
        <v>2000000</v>
      </c>
      <c r="M145" s="192">
        <f t="shared" si="717"/>
        <v>1000000</v>
      </c>
      <c r="N145" s="192">
        <f t="shared" si="717"/>
        <v>0</v>
      </c>
      <c r="O145" s="192">
        <f t="shared" si="717"/>
        <v>1000000</v>
      </c>
      <c r="P145" s="192">
        <f t="shared" si="717"/>
        <v>1000000</v>
      </c>
      <c r="Q145" s="192">
        <f t="shared" si="717"/>
        <v>1000000</v>
      </c>
      <c r="R145" s="192">
        <f t="shared" si="717"/>
        <v>1000000</v>
      </c>
      <c r="S145" s="192">
        <f t="shared" si="717"/>
        <v>1000000</v>
      </c>
      <c r="T145" s="192">
        <f t="shared" si="717"/>
        <v>1000000</v>
      </c>
      <c r="U145" s="193">
        <f t="shared" si="423"/>
        <v>11225415</v>
      </c>
      <c r="V145" s="196">
        <f>SUM(V146)</f>
        <v>0.20233265333449821</v>
      </c>
      <c r="W145" s="192">
        <f t="shared" si="717"/>
        <v>1000000</v>
      </c>
      <c r="X145" s="192">
        <f t="shared" si="717"/>
        <v>1577720</v>
      </c>
      <c r="Y145" s="192">
        <f t="shared" si="717"/>
        <v>2744958</v>
      </c>
      <c r="Z145" s="192">
        <f t="shared" si="717"/>
        <v>1337600</v>
      </c>
      <c r="AA145" s="192">
        <f t="shared" si="717"/>
        <v>1700410</v>
      </c>
      <c r="AB145" s="192">
        <f t="shared" si="717"/>
        <v>1300000</v>
      </c>
      <c r="AC145" s="192">
        <f t="shared" si="717"/>
        <v>1632700</v>
      </c>
      <c r="AD145" s="192">
        <f t="shared" si="717"/>
        <v>1300000</v>
      </c>
      <c r="AE145" s="192">
        <f t="shared" si="717"/>
        <v>1300000</v>
      </c>
      <c r="AF145" s="192">
        <f t="shared" si="717"/>
        <v>1352500</v>
      </c>
      <c r="AG145" s="192">
        <f t="shared" si="717"/>
        <v>1300000</v>
      </c>
      <c r="AH145" s="192">
        <f t="shared" si="717"/>
        <v>1300000</v>
      </c>
      <c r="AI145" s="193">
        <f t="shared" si="424"/>
        <v>17845888</v>
      </c>
      <c r="AJ145" s="196">
        <f>SUM(AJ146)</f>
        <v>0.24254148979143447</v>
      </c>
      <c r="AK145" s="192">
        <f t="shared" si="717"/>
        <v>1800000</v>
      </c>
      <c r="AL145" s="192">
        <f t="shared" si="717"/>
        <v>2713340</v>
      </c>
      <c r="AM145" s="192">
        <f t="shared" si="717"/>
        <v>1660000</v>
      </c>
      <c r="AN145" s="192">
        <f t="shared" si="717"/>
        <v>1300000</v>
      </c>
      <c r="AO145" s="192">
        <f t="shared" si="717"/>
        <v>1300000</v>
      </c>
      <c r="AP145" s="192">
        <f t="shared" si="717"/>
        <v>1300000</v>
      </c>
      <c r="AQ145" s="192">
        <f t="shared" si="717"/>
        <v>1300000</v>
      </c>
      <c r="AR145" s="192">
        <f t="shared" si="717"/>
        <v>1300000</v>
      </c>
      <c r="AS145" s="192">
        <f t="shared" si="717"/>
        <v>1300000</v>
      </c>
      <c r="AT145" s="192">
        <f t="shared" si="717"/>
        <v>1300000</v>
      </c>
      <c r="AU145" s="192">
        <f t="shared" si="717"/>
        <v>1300000</v>
      </c>
      <c r="AV145" s="192">
        <f t="shared" si="717"/>
        <v>2019556</v>
      </c>
      <c r="AW145" s="193">
        <f t="shared" si="425"/>
        <v>18592896</v>
      </c>
      <c r="AX145" s="196">
        <f>SUM(AX146)</f>
        <v>0.24372191678417088</v>
      </c>
      <c r="AY145" s="192">
        <f t="shared" si="717"/>
        <v>1300000</v>
      </c>
      <c r="AZ145" s="192">
        <f t="shared" si="717"/>
        <v>1300000</v>
      </c>
      <c r="BA145" s="192">
        <f t="shared" si="717"/>
        <v>4300000</v>
      </c>
      <c r="BB145" s="192">
        <f t="shared" si="717"/>
        <v>3300000</v>
      </c>
      <c r="BC145" s="192">
        <f t="shared" si="717"/>
        <v>1300000</v>
      </c>
      <c r="BD145" s="192">
        <f t="shared" si="717"/>
        <v>0</v>
      </c>
      <c r="BE145" s="192">
        <f t="shared" si="717"/>
        <v>0</v>
      </c>
      <c r="BF145" s="192">
        <f t="shared" si="717"/>
        <v>0</v>
      </c>
      <c r="BG145" s="192">
        <f t="shared" si="717"/>
        <v>1500000</v>
      </c>
      <c r="BH145" s="192">
        <f t="shared" si="717"/>
        <v>2500000</v>
      </c>
      <c r="BI145" s="192">
        <f t="shared" si="717"/>
        <v>1500000</v>
      </c>
      <c r="BJ145" s="192">
        <f t="shared" si="717"/>
        <v>1500000</v>
      </c>
      <c r="BK145" s="193">
        <f t="shared" si="426"/>
        <v>18500000</v>
      </c>
      <c r="BL145" s="196">
        <f>SUM(BL146)</f>
        <v>0.26489488927837507</v>
      </c>
      <c r="BM145" s="192">
        <f t="shared" si="717"/>
        <v>1500000</v>
      </c>
      <c r="BN145" s="192">
        <f t="shared" si="717"/>
        <v>1500000</v>
      </c>
      <c r="BO145" s="192">
        <f t="shared" si="717"/>
        <v>1500000</v>
      </c>
      <c r="BP145" s="192">
        <f t="shared" si="717"/>
        <v>1800000</v>
      </c>
      <c r="BQ145" s="192">
        <f t="shared" si="717"/>
        <v>1800000</v>
      </c>
      <c r="BR145" s="192">
        <f t="shared" si="717"/>
        <v>0</v>
      </c>
      <c r="BS145" s="192">
        <f t="shared" si="717"/>
        <v>0</v>
      </c>
      <c r="BT145" s="192">
        <f t="shared" si="717"/>
        <v>0</v>
      </c>
      <c r="BU145" s="192">
        <f t="shared" si="717"/>
        <v>0</v>
      </c>
      <c r="BV145" s="192">
        <f t="shared" si="717"/>
        <v>0</v>
      </c>
      <c r="BW145" s="192">
        <f t="shared" si="717"/>
        <v>0</v>
      </c>
      <c r="BX145" s="192">
        <f t="shared" si="717"/>
        <v>0</v>
      </c>
      <c r="BY145" s="193">
        <f t="shared" si="427"/>
        <v>8100000</v>
      </c>
      <c r="BZ145" s="196">
        <f>SUM(BZ146)</f>
        <v>0.18559724161255131</v>
      </c>
      <c r="CA145" s="192">
        <f t="shared" si="717"/>
        <v>0</v>
      </c>
      <c r="CB145" s="192">
        <f t="shared" si="717"/>
        <v>0</v>
      </c>
      <c r="CC145" s="192">
        <f t="shared" si="717"/>
        <v>0</v>
      </c>
      <c r="CD145" s="192">
        <f t="shared" si="717"/>
        <v>0</v>
      </c>
      <c r="CE145" s="192">
        <f t="shared" si="717"/>
        <v>0</v>
      </c>
      <c r="CF145" s="192">
        <f t="shared" si="717"/>
        <v>0</v>
      </c>
      <c r="CG145" s="192">
        <f t="shared" si="717"/>
        <v>0</v>
      </c>
      <c r="CH145" s="192">
        <f t="shared" si="717"/>
        <v>0</v>
      </c>
      <c r="CI145" s="192">
        <f t="shared" si="717"/>
        <v>0</v>
      </c>
      <c r="CJ145" s="192">
        <f t="shared" si="717"/>
        <v>0</v>
      </c>
      <c r="CK145" s="192">
        <f t="shared" si="717"/>
        <v>0</v>
      </c>
      <c r="CL145" s="192">
        <f t="shared" si="717"/>
        <v>0</v>
      </c>
      <c r="CM145" s="193">
        <f t="shared" si="428"/>
        <v>0</v>
      </c>
      <c r="CN145" s="192">
        <f t="shared" si="717"/>
        <v>0</v>
      </c>
      <c r="CO145" s="192">
        <f t="shared" si="717"/>
        <v>0</v>
      </c>
      <c r="CP145" s="192">
        <f t="shared" si="717"/>
        <v>0</v>
      </c>
      <c r="CQ145" s="192">
        <f t="shared" si="717"/>
        <v>0</v>
      </c>
      <c r="CR145" s="192">
        <f t="shared" si="717"/>
        <v>0</v>
      </c>
      <c r="CS145" s="192">
        <f t="shared" si="717"/>
        <v>0</v>
      </c>
      <c r="CT145" s="192">
        <f t="shared" si="717"/>
        <v>0</v>
      </c>
      <c r="CU145" s="192">
        <f t="shared" si="717"/>
        <v>0</v>
      </c>
      <c r="CV145" s="192">
        <f t="shared" si="717"/>
        <v>0</v>
      </c>
      <c r="CW145" s="192">
        <f t="shared" si="717"/>
        <v>0</v>
      </c>
      <c r="CX145" s="192">
        <f t="shared" si="717"/>
        <v>0</v>
      </c>
      <c r="CY145" s="192">
        <f t="shared" si="717"/>
        <v>0</v>
      </c>
      <c r="CZ145" s="193">
        <f t="shared" si="429"/>
        <v>0</v>
      </c>
      <c r="DA145" s="192">
        <f t="shared" si="717"/>
        <v>0</v>
      </c>
      <c r="DB145" s="192">
        <f t="shared" si="717"/>
        <v>0</v>
      </c>
      <c r="DC145" s="192">
        <f t="shared" si="717"/>
        <v>0</v>
      </c>
      <c r="DD145" s="192">
        <f t="shared" si="717"/>
        <v>0</v>
      </c>
      <c r="DE145" s="192">
        <f t="shared" si="717"/>
        <v>0</v>
      </c>
      <c r="DF145" s="192">
        <f t="shared" si="717"/>
        <v>0</v>
      </c>
      <c r="DG145" s="192">
        <f t="shared" si="717"/>
        <v>0</v>
      </c>
      <c r="DH145" s="192">
        <f t="shared" si="717"/>
        <v>0</v>
      </c>
      <c r="DI145" s="192">
        <f t="shared" si="717"/>
        <v>0</v>
      </c>
      <c r="DJ145" s="192">
        <f t="shared" si="717"/>
        <v>0</v>
      </c>
      <c r="DK145" s="192">
        <f t="shared" si="717"/>
        <v>0</v>
      </c>
      <c r="DL145" s="192">
        <f t="shared" si="717"/>
        <v>0</v>
      </c>
      <c r="DM145" s="193">
        <f t="shared" si="430"/>
        <v>0</v>
      </c>
      <c r="DN145" s="192">
        <f t="shared" si="717"/>
        <v>0</v>
      </c>
      <c r="DO145" s="192">
        <f t="shared" si="717"/>
        <v>0</v>
      </c>
      <c r="DP145" s="192">
        <f t="shared" si="717"/>
        <v>0</v>
      </c>
      <c r="DQ145" s="192">
        <f t="shared" si="717"/>
        <v>0</v>
      </c>
      <c r="DR145" s="192">
        <f t="shared" si="717"/>
        <v>0</v>
      </c>
      <c r="DS145" s="192">
        <f t="shared" si="717"/>
        <v>0</v>
      </c>
      <c r="DT145" s="192">
        <f t="shared" si="717"/>
        <v>0</v>
      </c>
      <c r="DU145" s="192">
        <f t="shared" si="717"/>
        <v>0</v>
      </c>
      <c r="DV145" s="192">
        <f t="shared" si="717"/>
        <v>0</v>
      </c>
      <c r="DW145" s="192">
        <f t="shared" si="717"/>
        <v>0</v>
      </c>
      <c r="DX145" s="192">
        <f t="shared" si="717"/>
        <v>0</v>
      </c>
      <c r="DY145" s="192">
        <f t="shared" si="717"/>
        <v>0</v>
      </c>
      <c r="DZ145" s="193">
        <f t="shared" si="431"/>
        <v>0</v>
      </c>
    </row>
    <row r="146" spans="1:130" ht="20.45" customHeight="1" outlineLevel="2">
      <c r="A146" s="639"/>
      <c r="B146" s="640" t="s">
        <v>2879</v>
      </c>
      <c r="C146" s="641"/>
      <c r="D146" s="62">
        <f t="shared" si="661"/>
        <v>75180610</v>
      </c>
      <c r="E146" s="184">
        <f t="shared" ref="E146" si="718">D146/(D$5+D$6+D$7+D$8+D$10+D$9)</f>
        <v>0.23260906107415083</v>
      </c>
      <c r="F146" s="62">
        <v>916411</v>
      </c>
      <c r="G146" s="190">
        <f t="shared" si="433"/>
        <v>916411</v>
      </c>
      <c r="H146" s="197">
        <f>G146/(G$5+G$6+G$7+G$8+G$10+G$9)</f>
        <v>0.20932637871310592</v>
      </c>
      <c r="I146" s="62">
        <v>1225415</v>
      </c>
      <c r="J146" s="62">
        <v>0</v>
      </c>
      <c r="K146" s="62">
        <v>1000000</v>
      </c>
      <c r="L146" s="62">
        <v>2000000</v>
      </c>
      <c r="M146" s="62">
        <v>1000000</v>
      </c>
      <c r="N146" s="62">
        <v>0</v>
      </c>
      <c r="O146" s="62">
        <v>1000000</v>
      </c>
      <c r="P146" s="62">
        <v>1000000</v>
      </c>
      <c r="Q146" s="62">
        <v>1000000</v>
      </c>
      <c r="R146" s="62">
        <v>1000000</v>
      </c>
      <c r="S146" s="62">
        <v>1000000</v>
      </c>
      <c r="T146" s="62">
        <v>1000000</v>
      </c>
      <c r="U146" s="190">
        <f t="shared" si="423"/>
        <v>11225415</v>
      </c>
      <c r="V146" s="197">
        <f>U146/(U$5+U$6+U$7+U$8+U$10+U$9)</f>
        <v>0.20233265333449821</v>
      </c>
      <c r="W146" s="62">
        <v>1000000</v>
      </c>
      <c r="X146" s="62">
        <v>1577720</v>
      </c>
      <c r="Y146" s="62">
        <f>1300000+1444958</f>
        <v>2744958</v>
      </c>
      <c r="Z146" s="62">
        <f>1300000+37600</f>
        <v>1337600</v>
      </c>
      <c r="AA146" s="62">
        <f>IF(AA5=0,0,1300000)+400410</f>
        <v>1700410</v>
      </c>
      <c r="AB146" s="62">
        <f>IF(AB5=0,0,1300000)</f>
        <v>1300000</v>
      </c>
      <c r="AC146" s="62">
        <f>IF(AC5=0,0,1300000)+32700+300000</f>
        <v>1632700</v>
      </c>
      <c r="AD146" s="62">
        <f>IF(AD5=0,0,1300000)</f>
        <v>1300000</v>
      </c>
      <c r="AE146" s="62">
        <f>IF(AE5=0,0,1300000)</f>
        <v>1300000</v>
      </c>
      <c r="AF146" s="62">
        <f>IF(AF5=0,0,1300000)+52500</f>
        <v>1352500</v>
      </c>
      <c r="AG146" s="62">
        <f>IF(AG5=0,0,1300000)</f>
        <v>1300000</v>
      </c>
      <c r="AH146" s="62">
        <f>IF(AH5=0,0,1300000)</f>
        <v>1300000</v>
      </c>
      <c r="AI146" s="190">
        <f t="shared" si="424"/>
        <v>17845888</v>
      </c>
      <c r="AJ146" s="197">
        <f>AI146/(AI$5+AI$6+AI$7+AI$8+AI$10+AI$9)</f>
        <v>0.24254148979143447</v>
      </c>
      <c r="AK146" s="62">
        <f>IF(AK5=0,0,1300000)+500000</f>
        <v>1800000</v>
      </c>
      <c r="AL146" s="62">
        <f>IF(AL5=0,0,1300000)+1413340</f>
        <v>2713340</v>
      </c>
      <c r="AM146" s="62">
        <f>IF(AM5=0,0,1300000)+360000</f>
        <v>1660000</v>
      </c>
      <c r="AN146" s="62">
        <f t="shared" ref="AN146:AU146" si="719">IF(AN5=0,0,1300000)</f>
        <v>1300000</v>
      </c>
      <c r="AO146" s="62">
        <f t="shared" si="719"/>
        <v>1300000</v>
      </c>
      <c r="AP146" s="62">
        <f t="shared" si="719"/>
        <v>1300000</v>
      </c>
      <c r="AQ146" s="62">
        <f t="shared" si="719"/>
        <v>1300000</v>
      </c>
      <c r="AR146" s="62">
        <f t="shared" si="719"/>
        <v>1300000</v>
      </c>
      <c r="AS146" s="62">
        <f t="shared" si="719"/>
        <v>1300000</v>
      </c>
      <c r="AT146" s="62">
        <f t="shared" si="719"/>
        <v>1300000</v>
      </c>
      <c r="AU146" s="62">
        <f t="shared" si="719"/>
        <v>1300000</v>
      </c>
      <c r="AV146" s="62">
        <f>IF(AV5=0,0,1300000)+219556+500000</f>
        <v>2019556</v>
      </c>
      <c r="AW146" s="190">
        <f t="shared" si="425"/>
        <v>18592896</v>
      </c>
      <c r="AX146" s="197">
        <f>AW146/(AW$5+AW$6+AW$7+AW$8+AW$10+AW$9)</f>
        <v>0.24372191678417088</v>
      </c>
      <c r="AY146" s="62">
        <f t="shared" ref="AY146:BC146" si="720">IF(AY5=0,0,1300000)</f>
        <v>1300000</v>
      </c>
      <c r="AZ146" s="62">
        <f t="shared" si="720"/>
        <v>1300000</v>
      </c>
      <c r="BA146" s="62">
        <f>IF(BA5=0,0,1300000)+3000000</f>
        <v>4300000</v>
      </c>
      <c r="BB146" s="62">
        <f>IF(BB5=0,0,1300000)+2000000</f>
        <v>3300000</v>
      </c>
      <c r="BC146" s="62">
        <f t="shared" si="720"/>
        <v>1300000</v>
      </c>
      <c r="BD146" s="62">
        <v>0</v>
      </c>
      <c r="BE146" s="62">
        <v>0</v>
      </c>
      <c r="BF146" s="62">
        <v>0</v>
      </c>
      <c r="BG146" s="62">
        <f>IF(BG5=0,0,1500000)</f>
        <v>1500000</v>
      </c>
      <c r="BH146" s="62">
        <f>IF(BH5=0,0,1500000)+1000000</f>
        <v>2500000</v>
      </c>
      <c r="BI146" s="62">
        <f t="shared" ref="BI146:BJ146" si="721">IF(BI5=0,0,1500000)</f>
        <v>1500000</v>
      </c>
      <c r="BJ146" s="62">
        <f t="shared" si="721"/>
        <v>1500000</v>
      </c>
      <c r="BK146" s="190">
        <f t="shared" si="426"/>
        <v>18500000</v>
      </c>
      <c r="BL146" s="197">
        <f>BK146/(BK$5+BK$6+BK$7+BK$8+BK$10+BK$9)</f>
        <v>0.26489488927837507</v>
      </c>
      <c r="BM146" s="62">
        <f t="shared" ref="BM146:BO146" si="722">IF(BM5=0,0,1500000)</f>
        <v>1500000</v>
      </c>
      <c r="BN146" s="62">
        <f t="shared" si="722"/>
        <v>1500000</v>
      </c>
      <c r="BO146" s="62">
        <f t="shared" si="722"/>
        <v>1500000</v>
      </c>
      <c r="BP146" s="62">
        <f>IF(BP5=0,0,1800000)</f>
        <v>1800000</v>
      </c>
      <c r="BQ146" s="62">
        <f t="shared" ref="BQ146:BX146" si="723">IF(BQ5=0,0,1800000)</f>
        <v>1800000</v>
      </c>
      <c r="BR146" s="62">
        <f t="shared" si="723"/>
        <v>0</v>
      </c>
      <c r="BS146" s="62">
        <f t="shared" si="723"/>
        <v>0</v>
      </c>
      <c r="BT146" s="62">
        <f t="shared" si="723"/>
        <v>0</v>
      </c>
      <c r="BU146" s="62">
        <f t="shared" si="723"/>
        <v>0</v>
      </c>
      <c r="BV146" s="62">
        <f t="shared" si="723"/>
        <v>0</v>
      </c>
      <c r="BW146" s="62">
        <f t="shared" si="723"/>
        <v>0</v>
      </c>
      <c r="BX146" s="62">
        <f t="shared" si="723"/>
        <v>0</v>
      </c>
      <c r="BY146" s="190">
        <f t="shared" si="427"/>
        <v>8100000</v>
      </c>
      <c r="BZ146" s="197">
        <f>BY146/(BY$5+BY$6+BY$7+BY$8+BY$10+BY$9)</f>
        <v>0.18559724161255131</v>
      </c>
      <c r="CA146" s="62">
        <f t="shared" ref="CA146:DY146" si="724">IF(CA5=0,0,1800000)</f>
        <v>0</v>
      </c>
      <c r="CB146" s="62">
        <f t="shared" si="724"/>
        <v>0</v>
      </c>
      <c r="CC146" s="62">
        <f t="shared" si="724"/>
        <v>0</v>
      </c>
      <c r="CD146" s="62">
        <f t="shared" si="724"/>
        <v>0</v>
      </c>
      <c r="CE146" s="62">
        <f t="shared" si="724"/>
        <v>0</v>
      </c>
      <c r="CF146" s="62">
        <f t="shared" si="724"/>
        <v>0</v>
      </c>
      <c r="CG146" s="62">
        <f t="shared" si="724"/>
        <v>0</v>
      </c>
      <c r="CH146" s="62">
        <f t="shared" si="724"/>
        <v>0</v>
      </c>
      <c r="CI146" s="62">
        <f t="shared" si="724"/>
        <v>0</v>
      </c>
      <c r="CJ146" s="62">
        <f t="shared" si="724"/>
        <v>0</v>
      </c>
      <c r="CK146" s="62">
        <f t="shared" si="724"/>
        <v>0</v>
      </c>
      <c r="CL146" s="62">
        <f t="shared" si="724"/>
        <v>0</v>
      </c>
      <c r="CM146" s="190">
        <f t="shared" si="428"/>
        <v>0</v>
      </c>
      <c r="CN146" s="62">
        <f t="shared" si="724"/>
        <v>0</v>
      </c>
      <c r="CO146" s="62">
        <f t="shared" si="724"/>
        <v>0</v>
      </c>
      <c r="CP146" s="62">
        <f t="shared" si="724"/>
        <v>0</v>
      </c>
      <c r="CQ146" s="62">
        <f t="shared" si="724"/>
        <v>0</v>
      </c>
      <c r="CR146" s="62">
        <f t="shared" si="724"/>
        <v>0</v>
      </c>
      <c r="CS146" s="62">
        <f t="shared" si="724"/>
        <v>0</v>
      </c>
      <c r="CT146" s="62">
        <f t="shared" si="724"/>
        <v>0</v>
      </c>
      <c r="CU146" s="62">
        <f t="shared" si="724"/>
        <v>0</v>
      </c>
      <c r="CV146" s="62">
        <f t="shared" si="724"/>
        <v>0</v>
      </c>
      <c r="CW146" s="62">
        <f t="shared" si="724"/>
        <v>0</v>
      </c>
      <c r="CX146" s="62">
        <f t="shared" si="724"/>
        <v>0</v>
      </c>
      <c r="CY146" s="62">
        <f t="shared" si="724"/>
        <v>0</v>
      </c>
      <c r="CZ146" s="190">
        <f t="shared" si="429"/>
        <v>0</v>
      </c>
      <c r="DA146" s="62">
        <f t="shared" si="724"/>
        <v>0</v>
      </c>
      <c r="DB146" s="62">
        <f t="shared" si="724"/>
        <v>0</v>
      </c>
      <c r="DC146" s="62">
        <f t="shared" si="724"/>
        <v>0</v>
      </c>
      <c r="DD146" s="62">
        <f t="shared" si="724"/>
        <v>0</v>
      </c>
      <c r="DE146" s="62">
        <f t="shared" si="724"/>
        <v>0</v>
      </c>
      <c r="DF146" s="62">
        <f t="shared" si="724"/>
        <v>0</v>
      </c>
      <c r="DG146" s="62">
        <f t="shared" si="724"/>
        <v>0</v>
      </c>
      <c r="DH146" s="62">
        <f t="shared" si="724"/>
        <v>0</v>
      </c>
      <c r="DI146" s="62">
        <f t="shared" si="724"/>
        <v>0</v>
      </c>
      <c r="DJ146" s="62">
        <f t="shared" si="724"/>
        <v>0</v>
      </c>
      <c r="DK146" s="62">
        <f t="shared" si="724"/>
        <v>0</v>
      </c>
      <c r="DL146" s="62">
        <f t="shared" si="724"/>
        <v>0</v>
      </c>
      <c r="DM146" s="190">
        <f t="shared" si="430"/>
        <v>0</v>
      </c>
      <c r="DN146" s="62">
        <f t="shared" si="724"/>
        <v>0</v>
      </c>
      <c r="DO146" s="62">
        <f t="shared" si="724"/>
        <v>0</v>
      </c>
      <c r="DP146" s="62">
        <f t="shared" si="724"/>
        <v>0</v>
      </c>
      <c r="DQ146" s="62">
        <f t="shared" si="724"/>
        <v>0</v>
      </c>
      <c r="DR146" s="62">
        <f t="shared" si="724"/>
        <v>0</v>
      </c>
      <c r="DS146" s="62">
        <f t="shared" si="724"/>
        <v>0</v>
      </c>
      <c r="DT146" s="62">
        <f t="shared" si="724"/>
        <v>0</v>
      </c>
      <c r="DU146" s="62">
        <f t="shared" si="724"/>
        <v>0</v>
      </c>
      <c r="DV146" s="62">
        <f t="shared" si="724"/>
        <v>0</v>
      </c>
      <c r="DW146" s="62">
        <f t="shared" si="724"/>
        <v>0</v>
      </c>
      <c r="DX146" s="62">
        <f t="shared" si="724"/>
        <v>0</v>
      </c>
      <c r="DY146" s="62">
        <f t="shared" si="724"/>
        <v>0</v>
      </c>
      <c r="DZ146" s="190">
        <f t="shared" si="431"/>
        <v>0</v>
      </c>
    </row>
    <row r="147" spans="1:130" s="194" customFormat="1" ht="20.45" customHeight="1">
      <c r="A147" s="659" t="s">
        <v>2788</v>
      </c>
      <c r="B147" s="332"/>
      <c r="C147" s="346" t="s">
        <v>2789</v>
      </c>
      <c r="D147" s="333">
        <f t="shared" si="661"/>
        <v>30005053.000000004</v>
      </c>
      <c r="E147" s="334">
        <f>SUM(E148:E149)</f>
        <v>9.2835735248891077E-2</v>
      </c>
      <c r="F147" s="62">
        <f>SUM(F148:F149)</f>
        <v>0</v>
      </c>
      <c r="G147" s="193">
        <f t="shared" ref="G147:G149" si="725">SUM(F147)</f>
        <v>0</v>
      </c>
      <c r="H147" s="196">
        <f>SUM(H148:H149)</f>
        <v>0</v>
      </c>
      <c r="I147" s="192">
        <f t="shared" ref="I147:T147" si="726">SUM(I148:I149)</f>
        <v>0</v>
      </c>
      <c r="J147" s="192">
        <f t="shared" si="726"/>
        <v>0</v>
      </c>
      <c r="K147" s="192">
        <f t="shared" si="726"/>
        <v>0</v>
      </c>
      <c r="L147" s="192">
        <f t="shared" si="726"/>
        <v>0</v>
      </c>
      <c r="M147" s="192">
        <f t="shared" si="726"/>
        <v>0</v>
      </c>
      <c r="N147" s="192">
        <f t="shared" si="726"/>
        <v>0</v>
      </c>
      <c r="O147" s="192">
        <f t="shared" si="726"/>
        <v>0</v>
      </c>
      <c r="P147" s="192">
        <f t="shared" si="726"/>
        <v>0</v>
      </c>
      <c r="Q147" s="192">
        <f t="shared" si="726"/>
        <v>0</v>
      </c>
      <c r="R147" s="192">
        <f t="shared" si="726"/>
        <v>0</v>
      </c>
      <c r="S147" s="192">
        <f t="shared" si="726"/>
        <v>0</v>
      </c>
      <c r="T147" s="192">
        <f t="shared" si="726"/>
        <v>0</v>
      </c>
      <c r="U147" s="193">
        <f t="shared" ref="U147:U149" si="727">SUM(I147:T147)</f>
        <v>0</v>
      </c>
      <c r="V147" s="196">
        <f>SUM(V148:V149)</f>
        <v>0</v>
      </c>
      <c r="W147" s="192">
        <f t="shared" ref="W147" si="728">SUM(W148:W149)</f>
        <v>0</v>
      </c>
      <c r="X147" s="192">
        <f t="shared" ref="X147" si="729">SUM(X148:X149)</f>
        <v>0</v>
      </c>
      <c r="Y147" s="192">
        <f t="shared" ref="Y147" si="730">SUM(Y148:Y149)</f>
        <v>0</v>
      </c>
      <c r="Z147" s="192">
        <f t="shared" ref="Z147" si="731">SUM(Z148:Z149)</f>
        <v>0</v>
      </c>
      <c r="AA147" s="192">
        <f t="shared" ref="AA147" si="732">SUM(AA148:AA149)</f>
        <v>0</v>
      </c>
      <c r="AB147" s="192">
        <f t="shared" ref="AB147" si="733">SUM(AB148:AB149)</f>
        <v>0</v>
      </c>
      <c r="AC147" s="192">
        <f t="shared" ref="AC147" si="734">SUM(AC148:AC149)</f>
        <v>0</v>
      </c>
      <c r="AD147" s="192">
        <f t="shared" ref="AD147" si="735">SUM(AD148:AD149)</f>
        <v>0</v>
      </c>
      <c r="AE147" s="192">
        <f t="shared" ref="AE147" si="736">SUM(AE148:AE149)</f>
        <v>0</v>
      </c>
      <c r="AF147" s="192">
        <f>SUM(AF148:AF149)</f>
        <v>0</v>
      </c>
      <c r="AG147" s="192">
        <f t="shared" ref="AG147" si="737">SUM(AG148:AG149)</f>
        <v>0</v>
      </c>
      <c r="AH147" s="192">
        <f t="shared" ref="AH147" si="738">SUM(AH148:AH149)</f>
        <v>0</v>
      </c>
      <c r="AI147" s="193">
        <f t="shared" ref="AI147:AI149" si="739">SUM(W147:AH147)</f>
        <v>0</v>
      </c>
      <c r="AJ147" s="196">
        <f>SUM(AJ148:AJ149)</f>
        <v>0</v>
      </c>
      <c r="AK147" s="192">
        <f t="shared" ref="AK147" si="740">SUM(AK148:AK149)</f>
        <v>0</v>
      </c>
      <c r="AL147" s="192">
        <f t="shared" ref="AL147" si="741">SUM(AL148:AL149)</f>
        <v>0</v>
      </c>
      <c r="AM147" s="192">
        <f t="shared" ref="AM147" si="742">SUM(AM148:AM149)</f>
        <v>0</v>
      </c>
      <c r="AN147" s="192">
        <f t="shared" ref="AN147" si="743">SUM(AN148:AN149)</f>
        <v>0</v>
      </c>
      <c r="AO147" s="192">
        <f t="shared" ref="AO147" si="744">SUM(AO148:AO149)</f>
        <v>0</v>
      </c>
      <c r="AP147" s="192">
        <f t="shared" ref="AP147" si="745">SUM(AP148:AP149)</f>
        <v>0</v>
      </c>
      <c r="AQ147" s="192">
        <f t="shared" ref="AQ147" si="746">SUM(AQ148:AQ149)</f>
        <v>0</v>
      </c>
      <c r="AR147" s="192">
        <f t="shared" ref="AR147" si="747">SUM(AR148:AR149)</f>
        <v>0</v>
      </c>
      <c r="AS147" s="192">
        <f t="shared" ref="AS147" si="748">SUM(AS148:AS149)</f>
        <v>0</v>
      </c>
      <c r="AT147" s="192">
        <f>SUM(AT148:AT149)</f>
        <v>5000000</v>
      </c>
      <c r="AU147" s="192">
        <f t="shared" ref="AU147" si="749">SUM(AU148:AU149)</f>
        <v>0</v>
      </c>
      <c r="AV147" s="192">
        <f t="shared" ref="AV147" si="750">SUM(AV148:AV149)</f>
        <v>0</v>
      </c>
      <c r="AW147" s="193">
        <f t="shared" ref="AW147:AW149" si="751">SUM(AK147:AV147)</f>
        <v>5000000</v>
      </c>
      <c r="AX147" s="196">
        <f>SUM(AX148:AX149)</f>
        <v>6.5541676988934608E-2</v>
      </c>
      <c r="AY147" s="192">
        <f t="shared" ref="AY147" si="752">SUM(AY148:AY149)</f>
        <v>5000000</v>
      </c>
      <c r="AZ147" s="192">
        <f t="shared" ref="AZ147" si="753">SUM(AZ148:AZ149)</f>
        <v>0</v>
      </c>
      <c r="BA147" s="192">
        <f t="shared" ref="BA147" si="754">SUM(BA148:BA149)</f>
        <v>0</v>
      </c>
      <c r="BB147" s="192">
        <f t="shared" ref="BB147" si="755">SUM(BB148:BB149)</f>
        <v>0</v>
      </c>
      <c r="BC147" s="192">
        <f t="shared" ref="BC147" si="756">SUM(BC148:BC149)</f>
        <v>0</v>
      </c>
      <c r="BD147" s="192">
        <f t="shared" ref="BD147" si="757">SUM(BD148:BD149)</f>
        <v>0</v>
      </c>
      <c r="BE147" s="192">
        <f t="shared" ref="BE147" si="758">SUM(BE148:BE149)</f>
        <v>0</v>
      </c>
      <c r="BF147" s="192">
        <f t="shared" ref="BF147" si="759">SUM(BF148:BF149)</f>
        <v>0</v>
      </c>
      <c r="BG147" s="192">
        <f t="shared" ref="BG147" si="760">SUM(BG148:BG149)</f>
        <v>3000000</v>
      </c>
      <c r="BH147" s="192">
        <f>SUM(BH148:BH149)</f>
        <v>-994947</v>
      </c>
      <c r="BI147" s="192">
        <f t="shared" ref="BI147" si="761">SUM(BI148:BI149)</f>
        <v>0</v>
      </c>
      <c r="BJ147" s="192">
        <f t="shared" ref="BJ147" si="762">SUM(BJ148:BJ149)</f>
        <v>6000000</v>
      </c>
      <c r="BK147" s="193">
        <f t="shared" ref="BK147:BK150" si="763">SUM(AY147:BJ147)</f>
        <v>13005053</v>
      </c>
      <c r="BL147" s="196">
        <f>SUM(BL148:BL149)</f>
        <v>0.18621470672942703</v>
      </c>
      <c r="BM147" s="192">
        <f t="shared" ref="BM147" si="764">SUM(BM148:BM149)</f>
        <v>1000000</v>
      </c>
      <c r="BN147" s="192">
        <f t="shared" ref="BN147" si="765">SUM(BN148:BN149)</f>
        <v>3000000</v>
      </c>
      <c r="BO147" s="192">
        <f t="shared" ref="BO147" si="766">SUM(BO148:BO149)</f>
        <v>0</v>
      </c>
      <c r="BP147" s="192">
        <f t="shared" ref="BP147" si="767">SUM(BP148:BP149)</f>
        <v>5000000</v>
      </c>
      <c r="BQ147" s="192">
        <f t="shared" ref="BQ147" si="768">SUM(BQ148:BQ149)</f>
        <v>3000000</v>
      </c>
      <c r="BR147" s="192">
        <f t="shared" ref="BR147" si="769">SUM(BR148:BR149)</f>
        <v>0</v>
      </c>
      <c r="BS147" s="192">
        <f t="shared" ref="BS147" si="770">SUM(BS148:BS149)</f>
        <v>0</v>
      </c>
      <c r="BT147" s="192">
        <f t="shared" ref="BT147" si="771">SUM(BT148:BT149)</f>
        <v>0</v>
      </c>
      <c r="BU147" s="192">
        <f t="shared" ref="BU147" si="772">SUM(BU148:BU149)</f>
        <v>0</v>
      </c>
      <c r="BV147" s="192">
        <f>SUM(BV148:BV149)</f>
        <v>0</v>
      </c>
      <c r="BW147" s="192">
        <f t="shared" ref="BW147" si="773">SUM(BW148:BW149)</f>
        <v>0</v>
      </c>
      <c r="BX147" s="192">
        <f t="shared" ref="BX147" si="774">SUM(BX148:BX149)</f>
        <v>0</v>
      </c>
      <c r="BY147" s="193">
        <f t="shared" ref="BY147:BY149" si="775">SUM(BM147:BX147)</f>
        <v>12000000</v>
      </c>
      <c r="BZ147" s="196">
        <f>SUM(BZ148:BZ149)</f>
        <v>0.27495887646303901</v>
      </c>
      <c r="CA147" s="192">
        <f t="shared" ref="CA147" si="776">SUM(CA148:CA149)</f>
        <v>0</v>
      </c>
      <c r="CB147" s="192">
        <f t="shared" ref="CB147" si="777">SUM(CB148:CB149)</f>
        <v>0</v>
      </c>
      <c r="CC147" s="192">
        <f t="shared" ref="CC147" si="778">SUM(CC148:CC149)</f>
        <v>0</v>
      </c>
      <c r="CD147" s="192">
        <f t="shared" ref="CD147" si="779">SUM(CD148:CD149)</f>
        <v>0</v>
      </c>
      <c r="CE147" s="192">
        <f t="shared" ref="CE147" si="780">SUM(CE148:CE149)</f>
        <v>0</v>
      </c>
      <c r="CF147" s="192">
        <f t="shared" ref="CF147" si="781">SUM(CF148:CF149)</f>
        <v>0</v>
      </c>
      <c r="CG147" s="192">
        <f t="shared" ref="CG147" si="782">SUM(CG148:CG149)</f>
        <v>0</v>
      </c>
      <c r="CH147" s="192">
        <f t="shared" ref="CH147" si="783">SUM(CH148:CH149)</f>
        <v>0</v>
      </c>
      <c r="CI147" s="192">
        <f t="shared" ref="CI147:CJ147" si="784">SUM(CI148:CI149)</f>
        <v>0</v>
      </c>
      <c r="CJ147" s="192">
        <f t="shared" si="784"/>
        <v>0</v>
      </c>
      <c r="CK147" s="192">
        <f t="shared" ref="CK147" si="785">SUM(CK148:CK149)</f>
        <v>0</v>
      </c>
      <c r="CL147" s="192">
        <f t="shared" ref="CL147" si="786">SUM(CL148:CL149)</f>
        <v>0</v>
      </c>
      <c r="CM147" s="193">
        <f t="shared" si="428"/>
        <v>0</v>
      </c>
      <c r="CN147" s="192">
        <f t="shared" ref="CN147" si="787">SUM(CN148:CN149)</f>
        <v>0</v>
      </c>
      <c r="CO147" s="192">
        <f t="shared" ref="CO147" si="788">SUM(CO148:CO149)</f>
        <v>0</v>
      </c>
      <c r="CP147" s="192">
        <f t="shared" ref="CP147" si="789">SUM(CP148:CP149)</f>
        <v>0</v>
      </c>
      <c r="CQ147" s="192">
        <f t="shared" ref="CQ147" si="790">SUM(CQ148:CQ149)</f>
        <v>0</v>
      </c>
      <c r="CR147" s="192">
        <f t="shared" ref="CR147" si="791">SUM(CR148:CR149)</f>
        <v>0</v>
      </c>
      <c r="CS147" s="192">
        <f t="shared" ref="CS147" si="792">SUM(CS148:CS149)</f>
        <v>0</v>
      </c>
      <c r="CT147" s="192">
        <f t="shared" ref="CT147" si="793">SUM(CT148:CT149)</f>
        <v>0</v>
      </c>
      <c r="CU147" s="192">
        <f t="shared" ref="CU147" si="794">SUM(CU148:CU149)</f>
        <v>0</v>
      </c>
      <c r="CV147" s="192">
        <f t="shared" ref="CV147:CW147" si="795">SUM(CV148:CV149)</f>
        <v>0</v>
      </c>
      <c r="CW147" s="192">
        <f t="shared" si="795"/>
        <v>0</v>
      </c>
      <c r="CX147" s="192">
        <f t="shared" ref="CX147" si="796">SUM(CX148:CX149)</f>
        <v>0</v>
      </c>
      <c r="CY147" s="192">
        <f t="shared" ref="CY147" si="797">SUM(CY148:CY149)</f>
        <v>0</v>
      </c>
      <c r="CZ147" s="193">
        <f t="shared" si="429"/>
        <v>0</v>
      </c>
      <c r="DA147" s="192">
        <f t="shared" ref="DA147" si="798">SUM(DA148:DA149)</f>
        <v>0</v>
      </c>
      <c r="DB147" s="192">
        <f t="shared" ref="DB147" si="799">SUM(DB148:DB149)</f>
        <v>0</v>
      </c>
      <c r="DC147" s="192">
        <f t="shared" ref="DC147" si="800">SUM(DC148:DC149)</f>
        <v>0</v>
      </c>
      <c r="DD147" s="192">
        <f t="shared" ref="DD147" si="801">SUM(DD148:DD149)</f>
        <v>0</v>
      </c>
      <c r="DE147" s="192">
        <f t="shared" ref="DE147" si="802">SUM(DE148:DE149)</f>
        <v>0</v>
      </c>
      <c r="DF147" s="192">
        <f t="shared" ref="DF147" si="803">SUM(DF148:DF149)</f>
        <v>0</v>
      </c>
      <c r="DG147" s="192">
        <f t="shared" ref="DG147" si="804">SUM(DG148:DG149)</f>
        <v>0</v>
      </c>
      <c r="DH147" s="192">
        <f t="shared" ref="DH147" si="805">SUM(DH148:DH149)</f>
        <v>0</v>
      </c>
      <c r="DI147" s="192">
        <f t="shared" ref="DI147:DJ147" si="806">SUM(DI148:DI149)</f>
        <v>0</v>
      </c>
      <c r="DJ147" s="192">
        <f t="shared" si="806"/>
        <v>0</v>
      </c>
      <c r="DK147" s="192">
        <f t="shared" ref="DK147" si="807">SUM(DK148:DK149)</f>
        <v>0</v>
      </c>
      <c r="DL147" s="192">
        <f t="shared" ref="DL147" si="808">SUM(DL148:DL149)</f>
        <v>0</v>
      </c>
      <c r="DM147" s="193">
        <f t="shared" si="430"/>
        <v>0</v>
      </c>
      <c r="DN147" s="192">
        <f t="shared" ref="DN147" si="809">SUM(DN148:DN149)</f>
        <v>0</v>
      </c>
      <c r="DO147" s="192">
        <f t="shared" ref="DO147" si="810">SUM(DO148:DO149)</f>
        <v>0</v>
      </c>
      <c r="DP147" s="192">
        <f t="shared" ref="DP147" si="811">SUM(DP148:DP149)</f>
        <v>0</v>
      </c>
      <c r="DQ147" s="192">
        <f t="shared" ref="DQ147" si="812">SUM(DQ148:DQ149)</f>
        <v>0</v>
      </c>
      <c r="DR147" s="192">
        <f t="shared" ref="DR147" si="813">SUM(DR148:DR149)</f>
        <v>0</v>
      </c>
      <c r="DS147" s="192">
        <f t="shared" ref="DS147" si="814">SUM(DS148:DS149)</f>
        <v>0</v>
      </c>
      <c r="DT147" s="192">
        <f t="shared" ref="DT147" si="815">SUM(DT148:DT149)</f>
        <v>0</v>
      </c>
      <c r="DU147" s="192">
        <f t="shared" ref="DU147" si="816">SUM(DU148:DU149)</f>
        <v>0</v>
      </c>
      <c r="DV147" s="192">
        <f t="shared" ref="DV147:DW147" si="817">SUM(DV148:DV149)</f>
        <v>0</v>
      </c>
      <c r="DW147" s="192">
        <f t="shared" si="817"/>
        <v>0</v>
      </c>
      <c r="DX147" s="192">
        <f t="shared" ref="DX147" si="818">SUM(DX148:DX149)</f>
        <v>0</v>
      </c>
      <c r="DY147" s="192">
        <f t="shared" ref="DY147" si="819">SUM(DY148:DY149)</f>
        <v>0</v>
      </c>
      <c r="DZ147" s="193">
        <f t="shared" si="431"/>
        <v>0</v>
      </c>
    </row>
    <row r="148" spans="1:130" ht="20.45" customHeight="1" outlineLevel="2">
      <c r="A148" s="660"/>
      <c r="B148" s="640" t="s">
        <v>3224</v>
      </c>
      <c r="C148" s="641"/>
      <c r="D148" s="62">
        <f t="shared" si="661"/>
        <v>31000000.000000004</v>
      </c>
      <c r="E148" s="184">
        <f t="shared" ref="E148:E149" si="820">D148/(D$5+D$6+D$7+D$8+D$10+D$9)</f>
        <v>9.5914104624831811E-2</v>
      </c>
      <c r="F148" s="62">
        <v>0</v>
      </c>
      <c r="G148" s="190">
        <f t="shared" ref="G148" si="821">SUM(F148)</f>
        <v>0</v>
      </c>
      <c r="H148" s="197">
        <f t="shared" ref="H148:H149" si="822">G148/(G$5+G$6+G$7+G$8+G$10+G$9)</f>
        <v>0</v>
      </c>
      <c r="I148" s="62">
        <v>0</v>
      </c>
      <c r="J148" s="62">
        <v>0</v>
      </c>
      <c r="K148" s="62">
        <v>0</v>
      </c>
      <c r="L148" s="62">
        <v>0</v>
      </c>
      <c r="M148" s="62">
        <v>0</v>
      </c>
      <c r="N148" s="62">
        <v>0</v>
      </c>
      <c r="O148" s="62">
        <v>0</v>
      </c>
      <c r="P148" s="62">
        <v>0</v>
      </c>
      <c r="Q148" s="62">
        <v>0</v>
      </c>
      <c r="R148" s="62">
        <v>0</v>
      </c>
      <c r="S148" s="62">
        <v>0</v>
      </c>
      <c r="T148" s="62">
        <v>0</v>
      </c>
      <c r="U148" s="190">
        <f t="shared" ref="U148" si="823">SUM(I148:T148)</f>
        <v>0</v>
      </c>
      <c r="V148" s="197">
        <f t="shared" ref="V148:V149" si="824">U148/(U$5+U$6+U$7+U$8+U$10+U$9)</f>
        <v>0</v>
      </c>
      <c r="W148" s="62">
        <v>0</v>
      </c>
      <c r="X148" s="62">
        <v>0</v>
      </c>
      <c r="Y148" s="62">
        <v>0</v>
      </c>
      <c r="Z148" s="62">
        <v>0</v>
      </c>
      <c r="AA148" s="62">
        <v>0</v>
      </c>
      <c r="AB148" s="62">
        <v>0</v>
      </c>
      <c r="AC148" s="62">
        <v>0</v>
      </c>
      <c r="AD148" s="62">
        <v>0</v>
      </c>
      <c r="AE148" s="62">
        <v>0</v>
      </c>
      <c r="AF148" s="62">
        <v>0</v>
      </c>
      <c r="AG148" s="62">
        <v>0</v>
      </c>
      <c r="AH148" s="62">
        <v>0</v>
      </c>
      <c r="AI148" s="190">
        <f t="shared" ref="AI148" si="825">SUM(W148:AH148)</f>
        <v>0</v>
      </c>
      <c r="AJ148" s="197">
        <f t="shared" ref="AJ148:AJ149" si="826">AI148/(AI$5+AI$6+AI$7+AI$8+AI$10+AI$9)</f>
        <v>0</v>
      </c>
      <c r="AK148" s="62">
        <v>0</v>
      </c>
      <c r="AL148" s="62">
        <v>0</v>
      </c>
      <c r="AM148" s="62">
        <v>0</v>
      </c>
      <c r="AN148" s="62">
        <v>0</v>
      </c>
      <c r="AO148" s="62">
        <v>0</v>
      </c>
      <c r="AP148" s="62">
        <v>0</v>
      </c>
      <c r="AQ148" s="62">
        <v>0</v>
      </c>
      <c r="AR148" s="62">
        <v>0</v>
      </c>
      <c r="AS148" s="62">
        <v>0</v>
      </c>
      <c r="AT148" s="62">
        <v>0</v>
      </c>
      <c r="AU148" s="62">
        <v>0</v>
      </c>
      <c r="AV148" s="62">
        <v>0</v>
      </c>
      <c r="AW148" s="190">
        <f t="shared" ref="AW148" si="827">SUM(AK148:AV148)</f>
        <v>0</v>
      </c>
      <c r="AX148" s="197">
        <f t="shared" ref="AX148:AX149" si="828">AW148/(AW$5+AW$6+AW$7+AW$8+AW$10+AW$9)</f>
        <v>0</v>
      </c>
      <c r="AY148" s="62">
        <v>0</v>
      </c>
      <c r="AZ148" s="62">
        <v>0</v>
      </c>
      <c r="BA148" s="62">
        <v>0</v>
      </c>
      <c r="BB148" s="62">
        <v>0</v>
      </c>
      <c r="BC148" s="62">
        <v>0</v>
      </c>
      <c r="BD148" s="62">
        <v>0</v>
      </c>
      <c r="BE148" s="62">
        <v>0</v>
      </c>
      <c r="BF148" s="62">
        <v>0</v>
      </c>
      <c r="BG148" s="62">
        <v>3000000</v>
      </c>
      <c r="BH148" s="62">
        <v>10000000</v>
      </c>
      <c r="BI148" s="62">
        <v>0</v>
      </c>
      <c r="BJ148" s="62">
        <f>5000000+1000000</f>
        <v>6000000</v>
      </c>
      <c r="BK148" s="190">
        <f t="shared" ref="BK148" si="829">SUM(AY148:BJ148)</f>
        <v>19000000</v>
      </c>
      <c r="BL148" s="197">
        <f t="shared" ref="BL148:BL149" si="830">BK148/(BK$5+BK$6+BK$7+BK$8+BK$10+BK$9)</f>
        <v>0.27205421061022306</v>
      </c>
      <c r="BM148" s="62">
        <v>1000000</v>
      </c>
      <c r="BN148" s="62">
        <v>3000000</v>
      </c>
      <c r="BO148" s="62">
        <v>0</v>
      </c>
      <c r="BP148" s="62">
        <v>5000000</v>
      </c>
      <c r="BQ148" s="62">
        <v>3000000</v>
      </c>
      <c r="BR148" s="62">
        <v>0</v>
      </c>
      <c r="BS148" s="62">
        <v>0</v>
      </c>
      <c r="BT148" s="62">
        <v>0</v>
      </c>
      <c r="BU148" s="62">
        <v>0</v>
      </c>
      <c r="BV148" s="62">
        <v>0</v>
      </c>
      <c r="BW148" s="62">
        <v>0</v>
      </c>
      <c r="BX148" s="62">
        <v>0</v>
      </c>
      <c r="BY148" s="190">
        <f t="shared" ref="BY148" si="831">SUM(BM148:BX148)</f>
        <v>12000000</v>
      </c>
      <c r="BZ148" s="197">
        <f t="shared" ref="BZ148:BZ149" si="832">BY148/(BY$5+BY$6+BY$7+BY$8+BY$10+BY$9)</f>
        <v>0.27495887646303901</v>
      </c>
      <c r="CA148" s="62">
        <v>0</v>
      </c>
      <c r="CB148" s="62">
        <v>0</v>
      </c>
      <c r="CC148" s="62">
        <v>0</v>
      </c>
      <c r="CD148" s="62">
        <v>0</v>
      </c>
      <c r="CE148" s="62">
        <v>0</v>
      </c>
      <c r="CF148" s="62">
        <v>0</v>
      </c>
      <c r="CG148" s="62">
        <v>0</v>
      </c>
      <c r="CH148" s="62">
        <v>0</v>
      </c>
      <c r="CI148" s="62">
        <v>0</v>
      </c>
      <c r="CJ148" s="62">
        <v>0</v>
      </c>
      <c r="CK148" s="62">
        <v>0</v>
      </c>
      <c r="CL148" s="62">
        <v>0</v>
      </c>
      <c r="CM148" s="190">
        <f t="shared" ref="CM148" si="833">SUM(CA148:CL148)</f>
        <v>0</v>
      </c>
      <c r="CN148" s="62">
        <v>0</v>
      </c>
      <c r="CO148" s="62">
        <v>0</v>
      </c>
      <c r="CP148" s="62">
        <v>0</v>
      </c>
      <c r="CQ148" s="62">
        <v>0</v>
      </c>
      <c r="CR148" s="62">
        <v>0</v>
      </c>
      <c r="CS148" s="62">
        <v>0</v>
      </c>
      <c r="CT148" s="62">
        <v>0</v>
      </c>
      <c r="CU148" s="62">
        <v>0</v>
      </c>
      <c r="CV148" s="62">
        <v>0</v>
      </c>
      <c r="CW148" s="62">
        <v>0</v>
      </c>
      <c r="CX148" s="62">
        <v>0</v>
      </c>
      <c r="CY148" s="62">
        <v>0</v>
      </c>
      <c r="CZ148" s="190">
        <f t="shared" ref="CZ148" si="834">SUM(CN148:CY148)</f>
        <v>0</v>
      </c>
      <c r="DA148" s="62">
        <v>0</v>
      </c>
      <c r="DB148" s="62">
        <v>0</v>
      </c>
      <c r="DC148" s="62">
        <v>0</v>
      </c>
      <c r="DD148" s="62">
        <v>0</v>
      </c>
      <c r="DE148" s="62">
        <v>0</v>
      </c>
      <c r="DF148" s="62">
        <v>0</v>
      </c>
      <c r="DG148" s="62">
        <v>0</v>
      </c>
      <c r="DH148" s="62">
        <v>0</v>
      </c>
      <c r="DI148" s="62">
        <v>0</v>
      </c>
      <c r="DJ148" s="62">
        <v>0</v>
      </c>
      <c r="DK148" s="62">
        <v>0</v>
      </c>
      <c r="DL148" s="62">
        <v>0</v>
      </c>
      <c r="DM148" s="190">
        <f t="shared" ref="DM148" si="835">SUM(DA148:DL148)</f>
        <v>0</v>
      </c>
      <c r="DN148" s="62">
        <v>0</v>
      </c>
      <c r="DO148" s="62">
        <v>0</v>
      </c>
      <c r="DP148" s="62">
        <v>0</v>
      </c>
      <c r="DQ148" s="62">
        <v>0</v>
      </c>
      <c r="DR148" s="62">
        <v>0</v>
      </c>
      <c r="DS148" s="62">
        <v>0</v>
      </c>
      <c r="DT148" s="62">
        <v>0</v>
      </c>
      <c r="DU148" s="62">
        <v>0</v>
      </c>
      <c r="DV148" s="62">
        <v>0</v>
      </c>
      <c r="DW148" s="62">
        <v>0</v>
      </c>
      <c r="DX148" s="62">
        <v>0</v>
      </c>
      <c r="DY148" s="62">
        <v>0</v>
      </c>
      <c r="DZ148" s="190">
        <f t="shared" ref="DZ148" si="836">SUM(DN148:DY148)</f>
        <v>0</v>
      </c>
    </row>
    <row r="149" spans="1:130" ht="20.45" customHeight="1" outlineLevel="2">
      <c r="A149" s="661"/>
      <c r="B149" s="640" t="s">
        <v>2790</v>
      </c>
      <c r="C149" s="641"/>
      <c r="D149" s="62">
        <f t="shared" si="661"/>
        <v>-994947.00000000023</v>
      </c>
      <c r="E149" s="184">
        <f t="shared" si="820"/>
        <v>-3.0783693759407274E-3</v>
      </c>
      <c r="F149" s="62">
        <v>0</v>
      </c>
      <c r="G149" s="190">
        <f t="shared" si="725"/>
        <v>0</v>
      </c>
      <c r="H149" s="197">
        <f t="shared" si="822"/>
        <v>0</v>
      </c>
      <c r="I149" s="62">
        <v>0</v>
      </c>
      <c r="J149" s="62">
        <v>0</v>
      </c>
      <c r="K149" s="62">
        <v>0</v>
      </c>
      <c r="L149" s="62">
        <v>0</v>
      </c>
      <c r="M149" s="62">
        <v>0</v>
      </c>
      <c r="N149" s="62">
        <v>0</v>
      </c>
      <c r="O149" s="62">
        <v>0</v>
      </c>
      <c r="P149" s="62">
        <v>0</v>
      </c>
      <c r="Q149" s="62">
        <v>0</v>
      </c>
      <c r="R149" s="62">
        <v>0</v>
      </c>
      <c r="S149" s="62">
        <v>0</v>
      </c>
      <c r="T149" s="62">
        <v>0</v>
      </c>
      <c r="U149" s="190">
        <f t="shared" si="727"/>
        <v>0</v>
      </c>
      <c r="V149" s="197">
        <f t="shared" si="824"/>
        <v>0</v>
      </c>
      <c r="W149" s="62">
        <v>0</v>
      </c>
      <c r="X149" s="62">
        <v>0</v>
      </c>
      <c r="Y149" s="62">
        <v>0</v>
      </c>
      <c r="Z149" s="62">
        <v>0</v>
      </c>
      <c r="AA149" s="62">
        <v>0</v>
      </c>
      <c r="AB149" s="62">
        <v>0</v>
      </c>
      <c r="AC149" s="62">
        <v>0</v>
      </c>
      <c r="AD149" s="62">
        <v>0</v>
      </c>
      <c r="AE149" s="62">
        <v>0</v>
      </c>
      <c r="AF149" s="62">
        <v>0</v>
      </c>
      <c r="AG149" s="62">
        <v>0</v>
      </c>
      <c r="AH149" s="62">
        <v>0</v>
      </c>
      <c r="AI149" s="190">
        <f t="shared" si="739"/>
        <v>0</v>
      </c>
      <c r="AJ149" s="197">
        <f t="shared" si="826"/>
        <v>0</v>
      </c>
      <c r="AK149" s="62">
        <v>0</v>
      </c>
      <c r="AL149" s="62">
        <v>0</v>
      </c>
      <c r="AM149" s="62">
        <v>0</v>
      </c>
      <c r="AN149" s="62">
        <v>0</v>
      </c>
      <c r="AO149" s="62">
        <v>0</v>
      </c>
      <c r="AP149" s="62">
        <v>0</v>
      </c>
      <c r="AQ149" s="62">
        <v>0</v>
      </c>
      <c r="AR149" s="62">
        <v>0</v>
      </c>
      <c r="AS149" s="62">
        <v>0</v>
      </c>
      <c r="AT149" s="62">
        <v>5000000</v>
      </c>
      <c r="AU149" s="62">
        <v>0</v>
      </c>
      <c r="AV149" s="62">
        <v>0</v>
      </c>
      <c r="AW149" s="190">
        <f t="shared" si="751"/>
        <v>5000000</v>
      </c>
      <c r="AX149" s="197">
        <f t="shared" si="828"/>
        <v>6.5541676988934608E-2</v>
      </c>
      <c r="AY149" s="62">
        <v>5000000</v>
      </c>
      <c r="AZ149" s="62">
        <v>0</v>
      </c>
      <c r="BA149" s="62">
        <v>0</v>
      </c>
      <c r="BB149" s="62">
        <v>0</v>
      </c>
      <c r="BC149" s="62">
        <v>0</v>
      </c>
      <c r="BD149" s="62">
        <v>0</v>
      </c>
      <c r="BE149" s="62">
        <v>0</v>
      </c>
      <c r="BF149" s="62">
        <v>0</v>
      </c>
      <c r="BG149" s="62">
        <v>0</v>
      </c>
      <c r="BH149" s="62">
        <v>-10994947</v>
      </c>
      <c r="BI149" s="62">
        <v>0</v>
      </c>
      <c r="BJ149" s="62">
        <v>0</v>
      </c>
      <c r="BK149" s="190">
        <f t="shared" si="763"/>
        <v>-5994947</v>
      </c>
      <c r="BL149" s="197">
        <f t="shared" si="830"/>
        <v>-8.5839503880796045E-2</v>
      </c>
      <c r="BM149" s="62">
        <v>0</v>
      </c>
      <c r="BN149" s="62">
        <v>0</v>
      </c>
      <c r="BO149" s="62">
        <v>0</v>
      </c>
      <c r="BP149" s="62">
        <v>0</v>
      </c>
      <c r="BQ149" s="62">
        <v>0</v>
      </c>
      <c r="BR149" s="62">
        <v>0</v>
      </c>
      <c r="BS149" s="62">
        <v>0</v>
      </c>
      <c r="BT149" s="62">
        <v>0</v>
      </c>
      <c r="BU149" s="62">
        <v>0</v>
      </c>
      <c r="BV149" s="62">
        <v>0</v>
      </c>
      <c r="BW149" s="62">
        <v>0</v>
      </c>
      <c r="BX149" s="62">
        <v>0</v>
      </c>
      <c r="BY149" s="190">
        <f t="shared" si="775"/>
        <v>0</v>
      </c>
      <c r="BZ149" s="197">
        <f t="shared" si="832"/>
        <v>0</v>
      </c>
      <c r="CA149" s="62">
        <v>0</v>
      </c>
      <c r="CB149" s="62">
        <v>0</v>
      </c>
      <c r="CC149" s="62">
        <v>0</v>
      </c>
      <c r="CD149" s="62">
        <v>0</v>
      </c>
      <c r="CE149" s="62">
        <v>0</v>
      </c>
      <c r="CF149" s="62">
        <v>0</v>
      </c>
      <c r="CG149" s="62">
        <v>0</v>
      </c>
      <c r="CH149" s="62">
        <v>0</v>
      </c>
      <c r="CI149" s="62">
        <v>0</v>
      </c>
      <c r="CJ149" s="62">
        <v>0</v>
      </c>
      <c r="CK149" s="62">
        <v>0</v>
      </c>
      <c r="CL149" s="62">
        <v>0</v>
      </c>
      <c r="CM149" s="190">
        <f t="shared" ref="CM149" si="837">SUM(CA149:CL149)</f>
        <v>0</v>
      </c>
      <c r="CN149" s="62">
        <v>0</v>
      </c>
      <c r="CO149" s="62">
        <v>0</v>
      </c>
      <c r="CP149" s="62">
        <v>0</v>
      </c>
      <c r="CQ149" s="62">
        <v>0</v>
      </c>
      <c r="CR149" s="62">
        <v>0</v>
      </c>
      <c r="CS149" s="62">
        <v>0</v>
      </c>
      <c r="CT149" s="62">
        <v>0</v>
      </c>
      <c r="CU149" s="62">
        <v>0</v>
      </c>
      <c r="CV149" s="62">
        <v>0</v>
      </c>
      <c r="CW149" s="62">
        <v>0</v>
      </c>
      <c r="CX149" s="62">
        <v>0</v>
      </c>
      <c r="CY149" s="62">
        <v>0</v>
      </c>
      <c r="CZ149" s="190">
        <f t="shared" ref="CZ149" si="838">SUM(CN149:CY149)</f>
        <v>0</v>
      </c>
      <c r="DA149" s="62">
        <v>0</v>
      </c>
      <c r="DB149" s="62">
        <v>0</v>
      </c>
      <c r="DC149" s="62">
        <v>0</v>
      </c>
      <c r="DD149" s="62">
        <v>0</v>
      </c>
      <c r="DE149" s="62">
        <v>0</v>
      </c>
      <c r="DF149" s="62">
        <v>0</v>
      </c>
      <c r="DG149" s="62">
        <v>0</v>
      </c>
      <c r="DH149" s="62">
        <v>0</v>
      </c>
      <c r="DI149" s="62">
        <v>0</v>
      </c>
      <c r="DJ149" s="62">
        <v>0</v>
      </c>
      <c r="DK149" s="62">
        <v>0</v>
      </c>
      <c r="DL149" s="62">
        <v>0</v>
      </c>
      <c r="DM149" s="190">
        <f t="shared" ref="DM149" si="839">SUM(DA149:DL149)</f>
        <v>0</v>
      </c>
      <c r="DN149" s="62">
        <v>0</v>
      </c>
      <c r="DO149" s="62">
        <v>0</v>
      </c>
      <c r="DP149" s="62">
        <v>0</v>
      </c>
      <c r="DQ149" s="62">
        <v>0</v>
      </c>
      <c r="DR149" s="62">
        <v>0</v>
      </c>
      <c r="DS149" s="62">
        <v>0</v>
      </c>
      <c r="DT149" s="62">
        <v>0</v>
      </c>
      <c r="DU149" s="62">
        <v>0</v>
      </c>
      <c r="DV149" s="62">
        <v>0</v>
      </c>
      <c r="DW149" s="62">
        <v>0</v>
      </c>
      <c r="DX149" s="62">
        <v>0</v>
      </c>
      <c r="DY149" s="62">
        <v>0</v>
      </c>
      <c r="DZ149" s="190">
        <f t="shared" ref="DZ149" si="840">SUM(DN149:DY149)</f>
        <v>0</v>
      </c>
    </row>
    <row r="150" spans="1:130" s="194" customFormat="1" ht="20.45" customHeight="1">
      <c r="A150" s="657" t="s">
        <v>2791</v>
      </c>
      <c r="B150" s="335"/>
      <c r="C150" s="347" t="s">
        <v>2792</v>
      </c>
      <c r="D150" s="336">
        <f t="shared" si="661"/>
        <v>575200.00000000023</v>
      </c>
      <c r="E150" s="337">
        <f>SUM(E151)</f>
        <v>1.7796707412968797E-3</v>
      </c>
      <c r="F150" s="62">
        <f t="shared" si="717"/>
        <v>0</v>
      </c>
      <c r="G150" s="193">
        <f t="shared" ref="G150:G151" si="841">SUM(F150)</f>
        <v>0</v>
      </c>
      <c r="H150" s="196">
        <f>SUM(H151)</f>
        <v>0</v>
      </c>
      <c r="I150" s="192">
        <f t="shared" si="717"/>
        <v>0</v>
      </c>
      <c r="J150" s="192">
        <f t="shared" si="717"/>
        <v>0</v>
      </c>
      <c r="K150" s="192">
        <f t="shared" si="717"/>
        <v>0</v>
      </c>
      <c r="L150" s="192">
        <f t="shared" si="717"/>
        <v>0</v>
      </c>
      <c r="M150" s="192">
        <f t="shared" si="717"/>
        <v>0</v>
      </c>
      <c r="N150" s="192">
        <f t="shared" si="717"/>
        <v>0</v>
      </c>
      <c r="O150" s="192">
        <f t="shared" si="717"/>
        <v>0</v>
      </c>
      <c r="P150" s="192">
        <f t="shared" si="717"/>
        <v>0</v>
      </c>
      <c r="Q150" s="192">
        <f t="shared" si="717"/>
        <v>0</v>
      </c>
      <c r="R150" s="192">
        <f t="shared" si="717"/>
        <v>0</v>
      </c>
      <c r="S150" s="192">
        <f t="shared" si="717"/>
        <v>0</v>
      </c>
      <c r="T150" s="192">
        <f t="shared" si="717"/>
        <v>0</v>
      </c>
      <c r="U150" s="193">
        <f t="shared" ref="U150:U151" si="842">SUM(I150:T150)</f>
        <v>0</v>
      </c>
      <c r="V150" s="196">
        <f>SUM(V151)</f>
        <v>0</v>
      </c>
      <c r="W150" s="192">
        <f t="shared" si="717"/>
        <v>0</v>
      </c>
      <c r="X150" s="192">
        <f t="shared" si="717"/>
        <v>0</v>
      </c>
      <c r="Y150" s="192">
        <f t="shared" si="717"/>
        <v>0</v>
      </c>
      <c r="Z150" s="192">
        <f t="shared" si="717"/>
        <v>0</v>
      </c>
      <c r="AA150" s="192">
        <f t="shared" si="717"/>
        <v>0</v>
      </c>
      <c r="AB150" s="192">
        <f t="shared" si="717"/>
        <v>0</v>
      </c>
      <c r="AC150" s="192">
        <f t="shared" si="717"/>
        <v>0</v>
      </c>
      <c r="AD150" s="192">
        <f t="shared" si="717"/>
        <v>0</v>
      </c>
      <c r="AE150" s="192">
        <f t="shared" si="717"/>
        <v>0</v>
      </c>
      <c r="AF150" s="192">
        <f t="shared" si="717"/>
        <v>0</v>
      </c>
      <c r="AG150" s="192">
        <f t="shared" si="717"/>
        <v>0</v>
      </c>
      <c r="AH150" s="192">
        <f t="shared" si="717"/>
        <v>0</v>
      </c>
      <c r="AI150" s="193">
        <f t="shared" ref="AI150:AI151" si="843">SUM(W150:AH150)</f>
        <v>0</v>
      </c>
      <c r="AJ150" s="196">
        <f>SUM(AJ151)</f>
        <v>0</v>
      </c>
      <c r="AK150" s="192">
        <f t="shared" si="717"/>
        <v>0</v>
      </c>
      <c r="AL150" s="192">
        <f t="shared" si="717"/>
        <v>0</v>
      </c>
      <c r="AM150" s="192">
        <f t="shared" si="717"/>
        <v>0</v>
      </c>
      <c r="AN150" s="192">
        <f t="shared" si="717"/>
        <v>0</v>
      </c>
      <c r="AO150" s="192">
        <f t="shared" si="717"/>
        <v>0</v>
      </c>
      <c r="AP150" s="192">
        <f t="shared" si="717"/>
        <v>0</v>
      </c>
      <c r="AQ150" s="192">
        <f t="shared" si="717"/>
        <v>0</v>
      </c>
      <c r="AR150" s="192">
        <f t="shared" si="717"/>
        <v>0</v>
      </c>
      <c r="AS150" s="192">
        <f t="shared" si="717"/>
        <v>0</v>
      </c>
      <c r="AT150" s="192">
        <f t="shared" si="717"/>
        <v>760000</v>
      </c>
      <c r="AU150" s="192">
        <f t="shared" si="717"/>
        <v>475000</v>
      </c>
      <c r="AV150" s="192">
        <f t="shared" si="717"/>
        <v>765200</v>
      </c>
      <c r="AW150" s="193">
        <f t="shared" ref="AW150:AW151" si="844">SUM(AK150:AV150)</f>
        <v>2000200</v>
      </c>
      <c r="AX150" s="196">
        <f>SUM(AX151)</f>
        <v>2.6219292462653403E-2</v>
      </c>
      <c r="AY150" s="192">
        <f t="shared" ref="AY150:DY150" si="845">SUM(AY151)</f>
        <v>0</v>
      </c>
      <c r="AZ150" s="192">
        <f t="shared" si="845"/>
        <v>0</v>
      </c>
      <c r="BA150" s="192">
        <f t="shared" si="845"/>
        <v>0</v>
      </c>
      <c r="BB150" s="192">
        <f t="shared" si="845"/>
        <v>0</v>
      </c>
      <c r="BC150" s="192">
        <f t="shared" si="845"/>
        <v>-1425000</v>
      </c>
      <c r="BD150" s="192">
        <f t="shared" si="845"/>
        <v>0</v>
      </c>
      <c r="BE150" s="192">
        <f t="shared" si="845"/>
        <v>0</v>
      </c>
      <c r="BF150" s="192">
        <f t="shared" si="845"/>
        <v>0</v>
      </c>
      <c r="BG150" s="192">
        <f t="shared" si="845"/>
        <v>0</v>
      </c>
      <c r="BH150" s="192">
        <f t="shared" si="845"/>
        <v>0</v>
      </c>
      <c r="BI150" s="192">
        <f t="shared" si="845"/>
        <v>0</v>
      </c>
      <c r="BJ150" s="192">
        <f t="shared" si="845"/>
        <v>0</v>
      </c>
      <c r="BK150" s="193">
        <f t="shared" si="763"/>
        <v>-1425000</v>
      </c>
      <c r="BL150" s="196">
        <f>SUM(BL151)</f>
        <v>-2.0404065795766729E-2</v>
      </c>
      <c r="BM150" s="192">
        <f t="shared" si="845"/>
        <v>0</v>
      </c>
      <c r="BN150" s="192">
        <f t="shared" si="845"/>
        <v>0</v>
      </c>
      <c r="BO150" s="192">
        <f t="shared" si="845"/>
        <v>0</v>
      </c>
      <c r="BP150" s="192">
        <f t="shared" si="845"/>
        <v>0</v>
      </c>
      <c r="BQ150" s="192">
        <f t="shared" si="845"/>
        <v>0</v>
      </c>
      <c r="BR150" s="192">
        <f t="shared" si="845"/>
        <v>0</v>
      </c>
      <c r="BS150" s="192">
        <f t="shared" si="845"/>
        <v>0</v>
      </c>
      <c r="BT150" s="192">
        <f t="shared" si="845"/>
        <v>0</v>
      </c>
      <c r="BU150" s="192">
        <f t="shared" si="845"/>
        <v>0</v>
      </c>
      <c r="BV150" s="192">
        <f t="shared" si="845"/>
        <v>0</v>
      </c>
      <c r="BW150" s="192">
        <f t="shared" si="845"/>
        <v>0</v>
      </c>
      <c r="BX150" s="192">
        <f t="shared" si="845"/>
        <v>0</v>
      </c>
      <c r="BY150" s="193">
        <f t="shared" ref="BY150:BY155" si="846">SUM(BM150:BX150)</f>
        <v>0</v>
      </c>
      <c r="BZ150" s="196">
        <f>SUM(BZ151)</f>
        <v>0</v>
      </c>
      <c r="CA150" s="192">
        <f t="shared" si="845"/>
        <v>0</v>
      </c>
      <c r="CB150" s="192">
        <f t="shared" si="845"/>
        <v>0</v>
      </c>
      <c r="CC150" s="192">
        <f t="shared" si="845"/>
        <v>0</v>
      </c>
      <c r="CD150" s="192">
        <f t="shared" si="845"/>
        <v>0</v>
      </c>
      <c r="CE150" s="192">
        <f t="shared" si="845"/>
        <v>0</v>
      </c>
      <c r="CF150" s="192">
        <f t="shared" si="845"/>
        <v>0</v>
      </c>
      <c r="CG150" s="192">
        <f t="shared" si="845"/>
        <v>0</v>
      </c>
      <c r="CH150" s="192">
        <f t="shared" si="845"/>
        <v>0</v>
      </c>
      <c r="CI150" s="192">
        <f t="shared" si="845"/>
        <v>0</v>
      </c>
      <c r="CJ150" s="192">
        <f t="shared" si="845"/>
        <v>0</v>
      </c>
      <c r="CK150" s="192">
        <f t="shared" si="845"/>
        <v>0</v>
      </c>
      <c r="CL150" s="192">
        <f t="shared" si="845"/>
        <v>0</v>
      </c>
      <c r="CM150" s="193">
        <f t="shared" ref="CM150:CM155" si="847">SUM(CA150:CL150)</f>
        <v>0</v>
      </c>
      <c r="CN150" s="192">
        <f t="shared" si="845"/>
        <v>0</v>
      </c>
      <c r="CO150" s="192">
        <f t="shared" si="845"/>
        <v>0</v>
      </c>
      <c r="CP150" s="192">
        <f t="shared" si="845"/>
        <v>0</v>
      </c>
      <c r="CQ150" s="192">
        <f t="shared" si="845"/>
        <v>0</v>
      </c>
      <c r="CR150" s="192">
        <f t="shared" si="845"/>
        <v>0</v>
      </c>
      <c r="CS150" s="192">
        <f t="shared" si="845"/>
        <v>0</v>
      </c>
      <c r="CT150" s="192">
        <f t="shared" si="845"/>
        <v>0</v>
      </c>
      <c r="CU150" s="192">
        <f t="shared" si="845"/>
        <v>0</v>
      </c>
      <c r="CV150" s="192">
        <f t="shared" si="845"/>
        <v>0</v>
      </c>
      <c r="CW150" s="192">
        <f t="shared" si="845"/>
        <v>0</v>
      </c>
      <c r="CX150" s="192">
        <f t="shared" si="845"/>
        <v>0</v>
      </c>
      <c r="CY150" s="192">
        <f t="shared" si="845"/>
        <v>0</v>
      </c>
      <c r="CZ150" s="193">
        <f t="shared" ref="CZ150:CZ155" si="848">SUM(CN150:CY150)</f>
        <v>0</v>
      </c>
      <c r="DA150" s="192">
        <f t="shared" si="845"/>
        <v>0</v>
      </c>
      <c r="DB150" s="192">
        <f t="shared" si="845"/>
        <v>0</v>
      </c>
      <c r="DC150" s="192">
        <f t="shared" si="845"/>
        <v>0</v>
      </c>
      <c r="DD150" s="192">
        <f t="shared" si="845"/>
        <v>0</v>
      </c>
      <c r="DE150" s="192">
        <f t="shared" si="845"/>
        <v>0</v>
      </c>
      <c r="DF150" s="192">
        <f t="shared" si="845"/>
        <v>0</v>
      </c>
      <c r="DG150" s="192">
        <f t="shared" si="845"/>
        <v>0</v>
      </c>
      <c r="DH150" s="192">
        <f t="shared" si="845"/>
        <v>0</v>
      </c>
      <c r="DI150" s="192">
        <f t="shared" si="845"/>
        <v>0</v>
      </c>
      <c r="DJ150" s="192">
        <f t="shared" si="845"/>
        <v>0</v>
      </c>
      <c r="DK150" s="192">
        <f t="shared" si="845"/>
        <v>0</v>
      </c>
      <c r="DL150" s="192">
        <f t="shared" si="845"/>
        <v>0</v>
      </c>
      <c r="DM150" s="193">
        <f t="shared" ref="DM150:DM155" si="849">SUM(DA150:DL150)</f>
        <v>0</v>
      </c>
      <c r="DN150" s="192">
        <f t="shared" si="845"/>
        <v>0</v>
      </c>
      <c r="DO150" s="192">
        <f t="shared" si="845"/>
        <v>0</v>
      </c>
      <c r="DP150" s="192">
        <f t="shared" si="845"/>
        <v>0</v>
      </c>
      <c r="DQ150" s="192">
        <f t="shared" si="845"/>
        <v>0</v>
      </c>
      <c r="DR150" s="192">
        <f t="shared" si="845"/>
        <v>0</v>
      </c>
      <c r="DS150" s="192">
        <f t="shared" si="845"/>
        <v>0</v>
      </c>
      <c r="DT150" s="192">
        <f t="shared" si="845"/>
        <v>0</v>
      </c>
      <c r="DU150" s="192">
        <f t="shared" si="845"/>
        <v>0</v>
      </c>
      <c r="DV150" s="192">
        <f t="shared" si="845"/>
        <v>0</v>
      </c>
      <c r="DW150" s="192">
        <f t="shared" si="845"/>
        <v>0</v>
      </c>
      <c r="DX150" s="192">
        <f t="shared" si="845"/>
        <v>0</v>
      </c>
      <c r="DY150" s="192">
        <f t="shared" si="845"/>
        <v>0</v>
      </c>
      <c r="DZ150" s="193">
        <f t="shared" ref="DZ150:DZ155" si="850">SUM(DN150:DY150)</f>
        <v>0</v>
      </c>
    </row>
    <row r="151" spans="1:130" ht="20.45" customHeight="1" outlineLevel="2">
      <c r="A151" s="658"/>
      <c r="B151" s="640" t="s">
        <v>2793</v>
      </c>
      <c r="C151" s="641"/>
      <c r="D151" s="62">
        <f t="shared" si="661"/>
        <v>575200.00000000023</v>
      </c>
      <c r="E151" s="184">
        <f t="shared" ref="E151:E155" si="851">D151/(D$5+D$6+D$7+D$8+D$10+D$9)</f>
        <v>1.7796707412968797E-3</v>
      </c>
      <c r="F151" s="62">
        <v>0</v>
      </c>
      <c r="G151" s="190">
        <f t="shared" si="841"/>
        <v>0</v>
      </c>
      <c r="H151" s="197">
        <f>G151/(G$5+G$6+G$7+G$8+G$10+G$9)</f>
        <v>0</v>
      </c>
      <c r="I151" s="62">
        <v>0</v>
      </c>
      <c r="J151" s="62">
        <v>0</v>
      </c>
      <c r="K151" s="62">
        <v>0</v>
      </c>
      <c r="L151" s="62">
        <v>0</v>
      </c>
      <c r="M151" s="62">
        <v>0</v>
      </c>
      <c r="N151" s="62">
        <v>0</v>
      </c>
      <c r="O151" s="62">
        <v>0</v>
      </c>
      <c r="P151" s="62">
        <v>0</v>
      </c>
      <c r="Q151" s="62">
        <v>0</v>
      </c>
      <c r="R151" s="62">
        <v>0</v>
      </c>
      <c r="S151" s="62">
        <v>0</v>
      </c>
      <c r="T151" s="62">
        <v>0</v>
      </c>
      <c r="U151" s="190">
        <f t="shared" si="842"/>
        <v>0</v>
      </c>
      <c r="V151" s="197">
        <f>U151/(U$5+U$6+U$7+U$8+U$10+U$9)</f>
        <v>0</v>
      </c>
      <c r="W151" s="62">
        <v>0</v>
      </c>
      <c r="X151" s="62">
        <v>0</v>
      </c>
      <c r="Y151" s="62">
        <v>0</v>
      </c>
      <c r="Z151" s="62">
        <v>0</v>
      </c>
      <c r="AA151" s="62">
        <v>0</v>
      </c>
      <c r="AB151" s="62">
        <v>0</v>
      </c>
      <c r="AC151" s="62">
        <v>0</v>
      </c>
      <c r="AD151" s="62">
        <v>0</v>
      </c>
      <c r="AE151" s="62">
        <v>0</v>
      </c>
      <c r="AF151" s="62">
        <v>0</v>
      </c>
      <c r="AG151" s="62">
        <v>0</v>
      </c>
      <c r="AH151" s="62">
        <v>0</v>
      </c>
      <c r="AI151" s="190">
        <f t="shared" si="843"/>
        <v>0</v>
      </c>
      <c r="AJ151" s="197">
        <f>AI151/(AI$5+AI$6+AI$7+AI$8+AI$10+AI$9)</f>
        <v>0</v>
      </c>
      <c r="AK151" s="62">
        <v>0</v>
      </c>
      <c r="AL151" s="62">
        <v>0</v>
      </c>
      <c r="AM151" s="62">
        <v>0</v>
      </c>
      <c r="AN151" s="62">
        <v>0</v>
      </c>
      <c r="AO151" s="62">
        <v>0</v>
      </c>
      <c r="AP151" s="62">
        <v>0</v>
      </c>
      <c r="AQ151" s="62">
        <v>0</v>
      </c>
      <c r="AR151" s="62">
        <v>0</v>
      </c>
      <c r="AS151" s="62">
        <v>0</v>
      </c>
      <c r="AT151" s="62">
        <v>760000</v>
      </c>
      <c r="AU151" s="62">
        <f>475000</f>
        <v>475000</v>
      </c>
      <c r="AV151" s="62">
        <f>285000+475000+123500-118300</f>
        <v>765200</v>
      </c>
      <c r="AW151" s="190">
        <f t="shared" si="844"/>
        <v>2000200</v>
      </c>
      <c r="AX151" s="197">
        <f>AW151/(AW$5+AW$6+AW$7+AW$8+AW$10+AW$9)</f>
        <v>2.6219292462653403E-2</v>
      </c>
      <c r="AY151" s="62">
        <v>0</v>
      </c>
      <c r="AZ151" s="62">
        <v>0</v>
      </c>
      <c r="BA151" s="62">
        <v>0</v>
      </c>
      <c r="BB151" s="62">
        <v>0</v>
      </c>
      <c r="BC151" s="62">
        <v>-1425000</v>
      </c>
      <c r="BD151" s="62">
        <v>0</v>
      </c>
      <c r="BE151" s="62">
        <v>0</v>
      </c>
      <c r="BF151" s="62">
        <v>0</v>
      </c>
      <c r="BG151" s="62">
        <v>0</v>
      </c>
      <c r="BH151" s="62">
        <v>0</v>
      </c>
      <c r="BI151" s="62">
        <v>0</v>
      </c>
      <c r="BJ151" s="62">
        <v>0</v>
      </c>
      <c r="BK151" s="190">
        <f t="shared" ref="BK151:BK155" si="852">SUM(AY151:BJ151)</f>
        <v>-1425000</v>
      </c>
      <c r="BL151" s="197">
        <f>BK151/(BK$5+BK$6+BK$7+BK$8+BK$10+BK$9)</f>
        <v>-2.0404065795766729E-2</v>
      </c>
      <c r="BM151" s="62">
        <v>0</v>
      </c>
      <c r="BN151" s="62">
        <v>0</v>
      </c>
      <c r="BO151" s="62">
        <v>0</v>
      </c>
      <c r="BP151" s="62">
        <v>0</v>
      </c>
      <c r="BQ151" s="62">
        <v>0</v>
      </c>
      <c r="BR151" s="62">
        <v>0</v>
      </c>
      <c r="BS151" s="62">
        <v>0</v>
      </c>
      <c r="BT151" s="62">
        <v>0</v>
      </c>
      <c r="BU151" s="62">
        <v>0</v>
      </c>
      <c r="BV151" s="62">
        <v>0</v>
      </c>
      <c r="BW151" s="62">
        <v>0</v>
      </c>
      <c r="BX151" s="62">
        <v>0</v>
      </c>
      <c r="BY151" s="190">
        <f t="shared" si="846"/>
        <v>0</v>
      </c>
      <c r="BZ151" s="197">
        <f>BY151/(BY$5+BY$6+BY$7+BY$8+BY$10+BY$9)</f>
        <v>0</v>
      </c>
      <c r="CA151" s="62">
        <v>0</v>
      </c>
      <c r="CB151" s="62">
        <v>0</v>
      </c>
      <c r="CC151" s="62">
        <v>0</v>
      </c>
      <c r="CD151" s="62">
        <v>0</v>
      </c>
      <c r="CE151" s="62">
        <v>0</v>
      </c>
      <c r="CF151" s="62">
        <v>0</v>
      </c>
      <c r="CG151" s="62">
        <v>0</v>
      </c>
      <c r="CH151" s="62">
        <v>0</v>
      </c>
      <c r="CI151" s="62">
        <v>0</v>
      </c>
      <c r="CJ151" s="62">
        <v>0</v>
      </c>
      <c r="CK151" s="62">
        <v>0</v>
      </c>
      <c r="CL151" s="62">
        <v>0</v>
      </c>
      <c r="CM151" s="190">
        <f t="shared" si="847"/>
        <v>0</v>
      </c>
      <c r="CN151" s="62">
        <v>0</v>
      </c>
      <c r="CO151" s="62">
        <v>0</v>
      </c>
      <c r="CP151" s="62">
        <v>0</v>
      </c>
      <c r="CQ151" s="62">
        <v>0</v>
      </c>
      <c r="CR151" s="62">
        <v>0</v>
      </c>
      <c r="CS151" s="62">
        <v>0</v>
      </c>
      <c r="CT151" s="62">
        <v>0</v>
      </c>
      <c r="CU151" s="62">
        <v>0</v>
      </c>
      <c r="CV151" s="62">
        <v>0</v>
      </c>
      <c r="CW151" s="62">
        <v>0</v>
      </c>
      <c r="CX151" s="62">
        <v>0</v>
      </c>
      <c r="CY151" s="62">
        <v>0</v>
      </c>
      <c r="CZ151" s="190">
        <f t="shared" si="848"/>
        <v>0</v>
      </c>
      <c r="DA151" s="62">
        <v>0</v>
      </c>
      <c r="DB151" s="62">
        <v>0</v>
      </c>
      <c r="DC151" s="62">
        <v>0</v>
      </c>
      <c r="DD151" s="62">
        <v>0</v>
      </c>
      <c r="DE151" s="62">
        <v>0</v>
      </c>
      <c r="DF151" s="62">
        <v>0</v>
      </c>
      <c r="DG151" s="62">
        <v>0</v>
      </c>
      <c r="DH151" s="62">
        <v>0</v>
      </c>
      <c r="DI151" s="62">
        <v>0</v>
      </c>
      <c r="DJ151" s="62">
        <v>0</v>
      </c>
      <c r="DK151" s="62">
        <v>0</v>
      </c>
      <c r="DL151" s="62">
        <v>0</v>
      </c>
      <c r="DM151" s="190">
        <f t="shared" si="849"/>
        <v>0</v>
      </c>
      <c r="DN151" s="62">
        <v>0</v>
      </c>
      <c r="DO151" s="62">
        <v>0</v>
      </c>
      <c r="DP151" s="62">
        <v>0</v>
      </c>
      <c r="DQ151" s="62">
        <v>0</v>
      </c>
      <c r="DR151" s="62">
        <v>0</v>
      </c>
      <c r="DS151" s="62">
        <v>0</v>
      </c>
      <c r="DT151" s="62">
        <v>0</v>
      </c>
      <c r="DU151" s="62">
        <v>0</v>
      </c>
      <c r="DV151" s="62">
        <v>0</v>
      </c>
      <c r="DW151" s="62">
        <v>0</v>
      </c>
      <c r="DX151" s="62">
        <v>0</v>
      </c>
      <c r="DY151" s="62">
        <v>0</v>
      </c>
      <c r="DZ151" s="190">
        <f t="shared" si="850"/>
        <v>0</v>
      </c>
    </row>
    <row r="152" spans="1:130" s="194" customFormat="1" ht="20.45" customHeight="1">
      <c r="A152" s="642" t="str">
        <f ca="1">"월급통장 잔고 ("&amp;YEAR(TODAY())&amp;"-"&amp;IF(MONTH(TODAY())&lt;10,"0"&amp;MONTH(TODAY()),MONTH(TODAY()))&amp;"-"&amp;IF(DAY(TODAY())&lt;10,"0"&amp;DAY(TODAY())&amp;")",DAY(TODAY())&amp;")")</f>
        <v>월급통장 잔고 (2026-06-02)</v>
      </c>
      <c r="B152" s="643"/>
      <c r="C152" s="644"/>
      <c r="D152" s="341">
        <f>SUM(F152:FJ152)-G152-U152-AI152-AW152-BK152-BY152-CM152-CZ152-DM152-DZ152-H152-V152-AJ152-AX152-BL152-BZ152</f>
        <v>5273881</v>
      </c>
      <c r="E152" s="330">
        <f t="shared" si="851"/>
        <v>1.631740561331976E-2</v>
      </c>
      <c r="F152" s="192">
        <f>F4-F25-F145-F147-F15-F150-F13-F16</f>
        <v>0</v>
      </c>
      <c r="G152" s="193">
        <f t="shared" si="433"/>
        <v>0</v>
      </c>
      <c r="H152" s="196">
        <f t="shared" ref="H152:H155" si="853">G152/(G$5+G$6+G$7+G$8+G$10+G$9)</f>
        <v>0</v>
      </c>
      <c r="I152" s="192">
        <f t="shared" ref="I152:T152" si="854">I4-I25-I145-I147-I15-I150-I13-I16</f>
        <v>0</v>
      </c>
      <c r="J152" s="192">
        <f t="shared" si="854"/>
        <v>1927559</v>
      </c>
      <c r="K152" s="192">
        <f t="shared" si="854"/>
        <v>904888</v>
      </c>
      <c r="L152" s="192">
        <f t="shared" si="854"/>
        <v>-764673</v>
      </c>
      <c r="M152" s="192">
        <f t="shared" si="854"/>
        <v>526158</v>
      </c>
      <c r="N152" s="192">
        <f t="shared" si="854"/>
        <v>1291721</v>
      </c>
      <c r="O152" s="192">
        <f t="shared" si="854"/>
        <v>-1907510</v>
      </c>
      <c r="P152" s="192">
        <f t="shared" si="854"/>
        <v>199431</v>
      </c>
      <c r="Q152" s="192">
        <f t="shared" si="854"/>
        <v>-435207</v>
      </c>
      <c r="R152" s="192">
        <f t="shared" si="854"/>
        <v>567082</v>
      </c>
      <c r="S152" s="192">
        <f t="shared" si="854"/>
        <v>-451500</v>
      </c>
      <c r="T152" s="192">
        <f t="shared" si="854"/>
        <v>-1826980</v>
      </c>
      <c r="U152" s="193">
        <f t="shared" si="423"/>
        <v>30969</v>
      </c>
      <c r="V152" s="196">
        <f t="shared" ref="V152:V155" si="855">U152/(U$5+U$6+U$7+U$8+U$10+U$9)</f>
        <v>5.582011837527677E-4</v>
      </c>
      <c r="W152" s="192">
        <f t="shared" ref="W152:AH152" si="856">W4-W25-W145-W147-W15-W150-W13-W16</f>
        <v>558918</v>
      </c>
      <c r="X152" s="192">
        <f t="shared" si="856"/>
        <v>510667</v>
      </c>
      <c r="Y152" s="192">
        <f t="shared" si="856"/>
        <v>575791</v>
      </c>
      <c r="Z152" s="192">
        <f t="shared" si="856"/>
        <v>1992146</v>
      </c>
      <c r="AA152" s="192">
        <f t="shared" si="856"/>
        <v>1197328</v>
      </c>
      <c r="AB152" s="192">
        <f t="shared" si="856"/>
        <v>-81438</v>
      </c>
      <c r="AC152" s="192">
        <f t="shared" si="856"/>
        <v>2087220</v>
      </c>
      <c r="AD152" s="192">
        <f t="shared" si="856"/>
        <v>-171101</v>
      </c>
      <c r="AE152" s="192">
        <f t="shared" si="856"/>
        <v>20190</v>
      </c>
      <c r="AF152" s="192">
        <f t="shared" si="856"/>
        <v>1941635</v>
      </c>
      <c r="AG152" s="192">
        <f t="shared" si="856"/>
        <v>434339</v>
      </c>
      <c r="AH152" s="192">
        <f t="shared" si="856"/>
        <v>-4563950</v>
      </c>
      <c r="AI152" s="193">
        <f t="shared" si="424"/>
        <v>4501745</v>
      </c>
      <c r="AJ152" s="196">
        <f t="shared" ref="AJ152:AJ155" si="857">AI152/(AI$5+AI$6+AI$7+AI$8+AI$10+AI$9)</f>
        <v>6.1182718336075026E-2</v>
      </c>
      <c r="AK152" s="192">
        <f t="shared" ref="AK152:AV152" si="858">AK4-AK25-AK145-AK147-AK15-AK150-AK13-AK16</f>
        <v>99456</v>
      </c>
      <c r="AL152" s="192">
        <f t="shared" si="858"/>
        <v>1108185</v>
      </c>
      <c r="AM152" s="192">
        <f t="shared" si="858"/>
        <v>1434710</v>
      </c>
      <c r="AN152" s="192">
        <f t="shared" si="858"/>
        <v>52497</v>
      </c>
      <c r="AO152" s="192">
        <f t="shared" si="858"/>
        <v>1516866</v>
      </c>
      <c r="AP152" s="192">
        <f t="shared" si="858"/>
        <v>-964236</v>
      </c>
      <c r="AQ152" s="192">
        <f t="shared" si="858"/>
        <v>457809</v>
      </c>
      <c r="AR152" s="192">
        <f t="shared" si="858"/>
        <v>-947994</v>
      </c>
      <c r="AS152" s="192">
        <f t="shared" si="858"/>
        <v>1214699</v>
      </c>
      <c r="AT152" s="192">
        <f t="shared" si="858"/>
        <v>-4761329</v>
      </c>
      <c r="AU152" s="192">
        <f t="shared" si="858"/>
        <v>-258467</v>
      </c>
      <c r="AV152" s="192">
        <f t="shared" si="858"/>
        <v>-231768</v>
      </c>
      <c r="AW152" s="193">
        <f t="shared" si="425"/>
        <v>-1279572</v>
      </c>
      <c r="AX152" s="196">
        <f t="shared" ref="AX152:AX155" si="859">AW152/(AW$5+AW$6+AW$7+AW$8+AW$10+AW$9)</f>
        <v>-1.6773058941617007E-2</v>
      </c>
      <c r="AY152" s="192">
        <f t="shared" ref="AY152:BG152" si="860">AY4-AY25-AY145-AY147-AY15-AY150-AY13-AY16</f>
        <v>-3108041</v>
      </c>
      <c r="AZ152" s="192">
        <f t="shared" si="860"/>
        <v>6214274</v>
      </c>
      <c r="BA152" s="192">
        <f t="shared" si="860"/>
        <v>-1406269</v>
      </c>
      <c r="BB152" s="192">
        <f t="shared" si="860"/>
        <v>-93386</v>
      </c>
      <c r="BC152" s="192">
        <f t="shared" si="860"/>
        <v>1815971</v>
      </c>
      <c r="BD152" s="192">
        <f t="shared" si="860"/>
        <v>-2388978</v>
      </c>
      <c r="BE152" s="192">
        <f t="shared" si="860"/>
        <v>-1029138</v>
      </c>
      <c r="BF152" s="192">
        <f t="shared" si="860"/>
        <v>576465</v>
      </c>
      <c r="BG152" s="192">
        <f t="shared" si="860"/>
        <v>-1060840</v>
      </c>
      <c r="BH152" s="192">
        <f>BH4-BH25-BH145-BH147-BH15-BH150-BH13-BH16</f>
        <v>2319327</v>
      </c>
      <c r="BI152" s="192">
        <f t="shared" ref="BI152:BJ152" si="861">BI4-BI25-BI145-BI147-BI15-BI150-BI13-BI16</f>
        <v>1732832</v>
      </c>
      <c r="BJ152" s="192">
        <f t="shared" si="861"/>
        <v>-6591266</v>
      </c>
      <c r="BK152" s="193">
        <f t="shared" si="852"/>
        <v>-3019049</v>
      </c>
      <c r="BL152" s="196">
        <f t="shared" ref="BL152:BL155" si="862">BK152/(BK$5+BK$6+BK$7+BK$8+BK$10+BK$9)</f>
        <v>-4.3228683815188594E-2</v>
      </c>
      <c r="BM152" s="192">
        <f t="shared" ref="BM152:DY152" si="863">BM4-BM25-BM145-BM147-BM15-BM150-BM13-BM16</f>
        <v>10778</v>
      </c>
      <c r="BN152" s="192">
        <f t="shared" si="863"/>
        <v>1859189</v>
      </c>
      <c r="BO152" s="192">
        <f t="shared" si="863"/>
        <v>1830688</v>
      </c>
      <c r="BP152" s="192">
        <f t="shared" si="863"/>
        <v>475217</v>
      </c>
      <c r="BQ152" s="192">
        <f t="shared" si="863"/>
        <v>863916</v>
      </c>
      <c r="BR152" s="192">
        <f t="shared" si="863"/>
        <v>0</v>
      </c>
      <c r="BS152" s="192">
        <f t="shared" si="863"/>
        <v>0</v>
      </c>
      <c r="BT152" s="192">
        <f t="shared" si="863"/>
        <v>0</v>
      </c>
      <c r="BU152" s="192">
        <f t="shared" si="863"/>
        <v>0</v>
      </c>
      <c r="BV152" s="192">
        <f t="shared" si="863"/>
        <v>0</v>
      </c>
      <c r="BW152" s="192">
        <f t="shared" si="863"/>
        <v>0</v>
      </c>
      <c r="BX152" s="192">
        <f t="shared" si="863"/>
        <v>0</v>
      </c>
      <c r="BY152" s="193">
        <f t="shared" si="846"/>
        <v>5039788</v>
      </c>
      <c r="BZ152" s="196">
        <f t="shared" ref="BZ152:BZ155" si="864">BY152/(BY$5+BY$6+BY$7+BY$8+BY$10+BY$9)</f>
        <v>0.11547787050765887</v>
      </c>
      <c r="CA152" s="192">
        <f t="shared" si="863"/>
        <v>0</v>
      </c>
      <c r="CB152" s="192">
        <f t="shared" si="863"/>
        <v>0</v>
      </c>
      <c r="CC152" s="192">
        <f t="shared" si="863"/>
        <v>0</v>
      </c>
      <c r="CD152" s="192">
        <f t="shared" si="863"/>
        <v>0</v>
      </c>
      <c r="CE152" s="192">
        <f t="shared" si="863"/>
        <v>0</v>
      </c>
      <c r="CF152" s="192">
        <f t="shared" si="863"/>
        <v>0</v>
      </c>
      <c r="CG152" s="192">
        <f t="shared" si="863"/>
        <v>0</v>
      </c>
      <c r="CH152" s="192">
        <f t="shared" si="863"/>
        <v>0</v>
      </c>
      <c r="CI152" s="192">
        <f t="shared" si="863"/>
        <v>0</v>
      </c>
      <c r="CJ152" s="192">
        <f t="shared" si="863"/>
        <v>0</v>
      </c>
      <c r="CK152" s="192">
        <f t="shared" si="863"/>
        <v>0</v>
      </c>
      <c r="CL152" s="192">
        <f t="shared" si="863"/>
        <v>0</v>
      </c>
      <c r="CM152" s="193">
        <f t="shared" si="847"/>
        <v>0</v>
      </c>
      <c r="CN152" s="192">
        <f t="shared" si="863"/>
        <v>0</v>
      </c>
      <c r="CO152" s="192">
        <f t="shared" si="863"/>
        <v>0</v>
      </c>
      <c r="CP152" s="192">
        <f t="shared" si="863"/>
        <v>0</v>
      </c>
      <c r="CQ152" s="192">
        <f t="shared" si="863"/>
        <v>0</v>
      </c>
      <c r="CR152" s="192">
        <f t="shared" si="863"/>
        <v>0</v>
      </c>
      <c r="CS152" s="192">
        <f t="shared" si="863"/>
        <v>0</v>
      </c>
      <c r="CT152" s="192">
        <f t="shared" si="863"/>
        <v>0</v>
      </c>
      <c r="CU152" s="192">
        <f t="shared" si="863"/>
        <v>0</v>
      </c>
      <c r="CV152" s="192">
        <f t="shared" si="863"/>
        <v>0</v>
      </c>
      <c r="CW152" s="192">
        <f t="shared" si="863"/>
        <v>0</v>
      </c>
      <c r="CX152" s="192">
        <f t="shared" si="863"/>
        <v>0</v>
      </c>
      <c r="CY152" s="192">
        <f t="shared" si="863"/>
        <v>0</v>
      </c>
      <c r="CZ152" s="193">
        <f t="shared" si="848"/>
        <v>0</v>
      </c>
      <c r="DA152" s="192">
        <f t="shared" si="863"/>
        <v>0</v>
      </c>
      <c r="DB152" s="192">
        <f t="shared" si="863"/>
        <v>0</v>
      </c>
      <c r="DC152" s="192">
        <f t="shared" si="863"/>
        <v>0</v>
      </c>
      <c r="DD152" s="192">
        <f t="shared" si="863"/>
        <v>0</v>
      </c>
      <c r="DE152" s="192">
        <f t="shared" si="863"/>
        <v>0</v>
      </c>
      <c r="DF152" s="192">
        <f t="shared" si="863"/>
        <v>0</v>
      </c>
      <c r="DG152" s="192">
        <f t="shared" si="863"/>
        <v>0</v>
      </c>
      <c r="DH152" s="192">
        <f t="shared" si="863"/>
        <v>0</v>
      </c>
      <c r="DI152" s="192">
        <f t="shared" si="863"/>
        <v>0</v>
      </c>
      <c r="DJ152" s="192">
        <f t="shared" si="863"/>
        <v>0</v>
      </c>
      <c r="DK152" s="192">
        <f t="shared" si="863"/>
        <v>0</v>
      </c>
      <c r="DL152" s="192">
        <f t="shared" si="863"/>
        <v>0</v>
      </c>
      <c r="DM152" s="193">
        <f t="shared" si="849"/>
        <v>0</v>
      </c>
      <c r="DN152" s="192">
        <f t="shared" si="863"/>
        <v>0</v>
      </c>
      <c r="DO152" s="192">
        <f t="shared" si="863"/>
        <v>0</v>
      </c>
      <c r="DP152" s="192">
        <f t="shared" si="863"/>
        <v>0</v>
      </c>
      <c r="DQ152" s="192">
        <f t="shared" si="863"/>
        <v>0</v>
      </c>
      <c r="DR152" s="192">
        <f t="shared" si="863"/>
        <v>0</v>
      </c>
      <c r="DS152" s="192">
        <f t="shared" si="863"/>
        <v>0</v>
      </c>
      <c r="DT152" s="192">
        <f t="shared" si="863"/>
        <v>0</v>
      </c>
      <c r="DU152" s="192">
        <f t="shared" si="863"/>
        <v>0</v>
      </c>
      <c r="DV152" s="192">
        <f t="shared" si="863"/>
        <v>0</v>
      </c>
      <c r="DW152" s="192">
        <f t="shared" si="863"/>
        <v>0</v>
      </c>
      <c r="DX152" s="192">
        <f t="shared" si="863"/>
        <v>0</v>
      </c>
      <c r="DY152" s="192">
        <f t="shared" si="863"/>
        <v>0</v>
      </c>
      <c r="DZ152" s="193">
        <f t="shared" si="850"/>
        <v>0</v>
      </c>
    </row>
    <row r="153" spans="1:130" ht="20.45" customHeight="1">
      <c r="A153" s="654" t="str">
        <f ca="1">"서울페이 잔고 ("&amp;YEAR(TODAY())&amp;"-"&amp;IF(MONTH(TODAY())&lt;10,"0"&amp;MONTH(TODAY()),MONTH(TODAY()))&amp;"-"&amp;IF(DAY(TODAY())&lt;10,"0"&amp;DAY(TODAY())&amp;")",DAY(TODAY())&amp;")")</f>
        <v>서울페이 잔고 (2026-06-02)</v>
      </c>
      <c r="B153" s="655"/>
      <c r="C153" s="656"/>
      <c r="D153" s="341">
        <f t="shared" ref="D153:D154" si="865">SUM(F153:FJ153)-G153-U153-AI153-AW153-BK153-BY153-CM153-CZ153-DM153-DZ153-H153-V153-AJ153-AX153-BL153-BZ153</f>
        <v>17615.000000000113</v>
      </c>
      <c r="E153" s="330">
        <f t="shared" si="851"/>
        <v>5.4500869450529771E-5</v>
      </c>
      <c r="F153" s="192">
        <f>F151+F13</f>
        <v>0</v>
      </c>
      <c r="G153" s="193">
        <f t="shared" si="433"/>
        <v>0</v>
      </c>
      <c r="H153" s="196">
        <f t="shared" si="853"/>
        <v>0</v>
      </c>
      <c r="I153" s="192">
        <f t="shared" ref="I153:T153" si="866">I151+I13</f>
        <v>0</v>
      </c>
      <c r="J153" s="192">
        <f t="shared" si="866"/>
        <v>0</v>
      </c>
      <c r="K153" s="192">
        <f t="shared" si="866"/>
        <v>0</v>
      </c>
      <c r="L153" s="192">
        <f t="shared" si="866"/>
        <v>0</v>
      </c>
      <c r="M153" s="192">
        <f t="shared" si="866"/>
        <v>0</v>
      </c>
      <c r="N153" s="192">
        <f t="shared" si="866"/>
        <v>0</v>
      </c>
      <c r="O153" s="192">
        <f t="shared" si="866"/>
        <v>0</v>
      </c>
      <c r="P153" s="192">
        <f t="shared" si="866"/>
        <v>0</v>
      </c>
      <c r="Q153" s="192">
        <f t="shared" si="866"/>
        <v>0</v>
      </c>
      <c r="R153" s="192">
        <f t="shared" si="866"/>
        <v>0</v>
      </c>
      <c r="S153" s="192">
        <f t="shared" si="866"/>
        <v>0</v>
      </c>
      <c r="T153" s="192">
        <f t="shared" si="866"/>
        <v>0</v>
      </c>
      <c r="U153" s="193">
        <f t="shared" si="423"/>
        <v>0</v>
      </c>
      <c r="V153" s="196">
        <f t="shared" si="855"/>
        <v>0</v>
      </c>
      <c r="W153" s="192">
        <f t="shared" ref="W153:AH153" si="867">W151+W13</f>
        <v>0</v>
      </c>
      <c r="X153" s="192">
        <f t="shared" si="867"/>
        <v>0</v>
      </c>
      <c r="Y153" s="192">
        <f t="shared" si="867"/>
        <v>0</v>
      </c>
      <c r="Z153" s="192">
        <f t="shared" si="867"/>
        <v>0</v>
      </c>
      <c r="AA153" s="192">
        <f t="shared" si="867"/>
        <v>0</v>
      </c>
      <c r="AB153" s="192">
        <f t="shared" si="867"/>
        <v>0</v>
      </c>
      <c r="AC153" s="192">
        <f t="shared" si="867"/>
        <v>0</v>
      </c>
      <c r="AD153" s="192">
        <f t="shared" si="867"/>
        <v>0</v>
      </c>
      <c r="AE153" s="192">
        <f t="shared" si="867"/>
        <v>0</v>
      </c>
      <c r="AF153" s="192">
        <f t="shared" si="867"/>
        <v>0</v>
      </c>
      <c r="AG153" s="192">
        <f t="shared" si="867"/>
        <v>0</v>
      </c>
      <c r="AH153" s="192">
        <f t="shared" si="867"/>
        <v>0</v>
      </c>
      <c r="AI153" s="193">
        <f t="shared" si="424"/>
        <v>0</v>
      </c>
      <c r="AJ153" s="196">
        <f t="shared" si="857"/>
        <v>0</v>
      </c>
      <c r="AK153" s="192">
        <f t="shared" ref="AK153:AV153" si="868">AK151+AK13</f>
        <v>0</v>
      </c>
      <c r="AL153" s="192">
        <f t="shared" si="868"/>
        <v>0</v>
      </c>
      <c r="AM153" s="192">
        <f t="shared" si="868"/>
        <v>0</v>
      </c>
      <c r="AN153" s="192">
        <f t="shared" si="868"/>
        <v>0</v>
      </c>
      <c r="AO153" s="192">
        <f t="shared" si="868"/>
        <v>0</v>
      </c>
      <c r="AP153" s="192">
        <f t="shared" si="868"/>
        <v>0</v>
      </c>
      <c r="AQ153" s="192">
        <f t="shared" si="868"/>
        <v>0</v>
      </c>
      <c r="AR153" s="192">
        <f t="shared" si="868"/>
        <v>0</v>
      </c>
      <c r="AS153" s="192">
        <f t="shared" si="868"/>
        <v>0</v>
      </c>
      <c r="AT153" s="192">
        <f t="shared" si="868"/>
        <v>800000</v>
      </c>
      <c r="AU153" s="192">
        <f t="shared" si="868"/>
        <v>500000</v>
      </c>
      <c r="AV153" s="192">
        <f t="shared" si="868"/>
        <v>811700</v>
      </c>
      <c r="AW153" s="193">
        <f t="shared" si="425"/>
        <v>2111700</v>
      </c>
      <c r="AX153" s="196">
        <f t="shared" si="859"/>
        <v>2.7680871859506646E-2</v>
      </c>
      <c r="AY153" s="192">
        <f>AY151+AY13-300000+5915</f>
        <v>-294085</v>
      </c>
      <c r="AZ153" s="192">
        <f>-1800000+1500000</f>
        <v>-300000</v>
      </c>
      <c r="BA153" s="192">
        <f t="shared" ref="BA153:BJ153" si="869">BA151+BA13</f>
        <v>0</v>
      </c>
      <c r="BB153" s="192">
        <f t="shared" si="869"/>
        <v>0</v>
      </c>
      <c r="BC153" s="192">
        <f t="shared" si="869"/>
        <v>-1500000</v>
      </c>
      <c r="BD153" s="192">
        <f t="shared" si="869"/>
        <v>0</v>
      </c>
      <c r="BE153" s="192">
        <f t="shared" si="869"/>
        <v>0</v>
      </c>
      <c r="BF153" s="192">
        <f t="shared" si="869"/>
        <v>0</v>
      </c>
      <c r="BG153" s="192">
        <f t="shared" si="869"/>
        <v>0</v>
      </c>
      <c r="BH153" s="192">
        <f t="shared" si="869"/>
        <v>0</v>
      </c>
      <c r="BI153" s="192">
        <f t="shared" si="869"/>
        <v>0</v>
      </c>
      <c r="BJ153" s="192">
        <f t="shared" si="869"/>
        <v>0</v>
      </c>
      <c r="BK153" s="193">
        <f t="shared" si="852"/>
        <v>-2094085</v>
      </c>
      <c r="BL153" s="196">
        <f t="shared" si="862"/>
        <v>-2.9984454822405731E-2</v>
      </c>
      <c r="BM153" s="192">
        <f t="shared" ref="BM153:BX153" si="870">BM151+BM13</f>
        <v>0</v>
      </c>
      <c r="BN153" s="192">
        <f t="shared" si="870"/>
        <v>0</v>
      </c>
      <c r="BO153" s="192">
        <f t="shared" si="870"/>
        <v>0</v>
      </c>
      <c r="BP153" s="192">
        <f t="shared" si="870"/>
        <v>0</v>
      </c>
      <c r="BQ153" s="192">
        <f t="shared" si="870"/>
        <v>0</v>
      </c>
      <c r="BR153" s="192">
        <f t="shared" si="870"/>
        <v>0</v>
      </c>
      <c r="BS153" s="192">
        <f t="shared" si="870"/>
        <v>0</v>
      </c>
      <c r="BT153" s="192">
        <f t="shared" si="870"/>
        <v>0</v>
      </c>
      <c r="BU153" s="192">
        <f t="shared" si="870"/>
        <v>0</v>
      </c>
      <c r="BV153" s="192">
        <f t="shared" si="870"/>
        <v>0</v>
      </c>
      <c r="BW153" s="192">
        <f t="shared" si="870"/>
        <v>0</v>
      </c>
      <c r="BX153" s="192">
        <f t="shared" si="870"/>
        <v>0</v>
      </c>
      <c r="BY153" s="193">
        <f t="shared" si="846"/>
        <v>0</v>
      </c>
      <c r="BZ153" s="196">
        <f t="shared" si="864"/>
        <v>0</v>
      </c>
      <c r="CA153" s="192">
        <f t="shared" ref="CA153:CL153" si="871">CA151+CA13</f>
        <v>0</v>
      </c>
      <c r="CB153" s="192">
        <f t="shared" si="871"/>
        <v>0</v>
      </c>
      <c r="CC153" s="192">
        <f t="shared" si="871"/>
        <v>0</v>
      </c>
      <c r="CD153" s="192">
        <f t="shared" si="871"/>
        <v>0</v>
      </c>
      <c r="CE153" s="192">
        <f t="shared" si="871"/>
        <v>0</v>
      </c>
      <c r="CF153" s="192">
        <f t="shared" si="871"/>
        <v>0</v>
      </c>
      <c r="CG153" s="192">
        <f t="shared" si="871"/>
        <v>0</v>
      </c>
      <c r="CH153" s="192">
        <f t="shared" si="871"/>
        <v>0</v>
      </c>
      <c r="CI153" s="192">
        <f t="shared" si="871"/>
        <v>0</v>
      </c>
      <c r="CJ153" s="192">
        <f t="shared" si="871"/>
        <v>0</v>
      </c>
      <c r="CK153" s="192">
        <f t="shared" si="871"/>
        <v>0</v>
      </c>
      <c r="CL153" s="192">
        <f t="shared" si="871"/>
        <v>0</v>
      </c>
      <c r="CM153" s="193">
        <f t="shared" si="847"/>
        <v>0</v>
      </c>
      <c r="CN153" s="192">
        <f t="shared" ref="CN153:CY153" si="872">CN151+CN13</f>
        <v>0</v>
      </c>
      <c r="CO153" s="192">
        <f t="shared" si="872"/>
        <v>0</v>
      </c>
      <c r="CP153" s="192">
        <f t="shared" si="872"/>
        <v>0</v>
      </c>
      <c r="CQ153" s="192">
        <f t="shared" si="872"/>
        <v>0</v>
      </c>
      <c r="CR153" s="192">
        <f t="shared" si="872"/>
        <v>0</v>
      </c>
      <c r="CS153" s="192">
        <f t="shared" si="872"/>
        <v>0</v>
      </c>
      <c r="CT153" s="192">
        <f t="shared" si="872"/>
        <v>0</v>
      </c>
      <c r="CU153" s="192">
        <f t="shared" si="872"/>
        <v>0</v>
      </c>
      <c r="CV153" s="192">
        <f t="shared" si="872"/>
        <v>0</v>
      </c>
      <c r="CW153" s="192">
        <f t="shared" si="872"/>
        <v>0</v>
      </c>
      <c r="CX153" s="192">
        <f t="shared" si="872"/>
        <v>0</v>
      </c>
      <c r="CY153" s="192">
        <f t="shared" si="872"/>
        <v>0</v>
      </c>
      <c r="CZ153" s="193">
        <f t="shared" si="848"/>
        <v>0</v>
      </c>
      <c r="DA153" s="192">
        <f t="shared" ref="DA153:DL153" si="873">DA151+DA13</f>
        <v>0</v>
      </c>
      <c r="DB153" s="192">
        <f t="shared" si="873"/>
        <v>0</v>
      </c>
      <c r="DC153" s="192">
        <f t="shared" si="873"/>
        <v>0</v>
      </c>
      <c r="DD153" s="192">
        <f t="shared" si="873"/>
        <v>0</v>
      </c>
      <c r="DE153" s="192">
        <f t="shared" si="873"/>
        <v>0</v>
      </c>
      <c r="DF153" s="192">
        <f t="shared" si="873"/>
        <v>0</v>
      </c>
      <c r="DG153" s="192">
        <f t="shared" si="873"/>
        <v>0</v>
      </c>
      <c r="DH153" s="192">
        <f t="shared" si="873"/>
        <v>0</v>
      </c>
      <c r="DI153" s="192">
        <f t="shared" si="873"/>
        <v>0</v>
      </c>
      <c r="DJ153" s="192">
        <f t="shared" si="873"/>
        <v>0</v>
      </c>
      <c r="DK153" s="192">
        <f t="shared" si="873"/>
        <v>0</v>
      </c>
      <c r="DL153" s="192">
        <f t="shared" si="873"/>
        <v>0</v>
      </c>
      <c r="DM153" s="193">
        <f t="shared" si="849"/>
        <v>0</v>
      </c>
      <c r="DN153" s="192">
        <f t="shared" ref="DN153:DY153" si="874">DN151+DN13</f>
        <v>0</v>
      </c>
      <c r="DO153" s="192">
        <f t="shared" si="874"/>
        <v>0</v>
      </c>
      <c r="DP153" s="192">
        <f t="shared" si="874"/>
        <v>0</v>
      </c>
      <c r="DQ153" s="192">
        <f t="shared" si="874"/>
        <v>0</v>
      </c>
      <c r="DR153" s="192">
        <f t="shared" si="874"/>
        <v>0</v>
      </c>
      <c r="DS153" s="192">
        <f t="shared" si="874"/>
        <v>0</v>
      </c>
      <c r="DT153" s="192">
        <f t="shared" si="874"/>
        <v>0</v>
      </c>
      <c r="DU153" s="192">
        <f t="shared" si="874"/>
        <v>0</v>
      </c>
      <c r="DV153" s="192">
        <f t="shared" si="874"/>
        <v>0</v>
      </c>
      <c r="DW153" s="192">
        <f t="shared" si="874"/>
        <v>0</v>
      </c>
      <c r="DX153" s="192">
        <f t="shared" si="874"/>
        <v>0</v>
      </c>
      <c r="DY153" s="192">
        <f t="shared" si="874"/>
        <v>0</v>
      </c>
      <c r="DZ153" s="193">
        <f t="shared" si="850"/>
        <v>0</v>
      </c>
    </row>
    <row r="154" spans="1:130" ht="20.45" customHeight="1">
      <c r="A154" s="654" t="str">
        <f ca="1">"업비트 ("&amp;YEAR(TODAY())&amp;"-"&amp;IF(MONTH(TODAY())&lt;10,"0"&amp;MONTH(TODAY()),MONTH(TODAY()))&amp;"-"&amp;IF(DAY(TODAY())&lt;10,"0"&amp;DAY(TODAY())&amp;")",DAY(TODAY())&amp;")")</f>
        <v>업비트 (2026-06-02)</v>
      </c>
      <c r="B154" s="655"/>
      <c r="C154" s="656"/>
      <c r="D154" s="341">
        <f t="shared" si="865"/>
        <v>7.8614913190389046E-10</v>
      </c>
      <c r="E154" s="330">
        <f t="shared" si="851"/>
        <v>2.4323480673596916E-18</v>
      </c>
      <c r="F154" s="192">
        <f>F149+F15</f>
        <v>0</v>
      </c>
      <c r="G154" s="193">
        <f t="shared" si="433"/>
        <v>0</v>
      </c>
      <c r="H154" s="196">
        <f t="shared" si="853"/>
        <v>0</v>
      </c>
      <c r="I154" s="192">
        <f t="shared" ref="I154:T154" si="875">I149+I15</f>
        <v>0</v>
      </c>
      <c r="J154" s="192">
        <f t="shared" si="875"/>
        <v>0</v>
      </c>
      <c r="K154" s="192">
        <f t="shared" si="875"/>
        <v>0</v>
      </c>
      <c r="L154" s="192">
        <f t="shared" si="875"/>
        <v>0</v>
      </c>
      <c r="M154" s="192">
        <f t="shared" si="875"/>
        <v>0</v>
      </c>
      <c r="N154" s="192">
        <f t="shared" si="875"/>
        <v>0</v>
      </c>
      <c r="O154" s="192">
        <f t="shared" si="875"/>
        <v>0</v>
      </c>
      <c r="P154" s="192">
        <f t="shared" si="875"/>
        <v>0</v>
      </c>
      <c r="Q154" s="192">
        <f t="shared" si="875"/>
        <v>0</v>
      </c>
      <c r="R154" s="192">
        <f t="shared" si="875"/>
        <v>0</v>
      </c>
      <c r="S154" s="192">
        <f t="shared" si="875"/>
        <v>0</v>
      </c>
      <c r="T154" s="192">
        <f t="shared" si="875"/>
        <v>0</v>
      </c>
      <c r="U154" s="193">
        <f t="shared" si="423"/>
        <v>0</v>
      </c>
      <c r="V154" s="196">
        <f t="shared" si="855"/>
        <v>0</v>
      </c>
      <c r="W154" s="192">
        <f t="shared" ref="W154:AH154" si="876">W149+W15</f>
        <v>0</v>
      </c>
      <c r="X154" s="192">
        <f t="shared" si="876"/>
        <v>0</v>
      </c>
      <c r="Y154" s="192">
        <f t="shared" si="876"/>
        <v>0</v>
      </c>
      <c r="Z154" s="192">
        <f t="shared" si="876"/>
        <v>0</v>
      </c>
      <c r="AA154" s="192">
        <f t="shared" si="876"/>
        <v>0</v>
      </c>
      <c r="AB154" s="192">
        <f t="shared" si="876"/>
        <v>0</v>
      </c>
      <c r="AC154" s="192">
        <f t="shared" si="876"/>
        <v>0</v>
      </c>
      <c r="AD154" s="192">
        <f t="shared" si="876"/>
        <v>0</v>
      </c>
      <c r="AE154" s="192">
        <f t="shared" si="876"/>
        <v>0</v>
      </c>
      <c r="AF154" s="192">
        <f t="shared" si="876"/>
        <v>0</v>
      </c>
      <c r="AG154" s="192">
        <f t="shared" si="876"/>
        <v>0</v>
      </c>
      <c r="AH154" s="192">
        <f t="shared" si="876"/>
        <v>0</v>
      </c>
      <c r="AI154" s="193">
        <f t="shared" si="424"/>
        <v>0</v>
      </c>
      <c r="AJ154" s="196">
        <f t="shared" si="857"/>
        <v>0</v>
      </c>
      <c r="AK154" s="192">
        <f t="shared" ref="AK154:AV154" si="877">AK149+AK15</f>
        <v>0</v>
      </c>
      <c r="AL154" s="192">
        <f t="shared" si="877"/>
        <v>0</v>
      </c>
      <c r="AM154" s="192">
        <f t="shared" si="877"/>
        <v>0</v>
      </c>
      <c r="AN154" s="192">
        <f t="shared" si="877"/>
        <v>0</v>
      </c>
      <c r="AO154" s="192">
        <f t="shared" si="877"/>
        <v>0</v>
      </c>
      <c r="AP154" s="192">
        <f t="shared" si="877"/>
        <v>0</v>
      </c>
      <c r="AQ154" s="192">
        <f t="shared" si="877"/>
        <v>0</v>
      </c>
      <c r="AR154" s="192">
        <f t="shared" si="877"/>
        <v>0</v>
      </c>
      <c r="AS154" s="192">
        <f t="shared" si="877"/>
        <v>0</v>
      </c>
      <c r="AT154" s="192">
        <f t="shared" si="877"/>
        <v>6872616</v>
      </c>
      <c r="AU154" s="192">
        <f t="shared" si="877"/>
        <v>-632801</v>
      </c>
      <c r="AV154" s="192">
        <f t="shared" si="877"/>
        <v>1222534</v>
      </c>
      <c r="AW154" s="193">
        <f t="shared" si="425"/>
        <v>7462349</v>
      </c>
      <c r="AX154" s="196">
        <f t="shared" si="859"/>
        <v>9.7818973547339844E-2</v>
      </c>
      <c r="AY154" s="192">
        <f t="shared" ref="AY154:BJ154" si="878">AY149+AY15</f>
        <v>2342110</v>
      </c>
      <c r="AZ154" s="192">
        <f t="shared" si="878"/>
        <v>-318328</v>
      </c>
      <c r="BA154" s="192">
        <f t="shared" si="878"/>
        <v>-403241</v>
      </c>
      <c r="BB154" s="192">
        <f t="shared" si="878"/>
        <v>970960</v>
      </c>
      <c r="BC154" s="192">
        <f t="shared" si="878"/>
        <v>-1189208</v>
      </c>
      <c r="BD154" s="192">
        <f t="shared" si="878"/>
        <v>2725893</v>
      </c>
      <c r="BE154" s="192">
        <f t="shared" si="878"/>
        <v>407153</v>
      </c>
      <c r="BF154" s="192">
        <f t="shared" si="878"/>
        <v>-99448</v>
      </c>
      <c r="BG154" s="192">
        <f>BG149+BG15</f>
        <v>-902487</v>
      </c>
      <c r="BH154" s="192">
        <f t="shared" si="878"/>
        <v>-10995753</v>
      </c>
      <c r="BI154" s="192">
        <f t="shared" si="878"/>
        <v>0</v>
      </c>
      <c r="BJ154" s="192">
        <f t="shared" si="878"/>
        <v>0</v>
      </c>
      <c r="BK154" s="193">
        <f t="shared" si="852"/>
        <v>-7462349</v>
      </c>
      <c r="BL154" s="196">
        <f t="shared" si="862"/>
        <v>-0.10685070876278881</v>
      </c>
      <c r="BM154" s="192">
        <f t="shared" ref="BM154:BX154" si="879">BM149+BM15</f>
        <v>0</v>
      </c>
      <c r="BN154" s="192">
        <f t="shared" si="879"/>
        <v>0</v>
      </c>
      <c r="BO154" s="192">
        <f t="shared" si="879"/>
        <v>0</v>
      </c>
      <c r="BP154" s="192">
        <f t="shared" si="879"/>
        <v>0</v>
      </c>
      <c r="BQ154" s="192">
        <f t="shared" si="879"/>
        <v>0</v>
      </c>
      <c r="BR154" s="192">
        <f t="shared" si="879"/>
        <v>0</v>
      </c>
      <c r="BS154" s="192">
        <f t="shared" si="879"/>
        <v>0</v>
      </c>
      <c r="BT154" s="192">
        <f t="shared" si="879"/>
        <v>0</v>
      </c>
      <c r="BU154" s="192">
        <f t="shared" si="879"/>
        <v>0</v>
      </c>
      <c r="BV154" s="192">
        <f t="shared" si="879"/>
        <v>0</v>
      </c>
      <c r="BW154" s="192">
        <f t="shared" si="879"/>
        <v>0</v>
      </c>
      <c r="BX154" s="192">
        <f t="shared" si="879"/>
        <v>0</v>
      </c>
      <c r="BY154" s="193">
        <f t="shared" si="846"/>
        <v>0</v>
      </c>
      <c r="BZ154" s="196">
        <f t="shared" si="864"/>
        <v>0</v>
      </c>
      <c r="CA154" s="192">
        <f t="shared" ref="CA154:CL154" si="880">CA149+CA15</f>
        <v>0</v>
      </c>
      <c r="CB154" s="192">
        <f t="shared" si="880"/>
        <v>0</v>
      </c>
      <c r="CC154" s="192">
        <f t="shared" si="880"/>
        <v>0</v>
      </c>
      <c r="CD154" s="192">
        <f t="shared" si="880"/>
        <v>0</v>
      </c>
      <c r="CE154" s="192">
        <f t="shared" si="880"/>
        <v>0</v>
      </c>
      <c r="CF154" s="192">
        <f t="shared" si="880"/>
        <v>0</v>
      </c>
      <c r="CG154" s="192">
        <f t="shared" si="880"/>
        <v>0</v>
      </c>
      <c r="CH154" s="192">
        <f t="shared" si="880"/>
        <v>0</v>
      </c>
      <c r="CI154" s="192">
        <f t="shared" si="880"/>
        <v>0</v>
      </c>
      <c r="CJ154" s="192">
        <f t="shared" si="880"/>
        <v>0</v>
      </c>
      <c r="CK154" s="192">
        <f t="shared" si="880"/>
        <v>0</v>
      </c>
      <c r="CL154" s="192">
        <f t="shared" si="880"/>
        <v>0</v>
      </c>
      <c r="CM154" s="193">
        <f t="shared" si="847"/>
        <v>0</v>
      </c>
      <c r="CN154" s="192">
        <f t="shared" ref="CN154:CY154" si="881">CN149+CN15</f>
        <v>0</v>
      </c>
      <c r="CO154" s="192">
        <f t="shared" si="881"/>
        <v>0</v>
      </c>
      <c r="CP154" s="192">
        <f t="shared" si="881"/>
        <v>0</v>
      </c>
      <c r="CQ154" s="192">
        <f t="shared" si="881"/>
        <v>0</v>
      </c>
      <c r="CR154" s="192">
        <f t="shared" si="881"/>
        <v>0</v>
      </c>
      <c r="CS154" s="192">
        <f t="shared" si="881"/>
        <v>0</v>
      </c>
      <c r="CT154" s="192">
        <f t="shared" si="881"/>
        <v>0</v>
      </c>
      <c r="CU154" s="192">
        <f t="shared" si="881"/>
        <v>0</v>
      </c>
      <c r="CV154" s="192">
        <f t="shared" si="881"/>
        <v>0</v>
      </c>
      <c r="CW154" s="192">
        <f t="shared" si="881"/>
        <v>0</v>
      </c>
      <c r="CX154" s="192">
        <f t="shared" si="881"/>
        <v>0</v>
      </c>
      <c r="CY154" s="192">
        <f t="shared" si="881"/>
        <v>0</v>
      </c>
      <c r="CZ154" s="193">
        <f t="shared" si="848"/>
        <v>0</v>
      </c>
      <c r="DA154" s="192">
        <f t="shared" ref="DA154:DL154" si="882">DA149+DA15</f>
        <v>0</v>
      </c>
      <c r="DB154" s="192">
        <f t="shared" si="882"/>
        <v>0</v>
      </c>
      <c r="DC154" s="192">
        <f t="shared" si="882"/>
        <v>0</v>
      </c>
      <c r="DD154" s="192">
        <f t="shared" si="882"/>
        <v>0</v>
      </c>
      <c r="DE154" s="192">
        <f t="shared" si="882"/>
        <v>0</v>
      </c>
      <c r="DF154" s="192">
        <f t="shared" si="882"/>
        <v>0</v>
      </c>
      <c r="DG154" s="192">
        <f t="shared" si="882"/>
        <v>0</v>
      </c>
      <c r="DH154" s="192">
        <f t="shared" si="882"/>
        <v>0</v>
      </c>
      <c r="DI154" s="192">
        <f t="shared" si="882"/>
        <v>0</v>
      </c>
      <c r="DJ154" s="192">
        <f t="shared" si="882"/>
        <v>0</v>
      </c>
      <c r="DK154" s="192">
        <f t="shared" si="882"/>
        <v>0</v>
      </c>
      <c r="DL154" s="192">
        <f t="shared" si="882"/>
        <v>0</v>
      </c>
      <c r="DM154" s="193">
        <f t="shared" si="849"/>
        <v>0</v>
      </c>
      <c r="DN154" s="192">
        <f t="shared" ref="DN154:DY154" si="883">DN149+DN15</f>
        <v>0</v>
      </c>
      <c r="DO154" s="192">
        <f t="shared" si="883"/>
        <v>0</v>
      </c>
      <c r="DP154" s="192">
        <f t="shared" si="883"/>
        <v>0</v>
      </c>
      <c r="DQ154" s="192">
        <f t="shared" si="883"/>
        <v>0</v>
      </c>
      <c r="DR154" s="192">
        <f t="shared" si="883"/>
        <v>0</v>
      </c>
      <c r="DS154" s="192">
        <f t="shared" si="883"/>
        <v>0</v>
      </c>
      <c r="DT154" s="192">
        <f t="shared" si="883"/>
        <v>0</v>
      </c>
      <c r="DU154" s="192">
        <f t="shared" si="883"/>
        <v>0</v>
      </c>
      <c r="DV154" s="192">
        <f t="shared" si="883"/>
        <v>0</v>
      </c>
      <c r="DW154" s="192">
        <f t="shared" si="883"/>
        <v>0</v>
      </c>
      <c r="DX154" s="192">
        <f t="shared" si="883"/>
        <v>0</v>
      </c>
      <c r="DY154" s="192">
        <f t="shared" si="883"/>
        <v>0</v>
      </c>
      <c r="DZ154" s="193">
        <f t="shared" si="850"/>
        <v>0</v>
      </c>
    </row>
    <row r="155" spans="1:130" ht="20.45" customHeight="1">
      <c r="A155" s="642" t="str">
        <f ca="1">"KB증권 ("&amp;YEAR(TODAY())&amp;"-"&amp;IF(MONTH(TODAY())&lt;10,"0"&amp;MONTH(TODAY()),MONTH(TODAY()))&amp;"-"&amp;IF(DAY(TODAY())&lt;10,"0"&amp;DAY(TODAY())&amp;")",DAY(TODAY())&amp;")"&amp;" (투자금 50,000,000)")</f>
        <v>KB증권 (2026-06-02)</v>
      </c>
      <c r="B155" s="643"/>
      <c r="C155" s="644"/>
      <c r="D155" s="341">
        <f>27000000+SUM(F155:FJ155)-G155-U155-AI155-AW155-BK155-BY155-CM155-CZ155-DM155-DZ155-H155-V155-AJ155-AX155-BL155-BZ155</f>
        <v>68787017</v>
      </c>
      <c r="E155" s="330">
        <f t="shared" si="851"/>
        <v>0.21282726275380914</v>
      </c>
      <c r="F155" s="192">
        <f>F148+F16</f>
        <v>0</v>
      </c>
      <c r="G155" s="193">
        <f t="shared" ref="G155" si="884">SUM(F155)</f>
        <v>0</v>
      </c>
      <c r="H155" s="196">
        <f t="shared" si="853"/>
        <v>0</v>
      </c>
      <c r="I155" s="192">
        <f t="shared" ref="I155:T155" si="885">I148+I16</f>
        <v>0</v>
      </c>
      <c r="J155" s="192">
        <f t="shared" si="885"/>
        <v>0</v>
      </c>
      <c r="K155" s="192">
        <f t="shared" si="885"/>
        <v>0</v>
      </c>
      <c r="L155" s="192">
        <f t="shared" si="885"/>
        <v>0</v>
      </c>
      <c r="M155" s="192">
        <f t="shared" si="885"/>
        <v>0</v>
      </c>
      <c r="N155" s="192">
        <f t="shared" si="885"/>
        <v>0</v>
      </c>
      <c r="O155" s="192">
        <f t="shared" si="885"/>
        <v>0</v>
      </c>
      <c r="P155" s="192">
        <f t="shared" si="885"/>
        <v>0</v>
      </c>
      <c r="Q155" s="192">
        <f t="shared" si="885"/>
        <v>0</v>
      </c>
      <c r="R155" s="192">
        <f t="shared" si="885"/>
        <v>0</v>
      </c>
      <c r="S155" s="192">
        <f t="shared" si="885"/>
        <v>0</v>
      </c>
      <c r="T155" s="192">
        <f t="shared" si="885"/>
        <v>0</v>
      </c>
      <c r="U155" s="193">
        <f t="shared" ref="U155" si="886">SUM(I155:T155)</f>
        <v>0</v>
      </c>
      <c r="V155" s="196">
        <f t="shared" si="855"/>
        <v>0</v>
      </c>
      <c r="W155" s="192">
        <f t="shared" ref="W155:CI155" si="887">W148+W16</f>
        <v>0</v>
      </c>
      <c r="X155" s="192">
        <f t="shared" si="887"/>
        <v>0</v>
      </c>
      <c r="Y155" s="192">
        <f t="shared" si="887"/>
        <v>0</v>
      </c>
      <c r="Z155" s="192">
        <f t="shared" si="887"/>
        <v>0</v>
      </c>
      <c r="AA155" s="192">
        <f t="shared" si="887"/>
        <v>0</v>
      </c>
      <c r="AB155" s="192">
        <f t="shared" si="887"/>
        <v>0</v>
      </c>
      <c r="AC155" s="192">
        <f t="shared" si="887"/>
        <v>0</v>
      </c>
      <c r="AD155" s="192">
        <f t="shared" si="887"/>
        <v>0</v>
      </c>
      <c r="AE155" s="192">
        <f t="shared" si="887"/>
        <v>0</v>
      </c>
      <c r="AF155" s="192">
        <f t="shared" si="887"/>
        <v>0</v>
      </c>
      <c r="AG155" s="192">
        <f t="shared" si="887"/>
        <v>0</v>
      </c>
      <c r="AH155" s="192">
        <f t="shared" si="887"/>
        <v>0</v>
      </c>
      <c r="AI155" s="193">
        <f t="shared" ref="AI155" si="888">SUM(W155:AH155)</f>
        <v>0</v>
      </c>
      <c r="AJ155" s="196">
        <f t="shared" si="857"/>
        <v>0</v>
      </c>
      <c r="AK155" s="192">
        <f t="shared" si="887"/>
        <v>0</v>
      </c>
      <c r="AL155" s="192">
        <f t="shared" si="887"/>
        <v>0</v>
      </c>
      <c r="AM155" s="192">
        <f t="shared" si="887"/>
        <v>0</v>
      </c>
      <c r="AN155" s="192">
        <f t="shared" si="887"/>
        <v>0</v>
      </c>
      <c r="AO155" s="192">
        <f t="shared" si="887"/>
        <v>0</v>
      </c>
      <c r="AP155" s="192">
        <f t="shared" si="887"/>
        <v>0</v>
      </c>
      <c r="AQ155" s="192">
        <f t="shared" si="887"/>
        <v>0</v>
      </c>
      <c r="AR155" s="192">
        <f t="shared" si="887"/>
        <v>0</v>
      </c>
      <c r="AS155" s="192">
        <f t="shared" si="887"/>
        <v>0</v>
      </c>
      <c r="AT155" s="192">
        <f t="shared" si="887"/>
        <v>0</v>
      </c>
      <c r="AU155" s="192">
        <f t="shared" si="887"/>
        <v>-3811876</v>
      </c>
      <c r="AV155" s="192">
        <f t="shared" si="887"/>
        <v>-3808335</v>
      </c>
      <c r="AW155" s="193">
        <f t="shared" ref="AW155" si="889">SUM(AK155:AV155)</f>
        <v>-7620211</v>
      </c>
      <c r="AX155" s="196">
        <f t="shared" si="859"/>
        <v>-9.9888281589905287E-2</v>
      </c>
      <c r="AY155" s="192">
        <f t="shared" si="887"/>
        <v>-483069</v>
      </c>
      <c r="AZ155" s="192">
        <f t="shared" si="887"/>
        <v>-982694</v>
      </c>
      <c r="BA155" s="192">
        <f t="shared" si="887"/>
        <v>-627431</v>
      </c>
      <c r="BB155" s="192">
        <f t="shared" si="887"/>
        <v>1274529</v>
      </c>
      <c r="BC155" s="192">
        <f t="shared" si="887"/>
        <v>932103</v>
      </c>
      <c r="BD155" s="192">
        <f t="shared" si="887"/>
        <v>1104555</v>
      </c>
      <c r="BE155" s="192">
        <f t="shared" si="887"/>
        <v>-1486377</v>
      </c>
      <c r="BF155" s="192">
        <f t="shared" si="887"/>
        <v>872353</v>
      </c>
      <c r="BG155" s="192">
        <f t="shared" si="887"/>
        <v>4307289</v>
      </c>
      <c r="BH155" s="192">
        <f t="shared" si="887"/>
        <v>5013114</v>
      </c>
      <c r="BI155" s="192">
        <f t="shared" si="887"/>
        <v>1539900</v>
      </c>
      <c r="BJ155" s="192">
        <f t="shared" si="887"/>
        <v>11755396</v>
      </c>
      <c r="BK155" s="193">
        <f t="shared" si="852"/>
        <v>23219668</v>
      </c>
      <c r="BL155" s="196">
        <f t="shared" si="862"/>
        <v>0.33247412886165562</v>
      </c>
      <c r="BM155" s="192">
        <f t="shared" si="887"/>
        <v>-2630398</v>
      </c>
      <c r="BN155" s="192">
        <f>BN148+BN16</f>
        <v>2108683</v>
      </c>
      <c r="BO155" s="192">
        <f t="shared" si="887"/>
        <v>4568809</v>
      </c>
      <c r="BP155" s="192">
        <f t="shared" si="887"/>
        <v>13696918</v>
      </c>
      <c r="BQ155" s="192">
        <f t="shared" si="887"/>
        <v>8443547.9999999963</v>
      </c>
      <c r="BR155" s="192">
        <f t="shared" si="887"/>
        <v>0</v>
      </c>
      <c r="BS155" s="192">
        <f t="shared" si="887"/>
        <v>0</v>
      </c>
      <c r="BT155" s="192">
        <f t="shared" si="887"/>
        <v>0</v>
      </c>
      <c r="BU155" s="192">
        <f t="shared" si="887"/>
        <v>0</v>
      </c>
      <c r="BV155" s="192">
        <f t="shared" si="887"/>
        <v>0</v>
      </c>
      <c r="BW155" s="192">
        <f t="shared" si="887"/>
        <v>0</v>
      </c>
      <c r="BX155" s="192">
        <f t="shared" si="887"/>
        <v>0</v>
      </c>
      <c r="BY155" s="193">
        <f t="shared" si="846"/>
        <v>26187559.999999996</v>
      </c>
      <c r="BZ155" s="196">
        <f t="shared" si="864"/>
        <v>0.60004183957570167</v>
      </c>
      <c r="CA155" s="192">
        <f t="shared" si="887"/>
        <v>0</v>
      </c>
      <c r="CB155" s="192">
        <f t="shared" si="887"/>
        <v>0</v>
      </c>
      <c r="CC155" s="192">
        <f t="shared" si="887"/>
        <v>0</v>
      </c>
      <c r="CD155" s="192">
        <f t="shared" si="887"/>
        <v>0</v>
      </c>
      <c r="CE155" s="192">
        <f t="shared" si="887"/>
        <v>0</v>
      </c>
      <c r="CF155" s="192">
        <f t="shared" si="887"/>
        <v>0</v>
      </c>
      <c r="CG155" s="192">
        <f t="shared" si="887"/>
        <v>0</v>
      </c>
      <c r="CH155" s="192">
        <f t="shared" si="887"/>
        <v>0</v>
      </c>
      <c r="CI155" s="192">
        <f t="shared" si="887"/>
        <v>0</v>
      </c>
      <c r="CJ155" s="192">
        <f t="shared" ref="CJ155:DY155" si="890">CJ148+CJ16</f>
        <v>0</v>
      </c>
      <c r="CK155" s="192">
        <f t="shared" si="890"/>
        <v>0</v>
      </c>
      <c r="CL155" s="192">
        <f t="shared" si="890"/>
        <v>0</v>
      </c>
      <c r="CM155" s="193">
        <f t="shared" si="847"/>
        <v>0</v>
      </c>
      <c r="CN155" s="192">
        <f t="shared" si="890"/>
        <v>0</v>
      </c>
      <c r="CO155" s="192">
        <f t="shared" si="890"/>
        <v>0</v>
      </c>
      <c r="CP155" s="192">
        <f t="shared" si="890"/>
        <v>0</v>
      </c>
      <c r="CQ155" s="192">
        <f t="shared" si="890"/>
        <v>0</v>
      </c>
      <c r="CR155" s="192">
        <f t="shared" si="890"/>
        <v>0</v>
      </c>
      <c r="CS155" s="192">
        <f t="shared" si="890"/>
        <v>0</v>
      </c>
      <c r="CT155" s="192">
        <f t="shared" si="890"/>
        <v>0</v>
      </c>
      <c r="CU155" s="192">
        <f t="shared" si="890"/>
        <v>0</v>
      </c>
      <c r="CV155" s="192">
        <f t="shared" si="890"/>
        <v>0</v>
      </c>
      <c r="CW155" s="192">
        <f t="shared" si="890"/>
        <v>0</v>
      </c>
      <c r="CX155" s="192">
        <f t="shared" si="890"/>
        <v>0</v>
      </c>
      <c r="CY155" s="192">
        <f t="shared" si="890"/>
        <v>0</v>
      </c>
      <c r="CZ155" s="193">
        <f t="shared" si="848"/>
        <v>0</v>
      </c>
      <c r="DA155" s="192">
        <f t="shared" si="890"/>
        <v>0</v>
      </c>
      <c r="DB155" s="192">
        <f t="shared" si="890"/>
        <v>0</v>
      </c>
      <c r="DC155" s="192">
        <f t="shared" si="890"/>
        <v>0</v>
      </c>
      <c r="DD155" s="192">
        <f t="shared" si="890"/>
        <v>0</v>
      </c>
      <c r="DE155" s="192">
        <f t="shared" si="890"/>
        <v>0</v>
      </c>
      <c r="DF155" s="192">
        <f t="shared" si="890"/>
        <v>0</v>
      </c>
      <c r="DG155" s="192">
        <f t="shared" si="890"/>
        <v>0</v>
      </c>
      <c r="DH155" s="192">
        <f t="shared" si="890"/>
        <v>0</v>
      </c>
      <c r="DI155" s="192">
        <f t="shared" si="890"/>
        <v>0</v>
      </c>
      <c r="DJ155" s="192">
        <f t="shared" si="890"/>
        <v>0</v>
      </c>
      <c r="DK155" s="192">
        <f t="shared" si="890"/>
        <v>0</v>
      </c>
      <c r="DL155" s="192">
        <f t="shared" si="890"/>
        <v>0</v>
      </c>
      <c r="DM155" s="193">
        <f t="shared" si="849"/>
        <v>0</v>
      </c>
      <c r="DN155" s="192">
        <f t="shared" si="890"/>
        <v>0</v>
      </c>
      <c r="DO155" s="192">
        <f t="shared" si="890"/>
        <v>0</v>
      </c>
      <c r="DP155" s="192">
        <f t="shared" si="890"/>
        <v>0</v>
      </c>
      <c r="DQ155" s="192">
        <f t="shared" si="890"/>
        <v>0</v>
      </c>
      <c r="DR155" s="192">
        <f t="shared" si="890"/>
        <v>0</v>
      </c>
      <c r="DS155" s="192">
        <f t="shared" si="890"/>
        <v>0</v>
      </c>
      <c r="DT155" s="192">
        <f t="shared" si="890"/>
        <v>0</v>
      </c>
      <c r="DU155" s="192">
        <f t="shared" si="890"/>
        <v>0</v>
      </c>
      <c r="DV155" s="192">
        <f t="shared" si="890"/>
        <v>0</v>
      </c>
      <c r="DW155" s="192">
        <f t="shared" si="890"/>
        <v>0</v>
      </c>
      <c r="DX155" s="192">
        <f t="shared" si="890"/>
        <v>0</v>
      </c>
      <c r="DY155" s="192">
        <f t="shared" si="890"/>
        <v>0</v>
      </c>
      <c r="DZ155" s="193">
        <f t="shared" si="850"/>
        <v>0</v>
      </c>
    </row>
    <row r="156" spans="1:130" ht="20.45" customHeight="1">
      <c r="A156" s="642" t="str">
        <f ca="1">"성과급통장 ("&amp;YEAR(TODAY())&amp;"-"&amp;IF(MONTH(TODAY())&lt;10,"0"&amp;MONTH(TODAY()),MONTH(TODAY()))&amp;"-"&amp;IF(DAY(TODAY())&lt;10,"0"&amp;DAY(TODAY())&amp;")",DAY(TODAY())&amp;")")</f>
        <v>성과급통장 (2026-06-02)</v>
      </c>
      <c r="B156" s="643"/>
      <c r="C156" s="644"/>
      <c r="D156" s="341">
        <f>1196848+1782000-2000000</f>
        <v>978848</v>
      </c>
    </row>
    <row r="157" spans="1:130" ht="20.45" customHeight="1">
      <c r="A157" s="632" t="str">
        <f ca="1">"주택청약종합저축 ("&amp;YEAR(TODAY())&amp;"-"&amp;IF(MONTH(TODAY())&lt;10,"0"&amp;MONTH(TODAY()),MONTH(TODAY()))&amp;"-"&amp;IF(DAY(TODAY())&lt;10,"0"&amp;DAY(TODAY())&amp;")",DAY(TODAY())&amp;")")</f>
        <v>주택청약종합저축 (2026-06-02)</v>
      </c>
      <c r="B157" s="633"/>
      <c r="C157" s="634"/>
      <c r="D157" s="342">
        <v>3000000</v>
      </c>
    </row>
    <row r="158" spans="1:130" ht="20.45" customHeight="1">
      <c r="A158" s="632" t="str">
        <f ca="1">"우체국정기예금 ("&amp;YEAR(TODAY())&amp;"-"&amp;IF(MONTH(TODAY())&lt;10,"0"&amp;MONTH(TODAY()),MONTH(TODAY()))&amp;"-"&amp;IF(DAY(TODAY())&lt;10,"0"&amp;DAY(TODAY())&amp;")",DAY(TODAY())&amp;")")</f>
        <v>우체국정기예금 (2026-06-02)</v>
      </c>
      <c r="B158" s="633"/>
      <c r="C158" s="634"/>
      <c r="D158" s="342">
        <v>172632730</v>
      </c>
      <c r="G158" s="493"/>
      <c r="V158" s="114"/>
    </row>
    <row r="159" spans="1:130" ht="20.45" customHeight="1">
      <c r="A159" s="629" t="str">
        <f ca="1">"국민연금 ("&amp;YEAR(TODAY())&amp;"-"&amp;IF(MONTH(TODAY())&lt;10,"0"&amp;MONTH(TODAY()),MONTH(TODAY()))&amp;"-"&amp;IF(DAY(TODAY())&lt;10,"0"&amp;DAY(TODAY())&amp;")",DAY(TODAY())&amp;")")</f>
        <v>국민연금 (2026-06-02)</v>
      </c>
      <c r="B159" s="630"/>
      <c r="C159" s="631"/>
      <c r="D159" s="343">
        <f>62079420+302570*10</f>
        <v>65105120</v>
      </c>
    </row>
    <row r="160" spans="1:130" ht="20.45" customHeight="1">
      <c r="A160" s="629" t="str">
        <f ca="1">"현대푸본생명연금 ("&amp;YEAR(TODAY())&amp;"-"&amp;IF(MONTH(TODAY())&lt;10,"0"&amp;MONTH(TODAY()),MONTH(TODAY()))&amp;"-"&amp;IF(DAY(TODAY())&lt;10,"0"&amp;DAY(TODAY())&amp;")",DAY(TODAY())&amp;")")</f>
        <v>현대푸본생명연금 (2026-06-02)</v>
      </c>
      <c r="B160" s="630"/>
      <c r="C160" s="631"/>
      <c r="D160" s="343">
        <f>8700000+160000*5</f>
        <v>9500000</v>
      </c>
    </row>
  </sheetData>
  <autoFilter ref="A3:DZ3" xr:uid="{00000000-0009-0000-0000-000003000000}"/>
  <mergeCells count="61">
    <mergeCell ref="A156:C156"/>
    <mergeCell ref="A25:A144"/>
    <mergeCell ref="B29:B31"/>
    <mergeCell ref="B32:B40"/>
    <mergeCell ref="B41:B47"/>
    <mergeCell ref="B92:B94"/>
    <mergeCell ref="B48:B49"/>
    <mergeCell ref="B50:B56"/>
    <mergeCell ref="B57:B62"/>
    <mergeCell ref="B95:B96"/>
    <mergeCell ref="B75:B79"/>
    <mergeCell ref="B97:B107"/>
    <mergeCell ref="A155:C155"/>
    <mergeCell ref="A153:C153"/>
    <mergeCell ref="A150:A151"/>
    <mergeCell ref="B151:C151"/>
    <mergeCell ref="A147:A149"/>
    <mergeCell ref="B149:C149"/>
    <mergeCell ref="B24:C24"/>
    <mergeCell ref="B63:B74"/>
    <mergeCell ref="B115:B122"/>
    <mergeCell ref="B80:B86"/>
    <mergeCell ref="B87:B88"/>
    <mergeCell ref="B89:B91"/>
    <mergeCell ref="B19:C19"/>
    <mergeCell ref="B10:C10"/>
    <mergeCell ref="B12:C12"/>
    <mergeCell ref="B20:C20"/>
    <mergeCell ref="B21:C21"/>
    <mergeCell ref="B6:C6"/>
    <mergeCell ref="B9:C9"/>
    <mergeCell ref="B7:C7"/>
    <mergeCell ref="A4:A24"/>
    <mergeCell ref="A159:C159"/>
    <mergeCell ref="B5:C5"/>
    <mergeCell ref="B22:C22"/>
    <mergeCell ref="B8:C8"/>
    <mergeCell ref="B23:C23"/>
    <mergeCell ref="B17:C17"/>
    <mergeCell ref="B15:C15"/>
    <mergeCell ref="B13:C13"/>
    <mergeCell ref="B14:C14"/>
    <mergeCell ref="B11:C11"/>
    <mergeCell ref="B16:C16"/>
    <mergeCell ref="B18:C18"/>
    <mergeCell ref="A160:C160"/>
    <mergeCell ref="A158:C158"/>
    <mergeCell ref="B26:B28"/>
    <mergeCell ref="A145:A146"/>
    <mergeCell ref="B146:C146"/>
    <mergeCell ref="A152:C152"/>
    <mergeCell ref="B108:B112"/>
    <mergeCell ref="B113:B114"/>
    <mergeCell ref="B123:B128"/>
    <mergeCell ref="B129:B131"/>
    <mergeCell ref="B132:B134"/>
    <mergeCell ref="B138:B144"/>
    <mergeCell ref="B135:B137"/>
    <mergeCell ref="B148:C148"/>
    <mergeCell ref="A157:C157"/>
    <mergeCell ref="A154:C154"/>
  </mergeCells>
  <phoneticPr fontId="5" type="noConversion"/>
  <pageMargins left="0.7" right="0.7" top="0.75" bottom="0.75" header="0.3" footer="0.3"/>
  <pageSetup scale="45" orientation="portrait" r:id="rId1"/>
  <headerFooter>
    <oddHeader>&amp;R&amp;"Aptos"&amp;13&amp;K000000 [ RESTRICTED ]&amp;1#_x000D_</oddHeader>
    <oddFooter>&amp;R_x000D_&amp;1#&amp;"Aptos"&amp;5&amp;K000000 [Secure Minds, Secure Finds] 본 문서는 현대건설㈜의 정보자산이므로 무단 전제 및 복제할 수 없으며, 이를 위반할 시에는 당사 사규 및 관련 법규에 의해 제지를 받을 수 있습니다.</oddFooter>
  </headerFooter>
  <ignoredErrors>
    <ignoredError sqref="G24 W4:AI4 AY145:BK145 W45:AA46 W78:AB78 W85:AE85 W79:AA79 W39:AA39 W38:AB38 W37:AA37 CA20:DZ22 AY20:BK21 G20:G22 W65:AA67 W51:AA51 AC51 W58:Y58 W86:AA86 W91:AA91 AC91 W94:AA94 AF94 W108:AI108 W76:AA77 W88:AA88 AE88 W130:AA130 AI130 W109:AA109 AC109:AI109 CA107:DZ109 E108:U108 AY108:BK109 G112 U112 W44:AB44 W43:AA43 W5:AB5 AI5 W36:AB36 W47:AB47 AD31:AG31 W10:AI10 G12 CA12:DZ12 U12 W144:AB144 AD144:AE144 E26:T26 CA24:DZ28 G31 U31 W21:AI21 AD22:AE22 U17 U24:U26 E23:U23 W22:AB22 U20:U22 E29:U29 W42:AB42 E87:U87 CA85:DZ103 F114:G114 AE114:AF114 AE67 W20:AB20 AD20:AI20 W53:AB53 W59:AB59 AD59 F27:G28 J27:U27 AI27 E145:U145 CA123:DZ124 F124:G124 F128:G128 T128:U128 W103:AB103 W102:AC102 W90:AC90 AE90:AG90 W40:AC40 AE40:AF40 AF91:AG91 W12:AC12 AE12:AF12 W131:AC131 AE131:AI131 AC65 AE65 W134:AI135 W133:AD133 AG133 CA74:DZ81 E75:U75 W141:AD141 W107:AD107 AF107 AG144 AG22:AI22 W54:AF54 AH12:AI12 AI126 E41:U41 CA36:DZ51 AI90:AI91 CA128:DZ142 E129:U129 W97:AI101 W96:AG96 AI144 AY4:BK4 AI86 AI47 AI67 AY32:BK32 AI58 AI133 AY129:BK129 AI79 AL133 AK134:AV135 AC46:AI46 AI42:AI45 AT47:AV47 W48:AI50 W41:AI41 AI36:AI39 AL131:AQ131 W132:AI132 AM86:AN86 W87:AI87 AK8:AW8 W32:AI32 AD53:AI53 W129:AI129 AG85:AI85 AK4:AW4 AK108:AV109 AK20:AV21 AK145:AV145 E123:U123 AW128:AW132 AK24:AW26 AW84 AW134:AW145 AD124:AI124 AW20:AW23 W89:AI89 AH88:AI88 AE102:AI102 AL101:AV101 AK72:AV72 AL71 AC66:AI66 AI65 AM65:AN65 W75:AI75 AI74 AL144 AP91 W95:AI95 AI94 AL85:AT85 AK137:AV140 AL136:AT136 AP43:AR43 AK12 AD78:AI78 AI77 AI107 AP107 AG59:AI59 AN59 AK22 AM22 AM10:AW10 AN144:AO144 AC112:AI112 AO112:AS112 AC76:AI76 AN76:AQ76 AP133:AQ133 AW107:AW114 E113:U113 AY113:BK113 CA112:DZ114 AN71:AQ71 AK97:AV100 AI96 AO96:AV96 AH114:AI114 AQ114:AR114 AW126 AG128:AI128 AO128:AQ128 AP77 AO22:AS22 W142:AI142 AQ142:AR142 AT74 AP86 W60:AI64 AP61:AV61 U52 E115:U115 F122:G122 AH54:AI54 AP54:AU54 AP65:AQ65 W92:AI93 AP93:AV93 AM12:AN12 AP12:AQ12 AR144 AH40:AI40 AR40:AU40 AK90:AO90 AQ90:AS90 E57:U57 CA53:DZ72 U74 AE51:AI51 AQ51 G74 AT107:AU107 AR91 AR118:AW119 AK70:AP70 AR53:AW53 AS77:AU77 AT122:AW122 AS131:AU131 AS128:AV128 AW36:AW37 AS133:AW133 AS71:AT71 AS51:AV51 AS124:AW124 AS76 AS12:AT12 AS65:AT65 AT43 AT142:AU142 AT144 AT114 AU112:AV112 AU103:AV103 CA144:DZ145 G149 U149 AI149 AV90:AV91 AD103:AI103 AW86:AW104 G152 U152 AI152 AW39:AW52 F116:G119 F151:G151 AV71 AV114 AF141:AI141 AP141:AT141 AV85:AW85 AV12:AW12 AV141 AK7:AU7 AW7 AI31 AY8:BK8 BD5 AW15 AW151:AW152 E150:U150 AW147 AW79 AW67 BK67 AR70:AW70 AZ70 AY89:BK89 BK88 AW60:AW64 AW58 AY46:BK48 AW149 BK149 CA150:DZ150 BY149 CM149 AY92:BK93 AU38:AW38 AZ33:BK33 AY41:BK41 AZ40:BC40 AY132:BK132 BK130 AK28:AW28 AW27 BE27 BB12 BK151 BM153:BX154 F153:F154 AS78:AW78 AY134:BK135 BA133 BB107 BA153:BJ153 AY10 BA10:BB10 AY43:AZ43 AY42 AY45 AY36 AY39 AY50:BK50 AY49 BA49:BK49 AY103:BK103 AY102 BA102:BK102 AY95:BK95 AY94 BI94 AP59:AW59 BB59:BK59 AY154:BF154 W153:AH154 AK153:AV154 CA153:CL154 CN153:CY154 DA153:DL154 DN153:DY154 AY144 BA144 AW76:AW77 BA77 AY87:BK87 AY86 BK86 AW17 AK10 U10 CA10:DZ10 G10 BB76 AY37:AZ37 BK58 AO66:AW66 AV65:AW65 BC65:BG65 BB70:BK70 AW56 BB56 AZ90:AZ91 BD90:BG90 AW71:AW74 BD74:BE74 BC133:BF133 AK68:AW69 BC69:BK69 AY142:BB142 AY141:BA141 AY97:BK101 AY96:BA96 BC96:BG96 BE144 W80:AI81 BD80:BK80 BF107:BI107 BF10:BK10 BD56:BE56 W55:AI57 AW54 BD54:BI54 BD12:BE12 AW29:AW33 AI33 CA31:DZ33 E32:U32 W33:AB33 BE142:BK142 BK79 BB72:BC72 BE72:BK72 AY51:BC51 BE51 BE77 BE91:BF91 AY112:BC112 BE112 G7:G8 CA7:DZ8 U7:U8 W7:AI8 F25:G25 I25:T25 I28:U28 F36:G40 I36:U40 F33:G33 I33:U33 E48:U48 F42:G47 I42:U47 E50:U50 F49:G49 I49:U49 F53:G56 I53:U56 F51:G51 I51:U51 E63:U63 F58:G62 I58:U62 F64:G73 I64:U73 E80:U80 F76:G79 I76:U79 F85:G86 I85:U86 F81:G81 I81:U81 E89:U89 F88:G88 I88:U88 E92:U92 F90:G91 I90:U91 E95:U95 F93:G94 I93:U94 E97:U97 F96:G96 I96:U96 F107:G107 I107:U107 F98:G103 I98:U103 F109:G109 I109:U109 I114:U114 I122:U122 I116:U119 I124:U124 I128:R128 E132:U132 F130:G131 I130:U131 E135:U135 F133:G134 I133:U134 E138:U138 F136:G137 I136:U137 F144:G144 I144:U144 F139:G142 I139:U142 I146:U146 I151:U151 I153:T154 W17:AI17 W23:AI26 W27:AC27 W128:AC128 W113:AI113 AI147 W28:AI29 W68:AI73 W114:AB114 W122:AI123 W115:AI119 W124:AB124 W145:AI146 W150:AI151 AK60:AV60 AK46:AV46 AK48:AV50 AK41:AV41 AK132:AV132 AK87:AV87 AK32:AV32 AK53:AP53 AK129:AV129 AK124:AQ124 AK89:AV89 AK102:AV102 AK66:AM66 AK75:AW75 AK92:AV92 AK95:AV95 AK78:AQ78 AK107 AK59 AK112:AL112 AK76:AL76 AK96:AM96 AK114:AM114 AK128:AM128 AK62:AV64 AK61:AN61 AK54:AN54 AK93:AN93 AK40:AO40 AK51:AO51 AK103:AS103 AK141:AN142 AK56:AU56 AK31:AU31 AK57:AW57 AK80:AW81 AK55:AW55 AK123:AW123 AK113:AV113 AK150:AW150 AK122 AK118:AO118 AK119:AP119 AK115:AW117 AK146:AW146 AK151:AT151 AY24:BK26 AY53:BE53 AY124:BF124 AY85:BG85 AY68:BG68 AY60:BK64 AY38:BK38 AY28:BK28 AY78:BK78 AY59 AY77 AY71:AZ72 AY66:BE66 AY65:AZ65 AY56:AZ56 AY74:BA74 AY69:BA69 AY54:BB54 AY75:BK75 AY81:BK81 AY57:BK57 AY80:BB80 AY55:BK55 AY123:BK123 AY150:BK150 AY146:BC146 BF40:BI40 BF5 BK146:BK147 BK42:BK45 BK36:BK37 AY114:BD114 BF114:BG114 BG112:BH112 BG53:BK53 BG66:BK66 BE141 BG141:BK141 BI74 BG51:BI51 BK144 BG56:BK56 F146:G146 BB71:BE71 BI71 BI77 BK27 BG12:BH12 BK5 BH154:BJ154 AY128:BF128 BH128:BK128 BH124:BK124 AY131:BF131 BH131:BK131 U147 G147 AY22:BF22 BH22:BK22 BJ133:BK133 BK90:BK91 BJ68:BK68 BJ65:BK65 BK114 AY138:BK140 AY137:BG137 BI137:BK137 BG130 BH146 BI96 BI85:BK85 AY136:BH136 BJ136:BK136 AY31:BH31 BK31 BK112 BJ12:BK12 AY7:BH7 BJ7:BK7 BK74 BK107 BK94 BK39:BK40 BK76:BK77 BK96 BK51 BK54 BK71 BY7:BY8 BY31:BY33 BY10 BM150:BY150 BY144:BY147 BY53:BY72 BY112:BY114 BY128:BY142 BY36:BY51 BY74:BY81 BY123:BY124 BY85:BY103 BY24:BY28 BY12 BY107:BY109 BY20:BY22 W137:AI140 W136:Y136 AG136:AI136 AA136:AE136 AA58 BY4:BY5 U4:U5 CA4:DZ5 G4:G5 AW5" formula="1"/>
  </ignoredError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4"/>
  <dimension ref="A1:K3792"/>
  <sheetViews>
    <sheetView topLeftCell="A3748" zoomScale="85" zoomScaleNormal="85" zoomScaleSheetLayoutView="100" workbookViewId="0">
      <selection activeCell="G3782" sqref="G3782"/>
    </sheetView>
  </sheetViews>
  <sheetFormatPr defaultColWidth="8.75" defaultRowHeight="12"/>
  <cols>
    <col min="1" max="1" width="4.25" style="255" customWidth="1"/>
    <col min="2" max="2" width="9.75" style="26" customWidth="1"/>
    <col min="3" max="3" width="20.5" style="255" customWidth="1"/>
    <col min="4" max="5" width="11.875" style="253" customWidth="1"/>
    <col min="6" max="6" width="10.625" style="266" customWidth="1"/>
    <col min="7" max="7" width="68.75" style="255" customWidth="1"/>
    <col min="8" max="8" width="8.75" style="255"/>
    <col min="9" max="9" width="53.75" style="255" customWidth="1"/>
    <col min="10" max="10" width="33.125" style="255" customWidth="1"/>
    <col min="11" max="11" width="15" style="255" customWidth="1"/>
    <col min="12" max="16384" width="8.75" style="255"/>
  </cols>
  <sheetData>
    <row r="1" spans="1:8">
      <c r="A1" s="261" t="s">
        <v>8</v>
      </c>
      <c r="B1" s="261" t="s">
        <v>8</v>
      </c>
      <c r="C1" s="261" t="s">
        <v>8</v>
      </c>
      <c r="D1" s="496" t="s">
        <v>8</v>
      </c>
      <c r="E1" s="496" t="s">
        <v>8</v>
      </c>
      <c r="F1" s="261" t="s">
        <v>8</v>
      </c>
      <c r="G1" s="261" t="s">
        <v>8</v>
      </c>
      <c r="H1" s="261" t="s">
        <v>8</v>
      </c>
    </row>
    <row r="2" spans="1:8">
      <c r="A2" s="261" t="s">
        <v>8</v>
      </c>
      <c r="B2" s="256" t="s">
        <v>2116</v>
      </c>
      <c r="C2" s="262" t="s">
        <v>1268</v>
      </c>
      <c r="D2" s="497">
        <v>4718775</v>
      </c>
      <c r="E2" s="497"/>
      <c r="F2" s="263"/>
      <c r="G2" s="262"/>
    </row>
    <row r="3" spans="1:8">
      <c r="A3" s="261" t="s">
        <v>8</v>
      </c>
      <c r="B3" s="256" t="s">
        <v>8</v>
      </c>
      <c r="C3" s="262" t="s">
        <v>1269</v>
      </c>
      <c r="D3" s="497"/>
      <c r="E3" s="497">
        <v>405000</v>
      </c>
      <c r="F3" s="263"/>
      <c r="G3" s="262" t="s">
        <v>2117</v>
      </c>
    </row>
    <row r="4" spans="1:8">
      <c r="A4" s="261" t="s">
        <v>8</v>
      </c>
      <c r="B4" s="256" t="s">
        <v>8</v>
      </c>
      <c r="C4" s="262" t="s">
        <v>1270</v>
      </c>
      <c r="D4" s="497"/>
      <c r="E4" s="497">
        <v>592000</v>
      </c>
      <c r="F4" s="263"/>
      <c r="G4" s="262" t="s">
        <v>2118</v>
      </c>
    </row>
    <row r="5" spans="1:8">
      <c r="A5" s="261" t="s">
        <v>8</v>
      </c>
      <c r="B5" s="256" t="s">
        <v>8</v>
      </c>
      <c r="C5" s="262" t="s">
        <v>1271</v>
      </c>
      <c r="D5" s="497"/>
      <c r="E5" s="497">
        <v>195360</v>
      </c>
      <c r="F5" s="263"/>
      <c r="G5" s="264" t="s">
        <v>2119</v>
      </c>
    </row>
    <row r="6" spans="1:8">
      <c r="A6" s="261" t="s">
        <v>8</v>
      </c>
      <c r="B6" s="256" t="s">
        <v>8</v>
      </c>
      <c r="C6" s="262" t="s">
        <v>1272</v>
      </c>
      <c r="D6" s="497"/>
      <c r="E6" s="497">
        <v>9060</v>
      </c>
      <c r="F6" s="263"/>
      <c r="G6" s="262"/>
    </row>
    <row r="7" spans="1:8">
      <c r="A7" s="261" t="s">
        <v>8</v>
      </c>
      <c r="B7" s="256" t="s">
        <v>8</v>
      </c>
      <c r="C7" s="262" t="s">
        <v>1273</v>
      </c>
      <c r="D7" s="497"/>
      <c r="E7" s="497">
        <v>20980</v>
      </c>
      <c r="F7" s="263"/>
      <c r="G7" s="262"/>
    </row>
    <row r="8" spans="1:8">
      <c r="A8" s="261" t="s">
        <v>8</v>
      </c>
      <c r="B8" s="256" t="s">
        <v>8</v>
      </c>
      <c r="C8" s="262" t="s">
        <v>1274</v>
      </c>
      <c r="D8" s="497"/>
      <c r="E8" s="497">
        <v>18550</v>
      </c>
      <c r="F8" s="263"/>
      <c r="G8" s="262"/>
    </row>
    <row r="9" spans="1:8">
      <c r="A9" s="261" t="s">
        <v>8</v>
      </c>
      <c r="B9" s="256" t="s">
        <v>8</v>
      </c>
      <c r="C9" s="262" t="s">
        <v>1275</v>
      </c>
      <c r="D9" s="497"/>
      <c r="E9" s="497">
        <v>26450</v>
      </c>
      <c r="F9" s="263"/>
      <c r="G9" s="262"/>
    </row>
    <row r="10" spans="1:8">
      <c r="A10" s="261" t="s">
        <v>8</v>
      </c>
      <c r="B10" s="256" t="s">
        <v>8</v>
      </c>
      <c r="C10" s="262" t="s">
        <v>1276</v>
      </c>
      <c r="D10" s="497"/>
      <c r="E10" s="497">
        <v>186560</v>
      </c>
      <c r="F10" s="263"/>
      <c r="G10" s="262"/>
    </row>
    <row r="11" spans="1:8">
      <c r="A11" s="261" t="s">
        <v>8</v>
      </c>
      <c r="B11" s="256" t="s">
        <v>8</v>
      </c>
      <c r="C11" s="262" t="s">
        <v>1277</v>
      </c>
      <c r="D11" s="497"/>
      <c r="E11" s="497">
        <f>10400+6410</f>
        <v>16810</v>
      </c>
      <c r="F11" s="263"/>
      <c r="G11" s="262"/>
    </row>
    <row r="12" spans="1:8">
      <c r="A12" s="261" t="s">
        <v>8</v>
      </c>
      <c r="B12" s="256" t="s">
        <v>8</v>
      </c>
      <c r="C12" s="262" t="s">
        <v>1278</v>
      </c>
      <c r="D12" s="497"/>
      <c r="E12" s="497">
        <v>100000</v>
      </c>
      <c r="F12" s="263"/>
      <c r="G12" s="262"/>
    </row>
    <row r="13" spans="1:8">
      <c r="A13" s="261" t="s">
        <v>8</v>
      </c>
      <c r="B13" s="256" t="s">
        <v>8</v>
      </c>
      <c r="C13" s="262" t="s">
        <v>1279</v>
      </c>
      <c r="D13" s="497"/>
      <c r="E13" s="497">
        <v>100000</v>
      </c>
      <c r="F13" s="263"/>
      <c r="G13" s="262"/>
    </row>
    <row r="14" spans="1:8">
      <c r="A14" s="261" t="s">
        <v>8</v>
      </c>
      <c r="B14" s="256" t="s">
        <v>8</v>
      </c>
      <c r="C14" s="262" t="s">
        <v>1280</v>
      </c>
      <c r="D14" s="497"/>
      <c r="E14" s="497">
        <f>50000*5</f>
        <v>250000</v>
      </c>
      <c r="F14" s="263"/>
      <c r="G14" s="265"/>
    </row>
    <row r="15" spans="1:8">
      <c r="A15" s="261" t="s">
        <v>8</v>
      </c>
      <c r="B15" s="256" t="s">
        <v>8</v>
      </c>
      <c r="C15" s="262" t="s">
        <v>1281</v>
      </c>
      <c r="D15" s="497"/>
      <c r="E15" s="497">
        <v>17000</v>
      </c>
      <c r="F15" s="263"/>
      <c r="G15" s="265"/>
    </row>
    <row r="16" spans="1:8">
      <c r="A16" s="261" t="s">
        <v>8</v>
      </c>
      <c r="B16" s="256" t="s">
        <v>8</v>
      </c>
      <c r="C16" s="262" t="s">
        <v>1282</v>
      </c>
      <c r="D16" s="497"/>
      <c r="E16" s="497">
        <v>12900</v>
      </c>
      <c r="F16" s="263"/>
      <c r="G16" s="265"/>
    </row>
    <row r="17" spans="1:7">
      <c r="A17" s="261" t="s">
        <v>8</v>
      </c>
      <c r="B17" s="256" t="s">
        <v>8</v>
      </c>
      <c r="C17" s="262" t="s">
        <v>1283</v>
      </c>
      <c r="D17" s="497"/>
      <c r="E17" s="497">
        <v>52860</v>
      </c>
      <c r="F17" s="263"/>
      <c r="G17" s="265"/>
    </row>
    <row r="18" spans="1:7">
      <c r="A18" s="261" t="s">
        <v>8</v>
      </c>
      <c r="B18" s="256" t="s">
        <v>8</v>
      </c>
      <c r="C18" s="262" t="s">
        <v>1284</v>
      </c>
      <c r="D18" s="497"/>
      <c r="E18" s="497">
        <f>13572+31542+43174+22480+14537+36530+24259+3300+39640</f>
        <v>229034</v>
      </c>
      <c r="F18" s="263"/>
      <c r="G18" s="265"/>
    </row>
    <row r="19" spans="1:7">
      <c r="A19" s="261" t="s">
        <v>8</v>
      </c>
      <c r="B19" s="256" t="s">
        <v>8</v>
      </c>
      <c r="C19" s="262" t="s">
        <v>1285</v>
      </c>
      <c r="D19" s="497"/>
      <c r="E19" s="497">
        <f>14040+41770+6250</f>
        <v>62060</v>
      </c>
      <c r="F19" s="263"/>
      <c r="G19" s="265"/>
    </row>
    <row r="20" spans="1:7">
      <c r="A20" s="261" t="s">
        <v>8</v>
      </c>
      <c r="B20" s="256" t="s">
        <v>8</v>
      </c>
      <c r="C20" s="262" t="s">
        <v>1286</v>
      </c>
      <c r="D20" s="497"/>
      <c r="E20" s="497">
        <v>16000</v>
      </c>
      <c r="F20" s="263"/>
      <c r="G20" s="265"/>
    </row>
    <row r="21" spans="1:7">
      <c r="A21" s="261" t="s">
        <v>8</v>
      </c>
      <c r="B21" s="256" t="s">
        <v>8</v>
      </c>
      <c r="C21" s="262" t="s">
        <v>1287</v>
      </c>
      <c r="D21" s="497"/>
      <c r="E21" s="497">
        <v>15000</v>
      </c>
      <c r="F21" s="263"/>
      <c r="G21" s="265"/>
    </row>
    <row r="22" spans="1:7">
      <c r="A22" s="261" t="s">
        <v>8</v>
      </c>
      <c r="B22" s="256" t="s">
        <v>8</v>
      </c>
      <c r="C22" s="262" t="s">
        <v>1288</v>
      </c>
      <c r="D22" s="497"/>
      <c r="E22" s="497">
        <v>500</v>
      </c>
      <c r="F22" s="263"/>
      <c r="G22" s="265"/>
    </row>
    <row r="23" spans="1:7">
      <c r="A23" s="261" t="s">
        <v>8</v>
      </c>
      <c r="B23" s="256" t="s">
        <v>8</v>
      </c>
      <c r="C23" s="262" t="s">
        <v>1289</v>
      </c>
      <c r="D23" s="497"/>
      <c r="E23" s="497">
        <v>14600</v>
      </c>
      <c r="F23" s="263"/>
      <c r="G23" s="265"/>
    </row>
    <row r="24" spans="1:7">
      <c r="A24" s="261" t="s">
        <v>8</v>
      </c>
      <c r="B24" s="256" t="s">
        <v>8</v>
      </c>
      <c r="C24" s="262" t="s">
        <v>1290</v>
      </c>
      <c r="D24" s="497"/>
      <c r="E24" s="497">
        <v>50000</v>
      </c>
      <c r="F24" s="263"/>
      <c r="G24" s="265"/>
    </row>
    <row r="25" spans="1:7">
      <c r="A25" s="261" t="s">
        <v>8</v>
      </c>
      <c r="B25" s="256" t="s">
        <v>8</v>
      </c>
      <c r="C25" s="262" t="s">
        <v>1291</v>
      </c>
      <c r="D25" s="497">
        <v>1000000</v>
      </c>
      <c r="E25" s="497">
        <v>2500000</v>
      </c>
      <c r="F25" s="263"/>
      <c r="G25" s="265" t="s">
        <v>2120</v>
      </c>
    </row>
    <row r="26" spans="1:7">
      <c r="A26" s="261" t="s">
        <v>8</v>
      </c>
      <c r="B26" s="256" t="s">
        <v>8</v>
      </c>
      <c r="C26" s="262" t="s">
        <v>382</v>
      </c>
      <c r="D26" s="497"/>
      <c r="E26" s="497">
        <v>50000</v>
      </c>
      <c r="F26" s="263"/>
      <c r="G26" s="265"/>
    </row>
    <row r="27" spans="1:7">
      <c r="A27" s="261" t="s">
        <v>8</v>
      </c>
      <c r="B27" s="256" t="s">
        <v>8</v>
      </c>
      <c r="C27" s="262" t="s">
        <v>1292</v>
      </c>
      <c r="D27" s="497"/>
      <c r="E27" s="497">
        <v>10900</v>
      </c>
      <c r="F27" s="263"/>
      <c r="G27" s="265"/>
    </row>
    <row r="28" spans="1:7">
      <c r="A28" s="261" t="s">
        <v>8</v>
      </c>
      <c r="B28" s="256" t="s">
        <v>8</v>
      </c>
      <c r="C28" s="262" t="s">
        <v>1293</v>
      </c>
      <c r="D28" s="497"/>
      <c r="E28" s="497">
        <v>5850</v>
      </c>
      <c r="F28" s="263"/>
      <c r="G28" s="265"/>
    </row>
    <row r="29" spans="1:7">
      <c r="A29" s="261" t="s">
        <v>8</v>
      </c>
      <c r="B29" s="256" t="s">
        <v>8</v>
      </c>
      <c r="C29" s="262" t="s">
        <v>1294</v>
      </c>
      <c r="D29" s="497"/>
      <c r="E29" s="497">
        <v>107000</v>
      </c>
      <c r="F29" s="263"/>
      <c r="G29" s="265"/>
    </row>
    <row r="30" spans="1:7">
      <c r="A30" s="261" t="s">
        <v>8</v>
      </c>
      <c r="B30" s="256" t="s">
        <v>8</v>
      </c>
      <c r="C30" s="262" t="s">
        <v>1295</v>
      </c>
      <c r="D30" s="497"/>
      <c r="E30" s="497">
        <v>16000</v>
      </c>
      <c r="F30" s="263"/>
      <c r="G30" s="265"/>
    </row>
    <row r="31" spans="1:7">
      <c r="A31" s="261" t="s">
        <v>8</v>
      </c>
      <c r="B31" s="256" t="s">
        <v>8</v>
      </c>
      <c r="C31" s="262" t="s">
        <v>1296</v>
      </c>
      <c r="D31" s="497"/>
      <c r="E31" s="497">
        <v>38000</v>
      </c>
      <c r="F31" s="263"/>
      <c r="G31" s="265"/>
    </row>
    <row r="32" spans="1:7">
      <c r="A32" s="261" t="s">
        <v>8</v>
      </c>
      <c r="B32" s="256" t="s">
        <v>8</v>
      </c>
      <c r="C32" s="262" t="s">
        <v>1297</v>
      </c>
      <c r="D32" s="497"/>
      <c r="E32" s="497">
        <v>14100</v>
      </c>
      <c r="F32" s="263"/>
      <c r="G32" s="265"/>
    </row>
    <row r="33" spans="1:7">
      <c r="A33" s="261" t="s">
        <v>8</v>
      </c>
      <c r="B33" s="256" t="s">
        <v>8</v>
      </c>
      <c r="C33" s="262" t="s">
        <v>1298</v>
      </c>
      <c r="D33" s="497"/>
      <c r="E33" s="497">
        <v>19900</v>
      </c>
      <c r="F33" s="263"/>
      <c r="G33" s="265"/>
    </row>
    <row r="34" spans="1:7">
      <c r="A34" s="261" t="s">
        <v>8</v>
      </c>
      <c r="B34" s="256" t="s">
        <v>8</v>
      </c>
      <c r="C34" s="262" t="s">
        <v>1299</v>
      </c>
      <c r="D34" s="497"/>
      <c r="E34" s="497">
        <v>4200</v>
      </c>
      <c r="F34" s="263"/>
      <c r="G34" s="265"/>
    </row>
    <row r="35" spans="1:7">
      <c r="A35" s="261" t="s">
        <v>8</v>
      </c>
      <c r="B35" s="256" t="s">
        <v>8</v>
      </c>
      <c r="C35" s="262" t="s">
        <v>1300</v>
      </c>
      <c r="D35" s="497">
        <f>SUM(D2:D34)-SUM(E2:E34)</f>
        <v>562101</v>
      </c>
      <c r="E35" s="497"/>
      <c r="F35" s="263"/>
      <c r="G35" s="262"/>
    </row>
    <row r="36" spans="1:7">
      <c r="A36" s="261" t="s">
        <v>8</v>
      </c>
      <c r="B36" s="256" t="s">
        <v>8</v>
      </c>
    </row>
    <row r="37" spans="1:7">
      <c r="A37" s="261" t="s">
        <v>8</v>
      </c>
      <c r="B37" s="256" t="s">
        <v>8</v>
      </c>
    </row>
    <row r="38" spans="1:7">
      <c r="A38" s="261" t="s">
        <v>8</v>
      </c>
      <c r="B38" s="256" t="s">
        <v>8</v>
      </c>
    </row>
    <row r="39" spans="1:7">
      <c r="A39" s="261" t="s">
        <v>8</v>
      </c>
      <c r="B39" s="256" t="s">
        <v>8</v>
      </c>
    </row>
    <row r="40" spans="1:7">
      <c r="A40" s="261" t="s">
        <v>8</v>
      </c>
      <c r="B40" s="256" t="s">
        <v>2121</v>
      </c>
      <c r="C40" s="262" t="s">
        <v>1268</v>
      </c>
      <c r="D40" s="498">
        <v>4465505</v>
      </c>
      <c r="E40" s="497"/>
      <c r="F40" s="263"/>
      <c r="G40" s="262"/>
    </row>
    <row r="41" spans="1:7">
      <c r="A41" s="261" t="s">
        <v>8</v>
      </c>
      <c r="C41" s="262" t="s">
        <v>1269</v>
      </c>
      <c r="D41" s="497"/>
      <c r="E41" s="498">
        <v>412500</v>
      </c>
      <c r="F41" s="263"/>
      <c r="G41" s="262" t="s">
        <v>2122</v>
      </c>
    </row>
    <row r="42" spans="1:7">
      <c r="A42" s="261" t="s">
        <v>8</v>
      </c>
      <c r="C42" s="262" t="s">
        <v>1270</v>
      </c>
      <c r="D42" s="497"/>
      <c r="E42" s="498">
        <v>548000</v>
      </c>
      <c r="F42" s="263"/>
      <c r="G42" s="262"/>
    </row>
    <row r="43" spans="1:7">
      <c r="A43" s="261" t="s">
        <v>8</v>
      </c>
      <c r="C43" s="262" t="s">
        <v>1271</v>
      </c>
      <c r="D43" s="497"/>
      <c r="E43" s="498">
        <v>347060</v>
      </c>
      <c r="F43" s="263"/>
      <c r="G43" s="264"/>
    </row>
    <row r="44" spans="1:7">
      <c r="A44" s="261" t="s">
        <v>8</v>
      </c>
      <c r="C44" s="262" t="s">
        <v>1272</v>
      </c>
      <c r="D44" s="497"/>
      <c r="E44" s="498">
        <v>9060</v>
      </c>
      <c r="F44" s="263"/>
      <c r="G44" s="262"/>
    </row>
    <row r="45" spans="1:7">
      <c r="A45" s="261" t="s">
        <v>8</v>
      </c>
      <c r="C45" s="262" t="s">
        <v>1273</v>
      </c>
      <c r="D45" s="497"/>
      <c r="E45" s="498">
        <v>20980</v>
      </c>
      <c r="F45" s="263"/>
      <c r="G45" s="262"/>
    </row>
    <row r="46" spans="1:7">
      <c r="A46" s="261" t="s">
        <v>8</v>
      </c>
      <c r="C46" s="262" t="s">
        <v>1274</v>
      </c>
      <c r="D46" s="497"/>
      <c r="E46" s="498">
        <v>18550</v>
      </c>
      <c r="F46" s="263"/>
      <c r="G46" s="262"/>
    </row>
    <row r="47" spans="1:7">
      <c r="A47" s="261" t="s">
        <v>8</v>
      </c>
      <c r="C47" s="262" t="s">
        <v>1275</v>
      </c>
      <c r="D47" s="497"/>
      <c r="E47" s="498">
        <v>26450</v>
      </c>
      <c r="F47" s="263"/>
      <c r="G47" s="262"/>
    </row>
    <row r="48" spans="1:7">
      <c r="A48" s="261" t="s">
        <v>8</v>
      </c>
      <c r="C48" s="262" t="s">
        <v>1276</v>
      </c>
      <c r="D48" s="497"/>
      <c r="E48" s="498">
        <v>180010</v>
      </c>
      <c r="F48" s="263"/>
      <c r="G48" s="262"/>
    </row>
    <row r="49" spans="1:7">
      <c r="A49" s="261" t="s">
        <v>8</v>
      </c>
      <c r="C49" s="262" t="s">
        <v>1277</v>
      </c>
      <c r="D49" s="497"/>
      <c r="E49" s="497">
        <v>0</v>
      </c>
      <c r="F49" s="263"/>
      <c r="G49" s="262" t="s">
        <v>2123</v>
      </c>
    </row>
    <row r="50" spans="1:7">
      <c r="A50" s="261" t="s">
        <v>8</v>
      </c>
      <c r="C50" s="262" t="s">
        <v>1278</v>
      </c>
      <c r="D50" s="497"/>
      <c r="E50" s="498">
        <v>100000</v>
      </c>
      <c r="F50" s="263"/>
      <c r="G50" s="262"/>
    </row>
    <row r="51" spans="1:7">
      <c r="A51" s="261" t="s">
        <v>8</v>
      </c>
      <c r="C51" s="262" t="s">
        <v>1279</v>
      </c>
      <c r="D51" s="497"/>
      <c r="E51" s="497">
        <v>100000</v>
      </c>
      <c r="F51" s="263"/>
      <c r="G51" s="262"/>
    </row>
    <row r="52" spans="1:7">
      <c r="A52" s="261" t="s">
        <v>8</v>
      </c>
      <c r="C52" s="262" t="s">
        <v>1280</v>
      </c>
      <c r="D52" s="497"/>
      <c r="E52" s="498">
        <f>50000*4</f>
        <v>200000</v>
      </c>
      <c r="F52" s="263"/>
      <c r="G52" s="265"/>
    </row>
    <row r="53" spans="1:7">
      <c r="A53" s="261" t="s">
        <v>8</v>
      </c>
      <c r="C53" s="262" t="s">
        <v>1284</v>
      </c>
      <c r="D53" s="497"/>
      <c r="E53" s="498">
        <f>38190+51660+30500+43730</f>
        <v>164080</v>
      </c>
      <c r="F53" s="263"/>
      <c r="G53" s="265"/>
    </row>
    <row r="54" spans="1:7">
      <c r="A54" s="261" t="s">
        <v>8</v>
      </c>
      <c r="C54" s="262" t="s">
        <v>1301</v>
      </c>
      <c r="D54" s="497"/>
      <c r="E54" s="498">
        <v>2000</v>
      </c>
      <c r="F54" s="263"/>
      <c r="G54" s="265"/>
    </row>
    <row r="55" spans="1:7">
      <c r="A55" s="261" t="s">
        <v>8</v>
      </c>
      <c r="C55" s="262" t="s">
        <v>1302</v>
      </c>
      <c r="D55" s="497"/>
      <c r="E55" s="498">
        <f>22900+22000</f>
        <v>44900</v>
      </c>
      <c r="F55" s="263"/>
      <c r="G55" s="265"/>
    </row>
    <row r="56" spans="1:7">
      <c r="A56" s="261" t="s">
        <v>8</v>
      </c>
      <c r="C56" s="262" t="s">
        <v>1299</v>
      </c>
      <c r="D56" s="497"/>
      <c r="E56" s="498">
        <v>7000</v>
      </c>
      <c r="F56" s="263"/>
      <c r="G56" s="265"/>
    </row>
    <row r="57" spans="1:7">
      <c r="A57" s="261" t="s">
        <v>8</v>
      </c>
      <c r="C57" s="262" t="s">
        <v>1303</v>
      </c>
      <c r="D57" s="497"/>
      <c r="E57" s="498">
        <v>30000</v>
      </c>
      <c r="F57" s="263"/>
      <c r="G57" s="265"/>
    </row>
    <row r="58" spans="1:7">
      <c r="A58" s="261" t="s">
        <v>8</v>
      </c>
      <c r="C58" s="262" t="s">
        <v>1304</v>
      </c>
      <c r="D58" s="498">
        <v>1200</v>
      </c>
      <c r="E58" s="498">
        <v>1585750</v>
      </c>
      <c r="F58" s="263"/>
      <c r="G58" s="265" t="s">
        <v>2124</v>
      </c>
    </row>
    <row r="59" spans="1:7">
      <c r="A59" s="261" t="s">
        <v>8</v>
      </c>
      <c r="C59" s="262" t="s">
        <v>1305</v>
      </c>
      <c r="D59" s="497"/>
      <c r="E59" s="498">
        <v>157360</v>
      </c>
      <c r="F59" s="263"/>
      <c r="G59" s="265"/>
    </row>
    <row r="60" spans="1:7">
      <c r="A60" s="261" t="s">
        <v>8</v>
      </c>
      <c r="C60" s="262" t="s">
        <v>383</v>
      </c>
      <c r="D60" s="497"/>
      <c r="E60" s="498">
        <v>50000</v>
      </c>
      <c r="F60" s="263"/>
      <c r="G60" s="265"/>
    </row>
    <row r="61" spans="1:7">
      <c r="A61" s="261" t="s">
        <v>8</v>
      </c>
      <c r="C61" s="262" t="s">
        <v>1306</v>
      </c>
      <c r="D61" s="497"/>
      <c r="E61" s="498">
        <v>1000</v>
      </c>
      <c r="F61" s="263"/>
      <c r="G61" s="265"/>
    </row>
    <row r="62" spans="1:7">
      <c r="A62" s="261" t="s">
        <v>8</v>
      </c>
      <c r="C62" s="262" t="s">
        <v>382</v>
      </c>
      <c r="D62" s="497"/>
      <c r="E62" s="498">
        <v>50000</v>
      </c>
      <c r="F62" s="263"/>
      <c r="G62" s="265"/>
    </row>
    <row r="63" spans="1:7">
      <c r="A63" s="261" t="s">
        <v>8</v>
      </c>
      <c r="C63" s="262" t="s">
        <v>1307</v>
      </c>
      <c r="D63" s="497"/>
      <c r="E63" s="498">
        <v>15500</v>
      </c>
      <c r="F63" s="263"/>
      <c r="G63" s="265"/>
    </row>
    <row r="64" spans="1:7">
      <c r="A64" s="261" t="s">
        <v>8</v>
      </c>
      <c r="C64" s="262" t="s">
        <v>1308</v>
      </c>
      <c r="D64" s="497"/>
      <c r="E64" s="498">
        <v>8200</v>
      </c>
      <c r="F64" s="263"/>
      <c r="G64" s="265"/>
    </row>
    <row r="65" spans="1:7">
      <c r="A65" s="261" t="s">
        <v>8</v>
      </c>
      <c r="C65" s="262" t="s">
        <v>1309</v>
      </c>
      <c r="D65" s="497"/>
      <c r="E65" s="498">
        <v>7900</v>
      </c>
      <c r="F65" s="263"/>
      <c r="G65" s="265"/>
    </row>
    <row r="66" spans="1:7">
      <c r="A66" s="261" t="s">
        <v>8</v>
      </c>
      <c r="C66" s="262" t="s">
        <v>384</v>
      </c>
      <c r="D66" s="497"/>
      <c r="E66" s="498">
        <f>4570+5300</f>
        <v>9870</v>
      </c>
      <c r="F66" s="263"/>
      <c r="G66" s="265"/>
    </row>
    <row r="67" spans="1:7">
      <c r="A67" s="261" t="s">
        <v>8</v>
      </c>
      <c r="C67" s="262" t="s">
        <v>1310</v>
      </c>
      <c r="D67" s="497"/>
      <c r="E67" s="498">
        <v>5000</v>
      </c>
      <c r="F67" s="263"/>
      <c r="G67" s="265"/>
    </row>
    <row r="68" spans="1:7">
      <c r="A68" s="261" t="s">
        <v>8</v>
      </c>
      <c r="C68" s="262" t="s">
        <v>1297</v>
      </c>
      <c r="D68" s="497"/>
      <c r="E68" s="498">
        <v>12800</v>
      </c>
      <c r="F68" s="263"/>
      <c r="G68" s="265"/>
    </row>
    <row r="69" spans="1:7">
      <c r="A69" s="261" t="s">
        <v>8</v>
      </c>
      <c r="C69" s="262" t="s">
        <v>1311</v>
      </c>
      <c r="D69" s="497"/>
      <c r="E69" s="498">
        <v>2000</v>
      </c>
      <c r="F69" s="263"/>
      <c r="G69" s="265"/>
    </row>
    <row r="70" spans="1:7">
      <c r="A70" s="261" t="s">
        <v>8</v>
      </c>
      <c r="C70" s="262" t="s">
        <v>1292</v>
      </c>
      <c r="D70" s="497"/>
      <c r="E70" s="498">
        <v>10700</v>
      </c>
      <c r="F70" s="263"/>
      <c r="G70" s="265"/>
    </row>
    <row r="71" spans="1:7">
      <c r="A71" s="261" t="s">
        <v>8</v>
      </c>
      <c r="C71" s="262" t="s">
        <v>1312</v>
      </c>
      <c r="D71" s="497"/>
      <c r="E71" s="498">
        <v>300000</v>
      </c>
      <c r="F71" s="263"/>
      <c r="G71" s="265"/>
    </row>
    <row r="72" spans="1:7">
      <c r="A72" s="261" t="s">
        <v>8</v>
      </c>
      <c r="C72" s="262" t="s">
        <v>1313</v>
      </c>
      <c r="D72" s="497"/>
      <c r="E72" s="498">
        <v>50000</v>
      </c>
      <c r="F72" s="263"/>
      <c r="G72" s="265"/>
    </row>
    <row r="73" spans="1:7">
      <c r="A73" s="261" t="s">
        <v>8</v>
      </c>
      <c r="C73" s="262" t="s">
        <v>1314</v>
      </c>
      <c r="D73" s="497"/>
      <c r="E73" s="498">
        <v>15000</v>
      </c>
      <c r="F73" s="263"/>
      <c r="G73" s="265"/>
    </row>
    <row r="74" spans="1:7">
      <c r="A74" s="261" t="s">
        <v>8</v>
      </c>
      <c r="C74" s="262" t="s">
        <v>1285</v>
      </c>
      <c r="D74" s="497"/>
      <c r="E74" s="498">
        <v>21940</v>
      </c>
      <c r="F74" s="263"/>
      <c r="G74" s="265"/>
    </row>
    <row r="75" spans="1:7">
      <c r="A75" s="261" t="s">
        <v>8</v>
      </c>
      <c r="C75" s="262" t="s">
        <v>1315</v>
      </c>
      <c r="D75" s="497"/>
      <c r="E75" s="498">
        <v>55000</v>
      </c>
      <c r="F75" s="263"/>
      <c r="G75" s="265"/>
    </row>
    <row r="76" spans="1:7">
      <c r="A76" s="261" t="s">
        <v>8</v>
      </c>
      <c r="C76" s="262" t="s">
        <v>1316</v>
      </c>
      <c r="D76" s="497"/>
      <c r="E76" s="498">
        <v>15900</v>
      </c>
      <c r="F76" s="263"/>
      <c r="G76" s="265"/>
    </row>
    <row r="77" spans="1:7">
      <c r="A77" s="261" t="s">
        <v>8</v>
      </c>
      <c r="C77" s="262" t="s">
        <v>1317</v>
      </c>
      <c r="D77" s="497"/>
      <c r="E77" s="498">
        <v>200000</v>
      </c>
      <c r="F77" s="263"/>
      <c r="G77" s="265"/>
    </row>
    <row r="78" spans="1:7">
      <c r="A78" s="261" t="s">
        <v>8</v>
      </c>
      <c r="C78" s="262" t="s">
        <v>1300</v>
      </c>
      <c r="D78" s="497">
        <f>SUM(D40:D77)-SUM(E40:E77)</f>
        <v>-317805</v>
      </c>
      <c r="E78" s="497">
        <f>SUM(E40:E77)-SUM(F40:F77)</f>
        <v>4784510</v>
      </c>
      <c r="F78" s="263"/>
      <c r="G78" s="262"/>
    </row>
    <row r="79" spans="1:7">
      <c r="A79" s="261" t="s">
        <v>8</v>
      </c>
    </row>
    <row r="80" spans="1:7">
      <c r="A80" s="261" t="s">
        <v>8</v>
      </c>
    </row>
    <row r="81" spans="1:7">
      <c r="A81" s="261" t="s">
        <v>8</v>
      </c>
      <c r="B81" s="256" t="s">
        <v>2125</v>
      </c>
      <c r="C81" s="262" t="s">
        <v>1268</v>
      </c>
      <c r="D81" s="498">
        <v>4470155</v>
      </c>
      <c r="E81" s="497"/>
      <c r="F81" s="263"/>
      <c r="G81" s="262"/>
    </row>
    <row r="82" spans="1:7">
      <c r="A82" s="261" t="s">
        <v>8</v>
      </c>
      <c r="C82" s="262" t="s">
        <v>1269</v>
      </c>
      <c r="D82" s="497"/>
      <c r="E82" s="498">
        <v>438000</v>
      </c>
      <c r="F82" s="263"/>
      <c r="G82" s="262" t="s">
        <v>2126</v>
      </c>
    </row>
    <row r="83" spans="1:7">
      <c r="A83" s="261" t="s">
        <v>8</v>
      </c>
      <c r="C83" s="262" t="s">
        <v>1270</v>
      </c>
      <c r="D83" s="497"/>
      <c r="E83" s="498">
        <v>563000</v>
      </c>
      <c r="F83" s="263"/>
      <c r="G83" s="262"/>
    </row>
    <row r="84" spans="1:7">
      <c r="A84" s="261" t="s">
        <v>8</v>
      </c>
      <c r="C84" s="262" t="s">
        <v>1271</v>
      </c>
      <c r="D84" s="497"/>
      <c r="E84" s="498">
        <v>191560</v>
      </c>
      <c r="F84" s="263"/>
      <c r="G84" s="264"/>
    </row>
    <row r="85" spans="1:7">
      <c r="A85" s="261" t="s">
        <v>8</v>
      </c>
      <c r="C85" s="262" t="s">
        <v>1272</v>
      </c>
      <c r="D85" s="497"/>
      <c r="E85" s="498">
        <v>9060</v>
      </c>
      <c r="F85" s="263"/>
      <c r="G85" s="262"/>
    </row>
    <row r="86" spans="1:7">
      <c r="A86" s="261" t="s">
        <v>8</v>
      </c>
      <c r="C86" s="262" t="s">
        <v>1273</v>
      </c>
      <c r="D86" s="497"/>
      <c r="E86" s="498">
        <v>20980</v>
      </c>
      <c r="F86" s="263"/>
      <c r="G86" s="262"/>
    </row>
    <row r="87" spans="1:7">
      <c r="A87" s="261" t="s">
        <v>8</v>
      </c>
      <c r="C87" s="262" t="s">
        <v>1274</v>
      </c>
      <c r="D87" s="497"/>
      <c r="E87" s="498">
        <v>18550</v>
      </c>
      <c r="F87" s="263"/>
      <c r="G87" s="262"/>
    </row>
    <row r="88" spans="1:7">
      <c r="A88" s="261" t="s">
        <v>8</v>
      </c>
      <c r="C88" s="262" t="s">
        <v>1275</v>
      </c>
      <c r="D88" s="497"/>
      <c r="E88" s="498">
        <v>26450</v>
      </c>
      <c r="F88" s="263"/>
      <c r="G88" s="262"/>
    </row>
    <row r="89" spans="1:7">
      <c r="A89" s="261" t="s">
        <v>8</v>
      </c>
      <c r="C89" s="262" t="s">
        <v>1276</v>
      </c>
      <c r="D89" s="497"/>
      <c r="E89" s="498">
        <v>181980</v>
      </c>
      <c r="F89" s="263"/>
      <c r="G89" s="262"/>
    </row>
    <row r="90" spans="1:7">
      <c r="A90" s="261" t="s">
        <v>8</v>
      </c>
      <c r="C90" s="262" t="s">
        <v>1277</v>
      </c>
      <c r="D90" s="497"/>
      <c r="E90" s="498">
        <v>7720</v>
      </c>
      <c r="F90" s="263"/>
      <c r="G90" s="262"/>
    </row>
    <row r="91" spans="1:7">
      <c r="A91" s="261" t="s">
        <v>8</v>
      </c>
      <c r="C91" s="262" t="s">
        <v>1278</v>
      </c>
      <c r="D91" s="497"/>
      <c r="E91" s="498">
        <v>100000</v>
      </c>
      <c r="F91" s="263"/>
      <c r="G91" s="262"/>
    </row>
    <row r="92" spans="1:7">
      <c r="A92" s="261" t="s">
        <v>8</v>
      </c>
      <c r="C92" s="262" t="s">
        <v>1279</v>
      </c>
      <c r="D92" s="497"/>
      <c r="E92" s="497">
        <v>100000</v>
      </c>
      <c r="F92" s="263"/>
      <c r="G92" s="262"/>
    </row>
    <row r="93" spans="1:7">
      <c r="A93" s="261" t="s">
        <v>8</v>
      </c>
      <c r="C93" s="262" t="s">
        <v>385</v>
      </c>
      <c r="D93" s="497"/>
      <c r="E93" s="498">
        <v>9900</v>
      </c>
      <c r="F93" s="263"/>
      <c r="G93" s="265"/>
    </row>
    <row r="94" spans="1:7">
      <c r="A94" s="261" t="s">
        <v>8</v>
      </c>
      <c r="C94" s="262" t="s">
        <v>1318</v>
      </c>
      <c r="D94" s="497"/>
      <c r="E94" s="498">
        <v>4000</v>
      </c>
      <c r="F94" s="263"/>
      <c r="G94" s="265"/>
    </row>
    <row r="95" spans="1:7">
      <c r="A95" s="261" t="s">
        <v>8</v>
      </c>
      <c r="C95" s="262" t="s">
        <v>1319</v>
      </c>
      <c r="D95" s="497"/>
      <c r="E95" s="498">
        <v>50000</v>
      </c>
      <c r="F95" s="263"/>
      <c r="G95" s="265"/>
    </row>
    <row r="96" spans="1:7">
      <c r="A96" s="261" t="s">
        <v>8</v>
      </c>
      <c r="C96" s="262" t="s">
        <v>1320</v>
      </c>
      <c r="D96" s="497"/>
      <c r="E96" s="498">
        <v>2200</v>
      </c>
      <c r="F96" s="263"/>
      <c r="G96" s="265"/>
    </row>
    <row r="97" spans="1:7">
      <c r="A97" s="261" t="s">
        <v>8</v>
      </c>
      <c r="C97" s="262" t="s">
        <v>1284</v>
      </c>
      <c r="D97" s="497"/>
      <c r="E97" s="498">
        <f>34920+37210+38855+9940+40120</f>
        <v>161045</v>
      </c>
      <c r="F97" s="263"/>
      <c r="G97" s="265"/>
    </row>
    <row r="98" spans="1:7">
      <c r="A98" s="261" t="s">
        <v>8</v>
      </c>
      <c r="C98" s="262" t="s">
        <v>1321</v>
      </c>
      <c r="D98" s="497"/>
      <c r="E98" s="498">
        <v>6000</v>
      </c>
      <c r="F98" s="263"/>
      <c r="G98" s="265"/>
    </row>
    <row r="99" spans="1:7">
      <c r="A99" s="261" t="s">
        <v>8</v>
      </c>
      <c r="C99" s="262" t="s">
        <v>1322</v>
      </c>
      <c r="D99" s="497"/>
      <c r="E99" s="498">
        <v>14900</v>
      </c>
      <c r="F99" s="263"/>
      <c r="G99" s="265"/>
    </row>
    <row r="100" spans="1:7">
      <c r="A100" s="261" t="s">
        <v>8</v>
      </c>
      <c r="C100" s="262" t="s">
        <v>1323</v>
      </c>
      <c r="D100" s="497"/>
      <c r="E100" s="498">
        <v>1250</v>
      </c>
      <c r="F100" s="263"/>
      <c r="G100" s="265"/>
    </row>
    <row r="101" spans="1:7">
      <c r="A101" s="261" t="s">
        <v>8</v>
      </c>
      <c r="C101" s="262" t="s">
        <v>1324</v>
      </c>
      <c r="D101" s="497"/>
      <c r="E101" s="498">
        <v>857190</v>
      </c>
      <c r="F101" s="263"/>
      <c r="G101" s="265"/>
    </row>
    <row r="102" spans="1:7">
      <c r="A102" s="261" t="s">
        <v>8</v>
      </c>
      <c r="C102" s="262" t="s">
        <v>1280</v>
      </c>
      <c r="D102" s="497"/>
      <c r="E102" s="498">
        <f>50000*5</f>
        <v>250000</v>
      </c>
      <c r="F102" s="263"/>
      <c r="G102" s="265"/>
    </row>
    <row r="103" spans="1:7">
      <c r="A103" s="261" t="s">
        <v>8</v>
      </c>
      <c r="C103" s="262" t="s">
        <v>1299</v>
      </c>
      <c r="D103" s="497"/>
      <c r="E103" s="498">
        <v>10000</v>
      </c>
      <c r="F103" s="263"/>
      <c r="G103" s="265"/>
    </row>
    <row r="104" spans="1:7">
      <c r="A104" s="261" t="s">
        <v>8</v>
      </c>
      <c r="C104" s="262" t="s">
        <v>1302</v>
      </c>
      <c r="D104" s="497"/>
      <c r="E104" s="498">
        <f>23900+28900+21500</f>
        <v>74300</v>
      </c>
      <c r="F104" s="263"/>
      <c r="G104" s="265"/>
    </row>
    <row r="105" spans="1:7">
      <c r="A105" s="261" t="s">
        <v>8</v>
      </c>
      <c r="C105" s="262" t="s">
        <v>1325</v>
      </c>
      <c r="D105" s="497"/>
      <c r="E105" s="498">
        <f>15900+17000</f>
        <v>32900</v>
      </c>
      <c r="F105" s="263"/>
      <c r="G105" s="265"/>
    </row>
    <row r="106" spans="1:7">
      <c r="A106" s="261" t="s">
        <v>8</v>
      </c>
      <c r="C106" s="262" t="s">
        <v>1326</v>
      </c>
      <c r="D106" s="497"/>
      <c r="E106" s="498">
        <f>26800+14500</f>
        <v>41300</v>
      </c>
      <c r="F106" s="263"/>
      <c r="G106" s="265"/>
    </row>
    <row r="107" spans="1:7">
      <c r="A107" s="261" t="s">
        <v>8</v>
      </c>
      <c r="C107" s="262" t="s">
        <v>1327</v>
      </c>
      <c r="D107" s="497"/>
      <c r="E107" s="498">
        <v>6000</v>
      </c>
      <c r="F107" s="263"/>
      <c r="G107" s="265"/>
    </row>
    <row r="108" spans="1:7">
      <c r="A108" s="261" t="s">
        <v>8</v>
      </c>
      <c r="C108" s="262" t="s">
        <v>1285</v>
      </c>
      <c r="D108" s="497"/>
      <c r="E108" s="498">
        <f>13380+20680</f>
        <v>34060</v>
      </c>
      <c r="F108" s="263"/>
      <c r="G108" s="265"/>
    </row>
    <row r="109" spans="1:7">
      <c r="A109" s="261" t="s">
        <v>8</v>
      </c>
      <c r="C109" s="262" t="s">
        <v>1309</v>
      </c>
      <c r="D109" s="497"/>
      <c r="E109" s="498">
        <v>5100</v>
      </c>
      <c r="F109" s="263"/>
      <c r="G109" s="265"/>
    </row>
    <row r="110" spans="1:7">
      <c r="A110" s="261" t="s">
        <v>8</v>
      </c>
      <c r="C110" s="262" t="s">
        <v>385</v>
      </c>
      <c r="D110" s="497"/>
      <c r="E110" s="498">
        <v>7400</v>
      </c>
      <c r="F110" s="263"/>
      <c r="G110" s="265"/>
    </row>
    <row r="111" spans="1:7">
      <c r="A111" s="261" t="s">
        <v>8</v>
      </c>
      <c r="C111" s="262" t="s">
        <v>1316</v>
      </c>
      <c r="D111" s="497"/>
      <c r="E111" s="498">
        <v>17900</v>
      </c>
      <c r="F111" s="263"/>
      <c r="G111" s="265"/>
    </row>
    <row r="112" spans="1:7">
      <c r="A112" s="261" t="s">
        <v>8</v>
      </c>
      <c r="C112" s="262" t="s">
        <v>1328</v>
      </c>
      <c r="D112" s="497"/>
      <c r="E112" s="498">
        <v>4000</v>
      </c>
      <c r="F112" s="263"/>
      <c r="G112" s="265"/>
    </row>
    <row r="113" spans="1:7">
      <c r="A113" s="261" t="s">
        <v>8</v>
      </c>
      <c r="C113" s="262" t="s">
        <v>1315</v>
      </c>
      <c r="D113" s="497"/>
      <c r="E113" s="498">
        <v>30000</v>
      </c>
      <c r="F113" s="263"/>
      <c r="G113" s="265"/>
    </row>
    <row r="114" spans="1:7">
      <c r="A114" s="261" t="s">
        <v>8</v>
      </c>
      <c r="C114" s="262" t="s">
        <v>1329</v>
      </c>
      <c r="D114" s="497"/>
      <c r="E114" s="498">
        <v>19000</v>
      </c>
      <c r="F114" s="263"/>
      <c r="G114" s="265"/>
    </row>
    <row r="115" spans="1:7">
      <c r="A115" s="261" t="s">
        <v>8</v>
      </c>
      <c r="C115" s="262" t="s">
        <v>1330</v>
      </c>
      <c r="D115" s="497"/>
      <c r="E115" s="498">
        <v>34000</v>
      </c>
      <c r="F115" s="263"/>
      <c r="G115" s="265"/>
    </row>
    <row r="116" spans="1:7">
      <c r="A116" s="261" t="s">
        <v>8</v>
      </c>
      <c r="C116" s="262" t="s">
        <v>1331</v>
      </c>
      <c r="D116" s="497"/>
      <c r="E116" s="498">
        <v>14600</v>
      </c>
      <c r="F116" s="263"/>
      <c r="G116" s="265"/>
    </row>
    <row r="117" spans="1:7">
      <c r="A117" s="261" t="s">
        <v>8</v>
      </c>
      <c r="C117" s="262" t="s">
        <v>1332</v>
      </c>
      <c r="D117" s="497"/>
      <c r="E117" s="498">
        <v>41360</v>
      </c>
      <c r="F117" s="263"/>
      <c r="G117" s="265"/>
    </row>
    <row r="118" spans="1:7">
      <c r="A118" s="261" t="s">
        <v>8</v>
      </c>
      <c r="C118" s="262" t="s">
        <v>1314</v>
      </c>
      <c r="D118" s="497"/>
      <c r="E118" s="498">
        <v>6000</v>
      </c>
      <c r="F118" s="263"/>
      <c r="G118" s="265"/>
    </row>
    <row r="119" spans="1:7">
      <c r="A119" s="261" t="s">
        <v>8</v>
      </c>
      <c r="C119" s="262" t="s">
        <v>1333</v>
      </c>
      <c r="D119" s="497"/>
      <c r="E119" s="498">
        <v>25000</v>
      </c>
      <c r="F119" s="263"/>
      <c r="G119" s="265"/>
    </row>
    <row r="120" spans="1:7">
      <c r="A120" s="261" t="s">
        <v>8</v>
      </c>
      <c r="C120" s="262" t="s">
        <v>1287</v>
      </c>
      <c r="D120" s="497"/>
      <c r="E120" s="498">
        <v>15000</v>
      </c>
      <c r="F120" s="263"/>
      <c r="G120" s="265"/>
    </row>
    <row r="121" spans="1:7">
      <c r="A121" s="261" t="s">
        <v>8</v>
      </c>
      <c r="C121" s="262" t="s">
        <v>1334</v>
      </c>
      <c r="D121" s="497"/>
      <c r="E121" s="498">
        <v>7500</v>
      </c>
      <c r="F121" s="263"/>
      <c r="G121" s="265"/>
    </row>
    <row r="122" spans="1:7">
      <c r="A122" s="261" t="s">
        <v>8</v>
      </c>
      <c r="C122" s="262" t="s">
        <v>1335</v>
      </c>
      <c r="D122" s="497"/>
      <c r="E122" s="498">
        <v>317805</v>
      </c>
      <c r="F122" s="263"/>
      <c r="G122" s="265"/>
    </row>
    <row r="123" spans="1:7">
      <c r="A123" s="261" t="s">
        <v>8</v>
      </c>
      <c r="C123" s="262" t="s">
        <v>1300</v>
      </c>
      <c r="D123" s="498">
        <f>SUM(D81:D122)-SUM(E81:E122)</f>
        <v>713145</v>
      </c>
      <c r="E123" s="497">
        <f>SUM(E81:E122)-SUM(F81:F122)</f>
        <v>3757010</v>
      </c>
      <c r="F123" s="263"/>
      <c r="G123" s="262"/>
    </row>
    <row r="124" spans="1:7">
      <c r="A124" s="261" t="s">
        <v>8</v>
      </c>
    </row>
    <row r="125" spans="1:7">
      <c r="A125" s="261" t="s">
        <v>8</v>
      </c>
    </row>
    <row r="126" spans="1:7">
      <c r="A126" s="261" t="s">
        <v>8</v>
      </c>
      <c r="B126" s="256" t="s">
        <v>2127</v>
      </c>
      <c r="C126" s="262" t="s">
        <v>1268</v>
      </c>
      <c r="D126" s="498">
        <v>4638505</v>
      </c>
      <c r="E126" s="497"/>
      <c r="F126" s="263"/>
      <c r="G126" s="262"/>
    </row>
    <row r="127" spans="1:7">
      <c r="A127" s="261" t="s">
        <v>8</v>
      </c>
      <c r="C127" s="262" t="s">
        <v>1269</v>
      </c>
      <c r="D127" s="497"/>
      <c r="E127" s="498">
        <v>385500</v>
      </c>
      <c r="F127" s="263"/>
      <c r="G127" s="262" t="s">
        <v>2128</v>
      </c>
    </row>
    <row r="128" spans="1:7">
      <c r="A128" s="261" t="s">
        <v>8</v>
      </c>
      <c r="C128" s="262" t="s">
        <v>1270</v>
      </c>
      <c r="D128" s="497"/>
      <c r="E128" s="498">
        <v>568000</v>
      </c>
      <c r="F128" s="263"/>
      <c r="G128" s="262"/>
    </row>
    <row r="129" spans="1:7">
      <c r="A129" s="261" t="s">
        <v>8</v>
      </c>
      <c r="C129" s="262" t="s">
        <v>1271</v>
      </c>
      <c r="D129" s="497"/>
      <c r="E129" s="498">
        <v>249760</v>
      </c>
      <c r="F129" s="263"/>
      <c r="G129" s="264"/>
    </row>
    <row r="130" spans="1:7">
      <c r="A130" s="261" t="s">
        <v>8</v>
      </c>
      <c r="C130" s="262" t="s">
        <v>1272</v>
      </c>
      <c r="D130" s="497"/>
      <c r="E130" s="498">
        <v>9060</v>
      </c>
      <c r="F130" s="263"/>
      <c r="G130" s="262"/>
    </row>
    <row r="131" spans="1:7">
      <c r="A131" s="261" t="s">
        <v>8</v>
      </c>
      <c r="C131" s="262" t="s">
        <v>1273</v>
      </c>
      <c r="D131" s="497"/>
      <c r="E131" s="498">
        <v>20980</v>
      </c>
      <c r="F131" s="263"/>
      <c r="G131" s="262"/>
    </row>
    <row r="132" spans="1:7">
      <c r="A132" s="261" t="s">
        <v>8</v>
      </c>
      <c r="C132" s="262" t="s">
        <v>1274</v>
      </c>
      <c r="D132" s="497"/>
      <c r="E132" s="498">
        <v>18550</v>
      </c>
      <c r="F132" s="263"/>
      <c r="G132" s="262"/>
    </row>
    <row r="133" spans="1:7">
      <c r="A133" s="261" t="s">
        <v>8</v>
      </c>
      <c r="C133" s="262" t="s">
        <v>1275</v>
      </c>
      <c r="D133" s="497"/>
      <c r="E133" s="498">
        <v>26450</v>
      </c>
      <c r="F133" s="263"/>
      <c r="G133" s="262"/>
    </row>
    <row r="134" spans="1:7">
      <c r="A134" s="261" t="s">
        <v>8</v>
      </c>
      <c r="C134" s="262" t="s">
        <v>1276</v>
      </c>
      <c r="D134" s="497"/>
      <c r="E134" s="498">
        <v>203780</v>
      </c>
      <c r="F134" s="263"/>
      <c r="G134" s="262"/>
    </row>
    <row r="135" spans="1:7">
      <c r="A135" s="261" t="s">
        <v>8</v>
      </c>
      <c r="C135" s="262" t="s">
        <v>1277</v>
      </c>
      <c r="D135" s="497"/>
      <c r="E135" s="498">
        <v>7730</v>
      </c>
      <c r="F135" s="263"/>
      <c r="G135" s="262"/>
    </row>
    <row r="136" spans="1:7">
      <c r="A136" s="261" t="s">
        <v>8</v>
      </c>
      <c r="C136" s="262" t="s">
        <v>1278</v>
      </c>
      <c r="D136" s="497"/>
      <c r="E136" s="498">
        <v>100000</v>
      </c>
      <c r="F136" s="263"/>
      <c r="G136" s="262"/>
    </row>
    <row r="137" spans="1:7">
      <c r="A137" s="261" t="s">
        <v>8</v>
      </c>
      <c r="C137" s="262" t="s">
        <v>1279</v>
      </c>
      <c r="D137" s="497"/>
      <c r="E137" s="497">
        <v>100000</v>
      </c>
      <c r="F137" s="263"/>
      <c r="G137" s="262"/>
    </row>
    <row r="138" spans="1:7">
      <c r="A138" s="261" t="s">
        <v>8</v>
      </c>
      <c r="C138" s="262" t="s">
        <v>1336</v>
      </c>
      <c r="D138" s="497"/>
      <c r="E138" s="498">
        <f>17000+18000</f>
        <v>35000</v>
      </c>
      <c r="F138" s="263"/>
      <c r="G138" s="265"/>
    </row>
    <row r="139" spans="1:7">
      <c r="A139" s="261" t="s">
        <v>8</v>
      </c>
      <c r="C139" s="262" t="s">
        <v>1337</v>
      </c>
      <c r="D139" s="497"/>
      <c r="E139" s="498">
        <v>2300</v>
      </c>
      <c r="F139" s="263"/>
      <c r="G139" s="265"/>
    </row>
    <row r="140" spans="1:7">
      <c r="A140" s="261" t="s">
        <v>8</v>
      </c>
      <c r="C140" s="262" t="s">
        <v>1338</v>
      </c>
      <c r="D140" s="497"/>
      <c r="E140" s="498">
        <f>2900+2400</f>
        <v>5300</v>
      </c>
      <c r="F140" s="263"/>
      <c r="G140" s="265"/>
    </row>
    <row r="141" spans="1:7">
      <c r="A141" s="261" t="s">
        <v>8</v>
      </c>
      <c r="C141" s="262" t="s">
        <v>1339</v>
      </c>
      <c r="D141" s="497"/>
      <c r="E141" s="498">
        <f>2550+2500+2500</f>
        <v>7550</v>
      </c>
      <c r="F141" s="263"/>
      <c r="G141" s="265"/>
    </row>
    <row r="142" spans="1:7">
      <c r="A142" s="261" t="s">
        <v>8</v>
      </c>
      <c r="C142" s="262" t="s">
        <v>1323</v>
      </c>
      <c r="D142" s="497"/>
      <c r="E142" s="498">
        <f>2800+2150</f>
        <v>4950</v>
      </c>
      <c r="F142" s="263"/>
      <c r="G142" s="265"/>
    </row>
    <row r="143" spans="1:7">
      <c r="A143" s="261" t="s">
        <v>8</v>
      </c>
      <c r="C143" s="262" t="s">
        <v>1340</v>
      </c>
      <c r="D143" s="497"/>
      <c r="E143" s="498">
        <v>10000</v>
      </c>
      <c r="F143" s="263"/>
      <c r="G143" s="265"/>
    </row>
    <row r="144" spans="1:7">
      <c r="A144" s="261" t="s">
        <v>8</v>
      </c>
      <c r="C144" s="262" t="s">
        <v>1280</v>
      </c>
      <c r="D144" s="497"/>
      <c r="E144" s="498">
        <f>50000*4</f>
        <v>200000</v>
      </c>
      <c r="F144" s="263"/>
      <c r="G144" s="265"/>
    </row>
    <row r="145" spans="1:7">
      <c r="A145" s="261" t="s">
        <v>8</v>
      </c>
      <c r="C145" s="262" t="s">
        <v>1287</v>
      </c>
      <c r="D145" s="497"/>
      <c r="E145" s="498">
        <v>15000</v>
      </c>
      <c r="F145" s="263"/>
      <c r="G145" s="265"/>
    </row>
    <row r="146" spans="1:7">
      <c r="A146" s="261" t="s">
        <v>8</v>
      </c>
      <c r="C146" s="262" t="s">
        <v>1284</v>
      </c>
      <c r="D146" s="497"/>
      <c r="E146" s="498">
        <f>49240+13550+22890</f>
        <v>85680</v>
      </c>
      <c r="F146" s="263"/>
      <c r="G146" s="265"/>
    </row>
    <row r="147" spans="1:7">
      <c r="A147" s="261" t="s">
        <v>8</v>
      </c>
      <c r="C147" s="262" t="s">
        <v>1341</v>
      </c>
      <c r="D147" s="497"/>
      <c r="E147" s="498">
        <v>4100</v>
      </c>
      <c r="F147" s="263"/>
      <c r="G147" s="265"/>
    </row>
    <row r="148" spans="1:7">
      <c r="A148" s="261" t="s">
        <v>8</v>
      </c>
      <c r="C148" s="262" t="s">
        <v>1295</v>
      </c>
      <c r="D148" s="497"/>
      <c r="E148" s="498">
        <v>50000</v>
      </c>
      <c r="F148" s="263"/>
      <c r="G148" s="265"/>
    </row>
    <row r="149" spans="1:7">
      <c r="A149" s="261" t="s">
        <v>8</v>
      </c>
      <c r="C149" s="262" t="s">
        <v>1342</v>
      </c>
      <c r="D149" s="497"/>
      <c r="E149" s="498">
        <v>14900</v>
      </c>
      <c r="F149" s="263"/>
      <c r="G149" s="265"/>
    </row>
    <row r="150" spans="1:7">
      <c r="A150" s="261" t="s">
        <v>8</v>
      </c>
      <c r="C150" s="262" t="s">
        <v>1283</v>
      </c>
      <c r="D150" s="497"/>
      <c r="E150" s="498">
        <v>105210</v>
      </c>
      <c r="F150" s="263"/>
      <c r="G150" s="265"/>
    </row>
    <row r="151" spans="1:7">
      <c r="A151" s="261" t="s">
        <v>8</v>
      </c>
      <c r="C151" s="262" t="s">
        <v>1298</v>
      </c>
      <c r="D151" s="497"/>
      <c r="E151" s="498">
        <v>16000</v>
      </c>
      <c r="F151" s="263"/>
      <c r="G151" s="265"/>
    </row>
    <row r="152" spans="1:7">
      <c r="A152" s="261" t="s">
        <v>8</v>
      </c>
      <c r="C152" s="262" t="s">
        <v>1343</v>
      </c>
      <c r="D152" s="497"/>
      <c r="E152" s="498">
        <v>110000</v>
      </c>
      <c r="F152" s="263"/>
      <c r="G152" s="265"/>
    </row>
    <row r="153" spans="1:7">
      <c r="A153" s="261" t="s">
        <v>8</v>
      </c>
      <c r="C153" s="262" t="s">
        <v>1299</v>
      </c>
      <c r="D153" s="497"/>
      <c r="E153" s="498">
        <v>6000</v>
      </c>
      <c r="F153" s="263"/>
      <c r="G153" s="265"/>
    </row>
    <row r="154" spans="1:7">
      <c r="A154" s="261" t="s">
        <v>8</v>
      </c>
      <c r="C154" s="262" t="s">
        <v>1344</v>
      </c>
      <c r="D154" s="498">
        <v>32500</v>
      </c>
      <c r="E154" s="497"/>
      <c r="F154" s="263"/>
      <c r="G154" s="265"/>
    </row>
    <row r="155" spans="1:7">
      <c r="A155" s="261" t="s">
        <v>8</v>
      </c>
      <c r="C155" s="262" t="s">
        <v>1334</v>
      </c>
      <c r="D155" s="497"/>
      <c r="E155" s="498">
        <v>9000</v>
      </c>
      <c r="F155" s="263"/>
      <c r="G155" s="265"/>
    </row>
    <row r="156" spans="1:7">
      <c r="A156" s="261" t="s">
        <v>8</v>
      </c>
      <c r="C156" s="262" t="s">
        <v>1345</v>
      </c>
      <c r="D156" s="497"/>
      <c r="E156" s="498">
        <v>35600</v>
      </c>
      <c r="F156" s="263"/>
      <c r="G156" s="265"/>
    </row>
    <row r="157" spans="1:7">
      <c r="A157" s="261" t="s">
        <v>8</v>
      </c>
      <c r="C157" s="262" t="s">
        <v>1302</v>
      </c>
      <c r="D157" s="497"/>
      <c r="E157" s="498">
        <v>19000</v>
      </c>
      <c r="F157" s="263"/>
      <c r="G157" s="265"/>
    </row>
    <row r="158" spans="1:7">
      <c r="A158" s="261" t="s">
        <v>8</v>
      </c>
      <c r="C158" s="262" t="s">
        <v>1325</v>
      </c>
      <c r="D158" s="497"/>
      <c r="E158" s="498">
        <v>8400</v>
      </c>
      <c r="F158" s="263"/>
      <c r="G158" s="265"/>
    </row>
    <row r="159" spans="1:7">
      <c r="A159" s="261" t="s">
        <v>8</v>
      </c>
      <c r="C159" s="262" t="s">
        <v>1331</v>
      </c>
      <c r="D159" s="497"/>
      <c r="E159" s="498">
        <v>5000</v>
      </c>
      <c r="F159" s="263"/>
      <c r="G159" s="265"/>
    </row>
    <row r="160" spans="1:7">
      <c r="A160" s="261" t="s">
        <v>8</v>
      </c>
      <c r="C160" s="262" t="s">
        <v>1332</v>
      </c>
      <c r="D160" s="497"/>
      <c r="E160" s="498">
        <v>42880</v>
      </c>
      <c r="F160" s="263"/>
      <c r="G160" s="265"/>
    </row>
    <row r="161" spans="1:7">
      <c r="A161" s="261" t="s">
        <v>8</v>
      </c>
      <c r="C161" s="262" t="s">
        <v>1346</v>
      </c>
      <c r="D161" s="497"/>
      <c r="E161" s="498">
        <v>40000</v>
      </c>
      <c r="F161" s="263"/>
      <c r="G161" s="265"/>
    </row>
    <row r="162" spans="1:7">
      <c r="A162" s="261" t="s">
        <v>8</v>
      </c>
      <c r="C162" s="262" t="s">
        <v>1347</v>
      </c>
      <c r="D162" s="498">
        <v>50000</v>
      </c>
      <c r="E162" s="497"/>
      <c r="F162" s="263"/>
      <c r="G162" s="265"/>
    </row>
    <row r="163" spans="1:7">
      <c r="A163" s="261" t="s">
        <v>8</v>
      </c>
      <c r="C163" s="262" t="s">
        <v>1300</v>
      </c>
      <c r="D163" s="498">
        <f>SUM(D126:D162)-SUM(E126:E162)</f>
        <v>2199325</v>
      </c>
      <c r="E163" s="497">
        <f>SUM(E126:E162)-SUM(F126:F162)</f>
        <v>2521680</v>
      </c>
      <c r="F163" s="263"/>
      <c r="G163" s="262"/>
    </row>
    <row r="164" spans="1:7">
      <c r="A164" s="261" t="s">
        <v>8</v>
      </c>
    </row>
    <row r="165" spans="1:7">
      <c r="A165" s="261" t="s">
        <v>8</v>
      </c>
    </row>
    <row r="166" spans="1:7">
      <c r="A166" s="261" t="s">
        <v>8</v>
      </c>
      <c r="B166" s="256" t="s">
        <v>2129</v>
      </c>
      <c r="C166" s="262" t="s">
        <v>1268</v>
      </c>
      <c r="D166" s="498">
        <v>4443005</v>
      </c>
      <c r="E166" s="497"/>
      <c r="F166" s="263"/>
      <c r="G166" s="262"/>
    </row>
    <row r="167" spans="1:7">
      <c r="A167" s="261" t="s">
        <v>8</v>
      </c>
      <c r="C167" s="262" t="s">
        <v>1269</v>
      </c>
      <c r="D167" s="497"/>
      <c r="E167" s="498">
        <v>390000</v>
      </c>
      <c r="F167" s="263"/>
      <c r="G167" s="262" t="s">
        <v>2130</v>
      </c>
    </row>
    <row r="168" spans="1:7">
      <c r="A168" s="261" t="s">
        <v>8</v>
      </c>
      <c r="C168" s="262" t="s">
        <v>1270</v>
      </c>
      <c r="D168" s="497"/>
      <c r="E168" s="498">
        <v>548000</v>
      </c>
      <c r="F168" s="263"/>
      <c r="G168" s="262"/>
    </row>
    <row r="169" spans="1:7">
      <c r="A169" s="261" t="s">
        <v>8</v>
      </c>
      <c r="C169" s="262" t="s">
        <v>1271</v>
      </c>
      <c r="D169" s="497"/>
      <c r="E169" s="498">
        <v>199980</v>
      </c>
      <c r="F169" s="263"/>
      <c r="G169" s="264"/>
    </row>
    <row r="170" spans="1:7">
      <c r="A170" s="261" t="s">
        <v>8</v>
      </c>
      <c r="C170" s="262" t="s">
        <v>1272</v>
      </c>
      <c r="D170" s="497"/>
      <c r="E170" s="498">
        <v>9060</v>
      </c>
      <c r="F170" s="263"/>
      <c r="G170" s="262"/>
    </row>
    <row r="171" spans="1:7">
      <c r="A171" s="261" t="s">
        <v>8</v>
      </c>
      <c r="C171" s="262" t="s">
        <v>1273</v>
      </c>
      <c r="D171" s="497"/>
      <c r="E171" s="498">
        <v>20980</v>
      </c>
      <c r="F171" s="263"/>
      <c r="G171" s="262"/>
    </row>
    <row r="172" spans="1:7">
      <c r="A172" s="261" t="s">
        <v>8</v>
      </c>
      <c r="C172" s="262" t="s">
        <v>1274</v>
      </c>
      <c r="D172" s="497"/>
      <c r="E172" s="498">
        <v>18550</v>
      </c>
      <c r="F172" s="263"/>
      <c r="G172" s="262"/>
    </row>
    <row r="173" spans="1:7">
      <c r="A173" s="261" t="s">
        <v>8</v>
      </c>
      <c r="C173" s="262" t="s">
        <v>1275</v>
      </c>
      <c r="D173" s="497"/>
      <c r="E173" s="498">
        <v>26450</v>
      </c>
      <c r="F173" s="263"/>
      <c r="G173" s="262"/>
    </row>
    <row r="174" spans="1:7">
      <c r="A174" s="261" t="s">
        <v>8</v>
      </c>
      <c r="C174" s="262" t="s">
        <v>1276</v>
      </c>
      <c r="D174" s="497"/>
      <c r="E174" s="498">
        <v>202800</v>
      </c>
      <c r="F174" s="263"/>
      <c r="G174" s="262"/>
    </row>
    <row r="175" spans="1:7">
      <c r="A175" s="261" t="s">
        <v>8</v>
      </c>
      <c r="C175" s="262" t="s">
        <v>1277</v>
      </c>
      <c r="D175" s="497"/>
      <c r="E175" s="498">
        <v>13060</v>
      </c>
      <c r="F175" s="263"/>
      <c r="G175" s="262"/>
    </row>
    <row r="176" spans="1:7">
      <c r="A176" s="261" t="s">
        <v>8</v>
      </c>
      <c r="C176" s="262" t="s">
        <v>1278</v>
      </c>
      <c r="D176" s="497"/>
      <c r="E176" s="498">
        <v>100000</v>
      </c>
      <c r="F176" s="263"/>
      <c r="G176" s="262"/>
    </row>
    <row r="177" spans="1:7">
      <c r="A177" s="261" t="s">
        <v>8</v>
      </c>
      <c r="C177" s="262" t="s">
        <v>1279</v>
      </c>
      <c r="D177" s="497"/>
      <c r="E177" s="497">
        <v>100000</v>
      </c>
      <c r="F177" s="263"/>
      <c r="G177" s="262"/>
    </row>
    <row r="178" spans="1:7">
      <c r="A178" s="261" t="s">
        <v>8</v>
      </c>
      <c r="C178" s="262" t="s">
        <v>1284</v>
      </c>
      <c r="D178" s="497"/>
      <c r="E178" s="498">
        <f>20860+17580+38820</f>
        <v>77260</v>
      </c>
      <c r="F178" s="263"/>
      <c r="G178" s="265"/>
    </row>
    <row r="179" spans="1:7">
      <c r="A179" s="261" t="s">
        <v>8</v>
      </c>
      <c r="C179" s="262" t="s">
        <v>1302</v>
      </c>
      <c r="D179" s="497"/>
      <c r="E179" s="498">
        <f>23000+17500+13300+21000+23800</f>
        <v>98600</v>
      </c>
      <c r="F179" s="263"/>
      <c r="G179" s="265"/>
    </row>
    <row r="180" spans="1:7">
      <c r="A180" s="261" t="s">
        <v>8</v>
      </c>
      <c r="C180" s="262" t="s">
        <v>1348</v>
      </c>
      <c r="D180" s="497"/>
      <c r="E180" s="498">
        <v>15000</v>
      </c>
      <c r="F180" s="263"/>
      <c r="G180" s="265"/>
    </row>
    <row r="181" spans="1:7">
      <c r="A181" s="261" t="s">
        <v>8</v>
      </c>
      <c r="C181" s="262" t="s">
        <v>382</v>
      </c>
      <c r="D181" s="497"/>
      <c r="E181" s="498">
        <v>50000</v>
      </c>
      <c r="F181" s="263"/>
      <c r="G181" s="265"/>
    </row>
    <row r="182" spans="1:7">
      <c r="A182" s="261" t="s">
        <v>8</v>
      </c>
      <c r="C182" s="262" t="s">
        <v>1349</v>
      </c>
      <c r="D182" s="497"/>
      <c r="E182" s="498">
        <v>100000</v>
      </c>
      <c r="F182" s="263"/>
      <c r="G182" s="265"/>
    </row>
    <row r="183" spans="1:7">
      <c r="A183" s="261" t="s">
        <v>8</v>
      </c>
      <c r="C183" s="262" t="s">
        <v>1350</v>
      </c>
      <c r="D183" s="497"/>
      <c r="E183" s="498">
        <v>200000</v>
      </c>
      <c r="F183" s="263"/>
      <c r="G183" s="265"/>
    </row>
    <row r="184" spans="1:7">
      <c r="A184" s="261" t="s">
        <v>8</v>
      </c>
      <c r="C184" s="262" t="s">
        <v>1351</v>
      </c>
      <c r="D184" s="497"/>
      <c r="E184" s="498">
        <v>80000</v>
      </c>
      <c r="F184" s="263"/>
      <c r="G184" s="265"/>
    </row>
    <row r="185" spans="1:7">
      <c r="A185" s="261" t="s">
        <v>8</v>
      </c>
      <c r="C185" s="262" t="s">
        <v>1352</v>
      </c>
      <c r="D185" s="497"/>
      <c r="E185" s="498">
        <v>1250</v>
      </c>
      <c r="F185" s="263"/>
      <c r="G185" s="265"/>
    </row>
    <row r="186" spans="1:7">
      <c r="A186" s="261" t="s">
        <v>8</v>
      </c>
      <c r="C186" s="262" t="s">
        <v>1316</v>
      </c>
      <c r="D186" s="497"/>
      <c r="E186" s="498">
        <f>24000+26000+19500</f>
        <v>69500</v>
      </c>
      <c r="F186" s="263"/>
      <c r="G186" s="265"/>
    </row>
    <row r="187" spans="1:7">
      <c r="A187" s="261" t="s">
        <v>8</v>
      </c>
      <c r="C187" s="262" t="s">
        <v>1353</v>
      </c>
      <c r="D187" s="497"/>
      <c r="E187" s="498">
        <v>12500</v>
      </c>
      <c r="F187" s="263"/>
      <c r="G187" s="265"/>
    </row>
    <row r="188" spans="1:7">
      <c r="A188" s="261" t="s">
        <v>8</v>
      </c>
      <c r="C188" s="262" t="s">
        <v>1354</v>
      </c>
      <c r="D188" s="497"/>
      <c r="E188" s="498">
        <v>2900</v>
      </c>
      <c r="F188" s="263"/>
      <c r="G188" s="265"/>
    </row>
    <row r="189" spans="1:7">
      <c r="A189" s="261" t="s">
        <v>8</v>
      </c>
      <c r="C189" s="262" t="s">
        <v>1355</v>
      </c>
      <c r="D189" s="497"/>
      <c r="E189" s="498">
        <v>11000</v>
      </c>
      <c r="F189" s="263"/>
      <c r="G189" s="265"/>
    </row>
    <row r="190" spans="1:7">
      <c r="A190" s="261" t="s">
        <v>8</v>
      </c>
      <c r="C190" s="262" t="s">
        <v>1285</v>
      </c>
      <c r="D190" s="497"/>
      <c r="E190" s="498">
        <f>22520+11880</f>
        <v>34400</v>
      </c>
      <c r="F190" s="263"/>
      <c r="G190" s="265"/>
    </row>
    <row r="191" spans="1:7">
      <c r="A191" s="261" t="s">
        <v>8</v>
      </c>
      <c r="C191" s="262" t="s">
        <v>1325</v>
      </c>
      <c r="D191" s="497"/>
      <c r="E191" s="498">
        <v>13500</v>
      </c>
      <c r="F191" s="263"/>
      <c r="G191" s="265"/>
    </row>
    <row r="192" spans="1:7">
      <c r="A192" s="261" t="s">
        <v>8</v>
      </c>
      <c r="C192" s="262" t="s">
        <v>1280</v>
      </c>
      <c r="D192" s="497"/>
      <c r="E192" s="498">
        <f>50000*3</f>
        <v>150000</v>
      </c>
      <c r="F192" s="263"/>
      <c r="G192" s="265"/>
    </row>
    <row r="193" spans="1:7">
      <c r="A193" s="261" t="s">
        <v>8</v>
      </c>
      <c r="C193" s="262" t="s">
        <v>1334</v>
      </c>
      <c r="D193" s="497"/>
      <c r="E193" s="498">
        <f>2500+3500</f>
        <v>6000</v>
      </c>
      <c r="F193" s="263"/>
      <c r="G193" s="265"/>
    </row>
    <row r="194" spans="1:7">
      <c r="A194" s="261" t="s">
        <v>8</v>
      </c>
      <c r="C194" s="262" t="s">
        <v>1339</v>
      </c>
      <c r="D194" s="497"/>
      <c r="E194" s="498">
        <v>25200</v>
      </c>
      <c r="F194" s="263"/>
      <c r="G194" s="265"/>
    </row>
    <row r="195" spans="1:7">
      <c r="A195" s="261" t="s">
        <v>8</v>
      </c>
      <c r="C195" s="262" t="s">
        <v>1356</v>
      </c>
      <c r="D195" s="497"/>
      <c r="E195" s="498">
        <v>396000</v>
      </c>
      <c r="F195" s="263"/>
      <c r="G195" s="265"/>
    </row>
    <row r="196" spans="1:7">
      <c r="A196" s="261" t="s">
        <v>8</v>
      </c>
      <c r="C196" s="262" t="s">
        <v>1357</v>
      </c>
      <c r="D196" s="497"/>
      <c r="E196" s="498">
        <v>129870</v>
      </c>
      <c r="F196" s="263"/>
      <c r="G196" s="265"/>
    </row>
    <row r="197" spans="1:7">
      <c r="A197" s="261" t="s">
        <v>8</v>
      </c>
      <c r="C197" s="262" t="s">
        <v>1358</v>
      </c>
      <c r="D197" s="497"/>
      <c r="E197" s="498">
        <v>5400</v>
      </c>
      <c r="F197" s="263"/>
      <c r="G197" s="265"/>
    </row>
    <row r="198" spans="1:7">
      <c r="A198" s="261" t="s">
        <v>8</v>
      </c>
      <c r="C198" s="262" t="s">
        <v>1359</v>
      </c>
      <c r="D198" s="497"/>
      <c r="E198" s="498">
        <v>100000</v>
      </c>
      <c r="F198" s="263"/>
      <c r="G198" s="265"/>
    </row>
    <row r="199" spans="1:7">
      <c r="A199" s="261" t="s">
        <v>8</v>
      </c>
      <c r="C199" s="262" t="s">
        <v>1305</v>
      </c>
      <c r="D199" s="497"/>
      <c r="E199" s="498">
        <v>50690</v>
      </c>
      <c r="F199" s="263"/>
      <c r="G199" s="265"/>
    </row>
    <row r="200" spans="1:7">
      <c r="A200" s="261" t="s">
        <v>8</v>
      </c>
      <c r="C200" s="262" t="s">
        <v>385</v>
      </c>
      <c r="D200" s="497"/>
      <c r="E200" s="498">
        <v>12100</v>
      </c>
      <c r="F200" s="263"/>
      <c r="G200" s="265"/>
    </row>
    <row r="201" spans="1:7">
      <c r="A201" s="261" t="s">
        <v>8</v>
      </c>
      <c r="C201" s="262" t="s">
        <v>1332</v>
      </c>
      <c r="D201" s="497"/>
      <c r="E201" s="498">
        <v>42630</v>
      </c>
      <c r="F201" s="263"/>
      <c r="G201" s="265"/>
    </row>
    <row r="202" spans="1:7">
      <c r="A202" s="261" t="s">
        <v>8</v>
      </c>
      <c r="C202" s="262" t="s">
        <v>1360</v>
      </c>
      <c r="D202" s="497"/>
      <c r="E202" s="498">
        <v>5000</v>
      </c>
      <c r="F202" s="263"/>
      <c r="G202" s="265"/>
    </row>
    <row r="203" spans="1:7">
      <c r="A203" s="261" t="s">
        <v>8</v>
      </c>
      <c r="C203" s="262" t="s">
        <v>1361</v>
      </c>
      <c r="D203" s="497"/>
      <c r="E203" s="498">
        <v>90000</v>
      </c>
      <c r="F203" s="263"/>
      <c r="G203" s="265"/>
    </row>
    <row r="204" spans="1:7">
      <c r="A204" s="261" t="s">
        <v>8</v>
      </c>
      <c r="C204" s="262" t="s">
        <v>1300</v>
      </c>
      <c r="D204" s="498">
        <f>SUM(D166:D203)-SUM(E166:E203)</f>
        <v>1035325</v>
      </c>
      <c r="E204" s="497">
        <f>SUM(E166:E203)-SUM(F166:F203)</f>
        <v>3407680</v>
      </c>
      <c r="F204" s="263"/>
      <c r="G204" s="262"/>
    </row>
    <row r="205" spans="1:7">
      <c r="A205" s="261" t="s">
        <v>8</v>
      </c>
    </row>
    <row r="206" spans="1:7">
      <c r="A206" s="261" t="s">
        <v>8</v>
      </c>
    </row>
    <row r="207" spans="1:7">
      <c r="A207" s="261" t="s">
        <v>8</v>
      </c>
      <c r="B207" s="256" t="s">
        <v>2131</v>
      </c>
      <c r="C207" s="262" t="s">
        <v>1268</v>
      </c>
      <c r="D207" s="497">
        <v>4434005</v>
      </c>
      <c r="E207" s="497"/>
      <c r="F207" s="263"/>
      <c r="G207" s="262"/>
    </row>
    <row r="208" spans="1:7">
      <c r="A208" s="261" t="s">
        <v>8</v>
      </c>
      <c r="C208" s="262" t="s">
        <v>1269</v>
      </c>
      <c r="D208" s="497"/>
      <c r="E208" s="498">
        <v>381000</v>
      </c>
      <c r="F208" s="263"/>
      <c r="G208" s="262" t="s">
        <v>2132</v>
      </c>
    </row>
    <row r="209" spans="1:7">
      <c r="A209" s="261" t="s">
        <v>8</v>
      </c>
      <c r="C209" s="262" t="s">
        <v>1270</v>
      </c>
      <c r="D209" s="497"/>
      <c r="E209" s="498">
        <v>548000</v>
      </c>
      <c r="F209" s="263"/>
      <c r="G209" s="262"/>
    </row>
    <row r="210" spans="1:7">
      <c r="A210" s="261" t="s">
        <v>8</v>
      </c>
      <c r="C210" s="262" t="s">
        <v>1271</v>
      </c>
      <c r="D210" s="497"/>
      <c r="E210" s="498">
        <v>202480</v>
      </c>
      <c r="F210" s="263"/>
      <c r="G210" s="264"/>
    </row>
    <row r="211" spans="1:7">
      <c r="A211" s="261" t="s">
        <v>8</v>
      </c>
      <c r="C211" s="262" t="s">
        <v>1272</v>
      </c>
      <c r="D211" s="497"/>
      <c r="E211" s="498">
        <v>9060</v>
      </c>
      <c r="F211" s="263"/>
      <c r="G211" s="262"/>
    </row>
    <row r="212" spans="1:7">
      <c r="A212" s="261" t="s">
        <v>8</v>
      </c>
      <c r="C212" s="262" t="s">
        <v>1273</v>
      </c>
      <c r="D212" s="497"/>
      <c r="E212" s="498">
        <v>20980</v>
      </c>
      <c r="F212" s="263"/>
      <c r="G212" s="262"/>
    </row>
    <row r="213" spans="1:7">
      <c r="A213" s="261" t="s">
        <v>8</v>
      </c>
      <c r="C213" s="262" t="s">
        <v>1274</v>
      </c>
      <c r="D213" s="497"/>
      <c r="E213" s="498">
        <v>18550</v>
      </c>
      <c r="F213" s="263"/>
      <c r="G213" s="262"/>
    </row>
    <row r="214" spans="1:7">
      <c r="A214" s="261" t="s">
        <v>8</v>
      </c>
      <c r="C214" s="262" t="s">
        <v>1275</v>
      </c>
      <c r="D214" s="497"/>
      <c r="E214" s="498">
        <v>26450</v>
      </c>
      <c r="F214" s="263"/>
      <c r="G214" s="262"/>
    </row>
    <row r="215" spans="1:7">
      <c r="A215" s="261" t="s">
        <v>8</v>
      </c>
      <c r="C215" s="262" t="s">
        <v>1276</v>
      </c>
      <c r="D215" s="497"/>
      <c r="E215" s="498">
        <v>241300</v>
      </c>
      <c r="F215" s="263"/>
      <c r="G215" s="262"/>
    </row>
    <row r="216" spans="1:7">
      <c r="A216" s="261" t="s">
        <v>8</v>
      </c>
      <c r="C216" s="262" t="s">
        <v>1277</v>
      </c>
      <c r="D216" s="497"/>
      <c r="E216" s="497"/>
      <c r="F216" s="263"/>
      <c r="G216" s="262"/>
    </row>
    <row r="217" spans="1:7">
      <c r="A217" s="261" t="s">
        <v>8</v>
      </c>
      <c r="C217" s="262" t="s">
        <v>1278</v>
      </c>
      <c r="D217" s="497"/>
      <c r="E217" s="498">
        <v>100000</v>
      </c>
      <c r="F217" s="263"/>
      <c r="G217" s="262"/>
    </row>
    <row r="218" spans="1:7">
      <c r="A218" s="261" t="s">
        <v>8</v>
      </c>
      <c r="C218" s="262" t="s">
        <v>1279</v>
      </c>
      <c r="D218" s="497"/>
      <c r="E218" s="498">
        <v>100000</v>
      </c>
      <c r="F218" s="263"/>
      <c r="G218" s="262"/>
    </row>
    <row r="219" spans="1:7">
      <c r="A219" s="261" t="s">
        <v>8</v>
      </c>
      <c r="C219" s="262" t="s">
        <v>1284</v>
      </c>
      <c r="D219" s="497"/>
      <c r="E219" s="498">
        <f>39520+54680+13820+15870+21250+49650+22550+24360+5254+25580</f>
        <v>272534</v>
      </c>
      <c r="F219" s="263"/>
      <c r="G219" s="265"/>
    </row>
    <row r="220" spans="1:7">
      <c r="A220" s="261" t="s">
        <v>8</v>
      </c>
      <c r="C220" s="262" t="s">
        <v>384</v>
      </c>
      <c r="D220" s="497"/>
      <c r="E220" s="498">
        <v>2950</v>
      </c>
      <c r="F220" s="263"/>
      <c r="G220" s="265"/>
    </row>
    <row r="221" spans="1:7">
      <c r="A221" s="261" t="s">
        <v>8</v>
      </c>
      <c r="C221" s="262" t="s">
        <v>1317</v>
      </c>
      <c r="D221" s="497"/>
      <c r="E221" s="498">
        <v>200000</v>
      </c>
      <c r="F221" s="263"/>
      <c r="G221" s="265"/>
    </row>
    <row r="222" spans="1:7">
      <c r="A222" s="261" t="s">
        <v>8</v>
      </c>
      <c r="C222" s="262" t="s">
        <v>1280</v>
      </c>
      <c r="D222" s="497"/>
      <c r="E222" s="498">
        <f>50000*5</f>
        <v>250000</v>
      </c>
      <c r="F222" s="263"/>
      <c r="G222" s="265"/>
    </row>
    <row r="223" spans="1:7">
      <c r="A223" s="261" t="s">
        <v>8</v>
      </c>
      <c r="C223" s="262" t="s">
        <v>1302</v>
      </c>
      <c r="D223" s="497"/>
      <c r="E223" s="498">
        <f>22000+12500+22500+19000+20900+19500+22900+75400</f>
        <v>214700</v>
      </c>
      <c r="F223" s="263"/>
      <c r="G223" s="265"/>
    </row>
    <row r="224" spans="1:7">
      <c r="A224" s="261" t="s">
        <v>8</v>
      </c>
      <c r="C224" s="262" t="s">
        <v>1362</v>
      </c>
      <c r="D224" s="497"/>
      <c r="E224" s="498">
        <v>7000</v>
      </c>
      <c r="F224" s="263"/>
      <c r="G224" s="265"/>
    </row>
    <row r="225" spans="1:7">
      <c r="A225" s="261" t="s">
        <v>8</v>
      </c>
      <c r="C225" s="262" t="s">
        <v>386</v>
      </c>
      <c r="D225" s="497"/>
      <c r="E225" s="498">
        <f>103200+117400</f>
        <v>220600</v>
      </c>
      <c r="F225" s="263"/>
      <c r="G225" s="265"/>
    </row>
    <row r="226" spans="1:7">
      <c r="A226" s="261" t="s">
        <v>8</v>
      </c>
      <c r="C226" s="262" t="s">
        <v>1363</v>
      </c>
      <c r="D226" s="497"/>
      <c r="E226" s="498">
        <v>4000</v>
      </c>
      <c r="F226" s="263"/>
      <c r="G226" s="265"/>
    </row>
    <row r="227" spans="1:7">
      <c r="A227" s="261" t="s">
        <v>8</v>
      </c>
      <c r="C227" s="262" t="s">
        <v>1338</v>
      </c>
      <c r="D227" s="497"/>
      <c r="E227" s="498">
        <f>2200+2500</f>
        <v>4700</v>
      </c>
      <c r="F227" s="263"/>
      <c r="G227" s="265"/>
    </row>
    <row r="228" spans="1:7">
      <c r="A228" s="261" t="s">
        <v>8</v>
      </c>
      <c r="C228" s="262" t="s">
        <v>1341</v>
      </c>
      <c r="D228" s="497"/>
      <c r="E228" s="498">
        <f>3900+2500</f>
        <v>6400</v>
      </c>
      <c r="F228" s="263"/>
      <c r="G228" s="265"/>
    </row>
    <row r="229" spans="1:7">
      <c r="A229" s="261" t="s">
        <v>8</v>
      </c>
      <c r="C229" s="262" t="s">
        <v>1289</v>
      </c>
      <c r="D229" s="497"/>
      <c r="E229" s="498">
        <v>12200</v>
      </c>
      <c r="F229" s="263"/>
      <c r="G229" s="265"/>
    </row>
    <row r="230" spans="1:7">
      <c r="A230" s="261" t="s">
        <v>8</v>
      </c>
      <c r="C230" s="262" t="s">
        <v>1325</v>
      </c>
      <c r="D230" s="497"/>
      <c r="E230" s="498">
        <f>42800+73000</f>
        <v>115800</v>
      </c>
      <c r="F230" s="263"/>
      <c r="G230" s="265"/>
    </row>
    <row r="231" spans="1:7">
      <c r="A231" s="261" t="s">
        <v>8</v>
      </c>
      <c r="C231" s="262" t="s">
        <v>1351</v>
      </c>
      <c r="D231" s="497"/>
      <c r="E231" s="498">
        <v>30000</v>
      </c>
      <c r="F231" s="263"/>
      <c r="G231" s="265"/>
    </row>
    <row r="232" spans="1:7">
      <c r="A232" s="261" t="s">
        <v>8</v>
      </c>
      <c r="C232" s="262" t="s">
        <v>1364</v>
      </c>
      <c r="D232" s="497"/>
      <c r="E232" s="498">
        <v>100000</v>
      </c>
      <c r="F232" s="263"/>
      <c r="G232" s="265"/>
    </row>
    <row r="233" spans="1:7">
      <c r="A233" s="261" t="s">
        <v>8</v>
      </c>
      <c r="C233" s="262" t="s">
        <v>1359</v>
      </c>
      <c r="D233" s="497"/>
      <c r="E233" s="498">
        <v>100000</v>
      </c>
      <c r="F233" s="263"/>
      <c r="G233" s="265"/>
    </row>
    <row r="234" spans="1:7">
      <c r="A234" s="261" t="s">
        <v>8</v>
      </c>
      <c r="C234" s="262" t="s">
        <v>1365</v>
      </c>
      <c r="D234" s="497"/>
      <c r="E234" s="498">
        <v>2500</v>
      </c>
      <c r="F234" s="263"/>
      <c r="G234" s="265"/>
    </row>
    <row r="235" spans="1:7">
      <c r="A235" s="261" t="s">
        <v>8</v>
      </c>
      <c r="C235" s="262" t="s">
        <v>1315</v>
      </c>
      <c r="D235" s="497"/>
      <c r="E235" s="498">
        <v>60000</v>
      </c>
      <c r="F235" s="263"/>
      <c r="G235" s="265"/>
    </row>
    <row r="236" spans="1:7">
      <c r="A236" s="261" t="s">
        <v>8</v>
      </c>
      <c r="C236" s="262" t="s">
        <v>1366</v>
      </c>
      <c r="D236" s="497"/>
      <c r="E236" s="498">
        <f>41400+40300</f>
        <v>81700</v>
      </c>
      <c r="F236" s="263"/>
      <c r="G236" s="265"/>
    </row>
    <row r="237" spans="1:7">
      <c r="A237" s="261" t="s">
        <v>8</v>
      </c>
      <c r="C237" s="262" t="s">
        <v>1367</v>
      </c>
      <c r="D237" s="497"/>
      <c r="E237" s="498">
        <v>10700</v>
      </c>
      <c r="F237" s="263"/>
      <c r="G237" s="265"/>
    </row>
    <row r="238" spans="1:7">
      <c r="A238" s="261" t="s">
        <v>8</v>
      </c>
      <c r="C238" s="262" t="s">
        <v>1368</v>
      </c>
      <c r="D238" s="497"/>
      <c r="E238" s="498">
        <v>35000</v>
      </c>
      <c r="F238" s="263"/>
      <c r="G238" s="265"/>
    </row>
    <row r="239" spans="1:7">
      <c r="A239" s="261" t="s">
        <v>8</v>
      </c>
      <c r="C239" s="262" t="s">
        <v>1333</v>
      </c>
      <c r="D239" s="497"/>
      <c r="E239" s="498">
        <v>25000</v>
      </c>
      <c r="F239" s="263"/>
      <c r="G239" s="265"/>
    </row>
    <row r="240" spans="1:7">
      <c r="A240" s="261" t="s">
        <v>8</v>
      </c>
      <c r="C240" s="262" t="s">
        <v>1354</v>
      </c>
      <c r="D240" s="497"/>
      <c r="E240" s="498">
        <v>24000</v>
      </c>
      <c r="F240" s="263"/>
      <c r="G240" s="265"/>
    </row>
    <row r="241" spans="1:7">
      <c r="A241" s="261" t="s">
        <v>8</v>
      </c>
      <c r="C241" s="262" t="s">
        <v>1369</v>
      </c>
      <c r="D241" s="497"/>
      <c r="E241" s="498">
        <v>9500</v>
      </c>
      <c r="F241" s="263"/>
      <c r="G241" s="265"/>
    </row>
    <row r="242" spans="1:7">
      <c r="A242" s="261" t="s">
        <v>8</v>
      </c>
      <c r="C242" s="262" t="s">
        <v>1370</v>
      </c>
      <c r="D242" s="497"/>
      <c r="E242" s="498">
        <v>4000</v>
      </c>
      <c r="F242" s="263"/>
      <c r="G242" s="265"/>
    </row>
    <row r="243" spans="1:7">
      <c r="A243" s="261" t="s">
        <v>8</v>
      </c>
      <c r="C243" s="262" t="s">
        <v>1295</v>
      </c>
      <c r="D243" s="497"/>
      <c r="E243" s="498">
        <v>23000</v>
      </c>
      <c r="F243" s="263"/>
      <c r="G243" s="265"/>
    </row>
    <row r="244" spans="1:7">
      <c r="A244" s="261" t="s">
        <v>8</v>
      </c>
      <c r="C244" s="262" t="s">
        <v>1332</v>
      </c>
      <c r="D244" s="497"/>
      <c r="E244" s="498">
        <v>42630</v>
      </c>
      <c r="F244" s="263"/>
      <c r="G244" s="265"/>
    </row>
    <row r="245" spans="1:7">
      <c r="A245" s="261" t="s">
        <v>8</v>
      </c>
      <c r="C245" s="262" t="s">
        <v>1323</v>
      </c>
      <c r="D245" s="497"/>
      <c r="E245" s="498">
        <v>1000</v>
      </c>
      <c r="F245" s="263"/>
      <c r="G245" s="265"/>
    </row>
    <row r="246" spans="1:7">
      <c r="A246" s="261" t="s">
        <v>8</v>
      </c>
      <c r="C246" s="262" t="s">
        <v>1371</v>
      </c>
      <c r="D246" s="497"/>
      <c r="E246" s="498">
        <v>14060</v>
      </c>
      <c r="F246" s="263"/>
      <c r="G246" s="265"/>
    </row>
    <row r="247" spans="1:7">
      <c r="A247" s="261" t="s">
        <v>8</v>
      </c>
      <c r="C247" s="262" t="s">
        <v>1372</v>
      </c>
      <c r="D247" s="497"/>
      <c r="E247" s="498">
        <v>10500</v>
      </c>
      <c r="F247" s="263"/>
      <c r="G247" s="265"/>
    </row>
    <row r="248" spans="1:7">
      <c r="A248" s="261" t="s">
        <v>8</v>
      </c>
      <c r="C248" s="262" t="s">
        <v>1339</v>
      </c>
      <c r="D248" s="497"/>
      <c r="E248" s="498">
        <v>29200</v>
      </c>
      <c r="F248" s="263"/>
      <c r="G248" s="265"/>
    </row>
    <row r="249" spans="1:7">
      <c r="A249" s="261" t="s">
        <v>8</v>
      </c>
      <c r="C249" s="262" t="s">
        <v>1373</v>
      </c>
      <c r="D249" s="498">
        <v>43900</v>
      </c>
      <c r="E249" s="497"/>
      <c r="F249" s="263"/>
      <c r="G249" s="265"/>
    </row>
    <row r="250" spans="1:7">
      <c r="A250" s="261" t="s">
        <v>8</v>
      </c>
      <c r="C250" s="262" t="s">
        <v>1300</v>
      </c>
      <c r="D250" s="497">
        <f>SUM(D207:D249)-SUM(E207:E249)</f>
        <v>916411</v>
      </c>
      <c r="E250" s="497">
        <f>SUM(E207:E249)-SUM(F207:F249)</f>
        <v>3561494</v>
      </c>
      <c r="F250" s="263"/>
      <c r="G250" s="262"/>
    </row>
    <row r="251" spans="1:7">
      <c r="A251" s="261" t="s">
        <v>8</v>
      </c>
    </row>
    <row r="252" spans="1:7">
      <c r="A252" s="261" t="s">
        <v>8</v>
      </c>
    </row>
    <row r="253" spans="1:7">
      <c r="A253" s="261" t="s">
        <v>8</v>
      </c>
      <c r="B253" s="256" t="s">
        <v>2133</v>
      </c>
      <c r="C253" s="262" t="s">
        <v>1268</v>
      </c>
      <c r="D253" s="498">
        <v>4420945</v>
      </c>
      <c r="E253" s="497"/>
      <c r="F253" s="263"/>
      <c r="G253" s="262"/>
    </row>
    <row r="254" spans="1:7">
      <c r="A254" s="261" t="s">
        <v>8</v>
      </c>
      <c r="C254" s="262" t="s">
        <v>1269</v>
      </c>
      <c r="D254" s="497"/>
      <c r="E254" s="498">
        <v>368700</v>
      </c>
      <c r="F254" s="263"/>
      <c r="G254" s="262" t="s">
        <v>2134</v>
      </c>
    </row>
    <row r="255" spans="1:7">
      <c r="A255" s="261" t="s">
        <v>8</v>
      </c>
      <c r="C255" s="262" t="s">
        <v>1270</v>
      </c>
      <c r="D255" s="497"/>
      <c r="E255" s="498">
        <v>563000</v>
      </c>
      <c r="F255" s="263"/>
      <c r="G255" s="262"/>
    </row>
    <row r="256" spans="1:7">
      <c r="A256" s="261" t="s">
        <v>8</v>
      </c>
      <c r="C256" s="262" t="s">
        <v>1271</v>
      </c>
      <c r="D256" s="497"/>
      <c r="E256" s="498">
        <v>184650</v>
      </c>
      <c r="F256" s="263"/>
      <c r="G256" s="264"/>
    </row>
    <row r="257" spans="1:7">
      <c r="A257" s="261" t="s">
        <v>8</v>
      </c>
      <c r="C257" s="262" t="s">
        <v>1272</v>
      </c>
      <c r="D257" s="497"/>
      <c r="E257" s="498">
        <v>9060</v>
      </c>
      <c r="F257" s="263"/>
      <c r="G257" s="262"/>
    </row>
    <row r="258" spans="1:7">
      <c r="A258" s="261" t="s">
        <v>8</v>
      </c>
      <c r="C258" s="262" t="s">
        <v>1273</v>
      </c>
      <c r="D258" s="497"/>
      <c r="E258" s="498">
        <v>20980</v>
      </c>
      <c r="F258" s="263"/>
      <c r="G258" s="262"/>
    </row>
    <row r="259" spans="1:7">
      <c r="A259" s="261" t="s">
        <v>8</v>
      </c>
      <c r="C259" s="262" t="s">
        <v>1274</v>
      </c>
      <c r="D259" s="497"/>
      <c r="E259" s="498">
        <v>18550</v>
      </c>
      <c r="F259" s="263"/>
      <c r="G259" s="262"/>
    </row>
    <row r="260" spans="1:7">
      <c r="A260" s="261" t="s">
        <v>8</v>
      </c>
      <c r="C260" s="262" t="s">
        <v>1275</v>
      </c>
      <c r="D260" s="497"/>
      <c r="E260" s="498">
        <v>26450</v>
      </c>
      <c r="F260" s="263"/>
      <c r="G260" s="262"/>
    </row>
    <row r="261" spans="1:7">
      <c r="A261" s="261" t="s">
        <v>8</v>
      </c>
      <c r="C261" s="262" t="s">
        <v>1276</v>
      </c>
      <c r="D261" s="497"/>
      <c r="E261" s="498">
        <v>242950</v>
      </c>
      <c r="F261" s="263"/>
      <c r="G261" s="262"/>
    </row>
    <row r="262" spans="1:7">
      <c r="A262" s="261" t="s">
        <v>8</v>
      </c>
      <c r="C262" s="262" t="s">
        <v>1277</v>
      </c>
      <c r="D262" s="497"/>
      <c r="E262" s="498">
        <v>73910</v>
      </c>
      <c r="F262" s="263"/>
      <c r="G262" s="262"/>
    </row>
    <row r="263" spans="1:7">
      <c r="A263" s="261" t="s">
        <v>8</v>
      </c>
      <c r="C263" s="262" t="s">
        <v>1278</v>
      </c>
      <c r="D263" s="497"/>
      <c r="E263" s="498">
        <v>100000</v>
      </c>
      <c r="F263" s="263"/>
      <c r="G263" s="262"/>
    </row>
    <row r="264" spans="1:7">
      <c r="A264" s="261" t="s">
        <v>8</v>
      </c>
      <c r="C264" s="262" t="s">
        <v>1279</v>
      </c>
      <c r="D264" s="497"/>
      <c r="E264" s="497">
        <v>100000</v>
      </c>
      <c r="F264" s="263"/>
      <c r="G264" s="262"/>
    </row>
    <row r="265" spans="1:7">
      <c r="A265" s="261" t="s">
        <v>8</v>
      </c>
      <c r="C265" s="262" t="s">
        <v>1374</v>
      </c>
      <c r="D265" s="497"/>
      <c r="E265" s="498">
        <v>300000</v>
      </c>
      <c r="F265" s="263"/>
      <c r="G265" s="265"/>
    </row>
    <row r="266" spans="1:7">
      <c r="A266" s="261" t="s">
        <v>8</v>
      </c>
      <c r="C266" s="262" t="s">
        <v>1375</v>
      </c>
      <c r="D266" s="497"/>
      <c r="E266" s="498">
        <v>30000</v>
      </c>
      <c r="F266" s="263"/>
      <c r="G266" s="265"/>
    </row>
    <row r="267" spans="1:7">
      <c r="A267" s="261" t="s">
        <v>8</v>
      </c>
      <c r="C267" s="262" t="s">
        <v>1302</v>
      </c>
      <c r="D267" s="497"/>
      <c r="E267" s="498">
        <f>33000+22500+20900+6500+15700</f>
        <v>98600</v>
      </c>
      <c r="F267" s="263"/>
      <c r="G267" s="265"/>
    </row>
    <row r="268" spans="1:7">
      <c r="A268" s="261" t="s">
        <v>8</v>
      </c>
      <c r="C268" s="262" t="s">
        <v>382</v>
      </c>
      <c r="D268" s="497"/>
      <c r="E268" s="498">
        <v>50000</v>
      </c>
      <c r="F268" s="263"/>
      <c r="G268" s="265"/>
    </row>
    <row r="269" spans="1:7">
      <c r="A269" s="261" t="s">
        <v>8</v>
      </c>
      <c r="C269" s="262" t="s">
        <v>1376</v>
      </c>
      <c r="D269" s="497"/>
      <c r="E269" s="498">
        <v>50000</v>
      </c>
      <c r="F269" s="263"/>
      <c r="G269" s="265"/>
    </row>
    <row r="270" spans="1:7">
      <c r="A270" s="261" t="s">
        <v>8</v>
      </c>
      <c r="C270" s="262" t="s">
        <v>1377</v>
      </c>
      <c r="D270" s="497"/>
      <c r="E270" s="498">
        <v>38000</v>
      </c>
      <c r="F270" s="263"/>
      <c r="G270" s="265"/>
    </row>
    <row r="271" spans="1:7">
      <c r="A271" s="261" t="s">
        <v>8</v>
      </c>
      <c r="C271" s="262" t="s">
        <v>1297</v>
      </c>
      <c r="D271" s="497"/>
      <c r="E271" s="498">
        <v>32000</v>
      </c>
      <c r="F271" s="263"/>
      <c r="G271" s="265"/>
    </row>
    <row r="272" spans="1:7">
      <c r="A272" s="261" t="s">
        <v>8</v>
      </c>
      <c r="C272" s="262" t="s">
        <v>1378</v>
      </c>
      <c r="D272" s="497"/>
      <c r="E272" s="498">
        <v>258700</v>
      </c>
      <c r="F272" s="263"/>
      <c r="G272" s="265"/>
    </row>
    <row r="273" spans="1:7">
      <c r="A273" s="261" t="s">
        <v>8</v>
      </c>
      <c r="C273" s="262" t="s">
        <v>1323</v>
      </c>
      <c r="D273" s="497"/>
      <c r="E273" s="498">
        <v>3000</v>
      </c>
      <c r="F273" s="263"/>
      <c r="G273" s="265"/>
    </row>
    <row r="274" spans="1:7">
      <c r="A274" s="261" t="s">
        <v>8</v>
      </c>
      <c r="C274" s="262" t="s">
        <v>1280</v>
      </c>
      <c r="D274" s="497"/>
      <c r="E274" s="498">
        <f>50000+4000+50000+50000+50000</f>
        <v>204000</v>
      </c>
      <c r="F274" s="263"/>
      <c r="G274" s="265"/>
    </row>
    <row r="275" spans="1:7">
      <c r="A275" s="261" t="s">
        <v>8</v>
      </c>
      <c r="C275" s="262" t="s">
        <v>1379</v>
      </c>
      <c r="D275" s="497"/>
      <c r="E275" s="498">
        <v>200000</v>
      </c>
      <c r="F275" s="263"/>
      <c r="G275" s="265"/>
    </row>
    <row r="276" spans="1:7">
      <c r="A276" s="261" t="s">
        <v>8</v>
      </c>
      <c r="C276" s="262" t="s">
        <v>1380</v>
      </c>
      <c r="D276" s="497"/>
      <c r="E276" s="498">
        <v>200000</v>
      </c>
      <c r="F276" s="263"/>
      <c r="G276" s="265"/>
    </row>
    <row r="277" spans="1:7">
      <c r="A277" s="261" t="s">
        <v>8</v>
      </c>
      <c r="C277" s="262" t="s">
        <v>1381</v>
      </c>
      <c r="D277" s="497"/>
      <c r="E277" s="498">
        <v>100000</v>
      </c>
      <c r="F277" s="263"/>
      <c r="G277" s="265"/>
    </row>
    <row r="278" spans="1:7">
      <c r="A278" s="261" t="s">
        <v>8</v>
      </c>
      <c r="C278" s="262" t="s">
        <v>1382</v>
      </c>
      <c r="D278" s="497"/>
      <c r="E278" s="498">
        <v>50000</v>
      </c>
      <c r="F278" s="263"/>
      <c r="G278" s="265"/>
    </row>
    <row r="279" spans="1:7">
      <c r="A279" s="261" t="s">
        <v>8</v>
      </c>
      <c r="C279" s="262" t="s">
        <v>1383</v>
      </c>
      <c r="D279" s="497"/>
      <c r="E279" s="498">
        <v>40000</v>
      </c>
      <c r="F279" s="263"/>
      <c r="G279" s="265"/>
    </row>
    <row r="280" spans="1:7">
      <c r="A280" s="261" t="s">
        <v>8</v>
      </c>
      <c r="C280" s="262" t="s">
        <v>1284</v>
      </c>
      <c r="D280" s="497"/>
      <c r="E280" s="498">
        <f>32810+33780+4600+8560+40510+32160</f>
        <v>152420</v>
      </c>
      <c r="F280" s="263"/>
      <c r="G280" s="265"/>
    </row>
    <row r="281" spans="1:7">
      <c r="A281" s="261" t="s">
        <v>8</v>
      </c>
      <c r="C281" s="262" t="s">
        <v>1384</v>
      </c>
      <c r="D281" s="497"/>
      <c r="E281" s="498">
        <v>35000</v>
      </c>
      <c r="F281" s="263"/>
      <c r="G281" s="265"/>
    </row>
    <row r="282" spans="1:7">
      <c r="A282" s="261" t="s">
        <v>8</v>
      </c>
      <c r="C282" s="262" t="s">
        <v>385</v>
      </c>
      <c r="D282" s="497"/>
      <c r="E282" s="498">
        <v>5400</v>
      </c>
      <c r="F282" s="263"/>
      <c r="G282" s="265"/>
    </row>
    <row r="283" spans="1:7">
      <c r="A283" s="261" t="s">
        <v>8</v>
      </c>
      <c r="C283" s="262" t="s">
        <v>1370</v>
      </c>
      <c r="D283" s="497"/>
      <c r="E283" s="498">
        <v>4000</v>
      </c>
      <c r="F283" s="263"/>
      <c r="G283" s="265"/>
    </row>
    <row r="284" spans="1:7">
      <c r="A284" s="261" t="s">
        <v>8</v>
      </c>
      <c r="C284" s="262" t="s">
        <v>1385</v>
      </c>
      <c r="D284" s="497"/>
      <c r="E284" s="498">
        <v>21000</v>
      </c>
      <c r="F284" s="263"/>
      <c r="G284" s="265"/>
    </row>
    <row r="285" spans="1:7">
      <c r="A285" s="261" t="s">
        <v>8</v>
      </c>
      <c r="C285" s="262" t="s">
        <v>1294</v>
      </c>
      <c r="D285" s="497"/>
      <c r="E285" s="498">
        <v>60000</v>
      </c>
      <c r="F285" s="263"/>
      <c r="G285" s="265"/>
    </row>
    <row r="286" spans="1:7">
      <c r="A286" s="261" t="s">
        <v>8</v>
      </c>
      <c r="C286" s="262" t="s">
        <v>1386</v>
      </c>
      <c r="D286" s="497"/>
      <c r="E286" s="498">
        <v>200</v>
      </c>
      <c r="F286" s="263"/>
      <c r="G286" s="265"/>
    </row>
    <row r="287" spans="1:7">
      <c r="A287" s="261" t="s">
        <v>8</v>
      </c>
      <c r="C287" s="262" t="s">
        <v>1387</v>
      </c>
      <c r="D287" s="497"/>
      <c r="E287" s="498">
        <v>28300</v>
      </c>
      <c r="F287" s="263"/>
      <c r="G287" s="265"/>
    </row>
    <row r="288" spans="1:7">
      <c r="A288" s="261" t="s">
        <v>8</v>
      </c>
      <c r="C288" s="262" t="s">
        <v>1332</v>
      </c>
      <c r="D288" s="497"/>
      <c r="E288" s="498">
        <v>42630</v>
      </c>
      <c r="F288" s="263"/>
      <c r="G288" s="265"/>
    </row>
    <row r="289" spans="1:7">
      <c r="A289" s="261" t="s">
        <v>8</v>
      </c>
      <c r="C289" s="262" t="s">
        <v>1295</v>
      </c>
      <c r="D289" s="497"/>
      <c r="E289" s="498">
        <v>4000</v>
      </c>
      <c r="F289" s="263"/>
      <c r="G289" s="265"/>
    </row>
    <row r="290" spans="1:7">
      <c r="A290" s="261" t="s">
        <v>8</v>
      </c>
      <c r="C290" s="262" t="s">
        <v>1339</v>
      </c>
      <c r="D290" s="497"/>
      <c r="E290" s="498">
        <v>2900</v>
      </c>
      <c r="F290" s="263"/>
      <c r="G290" s="265"/>
    </row>
    <row r="291" spans="1:7">
      <c r="A291" s="261" t="s">
        <v>8</v>
      </c>
      <c r="C291" s="262" t="s">
        <v>1316</v>
      </c>
      <c r="D291" s="497"/>
      <c r="E291" s="498">
        <v>15000</v>
      </c>
      <c r="F291" s="263"/>
      <c r="G291" s="265"/>
    </row>
    <row r="292" spans="1:7">
      <c r="A292" s="261" t="s">
        <v>8</v>
      </c>
      <c r="C292" s="262" t="s">
        <v>1388</v>
      </c>
      <c r="D292" s="497"/>
      <c r="E292" s="498">
        <v>35800</v>
      </c>
      <c r="F292" s="263"/>
      <c r="G292" s="265"/>
    </row>
    <row r="293" spans="1:7">
      <c r="A293" s="261" t="s">
        <v>8</v>
      </c>
      <c r="C293" s="262" t="s">
        <v>1389</v>
      </c>
      <c r="D293" s="498">
        <v>573670</v>
      </c>
      <c r="E293" s="497"/>
      <c r="F293" s="263"/>
      <c r="G293" s="265"/>
    </row>
    <row r="294" spans="1:7">
      <c r="A294" s="261" t="s">
        <v>8</v>
      </c>
      <c r="C294" s="262" t="s">
        <v>1300</v>
      </c>
      <c r="D294" s="498">
        <f>SUM(D253:D293)-SUM(E253:E293)</f>
        <v>1225415</v>
      </c>
      <c r="E294" s="497">
        <f>SUM(E253:E293)-SUM(F253:F293)</f>
        <v>3769200</v>
      </c>
      <c r="F294" s="263"/>
      <c r="G294" s="262"/>
    </row>
    <row r="295" spans="1:7">
      <c r="A295" s="261" t="s">
        <v>8</v>
      </c>
    </row>
    <row r="296" spans="1:7">
      <c r="A296" s="261" t="s">
        <v>8</v>
      </c>
    </row>
    <row r="297" spans="1:7">
      <c r="A297" s="261" t="s">
        <v>8</v>
      </c>
      <c r="B297" s="256" t="s">
        <v>2135</v>
      </c>
      <c r="C297" s="262" t="s">
        <v>1268</v>
      </c>
      <c r="D297" s="498">
        <f>5198345-573670</f>
        <v>4624675</v>
      </c>
      <c r="E297" s="497"/>
      <c r="F297" s="263"/>
      <c r="G297" s="262"/>
    </row>
    <row r="298" spans="1:7">
      <c r="A298" s="261" t="s">
        <v>8</v>
      </c>
      <c r="C298" s="262" t="s">
        <v>1269</v>
      </c>
      <c r="D298" s="497"/>
      <c r="E298" s="498">
        <v>393000</v>
      </c>
      <c r="F298" s="263"/>
      <c r="G298" s="262" t="s">
        <v>2136</v>
      </c>
    </row>
    <row r="299" spans="1:7">
      <c r="A299" s="261" t="s">
        <v>8</v>
      </c>
      <c r="C299" s="262" t="s">
        <v>1270</v>
      </c>
      <c r="D299" s="497"/>
      <c r="E299" s="498">
        <v>568000</v>
      </c>
      <c r="F299" s="263"/>
      <c r="G299" s="262"/>
    </row>
    <row r="300" spans="1:7">
      <c r="A300" s="261" t="s">
        <v>8</v>
      </c>
      <c r="C300" s="262" t="s">
        <v>1271</v>
      </c>
      <c r="D300" s="497"/>
      <c r="E300" s="498">
        <v>206650</v>
      </c>
      <c r="F300" s="263"/>
      <c r="G300" s="264"/>
    </row>
    <row r="301" spans="1:7">
      <c r="A301" s="261" t="s">
        <v>8</v>
      </c>
      <c r="C301" s="262" t="s">
        <v>1272</v>
      </c>
      <c r="D301" s="497"/>
      <c r="E301" s="498">
        <v>9060</v>
      </c>
      <c r="F301" s="263"/>
      <c r="G301" s="262"/>
    </row>
    <row r="302" spans="1:7">
      <c r="A302" s="261" t="s">
        <v>8</v>
      </c>
      <c r="C302" s="262" t="s">
        <v>1273</v>
      </c>
      <c r="D302" s="497"/>
      <c r="E302" s="498">
        <v>20980</v>
      </c>
      <c r="F302" s="263"/>
      <c r="G302" s="262"/>
    </row>
    <row r="303" spans="1:7">
      <c r="A303" s="261" t="s">
        <v>8</v>
      </c>
      <c r="C303" s="262" t="s">
        <v>1274</v>
      </c>
      <c r="D303" s="497"/>
      <c r="E303" s="498">
        <v>18550</v>
      </c>
      <c r="F303" s="263"/>
      <c r="G303" s="262"/>
    </row>
    <row r="304" spans="1:7">
      <c r="A304" s="261" t="s">
        <v>8</v>
      </c>
      <c r="C304" s="262" t="s">
        <v>1275</v>
      </c>
      <c r="D304" s="497"/>
      <c r="E304" s="498">
        <v>26450</v>
      </c>
      <c r="F304" s="263"/>
      <c r="G304" s="262"/>
    </row>
    <row r="305" spans="1:7">
      <c r="A305" s="261" t="s">
        <v>8</v>
      </c>
      <c r="C305" s="262" t="s">
        <v>1276</v>
      </c>
      <c r="D305" s="497"/>
      <c r="E305" s="498">
        <v>293290</v>
      </c>
      <c r="F305" s="263"/>
      <c r="G305" s="262"/>
    </row>
    <row r="306" spans="1:7">
      <c r="A306" s="261" t="s">
        <v>8</v>
      </c>
      <c r="C306" s="262" t="s">
        <v>1277</v>
      </c>
      <c r="D306" s="497"/>
      <c r="E306" s="498">
        <v>47220</v>
      </c>
      <c r="F306" s="263"/>
      <c r="G306" s="262"/>
    </row>
    <row r="307" spans="1:7">
      <c r="A307" s="261" t="s">
        <v>8</v>
      </c>
      <c r="C307" s="262" t="s">
        <v>1278</v>
      </c>
      <c r="D307" s="497"/>
      <c r="E307" s="498">
        <v>100000</v>
      </c>
      <c r="F307" s="263"/>
      <c r="G307" s="262"/>
    </row>
    <row r="308" spans="1:7">
      <c r="A308" s="261" t="s">
        <v>8</v>
      </c>
      <c r="C308" s="262" t="s">
        <v>1279</v>
      </c>
      <c r="D308" s="497"/>
      <c r="E308" s="499">
        <v>100000</v>
      </c>
      <c r="F308" s="263"/>
      <c r="G308" s="262"/>
    </row>
    <row r="309" spans="1:7">
      <c r="A309" s="261" t="s">
        <v>8</v>
      </c>
      <c r="C309" s="262" t="s">
        <v>1332</v>
      </c>
      <c r="D309" s="497"/>
      <c r="E309" s="498">
        <v>42630</v>
      </c>
      <c r="F309" s="263"/>
      <c r="G309" s="265"/>
    </row>
    <row r="310" spans="1:7">
      <c r="A310" s="261" t="s">
        <v>8</v>
      </c>
      <c r="C310" s="262" t="s">
        <v>1316</v>
      </c>
      <c r="D310" s="497"/>
      <c r="E310" s="498">
        <f>20400+16500+17000+30000</f>
        <v>83900</v>
      </c>
      <c r="F310" s="263"/>
      <c r="G310" s="265"/>
    </row>
    <row r="311" spans="1:7">
      <c r="A311" s="261" t="s">
        <v>8</v>
      </c>
      <c r="C311" s="262" t="s">
        <v>1371</v>
      </c>
      <c r="D311" s="497"/>
      <c r="E311" s="498">
        <v>4990</v>
      </c>
      <c r="F311" s="263"/>
      <c r="G311" s="265"/>
    </row>
    <row r="312" spans="1:7">
      <c r="A312" s="261" t="s">
        <v>8</v>
      </c>
      <c r="C312" s="262" t="s">
        <v>1390</v>
      </c>
      <c r="D312" s="497"/>
      <c r="E312" s="498">
        <f>64830+17820+75620+27890-17550+104070</f>
        <v>272680</v>
      </c>
      <c r="F312" s="263"/>
      <c r="G312" s="265"/>
    </row>
    <row r="313" spans="1:7">
      <c r="A313" s="261" t="s">
        <v>8</v>
      </c>
      <c r="C313" s="262" t="s">
        <v>1323</v>
      </c>
      <c r="D313" s="497"/>
      <c r="E313" s="498">
        <v>2400</v>
      </c>
      <c r="F313" s="263"/>
      <c r="G313" s="265"/>
    </row>
    <row r="314" spans="1:7">
      <c r="A314" s="261" t="s">
        <v>8</v>
      </c>
      <c r="C314" s="262" t="s">
        <v>1280</v>
      </c>
      <c r="D314" s="497"/>
      <c r="E314" s="498">
        <f>4000*1+50000*4</f>
        <v>204000</v>
      </c>
      <c r="F314" s="263"/>
      <c r="G314" s="265"/>
    </row>
    <row r="315" spans="1:7">
      <c r="A315" s="261" t="s">
        <v>8</v>
      </c>
      <c r="C315" s="262" t="s">
        <v>1297</v>
      </c>
      <c r="D315" s="497"/>
      <c r="E315" s="498">
        <v>16500</v>
      </c>
      <c r="F315" s="263"/>
      <c r="G315" s="265"/>
    </row>
    <row r="316" spans="1:7">
      <c r="A316" s="261" t="s">
        <v>8</v>
      </c>
      <c r="C316" s="262" t="s">
        <v>1391</v>
      </c>
      <c r="D316" s="497"/>
      <c r="E316" s="498">
        <v>10500</v>
      </c>
      <c r="F316" s="263"/>
      <c r="G316" s="265"/>
    </row>
    <row r="317" spans="1:7">
      <c r="A317" s="261" t="s">
        <v>8</v>
      </c>
      <c r="C317" s="262" t="s">
        <v>1284</v>
      </c>
      <c r="D317" s="497"/>
      <c r="E317" s="498">
        <f>21532+19620+31200+6580</f>
        <v>78932</v>
      </c>
      <c r="F317" s="263"/>
      <c r="G317" s="265"/>
    </row>
    <row r="318" spans="1:7">
      <c r="A318" s="261" t="s">
        <v>8</v>
      </c>
      <c r="C318" s="262" t="s">
        <v>1392</v>
      </c>
      <c r="D318" s="497"/>
      <c r="E318" s="498">
        <v>45000</v>
      </c>
      <c r="F318" s="263"/>
      <c r="G318" s="265"/>
    </row>
    <row r="319" spans="1:7">
      <c r="A319" s="261" t="s">
        <v>8</v>
      </c>
      <c r="C319" s="262" t="s">
        <v>1315</v>
      </c>
      <c r="D319" s="497"/>
      <c r="E319" s="498">
        <v>35000</v>
      </c>
      <c r="F319" s="263"/>
      <c r="G319" s="265"/>
    </row>
    <row r="320" spans="1:7">
      <c r="A320" s="261" t="s">
        <v>8</v>
      </c>
      <c r="C320" s="262" t="s">
        <v>1393</v>
      </c>
      <c r="D320" s="497"/>
      <c r="E320" s="498">
        <v>30000</v>
      </c>
      <c r="F320" s="263"/>
      <c r="G320" s="265"/>
    </row>
    <row r="321" spans="1:7">
      <c r="A321" s="261" t="s">
        <v>8</v>
      </c>
      <c r="C321" s="262" t="s">
        <v>1285</v>
      </c>
      <c r="D321" s="497"/>
      <c r="E321" s="498">
        <v>12450</v>
      </c>
      <c r="F321" s="263"/>
      <c r="G321" s="265"/>
    </row>
    <row r="322" spans="1:7">
      <c r="A322" s="261" t="s">
        <v>8</v>
      </c>
      <c r="C322" s="262" t="s">
        <v>1394</v>
      </c>
      <c r="D322" s="497"/>
      <c r="E322" s="498">
        <v>50000</v>
      </c>
      <c r="F322" s="263"/>
      <c r="G322" s="265"/>
    </row>
    <row r="323" spans="1:7">
      <c r="A323" s="261" t="s">
        <v>8</v>
      </c>
      <c r="C323" s="262" t="s">
        <v>1370</v>
      </c>
      <c r="D323" s="497"/>
      <c r="E323" s="498">
        <v>4000</v>
      </c>
      <c r="F323" s="263"/>
      <c r="G323" s="265"/>
    </row>
    <row r="324" spans="1:7">
      <c r="A324" s="261" t="s">
        <v>8</v>
      </c>
      <c r="C324" s="262" t="s">
        <v>1327</v>
      </c>
      <c r="D324" s="497"/>
      <c r="E324" s="498">
        <v>7500</v>
      </c>
      <c r="F324" s="263"/>
      <c r="G324" s="265"/>
    </row>
    <row r="325" spans="1:7">
      <c r="A325" s="261" t="s">
        <v>8</v>
      </c>
      <c r="C325" s="262" t="s">
        <v>1395</v>
      </c>
      <c r="D325" s="497"/>
      <c r="E325" s="498">
        <v>14000</v>
      </c>
      <c r="F325" s="263"/>
      <c r="G325" s="265"/>
    </row>
    <row r="326" spans="1:7">
      <c r="A326" s="261" t="s">
        <v>8</v>
      </c>
      <c r="C326" s="262" t="s">
        <v>1396</v>
      </c>
      <c r="D326" s="498">
        <v>566</v>
      </c>
      <c r="E326" s="497"/>
      <c r="F326" s="263"/>
      <c r="G326" s="265"/>
    </row>
    <row r="327" spans="1:7">
      <c r="A327" s="261" t="s">
        <v>8</v>
      </c>
      <c r="C327" s="262" t="s">
        <v>1300</v>
      </c>
      <c r="D327" s="497">
        <f>SUM(D297:D326)-SUM(E297:E326)</f>
        <v>1927559</v>
      </c>
      <c r="E327" s="497">
        <f>SUM(E297:E326)-SUM(F297:F326)</f>
        <v>2697682</v>
      </c>
      <c r="F327" s="263"/>
      <c r="G327" s="262"/>
    </row>
    <row r="328" spans="1:7">
      <c r="A328" s="261" t="s">
        <v>8</v>
      </c>
    </row>
    <row r="329" spans="1:7">
      <c r="A329" s="261" t="s">
        <v>8</v>
      </c>
    </row>
    <row r="330" spans="1:7">
      <c r="A330" s="261" t="s">
        <v>8</v>
      </c>
      <c r="B330" s="256" t="s">
        <v>2137</v>
      </c>
      <c r="C330" s="262" t="s">
        <v>1268</v>
      </c>
      <c r="D330" s="498">
        <v>4426795</v>
      </c>
      <c r="E330" s="497"/>
      <c r="F330" s="263"/>
      <c r="G330" s="262"/>
    </row>
    <row r="331" spans="1:7">
      <c r="A331" s="261" t="s">
        <v>8</v>
      </c>
      <c r="C331" s="262" t="s">
        <v>1269</v>
      </c>
      <c r="D331" s="497"/>
      <c r="E331" s="498">
        <v>379500</v>
      </c>
      <c r="F331" s="263"/>
      <c r="G331" s="262" t="s">
        <v>2138</v>
      </c>
    </row>
    <row r="332" spans="1:7">
      <c r="A332" s="261" t="s">
        <v>8</v>
      </c>
      <c r="C332" s="262" t="s">
        <v>1270</v>
      </c>
      <c r="D332" s="497"/>
      <c r="E332" s="498">
        <v>548000</v>
      </c>
      <c r="F332" s="263"/>
      <c r="G332" s="262"/>
    </row>
    <row r="333" spans="1:7">
      <c r="A333" s="261" t="s">
        <v>8</v>
      </c>
      <c r="C333" s="262" t="s">
        <v>1271</v>
      </c>
      <c r="D333" s="497"/>
      <c r="E333" s="498">
        <v>172260</v>
      </c>
      <c r="F333" s="263"/>
      <c r="G333" s="264"/>
    </row>
    <row r="334" spans="1:7">
      <c r="A334" s="261" t="s">
        <v>8</v>
      </c>
      <c r="C334" s="262" t="s">
        <v>1272</v>
      </c>
      <c r="D334" s="497"/>
      <c r="E334" s="498">
        <v>7180</v>
      </c>
      <c r="F334" s="263"/>
      <c r="G334" s="262"/>
    </row>
    <row r="335" spans="1:7">
      <c r="A335" s="261" t="s">
        <v>8</v>
      </c>
      <c r="C335" s="262" t="s">
        <v>1273</v>
      </c>
      <c r="D335" s="497"/>
      <c r="E335" s="498">
        <v>20980</v>
      </c>
      <c r="F335" s="263"/>
      <c r="G335" s="262"/>
    </row>
    <row r="336" spans="1:7">
      <c r="A336" s="261" t="s">
        <v>8</v>
      </c>
      <c r="C336" s="262" t="s">
        <v>1274</v>
      </c>
      <c r="D336" s="497"/>
      <c r="E336" s="498">
        <v>18550</v>
      </c>
      <c r="F336" s="263"/>
      <c r="G336" s="262"/>
    </row>
    <row r="337" spans="1:7">
      <c r="A337" s="261" t="s">
        <v>8</v>
      </c>
      <c r="C337" s="262" t="s">
        <v>1275</v>
      </c>
      <c r="D337" s="497"/>
      <c r="E337" s="498">
        <v>26450</v>
      </c>
      <c r="F337" s="263"/>
      <c r="G337" s="262"/>
    </row>
    <row r="338" spans="1:7">
      <c r="A338" s="261" t="s">
        <v>8</v>
      </c>
      <c r="C338" s="262" t="s">
        <v>1276</v>
      </c>
      <c r="D338" s="497"/>
      <c r="E338" s="498">
        <v>283090</v>
      </c>
      <c r="F338" s="263"/>
      <c r="G338" s="262"/>
    </row>
    <row r="339" spans="1:7">
      <c r="A339" s="261" t="s">
        <v>8</v>
      </c>
      <c r="C339" s="262" t="s">
        <v>1277</v>
      </c>
      <c r="D339" s="497"/>
      <c r="E339" s="498">
        <v>47430</v>
      </c>
      <c r="F339" s="263"/>
      <c r="G339" s="262"/>
    </row>
    <row r="340" spans="1:7">
      <c r="A340" s="261" t="s">
        <v>8</v>
      </c>
      <c r="C340" s="262" t="s">
        <v>1278</v>
      </c>
      <c r="D340" s="497"/>
      <c r="E340" s="498">
        <v>100000</v>
      </c>
      <c r="F340" s="263"/>
      <c r="G340" s="262"/>
    </row>
    <row r="341" spans="1:7">
      <c r="A341" s="261" t="s">
        <v>8</v>
      </c>
      <c r="C341" s="262" t="s">
        <v>1279</v>
      </c>
      <c r="D341" s="497"/>
      <c r="E341" s="499">
        <v>100000</v>
      </c>
      <c r="F341" s="263"/>
      <c r="G341" s="262"/>
    </row>
    <row r="342" spans="1:7">
      <c r="A342" s="261" t="s">
        <v>8</v>
      </c>
      <c r="C342" s="262" t="s">
        <v>1332</v>
      </c>
      <c r="D342" s="497"/>
      <c r="E342" s="498">
        <v>42630</v>
      </c>
      <c r="F342" s="263"/>
      <c r="G342" s="265"/>
    </row>
    <row r="343" spans="1:7">
      <c r="A343" s="261" t="s">
        <v>8</v>
      </c>
      <c r="C343" s="262" t="s">
        <v>1280</v>
      </c>
      <c r="D343" s="497"/>
      <c r="E343" s="498">
        <f>4000+50000*3</f>
        <v>154000</v>
      </c>
      <c r="F343" s="263"/>
      <c r="G343" s="265"/>
    </row>
    <row r="344" spans="1:7">
      <c r="A344" s="261" t="s">
        <v>8</v>
      </c>
      <c r="C344" s="262" t="s">
        <v>1397</v>
      </c>
      <c r="D344" s="497"/>
      <c r="E344" s="498">
        <v>18600</v>
      </c>
      <c r="F344" s="263"/>
      <c r="G344" s="265"/>
    </row>
    <row r="345" spans="1:7">
      <c r="A345" s="261" t="s">
        <v>8</v>
      </c>
      <c r="C345" s="262" t="s">
        <v>1398</v>
      </c>
      <c r="D345" s="497"/>
      <c r="E345" s="498">
        <v>34400</v>
      </c>
      <c r="F345" s="263"/>
      <c r="G345" s="265"/>
    </row>
    <row r="346" spans="1:7">
      <c r="A346" s="261" t="s">
        <v>8</v>
      </c>
      <c r="C346" s="262" t="s">
        <v>1327</v>
      </c>
      <c r="D346" s="497"/>
      <c r="E346" s="498">
        <v>7500</v>
      </c>
      <c r="F346" s="263"/>
      <c r="G346" s="265"/>
    </row>
    <row r="347" spans="1:7">
      <c r="A347" s="261" t="s">
        <v>8</v>
      </c>
      <c r="C347" s="262" t="s">
        <v>1326</v>
      </c>
      <c r="D347" s="497"/>
      <c r="E347" s="498">
        <v>13600</v>
      </c>
      <c r="F347" s="263"/>
      <c r="G347" s="265"/>
    </row>
    <row r="348" spans="1:7">
      <c r="A348" s="261" t="s">
        <v>8</v>
      </c>
      <c r="C348" s="262" t="s">
        <v>1399</v>
      </c>
      <c r="D348" s="497"/>
      <c r="E348" s="498">
        <v>8900</v>
      </c>
      <c r="F348" s="263"/>
      <c r="G348" s="265"/>
    </row>
    <row r="349" spans="1:7">
      <c r="A349" s="261" t="s">
        <v>8</v>
      </c>
      <c r="C349" s="262" t="s">
        <v>1400</v>
      </c>
      <c r="D349" s="497"/>
      <c r="E349" s="498">
        <v>5000</v>
      </c>
      <c r="F349" s="263"/>
      <c r="G349" s="265"/>
    </row>
    <row r="350" spans="1:7">
      <c r="A350" s="261" t="s">
        <v>8</v>
      </c>
      <c r="C350" s="262" t="s">
        <v>1401</v>
      </c>
      <c r="D350" s="497"/>
      <c r="E350" s="498">
        <v>21000</v>
      </c>
      <c r="F350" s="263"/>
      <c r="G350" s="265"/>
    </row>
    <row r="351" spans="1:7">
      <c r="A351" s="261" t="s">
        <v>8</v>
      </c>
      <c r="C351" s="262" t="s">
        <v>1315</v>
      </c>
      <c r="D351" s="497"/>
      <c r="E351" s="498">
        <f>20000+15000</f>
        <v>35000</v>
      </c>
      <c r="F351" s="263"/>
      <c r="G351" s="265"/>
    </row>
    <row r="352" spans="1:7">
      <c r="A352" s="261" t="s">
        <v>8</v>
      </c>
      <c r="C352" s="262" t="s">
        <v>1316</v>
      </c>
      <c r="D352" s="497"/>
      <c r="E352" s="498">
        <v>19000</v>
      </c>
      <c r="F352" s="263"/>
      <c r="G352" s="265"/>
    </row>
    <row r="353" spans="1:7">
      <c r="A353" s="261" t="s">
        <v>8</v>
      </c>
      <c r="C353" s="262" t="s">
        <v>1402</v>
      </c>
      <c r="D353" s="497"/>
      <c r="E353" s="498">
        <v>25000</v>
      </c>
      <c r="F353" s="263"/>
      <c r="G353" s="265"/>
    </row>
    <row r="354" spans="1:7">
      <c r="A354" s="261" t="s">
        <v>8</v>
      </c>
      <c r="C354" s="262" t="s">
        <v>1403</v>
      </c>
      <c r="D354" s="497"/>
      <c r="E354" s="498">
        <v>2300</v>
      </c>
      <c r="F354" s="263"/>
      <c r="G354" s="265"/>
    </row>
    <row r="355" spans="1:7">
      <c r="A355" s="261" t="s">
        <v>8</v>
      </c>
      <c r="C355" s="262" t="s">
        <v>1404</v>
      </c>
      <c r="D355" s="497"/>
      <c r="E355" s="498">
        <v>4500</v>
      </c>
      <c r="F355" s="263"/>
      <c r="G355" s="265"/>
    </row>
    <row r="356" spans="1:7">
      <c r="A356" s="261" t="s">
        <v>8</v>
      </c>
      <c r="C356" s="262" t="s">
        <v>1405</v>
      </c>
      <c r="D356" s="497"/>
      <c r="E356" s="498">
        <v>17000</v>
      </c>
      <c r="F356" s="263"/>
      <c r="G356" s="265"/>
    </row>
    <row r="357" spans="1:7">
      <c r="A357" s="261" t="s">
        <v>8</v>
      </c>
      <c r="C357" s="262" t="s">
        <v>1339</v>
      </c>
      <c r="D357" s="497"/>
      <c r="E357" s="498">
        <v>3200</v>
      </c>
      <c r="F357" s="263"/>
      <c r="G357" s="265"/>
    </row>
    <row r="358" spans="1:7">
      <c r="A358" s="261" t="s">
        <v>8</v>
      </c>
      <c r="C358" s="262" t="s">
        <v>1331</v>
      </c>
      <c r="D358" s="497"/>
      <c r="E358" s="498">
        <v>6900</v>
      </c>
      <c r="F358" s="263"/>
      <c r="G358" s="265"/>
    </row>
    <row r="359" spans="1:7">
      <c r="A359" s="261" t="s">
        <v>8</v>
      </c>
      <c r="C359" s="262" t="s">
        <v>1297</v>
      </c>
      <c r="D359" s="497"/>
      <c r="E359" s="498">
        <v>2000</v>
      </c>
      <c r="F359" s="263"/>
      <c r="G359" s="265"/>
    </row>
    <row r="360" spans="1:7">
      <c r="A360" s="261" t="s">
        <v>8</v>
      </c>
      <c r="C360" s="262" t="s">
        <v>1284</v>
      </c>
      <c r="D360" s="497"/>
      <c r="E360" s="498">
        <f>31240+28547+15680+40770</f>
        <v>116237</v>
      </c>
      <c r="F360" s="263"/>
      <c r="G360" s="265"/>
    </row>
    <row r="361" spans="1:7">
      <c r="A361" s="261" t="s">
        <v>8</v>
      </c>
      <c r="C361" s="262" t="s">
        <v>1406</v>
      </c>
      <c r="D361" s="497"/>
      <c r="E361" s="498">
        <v>2100</v>
      </c>
      <c r="F361" s="263"/>
      <c r="G361" s="265"/>
    </row>
    <row r="362" spans="1:7">
      <c r="A362" s="261" t="s">
        <v>8</v>
      </c>
      <c r="C362" s="262" t="s">
        <v>1407</v>
      </c>
      <c r="D362" s="497"/>
      <c r="E362" s="498">
        <v>73000</v>
      </c>
      <c r="F362" s="263"/>
      <c r="G362" s="265"/>
    </row>
    <row r="363" spans="1:7">
      <c r="A363" s="261" t="s">
        <v>8</v>
      </c>
      <c r="C363" s="262" t="s">
        <v>1367</v>
      </c>
      <c r="D363" s="497"/>
      <c r="E363" s="498">
        <v>7500</v>
      </c>
      <c r="F363" s="263"/>
      <c r="G363" s="265"/>
    </row>
    <row r="364" spans="1:7">
      <c r="A364" s="261" t="s">
        <v>8</v>
      </c>
      <c r="C364" s="262" t="s">
        <v>1408</v>
      </c>
      <c r="D364" s="497"/>
      <c r="E364" s="498">
        <v>1200</v>
      </c>
      <c r="F364" s="263"/>
      <c r="G364" s="265"/>
    </row>
    <row r="365" spans="1:7">
      <c r="A365" s="261" t="s">
        <v>8</v>
      </c>
      <c r="C365" s="262" t="s">
        <v>1409</v>
      </c>
      <c r="D365" s="497"/>
      <c r="E365" s="498">
        <v>59000</v>
      </c>
      <c r="F365" s="263"/>
      <c r="G365" s="265"/>
    </row>
    <row r="366" spans="1:7">
      <c r="A366" s="261" t="s">
        <v>8</v>
      </c>
      <c r="C366" s="262" t="s">
        <v>1410</v>
      </c>
      <c r="D366" s="497"/>
      <c r="E366" s="498">
        <v>13900</v>
      </c>
      <c r="F366" s="263"/>
      <c r="G366" s="265"/>
    </row>
    <row r="367" spans="1:7">
      <c r="A367" s="261" t="s">
        <v>8</v>
      </c>
      <c r="C367" s="262" t="s">
        <v>1290</v>
      </c>
      <c r="D367" s="497"/>
      <c r="E367" s="498">
        <v>50000</v>
      </c>
      <c r="F367" s="263"/>
      <c r="G367" s="265"/>
    </row>
    <row r="368" spans="1:7">
      <c r="A368" s="261" t="s">
        <v>8</v>
      </c>
      <c r="C368" s="262" t="s">
        <v>1411</v>
      </c>
      <c r="D368" s="497"/>
      <c r="E368" s="498">
        <v>50000</v>
      </c>
      <c r="F368" s="263"/>
      <c r="G368" s="265"/>
    </row>
    <row r="369" spans="1:7">
      <c r="A369" s="261" t="s">
        <v>8</v>
      </c>
      <c r="C369" s="262" t="s">
        <v>1412</v>
      </c>
      <c r="D369" s="497"/>
      <c r="E369" s="498">
        <v>7000</v>
      </c>
      <c r="F369" s="263"/>
      <c r="G369" s="265"/>
    </row>
    <row r="370" spans="1:7">
      <c r="A370" s="261" t="s">
        <v>8</v>
      </c>
      <c r="C370" s="262" t="s">
        <v>1302</v>
      </c>
      <c r="D370" s="497"/>
      <c r="E370" s="498">
        <v>18000</v>
      </c>
      <c r="F370" s="263"/>
      <c r="G370" s="265"/>
    </row>
    <row r="371" spans="1:7">
      <c r="A371" s="261" t="s">
        <v>8</v>
      </c>
      <c r="C371" s="262" t="s">
        <v>1413</v>
      </c>
      <c r="D371" s="497"/>
      <c r="E371" s="498">
        <v>1000000</v>
      </c>
      <c r="F371" s="263"/>
      <c r="G371" s="265"/>
    </row>
    <row r="372" spans="1:7">
      <c r="A372" s="261" t="s">
        <v>8</v>
      </c>
      <c r="C372" s="262" t="s">
        <v>1300</v>
      </c>
      <c r="D372" s="497">
        <f>SUM(D330:D371)-SUM(E330:E371)</f>
        <v>904888</v>
      </c>
      <c r="E372" s="497">
        <f>SUM(E330:E371)-SUM(F330:F371)</f>
        <v>3521907</v>
      </c>
      <c r="F372" s="263"/>
      <c r="G372" s="262"/>
    </row>
    <row r="373" spans="1:7">
      <c r="A373" s="261" t="s">
        <v>8</v>
      </c>
    </row>
    <row r="374" spans="1:7">
      <c r="A374" s="261" t="s">
        <v>8</v>
      </c>
    </row>
    <row r="375" spans="1:7">
      <c r="A375" s="261" t="s">
        <v>8</v>
      </c>
      <c r="B375" s="256" t="s">
        <v>2139</v>
      </c>
      <c r="C375" s="262" t="s">
        <v>1268</v>
      </c>
      <c r="D375" s="498">
        <v>5163647</v>
      </c>
      <c r="E375" s="497"/>
      <c r="F375" s="263"/>
      <c r="G375" s="262"/>
    </row>
    <row r="376" spans="1:7">
      <c r="A376" s="261" t="s">
        <v>8</v>
      </c>
      <c r="C376" s="262" t="s">
        <v>1269</v>
      </c>
      <c r="D376" s="497"/>
      <c r="E376" s="498">
        <v>411000</v>
      </c>
      <c r="F376" s="263"/>
      <c r="G376" s="262" t="s">
        <v>2140</v>
      </c>
    </row>
    <row r="377" spans="1:7">
      <c r="A377" s="261" t="s">
        <v>8</v>
      </c>
      <c r="C377" s="262" t="s">
        <v>1270</v>
      </c>
      <c r="D377" s="497"/>
      <c r="E377" s="498">
        <v>646000</v>
      </c>
      <c r="F377" s="263"/>
      <c r="G377" s="262"/>
    </row>
    <row r="378" spans="1:7">
      <c r="A378" s="261" t="s">
        <v>8</v>
      </c>
      <c r="C378" s="262" t="s">
        <v>1271</v>
      </c>
      <c r="D378" s="497"/>
      <c r="E378" s="498">
        <v>171460</v>
      </c>
      <c r="F378" s="263"/>
      <c r="G378" s="264"/>
    </row>
    <row r="379" spans="1:7">
      <c r="A379" s="261" t="s">
        <v>8</v>
      </c>
      <c r="C379" s="262" t="s">
        <v>1272</v>
      </c>
      <c r="D379" s="497"/>
      <c r="E379" s="498">
        <v>7180</v>
      </c>
      <c r="F379" s="263"/>
      <c r="G379" s="262"/>
    </row>
    <row r="380" spans="1:7">
      <c r="A380" s="261" t="s">
        <v>8</v>
      </c>
      <c r="C380" s="262" t="s">
        <v>1273</v>
      </c>
      <c r="D380" s="497"/>
      <c r="E380" s="498">
        <v>20980</v>
      </c>
      <c r="F380" s="263"/>
      <c r="G380" s="262"/>
    </row>
    <row r="381" spans="1:7">
      <c r="A381" s="261" t="s">
        <v>8</v>
      </c>
      <c r="C381" s="262" t="s">
        <v>1274</v>
      </c>
      <c r="D381" s="497"/>
      <c r="E381" s="498">
        <v>18550</v>
      </c>
      <c r="F381" s="263"/>
      <c r="G381" s="262"/>
    </row>
    <row r="382" spans="1:7">
      <c r="A382" s="261" t="s">
        <v>8</v>
      </c>
      <c r="C382" s="262" t="s">
        <v>1275</v>
      </c>
      <c r="D382" s="497"/>
      <c r="E382" s="498">
        <v>26450</v>
      </c>
      <c r="F382" s="263"/>
      <c r="G382" s="262"/>
    </row>
    <row r="383" spans="1:7">
      <c r="A383" s="261" t="s">
        <v>8</v>
      </c>
      <c r="C383" s="262" t="s">
        <v>1276</v>
      </c>
      <c r="D383" s="497"/>
      <c r="E383" s="498">
        <v>292180</v>
      </c>
      <c r="F383" s="263"/>
      <c r="G383" s="262"/>
    </row>
    <row r="384" spans="1:7">
      <c r="A384" s="261" t="s">
        <v>8</v>
      </c>
      <c r="C384" s="262" t="s">
        <v>1277</v>
      </c>
      <c r="D384" s="497"/>
      <c r="E384" s="498">
        <v>28710</v>
      </c>
      <c r="F384" s="263"/>
      <c r="G384" s="262"/>
    </row>
    <row r="385" spans="1:7">
      <c r="A385" s="261" t="s">
        <v>8</v>
      </c>
      <c r="C385" s="262" t="s">
        <v>1278</v>
      </c>
      <c r="D385" s="497"/>
      <c r="E385" s="498">
        <v>100000</v>
      </c>
      <c r="F385" s="263"/>
      <c r="G385" s="262"/>
    </row>
    <row r="386" spans="1:7">
      <c r="A386" s="261" t="s">
        <v>8</v>
      </c>
      <c r="C386" s="262" t="s">
        <v>1279</v>
      </c>
      <c r="D386" s="497"/>
      <c r="E386" s="499">
        <v>100000</v>
      </c>
      <c r="F386" s="263"/>
      <c r="G386" s="262"/>
    </row>
    <row r="387" spans="1:7">
      <c r="A387" s="261" t="s">
        <v>8</v>
      </c>
      <c r="C387" s="262" t="s">
        <v>1332</v>
      </c>
      <c r="D387" s="497"/>
      <c r="E387" s="498">
        <v>42630</v>
      </c>
      <c r="F387" s="263"/>
      <c r="G387" s="265"/>
    </row>
    <row r="388" spans="1:7">
      <c r="A388" s="261" t="s">
        <v>8</v>
      </c>
      <c r="C388" s="262" t="s">
        <v>1280</v>
      </c>
      <c r="D388" s="497"/>
      <c r="E388" s="498">
        <f>5000+50000*6</f>
        <v>305000</v>
      </c>
      <c r="F388" s="263"/>
      <c r="G388" s="265"/>
    </row>
    <row r="389" spans="1:7">
      <c r="A389" s="261" t="s">
        <v>8</v>
      </c>
      <c r="C389" s="262" t="s">
        <v>1302</v>
      </c>
      <c r="D389" s="497"/>
      <c r="E389" s="498">
        <v>30800</v>
      </c>
      <c r="F389" s="263"/>
      <c r="G389" s="265"/>
    </row>
    <row r="390" spans="1:7">
      <c r="A390" s="261" t="s">
        <v>8</v>
      </c>
      <c r="C390" s="262" t="s">
        <v>1284</v>
      </c>
      <c r="D390" s="497"/>
      <c r="E390" s="498">
        <f>45020+21490+8330+11110+5600</f>
        <v>91550</v>
      </c>
      <c r="F390" s="263"/>
      <c r="G390" s="265"/>
    </row>
    <row r="391" spans="1:7">
      <c r="A391" s="261" t="s">
        <v>8</v>
      </c>
      <c r="C391" s="262" t="s">
        <v>385</v>
      </c>
      <c r="D391" s="497"/>
      <c r="E391" s="498">
        <v>20500</v>
      </c>
      <c r="F391" s="263"/>
      <c r="G391" s="265"/>
    </row>
    <row r="392" spans="1:7">
      <c r="A392" s="261" t="s">
        <v>8</v>
      </c>
      <c r="C392" s="262" t="s">
        <v>1315</v>
      </c>
      <c r="D392" s="497"/>
      <c r="E392" s="498">
        <v>60000</v>
      </c>
      <c r="F392" s="263"/>
      <c r="G392" s="265"/>
    </row>
    <row r="393" spans="1:7">
      <c r="A393" s="261" t="s">
        <v>8</v>
      </c>
      <c r="C393" s="262" t="s">
        <v>1339</v>
      </c>
      <c r="D393" s="497"/>
      <c r="E393" s="498">
        <v>33300</v>
      </c>
      <c r="F393" s="263"/>
      <c r="G393" s="265"/>
    </row>
    <row r="394" spans="1:7">
      <c r="A394" s="261" t="s">
        <v>8</v>
      </c>
      <c r="C394" s="262" t="s">
        <v>1414</v>
      </c>
      <c r="D394" s="497"/>
      <c r="E394" s="498">
        <v>51000</v>
      </c>
      <c r="F394" s="263"/>
      <c r="G394" s="265"/>
    </row>
    <row r="395" spans="1:7">
      <c r="A395" s="261" t="s">
        <v>8</v>
      </c>
      <c r="C395" s="262" t="s">
        <v>1415</v>
      </c>
      <c r="D395" s="497"/>
      <c r="E395" s="498">
        <v>81430</v>
      </c>
      <c r="F395" s="263"/>
      <c r="G395" s="265"/>
    </row>
    <row r="396" spans="1:7">
      <c r="A396" s="261" t="s">
        <v>8</v>
      </c>
      <c r="C396" s="262" t="s">
        <v>1416</v>
      </c>
      <c r="D396" s="497"/>
      <c r="E396" s="498">
        <v>39000</v>
      </c>
      <c r="F396" s="263"/>
      <c r="G396" s="265"/>
    </row>
    <row r="397" spans="1:7">
      <c r="A397" s="261" t="s">
        <v>8</v>
      </c>
      <c r="C397" s="262" t="s">
        <v>1417</v>
      </c>
      <c r="D397" s="497"/>
      <c r="E397" s="498">
        <v>5000</v>
      </c>
      <c r="F397" s="263"/>
      <c r="G397" s="265"/>
    </row>
    <row r="398" spans="1:7">
      <c r="A398" s="261" t="s">
        <v>8</v>
      </c>
      <c r="C398" s="262" t="s">
        <v>1418</v>
      </c>
      <c r="D398" s="497"/>
      <c r="E398" s="498">
        <v>47300</v>
      </c>
      <c r="F398" s="263"/>
      <c r="G398" s="265"/>
    </row>
    <row r="399" spans="1:7">
      <c r="A399" s="261" t="s">
        <v>8</v>
      </c>
      <c r="C399" s="262" t="s">
        <v>1419</v>
      </c>
      <c r="D399" s="497"/>
      <c r="E399" s="498">
        <v>8500</v>
      </c>
      <c r="F399" s="263"/>
      <c r="G399" s="265"/>
    </row>
    <row r="400" spans="1:7">
      <c r="A400" s="261" t="s">
        <v>8</v>
      </c>
      <c r="C400" s="262" t="s">
        <v>1302</v>
      </c>
      <c r="D400" s="497"/>
      <c r="E400" s="498">
        <v>44500</v>
      </c>
      <c r="F400" s="263"/>
      <c r="G400" s="265"/>
    </row>
    <row r="401" spans="1:7">
      <c r="A401" s="261" t="s">
        <v>8</v>
      </c>
      <c r="C401" s="262" t="s">
        <v>1420</v>
      </c>
      <c r="D401" s="497"/>
      <c r="E401" s="498">
        <v>1000</v>
      </c>
      <c r="F401" s="263"/>
      <c r="G401" s="265"/>
    </row>
    <row r="402" spans="1:7">
      <c r="A402" s="261" t="s">
        <v>8</v>
      </c>
      <c r="C402" s="262" t="s">
        <v>1341</v>
      </c>
      <c r="D402" s="497"/>
      <c r="E402" s="498">
        <v>3200</v>
      </c>
      <c r="F402" s="263"/>
      <c r="G402" s="265"/>
    </row>
    <row r="403" spans="1:7">
      <c r="A403" s="261" t="s">
        <v>8</v>
      </c>
      <c r="C403" s="262" t="s">
        <v>1338</v>
      </c>
      <c r="D403" s="497"/>
      <c r="E403" s="498">
        <v>2300</v>
      </c>
      <c r="F403" s="263"/>
      <c r="G403" s="265"/>
    </row>
    <row r="404" spans="1:7">
      <c r="A404" s="261" t="s">
        <v>8</v>
      </c>
      <c r="C404" s="262" t="s">
        <v>1421</v>
      </c>
      <c r="D404" s="497"/>
      <c r="E404" s="498">
        <v>69000</v>
      </c>
      <c r="F404" s="263"/>
      <c r="G404" s="265"/>
    </row>
    <row r="405" spans="1:7">
      <c r="A405" s="261" t="s">
        <v>8</v>
      </c>
      <c r="C405" s="262" t="s">
        <v>1422</v>
      </c>
      <c r="D405" s="497"/>
      <c r="E405" s="498">
        <v>48000</v>
      </c>
      <c r="F405" s="263"/>
      <c r="G405" s="265"/>
    </row>
    <row r="406" spans="1:7">
      <c r="A406" s="261" t="s">
        <v>8</v>
      </c>
      <c r="C406" s="262" t="s">
        <v>1423</v>
      </c>
      <c r="D406" s="497"/>
      <c r="E406" s="498">
        <v>8500</v>
      </c>
      <c r="F406" s="263"/>
      <c r="G406" s="265"/>
    </row>
    <row r="407" spans="1:7">
      <c r="A407" s="261" t="s">
        <v>8</v>
      </c>
      <c r="C407" s="262" t="s">
        <v>1424</v>
      </c>
      <c r="D407" s="497"/>
      <c r="E407" s="498">
        <v>300000</v>
      </c>
      <c r="F407" s="263"/>
      <c r="G407" s="265"/>
    </row>
    <row r="408" spans="1:7">
      <c r="A408" s="261" t="s">
        <v>8</v>
      </c>
      <c r="C408" s="262" t="s">
        <v>1425</v>
      </c>
      <c r="D408" s="497"/>
      <c r="E408" s="498">
        <v>300000</v>
      </c>
      <c r="F408" s="263"/>
      <c r="G408" s="265"/>
    </row>
    <row r="409" spans="1:7">
      <c r="A409" s="261" t="s">
        <v>8</v>
      </c>
      <c r="C409" s="262" t="s">
        <v>1426</v>
      </c>
      <c r="D409" s="497"/>
      <c r="E409" s="498">
        <v>15000</v>
      </c>
      <c r="F409" s="263"/>
      <c r="G409" s="265"/>
    </row>
    <row r="410" spans="1:7">
      <c r="A410" s="261" t="s">
        <v>8</v>
      </c>
      <c r="C410" s="262" t="s">
        <v>1427</v>
      </c>
      <c r="D410" s="497"/>
      <c r="E410" s="498">
        <v>1000000</v>
      </c>
      <c r="F410" s="263"/>
      <c r="G410" s="265"/>
    </row>
    <row r="411" spans="1:7">
      <c r="A411" s="261" t="s">
        <v>8</v>
      </c>
      <c r="C411" s="262" t="s">
        <v>1428</v>
      </c>
      <c r="D411" s="497"/>
      <c r="E411" s="498">
        <v>109000</v>
      </c>
      <c r="F411" s="263"/>
      <c r="G411" s="265"/>
    </row>
    <row r="412" spans="1:7">
      <c r="A412" s="261" t="s">
        <v>8</v>
      </c>
      <c r="C412" s="262" t="s">
        <v>1429</v>
      </c>
      <c r="D412" s="497"/>
      <c r="E412" s="498">
        <v>74700</v>
      </c>
      <c r="F412" s="263"/>
      <c r="G412" s="265"/>
    </row>
    <row r="413" spans="1:7">
      <c r="A413" s="261" t="s">
        <v>8</v>
      </c>
      <c r="C413" s="262" t="s">
        <v>1430</v>
      </c>
      <c r="D413" s="497"/>
      <c r="E413" s="498">
        <v>54000</v>
      </c>
      <c r="F413" s="263"/>
      <c r="G413" s="265"/>
    </row>
    <row r="414" spans="1:7">
      <c r="A414" s="261" t="s">
        <v>8</v>
      </c>
      <c r="C414" s="262" t="s">
        <v>1431</v>
      </c>
      <c r="D414" s="497"/>
      <c r="E414" s="498">
        <v>17900</v>
      </c>
      <c r="F414" s="263"/>
      <c r="G414" s="265"/>
    </row>
    <row r="415" spans="1:7">
      <c r="A415" s="261" t="s">
        <v>8</v>
      </c>
      <c r="C415" s="262" t="s">
        <v>1432</v>
      </c>
      <c r="D415" s="497"/>
      <c r="E415" s="498">
        <v>150000</v>
      </c>
      <c r="F415" s="263"/>
      <c r="G415" s="265"/>
    </row>
    <row r="416" spans="1:7">
      <c r="A416" s="261" t="s">
        <v>8</v>
      </c>
      <c r="C416" s="262" t="s">
        <v>1289</v>
      </c>
      <c r="D416" s="497"/>
      <c r="E416" s="498">
        <v>10600</v>
      </c>
      <c r="F416" s="263"/>
      <c r="G416" s="265"/>
    </row>
    <row r="417" spans="1:7">
      <c r="A417" s="261" t="s">
        <v>8</v>
      </c>
      <c r="C417" s="262" t="s">
        <v>1433</v>
      </c>
      <c r="D417" s="497"/>
      <c r="E417" s="498">
        <v>3000</v>
      </c>
      <c r="F417" s="263"/>
      <c r="G417" s="265"/>
    </row>
    <row r="418" spans="1:7">
      <c r="A418" s="261" t="s">
        <v>8</v>
      </c>
      <c r="C418" s="262" t="s">
        <v>1287</v>
      </c>
      <c r="D418" s="497"/>
      <c r="E418" s="498">
        <v>24000</v>
      </c>
      <c r="F418" s="263"/>
      <c r="G418" s="265"/>
    </row>
    <row r="419" spans="1:7">
      <c r="A419" s="261" t="s">
        <v>8</v>
      </c>
      <c r="C419" s="262" t="s">
        <v>1434</v>
      </c>
      <c r="D419" s="497"/>
      <c r="E419" s="498">
        <v>8200</v>
      </c>
      <c r="F419" s="263"/>
      <c r="G419" s="265"/>
    </row>
    <row r="420" spans="1:7">
      <c r="A420" s="261" t="s">
        <v>8</v>
      </c>
      <c r="C420" s="262" t="s">
        <v>1326</v>
      </c>
      <c r="D420" s="497"/>
      <c r="E420" s="498">
        <v>22000</v>
      </c>
      <c r="F420" s="263"/>
      <c r="G420" s="265"/>
    </row>
    <row r="421" spans="1:7">
      <c r="A421" s="261" t="s">
        <v>8</v>
      </c>
      <c r="C421" s="262" t="s">
        <v>1435</v>
      </c>
      <c r="D421" s="497"/>
      <c r="E421" s="498">
        <v>24900</v>
      </c>
      <c r="F421" s="263"/>
      <c r="G421" s="265"/>
    </row>
    <row r="422" spans="1:7">
      <c r="A422" s="261" t="s">
        <v>8</v>
      </c>
      <c r="C422" s="262" t="s">
        <v>1413</v>
      </c>
      <c r="D422" s="497"/>
      <c r="E422" s="498">
        <v>1000000</v>
      </c>
      <c r="F422" s="263"/>
      <c r="G422" s="265"/>
    </row>
    <row r="423" spans="1:7">
      <c r="A423" s="261" t="s">
        <v>8</v>
      </c>
      <c r="C423" s="262" t="s">
        <v>1300</v>
      </c>
      <c r="D423" s="497">
        <f>SUM(D375:D422)-SUM(E375:E422)</f>
        <v>-764673</v>
      </c>
      <c r="E423" s="497">
        <f>SUM(E375:E422)-SUM(F375:F422)</f>
        <v>5928320</v>
      </c>
      <c r="F423" s="263"/>
      <c r="G423" s="262"/>
    </row>
    <row r="424" spans="1:7">
      <c r="A424" s="261" t="s">
        <v>8</v>
      </c>
    </row>
    <row r="425" spans="1:7">
      <c r="A425" s="261" t="s">
        <v>8</v>
      </c>
    </row>
    <row r="426" spans="1:7">
      <c r="A426" s="261" t="s">
        <v>8</v>
      </c>
      <c r="B426" s="256" t="s">
        <v>2141</v>
      </c>
      <c r="C426" s="262" t="s">
        <v>1268</v>
      </c>
      <c r="D426" s="498">
        <v>4607930</v>
      </c>
      <c r="E426" s="497"/>
      <c r="F426" s="263"/>
      <c r="G426" s="262"/>
    </row>
    <row r="427" spans="1:7">
      <c r="A427" s="261" t="s">
        <v>8</v>
      </c>
      <c r="C427" s="262" t="s">
        <v>1269</v>
      </c>
      <c r="D427" s="497"/>
      <c r="E427" s="498">
        <f>384000-27600</f>
        <v>356400</v>
      </c>
      <c r="F427" s="263"/>
      <c r="G427" s="262" t="s">
        <v>2142</v>
      </c>
    </row>
    <row r="428" spans="1:7">
      <c r="A428" s="261" t="s">
        <v>8</v>
      </c>
      <c r="C428" s="262" t="s">
        <v>1270</v>
      </c>
      <c r="D428" s="497"/>
      <c r="E428" s="498">
        <v>592000</v>
      </c>
      <c r="F428" s="263"/>
      <c r="G428" s="262"/>
    </row>
    <row r="429" spans="1:7">
      <c r="A429" s="261" t="s">
        <v>8</v>
      </c>
      <c r="C429" s="262" t="s">
        <v>1271</v>
      </c>
      <c r="D429" s="497"/>
      <c r="E429" s="498">
        <v>170560</v>
      </c>
      <c r="F429" s="263"/>
      <c r="G429" s="264"/>
    </row>
    <row r="430" spans="1:7">
      <c r="A430" s="261" t="s">
        <v>8</v>
      </c>
      <c r="C430" s="262" t="s">
        <v>1272</v>
      </c>
      <c r="D430" s="497"/>
      <c r="E430" s="498">
        <v>7180</v>
      </c>
      <c r="F430" s="263"/>
      <c r="G430" s="262"/>
    </row>
    <row r="431" spans="1:7">
      <c r="A431" s="261" t="s">
        <v>8</v>
      </c>
      <c r="C431" s="262" t="s">
        <v>1273</v>
      </c>
      <c r="D431" s="497"/>
      <c r="E431" s="498">
        <v>20980</v>
      </c>
      <c r="F431" s="263"/>
      <c r="G431" s="262"/>
    </row>
    <row r="432" spans="1:7">
      <c r="A432" s="261" t="s">
        <v>8</v>
      </c>
      <c r="C432" s="262" t="s">
        <v>1274</v>
      </c>
      <c r="D432" s="497"/>
      <c r="E432" s="498">
        <v>18550</v>
      </c>
      <c r="F432" s="263"/>
      <c r="G432" s="262"/>
    </row>
    <row r="433" spans="1:7">
      <c r="A433" s="261" t="s">
        <v>8</v>
      </c>
      <c r="C433" s="262" t="s">
        <v>1275</v>
      </c>
      <c r="D433" s="497"/>
      <c r="E433" s="498">
        <v>26450</v>
      </c>
      <c r="F433" s="263"/>
      <c r="G433" s="262"/>
    </row>
    <row r="434" spans="1:7">
      <c r="A434" s="261" t="s">
        <v>8</v>
      </c>
      <c r="C434" s="262" t="s">
        <v>1276</v>
      </c>
      <c r="D434" s="497"/>
      <c r="E434" s="498">
        <v>290130</v>
      </c>
      <c r="F434" s="263"/>
      <c r="G434" s="262"/>
    </row>
    <row r="435" spans="1:7">
      <c r="A435" s="261" t="s">
        <v>8</v>
      </c>
      <c r="C435" s="262" t="s">
        <v>1277</v>
      </c>
      <c r="D435" s="497"/>
      <c r="E435" s="498">
        <v>17740</v>
      </c>
      <c r="F435" s="263"/>
      <c r="G435" s="262"/>
    </row>
    <row r="436" spans="1:7">
      <c r="A436" s="261" t="s">
        <v>8</v>
      </c>
      <c r="C436" s="262" t="s">
        <v>1278</v>
      </c>
      <c r="D436" s="497"/>
      <c r="E436" s="498">
        <v>100000</v>
      </c>
      <c r="F436" s="263"/>
      <c r="G436" s="262"/>
    </row>
    <row r="437" spans="1:7">
      <c r="A437" s="261" t="s">
        <v>8</v>
      </c>
      <c r="C437" s="262" t="s">
        <v>1279</v>
      </c>
      <c r="D437" s="497"/>
      <c r="E437" s="499">
        <v>100000</v>
      </c>
      <c r="F437" s="263"/>
      <c r="G437" s="262"/>
    </row>
    <row r="438" spans="1:7">
      <c r="A438" s="261" t="s">
        <v>8</v>
      </c>
      <c r="C438" s="262" t="s">
        <v>1332</v>
      </c>
      <c r="D438" s="497"/>
      <c r="E438" s="498">
        <v>42630</v>
      </c>
      <c r="F438" s="263"/>
      <c r="G438" s="265"/>
    </row>
    <row r="439" spans="1:7">
      <c r="A439" s="261" t="s">
        <v>8</v>
      </c>
      <c r="C439" s="262" t="s">
        <v>1280</v>
      </c>
      <c r="D439" s="497"/>
      <c r="E439" s="498">
        <f>5000+50000*6</f>
        <v>305000</v>
      </c>
      <c r="F439" s="263"/>
      <c r="G439" s="265"/>
    </row>
    <row r="440" spans="1:7">
      <c r="A440" s="261" t="s">
        <v>8</v>
      </c>
      <c r="C440" s="262" t="s">
        <v>1436</v>
      </c>
      <c r="D440" s="497"/>
      <c r="E440" s="498">
        <v>72100</v>
      </c>
      <c r="F440" s="263"/>
      <c r="G440" s="265"/>
    </row>
    <row r="441" spans="1:7">
      <c r="A441" s="261" t="s">
        <v>8</v>
      </c>
      <c r="C441" s="262" t="s">
        <v>1437</v>
      </c>
      <c r="D441" s="497"/>
      <c r="E441" s="498">
        <v>10000</v>
      </c>
      <c r="F441" s="263"/>
      <c r="G441" s="265"/>
    </row>
    <row r="442" spans="1:7">
      <c r="A442" s="261" t="s">
        <v>8</v>
      </c>
      <c r="C442" s="262" t="s">
        <v>1438</v>
      </c>
      <c r="D442" s="497"/>
      <c r="E442" s="498">
        <v>38000</v>
      </c>
      <c r="F442" s="263"/>
      <c r="G442" s="265"/>
    </row>
    <row r="443" spans="1:7">
      <c r="A443" s="261" t="s">
        <v>8</v>
      </c>
      <c r="C443" s="262" t="s">
        <v>1284</v>
      </c>
      <c r="D443" s="497"/>
      <c r="E443" s="498">
        <f>24400+15030+26880</f>
        <v>66310</v>
      </c>
      <c r="F443" s="263"/>
      <c r="G443" s="265"/>
    </row>
    <row r="444" spans="1:7">
      <c r="A444" s="261" t="s">
        <v>8</v>
      </c>
      <c r="C444" s="262" t="s">
        <v>1439</v>
      </c>
      <c r="D444" s="497"/>
      <c r="E444" s="498">
        <f>19500+20500</f>
        <v>40000</v>
      </c>
      <c r="F444" s="263"/>
      <c r="G444" s="265"/>
    </row>
    <row r="445" spans="1:7">
      <c r="A445" s="261" t="s">
        <v>8</v>
      </c>
      <c r="C445" s="262" t="s">
        <v>1440</v>
      </c>
      <c r="D445" s="497"/>
      <c r="E445" s="498">
        <v>4000</v>
      </c>
      <c r="F445" s="263"/>
      <c r="G445" s="265"/>
    </row>
    <row r="446" spans="1:7">
      <c r="A446" s="261" t="s">
        <v>8</v>
      </c>
      <c r="C446" s="262" t="s">
        <v>1327</v>
      </c>
      <c r="D446" s="497"/>
      <c r="E446" s="498">
        <v>7500</v>
      </c>
      <c r="F446" s="263"/>
      <c r="G446" s="265"/>
    </row>
    <row r="447" spans="1:7">
      <c r="A447" s="261" t="s">
        <v>8</v>
      </c>
      <c r="C447" s="262" t="s">
        <v>1315</v>
      </c>
      <c r="D447" s="497"/>
      <c r="E447" s="498">
        <v>30000</v>
      </c>
      <c r="F447" s="263"/>
      <c r="G447" s="265"/>
    </row>
    <row r="448" spans="1:7">
      <c r="A448" s="261" t="s">
        <v>8</v>
      </c>
      <c r="C448" s="262" t="s">
        <v>1441</v>
      </c>
      <c r="D448" s="497"/>
      <c r="E448" s="498">
        <v>13800</v>
      </c>
      <c r="F448" s="263"/>
      <c r="G448" s="265"/>
    </row>
    <row r="449" spans="1:7">
      <c r="A449" s="261" t="s">
        <v>8</v>
      </c>
      <c r="C449" s="262" t="s">
        <v>1442</v>
      </c>
      <c r="D449" s="497"/>
      <c r="E449" s="498">
        <v>184670</v>
      </c>
      <c r="F449" s="263"/>
      <c r="G449" s="265"/>
    </row>
    <row r="450" spans="1:7">
      <c r="A450" s="261" t="s">
        <v>8</v>
      </c>
      <c r="C450" s="262" t="s">
        <v>1443</v>
      </c>
      <c r="D450" s="497"/>
      <c r="E450" s="498">
        <v>27800</v>
      </c>
      <c r="F450" s="263"/>
      <c r="G450" s="265"/>
    </row>
    <row r="451" spans="1:7">
      <c r="A451" s="261" t="s">
        <v>8</v>
      </c>
      <c r="C451" s="262" t="s">
        <v>1444</v>
      </c>
      <c r="D451" s="497"/>
      <c r="E451" s="498">
        <v>21000</v>
      </c>
      <c r="F451" s="263"/>
      <c r="G451" s="265"/>
    </row>
    <row r="452" spans="1:7">
      <c r="A452" s="261" t="s">
        <v>8</v>
      </c>
      <c r="C452" s="262" t="s">
        <v>1285</v>
      </c>
      <c r="D452" s="497"/>
      <c r="E452" s="498">
        <v>28960</v>
      </c>
      <c r="F452" s="263"/>
      <c r="G452" s="265"/>
    </row>
    <row r="453" spans="1:7">
      <c r="A453" s="261" t="s">
        <v>8</v>
      </c>
      <c r="C453" s="262" t="s">
        <v>1445</v>
      </c>
      <c r="D453" s="497"/>
      <c r="E453" s="498">
        <v>15000</v>
      </c>
      <c r="F453" s="263"/>
      <c r="G453" s="265"/>
    </row>
    <row r="454" spans="1:7">
      <c r="A454" s="261" t="s">
        <v>8</v>
      </c>
      <c r="C454" s="262" t="s">
        <v>1446</v>
      </c>
      <c r="D454" s="497"/>
      <c r="E454" s="498">
        <v>13300</v>
      </c>
      <c r="F454" s="263"/>
      <c r="G454" s="265"/>
    </row>
    <row r="455" spans="1:7">
      <c r="A455" s="261" t="s">
        <v>8</v>
      </c>
      <c r="C455" s="262" t="s">
        <v>1302</v>
      </c>
      <c r="D455" s="497"/>
      <c r="E455" s="498">
        <f>23000*2</f>
        <v>46000</v>
      </c>
      <c r="F455" s="263"/>
      <c r="G455" s="265"/>
    </row>
    <row r="456" spans="1:7">
      <c r="A456" s="261" t="s">
        <v>8</v>
      </c>
      <c r="C456" s="262" t="s">
        <v>1447</v>
      </c>
      <c r="D456" s="497"/>
      <c r="E456" s="498">
        <v>54000</v>
      </c>
      <c r="F456" s="263"/>
      <c r="G456" s="265"/>
    </row>
    <row r="457" spans="1:7">
      <c r="A457" s="261" t="s">
        <v>8</v>
      </c>
      <c r="C457" s="262" t="s">
        <v>1448</v>
      </c>
      <c r="D457" s="497"/>
      <c r="E457" s="498">
        <v>40000</v>
      </c>
      <c r="F457" s="263"/>
      <c r="G457" s="265"/>
    </row>
    <row r="458" spans="1:7">
      <c r="A458" s="261" t="s">
        <v>8</v>
      </c>
      <c r="C458" s="262" t="s">
        <v>1449</v>
      </c>
      <c r="D458" s="497"/>
      <c r="E458" s="498">
        <v>53000</v>
      </c>
      <c r="F458" s="263"/>
      <c r="G458" s="265"/>
    </row>
    <row r="459" spans="1:7">
      <c r="A459" s="261" t="s">
        <v>8</v>
      </c>
      <c r="C459" s="262" t="s">
        <v>1367</v>
      </c>
      <c r="D459" s="497"/>
      <c r="E459" s="498">
        <v>4000</v>
      </c>
      <c r="F459" s="263"/>
      <c r="G459" s="265"/>
    </row>
    <row r="460" spans="1:7">
      <c r="A460" s="261" t="s">
        <v>8</v>
      </c>
      <c r="C460" s="262" t="s">
        <v>1339</v>
      </c>
      <c r="D460" s="497"/>
      <c r="E460" s="498">
        <v>6300</v>
      </c>
      <c r="F460" s="263"/>
      <c r="G460" s="265"/>
    </row>
    <row r="461" spans="1:7">
      <c r="A461" s="261" t="s">
        <v>8</v>
      </c>
      <c r="C461" s="262" t="s">
        <v>1328</v>
      </c>
      <c r="D461" s="497"/>
      <c r="E461" s="498">
        <v>31000</v>
      </c>
      <c r="F461" s="263"/>
      <c r="G461" s="265"/>
    </row>
    <row r="462" spans="1:7">
      <c r="A462" s="261" t="s">
        <v>8</v>
      </c>
      <c r="C462" s="262" t="s">
        <v>1450</v>
      </c>
      <c r="D462" s="497"/>
      <c r="E462" s="498">
        <v>19000</v>
      </c>
      <c r="F462" s="263"/>
      <c r="G462" s="265"/>
    </row>
    <row r="463" spans="1:7">
      <c r="A463" s="261" t="s">
        <v>8</v>
      </c>
      <c r="C463" s="262" t="s">
        <v>1451</v>
      </c>
      <c r="D463" s="497"/>
      <c r="E463" s="498">
        <v>10000</v>
      </c>
      <c r="F463" s="263"/>
      <c r="G463" s="265"/>
    </row>
    <row r="464" spans="1:7">
      <c r="A464" s="261" t="s">
        <v>8</v>
      </c>
      <c r="C464" s="262" t="s">
        <v>1372</v>
      </c>
      <c r="D464" s="497"/>
      <c r="E464" s="498">
        <v>2000</v>
      </c>
      <c r="F464" s="263"/>
      <c r="G464" s="265"/>
    </row>
    <row r="465" spans="1:7">
      <c r="A465" s="261" t="s">
        <v>8</v>
      </c>
      <c r="C465" s="262" t="s">
        <v>1396</v>
      </c>
      <c r="D465" s="498">
        <v>1058</v>
      </c>
      <c r="E465" s="497"/>
      <c r="F465" s="263"/>
      <c r="G465" s="265"/>
    </row>
    <row r="466" spans="1:7">
      <c r="A466" s="261" t="s">
        <v>8</v>
      </c>
      <c r="C466" s="262" t="s">
        <v>1357</v>
      </c>
      <c r="D466" s="497"/>
      <c r="E466" s="498">
        <v>129870</v>
      </c>
      <c r="F466" s="263"/>
      <c r="G466" s="265"/>
    </row>
    <row r="467" spans="1:7">
      <c r="A467" s="261" t="s">
        <v>8</v>
      </c>
      <c r="C467" s="262" t="s">
        <v>1452</v>
      </c>
      <c r="D467" s="497"/>
      <c r="E467" s="498">
        <v>40000</v>
      </c>
      <c r="F467" s="263"/>
      <c r="G467" s="265"/>
    </row>
    <row r="468" spans="1:7">
      <c r="A468" s="261" t="s">
        <v>8</v>
      </c>
      <c r="C468" s="262" t="s">
        <v>1453</v>
      </c>
      <c r="D468" s="497"/>
      <c r="E468" s="498">
        <v>27600</v>
      </c>
      <c r="F468" s="263"/>
      <c r="G468" s="265"/>
    </row>
    <row r="469" spans="1:7">
      <c r="A469" s="261" t="s">
        <v>8</v>
      </c>
      <c r="C469" s="262" t="s">
        <v>1413</v>
      </c>
      <c r="D469" s="497"/>
      <c r="E469" s="498">
        <v>1000000</v>
      </c>
      <c r="F469" s="263"/>
      <c r="G469" s="265"/>
    </row>
    <row r="470" spans="1:7">
      <c r="A470" s="261" t="s">
        <v>8</v>
      </c>
      <c r="C470" s="262" t="s">
        <v>1300</v>
      </c>
      <c r="D470" s="497">
        <f>SUM(D426:D469)-SUM(E426:E469)</f>
        <v>526158</v>
      </c>
      <c r="E470" s="497">
        <f>SUM(E426:E469)-SUM(F426:F469)</f>
        <v>4082830</v>
      </c>
      <c r="F470" s="263"/>
      <c r="G470" s="262"/>
    </row>
    <row r="471" spans="1:7">
      <c r="A471" s="261" t="s">
        <v>8</v>
      </c>
    </row>
    <row r="472" spans="1:7">
      <c r="A472" s="261" t="s">
        <v>8</v>
      </c>
    </row>
    <row r="473" spans="1:7">
      <c r="A473" s="261" t="s">
        <v>8</v>
      </c>
      <c r="B473" s="256" t="s">
        <v>2143</v>
      </c>
      <c r="C473" s="262" t="s">
        <v>1268</v>
      </c>
      <c r="D473" s="498">
        <v>4619080</v>
      </c>
      <c r="E473" s="497"/>
      <c r="F473" s="263"/>
      <c r="G473" s="262"/>
    </row>
    <row r="474" spans="1:7">
      <c r="A474" s="261" t="s">
        <v>8</v>
      </c>
      <c r="C474" s="262" t="s">
        <v>1269</v>
      </c>
      <c r="D474" s="497"/>
      <c r="E474" s="498">
        <f>369000</f>
        <v>369000</v>
      </c>
      <c r="F474" s="263"/>
      <c r="G474" s="262" t="s">
        <v>2144</v>
      </c>
    </row>
    <row r="475" spans="1:7">
      <c r="A475" s="261" t="s">
        <v>8</v>
      </c>
      <c r="C475" s="262" t="s">
        <v>1270</v>
      </c>
      <c r="D475" s="497"/>
      <c r="E475" s="498">
        <v>572000</v>
      </c>
      <c r="F475" s="263"/>
      <c r="G475" s="262"/>
    </row>
    <row r="476" spans="1:7">
      <c r="A476" s="261" t="s">
        <v>8</v>
      </c>
      <c r="C476" s="262" t="s">
        <v>1271</v>
      </c>
      <c r="D476" s="497"/>
      <c r="E476" s="498">
        <v>184080</v>
      </c>
      <c r="F476" s="263"/>
      <c r="G476" s="264"/>
    </row>
    <row r="477" spans="1:7">
      <c r="A477" s="261" t="s">
        <v>8</v>
      </c>
      <c r="C477" s="262" t="s">
        <v>1272</v>
      </c>
      <c r="D477" s="497"/>
      <c r="E477" s="498">
        <v>7180</v>
      </c>
      <c r="F477" s="263"/>
      <c r="G477" s="262"/>
    </row>
    <row r="478" spans="1:7">
      <c r="A478" s="261" t="s">
        <v>8</v>
      </c>
      <c r="C478" s="262" t="s">
        <v>1273</v>
      </c>
      <c r="D478" s="497"/>
      <c r="E478" s="498">
        <v>20980</v>
      </c>
      <c r="F478" s="263"/>
      <c r="G478" s="262"/>
    </row>
    <row r="479" spans="1:7">
      <c r="A479" s="261" t="s">
        <v>8</v>
      </c>
      <c r="C479" s="262" t="s">
        <v>1274</v>
      </c>
      <c r="D479" s="497"/>
      <c r="E479" s="498">
        <v>18550</v>
      </c>
      <c r="F479" s="263"/>
      <c r="G479" s="262"/>
    </row>
    <row r="480" spans="1:7">
      <c r="A480" s="261" t="s">
        <v>8</v>
      </c>
      <c r="C480" s="262" t="s">
        <v>1275</v>
      </c>
      <c r="D480" s="497"/>
      <c r="E480" s="498">
        <v>26450</v>
      </c>
      <c r="F480" s="263"/>
      <c r="G480" s="262"/>
    </row>
    <row r="481" spans="1:7">
      <c r="A481" s="261" t="s">
        <v>8</v>
      </c>
      <c r="C481" s="262" t="s">
        <v>1276</v>
      </c>
      <c r="D481" s="497"/>
      <c r="E481" s="498">
        <v>227110</v>
      </c>
      <c r="F481" s="263"/>
      <c r="G481" s="262"/>
    </row>
    <row r="482" spans="1:7">
      <c r="A482" s="261" t="s">
        <v>8</v>
      </c>
      <c r="C482" s="262" t="s">
        <v>1277</v>
      </c>
      <c r="D482" s="497"/>
      <c r="E482" s="498">
        <v>15950</v>
      </c>
      <c r="F482" s="263"/>
      <c r="G482" s="262"/>
    </row>
    <row r="483" spans="1:7">
      <c r="A483" s="261" t="s">
        <v>8</v>
      </c>
      <c r="C483" s="262" t="s">
        <v>1278</v>
      </c>
      <c r="D483" s="497"/>
      <c r="E483" s="498">
        <v>100000</v>
      </c>
      <c r="F483" s="263"/>
      <c r="G483" s="262"/>
    </row>
    <row r="484" spans="1:7">
      <c r="A484" s="261" t="s">
        <v>8</v>
      </c>
      <c r="C484" s="262" t="s">
        <v>1279</v>
      </c>
      <c r="D484" s="497"/>
      <c r="E484" s="499">
        <v>100000</v>
      </c>
      <c r="F484" s="263"/>
      <c r="G484" s="262"/>
    </row>
    <row r="485" spans="1:7">
      <c r="A485" s="261" t="s">
        <v>8</v>
      </c>
      <c r="C485" s="262" t="s">
        <v>1332</v>
      </c>
      <c r="D485" s="497"/>
      <c r="E485" s="498">
        <v>42630</v>
      </c>
      <c r="F485" s="263"/>
      <c r="G485" s="265"/>
    </row>
    <row r="486" spans="1:7">
      <c r="A486" s="261" t="s">
        <v>8</v>
      </c>
      <c r="C486" s="262" t="s">
        <v>1280</v>
      </c>
      <c r="D486" s="497"/>
      <c r="E486" s="498">
        <f>5000*0+50000*4</f>
        <v>200000</v>
      </c>
      <c r="F486" s="263"/>
      <c r="G486" s="265"/>
    </row>
    <row r="487" spans="1:7">
      <c r="A487" s="261" t="s">
        <v>8</v>
      </c>
      <c r="C487" s="262" t="s">
        <v>382</v>
      </c>
      <c r="D487" s="497"/>
      <c r="E487" s="498">
        <f>5000*0+50000*2</f>
        <v>100000</v>
      </c>
      <c r="F487" s="263"/>
      <c r="G487" s="265"/>
    </row>
    <row r="488" spans="1:7">
      <c r="A488" s="261" t="s">
        <v>8</v>
      </c>
      <c r="C488" s="262" t="s">
        <v>1284</v>
      </c>
      <c r="D488" s="497"/>
      <c r="E488" s="498">
        <f>25000+34590</f>
        <v>59590</v>
      </c>
      <c r="F488" s="263"/>
      <c r="G488" s="265"/>
    </row>
    <row r="489" spans="1:7">
      <c r="A489" s="261" t="s">
        <v>8</v>
      </c>
      <c r="C489" s="262" t="s">
        <v>1315</v>
      </c>
      <c r="D489" s="497"/>
      <c r="E489" s="498">
        <v>30000</v>
      </c>
      <c r="F489" s="263"/>
      <c r="G489" s="265"/>
    </row>
    <row r="490" spans="1:7">
      <c r="A490" s="261" t="s">
        <v>8</v>
      </c>
      <c r="C490" s="262" t="s">
        <v>1285</v>
      </c>
      <c r="D490" s="497"/>
      <c r="E490" s="497"/>
      <c r="F490" s="263"/>
      <c r="G490" s="265"/>
    </row>
    <row r="491" spans="1:7">
      <c r="A491" s="261" t="s">
        <v>8</v>
      </c>
      <c r="C491" s="262" t="s">
        <v>1302</v>
      </c>
      <c r="D491" s="497"/>
      <c r="E491" s="498">
        <f>18600+25000</f>
        <v>43600</v>
      </c>
      <c r="F491" s="263"/>
      <c r="G491" s="265"/>
    </row>
    <row r="492" spans="1:7">
      <c r="A492" s="261" t="s">
        <v>8</v>
      </c>
      <c r="C492" s="262" t="s">
        <v>1454</v>
      </c>
      <c r="D492" s="497"/>
      <c r="E492" s="498">
        <v>200000</v>
      </c>
      <c r="F492" s="263"/>
      <c r="G492" s="265"/>
    </row>
    <row r="493" spans="1:7">
      <c r="A493" s="261" t="s">
        <v>8</v>
      </c>
      <c r="C493" s="262" t="s">
        <v>1455</v>
      </c>
      <c r="D493" s="497"/>
      <c r="E493" s="498">
        <v>21300</v>
      </c>
      <c r="F493" s="263"/>
      <c r="G493" s="265"/>
    </row>
    <row r="494" spans="1:7">
      <c r="A494" s="261" t="s">
        <v>8</v>
      </c>
      <c r="C494" s="262" t="s">
        <v>1450</v>
      </c>
      <c r="D494" s="497"/>
      <c r="E494" s="498">
        <v>19000</v>
      </c>
      <c r="F494" s="263"/>
      <c r="G494" s="265"/>
    </row>
    <row r="495" spans="1:7">
      <c r="A495" s="261" t="s">
        <v>8</v>
      </c>
      <c r="C495" s="262" t="s">
        <v>1456</v>
      </c>
      <c r="D495" s="497"/>
      <c r="E495" s="498">
        <v>35000</v>
      </c>
      <c r="F495" s="263"/>
      <c r="G495" s="265"/>
    </row>
    <row r="496" spans="1:7">
      <c r="A496" s="261" t="s">
        <v>8</v>
      </c>
      <c r="C496" s="262" t="s">
        <v>1457</v>
      </c>
      <c r="D496" s="497"/>
      <c r="E496" s="498">
        <v>180000</v>
      </c>
      <c r="F496" s="263"/>
      <c r="G496" s="265"/>
    </row>
    <row r="497" spans="1:7">
      <c r="A497" s="261" t="s">
        <v>8</v>
      </c>
      <c r="C497" s="262" t="s">
        <v>1391</v>
      </c>
      <c r="D497" s="497"/>
      <c r="E497" s="498">
        <v>15500</v>
      </c>
      <c r="F497" s="263"/>
      <c r="G497" s="265"/>
    </row>
    <row r="498" spans="1:7">
      <c r="A498" s="261" t="s">
        <v>8</v>
      </c>
      <c r="C498" s="262" t="s">
        <v>1308</v>
      </c>
      <c r="D498" s="497"/>
      <c r="E498" s="498">
        <v>8900</v>
      </c>
      <c r="F498" s="263"/>
      <c r="G498" s="265"/>
    </row>
    <row r="499" spans="1:7">
      <c r="A499" s="261" t="s">
        <v>8</v>
      </c>
      <c r="C499" s="262" t="s">
        <v>1458</v>
      </c>
      <c r="D499" s="497"/>
      <c r="E499" s="498">
        <v>44000</v>
      </c>
      <c r="F499" s="263"/>
      <c r="G499" s="265"/>
    </row>
    <row r="500" spans="1:7">
      <c r="A500" s="261" t="s">
        <v>8</v>
      </c>
      <c r="C500" s="262" t="s">
        <v>1459</v>
      </c>
      <c r="D500" s="497"/>
      <c r="E500" s="498">
        <v>4300</v>
      </c>
      <c r="F500" s="263"/>
      <c r="G500" s="265"/>
    </row>
    <row r="501" spans="1:7">
      <c r="A501" s="261" t="s">
        <v>8</v>
      </c>
      <c r="C501" s="262" t="s">
        <v>1460</v>
      </c>
      <c r="D501" s="497"/>
      <c r="E501" s="498">
        <v>50000</v>
      </c>
      <c r="F501" s="263"/>
      <c r="G501" s="265"/>
    </row>
    <row r="502" spans="1:7">
      <c r="A502" s="261" t="s">
        <v>8</v>
      </c>
      <c r="C502" s="262" t="s">
        <v>1340</v>
      </c>
      <c r="D502" s="497"/>
      <c r="E502" s="498">
        <v>8500</v>
      </c>
      <c r="F502" s="263"/>
      <c r="G502" s="265"/>
    </row>
    <row r="503" spans="1:7">
      <c r="A503" s="261" t="s">
        <v>8</v>
      </c>
      <c r="C503" s="262" t="s">
        <v>1461</v>
      </c>
      <c r="D503" s="497"/>
      <c r="E503" s="498">
        <v>1700</v>
      </c>
      <c r="F503" s="263"/>
      <c r="G503" s="265"/>
    </row>
    <row r="504" spans="1:7">
      <c r="A504" s="261" t="s">
        <v>8</v>
      </c>
      <c r="C504" s="262" t="s">
        <v>1298</v>
      </c>
      <c r="D504" s="497"/>
      <c r="E504" s="498">
        <v>18000</v>
      </c>
      <c r="F504" s="263"/>
      <c r="G504" s="265"/>
    </row>
    <row r="505" spans="1:7">
      <c r="A505" s="261" t="s">
        <v>8</v>
      </c>
      <c r="C505" s="262" t="s">
        <v>1462</v>
      </c>
      <c r="D505" s="497"/>
      <c r="E505" s="498">
        <v>13450</v>
      </c>
      <c r="F505" s="263"/>
      <c r="G505" s="265"/>
    </row>
    <row r="506" spans="1:7">
      <c r="A506" s="261" t="s">
        <v>8</v>
      </c>
      <c r="C506" s="262" t="s">
        <v>1463</v>
      </c>
      <c r="D506" s="497"/>
      <c r="E506" s="498">
        <v>7600</v>
      </c>
      <c r="F506" s="263"/>
      <c r="G506" s="265"/>
    </row>
    <row r="507" spans="1:7">
      <c r="A507" s="261" t="s">
        <v>8</v>
      </c>
      <c r="C507" s="262" t="s">
        <v>1339</v>
      </c>
      <c r="D507" s="497"/>
      <c r="E507" s="498">
        <v>1000</v>
      </c>
      <c r="F507" s="263"/>
      <c r="G507" s="265"/>
    </row>
    <row r="508" spans="1:7">
      <c r="A508" s="261" t="s">
        <v>8</v>
      </c>
      <c r="C508" s="262" t="s">
        <v>1464</v>
      </c>
      <c r="D508" s="497"/>
      <c r="E508" s="498">
        <v>300000</v>
      </c>
      <c r="F508" s="263"/>
      <c r="G508" s="265"/>
    </row>
    <row r="509" spans="1:7">
      <c r="A509" s="261" t="s">
        <v>8</v>
      </c>
      <c r="C509" s="262" t="s">
        <v>384</v>
      </c>
      <c r="D509" s="497"/>
      <c r="E509" s="498">
        <v>5200</v>
      </c>
      <c r="F509" s="263"/>
      <c r="G509" s="265"/>
    </row>
    <row r="510" spans="1:7">
      <c r="A510" s="261" t="s">
        <v>8</v>
      </c>
      <c r="C510" s="262" t="s">
        <v>1465</v>
      </c>
      <c r="D510" s="497"/>
      <c r="E510" s="498">
        <v>4300</v>
      </c>
      <c r="F510" s="263"/>
      <c r="G510" s="265"/>
    </row>
    <row r="511" spans="1:7">
      <c r="A511" s="261" t="s">
        <v>8</v>
      </c>
      <c r="C511" s="262" t="s">
        <v>1466</v>
      </c>
      <c r="D511" s="497"/>
      <c r="E511" s="498">
        <v>21000</v>
      </c>
      <c r="F511" s="263"/>
      <c r="G511" s="265"/>
    </row>
    <row r="512" spans="1:7">
      <c r="A512" s="261" t="s">
        <v>8</v>
      </c>
      <c r="C512" s="262" t="s">
        <v>1316</v>
      </c>
      <c r="D512" s="497"/>
      <c r="E512" s="498">
        <v>19000</v>
      </c>
      <c r="F512" s="263"/>
      <c r="G512" s="265"/>
    </row>
    <row r="513" spans="1:7">
      <c r="A513" s="261" t="s">
        <v>8</v>
      </c>
      <c r="C513" s="262" t="s">
        <v>1295</v>
      </c>
      <c r="D513" s="497"/>
      <c r="E513" s="498">
        <v>90000</v>
      </c>
      <c r="F513" s="263"/>
      <c r="G513" s="265"/>
    </row>
    <row r="514" spans="1:7">
      <c r="A514" s="261" t="s">
        <v>8</v>
      </c>
      <c r="C514" s="262" t="s">
        <v>1467</v>
      </c>
      <c r="D514" s="497"/>
      <c r="E514" s="498">
        <v>20689</v>
      </c>
      <c r="F514" s="263"/>
      <c r="G514" s="265"/>
    </row>
    <row r="515" spans="1:7">
      <c r="A515" s="261" t="s">
        <v>8</v>
      </c>
      <c r="C515" s="262" t="s">
        <v>1468</v>
      </c>
      <c r="D515" s="497"/>
      <c r="E515" s="498">
        <v>38500</v>
      </c>
      <c r="F515" s="263"/>
      <c r="G515" s="265"/>
    </row>
    <row r="516" spans="1:7">
      <c r="A516" s="261" t="s">
        <v>8</v>
      </c>
      <c r="C516" s="262" t="s">
        <v>1469</v>
      </c>
      <c r="D516" s="497"/>
      <c r="E516" s="498">
        <v>42000</v>
      </c>
      <c r="F516" s="263"/>
      <c r="G516" s="265"/>
    </row>
    <row r="517" spans="1:7">
      <c r="A517" s="261" t="s">
        <v>8</v>
      </c>
      <c r="C517" s="262" t="s">
        <v>1470</v>
      </c>
      <c r="D517" s="497"/>
      <c r="E517" s="498">
        <v>14300</v>
      </c>
      <c r="F517" s="263"/>
      <c r="G517" s="265"/>
    </row>
    <row r="518" spans="1:7">
      <c r="A518" s="261" t="s">
        <v>8</v>
      </c>
      <c r="C518" s="262" t="s">
        <v>1325</v>
      </c>
      <c r="D518" s="497"/>
      <c r="E518" s="498">
        <v>18500</v>
      </c>
      <c r="F518" s="263"/>
      <c r="G518" s="265"/>
    </row>
    <row r="519" spans="1:7">
      <c r="A519" s="261" t="s">
        <v>8</v>
      </c>
      <c r="C519" s="262" t="s">
        <v>1471</v>
      </c>
      <c r="D519" s="497"/>
      <c r="E519" s="498">
        <v>8500</v>
      </c>
      <c r="F519" s="263"/>
      <c r="G519" s="265"/>
    </row>
    <row r="520" spans="1:7">
      <c r="A520" s="261" t="s">
        <v>8</v>
      </c>
      <c r="C520" s="262" t="s">
        <v>1300</v>
      </c>
      <c r="D520" s="497">
        <f>SUM(D473:D519)-SUM(E473:E519)</f>
        <v>1291721</v>
      </c>
      <c r="E520" s="497">
        <f>SUM(E473:E519)-SUM(F473:F519)</f>
        <v>3327359</v>
      </c>
      <c r="F520" s="263"/>
      <c r="G520" s="262"/>
    </row>
    <row r="521" spans="1:7">
      <c r="A521" s="261" t="s">
        <v>8</v>
      </c>
    </row>
    <row r="522" spans="1:7">
      <c r="A522" s="261" t="s">
        <v>8</v>
      </c>
    </row>
    <row r="523" spans="1:7">
      <c r="A523" s="261" t="s">
        <v>8</v>
      </c>
      <c r="B523" s="256" t="s">
        <v>2145</v>
      </c>
      <c r="C523" s="262" t="s">
        <v>1268</v>
      </c>
      <c r="D523" s="498">
        <v>4829700</v>
      </c>
      <c r="E523" s="497"/>
      <c r="F523" s="263"/>
      <c r="G523" s="262"/>
    </row>
    <row r="524" spans="1:7">
      <c r="A524" s="261" t="s">
        <v>8</v>
      </c>
      <c r="C524" s="262" t="s">
        <v>1269</v>
      </c>
      <c r="D524" s="497"/>
      <c r="E524" s="498">
        <v>363500</v>
      </c>
      <c r="F524" s="263"/>
      <c r="G524" s="262" t="s">
        <v>2146</v>
      </c>
    </row>
    <row r="525" spans="1:7">
      <c r="A525" s="261" t="s">
        <v>8</v>
      </c>
      <c r="C525" s="262" t="s">
        <v>1270</v>
      </c>
      <c r="D525" s="497"/>
      <c r="E525" s="498">
        <v>605000</v>
      </c>
      <c r="F525" s="263"/>
      <c r="G525" s="262"/>
    </row>
    <row r="526" spans="1:7">
      <c r="A526" s="261" t="s">
        <v>8</v>
      </c>
      <c r="C526" s="262" t="s">
        <v>1271</v>
      </c>
      <c r="D526" s="497"/>
      <c r="E526" s="498">
        <v>205660</v>
      </c>
      <c r="F526" s="263"/>
      <c r="G526" s="264"/>
    </row>
    <row r="527" spans="1:7">
      <c r="A527" s="261" t="s">
        <v>8</v>
      </c>
      <c r="C527" s="262" t="s">
        <v>1272</v>
      </c>
      <c r="D527" s="497"/>
      <c r="E527" s="498">
        <v>7180</v>
      </c>
      <c r="F527" s="263"/>
      <c r="G527" s="262"/>
    </row>
    <row r="528" spans="1:7">
      <c r="A528" s="261" t="s">
        <v>8</v>
      </c>
      <c r="C528" s="262" t="s">
        <v>1273</v>
      </c>
      <c r="D528" s="497"/>
      <c r="E528" s="498">
        <v>20980</v>
      </c>
      <c r="F528" s="263"/>
      <c r="G528" s="262"/>
    </row>
    <row r="529" spans="1:7">
      <c r="A529" s="261" t="s">
        <v>8</v>
      </c>
      <c r="C529" s="262" t="s">
        <v>1274</v>
      </c>
      <c r="D529" s="497"/>
      <c r="E529" s="498">
        <v>18550</v>
      </c>
      <c r="F529" s="263"/>
      <c r="G529" s="262"/>
    </row>
    <row r="530" spans="1:7">
      <c r="A530" s="261" t="s">
        <v>8</v>
      </c>
      <c r="C530" s="262" t="s">
        <v>1275</v>
      </c>
      <c r="D530" s="497"/>
      <c r="E530" s="498">
        <v>26450</v>
      </c>
      <c r="F530" s="263"/>
      <c r="G530" s="262"/>
    </row>
    <row r="531" spans="1:7">
      <c r="A531" s="261" t="s">
        <v>8</v>
      </c>
      <c r="C531" s="262" t="s">
        <v>1276</v>
      </c>
      <c r="D531" s="497"/>
      <c r="E531" s="498">
        <f>248450+221200</f>
        <v>469650</v>
      </c>
      <c r="F531" s="263"/>
      <c r="G531" s="262"/>
    </row>
    <row r="532" spans="1:7">
      <c r="A532" s="261" t="s">
        <v>8</v>
      </c>
      <c r="C532" s="262" t="s">
        <v>1277</v>
      </c>
      <c r="D532" s="497"/>
      <c r="E532" s="498">
        <f>9880+10120</f>
        <v>20000</v>
      </c>
      <c r="F532" s="263"/>
      <c r="G532" s="262"/>
    </row>
    <row r="533" spans="1:7">
      <c r="A533" s="261" t="s">
        <v>8</v>
      </c>
      <c r="C533" s="262" t="s">
        <v>1278</v>
      </c>
      <c r="D533" s="497"/>
      <c r="E533" s="498">
        <v>100000</v>
      </c>
      <c r="F533" s="263"/>
      <c r="G533" s="262"/>
    </row>
    <row r="534" spans="1:7">
      <c r="A534" s="261" t="s">
        <v>8</v>
      </c>
      <c r="C534" s="262" t="s">
        <v>1279</v>
      </c>
      <c r="D534" s="497"/>
      <c r="E534" s="499">
        <v>100000</v>
      </c>
      <c r="F534" s="263"/>
      <c r="G534" s="262"/>
    </row>
    <row r="535" spans="1:7">
      <c r="A535" s="261" t="s">
        <v>8</v>
      </c>
      <c r="C535" s="262" t="s">
        <v>1332</v>
      </c>
      <c r="D535" s="497"/>
      <c r="E535" s="498">
        <v>42630</v>
      </c>
      <c r="F535" s="263"/>
      <c r="G535" s="265"/>
    </row>
    <row r="536" spans="1:7">
      <c r="A536" s="261" t="s">
        <v>8</v>
      </c>
      <c r="C536" s="262" t="s">
        <v>1280</v>
      </c>
      <c r="D536" s="497"/>
      <c r="E536" s="498">
        <f>5000*1+50000*5</f>
        <v>255000</v>
      </c>
      <c r="F536" s="263"/>
      <c r="G536" s="265"/>
    </row>
    <row r="537" spans="1:7">
      <c r="A537" s="261" t="s">
        <v>8</v>
      </c>
      <c r="C537" s="262" t="s">
        <v>382</v>
      </c>
      <c r="D537" s="497"/>
      <c r="E537" s="497">
        <f>5000*0+50000*0</f>
        <v>0</v>
      </c>
      <c r="F537" s="263"/>
      <c r="G537" s="265"/>
    </row>
    <row r="538" spans="1:7">
      <c r="A538" s="261" t="s">
        <v>8</v>
      </c>
      <c r="C538" s="262" t="s">
        <v>1284</v>
      </c>
      <c r="D538" s="497"/>
      <c r="E538" s="498">
        <f>27680+9960+14280</f>
        <v>51920</v>
      </c>
      <c r="F538" s="263"/>
      <c r="G538" s="265"/>
    </row>
    <row r="539" spans="1:7">
      <c r="A539" s="261" t="s">
        <v>8</v>
      </c>
      <c r="C539" s="262" t="s">
        <v>1315</v>
      </c>
      <c r="D539" s="497"/>
      <c r="E539" s="498">
        <v>45000</v>
      </c>
      <c r="F539" s="263"/>
      <c r="G539" s="265"/>
    </row>
    <row r="540" spans="1:7">
      <c r="A540" s="261" t="s">
        <v>8</v>
      </c>
      <c r="C540" s="262" t="s">
        <v>1285</v>
      </c>
      <c r="D540" s="497"/>
      <c r="E540" s="497">
        <v>0</v>
      </c>
      <c r="F540" s="263"/>
      <c r="G540" s="265"/>
    </row>
    <row r="541" spans="1:7">
      <c r="A541" s="261" t="s">
        <v>8</v>
      </c>
      <c r="C541" s="262" t="s">
        <v>1302</v>
      </c>
      <c r="D541" s="497"/>
      <c r="E541" s="497">
        <v>0</v>
      </c>
      <c r="F541" s="263"/>
      <c r="G541" s="265"/>
    </row>
    <row r="542" spans="1:7">
      <c r="A542" s="261" t="s">
        <v>8</v>
      </c>
      <c r="C542" s="262" t="s">
        <v>1472</v>
      </c>
      <c r="D542" s="497"/>
      <c r="E542" s="498">
        <v>221400</v>
      </c>
      <c r="F542" s="263"/>
      <c r="G542" s="265"/>
    </row>
    <row r="543" spans="1:7">
      <c r="A543" s="261" t="s">
        <v>8</v>
      </c>
      <c r="C543" s="262" t="s">
        <v>1441</v>
      </c>
      <c r="D543" s="497"/>
      <c r="E543" s="498">
        <v>14100</v>
      </c>
      <c r="F543" s="263"/>
      <c r="G543" s="265"/>
    </row>
    <row r="544" spans="1:7">
      <c r="A544" s="261" t="s">
        <v>8</v>
      </c>
      <c r="C544" s="262" t="s">
        <v>1473</v>
      </c>
      <c r="D544" s="497"/>
      <c r="E544" s="498">
        <v>7544</v>
      </c>
      <c r="F544" s="263"/>
      <c r="G544" s="265"/>
    </row>
    <row r="545" spans="1:7">
      <c r="A545" s="261" t="s">
        <v>8</v>
      </c>
      <c r="C545" s="262" t="s">
        <v>1305</v>
      </c>
      <c r="D545" s="497"/>
      <c r="E545" s="498">
        <v>209480</v>
      </c>
      <c r="F545" s="263"/>
      <c r="G545" s="265"/>
    </row>
    <row r="546" spans="1:7">
      <c r="A546" s="261" t="s">
        <v>8</v>
      </c>
      <c r="C546" s="262" t="s">
        <v>1474</v>
      </c>
      <c r="D546" s="498">
        <v>850</v>
      </c>
      <c r="E546" s="498">
        <v>1415390</v>
      </c>
      <c r="F546" s="263"/>
      <c r="G546" s="265" t="s">
        <v>2147</v>
      </c>
    </row>
    <row r="547" spans="1:7">
      <c r="A547" s="261" t="s">
        <v>8</v>
      </c>
      <c r="C547" s="262" t="s">
        <v>1324</v>
      </c>
      <c r="D547" s="497"/>
      <c r="E547" s="498">
        <v>787050</v>
      </c>
      <c r="F547" s="263"/>
      <c r="G547" s="265"/>
    </row>
    <row r="548" spans="1:7">
      <c r="A548" s="261" t="s">
        <v>8</v>
      </c>
      <c r="C548" s="262" t="s">
        <v>1475</v>
      </c>
      <c r="D548" s="497"/>
      <c r="E548" s="498">
        <v>32000</v>
      </c>
      <c r="F548" s="263"/>
      <c r="G548" s="265"/>
    </row>
    <row r="549" spans="1:7">
      <c r="A549" s="261" t="s">
        <v>8</v>
      </c>
      <c r="C549" s="262" t="s">
        <v>1367</v>
      </c>
      <c r="D549" s="497"/>
      <c r="E549" s="498">
        <v>4000</v>
      </c>
      <c r="F549" s="263"/>
      <c r="G549" s="265"/>
    </row>
    <row r="550" spans="1:7">
      <c r="A550" s="261" t="s">
        <v>8</v>
      </c>
      <c r="C550" s="262" t="s">
        <v>1471</v>
      </c>
      <c r="D550" s="497"/>
      <c r="E550" s="498">
        <v>8500</v>
      </c>
      <c r="F550" s="263"/>
      <c r="G550" s="265"/>
    </row>
    <row r="551" spans="1:7">
      <c r="A551" s="261" t="s">
        <v>8</v>
      </c>
      <c r="C551" s="262" t="s">
        <v>1331</v>
      </c>
      <c r="D551" s="497"/>
      <c r="E551" s="498">
        <f>6200+8500</f>
        <v>14700</v>
      </c>
      <c r="F551" s="263"/>
      <c r="G551" s="265"/>
    </row>
    <row r="552" spans="1:7">
      <c r="A552" s="261" t="s">
        <v>8</v>
      </c>
      <c r="C552" s="262" t="s">
        <v>1316</v>
      </c>
      <c r="D552" s="497"/>
      <c r="E552" s="498">
        <f>19000+20000</f>
        <v>39000</v>
      </c>
      <c r="F552" s="263"/>
      <c r="G552" s="265"/>
    </row>
    <row r="553" spans="1:7">
      <c r="A553" s="261" t="s">
        <v>8</v>
      </c>
      <c r="C553" s="262" t="s">
        <v>1476</v>
      </c>
      <c r="D553" s="497"/>
      <c r="E553" s="498">
        <f>31401+22925+26698+14675+53803</f>
        <v>149502</v>
      </c>
      <c r="F553" s="263"/>
      <c r="G553" s="265"/>
    </row>
    <row r="554" spans="1:7">
      <c r="A554" s="261" t="s">
        <v>8</v>
      </c>
      <c r="C554" s="262" t="s">
        <v>1371</v>
      </c>
      <c r="D554" s="497"/>
      <c r="E554" s="498">
        <v>29800</v>
      </c>
      <c r="F554" s="263"/>
      <c r="G554" s="265"/>
    </row>
    <row r="555" spans="1:7">
      <c r="A555" s="261" t="s">
        <v>8</v>
      </c>
      <c r="C555" s="262" t="s">
        <v>1413</v>
      </c>
      <c r="D555" s="497"/>
      <c r="E555" s="498">
        <v>1000000</v>
      </c>
      <c r="F555" s="263"/>
      <c r="G555" s="265"/>
    </row>
    <row r="556" spans="1:7">
      <c r="A556" s="261" t="s">
        <v>8</v>
      </c>
      <c r="C556" s="262" t="s">
        <v>1283</v>
      </c>
      <c r="D556" s="497"/>
      <c r="E556" s="498">
        <v>106430</v>
      </c>
      <c r="F556" s="263"/>
      <c r="G556" s="265"/>
    </row>
    <row r="557" spans="1:7">
      <c r="A557" s="261" t="s">
        <v>8</v>
      </c>
      <c r="C557" s="262" t="s">
        <v>1477</v>
      </c>
      <c r="D557" s="497"/>
      <c r="E557" s="498">
        <v>18500</v>
      </c>
      <c r="F557" s="263"/>
      <c r="G557" s="265"/>
    </row>
    <row r="558" spans="1:7">
      <c r="A558" s="261" t="s">
        <v>8</v>
      </c>
      <c r="C558" s="262" t="s">
        <v>1478</v>
      </c>
      <c r="D558" s="497"/>
      <c r="E558" s="498">
        <v>33500</v>
      </c>
      <c r="F558" s="263"/>
      <c r="G558" s="265"/>
    </row>
    <row r="559" spans="1:7">
      <c r="A559" s="261" t="s">
        <v>8</v>
      </c>
      <c r="C559" s="262" t="s">
        <v>1479</v>
      </c>
      <c r="D559" s="497"/>
      <c r="E559" s="498">
        <v>224994</v>
      </c>
      <c r="F559" s="263"/>
      <c r="G559" s="265"/>
    </row>
    <row r="560" spans="1:7">
      <c r="A560" s="261" t="s">
        <v>8</v>
      </c>
      <c r="C560" s="262" t="s">
        <v>1480</v>
      </c>
      <c r="D560" s="497"/>
      <c r="E560" s="498">
        <v>21600</v>
      </c>
      <c r="F560" s="263"/>
      <c r="G560" s="265"/>
    </row>
    <row r="561" spans="1:7">
      <c r="A561" s="261" t="s">
        <v>8</v>
      </c>
      <c r="C561" s="262" t="s">
        <v>1481</v>
      </c>
      <c r="D561" s="497"/>
      <c r="E561" s="498">
        <v>63300</v>
      </c>
      <c r="F561" s="263"/>
      <c r="G561" s="265"/>
    </row>
    <row r="562" spans="1:7">
      <c r="A562" s="261" t="s">
        <v>8</v>
      </c>
      <c r="C562" s="262" t="s">
        <v>1293</v>
      </c>
      <c r="D562" s="497"/>
      <c r="E562" s="498">
        <v>5750</v>
      </c>
      <c r="F562" s="263"/>
      <c r="G562" s="265"/>
    </row>
    <row r="563" spans="1:7">
      <c r="A563" s="261" t="s">
        <v>8</v>
      </c>
      <c r="C563" s="262" t="s">
        <v>1300</v>
      </c>
      <c r="D563" s="497">
        <f>SUM(D523:D562)-SUM(E523:E562)</f>
        <v>-1907510</v>
      </c>
      <c r="E563" s="497">
        <f>SUM(E523:E562)-SUM(F523:F562)</f>
        <v>6738060</v>
      </c>
      <c r="F563" s="263"/>
      <c r="G563" s="262"/>
    </row>
    <row r="564" spans="1:7">
      <c r="A564" s="261" t="s">
        <v>8</v>
      </c>
    </row>
    <row r="565" spans="1:7">
      <c r="A565" s="261" t="s">
        <v>8</v>
      </c>
    </row>
    <row r="566" spans="1:7">
      <c r="A566" s="261" t="s">
        <v>8</v>
      </c>
      <c r="B566" s="256" t="s">
        <v>2148</v>
      </c>
      <c r="C566" s="262" t="s">
        <v>1268</v>
      </c>
      <c r="D566" s="498">
        <v>4554430</v>
      </c>
      <c r="E566" s="497"/>
      <c r="F566" s="263"/>
      <c r="G566" s="262"/>
    </row>
    <row r="567" spans="1:7">
      <c r="A567" s="261" t="s">
        <v>8</v>
      </c>
      <c r="C567" s="262" t="s">
        <v>1269</v>
      </c>
      <c r="D567" s="497"/>
      <c r="E567" s="498">
        <v>312500</v>
      </c>
      <c r="F567" s="263"/>
      <c r="G567" s="262" t="s">
        <v>2149</v>
      </c>
    </row>
    <row r="568" spans="1:7">
      <c r="A568" s="261" t="s">
        <v>8</v>
      </c>
      <c r="C568" s="262" t="s">
        <v>1270</v>
      </c>
      <c r="D568" s="497"/>
      <c r="E568" s="498">
        <v>572000</v>
      </c>
      <c r="F568" s="263"/>
      <c r="G568" s="262"/>
    </row>
    <row r="569" spans="1:7">
      <c r="A569" s="261" t="s">
        <v>8</v>
      </c>
      <c r="C569" s="262" t="s">
        <v>1271</v>
      </c>
      <c r="D569" s="497"/>
      <c r="E569" s="498">
        <v>207260</v>
      </c>
      <c r="F569" s="263"/>
      <c r="G569" s="264"/>
    </row>
    <row r="570" spans="1:7">
      <c r="A570" s="261" t="s">
        <v>8</v>
      </c>
      <c r="C570" s="262" t="s">
        <v>1272</v>
      </c>
      <c r="D570" s="497"/>
      <c r="E570" s="498">
        <v>7180</v>
      </c>
      <c r="F570" s="263"/>
      <c r="G570" s="262"/>
    </row>
    <row r="571" spans="1:7">
      <c r="A571" s="261" t="s">
        <v>8</v>
      </c>
      <c r="C571" s="262" t="s">
        <v>1273</v>
      </c>
      <c r="D571" s="497"/>
      <c r="E571" s="498">
        <v>20980</v>
      </c>
      <c r="F571" s="263"/>
      <c r="G571" s="262"/>
    </row>
    <row r="572" spans="1:7">
      <c r="A572" s="261" t="s">
        <v>8</v>
      </c>
      <c r="C572" s="262" t="s">
        <v>1274</v>
      </c>
      <c r="D572" s="497"/>
      <c r="E572" s="498">
        <v>18550</v>
      </c>
      <c r="F572" s="263"/>
      <c r="G572" s="262"/>
    </row>
    <row r="573" spans="1:7">
      <c r="A573" s="261" t="s">
        <v>8</v>
      </c>
      <c r="C573" s="262" t="s">
        <v>1275</v>
      </c>
      <c r="D573" s="497"/>
      <c r="E573" s="498">
        <v>26450</v>
      </c>
      <c r="F573" s="263"/>
      <c r="G573" s="262"/>
    </row>
    <row r="574" spans="1:7">
      <c r="A574" s="261" t="s">
        <v>8</v>
      </c>
      <c r="C574" s="262" t="s">
        <v>1276</v>
      </c>
      <c r="D574" s="497"/>
      <c r="E574" s="497">
        <v>0</v>
      </c>
      <c r="F574" s="263"/>
      <c r="G574" s="262"/>
    </row>
    <row r="575" spans="1:7">
      <c r="A575" s="261" t="s">
        <v>8</v>
      </c>
      <c r="C575" s="262" t="s">
        <v>1277</v>
      </c>
      <c r="D575" s="497"/>
      <c r="E575" s="497">
        <v>0</v>
      </c>
      <c r="F575" s="263"/>
      <c r="G575" s="262"/>
    </row>
    <row r="576" spans="1:7">
      <c r="A576" s="261" t="s">
        <v>8</v>
      </c>
      <c r="C576" s="262" t="s">
        <v>1278</v>
      </c>
      <c r="D576" s="497"/>
      <c r="E576" s="498">
        <v>100000</v>
      </c>
      <c r="F576" s="263"/>
      <c r="G576" s="262"/>
    </row>
    <row r="577" spans="1:7">
      <c r="A577" s="261" t="s">
        <v>8</v>
      </c>
      <c r="C577" s="262" t="s">
        <v>1279</v>
      </c>
      <c r="D577" s="497"/>
      <c r="E577" s="499">
        <v>100000</v>
      </c>
      <c r="F577" s="263"/>
      <c r="G577" s="262"/>
    </row>
    <row r="578" spans="1:7">
      <c r="A578" s="261" t="s">
        <v>8</v>
      </c>
      <c r="C578" s="262" t="s">
        <v>1332</v>
      </c>
      <c r="D578" s="497"/>
      <c r="E578" s="498">
        <v>42630</v>
      </c>
      <c r="F578" s="263"/>
      <c r="G578" s="265"/>
    </row>
    <row r="579" spans="1:7">
      <c r="A579" s="261" t="s">
        <v>8</v>
      </c>
      <c r="C579" s="262" t="s">
        <v>1280</v>
      </c>
      <c r="D579" s="497"/>
      <c r="E579" s="498">
        <f>5000*0+50000*3</f>
        <v>150000</v>
      </c>
      <c r="F579" s="263"/>
      <c r="G579" s="265"/>
    </row>
    <row r="580" spans="1:7">
      <c r="A580" s="261" t="s">
        <v>8</v>
      </c>
      <c r="C580" s="262" t="s">
        <v>382</v>
      </c>
      <c r="D580" s="497"/>
      <c r="E580" s="498">
        <f>5000*0+50000*1</f>
        <v>50000</v>
      </c>
      <c r="F580" s="263"/>
      <c r="G580" s="265"/>
    </row>
    <row r="581" spans="1:7">
      <c r="A581" s="261" t="s">
        <v>8</v>
      </c>
      <c r="C581" s="262" t="s">
        <v>1284</v>
      </c>
      <c r="D581" s="497"/>
      <c r="E581" s="498">
        <f>26766+10250</f>
        <v>37016</v>
      </c>
      <c r="F581" s="263"/>
      <c r="G581" s="265"/>
    </row>
    <row r="582" spans="1:7">
      <c r="A582" s="261" t="s">
        <v>8</v>
      </c>
      <c r="C582" s="262" t="s">
        <v>1315</v>
      </c>
      <c r="D582" s="497"/>
      <c r="E582" s="498">
        <v>60000</v>
      </c>
      <c r="F582" s="263"/>
      <c r="G582" s="265"/>
    </row>
    <row r="583" spans="1:7">
      <c r="A583" s="261" t="s">
        <v>8</v>
      </c>
      <c r="C583" s="262" t="s">
        <v>1482</v>
      </c>
      <c r="D583" s="497"/>
      <c r="E583" s="498">
        <v>1700</v>
      </c>
      <c r="F583" s="263"/>
      <c r="G583" s="265"/>
    </row>
    <row r="584" spans="1:7">
      <c r="A584" s="261" t="s">
        <v>8</v>
      </c>
      <c r="C584" s="262" t="s">
        <v>1302</v>
      </c>
      <c r="D584" s="497"/>
      <c r="E584" s="498">
        <v>25000</v>
      </c>
      <c r="F584" s="263"/>
      <c r="G584" s="265"/>
    </row>
    <row r="585" spans="1:7">
      <c r="A585" s="261" t="s">
        <v>8</v>
      </c>
      <c r="C585" s="262" t="s">
        <v>1483</v>
      </c>
      <c r="D585" s="497"/>
      <c r="E585" s="498">
        <v>50000</v>
      </c>
      <c r="F585" s="263"/>
      <c r="G585" s="265"/>
    </row>
    <row r="586" spans="1:7">
      <c r="A586" s="261" t="s">
        <v>8</v>
      </c>
      <c r="C586" s="262" t="s">
        <v>387</v>
      </c>
      <c r="D586" s="497"/>
      <c r="E586" s="498">
        <v>20000</v>
      </c>
      <c r="F586" s="263"/>
      <c r="G586" s="265"/>
    </row>
    <row r="587" spans="1:7">
      <c r="A587" s="261" t="s">
        <v>8</v>
      </c>
      <c r="C587" s="262" t="s">
        <v>1295</v>
      </c>
      <c r="D587" s="497"/>
      <c r="E587" s="498">
        <v>53000</v>
      </c>
      <c r="F587" s="263"/>
      <c r="G587" s="265"/>
    </row>
    <row r="588" spans="1:7">
      <c r="A588" s="261" t="s">
        <v>8</v>
      </c>
      <c r="C588" s="262" t="s">
        <v>1484</v>
      </c>
      <c r="D588" s="497"/>
      <c r="E588" s="498">
        <v>105000</v>
      </c>
      <c r="F588" s="263"/>
      <c r="G588" s="265"/>
    </row>
    <row r="589" spans="1:7">
      <c r="A589" s="261" t="s">
        <v>8</v>
      </c>
      <c r="C589" s="262" t="s">
        <v>1485</v>
      </c>
      <c r="D589" s="497"/>
      <c r="E589" s="498">
        <v>33000</v>
      </c>
      <c r="F589" s="263"/>
      <c r="G589" s="265"/>
    </row>
    <row r="590" spans="1:7">
      <c r="A590" s="261" t="s">
        <v>8</v>
      </c>
      <c r="C590" s="262" t="s">
        <v>1486</v>
      </c>
      <c r="D590" s="497"/>
      <c r="E590" s="498">
        <v>18500</v>
      </c>
      <c r="F590" s="263"/>
      <c r="G590" s="265"/>
    </row>
    <row r="591" spans="1:7">
      <c r="A591" s="261" t="s">
        <v>8</v>
      </c>
      <c r="C591" s="262" t="s">
        <v>1487</v>
      </c>
      <c r="D591" s="497"/>
      <c r="E591" s="498">
        <v>24000</v>
      </c>
      <c r="F591" s="263"/>
      <c r="G591" s="265"/>
    </row>
    <row r="592" spans="1:7">
      <c r="A592" s="261" t="s">
        <v>8</v>
      </c>
      <c r="C592" s="262" t="s">
        <v>1297</v>
      </c>
      <c r="D592" s="497"/>
      <c r="E592" s="498">
        <v>15600</v>
      </c>
      <c r="F592" s="263"/>
      <c r="G592" s="265"/>
    </row>
    <row r="593" spans="1:7">
      <c r="A593" s="261" t="s">
        <v>8</v>
      </c>
      <c r="C593" s="262" t="s">
        <v>1316</v>
      </c>
      <c r="D593" s="497"/>
      <c r="E593" s="498">
        <v>26000</v>
      </c>
      <c r="F593" s="263"/>
      <c r="G593" s="265"/>
    </row>
    <row r="594" spans="1:7">
      <c r="A594" s="261" t="s">
        <v>8</v>
      </c>
      <c r="C594" s="262" t="s">
        <v>1488</v>
      </c>
      <c r="D594" s="497"/>
      <c r="E594" s="498">
        <v>87000</v>
      </c>
      <c r="F594" s="263"/>
      <c r="G594" s="265"/>
    </row>
    <row r="595" spans="1:7">
      <c r="A595" s="261" t="s">
        <v>8</v>
      </c>
      <c r="C595" s="262" t="s">
        <v>1396</v>
      </c>
      <c r="D595" s="498">
        <v>977</v>
      </c>
      <c r="E595" s="497"/>
      <c r="F595" s="263"/>
      <c r="G595" s="265"/>
    </row>
    <row r="596" spans="1:7">
      <c r="A596" s="261" t="s">
        <v>8</v>
      </c>
      <c r="C596" s="262" t="s">
        <v>1489</v>
      </c>
      <c r="D596" s="498">
        <v>300000</v>
      </c>
      <c r="E596" s="497"/>
      <c r="F596" s="263"/>
      <c r="G596" s="265"/>
    </row>
    <row r="597" spans="1:7">
      <c r="A597" s="261" t="s">
        <v>8</v>
      </c>
      <c r="C597" s="262" t="s">
        <v>1283</v>
      </c>
      <c r="D597" s="497"/>
      <c r="E597" s="498">
        <v>88310</v>
      </c>
      <c r="F597" s="263"/>
      <c r="G597" s="265"/>
    </row>
    <row r="598" spans="1:7">
      <c r="A598" s="261" t="s">
        <v>8</v>
      </c>
      <c r="C598" s="262" t="s">
        <v>1490</v>
      </c>
      <c r="D598" s="497"/>
      <c r="E598" s="498">
        <v>270500</v>
      </c>
      <c r="F598" s="263"/>
      <c r="G598" s="265"/>
    </row>
    <row r="599" spans="1:7">
      <c r="A599" s="261" t="s">
        <v>8</v>
      </c>
      <c r="C599" s="262" t="s">
        <v>383</v>
      </c>
      <c r="D599" s="497"/>
      <c r="E599" s="498">
        <v>147000</v>
      </c>
      <c r="F599" s="263"/>
      <c r="G599" s="265"/>
    </row>
    <row r="600" spans="1:7">
      <c r="A600" s="261" t="s">
        <v>8</v>
      </c>
      <c r="C600" s="262" t="s">
        <v>1491</v>
      </c>
      <c r="D600" s="497"/>
      <c r="E600" s="498">
        <v>600000</v>
      </c>
      <c r="F600" s="263"/>
      <c r="G600" s="265"/>
    </row>
    <row r="601" spans="1:7">
      <c r="A601" s="261" t="s">
        <v>8</v>
      </c>
      <c r="C601" s="262" t="s">
        <v>1492</v>
      </c>
      <c r="D601" s="497"/>
      <c r="E601" s="498">
        <v>5500</v>
      </c>
      <c r="F601" s="263"/>
      <c r="G601" s="265"/>
    </row>
    <row r="602" spans="1:7">
      <c r="A602" s="261" t="s">
        <v>8</v>
      </c>
      <c r="C602" s="262" t="s">
        <v>1480</v>
      </c>
      <c r="D602" s="497"/>
      <c r="E602" s="498">
        <v>22300</v>
      </c>
      <c r="F602" s="263"/>
      <c r="G602" s="265"/>
    </row>
    <row r="603" spans="1:7">
      <c r="A603" s="261" t="s">
        <v>8</v>
      </c>
      <c r="C603" s="262" t="s">
        <v>1323</v>
      </c>
      <c r="D603" s="497"/>
      <c r="E603" s="498">
        <v>5000</v>
      </c>
      <c r="F603" s="263"/>
      <c r="G603" s="265"/>
    </row>
    <row r="604" spans="1:7">
      <c r="A604" s="261" t="s">
        <v>8</v>
      </c>
      <c r="C604" s="262" t="s">
        <v>1493</v>
      </c>
      <c r="D604" s="497"/>
      <c r="E604" s="498">
        <v>24000</v>
      </c>
      <c r="F604" s="263"/>
      <c r="G604" s="265"/>
    </row>
    <row r="605" spans="1:7">
      <c r="A605" s="261" t="s">
        <v>8</v>
      </c>
      <c r="C605" s="262" t="s">
        <v>1494</v>
      </c>
      <c r="D605" s="497"/>
      <c r="E605" s="498">
        <v>4500</v>
      </c>
      <c r="F605" s="263"/>
      <c r="G605" s="265"/>
    </row>
    <row r="606" spans="1:7">
      <c r="A606" s="261" t="s">
        <v>8</v>
      </c>
      <c r="C606" s="262" t="s">
        <v>1413</v>
      </c>
      <c r="D606" s="497"/>
      <c r="E606" s="498">
        <v>1000000</v>
      </c>
      <c r="F606" s="263"/>
      <c r="G606" s="265"/>
    </row>
    <row r="607" spans="1:7">
      <c r="A607" s="261" t="s">
        <v>8</v>
      </c>
      <c r="C607" s="262" t="s">
        <v>384</v>
      </c>
      <c r="D607" s="497"/>
      <c r="E607" s="498">
        <v>3500</v>
      </c>
      <c r="F607" s="263"/>
      <c r="G607" s="265"/>
    </row>
    <row r="608" spans="1:7">
      <c r="A608" s="261" t="s">
        <v>8</v>
      </c>
      <c r="C608" s="262" t="s">
        <v>1317</v>
      </c>
      <c r="D608" s="497"/>
      <c r="E608" s="498">
        <v>200000</v>
      </c>
      <c r="F608" s="263"/>
      <c r="G608" s="265"/>
    </row>
    <row r="609" spans="1:7">
      <c r="A609" s="261" t="s">
        <v>8</v>
      </c>
      <c r="C609" s="262" t="s">
        <v>1495</v>
      </c>
      <c r="D609" s="497"/>
      <c r="E609" s="498">
        <v>72000</v>
      </c>
      <c r="F609" s="263"/>
      <c r="G609" s="265"/>
    </row>
    <row r="610" spans="1:7">
      <c r="A610" s="261" t="s">
        <v>8</v>
      </c>
      <c r="C610" s="262" t="s">
        <v>1496</v>
      </c>
      <c r="D610" s="497"/>
      <c r="E610" s="498">
        <v>10000</v>
      </c>
      <c r="F610" s="263"/>
      <c r="G610" s="265"/>
    </row>
    <row r="611" spans="1:7">
      <c r="A611" s="261" t="s">
        <v>8</v>
      </c>
      <c r="C611" s="262" t="s">
        <v>1497</v>
      </c>
      <c r="D611" s="497"/>
      <c r="E611" s="498">
        <v>40000</v>
      </c>
      <c r="F611" s="263"/>
      <c r="G611" s="265"/>
    </row>
    <row r="612" spans="1:7">
      <c r="A612" s="261" t="s">
        <v>8</v>
      </c>
      <c r="C612" s="262" t="s">
        <v>1300</v>
      </c>
      <c r="D612" s="497">
        <f>SUM(D566:D611)-SUM(E566:E611)</f>
        <v>199431</v>
      </c>
      <c r="E612" s="497">
        <f>SUM(E566:E611)-SUM(F566:F611)</f>
        <v>4655976</v>
      </c>
      <c r="F612" s="263"/>
      <c r="G612" s="262"/>
    </row>
    <row r="613" spans="1:7">
      <c r="A613" s="261" t="s">
        <v>8</v>
      </c>
    </row>
    <row r="614" spans="1:7">
      <c r="A614" s="261" t="s">
        <v>8</v>
      </c>
    </row>
    <row r="615" spans="1:7">
      <c r="A615" s="261" t="s">
        <v>8</v>
      </c>
      <c r="B615" s="256" t="s">
        <v>2150</v>
      </c>
      <c r="C615" s="262" t="s">
        <v>1268</v>
      </c>
      <c r="D615" s="498">
        <v>4617660</v>
      </c>
      <c r="E615" s="497"/>
      <c r="F615" s="263"/>
      <c r="G615" s="262"/>
    </row>
    <row r="616" spans="1:7">
      <c r="A616" s="261" t="s">
        <v>8</v>
      </c>
      <c r="C616" s="262" t="s">
        <v>1269</v>
      </c>
      <c r="D616" s="497"/>
      <c r="E616" s="498">
        <v>412500</v>
      </c>
      <c r="F616" s="263"/>
      <c r="G616" s="262" t="s">
        <v>2122</v>
      </c>
    </row>
    <row r="617" spans="1:7">
      <c r="A617" s="261" t="s">
        <v>8</v>
      </c>
      <c r="C617" s="262" t="s">
        <v>1270</v>
      </c>
      <c r="D617" s="497"/>
      <c r="E617" s="498">
        <v>654000</v>
      </c>
      <c r="F617" s="263"/>
      <c r="G617" s="262"/>
    </row>
    <row r="618" spans="1:7">
      <c r="A618" s="261" t="s">
        <v>8</v>
      </c>
      <c r="C618" s="262" t="s">
        <v>1271</v>
      </c>
      <c r="D618" s="497"/>
      <c r="E618" s="498">
        <v>247660</v>
      </c>
      <c r="F618" s="263"/>
      <c r="G618" s="264"/>
    </row>
    <row r="619" spans="1:7">
      <c r="A619" s="261" t="s">
        <v>8</v>
      </c>
      <c r="C619" s="262" t="s">
        <v>1272</v>
      </c>
      <c r="D619" s="497"/>
      <c r="E619" s="498">
        <v>7180</v>
      </c>
      <c r="F619" s="263"/>
      <c r="G619" s="262"/>
    </row>
    <row r="620" spans="1:7">
      <c r="A620" s="261" t="s">
        <v>8</v>
      </c>
      <c r="C620" s="262" t="s">
        <v>1273</v>
      </c>
      <c r="D620" s="497"/>
      <c r="E620" s="498">
        <v>20980</v>
      </c>
      <c r="F620" s="263"/>
      <c r="G620" s="262"/>
    </row>
    <row r="621" spans="1:7">
      <c r="A621" s="261" t="s">
        <v>8</v>
      </c>
      <c r="C621" s="262" t="s">
        <v>1274</v>
      </c>
      <c r="D621" s="497"/>
      <c r="E621" s="498">
        <v>18550</v>
      </c>
      <c r="F621" s="263"/>
      <c r="G621" s="262"/>
    </row>
    <row r="622" spans="1:7">
      <c r="A622" s="261" t="s">
        <v>8</v>
      </c>
      <c r="C622" s="262" t="s">
        <v>1275</v>
      </c>
      <c r="D622" s="497"/>
      <c r="E622" s="498">
        <v>26450</v>
      </c>
      <c r="F622" s="263"/>
      <c r="G622" s="262"/>
    </row>
    <row r="623" spans="1:7">
      <c r="A623" s="261" t="s">
        <v>8</v>
      </c>
      <c r="C623" s="262" t="s">
        <v>1276</v>
      </c>
      <c r="D623" s="497"/>
      <c r="E623" s="498">
        <v>258070</v>
      </c>
      <c r="F623" s="263"/>
      <c r="G623" s="262"/>
    </row>
    <row r="624" spans="1:7">
      <c r="A624" s="261" t="s">
        <v>8</v>
      </c>
      <c r="C624" s="262" t="s">
        <v>1277</v>
      </c>
      <c r="D624" s="497"/>
      <c r="E624" s="498">
        <v>10650</v>
      </c>
      <c r="F624" s="263"/>
      <c r="G624" s="262"/>
    </row>
    <row r="625" spans="1:7">
      <c r="A625" s="261" t="s">
        <v>8</v>
      </c>
      <c r="C625" s="262" t="s">
        <v>1278</v>
      </c>
      <c r="D625" s="497"/>
      <c r="E625" s="498">
        <v>100000</v>
      </c>
      <c r="F625" s="263"/>
      <c r="G625" s="262"/>
    </row>
    <row r="626" spans="1:7">
      <c r="A626" s="261" t="s">
        <v>8</v>
      </c>
      <c r="C626" s="262" t="s">
        <v>1279</v>
      </c>
      <c r="D626" s="497"/>
      <c r="E626" s="499">
        <v>100000</v>
      </c>
      <c r="F626" s="263"/>
      <c r="G626" s="262"/>
    </row>
    <row r="627" spans="1:7">
      <c r="A627" s="261" t="s">
        <v>8</v>
      </c>
      <c r="C627" s="262" t="s">
        <v>1332</v>
      </c>
      <c r="D627" s="497"/>
      <c r="E627" s="498">
        <v>42630</v>
      </c>
      <c r="F627" s="263"/>
      <c r="G627" s="265"/>
    </row>
    <row r="628" spans="1:7">
      <c r="A628" s="261" t="s">
        <v>8</v>
      </c>
      <c r="C628" s="262" t="s">
        <v>1484</v>
      </c>
      <c r="D628" s="497"/>
      <c r="E628" s="498">
        <v>0</v>
      </c>
      <c r="F628" s="263"/>
      <c r="G628" s="265"/>
    </row>
    <row r="629" spans="1:7">
      <c r="A629" s="261" t="s">
        <v>8</v>
      </c>
      <c r="C629" s="262" t="s">
        <v>1280</v>
      </c>
      <c r="D629" s="497"/>
      <c r="E629" s="498">
        <f>5000*1+50000*4</f>
        <v>205000</v>
      </c>
      <c r="F629" s="263"/>
      <c r="G629" s="265"/>
    </row>
    <row r="630" spans="1:7">
      <c r="A630" s="261" t="s">
        <v>8</v>
      </c>
      <c r="C630" s="262" t="s">
        <v>382</v>
      </c>
      <c r="D630" s="497"/>
      <c r="E630" s="498">
        <f>5000*0+50000*0</f>
        <v>0</v>
      </c>
      <c r="F630" s="263"/>
      <c r="G630" s="265"/>
    </row>
    <row r="631" spans="1:7">
      <c r="A631" s="261" t="s">
        <v>8</v>
      </c>
      <c r="C631" s="262" t="s">
        <v>1413</v>
      </c>
      <c r="D631" s="497"/>
      <c r="E631" s="498">
        <v>1000000</v>
      </c>
      <c r="F631" s="263"/>
      <c r="G631" s="265"/>
    </row>
    <row r="632" spans="1:7">
      <c r="A632" s="261" t="s">
        <v>8</v>
      </c>
      <c r="C632" s="262" t="s">
        <v>1284</v>
      </c>
      <c r="D632" s="497"/>
      <c r="E632" s="498">
        <f>4650+58730</f>
        <v>63380</v>
      </c>
      <c r="F632" s="263"/>
      <c r="G632" s="265"/>
    </row>
    <row r="633" spans="1:7">
      <c r="A633" s="261" t="s">
        <v>8</v>
      </c>
      <c r="C633" s="262" t="s">
        <v>1315</v>
      </c>
      <c r="D633" s="497"/>
      <c r="E633" s="498">
        <v>30000</v>
      </c>
      <c r="F633" s="263"/>
      <c r="G633" s="265"/>
    </row>
    <row r="634" spans="1:7">
      <c r="A634" s="261" t="s">
        <v>8</v>
      </c>
      <c r="C634" s="262" t="s">
        <v>1474</v>
      </c>
      <c r="D634" s="498">
        <v>1200</v>
      </c>
      <c r="E634" s="498">
        <v>1415390</v>
      </c>
      <c r="F634" s="263"/>
      <c r="G634" s="265" t="s">
        <v>2151</v>
      </c>
    </row>
    <row r="635" spans="1:7">
      <c r="A635" s="261" t="s">
        <v>8</v>
      </c>
      <c r="C635" s="262" t="s">
        <v>1490</v>
      </c>
      <c r="D635" s="498">
        <v>270500</v>
      </c>
      <c r="E635" s="497"/>
      <c r="F635" s="263"/>
      <c r="G635" s="265"/>
    </row>
    <row r="636" spans="1:7">
      <c r="A636" s="261" t="s">
        <v>8</v>
      </c>
      <c r="C636" s="262" t="s">
        <v>1331</v>
      </c>
      <c r="D636" s="497"/>
      <c r="E636" s="498">
        <v>9500</v>
      </c>
      <c r="F636" s="263"/>
      <c r="G636" s="265"/>
    </row>
    <row r="637" spans="1:7">
      <c r="A637" s="261" t="s">
        <v>8</v>
      </c>
      <c r="C637" s="262" t="s">
        <v>1498</v>
      </c>
      <c r="D637" s="497"/>
      <c r="E637" s="498">
        <v>15000</v>
      </c>
      <c r="F637" s="263"/>
      <c r="G637" s="265"/>
    </row>
    <row r="638" spans="1:7">
      <c r="A638" s="261" t="s">
        <v>8</v>
      </c>
      <c r="C638" s="262" t="s">
        <v>384</v>
      </c>
      <c r="D638" s="497"/>
      <c r="E638" s="498">
        <v>2300</v>
      </c>
      <c r="F638" s="263"/>
      <c r="G638" s="265"/>
    </row>
    <row r="639" spans="1:7">
      <c r="A639" s="261" t="s">
        <v>8</v>
      </c>
      <c r="C639" s="262" t="s">
        <v>1499</v>
      </c>
      <c r="D639" s="497"/>
      <c r="E639" s="498">
        <v>8700</v>
      </c>
      <c r="F639" s="263"/>
      <c r="G639" s="265"/>
    </row>
    <row r="640" spans="1:7">
      <c r="A640" s="261" t="s">
        <v>8</v>
      </c>
      <c r="C640" s="262" t="s">
        <v>1500</v>
      </c>
      <c r="D640" s="497"/>
      <c r="E640" s="498">
        <v>10000</v>
      </c>
      <c r="F640" s="263"/>
      <c r="G640" s="265"/>
    </row>
    <row r="641" spans="1:7">
      <c r="A641" s="261" t="s">
        <v>8</v>
      </c>
      <c r="C641" s="262" t="s">
        <v>1501</v>
      </c>
      <c r="D641" s="497"/>
      <c r="E641" s="498">
        <v>21500</v>
      </c>
      <c r="F641" s="263"/>
      <c r="G641" s="265"/>
    </row>
    <row r="642" spans="1:7">
      <c r="A642" s="261" t="s">
        <v>8</v>
      </c>
      <c r="C642" s="262" t="s">
        <v>1502</v>
      </c>
      <c r="D642" s="497"/>
      <c r="E642" s="498">
        <v>13000</v>
      </c>
      <c r="F642" s="263"/>
      <c r="G642" s="265"/>
    </row>
    <row r="643" spans="1:7">
      <c r="A643" s="261" t="s">
        <v>8</v>
      </c>
      <c r="C643" s="262" t="s">
        <v>1503</v>
      </c>
      <c r="D643" s="497"/>
      <c r="E643" s="498">
        <v>50000</v>
      </c>
      <c r="F643" s="263"/>
      <c r="G643" s="265"/>
    </row>
    <row r="644" spans="1:7">
      <c r="A644" s="261" t="s">
        <v>8</v>
      </c>
      <c r="C644" s="262" t="s">
        <v>1496</v>
      </c>
      <c r="D644" s="497"/>
      <c r="E644" s="498">
        <v>5000</v>
      </c>
      <c r="F644" s="263"/>
      <c r="G644" s="265"/>
    </row>
    <row r="645" spans="1:7">
      <c r="A645" s="261" t="s">
        <v>8</v>
      </c>
      <c r="C645" s="262" t="s">
        <v>1436</v>
      </c>
      <c r="D645" s="497"/>
      <c r="E645" s="498">
        <v>53300</v>
      </c>
      <c r="F645" s="263"/>
      <c r="G645" s="265"/>
    </row>
    <row r="646" spans="1:7">
      <c r="A646" s="261" t="s">
        <v>8</v>
      </c>
      <c r="C646" s="262" t="s">
        <v>1504</v>
      </c>
      <c r="D646" s="497"/>
      <c r="E646" s="498">
        <v>10000</v>
      </c>
      <c r="F646" s="263"/>
      <c r="G646" s="265"/>
    </row>
    <row r="647" spans="1:7">
      <c r="A647" s="261" t="s">
        <v>8</v>
      </c>
      <c r="C647" s="262" t="s">
        <v>1302</v>
      </c>
      <c r="D647" s="497"/>
      <c r="E647" s="498">
        <v>19900</v>
      </c>
      <c r="F647" s="263"/>
      <c r="G647" s="265"/>
    </row>
    <row r="648" spans="1:7">
      <c r="A648" s="261" t="s">
        <v>8</v>
      </c>
      <c r="C648" s="262" t="s">
        <v>1505</v>
      </c>
      <c r="D648" s="497"/>
      <c r="E648" s="498">
        <v>36700</v>
      </c>
      <c r="F648" s="263"/>
      <c r="G648" s="265"/>
    </row>
    <row r="649" spans="1:7">
      <c r="A649" s="261" t="s">
        <v>8</v>
      </c>
      <c r="C649" s="262" t="s">
        <v>1506</v>
      </c>
      <c r="D649" s="497"/>
      <c r="E649" s="498">
        <v>27000</v>
      </c>
      <c r="F649" s="263"/>
      <c r="G649" s="265"/>
    </row>
    <row r="650" spans="1:7">
      <c r="A650" s="261" t="s">
        <v>8</v>
      </c>
      <c r="C650" s="262" t="s">
        <v>1507</v>
      </c>
      <c r="D650" s="497"/>
      <c r="E650" s="498">
        <v>22000</v>
      </c>
      <c r="F650" s="263"/>
      <c r="G650" s="265"/>
    </row>
    <row r="651" spans="1:7">
      <c r="A651" s="261" t="s">
        <v>8</v>
      </c>
      <c r="C651" s="262" t="s">
        <v>1326</v>
      </c>
      <c r="D651" s="497"/>
      <c r="E651" s="498">
        <v>33200</v>
      </c>
      <c r="F651" s="263"/>
      <c r="G651" s="265"/>
    </row>
    <row r="652" spans="1:7">
      <c r="A652" s="261" t="s">
        <v>8</v>
      </c>
      <c r="C652" s="262" t="s">
        <v>1508</v>
      </c>
      <c r="D652" s="497"/>
      <c r="E652" s="498">
        <v>1000</v>
      </c>
      <c r="F652" s="263"/>
      <c r="G652" s="265"/>
    </row>
    <row r="653" spans="1:7">
      <c r="A653" s="261" t="s">
        <v>8</v>
      </c>
      <c r="C653" s="262" t="s">
        <v>1471</v>
      </c>
      <c r="D653" s="497"/>
      <c r="E653" s="498">
        <v>9500</v>
      </c>
      <c r="F653" s="263"/>
      <c r="G653" s="265"/>
    </row>
    <row r="654" spans="1:7">
      <c r="A654" s="261" t="s">
        <v>8</v>
      </c>
      <c r="C654" s="262" t="s">
        <v>1325</v>
      </c>
      <c r="D654" s="497"/>
      <c r="E654" s="498">
        <v>20500</v>
      </c>
      <c r="F654" s="263"/>
      <c r="G654" s="265"/>
    </row>
    <row r="655" spans="1:7">
      <c r="A655" s="261" t="s">
        <v>8</v>
      </c>
      <c r="C655" s="262" t="s">
        <v>1509</v>
      </c>
      <c r="D655" s="497"/>
      <c r="E655" s="498">
        <v>87000</v>
      </c>
      <c r="F655" s="263"/>
      <c r="G655" s="265"/>
    </row>
    <row r="656" spans="1:7">
      <c r="A656" s="261" t="s">
        <v>8</v>
      </c>
      <c r="C656" s="262" t="s">
        <v>1453</v>
      </c>
      <c r="D656" s="497"/>
      <c r="E656" s="498">
        <v>27600</v>
      </c>
      <c r="F656" s="263"/>
      <c r="G656" s="265"/>
    </row>
    <row r="657" spans="1:7">
      <c r="A657" s="261" t="s">
        <v>8</v>
      </c>
      <c r="C657" s="262" t="s">
        <v>1309</v>
      </c>
      <c r="D657" s="497"/>
      <c r="E657" s="498">
        <v>2400</v>
      </c>
      <c r="F657" s="263"/>
      <c r="G657" s="265"/>
    </row>
    <row r="658" spans="1:7">
      <c r="A658" s="261" t="s">
        <v>8</v>
      </c>
      <c r="C658" s="262" t="s">
        <v>1510</v>
      </c>
      <c r="D658" s="497"/>
      <c r="E658" s="498">
        <v>26927</v>
      </c>
      <c r="F658" s="263"/>
      <c r="G658" s="265"/>
    </row>
    <row r="659" spans="1:7">
      <c r="A659" s="261" t="s">
        <v>8</v>
      </c>
      <c r="C659" s="262" t="s">
        <v>1511</v>
      </c>
      <c r="D659" s="497"/>
      <c r="E659" s="498">
        <v>38000</v>
      </c>
      <c r="F659" s="263"/>
      <c r="G659" s="265"/>
    </row>
    <row r="660" spans="1:7">
      <c r="A660" s="261" t="s">
        <v>8</v>
      </c>
      <c r="C660" s="262" t="s">
        <v>1512</v>
      </c>
      <c r="D660" s="497"/>
      <c r="E660" s="498">
        <v>8000</v>
      </c>
      <c r="F660" s="263"/>
      <c r="G660" s="265"/>
    </row>
    <row r="661" spans="1:7">
      <c r="A661" s="261" t="s">
        <v>8</v>
      </c>
      <c r="C661" s="262" t="s">
        <v>1513</v>
      </c>
      <c r="D661" s="497"/>
      <c r="E661" s="498">
        <v>3000</v>
      </c>
      <c r="F661" s="263"/>
      <c r="G661" s="265"/>
    </row>
    <row r="662" spans="1:7">
      <c r="A662" s="261" t="s">
        <v>8</v>
      </c>
      <c r="C662" s="262" t="s">
        <v>1351</v>
      </c>
      <c r="D662" s="497"/>
      <c r="E662" s="498">
        <v>50000</v>
      </c>
      <c r="F662" s="263"/>
      <c r="G662" s="265"/>
    </row>
    <row r="663" spans="1:7">
      <c r="A663" s="261" t="s">
        <v>8</v>
      </c>
      <c r="C663" s="262" t="s">
        <v>385</v>
      </c>
      <c r="D663" s="497"/>
      <c r="E663" s="498">
        <v>10600</v>
      </c>
      <c r="F663" s="263"/>
      <c r="G663" s="265"/>
    </row>
    <row r="664" spans="1:7">
      <c r="A664" s="261" t="s">
        <v>8</v>
      </c>
      <c r="C664" s="262" t="s">
        <v>1441</v>
      </c>
      <c r="D664" s="497"/>
      <c r="E664" s="498">
        <v>27500</v>
      </c>
      <c r="F664" s="263"/>
      <c r="G664" s="265"/>
    </row>
    <row r="665" spans="1:7">
      <c r="A665" s="261" t="s">
        <v>8</v>
      </c>
      <c r="C665" s="262" t="s">
        <v>1339</v>
      </c>
      <c r="D665" s="497"/>
      <c r="E665" s="498">
        <v>3500</v>
      </c>
      <c r="F665" s="263"/>
      <c r="G665" s="265"/>
    </row>
    <row r="666" spans="1:7">
      <c r="A666" s="261" t="s">
        <v>8</v>
      </c>
      <c r="C666" s="262" t="s">
        <v>1514</v>
      </c>
      <c r="D666" s="497"/>
      <c r="E666" s="498">
        <v>22000</v>
      </c>
      <c r="F666" s="263"/>
      <c r="G666" s="265"/>
    </row>
    <row r="667" spans="1:7">
      <c r="A667" s="261" t="s">
        <v>8</v>
      </c>
      <c r="C667" s="262" t="s">
        <v>1433</v>
      </c>
      <c r="D667" s="497"/>
      <c r="E667" s="498">
        <v>5500</v>
      </c>
      <c r="F667" s="263"/>
      <c r="G667" s="265"/>
    </row>
    <row r="668" spans="1:7">
      <c r="A668" s="261" t="s">
        <v>8</v>
      </c>
      <c r="C668" s="262" t="s">
        <v>1515</v>
      </c>
      <c r="D668" s="497"/>
      <c r="E668" s="498">
        <v>32000</v>
      </c>
      <c r="F668" s="263"/>
      <c r="G668" s="265"/>
    </row>
    <row r="669" spans="1:7">
      <c r="A669" s="261" t="s">
        <v>8</v>
      </c>
      <c r="C669" s="262" t="s">
        <v>1300</v>
      </c>
      <c r="D669" s="497">
        <f>SUM(D615:D668)-SUM(E615:E668)</f>
        <v>-435207</v>
      </c>
      <c r="E669" s="497">
        <f>SUM(E615:E668)-SUM(F615:F668)</f>
        <v>5324567</v>
      </c>
      <c r="F669" s="263"/>
      <c r="G669" s="262"/>
    </row>
    <row r="670" spans="1:7">
      <c r="A670" s="261" t="s">
        <v>8</v>
      </c>
    </row>
    <row r="671" spans="1:7">
      <c r="A671" s="261" t="s">
        <v>8</v>
      </c>
    </row>
    <row r="672" spans="1:7">
      <c r="A672" s="261" t="s">
        <v>8</v>
      </c>
      <c r="B672" s="256" t="s">
        <v>2152</v>
      </c>
      <c r="C672" s="262" t="s">
        <v>1268</v>
      </c>
      <c r="D672" s="498">
        <v>4598510</v>
      </c>
      <c r="E672" s="497"/>
      <c r="F672" s="263"/>
      <c r="G672" s="262"/>
    </row>
    <row r="673" spans="1:7">
      <c r="A673" s="261" t="s">
        <v>8</v>
      </c>
      <c r="C673" s="262" t="s">
        <v>1269</v>
      </c>
      <c r="D673" s="497"/>
      <c r="E673" s="498">
        <v>367000</v>
      </c>
      <c r="F673" s="263"/>
      <c r="G673" s="262" t="s">
        <v>2153</v>
      </c>
    </row>
    <row r="674" spans="1:7">
      <c r="A674" s="261" t="s">
        <v>8</v>
      </c>
      <c r="C674" s="262" t="s">
        <v>1270</v>
      </c>
      <c r="D674" s="497"/>
      <c r="E674" s="498">
        <f>572000</f>
        <v>572000</v>
      </c>
      <c r="F674" s="263"/>
      <c r="G674" s="262"/>
    </row>
    <row r="675" spans="1:7">
      <c r="A675" s="261" t="s">
        <v>8</v>
      </c>
      <c r="C675" s="262" t="s">
        <v>1271</v>
      </c>
      <c r="D675" s="497"/>
      <c r="E675" s="498">
        <v>219860</v>
      </c>
      <c r="F675" s="263"/>
      <c r="G675" s="264"/>
    </row>
    <row r="676" spans="1:7">
      <c r="A676" s="261" t="s">
        <v>8</v>
      </c>
      <c r="C676" s="262" t="s">
        <v>1272</v>
      </c>
      <c r="D676" s="497"/>
      <c r="E676" s="498">
        <v>7180</v>
      </c>
      <c r="F676" s="263"/>
      <c r="G676" s="262"/>
    </row>
    <row r="677" spans="1:7">
      <c r="A677" s="261" t="s">
        <v>8</v>
      </c>
      <c r="C677" s="262" t="s">
        <v>1273</v>
      </c>
      <c r="D677" s="497"/>
      <c r="E677" s="498">
        <v>20980</v>
      </c>
      <c r="F677" s="263"/>
      <c r="G677" s="262"/>
    </row>
    <row r="678" spans="1:7">
      <c r="A678" s="261" t="s">
        <v>8</v>
      </c>
      <c r="C678" s="262" t="s">
        <v>1274</v>
      </c>
      <c r="D678" s="497"/>
      <c r="E678" s="498">
        <v>18550</v>
      </c>
      <c r="F678" s="263"/>
      <c r="G678" s="262"/>
    </row>
    <row r="679" spans="1:7">
      <c r="A679" s="261" t="s">
        <v>8</v>
      </c>
      <c r="C679" s="262" t="s">
        <v>1275</v>
      </c>
      <c r="D679" s="497"/>
      <c r="E679" s="498">
        <v>26450</v>
      </c>
      <c r="F679" s="263"/>
      <c r="G679" s="262"/>
    </row>
    <row r="680" spans="1:7">
      <c r="A680" s="261" t="s">
        <v>8</v>
      </c>
      <c r="C680" s="262" t="s">
        <v>1516</v>
      </c>
      <c r="D680" s="497"/>
      <c r="E680" s="498">
        <v>18816</v>
      </c>
      <c r="F680" s="263"/>
      <c r="G680" s="262"/>
    </row>
    <row r="681" spans="1:7">
      <c r="A681" s="261" t="s">
        <v>8</v>
      </c>
      <c r="C681" s="262" t="s">
        <v>1517</v>
      </c>
      <c r="D681" s="497"/>
      <c r="E681" s="498">
        <v>23230</v>
      </c>
      <c r="F681" s="263"/>
      <c r="G681" s="262"/>
    </row>
    <row r="682" spans="1:7">
      <c r="A682" s="261" t="s">
        <v>8</v>
      </c>
      <c r="C682" s="262" t="s">
        <v>1276</v>
      </c>
      <c r="D682" s="497"/>
      <c r="E682" s="498">
        <v>343600</v>
      </c>
      <c r="F682" s="263"/>
      <c r="G682" s="262"/>
    </row>
    <row r="683" spans="1:7">
      <c r="A683" s="261" t="s">
        <v>8</v>
      </c>
      <c r="C683" s="262" t="s">
        <v>1277</v>
      </c>
      <c r="D683" s="497"/>
      <c r="E683" s="498">
        <v>0</v>
      </c>
      <c r="F683" s="263"/>
      <c r="G683" s="262"/>
    </row>
    <row r="684" spans="1:7">
      <c r="A684" s="261" t="s">
        <v>8</v>
      </c>
      <c r="C684" s="262" t="s">
        <v>1278</v>
      </c>
      <c r="D684" s="497"/>
      <c r="E684" s="498">
        <v>100000</v>
      </c>
      <c r="F684" s="263"/>
      <c r="G684" s="262"/>
    </row>
    <row r="685" spans="1:7">
      <c r="A685" s="261" t="s">
        <v>8</v>
      </c>
      <c r="C685" s="262" t="s">
        <v>1279</v>
      </c>
      <c r="D685" s="497"/>
      <c r="E685" s="499">
        <v>100000</v>
      </c>
      <c r="F685" s="263"/>
      <c r="G685" s="262"/>
    </row>
    <row r="686" spans="1:7">
      <c r="A686" s="261" t="s">
        <v>8</v>
      </c>
      <c r="C686" s="262" t="s">
        <v>1332</v>
      </c>
      <c r="D686" s="497"/>
      <c r="E686" s="498">
        <v>42630</v>
      </c>
      <c r="F686" s="263"/>
      <c r="G686" s="265"/>
    </row>
    <row r="687" spans="1:7">
      <c r="A687" s="261" t="s">
        <v>8</v>
      </c>
      <c r="C687" s="262" t="s">
        <v>1484</v>
      </c>
      <c r="D687" s="497"/>
      <c r="E687" s="498">
        <v>105000</v>
      </c>
      <c r="F687" s="263"/>
      <c r="G687" s="265"/>
    </row>
    <row r="688" spans="1:7">
      <c r="A688" s="261" t="s">
        <v>8</v>
      </c>
      <c r="C688" s="262" t="s">
        <v>1280</v>
      </c>
      <c r="D688" s="497"/>
      <c r="E688" s="498">
        <f>5000*0+50000*3</f>
        <v>150000</v>
      </c>
      <c r="F688" s="263"/>
      <c r="G688" s="265"/>
    </row>
    <row r="689" spans="1:7">
      <c r="A689" s="261" t="s">
        <v>8</v>
      </c>
      <c r="C689" s="262" t="s">
        <v>382</v>
      </c>
      <c r="D689" s="497"/>
      <c r="E689" s="498">
        <f>5000*0+50000*1</f>
        <v>50000</v>
      </c>
      <c r="F689" s="263"/>
      <c r="G689" s="265"/>
    </row>
    <row r="690" spans="1:7">
      <c r="A690" s="261" t="s">
        <v>8</v>
      </c>
      <c r="C690" s="262" t="s">
        <v>1413</v>
      </c>
      <c r="D690" s="497"/>
      <c r="E690" s="498">
        <v>1000000</v>
      </c>
      <c r="F690" s="263"/>
      <c r="G690" s="265"/>
    </row>
    <row r="691" spans="1:7">
      <c r="A691" s="261" t="s">
        <v>8</v>
      </c>
      <c r="C691" s="262" t="s">
        <v>1284</v>
      </c>
      <c r="D691" s="497"/>
      <c r="E691" s="498">
        <f>9380+4100</f>
        <v>13480</v>
      </c>
      <c r="F691" s="263"/>
      <c r="G691" s="265"/>
    </row>
    <row r="692" spans="1:7">
      <c r="A692" s="261" t="s">
        <v>8</v>
      </c>
      <c r="C692" s="262" t="s">
        <v>1315</v>
      </c>
      <c r="D692" s="497"/>
      <c r="E692" s="498">
        <v>30000</v>
      </c>
      <c r="F692" s="263"/>
      <c r="G692" s="265"/>
    </row>
    <row r="693" spans="1:7">
      <c r="A693" s="261" t="s">
        <v>8</v>
      </c>
      <c r="C693" s="262" t="s">
        <v>1309</v>
      </c>
      <c r="D693" s="497"/>
      <c r="E693" s="498">
        <v>9400</v>
      </c>
      <c r="F693" s="263"/>
      <c r="G693" s="265"/>
    </row>
    <row r="694" spans="1:7">
      <c r="A694" s="261" t="s">
        <v>8</v>
      </c>
      <c r="C694" s="262" t="s">
        <v>1518</v>
      </c>
      <c r="D694" s="497"/>
      <c r="E694" s="498">
        <v>100000</v>
      </c>
      <c r="F694" s="263"/>
      <c r="G694" s="265"/>
    </row>
    <row r="695" spans="1:7">
      <c r="A695" s="261" t="s">
        <v>8</v>
      </c>
      <c r="C695" s="262" t="s">
        <v>1367</v>
      </c>
      <c r="D695" s="497"/>
      <c r="E695" s="498">
        <v>4000</v>
      </c>
      <c r="F695" s="263"/>
      <c r="G695" s="265"/>
    </row>
    <row r="696" spans="1:7">
      <c r="A696" s="261" t="s">
        <v>8</v>
      </c>
      <c r="C696" s="262" t="s">
        <v>1465</v>
      </c>
      <c r="D696" s="497"/>
      <c r="E696" s="498">
        <v>3200</v>
      </c>
      <c r="F696" s="263"/>
      <c r="G696" s="265"/>
    </row>
    <row r="697" spans="1:7">
      <c r="A697" s="261" t="s">
        <v>8</v>
      </c>
      <c r="C697" s="262" t="s">
        <v>1323</v>
      </c>
      <c r="D697" s="497"/>
      <c r="E697" s="498">
        <v>2850</v>
      </c>
      <c r="F697" s="263"/>
      <c r="G697" s="265"/>
    </row>
    <row r="698" spans="1:7">
      <c r="A698" s="261" t="s">
        <v>8</v>
      </c>
      <c r="C698" s="262" t="s">
        <v>1289</v>
      </c>
      <c r="D698" s="497"/>
      <c r="E698" s="498">
        <v>5000</v>
      </c>
      <c r="F698" s="263"/>
      <c r="G698" s="265"/>
    </row>
    <row r="699" spans="1:7">
      <c r="A699" s="261" t="s">
        <v>8</v>
      </c>
      <c r="C699" s="262" t="s">
        <v>1283</v>
      </c>
      <c r="D699" s="497"/>
      <c r="E699" s="498">
        <v>87610</v>
      </c>
      <c r="F699" s="263"/>
      <c r="G699" s="265"/>
    </row>
    <row r="700" spans="1:7">
      <c r="A700" s="261" t="s">
        <v>8</v>
      </c>
      <c r="C700" s="262" t="s">
        <v>1519</v>
      </c>
      <c r="D700" s="497"/>
      <c r="E700" s="498">
        <v>5000</v>
      </c>
      <c r="F700" s="263"/>
      <c r="G700" s="265"/>
    </row>
    <row r="701" spans="1:7">
      <c r="A701" s="261" t="s">
        <v>8</v>
      </c>
      <c r="C701" s="262" t="s">
        <v>1325</v>
      </c>
      <c r="D701" s="497"/>
      <c r="E701" s="498">
        <v>17500</v>
      </c>
      <c r="F701" s="263"/>
      <c r="G701" s="265"/>
    </row>
    <row r="702" spans="1:7">
      <c r="A702" s="261" t="s">
        <v>8</v>
      </c>
      <c r="C702" s="262" t="s">
        <v>1302</v>
      </c>
      <c r="D702" s="497"/>
      <c r="E702" s="498">
        <v>32500</v>
      </c>
      <c r="F702" s="263"/>
      <c r="G702" s="265"/>
    </row>
    <row r="703" spans="1:7">
      <c r="A703" s="261" t="s">
        <v>8</v>
      </c>
      <c r="C703" s="262" t="s">
        <v>1450</v>
      </c>
      <c r="D703" s="497"/>
      <c r="E703" s="498">
        <v>19000</v>
      </c>
      <c r="F703" s="263"/>
      <c r="G703" s="265"/>
    </row>
    <row r="704" spans="1:7">
      <c r="A704" s="261" t="s">
        <v>8</v>
      </c>
      <c r="C704" s="262" t="s">
        <v>388</v>
      </c>
      <c r="D704" s="497"/>
      <c r="E704" s="498">
        <f>174602</f>
        <v>174602</v>
      </c>
      <c r="F704" s="263"/>
      <c r="G704" s="265"/>
    </row>
    <row r="705" spans="1:7">
      <c r="A705" s="261" t="s">
        <v>8</v>
      </c>
      <c r="C705" s="262" t="s">
        <v>1520</v>
      </c>
      <c r="D705" s="497"/>
      <c r="E705" s="498">
        <v>220000</v>
      </c>
      <c r="F705" s="263"/>
      <c r="G705" s="265"/>
    </row>
    <row r="706" spans="1:7">
      <c r="A706" s="261" t="s">
        <v>8</v>
      </c>
      <c r="C706" s="262" t="s">
        <v>1521</v>
      </c>
      <c r="D706" s="497"/>
      <c r="E706" s="498">
        <v>28000</v>
      </c>
      <c r="F706" s="263"/>
      <c r="G706" s="265"/>
    </row>
    <row r="707" spans="1:7">
      <c r="A707" s="261" t="s">
        <v>8</v>
      </c>
      <c r="C707" s="262" t="s">
        <v>1522</v>
      </c>
      <c r="D707" s="497"/>
      <c r="E707" s="498">
        <v>35500</v>
      </c>
      <c r="F707" s="263"/>
      <c r="G707" s="265"/>
    </row>
    <row r="708" spans="1:7">
      <c r="A708" s="261" t="s">
        <v>8</v>
      </c>
      <c r="C708" s="262" t="s">
        <v>1316</v>
      </c>
      <c r="D708" s="497"/>
      <c r="E708" s="498">
        <v>48000</v>
      </c>
      <c r="F708" s="263"/>
      <c r="G708" s="265"/>
    </row>
    <row r="709" spans="1:7">
      <c r="A709" s="261" t="s">
        <v>8</v>
      </c>
      <c r="C709" s="262" t="s">
        <v>1371</v>
      </c>
      <c r="D709" s="497"/>
      <c r="E709" s="498">
        <v>4990</v>
      </c>
      <c r="F709" s="263"/>
      <c r="G709" s="265"/>
    </row>
    <row r="710" spans="1:7">
      <c r="A710" s="261" t="s">
        <v>8</v>
      </c>
      <c r="C710" s="262" t="s">
        <v>1523</v>
      </c>
      <c r="D710" s="497"/>
      <c r="E710" s="498">
        <v>25500</v>
      </c>
      <c r="F710" s="263"/>
      <c r="G710" s="265"/>
    </row>
    <row r="711" spans="1:7">
      <c r="A711" s="261" t="s">
        <v>8</v>
      </c>
      <c r="C711" s="262" t="s">
        <v>1300</v>
      </c>
      <c r="D711" s="497">
        <f>SUM(D672:D710)-SUM(E672:E710)</f>
        <v>567082</v>
      </c>
      <c r="E711" s="497">
        <f>SUM(E672:E710)-SUM(F672:F710)</f>
        <v>4031428</v>
      </c>
      <c r="F711" s="263"/>
      <c r="G711" s="262"/>
    </row>
    <row r="712" spans="1:7">
      <c r="A712" s="261" t="s">
        <v>8</v>
      </c>
    </row>
    <row r="713" spans="1:7">
      <c r="A713" s="261" t="s">
        <v>8</v>
      </c>
    </row>
    <row r="714" spans="1:7">
      <c r="A714" s="261" t="s">
        <v>8</v>
      </c>
      <c r="B714" s="256" t="s">
        <v>2154</v>
      </c>
      <c r="C714" s="262" t="s">
        <v>1268</v>
      </c>
      <c r="D714" s="498">
        <v>4663510</v>
      </c>
      <c r="E714" s="497"/>
      <c r="F714" s="263"/>
      <c r="G714" s="262"/>
    </row>
    <row r="715" spans="1:7">
      <c r="A715" s="261" t="s">
        <v>8</v>
      </c>
      <c r="C715" s="262" t="s">
        <v>1269</v>
      </c>
      <c r="D715" s="497"/>
      <c r="E715" s="498">
        <v>432000</v>
      </c>
      <c r="F715" s="263"/>
      <c r="G715" s="262" t="s">
        <v>2155</v>
      </c>
    </row>
    <row r="716" spans="1:7">
      <c r="A716" s="261" t="s">
        <v>8</v>
      </c>
      <c r="C716" s="262" t="s">
        <v>1270</v>
      </c>
      <c r="D716" s="497"/>
      <c r="E716" s="498">
        <f>577600</f>
        <v>577600</v>
      </c>
      <c r="F716" s="263"/>
      <c r="G716" s="262"/>
    </row>
    <row r="717" spans="1:7">
      <c r="A717" s="261" t="s">
        <v>8</v>
      </c>
      <c r="C717" s="262" t="s">
        <v>1271</v>
      </c>
      <c r="D717" s="497"/>
      <c r="E717" s="498">
        <v>164160</v>
      </c>
      <c r="F717" s="263"/>
      <c r="G717" s="264"/>
    </row>
    <row r="718" spans="1:7">
      <c r="A718" s="261" t="s">
        <v>8</v>
      </c>
      <c r="C718" s="262" t="s">
        <v>1272</v>
      </c>
      <c r="D718" s="497"/>
      <c r="E718" s="498">
        <v>7180</v>
      </c>
      <c r="F718" s="263"/>
      <c r="G718" s="262"/>
    </row>
    <row r="719" spans="1:7">
      <c r="A719" s="261" t="s">
        <v>8</v>
      </c>
      <c r="C719" s="262" t="s">
        <v>1273</v>
      </c>
      <c r="D719" s="497"/>
      <c r="E719" s="498">
        <v>20980</v>
      </c>
      <c r="F719" s="263"/>
      <c r="G719" s="262"/>
    </row>
    <row r="720" spans="1:7">
      <c r="A720" s="261" t="s">
        <v>8</v>
      </c>
      <c r="C720" s="262" t="s">
        <v>1274</v>
      </c>
      <c r="D720" s="497"/>
      <c r="E720" s="498">
        <v>18550</v>
      </c>
      <c r="F720" s="263"/>
      <c r="G720" s="262"/>
    </row>
    <row r="721" spans="1:7">
      <c r="A721" s="261" t="s">
        <v>8</v>
      </c>
      <c r="C721" s="262" t="s">
        <v>1275</v>
      </c>
      <c r="D721" s="497"/>
      <c r="E721" s="498">
        <v>26450</v>
      </c>
      <c r="F721" s="263"/>
      <c r="G721" s="262"/>
    </row>
    <row r="722" spans="1:7">
      <c r="A722" s="261" t="s">
        <v>8</v>
      </c>
      <c r="C722" s="262" t="s">
        <v>1516</v>
      </c>
      <c r="D722" s="497"/>
      <c r="E722" s="498">
        <v>0</v>
      </c>
      <c r="F722" s="263"/>
      <c r="G722" s="262"/>
    </row>
    <row r="723" spans="1:7">
      <c r="A723" s="261" t="s">
        <v>8</v>
      </c>
      <c r="C723" s="262" t="s">
        <v>1517</v>
      </c>
      <c r="D723" s="497"/>
      <c r="E723" s="498">
        <v>23230</v>
      </c>
      <c r="F723" s="263"/>
      <c r="G723" s="262"/>
    </row>
    <row r="724" spans="1:7">
      <c r="A724" s="261" t="s">
        <v>8</v>
      </c>
      <c r="C724" s="262" t="s">
        <v>1276</v>
      </c>
      <c r="D724" s="497"/>
      <c r="E724" s="498">
        <v>206570</v>
      </c>
      <c r="F724" s="263"/>
      <c r="G724" s="262"/>
    </row>
    <row r="725" spans="1:7">
      <c r="A725" s="261" t="s">
        <v>8</v>
      </c>
      <c r="C725" s="262" t="s">
        <v>1277</v>
      </c>
      <c r="D725" s="497"/>
      <c r="E725" s="498">
        <v>24290</v>
      </c>
      <c r="F725" s="263"/>
      <c r="G725" s="262"/>
    </row>
    <row r="726" spans="1:7">
      <c r="A726" s="261" t="s">
        <v>8</v>
      </c>
      <c r="C726" s="262" t="s">
        <v>1278</v>
      </c>
      <c r="D726" s="497"/>
      <c r="E726" s="498">
        <v>100000</v>
      </c>
      <c r="F726" s="263"/>
      <c r="G726" s="262"/>
    </row>
    <row r="727" spans="1:7">
      <c r="A727" s="261" t="s">
        <v>8</v>
      </c>
      <c r="C727" s="262" t="s">
        <v>1279</v>
      </c>
      <c r="D727" s="497"/>
      <c r="E727" s="499">
        <v>100000</v>
      </c>
      <c r="F727" s="263"/>
      <c r="G727" s="262"/>
    </row>
    <row r="728" spans="1:7">
      <c r="A728" s="261" t="s">
        <v>8</v>
      </c>
      <c r="C728" s="262" t="s">
        <v>1332</v>
      </c>
      <c r="D728" s="497"/>
      <c r="E728" s="498">
        <v>42630</v>
      </c>
      <c r="F728" s="263"/>
      <c r="G728" s="265"/>
    </row>
    <row r="729" spans="1:7">
      <c r="A729" s="261" t="s">
        <v>8</v>
      </c>
      <c r="C729" s="262" t="s">
        <v>1484</v>
      </c>
      <c r="D729" s="497"/>
      <c r="E729" s="498">
        <v>105000</v>
      </c>
      <c r="F729" s="263"/>
      <c r="G729" s="265"/>
    </row>
    <row r="730" spans="1:7">
      <c r="A730" s="261" t="s">
        <v>8</v>
      </c>
      <c r="C730" s="262" t="s">
        <v>1280</v>
      </c>
      <c r="D730" s="497"/>
      <c r="E730" s="498">
        <f>5000*0+50000*2</f>
        <v>100000</v>
      </c>
      <c r="F730" s="263"/>
      <c r="G730" s="265"/>
    </row>
    <row r="731" spans="1:7">
      <c r="A731" s="261" t="s">
        <v>8</v>
      </c>
      <c r="C731" s="262" t="s">
        <v>382</v>
      </c>
      <c r="D731" s="497"/>
      <c r="E731" s="498">
        <f>5000*0+50000*0</f>
        <v>0</v>
      </c>
      <c r="F731" s="263"/>
      <c r="G731" s="265"/>
    </row>
    <row r="732" spans="1:7">
      <c r="A732" s="261" t="s">
        <v>8</v>
      </c>
      <c r="C732" s="262" t="s">
        <v>1413</v>
      </c>
      <c r="D732" s="497"/>
      <c r="E732" s="498">
        <v>1000000</v>
      </c>
      <c r="F732" s="263"/>
      <c r="G732" s="265"/>
    </row>
    <row r="733" spans="1:7">
      <c r="A733" s="261" t="s">
        <v>8</v>
      </c>
      <c r="C733" s="262" t="s">
        <v>1284</v>
      </c>
      <c r="D733" s="497"/>
      <c r="E733" s="498">
        <f>0</f>
        <v>0</v>
      </c>
      <c r="F733" s="263"/>
      <c r="G733" s="265"/>
    </row>
    <row r="734" spans="1:7">
      <c r="A734" s="261" t="s">
        <v>8</v>
      </c>
      <c r="C734" s="262" t="s">
        <v>1315</v>
      </c>
      <c r="D734" s="497"/>
      <c r="E734" s="498">
        <v>30000</v>
      </c>
      <c r="F734" s="263"/>
      <c r="G734" s="265"/>
    </row>
    <row r="735" spans="1:7">
      <c r="A735" s="261" t="s">
        <v>8</v>
      </c>
      <c r="C735" s="262" t="s">
        <v>1309</v>
      </c>
      <c r="D735" s="497"/>
      <c r="E735" s="498">
        <v>0</v>
      </c>
      <c r="F735" s="263"/>
      <c r="G735" s="265"/>
    </row>
    <row r="736" spans="1:7">
      <c r="A736" s="261" t="s">
        <v>8</v>
      </c>
      <c r="C736" s="262" t="s">
        <v>1518</v>
      </c>
      <c r="D736" s="497"/>
      <c r="E736" s="498">
        <v>0</v>
      </c>
      <c r="F736" s="263"/>
      <c r="G736" s="265"/>
    </row>
    <row r="737" spans="1:7">
      <c r="A737" s="261" t="s">
        <v>8</v>
      </c>
      <c r="C737" s="262" t="s">
        <v>1524</v>
      </c>
      <c r="D737" s="497"/>
      <c r="E737" s="498">
        <v>11600</v>
      </c>
      <c r="F737" s="263"/>
      <c r="G737" s="265"/>
    </row>
    <row r="738" spans="1:7">
      <c r="A738" s="261" t="s">
        <v>8</v>
      </c>
      <c r="C738" s="262" t="s">
        <v>1525</v>
      </c>
      <c r="D738" s="497"/>
      <c r="E738" s="498">
        <v>55000</v>
      </c>
      <c r="F738" s="263"/>
      <c r="G738" s="265"/>
    </row>
    <row r="739" spans="1:7">
      <c r="A739" s="261" t="s">
        <v>8</v>
      </c>
      <c r="C739" s="262" t="s">
        <v>1526</v>
      </c>
      <c r="D739" s="497"/>
      <c r="E739" s="498">
        <v>100000</v>
      </c>
      <c r="F739" s="263"/>
      <c r="G739" s="265"/>
    </row>
    <row r="740" spans="1:7">
      <c r="A740" s="261" t="s">
        <v>8</v>
      </c>
      <c r="C740" s="262" t="s">
        <v>1289</v>
      </c>
      <c r="D740" s="497"/>
      <c r="E740" s="498">
        <v>0</v>
      </c>
      <c r="F740" s="263"/>
      <c r="G740" s="265"/>
    </row>
    <row r="741" spans="1:7">
      <c r="A741" s="261" t="s">
        <v>8</v>
      </c>
      <c r="C741" s="262" t="s">
        <v>1283</v>
      </c>
      <c r="D741" s="497"/>
      <c r="E741" s="498">
        <v>116090</v>
      </c>
      <c r="F741" s="263"/>
      <c r="G741" s="265"/>
    </row>
    <row r="742" spans="1:7">
      <c r="A742" s="261" t="s">
        <v>8</v>
      </c>
      <c r="C742" s="262" t="s">
        <v>1339</v>
      </c>
      <c r="D742" s="497"/>
      <c r="E742" s="498">
        <v>3600</v>
      </c>
      <c r="F742" s="263"/>
      <c r="G742" s="265"/>
    </row>
    <row r="743" spans="1:7">
      <c r="A743" s="261" t="s">
        <v>8</v>
      </c>
      <c r="C743" s="262" t="s">
        <v>1323</v>
      </c>
      <c r="D743" s="497"/>
      <c r="E743" s="498">
        <v>3400</v>
      </c>
      <c r="F743" s="263"/>
      <c r="G743" s="265"/>
    </row>
    <row r="744" spans="1:7">
      <c r="A744" s="261" t="s">
        <v>8</v>
      </c>
      <c r="C744" s="262" t="s">
        <v>1302</v>
      </c>
      <c r="D744" s="497"/>
      <c r="E744" s="498">
        <v>69400</v>
      </c>
      <c r="F744" s="263"/>
      <c r="G744" s="265"/>
    </row>
    <row r="745" spans="1:7">
      <c r="A745" s="261" t="s">
        <v>8</v>
      </c>
      <c r="C745" s="262" t="s">
        <v>1450</v>
      </c>
      <c r="D745" s="497"/>
      <c r="E745" s="498">
        <v>0</v>
      </c>
      <c r="F745" s="263"/>
      <c r="G745" s="265"/>
    </row>
    <row r="746" spans="1:7">
      <c r="A746" s="261" t="s">
        <v>8</v>
      </c>
      <c r="C746" s="262" t="s">
        <v>388</v>
      </c>
      <c r="D746" s="497"/>
      <c r="E746" s="498">
        <v>357508</v>
      </c>
      <c r="F746" s="263"/>
      <c r="G746" s="265"/>
    </row>
    <row r="747" spans="1:7">
      <c r="A747" s="261" t="s">
        <v>8</v>
      </c>
      <c r="C747" s="262" t="s">
        <v>1365</v>
      </c>
      <c r="D747" s="497"/>
      <c r="E747" s="498">
        <v>17500</v>
      </c>
      <c r="F747" s="263"/>
      <c r="G747" s="265"/>
    </row>
    <row r="748" spans="1:7">
      <c r="A748" s="261" t="s">
        <v>8</v>
      </c>
      <c r="C748" s="262" t="s">
        <v>1527</v>
      </c>
      <c r="D748" s="497"/>
      <c r="E748" s="498">
        <v>32900</v>
      </c>
      <c r="F748" s="263"/>
      <c r="G748" s="265"/>
    </row>
    <row r="749" spans="1:7">
      <c r="A749" s="261" t="s">
        <v>8</v>
      </c>
      <c r="C749" s="262" t="s">
        <v>1297</v>
      </c>
      <c r="D749" s="497"/>
      <c r="E749" s="498">
        <v>20000</v>
      </c>
      <c r="F749" s="263"/>
      <c r="G749" s="265"/>
    </row>
    <row r="750" spans="1:7">
      <c r="A750" s="261" t="s">
        <v>8</v>
      </c>
      <c r="C750" s="262" t="s">
        <v>1316</v>
      </c>
      <c r="D750" s="497"/>
      <c r="E750" s="498">
        <v>18000</v>
      </c>
      <c r="F750" s="263"/>
      <c r="G750" s="265"/>
    </row>
    <row r="751" spans="1:7">
      <c r="A751" s="261" t="s">
        <v>8</v>
      </c>
      <c r="C751" s="262" t="s">
        <v>1371</v>
      </c>
      <c r="D751" s="497"/>
      <c r="E751" s="498">
        <v>0</v>
      </c>
      <c r="F751" s="263"/>
      <c r="G751" s="265"/>
    </row>
    <row r="752" spans="1:7">
      <c r="A752" s="261" t="s">
        <v>8</v>
      </c>
      <c r="C752" s="262" t="s">
        <v>389</v>
      </c>
      <c r="D752" s="497"/>
      <c r="E752" s="498">
        <v>50000</v>
      </c>
      <c r="F752" s="263"/>
      <c r="G752" s="265"/>
    </row>
    <row r="753" spans="1:7">
      <c r="A753" s="261" t="s">
        <v>8</v>
      </c>
      <c r="C753" s="262" t="s">
        <v>1528</v>
      </c>
      <c r="D753" s="497"/>
      <c r="E753" s="498">
        <v>50000</v>
      </c>
      <c r="F753" s="263"/>
      <c r="G753" s="265"/>
    </row>
    <row r="754" spans="1:7">
      <c r="A754" s="261" t="s">
        <v>8</v>
      </c>
      <c r="C754" s="262" t="s">
        <v>386</v>
      </c>
      <c r="D754" s="497"/>
      <c r="E754" s="498">
        <f>116900</f>
        <v>116900</v>
      </c>
      <c r="F754" s="263"/>
      <c r="G754" s="265"/>
    </row>
    <row r="755" spans="1:7">
      <c r="A755" s="261" t="s">
        <v>8</v>
      </c>
      <c r="C755" s="262" t="s">
        <v>1352</v>
      </c>
      <c r="D755" s="497"/>
      <c r="E755" s="498">
        <v>1250</v>
      </c>
      <c r="F755" s="263"/>
      <c r="G755" s="265"/>
    </row>
    <row r="756" spans="1:7">
      <c r="A756" s="261" t="s">
        <v>8</v>
      </c>
      <c r="C756" s="262" t="s">
        <v>1529</v>
      </c>
      <c r="D756" s="497"/>
      <c r="E756" s="498">
        <v>26500</v>
      </c>
      <c r="F756" s="263"/>
      <c r="G756" s="265"/>
    </row>
    <row r="757" spans="1:7">
      <c r="A757" s="261" t="s">
        <v>8</v>
      </c>
      <c r="C757" s="262" t="s">
        <v>1519</v>
      </c>
      <c r="D757" s="497"/>
      <c r="E757" s="498">
        <v>4000</v>
      </c>
      <c r="F757" s="263"/>
      <c r="G757" s="265"/>
    </row>
    <row r="758" spans="1:7">
      <c r="A758" s="261" t="s">
        <v>8</v>
      </c>
      <c r="C758" s="262" t="s">
        <v>1530</v>
      </c>
      <c r="D758" s="497"/>
      <c r="E758" s="498">
        <v>23300</v>
      </c>
      <c r="F758" s="263"/>
      <c r="G758" s="265"/>
    </row>
    <row r="759" spans="1:7">
      <c r="A759" s="261" t="s">
        <v>8</v>
      </c>
      <c r="C759" s="262" t="s">
        <v>385</v>
      </c>
      <c r="D759" s="497"/>
      <c r="E759" s="498">
        <v>11600</v>
      </c>
      <c r="F759" s="263"/>
      <c r="G759" s="265"/>
    </row>
    <row r="760" spans="1:7">
      <c r="A760" s="261" t="s">
        <v>8</v>
      </c>
      <c r="C760" s="262" t="s">
        <v>1531</v>
      </c>
      <c r="D760" s="497"/>
      <c r="E760" s="498">
        <v>20000</v>
      </c>
      <c r="F760" s="263"/>
      <c r="G760" s="265"/>
    </row>
    <row r="761" spans="1:7">
      <c r="A761" s="261" t="s">
        <v>8</v>
      </c>
      <c r="C761" s="262" t="s">
        <v>1468</v>
      </c>
      <c r="D761" s="497"/>
      <c r="E761" s="498">
        <v>35000</v>
      </c>
      <c r="F761" s="263"/>
      <c r="G761" s="265"/>
    </row>
    <row r="762" spans="1:7">
      <c r="A762" s="261" t="s">
        <v>8</v>
      </c>
      <c r="C762" s="262" t="s">
        <v>1532</v>
      </c>
      <c r="D762" s="497"/>
      <c r="E762" s="498">
        <v>3000</v>
      </c>
      <c r="F762" s="263"/>
      <c r="G762" s="265"/>
    </row>
    <row r="763" spans="1:7">
      <c r="A763" s="261" t="s">
        <v>8</v>
      </c>
      <c r="C763" s="262" t="s">
        <v>1533</v>
      </c>
      <c r="D763" s="497"/>
      <c r="E763" s="498">
        <v>526170</v>
      </c>
      <c r="F763" s="263"/>
      <c r="G763" s="265"/>
    </row>
    <row r="764" spans="1:7">
      <c r="A764" s="261" t="s">
        <v>8</v>
      </c>
      <c r="C764" s="262" t="s">
        <v>1534</v>
      </c>
      <c r="D764" s="497"/>
      <c r="E764" s="498">
        <v>22800</v>
      </c>
      <c r="F764" s="263"/>
      <c r="G764" s="265"/>
    </row>
    <row r="765" spans="1:7">
      <c r="A765" s="261" t="s">
        <v>8</v>
      </c>
      <c r="C765" s="262" t="s">
        <v>1535</v>
      </c>
      <c r="D765" s="497"/>
      <c r="E765" s="498">
        <v>100000</v>
      </c>
      <c r="F765" s="263"/>
      <c r="G765" s="265"/>
    </row>
    <row r="766" spans="1:7">
      <c r="A766" s="261" t="s">
        <v>8</v>
      </c>
      <c r="C766" s="262" t="s">
        <v>1341</v>
      </c>
      <c r="D766" s="497"/>
      <c r="E766" s="498">
        <v>3200</v>
      </c>
      <c r="F766" s="263"/>
      <c r="G766" s="265"/>
    </row>
    <row r="767" spans="1:7">
      <c r="A767" s="261" t="s">
        <v>8</v>
      </c>
      <c r="C767" s="262" t="s">
        <v>1338</v>
      </c>
      <c r="D767" s="497"/>
      <c r="E767" s="498">
        <v>2600</v>
      </c>
      <c r="F767" s="263"/>
      <c r="G767" s="265"/>
    </row>
    <row r="768" spans="1:7">
      <c r="A768" s="261" t="s">
        <v>8</v>
      </c>
      <c r="C768" s="262" t="s">
        <v>1363</v>
      </c>
      <c r="D768" s="497"/>
      <c r="E768" s="498">
        <v>6000</v>
      </c>
      <c r="F768" s="263"/>
      <c r="G768" s="265"/>
    </row>
    <row r="769" spans="1:7">
      <c r="A769" s="261" t="s">
        <v>8</v>
      </c>
      <c r="C769" s="262" t="s">
        <v>1536</v>
      </c>
      <c r="D769" s="497"/>
      <c r="E769" s="498">
        <v>22900</v>
      </c>
      <c r="F769" s="263"/>
      <c r="G769" s="265"/>
    </row>
    <row r="770" spans="1:7">
      <c r="A770" s="261" t="s">
        <v>8</v>
      </c>
      <c r="C770" s="262" t="s">
        <v>1537</v>
      </c>
      <c r="D770" s="497"/>
      <c r="E770" s="498">
        <v>17000</v>
      </c>
      <c r="F770" s="263"/>
      <c r="G770" s="265"/>
    </row>
    <row r="771" spans="1:7">
      <c r="A771" s="261" t="s">
        <v>8</v>
      </c>
      <c r="C771" s="262" t="s">
        <v>1538</v>
      </c>
      <c r="D771" s="497"/>
      <c r="E771" s="498">
        <v>54040</v>
      </c>
      <c r="F771" s="263"/>
      <c r="G771" s="265"/>
    </row>
    <row r="772" spans="1:7">
      <c r="A772" s="261" t="s">
        <v>8</v>
      </c>
      <c r="C772" s="262" t="s">
        <v>1351</v>
      </c>
      <c r="D772" s="497"/>
      <c r="E772" s="498">
        <v>50000</v>
      </c>
      <c r="F772" s="263"/>
      <c r="G772" s="265"/>
    </row>
    <row r="773" spans="1:7">
      <c r="A773" s="261" t="s">
        <v>8</v>
      </c>
      <c r="C773" s="262" t="s">
        <v>1539</v>
      </c>
      <c r="D773" s="497"/>
      <c r="E773" s="498">
        <v>34000</v>
      </c>
      <c r="F773" s="263"/>
      <c r="G773" s="265"/>
    </row>
    <row r="774" spans="1:7">
      <c r="A774" s="261" t="s">
        <v>8</v>
      </c>
      <c r="C774" s="262" t="s">
        <v>1519</v>
      </c>
      <c r="D774" s="497"/>
      <c r="E774" s="498">
        <v>3000</v>
      </c>
      <c r="F774" s="263"/>
      <c r="G774" s="265"/>
    </row>
    <row r="775" spans="1:7">
      <c r="A775" s="261" t="s">
        <v>8</v>
      </c>
      <c r="C775" s="262" t="s">
        <v>1540</v>
      </c>
      <c r="D775" s="497"/>
      <c r="E775" s="498">
        <v>16000</v>
      </c>
      <c r="F775" s="263"/>
      <c r="G775" s="265"/>
    </row>
    <row r="776" spans="1:7">
      <c r="A776" s="261" t="s">
        <v>8</v>
      </c>
      <c r="C776" s="262" t="s">
        <v>1541</v>
      </c>
      <c r="D776" s="497"/>
      <c r="E776" s="498">
        <v>1100</v>
      </c>
      <c r="F776" s="263"/>
      <c r="G776" s="265"/>
    </row>
    <row r="777" spans="1:7">
      <c r="A777" s="261" t="s">
        <v>8</v>
      </c>
      <c r="C777" s="262" t="s">
        <v>1542</v>
      </c>
      <c r="D777" s="497"/>
      <c r="E777" s="498">
        <v>15000</v>
      </c>
      <c r="F777" s="263"/>
      <c r="G777" s="265"/>
    </row>
    <row r="778" spans="1:7">
      <c r="A778" s="261" t="s">
        <v>8</v>
      </c>
      <c r="C778" s="262" t="s">
        <v>1430</v>
      </c>
      <c r="D778" s="497"/>
      <c r="E778" s="498">
        <v>44000</v>
      </c>
      <c r="F778" s="263"/>
      <c r="G778" s="265"/>
    </row>
    <row r="779" spans="1:7">
      <c r="A779" s="261" t="s">
        <v>8</v>
      </c>
      <c r="C779" s="262" t="s">
        <v>1396</v>
      </c>
      <c r="D779" s="498">
        <v>688</v>
      </c>
      <c r="E779" s="497"/>
      <c r="F779" s="263"/>
      <c r="G779" s="265"/>
    </row>
    <row r="780" spans="1:7">
      <c r="A780" s="261" t="s">
        <v>8</v>
      </c>
      <c r="C780" s="262" t="s">
        <v>1543</v>
      </c>
      <c r="D780" s="497"/>
      <c r="E780" s="498">
        <v>14900</v>
      </c>
      <c r="F780" s="263"/>
      <c r="G780" s="265"/>
    </row>
    <row r="781" spans="1:7">
      <c r="A781" s="261" t="s">
        <v>8</v>
      </c>
      <c r="C781" s="262" t="s">
        <v>1544</v>
      </c>
      <c r="D781" s="497"/>
      <c r="E781" s="498">
        <v>4000</v>
      </c>
      <c r="F781" s="263"/>
      <c r="G781" s="265"/>
    </row>
    <row r="782" spans="1:7">
      <c r="A782" s="261" t="s">
        <v>8</v>
      </c>
      <c r="C782" s="262" t="s">
        <v>386</v>
      </c>
      <c r="D782" s="497"/>
      <c r="E782" s="498">
        <v>53800</v>
      </c>
      <c r="F782" s="263"/>
      <c r="G782" s="265"/>
    </row>
    <row r="783" spans="1:7">
      <c r="A783" s="261" t="s">
        <v>8</v>
      </c>
      <c r="C783" s="262" t="s">
        <v>1300</v>
      </c>
      <c r="D783" s="497">
        <f>SUM(D714:D782)-SUM(E714:E782)</f>
        <v>-451500</v>
      </c>
      <c r="E783" s="497">
        <f>SUM(E714:E782)-SUM(F714:F782)</f>
        <v>5115698</v>
      </c>
      <c r="F783" s="263"/>
      <c r="G783" s="262"/>
    </row>
    <row r="784" spans="1:7">
      <c r="A784" s="261" t="s">
        <v>8</v>
      </c>
    </row>
    <row r="785" spans="1:7">
      <c r="A785" s="261" t="s">
        <v>8</v>
      </c>
    </row>
    <row r="786" spans="1:7">
      <c r="A786" s="261" t="s">
        <v>8</v>
      </c>
      <c r="B786" s="256" t="s">
        <v>2156</v>
      </c>
      <c r="C786" s="262" t="s">
        <v>1268</v>
      </c>
      <c r="D786" s="498">
        <v>4879445</v>
      </c>
      <c r="E786" s="497"/>
      <c r="F786" s="263"/>
      <c r="G786" s="262"/>
    </row>
    <row r="787" spans="1:7">
      <c r="A787" s="261" t="s">
        <v>8</v>
      </c>
      <c r="C787" s="262" t="s">
        <v>1269</v>
      </c>
      <c r="D787" s="497"/>
      <c r="E787" s="498">
        <v>377000</v>
      </c>
      <c r="F787" s="263"/>
      <c r="G787" s="262" t="s">
        <v>2157</v>
      </c>
    </row>
    <row r="788" spans="1:7">
      <c r="A788" s="261" t="s">
        <v>8</v>
      </c>
      <c r="C788" s="262" t="s">
        <v>1270</v>
      </c>
      <c r="D788" s="497"/>
      <c r="E788" s="498">
        <f>613000</f>
        <v>613000</v>
      </c>
      <c r="F788" s="263"/>
      <c r="G788" s="262"/>
    </row>
    <row r="789" spans="1:7">
      <c r="A789" s="261" t="s">
        <v>8</v>
      </c>
      <c r="C789" s="262" t="s">
        <v>1271</v>
      </c>
      <c r="D789" s="497"/>
      <c r="E789" s="498">
        <v>237110</v>
      </c>
      <c r="F789" s="263"/>
      <c r="G789" s="264"/>
    </row>
    <row r="790" spans="1:7">
      <c r="A790" s="261" t="s">
        <v>8</v>
      </c>
      <c r="C790" s="262" t="s">
        <v>1272</v>
      </c>
      <c r="D790" s="497"/>
      <c r="E790" s="498">
        <v>7180</v>
      </c>
      <c r="F790" s="263"/>
      <c r="G790" s="262"/>
    </row>
    <row r="791" spans="1:7">
      <c r="A791" s="261" t="s">
        <v>8</v>
      </c>
      <c r="C791" s="262" t="s">
        <v>1273</v>
      </c>
      <c r="D791" s="497"/>
      <c r="E791" s="498">
        <v>20980</v>
      </c>
      <c r="F791" s="263"/>
      <c r="G791" s="262"/>
    </row>
    <row r="792" spans="1:7">
      <c r="A792" s="261" t="s">
        <v>8</v>
      </c>
      <c r="C792" s="262" t="s">
        <v>1274</v>
      </c>
      <c r="D792" s="497"/>
      <c r="E792" s="498">
        <v>18550</v>
      </c>
      <c r="F792" s="263"/>
      <c r="G792" s="262"/>
    </row>
    <row r="793" spans="1:7">
      <c r="A793" s="261" t="s">
        <v>8</v>
      </c>
      <c r="C793" s="262" t="s">
        <v>1275</v>
      </c>
      <c r="D793" s="497"/>
      <c r="E793" s="498">
        <v>26450</v>
      </c>
      <c r="F793" s="263"/>
      <c r="G793" s="262"/>
    </row>
    <row r="794" spans="1:7">
      <c r="A794" s="261" t="s">
        <v>8</v>
      </c>
      <c r="C794" s="262" t="s">
        <v>1516</v>
      </c>
      <c r="D794" s="497"/>
      <c r="E794" s="498">
        <v>18816</v>
      </c>
      <c r="F794" s="263"/>
      <c r="G794" s="262"/>
    </row>
    <row r="795" spans="1:7">
      <c r="A795" s="261" t="s">
        <v>8</v>
      </c>
      <c r="C795" s="262" t="s">
        <v>1517</v>
      </c>
      <c r="D795" s="497"/>
      <c r="E795" s="498">
        <v>23230</v>
      </c>
      <c r="F795" s="263"/>
      <c r="G795" s="262"/>
    </row>
    <row r="796" spans="1:7">
      <c r="A796" s="261" t="s">
        <v>8</v>
      </c>
      <c r="C796" s="262" t="s">
        <v>1276</v>
      </c>
      <c r="D796" s="497"/>
      <c r="E796" s="498">
        <v>246000</v>
      </c>
      <c r="F796" s="263"/>
      <c r="G796" s="262"/>
    </row>
    <row r="797" spans="1:7">
      <c r="A797" s="261" t="s">
        <v>8</v>
      </c>
      <c r="C797" s="262" t="s">
        <v>1277</v>
      </c>
      <c r="D797" s="497"/>
      <c r="E797" s="498">
        <v>82100</v>
      </c>
      <c r="F797" s="263"/>
      <c r="G797" s="262"/>
    </row>
    <row r="798" spans="1:7">
      <c r="A798" s="261" t="s">
        <v>8</v>
      </c>
      <c r="C798" s="262" t="s">
        <v>1278</v>
      </c>
      <c r="D798" s="497"/>
      <c r="E798" s="498">
        <v>100000</v>
      </c>
      <c r="F798" s="263"/>
      <c r="G798" s="262"/>
    </row>
    <row r="799" spans="1:7">
      <c r="A799" s="261" t="s">
        <v>8</v>
      </c>
      <c r="C799" s="262" t="s">
        <v>1484</v>
      </c>
      <c r="D799" s="497"/>
      <c r="E799" s="498">
        <v>105000</v>
      </c>
      <c r="F799" s="263"/>
      <c r="G799" s="265"/>
    </row>
    <row r="800" spans="1:7">
      <c r="A800" s="261" t="s">
        <v>8</v>
      </c>
      <c r="C800" s="262" t="s">
        <v>1280</v>
      </c>
      <c r="D800" s="497"/>
      <c r="E800" s="498">
        <f>5000*1+50000*3</f>
        <v>155000</v>
      </c>
      <c r="F800" s="263"/>
      <c r="G800" s="265"/>
    </row>
    <row r="801" spans="1:7">
      <c r="A801" s="261" t="s">
        <v>8</v>
      </c>
      <c r="C801" s="262" t="s">
        <v>382</v>
      </c>
      <c r="D801" s="497"/>
      <c r="E801" s="497">
        <f>5000*0+50000*0</f>
        <v>0</v>
      </c>
      <c r="F801" s="263"/>
      <c r="G801" s="265"/>
    </row>
    <row r="802" spans="1:7">
      <c r="A802" s="261" t="s">
        <v>8</v>
      </c>
      <c r="C802" s="262" t="s">
        <v>1413</v>
      </c>
      <c r="D802" s="497"/>
      <c r="E802" s="498">
        <v>1000000</v>
      </c>
      <c r="F802" s="263"/>
      <c r="G802" s="265"/>
    </row>
    <row r="803" spans="1:7">
      <c r="A803" s="261" t="s">
        <v>8</v>
      </c>
      <c r="C803" s="262" t="s">
        <v>1284</v>
      </c>
      <c r="D803" s="497"/>
      <c r="E803" s="498">
        <f>56620+19373</f>
        <v>75993</v>
      </c>
      <c r="F803" s="263"/>
      <c r="G803" s="265"/>
    </row>
    <row r="804" spans="1:7">
      <c r="A804" s="261" t="s">
        <v>8</v>
      </c>
      <c r="C804" s="262" t="s">
        <v>1296</v>
      </c>
      <c r="D804" s="497"/>
      <c r="E804" s="498">
        <v>82000</v>
      </c>
      <c r="F804" s="263"/>
      <c r="G804" s="265"/>
    </row>
    <row r="805" spans="1:7">
      <c r="A805" s="261" t="s">
        <v>8</v>
      </c>
      <c r="C805" s="262" t="s">
        <v>1545</v>
      </c>
      <c r="D805" s="497"/>
      <c r="E805" s="498">
        <v>23760</v>
      </c>
      <c r="F805" s="263"/>
      <c r="G805" s="265"/>
    </row>
    <row r="806" spans="1:7">
      <c r="A806" s="261" t="s">
        <v>8</v>
      </c>
      <c r="C806" s="262" t="s">
        <v>1546</v>
      </c>
      <c r="D806" s="497"/>
      <c r="E806" s="498">
        <v>79000</v>
      </c>
      <c r="F806" s="263"/>
      <c r="G806" s="265"/>
    </row>
    <row r="807" spans="1:7">
      <c r="A807" s="261" t="s">
        <v>8</v>
      </c>
      <c r="C807" s="262" t="s">
        <v>1526</v>
      </c>
      <c r="D807" s="497"/>
      <c r="E807" s="498">
        <v>1250000</v>
      </c>
      <c r="F807" s="263"/>
      <c r="G807" s="265"/>
    </row>
    <row r="808" spans="1:7">
      <c r="A808" s="261" t="s">
        <v>8</v>
      </c>
      <c r="C808" s="262" t="s">
        <v>1547</v>
      </c>
      <c r="D808" s="497"/>
      <c r="E808" s="498">
        <v>30000</v>
      </c>
      <c r="F808" s="263"/>
      <c r="G808" s="265"/>
    </row>
    <row r="809" spans="1:7">
      <c r="A809" s="261" t="s">
        <v>8</v>
      </c>
      <c r="C809" s="262" t="s">
        <v>1339</v>
      </c>
      <c r="D809" s="497"/>
      <c r="E809" s="498">
        <v>1700</v>
      </c>
      <c r="F809" s="263"/>
      <c r="G809" s="265"/>
    </row>
    <row r="810" spans="1:7">
      <c r="A810" s="261" t="s">
        <v>8</v>
      </c>
      <c r="C810" s="262" t="s">
        <v>1323</v>
      </c>
      <c r="D810" s="497"/>
      <c r="E810" s="498">
        <v>3250</v>
      </c>
      <c r="F810" s="263"/>
      <c r="G810" s="265"/>
    </row>
    <row r="811" spans="1:7">
      <c r="A811" s="261" t="s">
        <v>8</v>
      </c>
      <c r="C811" s="262" t="s">
        <v>1302</v>
      </c>
      <c r="D811" s="497"/>
      <c r="E811" s="498">
        <f>28900+32900</f>
        <v>61800</v>
      </c>
      <c r="F811" s="263"/>
      <c r="G811" s="265"/>
    </row>
    <row r="812" spans="1:7">
      <c r="A812" s="261" t="s">
        <v>8</v>
      </c>
      <c r="C812" s="262" t="s">
        <v>1548</v>
      </c>
      <c r="D812" s="497"/>
      <c r="E812" s="498">
        <v>1700</v>
      </c>
      <c r="F812" s="263"/>
      <c r="G812" s="265"/>
    </row>
    <row r="813" spans="1:7">
      <c r="A813" s="261" t="s">
        <v>8</v>
      </c>
      <c r="C813" s="262" t="s">
        <v>1549</v>
      </c>
      <c r="D813" s="497"/>
      <c r="E813" s="498">
        <v>69000</v>
      </c>
      <c r="F813" s="263"/>
      <c r="G813" s="265"/>
    </row>
    <row r="814" spans="1:7">
      <c r="A814" s="261" t="s">
        <v>8</v>
      </c>
      <c r="C814" s="262" t="s">
        <v>1550</v>
      </c>
      <c r="D814" s="497"/>
      <c r="E814" s="498">
        <v>177667</v>
      </c>
      <c r="F814" s="263"/>
      <c r="G814" s="265"/>
    </row>
    <row r="815" spans="1:7">
      <c r="A815" s="261" t="s">
        <v>8</v>
      </c>
      <c r="C815" s="262" t="s">
        <v>1551</v>
      </c>
      <c r="D815" s="497"/>
      <c r="E815" s="498">
        <v>35000</v>
      </c>
      <c r="F815" s="263"/>
      <c r="G815" s="265"/>
    </row>
    <row r="816" spans="1:7">
      <c r="A816" s="261" t="s">
        <v>8</v>
      </c>
      <c r="C816" s="262" t="s">
        <v>1371</v>
      </c>
      <c r="D816" s="497"/>
      <c r="E816" s="498">
        <f>20900+4990+48000+47320+11900+9040</f>
        <v>142150</v>
      </c>
      <c r="F816" s="263"/>
      <c r="G816" s="265"/>
    </row>
    <row r="817" spans="1:7">
      <c r="A817" s="261" t="s">
        <v>8</v>
      </c>
      <c r="C817" s="262" t="s">
        <v>386</v>
      </c>
      <c r="D817" s="497"/>
      <c r="E817" s="498">
        <v>12400</v>
      </c>
      <c r="F817" s="263"/>
      <c r="G817" s="265"/>
    </row>
    <row r="818" spans="1:7">
      <c r="A818" s="261" t="s">
        <v>8</v>
      </c>
      <c r="C818" s="262" t="s">
        <v>1552</v>
      </c>
      <c r="D818" s="497"/>
      <c r="E818" s="498">
        <v>300000</v>
      </c>
      <c r="F818" s="263"/>
      <c r="G818" s="265"/>
    </row>
    <row r="819" spans="1:7">
      <c r="A819" s="261" t="s">
        <v>8</v>
      </c>
      <c r="C819" s="262" t="s">
        <v>1553</v>
      </c>
      <c r="D819" s="497"/>
      <c r="E819" s="498">
        <v>124000</v>
      </c>
      <c r="F819" s="263"/>
      <c r="G819" s="265"/>
    </row>
    <row r="820" spans="1:7">
      <c r="A820" s="261" t="s">
        <v>8</v>
      </c>
      <c r="C820" s="262" t="s">
        <v>1554</v>
      </c>
      <c r="D820" s="497"/>
      <c r="E820" s="498">
        <v>700</v>
      </c>
      <c r="F820" s="263"/>
      <c r="G820" s="265"/>
    </row>
    <row r="821" spans="1:7">
      <c r="A821" s="261" t="s">
        <v>8</v>
      </c>
      <c r="C821" s="262" t="s">
        <v>1372</v>
      </c>
      <c r="D821" s="497"/>
      <c r="E821" s="498">
        <v>2000</v>
      </c>
      <c r="F821" s="263"/>
      <c r="G821" s="265"/>
    </row>
    <row r="822" spans="1:7">
      <c r="A822" s="261" t="s">
        <v>8</v>
      </c>
      <c r="C822" s="262" t="s">
        <v>1555</v>
      </c>
      <c r="D822" s="497"/>
      <c r="E822" s="498">
        <v>2000</v>
      </c>
      <c r="F822" s="263"/>
      <c r="G822" s="265"/>
    </row>
    <row r="823" spans="1:7">
      <c r="A823" s="261" t="s">
        <v>8</v>
      </c>
      <c r="C823" s="262" t="s">
        <v>1556</v>
      </c>
      <c r="D823" s="497"/>
      <c r="E823" s="498">
        <v>22100</v>
      </c>
      <c r="F823" s="263"/>
      <c r="G823" s="265"/>
    </row>
    <row r="824" spans="1:7">
      <c r="A824" s="261" t="s">
        <v>8</v>
      </c>
      <c r="C824" s="262" t="s">
        <v>1557</v>
      </c>
      <c r="D824" s="497"/>
      <c r="E824" s="498">
        <v>52400</v>
      </c>
      <c r="F824" s="263"/>
      <c r="G824" s="265"/>
    </row>
    <row r="825" spans="1:7">
      <c r="A825" s="261" t="s">
        <v>8</v>
      </c>
      <c r="C825" s="262" t="s">
        <v>1341</v>
      </c>
      <c r="D825" s="497"/>
      <c r="E825" s="498">
        <v>2600</v>
      </c>
      <c r="F825" s="263"/>
      <c r="G825" s="265"/>
    </row>
    <row r="826" spans="1:7">
      <c r="A826" s="261" t="s">
        <v>8</v>
      </c>
      <c r="C826" s="262" t="s">
        <v>1338</v>
      </c>
      <c r="D826" s="497"/>
      <c r="E826" s="498">
        <v>4600</v>
      </c>
      <c r="F826" s="263"/>
      <c r="G826" s="265"/>
    </row>
    <row r="827" spans="1:7">
      <c r="A827" s="261" t="s">
        <v>8</v>
      </c>
      <c r="C827" s="262" t="s">
        <v>1337</v>
      </c>
      <c r="D827" s="497"/>
      <c r="E827" s="498">
        <v>5000</v>
      </c>
      <c r="F827" s="263"/>
      <c r="G827" s="265"/>
    </row>
    <row r="828" spans="1:7">
      <c r="A828" s="261" t="s">
        <v>8</v>
      </c>
      <c r="C828" s="262" t="s">
        <v>1317</v>
      </c>
      <c r="D828" s="497"/>
      <c r="E828" s="498">
        <v>200000</v>
      </c>
      <c r="F828" s="263"/>
      <c r="G828" s="265"/>
    </row>
    <row r="829" spans="1:7">
      <c r="A829" s="261" t="s">
        <v>8</v>
      </c>
      <c r="C829" s="262" t="s">
        <v>1326</v>
      </c>
      <c r="D829" s="497"/>
      <c r="E829" s="498">
        <v>29300</v>
      </c>
      <c r="F829" s="263"/>
      <c r="G829" s="265"/>
    </row>
    <row r="830" spans="1:7">
      <c r="A830" s="261" t="s">
        <v>8</v>
      </c>
      <c r="C830" s="262" t="s">
        <v>1558</v>
      </c>
      <c r="D830" s="497"/>
      <c r="E830" s="498">
        <v>50000</v>
      </c>
      <c r="F830" s="263"/>
      <c r="G830" s="265"/>
    </row>
    <row r="831" spans="1:7">
      <c r="A831" s="261" t="s">
        <v>8</v>
      </c>
      <c r="C831" s="262" t="s">
        <v>1502</v>
      </c>
      <c r="D831" s="497"/>
      <c r="E831" s="498">
        <v>13000</v>
      </c>
      <c r="F831" s="263"/>
      <c r="G831" s="265"/>
    </row>
    <row r="832" spans="1:7">
      <c r="A832" s="261" t="s">
        <v>8</v>
      </c>
      <c r="C832" s="262" t="s">
        <v>1559</v>
      </c>
      <c r="D832" s="497"/>
      <c r="E832" s="498">
        <v>32000</v>
      </c>
      <c r="F832" s="263"/>
      <c r="G832" s="265"/>
    </row>
    <row r="833" spans="1:7">
      <c r="A833" s="261" t="s">
        <v>8</v>
      </c>
      <c r="C833" s="262" t="s">
        <v>1560</v>
      </c>
      <c r="D833" s="497"/>
      <c r="E833" s="498">
        <v>150000</v>
      </c>
      <c r="F833" s="263"/>
      <c r="G833" s="265"/>
    </row>
    <row r="834" spans="1:7">
      <c r="A834" s="261" t="s">
        <v>8</v>
      </c>
      <c r="C834" s="262" t="s">
        <v>1561</v>
      </c>
      <c r="D834" s="497"/>
      <c r="E834" s="498">
        <v>1500</v>
      </c>
      <c r="F834" s="263"/>
      <c r="G834" s="265"/>
    </row>
    <row r="835" spans="1:7">
      <c r="A835" s="261" t="s">
        <v>8</v>
      </c>
      <c r="C835" s="262" t="s">
        <v>1562</v>
      </c>
      <c r="D835" s="497"/>
      <c r="E835" s="498">
        <v>400</v>
      </c>
      <c r="F835" s="263"/>
      <c r="G835" s="265"/>
    </row>
    <row r="836" spans="1:7">
      <c r="A836" s="261" t="s">
        <v>8</v>
      </c>
      <c r="C836" s="262" t="s">
        <v>1563</v>
      </c>
      <c r="D836" s="497"/>
      <c r="E836" s="498">
        <v>83000</v>
      </c>
      <c r="F836" s="263"/>
      <c r="G836" s="265"/>
    </row>
    <row r="837" spans="1:7">
      <c r="A837" s="261" t="s">
        <v>8</v>
      </c>
      <c r="C837" s="262" t="s">
        <v>1564</v>
      </c>
      <c r="D837" s="497"/>
      <c r="E837" s="498">
        <v>8000</v>
      </c>
      <c r="F837" s="263"/>
      <c r="G837" s="265"/>
    </row>
    <row r="838" spans="1:7">
      <c r="A838" s="261" t="s">
        <v>8</v>
      </c>
      <c r="C838" s="262" t="s">
        <v>1565</v>
      </c>
      <c r="D838" s="497"/>
      <c r="E838" s="498">
        <v>16000</v>
      </c>
      <c r="F838" s="263"/>
      <c r="G838" s="265"/>
    </row>
    <row r="839" spans="1:7">
      <c r="A839" s="261" t="s">
        <v>8</v>
      </c>
      <c r="C839" s="262" t="s">
        <v>1566</v>
      </c>
      <c r="D839" s="498">
        <v>3905260</v>
      </c>
      <c r="E839" s="498">
        <f>3834409-250000</f>
        <v>3584409</v>
      </c>
      <c r="F839" s="263"/>
      <c r="G839" s="265"/>
    </row>
    <row r="840" spans="1:7">
      <c r="A840" s="261" t="s">
        <v>8</v>
      </c>
      <c r="C840" s="262" t="s">
        <v>1567</v>
      </c>
      <c r="D840" s="497"/>
      <c r="E840" s="498">
        <v>113840</v>
      </c>
      <c r="F840" s="263"/>
      <c r="G840" s="265"/>
    </row>
    <row r="841" spans="1:7">
      <c r="A841" s="261" t="s">
        <v>8</v>
      </c>
      <c r="C841" s="262" t="s">
        <v>1568</v>
      </c>
      <c r="D841" s="497"/>
      <c r="E841" s="498">
        <v>739000</v>
      </c>
      <c r="F841" s="263"/>
      <c r="G841" s="265"/>
    </row>
    <row r="842" spans="1:7">
      <c r="A842" s="261" t="s">
        <v>8</v>
      </c>
      <c r="C842" s="262" t="s">
        <v>1300</v>
      </c>
      <c r="D842" s="497">
        <f>SUM(D786:D841)-SUM(E786:E841)</f>
        <v>-1826980</v>
      </c>
      <c r="E842" s="497">
        <f>SUM(E786:E841)-SUM(F786:F841)</f>
        <v>10611685</v>
      </c>
      <c r="F842" s="263"/>
      <c r="G842" s="262"/>
    </row>
    <row r="843" spans="1:7">
      <c r="A843" s="261" t="s">
        <v>8</v>
      </c>
    </row>
    <row r="844" spans="1:7">
      <c r="A844" s="261" t="s">
        <v>8</v>
      </c>
    </row>
    <row r="845" spans="1:7">
      <c r="A845" s="261" t="s">
        <v>8</v>
      </c>
      <c r="B845" s="256" t="s">
        <v>2158</v>
      </c>
      <c r="C845" s="262" t="s">
        <v>1268</v>
      </c>
      <c r="D845" s="497">
        <v>5559784</v>
      </c>
      <c r="E845" s="497"/>
      <c r="F845" s="263"/>
      <c r="G845" s="262"/>
    </row>
    <row r="846" spans="1:7">
      <c r="A846" s="261" t="s">
        <v>8</v>
      </c>
      <c r="C846" s="262" t="s">
        <v>1269</v>
      </c>
      <c r="D846" s="497"/>
      <c r="E846" s="498">
        <v>359500</v>
      </c>
      <c r="F846" s="263"/>
      <c r="G846" s="262" t="s">
        <v>2159</v>
      </c>
    </row>
    <row r="847" spans="1:7">
      <c r="A847" s="261" t="s">
        <v>8</v>
      </c>
      <c r="C847" s="262" t="s">
        <v>1270</v>
      </c>
      <c r="D847" s="497"/>
      <c r="E847" s="498">
        <v>721000</v>
      </c>
      <c r="F847" s="263"/>
      <c r="G847" s="262"/>
    </row>
    <row r="848" spans="1:7">
      <c r="A848" s="261" t="s">
        <v>8</v>
      </c>
      <c r="C848" s="262" t="s">
        <v>1271</v>
      </c>
      <c r="D848" s="497"/>
      <c r="E848" s="498">
        <v>162060</v>
      </c>
      <c r="F848" s="263"/>
      <c r="G848" s="264"/>
    </row>
    <row r="849" spans="1:7">
      <c r="A849" s="261" t="s">
        <v>8</v>
      </c>
      <c r="C849" s="262" t="s">
        <v>1272</v>
      </c>
      <c r="D849" s="497"/>
      <c r="E849" s="498">
        <v>7180</v>
      </c>
      <c r="F849" s="263"/>
      <c r="G849" s="262"/>
    </row>
    <row r="850" spans="1:7">
      <c r="A850" s="261" t="s">
        <v>8</v>
      </c>
      <c r="C850" s="262" t="s">
        <v>1273</v>
      </c>
      <c r="D850" s="497"/>
      <c r="E850" s="498">
        <v>20980</v>
      </c>
      <c r="F850" s="263"/>
      <c r="G850" s="262"/>
    </row>
    <row r="851" spans="1:7">
      <c r="A851" s="261" t="s">
        <v>8</v>
      </c>
      <c r="C851" s="262" t="s">
        <v>1274</v>
      </c>
      <c r="D851" s="497"/>
      <c r="E851" s="498">
        <v>18550</v>
      </c>
      <c r="F851" s="263"/>
      <c r="G851" s="262"/>
    </row>
    <row r="852" spans="1:7">
      <c r="A852" s="261" t="s">
        <v>8</v>
      </c>
      <c r="C852" s="262" t="s">
        <v>1275</v>
      </c>
      <c r="D852" s="497"/>
      <c r="E852" s="498">
        <v>26450</v>
      </c>
      <c r="F852" s="263"/>
      <c r="G852" s="262"/>
    </row>
    <row r="853" spans="1:7">
      <c r="A853" s="261" t="s">
        <v>8</v>
      </c>
      <c r="C853" s="262" t="s">
        <v>1516</v>
      </c>
      <c r="D853" s="497"/>
      <c r="E853" s="498">
        <v>18816</v>
      </c>
      <c r="F853" s="263"/>
      <c r="G853" s="262"/>
    </row>
    <row r="854" spans="1:7">
      <c r="A854" s="261" t="s">
        <v>8</v>
      </c>
      <c r="C854" s="262" t="s">
        <v>1517</v>
      </c>
      <c r="D854" s="497"/>
      <c r="E854" s="498">
        <v>23230</v>
      </c>
      <c r="F854" s="263"/>
      <c r="G854" s="262"/>
    </row>
    <row r="855" spans="1:7">
      <c r="A855" s="261" t="s">
        <v>8</v>
      </c>
      <c r="C855" s="262" t="s">
        <v>1276</v>
      </c>
      <c r="D855" s="497"/>
      <c r="E855" s="498">
        <v>410540</v>
      </c>
      <c r="F855" s="263"/>
      <c r="G855" s="262"/>
    </row>
    <row r="856" spans="1:7">
      <c r="A856" s="261" t="s">
        <v>8</v>
      </c>
      <c r="C856" s="262" t="s">
        <v>1278</v>
      </c>
      <c r="D856" s="497"/>
      <c r="E856" s="498">
        <v>200000</v>
      </c>
      <c r="F856" s="263"/>
      <c r="G856" s="262"/>
    </row>
    <row r="857" spans="1:7">
      <c r="A857" s="261" t="s">
        <v>8</v>
      </c>
      <c r="C857" s="262" t="s">
        <v>1332</v>
      </c>
      <c r="D857" s="497"/>
      <c r="E857" s="499">
        <f>42630*2</f>
        <v>85260</v>
      </c>
      <c r="F857" s="263"/>
      <c r="G857" s="265" t="s">
        <v>390</v>
      </c>
    </row>
    <row r="858" spans="1:7">
      <c r="A858" s="261" t="s">
        <v>8</v>
      </c>
      <c r="C858" s="262" t="s">
        <v>1484</v>
      </c>
      <c r="D858" s="497"/>
      <c r="E858" s="498">
        <v>104000</v>
      </c>
      <c r="F858" s="263"/>
      <c r="G858" s="265"/>
    </row>
    <row r="859" spans="1:7">
      <c r="A859" s="261" t="s">
        <v>8</v>
      </c>
      <c r="C859" s="262" t="s">
        <v>1280</v>
      </c>
      <c r="D859" s="497"/>
      <c r="E859" s="498">
        <f>5000*0+50000*1</f>
        <v>50000</v>
      </c>
      <c r="F859" s="263"/>
      <c r="G859" s="265"/>
    </row>
    <row r="860" spans="1:7">
      <c r="A860" s="261" t="s">
        <v>8</v>
      </c>
      <c r="C860" s="262" t="s">
        <v>1549</v>
      </c>
      <c r="D860" s="497"/>
      <c r="E860" s="498">
        <v>122000</v>
      </c>
      <c r="F860" s="263"/>
      <c r="G860" s="265"/>
    </row>
    <row r="861" spans="1:7">
      <c r="A861" s="261" t="s">
        <v>8</v>
      </c>
      <c r="C861" s="262" t="s">
        <v>382</v>
      </c>
      <c r="D861" s="497"/>
      <c r="E861" s="498">
        <f>5000*0+50000*1</f>
        <v>50000</v>
      </c>
      <c r="F861" s="263"/>
      <c r="G861" s="265"/>
    </row>
    <row r="862" spans="1:7">
      <c r="A862" s="261" t="s">
        <v>8</v>
      </c>
      <c r="C862" s="262" t="s">
        <v>1413</v>
      </c>
      <c r="D862" s="497"/>
      <c r="E862" s="498">
        <v>1000000</v>
      </c>
      <c r="F862" s="263"/>
      <c r="G862" s="265"/>
    </row>
    <row r="863" spans="1:7">
      <c r="A863" s="261" t="s">
        <v>8</v>
      </c>
      <c r="C863" s="262" t="s">
        <v>1569</v>
      </c>
      <c r="D863" s="497"/>
      <c r="E863" s="498">
        <v>83120</v>
      </c>
      <c r="F863" s="263"/>
      <c r="G863" s="265"/>
    </row>
    <row r="864" spans="1:7">
      <c r="A864" s="261" t="s">
        <v>8</v>
      </c>
      <c r="C864" s="262" t="s">
        <v>1284</v>
      </c>
      <c r="D864" s="497"/>
      <c r="E864" s="498">
        <f>9980</f>
        <v>9980</v>
      </c>
      <c r="F864" s="263"/>
      <c r="G864" s="265"/>
    </row>
    <row r="865" spans="1:7">
      <c r="A865" s="261" t="s">
        <v>8</v>
      </c>
      <c r="C865" s="262" t="s">
        <v>1296</v>
      </c>
      <c r="D865" s="497"/>
      <c r="E865" s="498">
        <v>34000</v>
      </c>
      <c r="F865" s="263"/>
      <c r="G865" s="265"/>
    </row>
    <row r="866" spans="1:7">
      <c r="A866" s="261" t="s">
        <v>8</v>
      </c>
      <c r="C866" s="262" t="s">
        <v>1491</v>
      </c>
      <c r="D866" s="497"/>
      <c r="E866" s="498">
        <v>400000</v>
      </c>
      <c r="F866" s="263"/>
      <c r="G866" s="265"/>
    </row>
    <row r="867" spans="1:7">
      <c r="A867" s="261" t="s">
        <v>8</v>
      </c>
      <c r="C867" s="262" t="s">
        <v>1570</v>
      </c>
      <c r="D867" s="497"/>
      <c r="E867" s="498">
        <v>117640</v>
      </c>
      <c r="F867" s="263"/>
      <c r="G867" s="265"/>
    </row>
    <row r="868" spans="1:7">
      <c r="A868" s="261" t="s">
        <v>8</v>
      </c>
      <c r="C868" s="262" t="s">
        <v>1571</v>
      </c>
      <c r="D868" s="497"/>
      <c r="E868" s="498">
        <v>7500</v>
      </c>
      <c r="F868" s="263"/>
      <c r="G868" s="265"/>
    </row>
    <row r="869" spans="1:7">
      <c r="A869" s="261" t="s">
        <v>8</v>
      </c>
      <c r="C869" s="262" t="s">
        <v>1564</v>
      </c>
      <c r="D869" s="497"/>
      <c r="E869" s="498">
        <v>24650</v>
      </c>
      <c r="F869" s="263"/>
      <c r="G869" s="265"/>
    </row>
    <row r="870" spans="1:7">
      <c r="A870" s="261" t="s">
        <v>8</v>
      </c>
      <c r="C870" s="262" t="s">
        <v>1572</v>
      </c>
      <c r="D870" s="497"/>
      <c r="E870" s="498">
        <v>51400</v>
      </c>
      <c r="F870" s="263"/>
      <c r="G870" s="265"/>
    </row>
    <row r="871" spans="1:7">
      <c r="A871" s="261" t="s">
        <v>8</v>
      </c>
      <c r="C871" s="262" t="s">
        <v>1573</v>
      </c>
      <c r="D871" s="497"/>
      <c r="E871" s="498">
        <v>93500</v>
      </c>
      <c r="F871" s="263"/>
      <c r="G871" s="265"/>
    </row>
    <row r="872" spans="1:7">
      <c r="A872" s="261" t="s">
        <v>8</v>
      </c>
      <c r="C872" s="262" t="s">
        <v>1574</v>
      </c>
      <c r="D872" s="497"/>
      <c r="E872" s="498">
        <v>27000</v>
      </c>
      <c r="F872" s="263"/>
      <c r="G872" s="265"/>
    </row>
    <row r="873" spans="1:7">
      <c r="A873" s="261" t="s">
        <v>8</v>
      </c>
      <c r="C873" s="262" t="s">
        <v>1310</v>
      </c>
      <c r="D873" s="497"/>
      <c r="E873" s="498">
        <v>7100</v>
      </c>
      <c r="F873" s="263"/>
      <c r="G873" s="265"/>
    </row>
    <row r="874" spans="1:7">
      <c r="A874" s="261" t="s">
        <v>8</v>
      </c>
      <c r="C874" s="262" t="s">
        <v>1575</v>
      </c>
      <c r="D874" s="497"/>
      <c r="E874" s="498">
        <v>27500</v>
      </c>
      <c r="F874" s="263"/>
      <c r="G874" s="265"/>
    </row>
    <row r="875" spans="1:7">
      <c r="A875" s="261" t="s">
        <v>8</v>
      </c>
      <c r="C875" s="262" t="s">
        <v>1576</v>
      </c>
      <c r="D875" s="497"/>
      <c r="E875" s="498">
        <v>152800</v>
      </c>
      <c r="F875" s="263"/>
      <c r="G875" s="265"/>
    </row>
    <row r="876" spans="1:7">
      <c r="A876" s="261" t="s">
        <v>8</v>
      </c>
      <c r="C876" s="262" t="s">
        <v>1577</v>
      </c>
      <c r="D876" s="497"/>
      <c r="E876" s="498">
        <v>21400</v>
      </c>
      <c r="F876" s="263"/>
      <c r="G876" s="265"/>
    </row>
    <row r="877" spans="1:7">
      <c r="A877" s="261" t="s">
        <v>8</v>
      </c>
      <c r="C877" s="262" t="s">
        <v>1578</v>
      </c>
      <c r="D877" s="497"/>
      <c r="E877" s="498">
        <v>63000</v>
      </c>
      <c r="F877" s="263"/>
      <c r="G877" s="265"/>
    </row>
    <row r="878" spans="1:7">
      <c r="A878" s="261" t="s">
        <v>8</v>
      </c>
      <c r="C878" s="262" t="s">
        <v>1579</v>
      </c>
      <c r="D878" s="497"/>
      <c r="E878" s="498">
        <v>5000</v>
      </c>
      <c r="F878" s="263"/>
      <c r="G878" s="265"/>
    </row>
    <row r="879" spans="1:7">
      <c r="A879" s="261" t="s">
        <v>8</v>
      </c>
      <c r="C879" s="262" t="s">
        <v>1541</v>
      </c>
      <c r="D879" s="497"/>
      <c r="E879" s="498">
        <v>41200</v>
      </c>
      <c r="F879" s="263"/>
      <c r="G879" s="265"/>
    </row>
    <row r="880" spans="1:7">
      <c r="A880" s="261" t="s">
        <v>8</v>
      </c>
      <c r="C880" s="262" t="s">
        <v>1580</v>
      </c>
      <c r="D880" s="497"/>
      <c r="E880" s="498">
        <v>30000</v>
      </c>
      <c r="F880" s="263"/>
      <c r="G880" s="265"/>
    </row>
    <row r="881" spans="1:7">
      <c r="A881" s="261" t="s">
        <v>8</v>
      </c>
      <c r="C881" s="262" t="s">
        <v>1581</v>
      </c>
      <c r="D881" s="497"/>
      <c r="E881" s="498">
        <v>9600</v>
      </c>
      <c r="F881" s="263"/>
      <c r="G881" s="265"/>
    </row>
    <row r="882" spans="1:7">
      <c r="A882" s="261" t="s">
        <v>8</v>
      </c>
      <c r="C882" s="262" t="s">
        <v>1582</v>
      </c>
      <c r="D882" s="497"/>
      <c r="E882" s="498">
        <v>40510</v>
      </c>
      <c r="F882" s="263"/>
      <c r="G882" s="265"/>
    </row>
    <row r="883" spans="1:7">
      <c r="A883" s="261" t="s">
        <v>8</v>
      </c>
      <c r="C883" s="262" t="s">
        <v>1583</v>
      </c>
      <c r="D883" s="497"/>
      <c r="E883" s="498">
        <v>10600</v>
      </c>
      <c r="F883" s="263"/>
      <c r="G883" s="265"/>
    </row>
    <row r="884" spans="1:7">
      <c r="A884" s="261" t="s">
        <v>8</v>
      </c>
      <c r="C884" s="262" t="s">
        <v>1584</v>
      </c>
      <c r="D884" s="497"/>
      <c r="E884" s="498">
        <v>52000</v>
      </c>
      <c r="F884" s="263"/>
      <c r="G884" s="265"/>
    </row>
    <row r="885" spans="1:7">
      <c r="A885" s="261" t="s">
        <v>8</v>
      </c>
      <c r="C885" s="262" t="s">
        <v>1585</v>
      </c>
      <c r="D885" s="497"/>
      <c r="E885" s="498">
        <f>25500+21000</f>
        <v>46500</v>
      </c>
      <c r="F885" s="263"/>
      <c r="G885" s="265"/>
    </row>
    <row r="886" spans="1:7">
      <c r="A886" s="261" t="s">
        <v>8</v>
      </c>
      <c r="C886" s="262" t="s">
        <v>1586</v>
      </c>
      <c r="D886" s="497"/>
      <c r="E886" s="498">
        <v>56800</v>
      </c>
      <c r="F886" s="263"/>
      <c r="G886" s="265"/>
    </row>
    <row r="887" spans="1:7">
      <c r="A887" s="261" t="s">
        <v>8</v>
      </c>
      <c r="C887" s="262" t="s">
        <v>1587</v>
      </c>
      <c r="D887" s="497"/>
      <c r="E887" s="498">
        <v>100300</v>
      </c>
      <c r="F887" s="263"/>
      <c r="G887" s="265"/>
    </row>
    <row r="888" spans="1:7">
      <c r="A888" s="261" t="s">
        <v>8</v>
      </c>
      <c r="C888" s="262" t="s">
        <v>1588</v>
      </c>
      <c r="D888" s="497"/>
      <c r="E888" s="498">
        <v>20000</v>
      </c>
      <c r="F888" s="263"/>
      <c r="G888" s="265"/>
    </row>
    <row r="889" spans="1:7">
      <c r="A889" s="261" t="s">
        <v>8</v>
      </c>
      <c r="C889" s="262" t="s">
        <v>1589</v>
      </c>
      <c r="D889" s="497"/>
      <c r="E889" s="498">
        <v>17200</v>
      </c>
      <c r="F889" s="263"/>
      <c r="G889" s="265"/>
    </row>
    <row r="890" spans="1:7">
      <c r="A890" s="261" t="s">
        <v>8</v>
      </c>
      <c r="C890" s="262" t="s">
        <v>1590</v>
      </c>
      <c r="D890" s="497"/>
      <c r="E890" s="498">
        <v>57000</v>
      </c>
      <c r="F890" s="263"/>
      <c r="G890" s="265"/>
    </row>
    <row r="891" spans="1:7">
      <c r="A891" s="261" t="s">
        <v>8</v>
      </c>
      <c r="C891" s="262" t="s">
        <v>1591</v>
      </c>
      <c r="D891" s="497"/>
      <c r="E891" s="498">
        <v>14000</v>
      </c>
      <c r="F891" s="263"/>
      <c r="G891" s="265"/>
    </row>
    <row r="892" spans="1:7">
      <c r="A892" s="261" t="s">
        <v>8</v>
      </c>
      <c r="C892" s="262" t="s">
        <v>1300</v>
      </c>
      <c r="D892" s="497">
        <f>SUM(D845:D891)-SUM(E845:E891)</f>
        <v>558918</v>
      </c>
      <c r="E892" s="497">
        <f>SUM(E845:E891)-SUM(F845:F891)</f>
        <v>5000866</v>
      </c>
      <c r="F892" s="263"/>
      <c r="G892" s="262"/>
    </row>
    <row r="893" spans="1:7">
      <c r="A893" s="261" t="s">
        <v>8</v>
      </c>
    </row>
    <row r="894" spans="1:7">
      <c r="A894" s="261" t="s">
        <v>8</v>
      </c>
    </row>
    <row r="895" spans="1:7">
      <c r="A895" s="261" t="s">
        <v>8</v>
      </c>
      <c r="B895" s="256" t="s">
        <v>2160</v>
      </c>
      <c r="C895" s="262" t="s">
        <v>1268</v>
      </c>
      <c r="D895" s="497">
        <v>4731477</v>
      </c>
      <c r="E895" s="497"/>
      <c r="F895" s="263"/>
      <c r="G895" s="262"/>
    </row>
    <row r="896" spans="1:7">
      <c r="A896" s="261" t="s">
        <v>8</v>
      </c>
      <c r="C896" s="262" t="s">
        <v>1269</v>
      </c>
      <c r="D896" s="497"/>
      <c r="E896" s="498">
        <f>450000-86500</f>
        <v>363500</v>
      </c>
      <c r="F896" s="263"/>
      <c r="G896" s="262" t="s">
        <v>2161</v>
      </c>
    </row>
    <row r="897" spans="1:7">
      <c r="A897" s="261" t="s">
        <v>8</v>
      </c>
      <c r="C897" s="262" t="s">
        <v>1270</v>
      </c>
      <c r="D897" s="497"/>
      <c r="E897" s="498">
        <v>706000</v>
      </c>
      <c r="F897" s="263"/>
      <c r="G897" s="262"/>
    </row>
    <row r="898" spans="1:7">
      <c r="A898" s="261" t="s">
        <v>8</v>
      </c>
      <c r="C898" s="262" t="s">
        <v>1271</v>
      </c>
      <c r="D898" s="497"/>
      <c r="E898" s="498">
        <v>174210</v>
      </c>
      <c r="F898" s="263"/>
      <c r="G898" s="264"/>
    </row>
    <row r="899" spans="1:7">
      <c r="A899" s="261" t="s">
        <v>8</v>
      </c>
      <c r="C899" s="262" t="s">
        <v>1272</v>
      </c>
      <c r="D899" s="497"/>
      <c r="E899" s="498">
        <v>7180</v>
      </c>
      <c r="F899" s="263"/>
      <c r="G899" s="262"/>
    </row>
    <row r="900" spans="1:7">
      <c r="A900" s="261" t="s">
        <v>8</v>
      </c>
      <c r="C900" s="262" t="s">
        <v>1273</v>
      </c>
      <c r="D900" s="497"/>
      <c r="E900" s="498">
        <v>20980</v>
      </c>
      <c r="F900" s="263"/>
      <c r="G900" s="262"/>
    </row>
    <row r="901" spans="1:7">
      <c r="A901" s="261" t="s">
        <v>8</v>
      </c>
      <c r="C901" s="262" t="s">
        <v>1274</v>
      </c>
      <c r="D901" s="497"/>
      <c r="E901" s="498">
        <v>18550</v>
      </c>
      <c r="F901" s="263"/>
      <c r="G901" s="262"/>
    </row>
    <row r="902" spans="1:7">
      <c r="A902" s="261" t="s">
        <v>8</v>
      </c>
      <c r="C902" s="262" t="s">
        <v>1275</v>
      </c>
      <c r="D902" s="497"/>
      <c r="E902" s="498">
        <v>26450</v>
      </c>
      <c r="F902" s="263"/>
      <c r="G902" s="262"/>
    </row>
    <row r="903" spans="1:7">
      <c r="A903" s="261" t="s">
        <v>8</v>
      </c>
      <c r="C903" s="262" t="s">
        <v>1516</v>
      </c>
      <c r="D903" s="497"/>
      <c r="E903" s="498">
        <v>18816</v>
      </c>
      <c r="F903" s="263"/>
      <c r="G903" s="262"/>
    </row>
    <row r="904" spans="1:7">
      <c r="A904" s="261" t="s">
        <v>8</v>
      </c>
      <c r="C904" s="262" t="s">
        <v>1517</v>
      </c>
      <c r="D904" s="497"/>
      <c r="E904" s="498">
        <v>23230</v>
      </c>
      <c r="F904" s="263"/>
      <c r="G904" s="262"/>
    </row>
    <row r="905" spans="1:7">
      <c r="A905" s="261" t="s">
        <v>8</v>
      </c>
      <c r="C905" s="262" t="s">
        <v>1276</v>
      </c>
      <c r="D905" s="497"/>
      <c r="E905" s="498">
        <v>248330</v>
      </c>
      <c r="F905" s="263"/>
      <c r="G905" s="262"/>
    </row>
    <row r="906" spans="1:7">
      <c r="A906" s="261" t="s">
        <v>8</v>
      </c>
      <c r="C906" s="262" t="s">
        <v>1277</v>
      </c>
      <c r="D906" s="497"/>
      <c r="E906" s="498">
        <v>109590</v>
      </c>
      <c r="F906" s="263"/>
      <c r="G906" s="262"/>
    </row>
    <row r="907" spans="1:7">
      <c r="A907" s="261" t="s">
        <v>8</v>
      </c>
      <c r="C907" s="262" t="s">
        <v>1278</v>
      </c>
      <c r="D907" s="497"/>
      <c r="E907" s="498">
        <v>200000</v>
      </c>
      <c r="F907" s="263"/>
      <c r="G907" s="262"/>
    </row>
    <row r="908" spans="1:7">
      <c r="A908" s="261" t="s">
        <v>8</v>
      </c>
      <c r="C908" s="262" t="s">
        <v>1332</v>
      </c>
      <c r="D908" s="497"/>
      <c r="E908" s="498">
        <v>42630</v>
      </c>
      <c r="F908" s="263"/>
      <c r="G908" s="265"/>
    </row>
    <row r="909" spans="1:7">
      <c r="A909" s="261" t="s">
        <v>8</v>
      </c>
      <c r="C909" s="262" t="s">
        <v>1484</v>
      </c>
      <c r="D909" s="497"/>
      <c r="E909" s="498">
        <v>103000</v>
      </c>
      <c r="F909" s="263"/>
      <c r="G909" s="265"/>
    </row>
    <row r="910" spans="1:7">
      <c r="A910" s="261" t="s">
        <v>8</v>
      </c>
      <c r="C910" s="262" t="s">
        <v>1413</v>
      </c>
      <c r="D910" s="497"/>
      <c r="E910" s="498">
        <v>1000000</v>
      </c>
      <c r="F910" s="263"/>
      <c r="G910" s="265"/>
    </row>
    <row r="911" spans="1:7">
      <c r="A911" s="261" t="s">
        <v>8</v>
      </c>
      <c r="C911" s="262" t="s">
        <v>1592</v>
      </c>
      <c r="D911" s="497"/>
      <c r="E911" s="498">
        <v>577720</v>
      </c>
      <c r="F911" s="263"/>
      <c r="G911" s="265"/>
    </row>
    <row r="912" spans="1:7">
      <c r="A912" s="261" t="s">
        <v>8</v>
      </c>
      <c r="C912" s="262" t="s">
        <v>1593</v>
      </c>
      <c r="D912" s="497"/>
      <c r="E912" s="498">
        <v>40000</v>
      </c>
      <c r="F912" s="263"/>
      <c r="G912" s="265"/>
    </row>
    <row r="913" spans="1:7">
      <c r="A913" s="261" t="s">
        <v>8</v>
      </c>
      <c r="C913" s="262" t="s">
        <v>1569</v>
      </c>
      <c r="D913" s="497"/>
      <c r="E913" s="498">
        <v>44860</v>
      </c>
      <c r="F913" s="263"/>
      <c r="G913" s="265"/>
    </row>
    <row r="914" spans="1:7">
      <c r="A914" s="261" t="s">
        <v>8</v>
      </c>
      <c r="C914" s="262" t="s">
        <v>1594</v>
      </c>
      <c r="D914" s="497"/>
      <c r="E914" s="498">
        <v>54500</v>
      </c>
      <c r="F914" s="263"/>
      <c r="G914" s="265"/>
    </row>
    <row r="915" spans="1:7">
      <c r="A915" s="261" t="s">
        <v>8</v>
      </c>
      <c r="C915" s="262" t="s">
        <v>1595</v>
      </c>
      <c r="D915" s="497"/>
      <c r="E915" s="498">
        <v>4500</v>
      </c>
      <c r="F915" s="263"/>
      <c r="G915" s="265"/>
    </row>
    <row r="916" spans="1:7">
      <c r="A916" s="261" t="s">
        <v>8</v>
      </c>
      <c r="C916" s="262" t="s">
        <v>1596</v>
      </c>
      <c r="D916" s="497"/>
      <c r="E916" s="498">
        <v>2700</v>
      </c>
      <c r="F916" s="263"/>
      <c r="G916" s="265"/>
    </row>
    <row r="917" spans="1:7">
      <c r="A917" s="261" t="s">
        <v>8</v>
      </c>
      <c r="C917" s="262" t="s">
        <v>1597</v>
      </c>
      <c r="D917" s="497"/>
      <c r="E917" s="498">
        <v>2000</v>
      </c>
      <c r="F917" s="263"/>
      <c r="G917" s="265"/>
    </row>
    <row r="918" spans="1:7">
      <c r="A918" s="261" t="s">
        <v>8</v>
      </c>
      <c r="C918" s="262" t="s">
        <v>1598</v>
      </c>
      <c r="D918" s="497"/>
      <c r="E918" s="498">
        <v>28000</v>
      </c>
      <c r="F918" s="263"/>
      <c r="G918" s="265"/>
    </row>
    <row r="919" spans="1:7">
      <c r="A919" s="261" t="s">
        <v>8</v>
      </c>
      <c r="C919" s="262" t="s">
        <v>1541</v>
      </c>
      <c r="D919" s="497"/>
      <c r="E919" s="498">
        <v>4600</v>
      </c>
      <c r="F919" s="263"/>
      <c r="G919" s="265"/>
    </row>
    <row r="920" spans="1:7">
      <c r="A920" s="261" t="s">
        <v>8</v>
      </c>
      <c r="C920" s="262" t="s">
        <v>1599</v>
      </c>
      <c r="D920" s="497"/>
      <c r="E920" s="498">
        <v>100000</v>
      </c>
      <c r="F920" s="263"/>
      <c r="G920" s="265"/>
    </row>
    <row r="921" spans="1:7">
      <c r="A921" s="261" t="s">
        <v>8</v>
      </c>
      <c r="C921" s="262" t="s">
        <v>1600</v>
      </c>
      <c r="D921" s="497"/>
      <c r="E921" s="498">
        <v>100000</v>
      </c>
      <c r="F921" s="263"/>
      <c r="G921" s="265"/>
    </row>
    <row r="922" spans="1:7">
      <c r="A922" s="261" t="s">
        <v>8</v>
      </c>
      <c r="C922" s="262" t="s">
        <v>1601</v>
      </c>
      <c r="D922" s="497"/>
      <c r="E922" s="498">
        <v>50000</v>
      </c>
      <c r="F922" s="263"/>
      <c r="G922" s="265"/>
    </row>
    <row r="923" spans="1:7">
      <c r="A923" s="261" t="s">
        <v>8</v>
      </c>
      <c r="C923" s="262" t="s">
        <v>1602</v>
      </c>
      <c r="D923" s="498">
        <v>536</v>
      </c>
      <c r="E923" s="497"/>
      <c r="F923" s="263"/>
      <c r="G923" s="265"/>
    </row>
    <row r="924" spans="1:7">
      <c r="A924" s="261" t="s">
        <v>8</v>
      </c>
      <c r="C924" s="262" t="s">
        <v>1603</v>
      </c>
      <c r="D924" s="497"/>
      <c r="E924" s="498">
        <v>150000</v>
      </c>
      <c r="F924" s="263"/>
      <c r="G924" s="265"/>
    </row>
    <row r="925" spans="1:7">
      <c r="A925" s="261" t="s">
        <v>8</v>
      </c>
      <c r="C925" s="262" t="s">
        <v>1300</v>
      </c>
      <c r="D925" s="497">
        <f>SUM(D895:D924)-SUM(E895:E924)</f>
        <v>510667</v>
      </c>
      <c r="E925" s="497">
        <f>SUM(E895:E924)-SUM(F895:F924)</f>
        <v>4221346</v>
      </c>
      <c r="F925" s="263"/>
      <c r="G925" s="262"/>
    </row>
    <row r="926" spans="1:7">
      <c r="A926" s="261" t="s">
        <v>8</v>
      </c>
    </row>
    <row r="927" spans="1:7">
      <c r="A927" s="261" t="s">
        <v>8</v>
      </c>
    </row>
    <row r="928" spans="1:7" ht="17.45" customHeight="1">
      <c r="A928" s="261" t="s">
        <v>8</v>
      </c>
      <c r="B928" s="256" t="s">
        <v>2162</v>
      </c>
      <c r="C928" s="262" t="s">
        <v>1268</v>
      </c>
      <c r="D928" s="497">
        <v>5620894</v>
      </c>
      <c r="E928" s="497"/>
      <c r="F928" s="263"/>
      <c r="G928" s="262"/>
    </row>
    <row r="929" spans="1:7" ht="17.45" customHeight="1">
      <c r="A929" s="261" t="s">
        <v>8</v>
      </c>
      <c r="B929" s="257"/>
      <c r="C929" s="262" t="s">
        <v>1269</v>
      </c>
      <c r="D929" s="497"/>
      <c r="E929" s="499">
        <f>450000-110500</f>
        <v>339500</v>
      </c>
      <c r="F929" s="263"/>
      <c r="G929" s="267" t="s">
        <v>2163</v>
      </c>
    </row>
    <row r="930" spans="1:7" ht="17.45" customHeight="1">
      <c r="A930" s="261" t="s">
        <v>8</v>
      </c>
      <c r="C930" s="262" t="s">
        <v>1270</v>
      </c>
      <c r="D930" s="497"/>
      <c r="E930" s="499">
        <v>701000</v>
      </c>
      <c r="F930" s="263"/>
      <c r="G930" s="262"/>
    </row>
    <row r="931" spans="1:7" ht="17.45" customHeight="1">
      <c r="A931" s="261" t="s">
        <v>8</v>
      </c>
      <c r="C931" s="262" t="s">
        <v>1271</v>
      </c>
      <c r="D931" s="497"/>
      <c r="E931" s="499">
        <v>184710</v>
      </c>
      <c r="F931" s="263"/>
      <c r="G931" s="264"/>
    </row>
    <row r="932" spans="1:7" ht="17.45" customHeight="1">
      <c r="A932" s="261" t="s">
        <v>8</v>
      </c>
      <c r="C932" s="262" t="s">
        <v>1272</v>
      </c>
      <c r="D932" s="497"/>
      <c r="E932" s="499">
        <v>6960</v>
      </c>
      <c r="F932" s="263"/>
      <c r="G932" s="262"/>
    </row>
    <row r="933" spans="1:7" ht="17.45" customHeight="1">
      <c r="A933" s="261" t="s">
        <v>8</v>
      </c>
      <c r="C933" s="262" t="s">
        <v>1273</v>
      </c>
      <c r="D933" s="497"/>
      <c r="E933" s="499">
        <v>20980</v>
      </c>
      <c r="F933" s="263"/>
      <c r="G933" s="262"/>
    </row>
    <row r="934" spans="1:7" ht="17.45" customHeight="1">
      <c r="A934" s="261" t="s">
        <v>8</v>
      </c>
      <c r="C934" s="262" t="s">
        <v>1274</v>
      </c>
      <c r="D934" s="497"/>
      <c r="E934" s="499">
        <v>18550</v>
      </c>
      <c r="F934" s="263"/>
      <c r="G934" s="262"/>
    </row>
    <row r="935" spans="1:7" ht="17.45" customHeight="1">
      <c r="A935" s="261" t="s">
        <v>8</v>
      </c>
      <c r="C935" s="262" t="s">
        <v>1275</v>
      </c>
      <c r="D935" s="497"/>
      <c r="E935" s="499">
        <v>26450</v>
      </c>
      <c r="F935" s="263"/>
      <c r="G935" s="262"/>
    </row>
    <row r="936" spans="1:7" ht="17.45" customHeight="1">
      <c r="A936" s="261" t="s">
        <v>8</v>
      </c>
      <c r="C936" s="262" t="s">
        <v>1516</v>
      </c>
      <c r="D936" s="497"/>
      <c r="E936" s="499">
        <v>18816</v>
      </c>
      <c r="F936" s="263"/>
      <c r="G936" s="262"/>
    </row>
    <row r="937" spans="1:7" ht="17.45" customHeight="1">
      <c r="A937" s="261" t="s">
        <v>8</v>
      </c>
      <c r="C937" s="262" t="s">
        <v>1517</v>
      </c>
      <c r="D937" s="497"/>
      <c r="E937" s="499">
        <v>23230</v>
      </c>
      <c r="F937" s="263"/>
      <c r="G937" s="262"/>
    </row>
    <row r="938" spans="1:7" ht="17.45" customHeight="1">
      <c r="A938" s="261" t="s">
        <v>8</v>
      </c>
      <c r="C938" s="262" t="s">
        <v>1276</v>
      </c>
      <c r="D938" s="497"/>
      <c r="E938" s="499">
        <v>299520</v>
      </c>
      <c r="F938" s="263"/>
      <c r="G938" s="262"/>
    </row>
    <row r="939" spans="1:7" ht="17.45" customHeight="1">
      <c r="A939" s="261" t="s">
        <v>8</v>
      </c>
      <c r="C939" s="262" t="s">
        <v>1277</v>
      </c>
      <c r="D939" s="497"/>
      <c r="E939" s="499">
        <v>26710</v>
      </c>
      <c r="F939" s="263"/>
      <c r="G939" s="262"/>
    </row>
    <row r="940" spans="1:7" ht="17.45" customHeight="1">
      <c r="A940" s="261" t="s">
        <v>8</v>
      </c>
      <c r="C940" s="262" t="s">
        <v>1278</v>
      </c>
      <c r="D940" s="497"/>
      <c r="E940" s="499">
        <v>200000</v>
      </c>
      <c r="F940" s="263"/>
      <c r="G940" s="262"/>
    </row>
    <row r="941" spans="1:7" ht="17.45" customHeight="1">
      <c r="A941" s="261" t="s">
        <v>8</v>
      </c>
      <c r="C941" s="262" t="s">
        <v>1332</v>
      </c>
      <c r="D941" s="497"/>
      <c r="E941" s="499">
        <v>42630</v>
      </c>
      <c r="F941" s="263"/>
      <c r="G941" s="265"/>
    </row>
    <row r="942" spans="1:7" ht="17.45" customHeight="1">
      <c r="A942" s="261" t="s">
        <v>8</v>
      </c>
      <c r="C942" s="262" t="s">
        <v>1484</v>
      </c>
      <c r="D942" s="497"/>
      <c r="E942" s="499">
        <v>103000</v>
      </c>
      <c r="F942" s="263"/>
      <c r="G942" s="265"/>
    </row>
    <row r="943" spans="1:7" ht="17.45" customHeight="1">
      <c r="A943" s="261" t="s">
        <v>8</v>
      </c>
      <c r="C943" s="262" t="s">
        <v>1280</v>
      </c>
      <c r="D943" s="497"/>
      <c r="E943" s="499">
        <f>5000*0+50000*2</f>
        <v>100000</v>
      </c>
      <c r="F943" s="263"/>
      <c r="G943" s="265"/>
    </row>
    <row r="944" spans="1:7" ht="17.45" customHeight="1">
      <c r="A944" s="261" t="s">
        <v>8</v>
      </c>
      <c r="C944" s="262" t="s">
        <v>391</v>
      </c>
      <c r="D944" s="497"/>
      <c r="E944" s="497">
        <f>5000*0+50000*0</f>
        <v>0</v>
      </c>
      <c r="F944" s="263"/>
      <c r="G944" s="265"/>
    </row>
    <row r="945" spans="1:7" ht="17.45" customHeight="1">
      <c r="A945" s="261" t="s">
        <v>8</v>
      </c>
      <c r="C945" s="262" t="s">
        <v>1413</v>
      </c>
      <c r="D945" s="497"/>
      <c r="E945" s="499">
        <v>1300000</v>
      </c>
      <c r="F945" s="263"/>
      <c r="G945" s="265"/>
    </row>
    <row r="946" spans="1:7" ht="17.45" customHeight="1">
      <c r="A946" s="261" t="s">
        <v>8</v>
      </c>
      <c r="C946" s="262" t="s">
        <v>1604</v>
      </c>
      <c r="D946" s="497"/>
      <c r="E946" s="499">
        <v>800000</v>
      </c>
      <c r="F946" s="263"/>
      <c r="G946" s="265"/>
    </row>
    <row r="947" spans="1:7" ht="17.45" customHeight="1">
      <c r="A947" s="261" t="s">
        <v>8</v>
      </c>
      <c r="C947" s="262" t="s">
        <v>1605</v>
      </c>
      <c r="D947" s="497"/>
      <c r="E947" s="499">
        <f>110000+65000</f>
        <v>175000</v>
      </c>
      <c r="F947" s="263"/>
      <c r="G947" s="265"/>
    </row>
    <row r="948" spans="1:7" ht="17.45" customHeight="1">
      <c r="A948" s="261" t="s">
        <v>8</v>
      </c>
      <c r="C948" s="262" t="s">
        <v>1606</v>
      </c>
      <c r="D948" s="497"/>
      <c r="E948" s="499">
        <v>8500</v>
      </c>
      <c r="F948" s="263"/>
      <c r="G948" s="265"/>
    </row>
    <row r="949" spans="1:7" ht="17.45" customHeight="1">
      <c r="A949" s="261" t="s">
        <v>8</v>
      </c>
      <c r="C949" s="262" t="s">
        <v>1607</v>
      </c>
      <c r="D949" s="497"/>
      <c r="E949" s="499">
        <v>128770</v>
      </c>
      <c r="F949" s="263"/>
      <c r="G949" s="265"/>
    </row>
    <row r="950" spans="1:7" ht="17.45" customHeight="1">
      <c r="A950" s="261" t="s">
        <v>8</v>
      </c>
      <c r="C950" s="262" t="s">
        <v>1608</v>
      </c>
      <c r="D950" s="497"/>
      <c r="E950" s="499">
        <v>12800</v>
      </c>
      <c r="F950" s="263"/>
      <c r="G950" s="265"/>
    </row>
    <row r="951" spans="1:7" ht="17.45" customHeight="1">
      <c r="A951" s="261" t="s">
        <v>8</v>
      </c>
      <c r="C951" s="262" t="s">
        <v>1609</v>
      </c>
      <c r="D951" s="497"/>
      <c r="E951" s="499">
        <v>12000</v>
      </c>
      <c r="F951" s="263"/>
      <c r="G951" s="265"/>
    </row>
    <row r="952" spans="1:7" ht="17.45" customHeight="1">
      <c r="A952" s="261" t="s">
        <v>8</v>
      </c>
      <c r="C952" s="262" t="s">
        <v>1610</v>
      </c>
      <c r="D952" s="497"/>
      <c r="E952" s="499">
        <v>1800</v>
      </c>
      <c r="F952" s="263"/>
      <c r="G952" s="265"/>
    </row>
    <row r="953" spans="1:7" ht="17.45" customHeight="1">
      <c r="A953" s="261" t="s">
        <v>8</v>
      </c>
      <c r="C953" s="262" t="s">
        <v>1611</v>
      </c>
      <c r="D953" s="497"/>
      <c r="E953" s="499">
        <v>17000</v>
      </c>
      <c r="F953" s="263"/>
      <c r="G953" s="265"/>
    </row>
    <row r="954" spans="1:7" ht="17.45" customHeight="1">
      <c r="A954" s="261" t="s">
        <v>8</v>
      </c>
      <c r="C954" s="262" t="s">
        <v>1612</v>
      </c>
      <c r="D954" s="497"/>
      <c r="E954" s="499">
        <v>12300</v>
      </c>
      <c r="F954" s="263"/>
      <c r="G954" s="265"/>
    </row>
    <row r="955" spans="1:7" ht="17.45" customHeight="1">
      <c r="A955" s="261" t="s">
        <v>8</v>
      </c>
      <c r="C955" s="262" t="s">
        <v>1613</v>
      </c>
      <c r="D955" s="497"/>
      <c r="E955" s="499">
        <f>5700+5900</f>
        <v>11600</v>
      </c>
      <c r="F955" s="263"/>
      <c r="G955" s="265"/>
    </row>
    <row r="956" spans="1:7" ht="17.45" customHeight="1">
      <c r="A956" s="261" t="s">
        <v>8</v>
      </c>
      <c r="C956" s="262" t="s">
        <v>1614</v>
      </c>
      <c r="D956" s="497"/>
      <c r="E956" s="499">
        <v>32500</v>
      </c>
      <c r="F956" s="263"/>
      <c r="G956" s="265"/>
    </row>
    <row r="957" spans="1:7" ht="17.45" customHeight="1">
      <c r="A957" s="261" t="s">
        <v>8</v>
      </c>
      <c r="C957" s="262" t="s">
        <v>1618</v>
      </c>
      <c r="D957" s="497"/>
      <c r="E957" s="499">
        <v>26540</v>
      </c>
      <c r="F957" s="263"/>
      <c r="G957" s="265"/>
    </row>
    <row r="958" spans="1:7" ht="17.45" customHeight="1">
      <c r="A958" s="261" t="s">
        <v>8</v>
      </c>
      <c r="C958" s="262" t="s">
        <v>1584</v>
      </c>
      <c r="D958" s="497"/>
      <c r="E958" s="499">
        <v>24000</v>
      </c>
      <c r="F958" s="263"/>
      <c r="G958" s="265"/>
    </row>
    <row r="959" spans="1:7" ht="17.45" customHeight="1">
      <c r="A959" s="261" t="s">
        <v>8</v>
      </c>
      <c r="C959" s="262" t="s">
        <v>1619</v>
      </c>
      <c r="D959" s="497"/>
      <c r="E959" s="499">
        <v>147000</v>
      </c>
      <c r="F959" s="263"/>
      <c r="G959" s="265"/>
    </row>
    <row r="960" spans="1:7" ht="17.45" customHeight="1">
      <c r="A960" s="261" t="s">
        <v>8</v>
      </c>
      <c r="C960" s="262" t="s">
        <v>1621</v>
      </c>
      <c r="D960" s="497"/>
      <c r="E960" s="499">
        <v>450</v>
      </c>
      <c r="F960" s="263"/>
      <c r="G960" s="265"/>
    </row>
    <row r="961" spans="1:7" ht="17.45" customHeight="1">
      <c r="A961" s="261" t="s">
        <v>8</v>
      </c>
      <c r="C961" s="262" t="s">
        <v>1622</v>
      </c>
      <c r="D961" s="497"/>
      <c r="E961" s="499">
        <v>19800</v>
      </c>
      <c r="F961" s="263"/>
      <c r="G961" s="265"/>
    </row>
    <row r="962" spans="1:7" ht="17.45" customHeight="1">
      <c r="A962" s="261" t="s">
        <v>8</v>
      </c>
      <c r="C962" s="262" t="s">
        <v>1623</v>
      </c>
      <c r="D962" s="497"/>
      <c r="E962" s="499">
        <v>172487</v>
      </c>
      <c r="F962" s="263"/>
      <c r="G962" s="265"/>
    </row>
    <row r="963" spans="1:7" ht="17.45" customHeight="1">
      <c r="A963" s="261" t="s">
        <v>8</v>
      </c>
      <c r="C963" s="262" t="s">
        <v>1624</v>
      </c>
      <c r="D963" s="497"/>
      <c r="E963" s="499">
        <v>24800</v>
      </c>
      <c r="F963" s="263"/>
      <c r="G963" s="265"/>
    </row>
    <row r="964" spans="1:7" ht="17.45" customHeight="1">
      <c r="A964" s="261" t="s">
        <v>8</v>
      </c>
      <c r="C964" s="262" t="s">
        <v>1625</v>
      </c>
      <c r="D964" s="497"/>
      <c r="E964" s="499">
        <v>1700</v>
      </c>
      <c r="F964" s="263"/>
      <c r="G964" s="265"/>
    </row>
    <row r="965" spans="1:7" ht="17.45" customHeight="1">
      <c r="A965" s="261" t="s">
        <v>8</v>
      </c>
      <c r="C965" s="262" t="s">
        <v>1626</v>
      </c>
      <c r="D965" s="497"/>
      <c r="E965" s="499">
        <v>4000</v>
      </c>
      <c r="F965" s="263"/>
      <c r="G965" s="265"/>
    </row>
    <row r="966" spans="1:7" ht="17.45" customHeight="1">
      <c r="A966" s="261" t="s">
        <v>8</v>
      </c>
      <c r="C966" s="262" t="s">
        <v>1300</v>
      </c>
      <c r="D966" s="497">
        <f>SUM(D928:D965)-SUM(E928:E965)</f>
        <v>575791</v>
      </c>
      <c r="E966" s="497">
        <f>SUM(E928:E965)-SUM(F928:F965)</f>
        <v>5045103</v>
      </c>
      <c r="F966" s="263"/>
      <c r="G966" s="262"/>
    </row>
    <row r="967" spans="1:7">
      <c r="A967" s="261" t="s">
        <v>8</v>
      </c>
    </row>
    <row r="968" spans="1:7">
      <c r="A968" s="261" t="s">
        <v>8</v>
      </c>
    </row>
    <row r="969" spans="1:7" ht="17.45" customHeight="1">
      <c r="A969" s="261" t="s">
        <v>8</v>
      </c>
      <c r="B969" s="256" t="s">
        <v>2164</v>
      </c>
      <c r="C969" s="262" t="s">
        <v>1268</v>
      </c>
      <c r="D969" s="497">
        <v>6389412</v>
      </c>
      <c r="E969" s="497"/>
      <c r="F969" s="263"/>
      <c r="G969" s="262"/>
    </row>
    <row r="970" spans="1:7" ht="17.45" customHeight="1">
      <c r="A970" s="261" t="s">
        <v>8</v>
      </c>
      <c r="B970" s="257"/>
      <c r="C970" s="262" t="s">
        <v>1269</v>
      </c>
      <c r="D970" s="497"/>
      <c r="E970" s="499">
        <v>443000</v>
      </c>
      <c r="F970" s="263"/>
      <c r="G970" s="267" t="s">
        <v>2165</v>
      </c>
    </row>
    <row r="971" spans="1:7" ht="17.45" customHeight="1">
      <c r="A971" s="261" t="s">
        <v>8</v>
      </c>
      <c r="C971" s="262" t="s">
        <v>1270</v>
      </c>
      <c r="D971" s="497"/>
      <c r="E971" s="499">
        <v>812000</v>
      </c>
      <c r="F971" s="263"/>
      <c r="G971" s="262"/>
    </row>
    <row r="972" spans="1:7" ht="17.45" customHeight="1">
      <c r="A972" s="261" t="s">
        <v>8</v>
      </c>
      <c r="C972" s="262" t="s">
        <v>1271</v>
      </c>
      <c r="D972" s="497"/>
      <c r="E972" s="499">
        <f>157260+6600</f>
        <v>163860</v>
      </c>
      <c r="F972" s="263"/>
      <c r="G972" s="264"/>
    </row>
    <row r="973" spans="1:7" ht="17.45" customHeight="1">
      <c r="A973" s="261" t="s">
        <v>8</v>
      </c>
      <c r="C973" s="262" t="s">
        <v>1272</v>
      </c>
      <c r="D973" s="497"/>
      <c r="E973" s="499">
        <v>6960</v>
      </c>
      <c r="F973" s="263"/>
      <c r="G973" s="262"/>
    </row>
    <row r="974" spans="1:7" ht="17.45" customHeight="1">
      <c r="A974" s="261" t="s">
        <v>8</v>
      </c>
      <c r="C974" s="262" t="s">
        <v>1273</v>
      </c>
      <c r="D974" s="497"/>
      <c r="E974" s="499">
        <v>20980</v>
      </c>
      <c r="F974" s="263"/>
      <c r="G974" s="262"/>
    </row>
    <row r="975" spans="1:7" ht="17.45" customHeight="1">
      <c r="A975" s="261" t="s">
        <v>8</v>
      </c>
      <c r="C975" s="262" t="s">
        <v>1274</v>
      </c>
      <c r="D975" s="497"/>
      <c r="E975" s="499">
        <v>18550</v>
      </c>
      <c r="F975" s="263"/>
      <c r="G975" s="262"/>
    </row>
    <row r="976" spans="1:7" ht="17.45" customHeight="1">
      <c r="A976" s="261" t="s">
        <v>8</v>
      </c>
      <c r="C976" s="262" t="s">
        <v>1275</v>
      </c>
      <c r="D976" s="497"/>
      <c r="E976" s="499">
        <v>26450</v>
      </c>
      <c r="F976" s="263"/>
      <c r="G976" s="262"/>
    </row>
    <row r="977" spans="1:7" ht="17.45" customHeight="1">
      <c r="A977" s="261" t="s">
        <v>8</v>
      </c>
      <c r="C977" s="262" t="s">
        <v>1516</v>
      </c>
      <c r="D977" s="497"/>
      <c r="E977" s="499">
        <v>18816</v>
      </c>
      <c r="F977" s="263"/>
      <c r="G977" s="262"/>
    </row>
    <row r="978" spans="1:7" ht="17.45" customHeight="1">
      <c r="A978" s="261" t="s">
        <v>8</v>
      </c>
      <c r="C978" s="262" t="s">
        <v>1517</v>
      </c>
      <c r="D978" s="497"/>
      <c r="E978" s="499">
        <v>23230</v>
      </c>
      <c r="F978" s="263"/>
      <c r="G978" s="262"/>
    </row>
    <row r="979" spans="1:7" ht="17.45" customHeight="1">
      <c r="A979" s="261" t="s">
        <v>8</v>
      </c>
      <c r="C979" s="262" t="s">
        <v>1276</v>
      </c>
      <c r="D979" s="497"/>
      <c r="E979" s="499">
        <v>364350</v>
      </c>
      <c r="F979" s="263"/>
      <c r="G979" s="262"/>
    </row>
    <row r="980" spans="1:7" ht="17.45" customHeight="1">
      <c r="A980" s="261" t="s">
        <v>8</v>
      </c>
      <c r="C980" s="262" t="s">
        <v>1277</v>
      </c>
      <c r="D980" s="497"/>
      <c r="E980" s="499">
        <v>21500</v>
      </c>
      <c r="F980" s="263"/>
      <c r="G980" s="262"/>
    </row>
    <row r="981" spans="1:7" ht="17.45" customHeight="1">
      <c r="A981" s="261" t="s">
        <v>8</v>
      </c>
      <c r="C981" s="262" t="s">
        <v>1278</v>
      </c>
      <c r="D981" s="497"/>
      <c r="E981" s="499">
        <v>200000</v>
      </c>
      <c r="F981" s="263"/>
      <c r="G981" s="262"/>
    </row>
    <row r="982" spans="1:7" ht="17.45" customHeight="1">
      <c r="A982" s="261" t="s">
        <v>8</v>
      </c>
      <c r="C982" s="262" t="s">
        <v>1629</v>
      </c>
      <c r="D982" s="497"/>
      <c r="E982" s="499">
        <v>300000</v>
      </c>
      <c r="F982" s="263"/>
      <c r="G982" s="262"/>
    </row>
    <row r="983" spans="1:7" ht="17.45" customHeight="1">
      <c r="A983" s="261" t="s">
        <v>8</v>
      </c>
      <c r="C983" s="262" t="s">
        <v>1332</v>
      </c>
      <c r="D983" s="497"/>
      <c r="E983" s="499">
        <v>42630</v>
      </c>
      <c r="F983" s="263"/>
      <c r="G983" s="265"/>
    </row>
    <row r="984" spans="1:7" ht="17.45" customHeight="1">
      <c r="A984" s="261" t="s">
        <v>8</v>
      </c>
      <c r="C984" s="262" t="s">
        <v>1484</v>
      </c>
      <c r="D984" s="497"/>
      <c r="E984" s="499">
        <v>103000</v>
      </c>
      <c r="F984" s="263"/>
      <c r="G984" s="265"/>
    </row>
    <row r="985" spans="1:7" ht="17.45" customHeight="1">
      <c r="A985" s="261" t="s">
        <v>8</v>
      </c>
      <c r="C985" s="262" t="s">
        <v>1280</v>
      </c>
      <c r="D985" s="497"/>
      <c r="E985" s="499">
        <v>50000</v>
      </c>
      <c r="F985" s="263"/>
      <c r="G985" s="265"/>
    </row>
    <row r="986" spans="1:7" ht="17.45" customHeight="1">
      <c r="A986" s="261" t="s">
        <v>8</v>
      </c>
      <c r="C986" s="262" t="s">
        <v>391</v>
      </c>
      <c r="D986" s="497"/>
      <c r="E986" s="499">
        <f>5000*0+50000*2</f>
        <v>100000</v>
      </c>
      <c r="F986" s="263"/>
      <c r="G986" s="265"/>
    </row>
    <row r="987" spans="1:7" ht="17.45" customHeight="1">
      <c r="A987" s="261" t="s">
        <v>8</v>
      </c>
      <c r="C987" s="262" t="s">
        <v>1413</v>
      </c>
      <c r="D987" s="497"/>
      <c r="E987" s="499">
        <v>1300000</v>
      </c>
      <c r="F987" s="263"/>
      <c r="G987" s="265"/>
    </row>
    <row r="988" spans="1:7" ht="17.45" customHeight="1">
      <c r="A988" s="261" t="s">
        <v>8</v>
      </c>
      <c r="C988" s="262" t="s">
        <v>1628</v>
      </c>
      <c r="D988" s="497"/>
      <c r="E988" s="499">
        <v>15000</v>
      </c>
      <c r="F988" s="263"/>
      <c r="G988" s="265"/>
    </row>
    <row r="989" spans="1:7" ht="17.45" customHeight="1">
      <c r="A989" s="261" t="s">
        <v>8</v>
      </c>
      <c r="C989" s="262" t="s">
        <v>1605</v>
      </c>
      <c r="D989" s="497"/>
      <c r="E989" s="499">
        <v>70000</v>
      </c>
      <c r="F989" s="263"/>
      <c r="G989" s="265"/>
    </row>
    <row r="990" spans="1:7" ht="17.45" customHeight="1">
      <c r="A990" s="261" t="s">
        <v>8</v>
      </c>
      <c r="C990" s="262" t="s">
        <v>1618</v>
      </c>
      <c r="D990" s="497"/>
      <c r="E990" s="499">
        <f>49080+15410</f>
        <v>64490</v>
      </c>
      <c r="F990" s="263"/>
      <c r="G990" s="265"/>
    </row>
    <row r="991" spans="1:7" ht="17.45" customHeight="1">
      <c r="A991" s="261" t="s">
        <v>8</v>
      </c>
      <c r="C991" s="262" t="s">
        <v>1607</v>
      </c>
      <c r="D991" s="497"/>
      <c r="E991" s="499">
        <v>48000</v>
      </c>
      <c r="F991" s="263"/>
      <c r="G991" s="265"/>
    </row>
    <row r="992" spans="1:7" ht="17.45" customHeight="1">
      <c r="A992" s="261" t="s">
        <v>8</v>
      </c>
      <c r="C992" s="262" t="s">
        <v>1637</v>
      </c>
      <c r="D992" s="497"/>
      <c r="E992" s="499">
        <v>6100</v>
      </c>
      <c r="F992" s="263"/>
      <c r="G992" s="265"/>
    </row>
    <row r="993" spans="1:7" ht="17.45" customHeight="1">
      <c r="A993" s="261" t="s">
        <v>8</v>
      </c>
      <c r="C993" s="262" t="s">
        <v>1638</v>
      </c>
      <c r="D993" s="497"/>
      <c r="E993" s="499">
        <v>5000</v>
      </c>
      <c r="F993" s="263"/>
      <c r="G993" s="265"/>
    </row>
    <row r="994" spans="1:7" ht="17.45" customHeight="1">
      <c r="A994" s="261" t="s">
        <v>8</v>
      </c>
      <c r="C994" s="262" t="s">
        <v>1610</v>
      </c>
      <c r="D994" s="497"/>
      <c r="E994" s="497"/>
      <c r="F994" s="263"/>
      <c r="G994" s="265"/>
    </row>
    <row r="995" spans="1:7" ht="17.45" customHeight="1">
      <c r="A995" s="261" t="s">
        <v>8</v>
      </c>
      <c r="C995" s="262" t="s">
        <v>1633</v>
      </c>
      <c r="D995" s="497"/>
      <c r="E995" s="499">
        <v>23350</v>
      </c>
      <c r="F995" s="263"/>
      <c r="G995" s="265"/>
    </row>
    <row r="996" spans="1:7" ht="17.45" customHeight="1">
      <c r="A996" s="261" t="s">
        <v>8</v>
      </c>
      <c r="C996" s="262" t="s">
        <v>1632</v>
      </c>
      <c r="D996" s="497"/>
      <c r="E996" s="499">
        <v>28700</v>
      </c>
      <c r="F996" s="263"/>
      <c r="G996" s="265"/>
    </row>
    <row r="997" spans="1:7" ht="17.45" customHeight="1">
      <c r="A997" s="261" t="s">
        <v>8</v>
      </c>
      <c r="C997" s="262" t="s">
        <v>1613</v>
      </c>
      <c r="D997" s="497"/>
      <c r="E997" s="499">
        <f>1800+6600+6600+8800+9100+4900</f>
        <v>37800</v>
      </c>
      <c r="F997" s="263"/>
      <c r="G997" s="265"/>
    </row>
    <row r="998" spans="1:7" ht="17.45" customHeight="1">
      <c r="A998" s="261" t="s">
        <v>8</v>
      </c>
      <c r="C998" s="262" t="s">
        <v>1627</v>
      </c>
      <c r="D998" s="497"/>
      <c r="E998" s="499">
        <v>31500</v>
      </c>
      <c r="F998" s="263"/>
      <c r="G998" s="265"/>
    </row>
    <row r="999" spans="1:7" ht="17.45" customHeight="1">
      <c r="A999" s="261" t="s">
        <v>8</v>
      </c>
      <c r="C999" s="262" t="s">
        <v>1585</v>
      </c>
      <c r="D999" s="497"/>
      <c r="E999" s="499">
        <f>30900+21000</f>
        <v>51900</v>
      </c>
      <c r="F999" s="263"/>
      <c r="G999" s="265"/>
    </row>
    <row r="1000" spans="1:7" ht="17.45" customHeight="1">
      <c r="A1000" s="261" t="s">
        <v>8</v>
      </c>
      <c r="C1000" s="262" t="s">
        <v>1584</v>
      </c>
      <c r="D1000" s="497"/>
      <c r="E1000" s="499">
        <v>24000</v>
      </c>
      <c r="F1000" s="263"/>
      <c r="G1000" s="265"/>
    </row>
    <row r="1001" spans="1:7" ht="17.45" customHeight="1">
      <c r="A1001" s="261" t="s">
        <v>8</v>
      </c>
      <c r="C1001" s="262" t="s">
        <v>1619</v>
      </c>
      <c r="D1001" s="499">
        <v>147000</v>
      </c>
      <c r="E1001" s="497"/>
      <c r="F1001" s="263"/>
      <c r="G1001" s="265"/>
    </row>
    <row r="1002" spans="1:7" ht="17.45" customHeight="1">
      <c r="A1002" s="261" t="s">
        <v>8</v>
      </c>
      <c r="C1002" s="262" t="s">
        <v>1631</v>
      </c>
      <c r="D1002" s="499">
        <v>37600</v>
      </c>
      <c r="E1002" s="499">
        <v>37600</v>
      </c>
      <c r="F1002" s="263"/>
      <c r="G1002" s="265"/>
    </row>
    <row r="1003" spans="1:7" ht="17.45" customHeight="1">
      <c r="A1003" s="261" t="s">
        <v>8</v>
      </c>
      <c r="C1003" s="262" t="s">
        <v>1612</v>
      </c>
      <c r="D1003" s="497"/>
      <c r="E1003" s="499">
        <v>800</v>
      </c>
      <c r="F1003" s="263"/>
      <c r="G1003" s="265"/>
    </row>
    <row r="1004" spans="1:7" ht="17.45" customHeight="1">
      <c r="A1004" s="261" t="s">
        <v>8</v>
      </c>
      <c r="C1004" s="262" t="s">
        <v>1606</v>
      </c>
      <c r="D1004" s="497"/>
      <c r="E1004" s="499">
        <v>11800</v>
      </c>
      <c r="F1004" s="263"/>
      <c r="G1004" s="265"/>
    </row>
    <row r="1005" spans="1:7" ht="17.45" customHeight="1">
      <c r="A1005" s="261" t="s">
        <v>8</v>
      </c>
      <c r="C1005" s="262" t="s">
        <v>1594</v>
      </c>
      <c r="D1005" s="497"/>
      <c r="E1005" s="499">
        <v>30600</v>
      </c>
      <c r="F1005" s="263"/>
      <c r="G1005" s="265"/>
    </row>
    <row r="1006" spans="1:7" ht="17.45" customHeight="1">
      <c r="A1006" s="261" t="s">
        <v>8</v>
      </c>
      <c r="C1006" s="262" t="s">
        <v>1642</v>
      </c>
      <c r="D1006" s="497"/>
      <c r="E1006" s="499">
        <v>125000</v>
      </c>
      <c r="F1006" s="263"/>
      <c r="G1006" s="265"/>
    </row>
    <row r="1007" spans="1:7" ht="17.45" customHeight="1">
      <c r="A1007" s="261" t="s">
        <v>8</v>
      </c>
      <c r="C1007" s="262" t="s">
        <v>1639</v>
      </c>
      <c r="D1007" s="499">
        <v>45100</v>
      </c>
      <c r="E1007" s="497"/>
      <c r="F1007" s="263"/>
      <c r="G1007" s="265"/>
    </row>
    <row r="1008" spans="1:7" ht="17.45" customHeight="1">
      <c r="A1008" s="261" t="s">
        <v>8</v>
      </c>
      <c r="C1008" s="262" t="s">
        <v>1300</v>
      </c>
      <c r="D1008" s="497">
        <f>SUM(D969:D1007)-SUM(E969:E1007)</f>
        <v>1992146</v>
      </c>
      <c r="E1008" s="497">
        <f>SUM(E969:E1007)-SUM(F969:F1007)</f>
        <v>4626966</v>
      </c>
      <c r="F1008" s="263"/>
      <c r="G1008" s="262"/>
    </row>
    <row r="1009" spans="1:7">
      <c r="A1009" s="261" t="s">
        <v>8</v>
      </c>
    </row>
    <row r="1010" spans="1:7" ht="17.45" customHeight="1">
      <c r="A1010" s="261" t="s">
        <v>8</v>
      </c>
      <c r="B1010" s="256" t="s">
        <v>2166</v>
      </c>
      <c r="C1010" s="262" t="s">
        <v>1268</v>
      </c>
      <c r="D1010" s="497">
        <v>5766661</v>
      </c>
      <c r="E1010" s="497"/>
      <c r="F1010" s="263"/>
      <c r="G1010" s="262"/>
    </row>
    <row r="1011" spans="1:7" ht="17.45" customHeight="1">
      <c r="A1011" s="261" t="s">
        <v>8</v>
      </c>
      <c r="B1011" s="257"/>
      <c r="C1011" s="262" t="s">
        <v>1269</v>
      </c>
      <c r="D1011" s="497"/>
      <c r="E1011" s="499">
        <v>360500</v>
      </c>
      <c r="F1011" s="263"/>
      <c r="G1011" s="267" t="s">
        <v>2167</v>
      </c>
    </row>
    <row r="1012" spans="1:7" ht="17.45" customHeight="1">
      <c r="A1012" s="261" t="s">
        <v>8</v>
      </c>
      <c r="C1012" s="262" t="s">
        <v>1270</v>
      </c>
      <c r="D1012" s="497"/>
      <c r="E1012" s="499">
        <v>782000</v>
      </c>
      <c r="F1012" s="263"/>
      <c r="G1012" s="262"/>
    </row>
    <row r="1013" spans="1:7" ht="17.45" customHeight="1">
      <c r="A1013" s="261" t="s">
        <v>8</v>
      </c>
      <c r="C1013" s="262" t="s">
        <v>1271</v>
      </c>
      <c r="D1013" s="497"/>
      <c r="E1013" s="499">
        <v>220520</v>
      </c>
      <c r="F1013" s="263"/>
      <c r="G1013" s="264"/>
    </row>
    <row r="1014" spans="1:7" ht="17.45" customHeight="1">
      <c r="A1014" s="261" t="s">
        <v>8</v>
      </c>
      <c r="C1014" s="262" t="s">
        <v>1272</v>
      </c>
      <c r="D1014" s="497"/>
      <c r="E1014" s="499">
        <v>6960</v>
      </c>
      <c r="F1014" s="263"/>
      <c r="G1014" s="262"/>
    </row>
    <row r="1015" spans="1:7" ht="17.45" customHeight="1">
      <c r="A1015" s="261" t="s">
        <v>8</v>
      </c>
      <c r="C1015" s="262" t="s">
        <v>1273</v>
      </c>
      <c r="D1015" s="497"/>
      <c r="E1015" s="499">
        <v>29920</v>
      </c>
      <c r="F1015" s="263"/>
      <c r="G1015" s="262"/>
    </row>
    <row r="1016" spans="1:7" ht="17.45" customHeight="1">
      <c r="A1016" s="261" t="s">
        <v>8</v>
      </c>
      <c r="C1016" s="262" t="s">
        <v>1274</v>
      </c>
      <c r="D1016" s="497"/>
      <c r="E1016" s="499">
        <v>18550</v>
      </c>
      <c r="F1016" s="263"/>
      <c r="G1016" s="262"/>
    </row>
    <row r="1017" spans="1:7" ht="17.45" customHeight="1">
      <c r="A1017" s="261" t="s">
        <v>8</v>
      </c>
      <c r="C1017" s="262" t="s">
        <v>1275</v>
      </c>
      <c r="D1017" s="497"/>
      <c r="E1017" s="499">
        <v>26450</v>
      </c>
      <c r="F1017" s="263"/>
      <c r="G1017" s="262"/>
    </row>
    <row r="1018" spans="1:7" ht="17.45" customHeight="1">
      <c r="A1018" s="261" t="s">
        <v>8</v>
      </c>
      <c r="C1018" s="262" t="s">
        <v>2168</v>
      </c>
      <c r="D1018" s="497"/>
      <c r="E1018" s="499">
        <v>18816</v>
      </c>
      <c r="F1018" s="263"/>
      <c r="G1018" s="262"/>
    </row>
    <row r="1019" spans="1:7" ht="17.45" customHeight="1">
      <c r="A1019" s="261" t="s">
        <v>8</v>
      </c>
      <c r="C1019" s="262" t="s">
        <v>1517</v>
      </c>
      <c r="D1019" s="497"/>
      <c r="E1019" s="499">
        <v>23230</v>
      </c>
      <c r="F1019" s="263"/>
      <c r="G1019" s="262"/>
    </row>
    <row r="1020" spans="1:7" ht="17.45" customHeight="1">
      <c r="A1020" s="261" t="s">
        <v>8</v>
      </c>
      <c r="C1020" s="262" t="s">
        <v>1276</v>
      </c>
      <c r="D1020" s="497"/>
      <c r="E1020" s="499">
        <v>297670</v>
      </c>
      <c r="F1020" s="263"/>
      <c r="G1020" s="262"/>
    </row>
    <row r="1021" spans="1:7" ht="17.45" customHeight="1">
      <c r="A1021" s="261" t="s">
        <v>8</v>
      </c>
      <c r="C1021" s="262" t="s">
        <v>1277</v>
      </c>
      <c r="D1021" s="497"/>
      <c r="E1021" s="499">
        <v>18350</v>
      </c>
      <c r="F1021" s="263"/>
      <c r="G1021" s="262"/>
    </row>
    <row r="1022" spans="1:7" ht="17.45" customHeight="1">
      <c r="A1022" s="261" t="s">
        <v>8</v>
      </c>
      <c r="C1022" s="262" t="s">
        <v>1278</v>
      </c>
      <c r="D1022" s="497"/>
      <c r="E1022" s="499">
        <v>200000</v>
      </c>
      <c r="F1022" s="263"/>
      <c r="G1022" s="262"/>
    </row>
    <row r="1023" spans="1:7" ht="17.45" customHeight="1">
      <c r="A1023" s="261" t="s">
        <v>8</v>
      </c>
      <c r="C1023" s="262" t="s">
        <v>1332</v>
      </c>
      <c r="D1023" s="497"/>
      <c r="E1023" s="499">
        <v>42630</v>
      </c>
      <c r="F1023" s="263"/>
      <c r="G1023" s="265"/>
    </row>
    <row r="1024" spans="1:7" ht="17.45" customHeight="1">
      <c r="A1024" s="261" t="s">
        <v>8</v>
      </c>
      <c r="C1024" s="262" t="s">
        <v>1484</v>
      </c>
      <c r="D1024" s="497"/>
      <c r="E1024" s="499">
        <v>103000</v>
      </c>
      <c r="F1024" s="263"/>
      <c r="G1024" s="265"/>
    </row>
    <row r="1025" spans="1:7" ht="17.45" customHeight="1">
      <c r="A1025" s="261" t="s">
        <v>8</v>
      </c>
      <c r="C1025" s="262" t="s">
        <v>1413</v>
      </c>
      <c r="D1025" s="497"/>
      <c r="E1025" s="499">
        <f>1300000+400410</f>
        <v>1700410</v>
      </c>
      <c r="F1025" s="263"/>
      <c r="G1025" s="267" t="s">
        <v>2169</v>
      </c>
    </row>
    <row r="1026" spans="1:7" ht="17.45" customHeight="1">
      <c r="A1026" s="261" t="s">
        <v>8</v>
      </c>
      <c r="C1026" s="262" t="s">
        <v>1280</v>
      </c>
      <c r="D1026" s="497"/>
      <c r="E1026" s="499">
        <f>50000*2</f>
        <v>100000</v>
      </c>
      <c r="F1026" s="263"/>
      <c r="G1026" s="265"/>
    </row>
    <row r="1027" spans="1:7" ht="17.45" customHeight="1">
      <c r="A1027" s="261" t="s">
        <v>8</v>
      </c>
      <c r="C1027" s="262" t="s">
        <v>391</v>
      </c>
      <c r="D1027" s="497"/>
      <c r="E1027" s="499">
        <f>50000*2</f>
        <v>100000</v>
      </c>
      <c r="F1027" s="263"/>
      <c r="G1027" s="265"/>
    </row>
    <row r="1028" spans="1:7" ht="17.45" customHeight="1">
      <c r="A1028" s="261" t="s">
        <v>8</v>
      </c>
      <c r="C1028" s="262" t="s">
        <v>1643</v>
      </c>
      <c r="D1028" s="497"/>
      <c r="E1028" s="499">
        <v>29000</v>
      </c>
      <c r="F1028" s="263"/>
      <c r="G1028" s="265"/>
    </row>
    <row r="1029" spans="1:7" ht="17.45" customHeight="1">
      <c r="A1029" s="261" t="s">
        <v>8</v>
      </c>
      <c r="C1029" s="262" t="s">
        <v>1644</v>
      </c>
      <c r="D1029" s="497"/>
      <c r="E1029" s="499">
        <v>4000</v>
      </c>
      <c r="F1029" s="263"/>
      <c r="G1029" s="265"/>
    </row>
    <row r="1030" spans="1:7" ht="17.45" customHeight="1">
      <c r="A1030" s="261" t="s">
        <v>8</v>
      </c>
      <c r="C1030" s="262" t="s">
        <v>1645</v>
      </c>
      <c r="D1030" s="497"/>
      <c r="E1030" s="499">
        <f>15800+14100</f>
        <v>29900</v>
      </c>
      <c r="F1030" s="263"/>
      <c r="G1030" s="265"/>
    </row>
    <row r="1031" spans="1:7" ht="17.45" customHeight="1">
      <c r="A1031" s="261" t="s">
        <v>8</v>
      </c>
      <c r="C1031" s="262" t="s">
        <v>1646</v>
      </c>
      <c r="D1031" s="497"/>
      <c r="E1031" s="499">
        <v>8000</v>
      </c>
      <c r="F1031" s="263"/>
      <c r="G1031" s="265"/>
    </row>
    <row r="1032" spans="1:7" ht="17.45" customHeight="1">
      <c r="A1032" s="261" t="s">
        <v>8</v>
      </c>
      <c r="C1032" s="262" t="s">
        <v>1647</v>
      </c>
      <c r="D1032" s="497"/>
      <c r="E1032" s="499">
        <v>3250</v>
      </c>
      <c r="F1032" s="263"/>
      <c r="G1032" s="265"/>
    </row>
    <row r="1033" spans="1:7" ht="17.45" customHeight="1">
      <c r="A1033" s="261" t="s">
        <v>8</v>
      </c>
      <c r="C1033" s="262" t="s">
        <v>1648</v>
      </c>
      <c r="D1033" s="497"/>
      <c r="E1033" s="499">
        <v>17000</v>
      </c>
      <c r="F1033" s="263"/>
      <c r="G1033" s="265"/>
    </row>
    <row r="1034" spans="1:7" ht="17.45" customHeight="1">
      <c r="A1034" s="261" t="s">
        <v>8</v>
      </c>
      <c r="C1034" s="262" t="s">
        <v>1649</v>
      </c>
      <c r="D1034" s="497"/>
      <c r="E1034" s="499">
        <v>12500</v>
      </c>
      <c r="F1034" s="263"/>
      <c r="G1034" s="265"/>
    </row>
    <row r="1035" spans="1:7" ht="17.45" customHeight="1">
      <c r="A1035" s="261" t="s">
        <v>8</v>
      </c>
      <c r="C1035" s="262" t="s">
        <v>1650</v>
      </c>
      <c r="D1035" s="497"/>
      <c r="E1035" s="499">
        <v>7000</v>
      </c>
      <c r="F1035" s="263"/>
      <c r="G1035" s="265"/>
    </row>
    <row r="1036" spans="1:7" ht="17.45" customHeight="1">
      <c r="A1036" s="261" t="s">
        <v>8</v>
      </c>
      <c r="C1036" s="262" t="s">
        <v>1610</v>
      </c>
      <c r="D1036" s="497"/>
      <c r="E1036" s="499">
        <v>1600</v>
      </c>
      <c r="F1036" s="263"/>
      <c r="G1036" s="265"/>
    </row>
    <row r="1037" spans="1:7" ht="17.45" customHeight="1">
      <c r="A1037" s="261" t="s">
        <v>8</v>
      </c>
      <c r="C1037" s="262" t="s">
        <v>1613</v>
      </c>
      <c r="D1037" s="497"/>
      <c r="E1037" s="499">
        <f>16900+5900+16100+7600+20100</f>
        <v>66600</v>
      </c>
      <c r="F1037" s="263"/>
      <c r="G1037" s="265"/>
    </row>
    <row r="1038" spans="1:7" ht="17.45" customHeight="1">
      <c r="A1038" s="261" t="s">
        <v>8</v>
      </c>
      <c r="C1038" s="262" t="s">
        <v>1566</v>
      </c>
      <c r="D1038" s="497"/>
      <c r="E1038" s="499">
        <v>-400410</v>
      </c>
      <c r="F1038" s="263"/>
      <c r="G1038" s="265"/>
    </row>
    <row r="1039" spans="1:7" ht="17.45" customHeight="1">
      <c r="A1039" s="261" t="s">
        <v>8</v>
      </c>
      <c r="C1039" s="262" t="s">
        <v>1652</v>
      </c>
      <c r="D1039" s="497"/>
      <c r="E1039" s="499">
        <v>75000</v>
      </c>
      <c r="F1039" s="263"/>
      <c r="G1039" s="265"/>
    </row>
    <row r="1040" spans="1:7" ht="17.45" customHeight="1">
      <c r="A1040" s="261" t="s">
        <v>8</v>
      </c>
      <c r="C1040" s="262" t="s">
        <v>1653</v>
      </c>
      <c r="D1040" s="497"/>
      <c r="E1040" s="499">
        <v>26000</v>
      </c>
      <c r="F1040" s="263"/>
      <c r="G1040" s="265"/>
    </row>
    <row r="1041" spans="1:7" ht="17.45" customHeight="1">
      <c r="A1041" s="261" t="s">
        <v>8</v>
      </c>
      <c r="C1041" s="262" t="s">
        <v>1662</v>
      </c>
      <c r="D1041" s="497"/>
      <c r="E1041" s="499">
        <v>19000</v>
      </c>
      <c r="F1041" s="263"/>
      <c r="G1041" s="265"/>
    </row>
    <row r="1042" spans="1:7" ht="17.45" customHeight="1">
      <c r="A1042" s="261" t="s">
        <v>8</v>
      </c>
      <c r="C1042" s="262" t="s">
        <v>1654</v>
      </c>
      <c r="D1042" s="497"/>
      <c r="E1042" s="499">
        <v>50000</v>
      </c>
      <c r="F1042" s="263"/>
      <c r="G1042" s="265"/>
    </row>
    <row r="1043" spans="1:7" ht="17.45" customHeight="1">
      <c r="A1043" s="261" t="s">
        <v>8</v>
      </c>
      <c r="C1043" s="262" t="s">
        <v>1655</v>
      </c>
      <c r="D1043" s="497"/>
      <c r="E1043" s="499">
        <v>69500</v>
      </c>
      <c r="F1043" s="263"/>
      <c r="G1043" s="265"/>
    </row>
    <row r="1044" spans="1:7" ht="17.45" customHeight="1">
      <c r="A1044" s="261" t="s">
        <v>8</v>
      </c>
      <c r="C1044" s="262" t="s">
        <v>1656</v>
      </c>
      <c r="D1044" s="497"/>
      <c r="E1044" s="499">
        <v>2500</v>
      </c>
      <c r="F1044" s="263"/>
      <c r="G1044" s="265"/>
    </row>
    <row r="1045" spans="1:7" ht="17.45" customHeight="1">
      <c r="A1045" s="261" t="s">
        <v>8</v>
      </c>
      <c r="C1045" s="262" t="s">
        <v>1657</v>
      </c>
      <c r="D1045" s="497"/>
      <c r="E1045" s="499">
        <v>16000</v>
      </c>
      <c r="F1045" s="263"/>
      <c r="G1045" s="265"/>
    </row>
    <row r="1046" spans="1:7" ht="17.45" customHeight="1">
      <c r="A1046" s="261" t="s">
        <v>8</v>
      </c>
      <c r="C1046" s="262" t="s">
        <v>1658</v>
      </c>
      <c r="D1046" s="497"/>
      <c r="E1046" s="499">
        <v>19500</v>
      </c>
      <c r="F1046" s="263"/>
      <c r="G1046" s="265"/>
    </row>
    <row r="1047" spans="1:7" ht="17.45" customHeight="1">
      <c r="A1047" s="261" t="s">
        <v>8</v>
      </c>
      <c r="C1047" s="262" t="s">
        <v>1659</v>
      </c>
      <c r="D1047" s="497"/>
      <c r="E1047" s="499">
        <v>18500</v>
      </c>
      <c r="F1047" s="263"/>
      <c r="G1047" s="265"/>
    </row>
    <row r="1048" spans="1:7" ht="17.45" customHeight="1">
      <c r="A1048" s="261" t="s">
        <v>8</v>
      </c>
      <c r="C1048" s="262" t="s">
        <v>1660</v>
      </c>
      <c r="D1048" s="497"/>
      <c r="E1048" s="499">
        <v>7300</v>
      </c>
      <c r="F1048" s="263"/>
      <c r="G1048" s="265"/>
    </row>
    <row r="1049" spans="1:7" ht="17.45" customHeight="1">
      <c r="A1049" s="261" t="s">
        <v>8</v>
      </c>
      <c r="C1049" s="262" t="s">
        <v>1651</v>
      </c>
      <c r="D1049" s="497"/>
      <c r="E1049" s="499">
        <f>64600+3200</f>
        <v>67800</v>
      </c>
      <c r="F1049" s="263"/>
      <c r="G1049" s="265"/>
    </row>
    <row r="1050" spans="1:7" ht="17.45" customHeight="1">
      <c r="A1050" s="261" t="s">
        <v>8</v>
      </c>
      <c r="C1050" s="262" t="s">
        <v>1661</v>
      </c>
      <c r="D1050" s="497"/>
      <c r="E1050" s="499">
        <v>16500</v>
      </c>
      <c r="F1050" s="263"/>
      <c r="G1050" s="265"/>
    </row>
    <row r="1051" spans="1:7" ht="17.45" customHeight="1">
      <c r="A1051" s="261" t="s">
        <v>8</v>
      </c>
      <c r="C1051" s="262" t="s">
        <v>2170</v>
      </c>
      <c r="D1051" s="497"/>
      <c r="E1051" s="499">
        <v>129070</v>
      </c>
      <c r="F1051" s="263"/>
      <c r="G1051" s="265"/>
    </row>
    <row r="1052" spans="1:7" ht="17.45" customHeight="1">
      <c r="A1052" s="261" t="s">
        <v>8</v>
      </c>
      <c r="C1052" s="262" t="s">
        <v>2171</v>
      </c>
      <c r="D1052" s="497"/>
      <c r="E1052" s="499">
        <v>131460</v>
      </c>
      <c r="F1052" s="263"/>
      <c r="G1052" s="265"/>
    </row>
    <row r="1053" spans="1:7" ht="17.45" customHeight="1">
      <c r="A1053" s="261" t="s">
        <v>8</v>
      </c>
      <c r="C1053" s="262" t="s">
        <v>1663</v>
      </c>
      <c r="D1053" s="497"/>
      <c r="E1053" s="499">
        <v>33500</v>
      </c>
      <c r="F1053" s="263"/>
      <c r="G1053" s="265"/>
    </row>
    <row r="1054" spans="1:7" ht="17.45" customHeight="1">
      <c r="A1054" s="261" t="s">
        <v>8</v>
      </c>
      <c r="C1054" s="262" t="s">
        <v>1664</v>
      </c>
      <c r="D1054" s="497"/>
      <c r="E1054" s="499">
        <v>2000</v>
      </c>
      <c r="F1054" s="263"/>
      <c r="G1054" s="265"/>
    </row>
    <row r="1055" spans="1:7" ht="17.45" customHeight="1">
      <c r="A1055" s="261" t="s">
        <v>8</v>
      </c>
      <c r="C1055" s="262" t="s">
        <v>1628</v>
      </c>
      <c r="D1055" s="497"/>
      <c r="E1055" s="499">
        <v>14000</v>
      </c>
      <c r="F1055" s="263"/>
      <c r="G1055" s="265"/>
    </row>
    <row r="1056" spans="1:7" ht="17.45" customHeight="1">
      <c r="A1056" s="261" t="s">
        <v>8</v>
      </c>
      <c r="C1056" s="262" t="s">
        <v>1665</v>
      </c>
      <c r="D1056" s="497"/>
      <c r="E1056" s="499">
        <v>7700</v>
      </c>
      <c r="F1056" s="263"/>
      <c r="G1056" s="265"/>
    </row>
    <row r="1057" spans="1:7" ht="17.45" customHeight="1">
      <c r="A1057" s="261" t="s">
        <v>8</v>
      </c>
      <c r="C1057" s="262" t="s">
        <v>1666</v>
      </c>
      <c r="D1057" s="497"/>
      <c r="E1057" s="499">
        <f>59400+34600</f>
        <v>94000</v>
      </c>
      <c r="F1057" s="263"/>
      <c r="G1057" s="265"/>
    </row>
    <row r="1058" spans="1:7" ht="17.45" customHeight="1">
      <c r="A1058" s="261" t="s">
        <v>8</v>
      </c>
      <c r="C1058" s="262" t="s">
        <v>1602</v>
      </c>
      <c r="D1058" s="499">
        <v>963</v>
      </c>
      <c r="E1058" s="497"/>
      <c r="F1058" s="263"/>
      <c r="G1058" s="265"/>
    </row>
    <row r="1059" spans="1:7" ht="17.45" customHeight="1">
      <c r="A1059" s="261" t="s">
        <v>8</v>
      </c>
      <c r="C1059" s="262" t="s">
        <v>1594</v>
      </c>
      <c r="D1059" s="497"/>
      <c r="E1059" s="499">
        <v>18800</v>
      </c>
      <c r="F1059" s="263"/>
      <c r="G1059" s="265"/>
    </row>
    <row r="1060" spans="1:7" ht="17.45" customHeight="1">
      <c r="A1060" s="261" t="s">
        <v>8</v>
      </c>
      <c r="C1060" s="262" t="s">
        <v>1618</v>
      </c>
      <c r="D1060" s="497"/>
      <c r="E1060" s="499">
        <v>39820</v>
      </c>
      <c r="F1060" s="263"/>
      <c r="G1060" s="265"/>
    </row>
    <row r="1061" spans="1:7" ht="17.45" customHeight="1">
      <c r="A1061" s="261" t="s">
        <v>8</v>
      </c>
      <c r="C1061" s="262" t="s">
        <v>1667</v>
      </c>
      <c r="D1061" s="497"/>
      <c r="E1061" s="499">
        <v>64800</v>
      </c>
      <c r="F1061" s="263"/>
      <c r="G1061" s="265"/>
    </row>
    <row r="1062" spans="1:7" ht="17.45" customHeight="1">
      <c r="A1062" s="261" t="s">
        <v>8</v>
      </c>
      <c r="C1062" s="262" t="s">
        <v>1639</v>
      </c>
      <c r="D1062" s="499">
        <f>45400+218500</f>
        <v>263900</v>
      </c>
      <c r="E1062" s="499">
        <v>84000</v>
      </c>
      <c r="F1062" s="263"/>
      <c r="G1062" s="265"/>
    </row>
    <row r="1063" spans="1:7" ht="17.45" customHeight="1">
      <c r="A1063" s="261" t="s">
        <v>8</v>
      </c>
      <c r="C1063" s="262" t="s">
        <v>1300</v>
      </c>
      <c r="D1063" s="497">
        <f>SUM(D1010:D1062)-SUM(E1010:E1062)</f>
        <v>1197328</v>
      </c>
      <c r="E1063" s="497">
        <f>SUM(E1010:E1062)-SUM(F1010:F1062)</f>
        <v>4834196</v>
      </c>
      <c r="F1063" s="263"/>
      <c r="G1063" s="262"/>
    </row>
    <row r="1064" spans="1:7">
      <c r="A1064" s="261" t="s">
        <v>8</v>
      </c>
    </row>
    <row r="1065" spans="1:7" ht="17.45" customHeight="1">
      <c r="A1065" s="261" t="s">
        <v>8</v>
      </c>
      <c r="B1065" s="256" t="s">
        <v>2172</v>
      </c>
      <c r="C1065" s="262" t="s">
        <v>1268</v>
      </c>
      <c r="D1065" s="497">
        <v>5897561</v>
      </c>
      <c r="E1065" s="497"/>
      <c r="F1065" s="263"/>
      <c r="G1065" s="262"/>
    </row>
    <row r="1066" spans="1:7" ht="17.45" customHeight="1">
      <c r="A1066" s="261" t="s">
        <v>8</v>
      </c>
      <c r="B1066" s="257"/>
      <c r="C1066" s="262" t="s">
        <v>1269</v>
      </c>
      <c r="D1066" s="497"/>
      <c r="E1066" s="499">
        <v>377640</v>
      </c>
      <c r="F1066" s="263"/>
      <c r="G1066" s="267" t="s">
        <v>2173</v>
      </c>
    </row>
    <row r="1067" spans="1:7" ht="17.45" customHeight="1">
      <c r="A1067" s="261" t="s">
        <v>8</v>
      </c>
      <c r="C1067" s="262" t="s">
        <v>1270</v>
      </c>
      <c r="D1067" s="497"/>
      <c r="E1067" s="499">
        <v>737000</v>
      </c>
      <c r="F1067" s="263"/>
      <c r="G1067" s="262"/>
    </row>
    <row r="1068" spans="1:7" ht="17.45" customHeight="1">
      <c r="A1068" s="261" t="s">
        <v>8</v>
      </c>
      <c r="C1068" s="262" t="s">
        <v>1670</v>
      </c>
      <c r="D1068" s="497"/>
      <c r="E1068" s="499">
        <v>26010</v>
      </c>
      <c r="F1068" s="263"/>
      <c r="G1068" s="264"/>
    </row>
    <row r="1069" spans="1:7" ht="17.45" customHeight="1">
      <c r="A1069" s="261" t="s">
        <v>8</v>
      </c>
      <c r="C1069" s="262" t="s">
        <v>1672</v>
      </c>
      <c r="D1069" s="497"/>
      <c r="E1069" s="499">
        <f>103600+74600</f>
        <v>178200</v>
      </c>
      <c r="F1069" s="263"/>
      <c r="G1069" s="264"/>
    </row>
    <row r="1070" spans="1:7" ht="17.45" customHeight="1">
      <c r="A1070" s="261" t="s">
        <v>8</v>
      </c>
      <c r="C1070" s="262" t="s">
        <v>1673</v>
      </c>
      <c r="D1070" s="497"/>
      <c r="E1070" s="499">
        <f>56650*2</f>
        <v>113300</v>
      </c>
      <c r="F1070" s="263"/>
      <c r="G1070" s="264"/>
    </row>
    <row r="1071" spans="1:7" ht="17.45" customHeight="1">
      <c r="A1071" s="261" t="s">
        <v>8</v>
      </c>
      <c r="C1071" s="262" t="s">
        <v>1272</v>
      </c>
      <c r="D1071" s="497"/>
      <c r="E1071" s="499">
        <v>6960</v>
      </c>
      <c r="F1071" s="263"/>
      <c r="G1071" s="262"/>
    </row>
    <row r="1072" spans="1:7" ht="17.45" customHeight="1">
      <c r="A1072" s="261" t="s">
        <v>8</v>
      </c>
      <c r="C1072" s="262" t="s">
        <v>1273</v>
      </c>
      <c r="D1072" s="497"/>
      <c r="E1072" s="499">
        <v>29920</v>
      </c>
      <c r="F1072" s="263"/>
      <c r="G1072" s="262"/>
    </row>
    <row r="1073" spans="1:7" ht="17.45" customHeight="1">
      <c r="A1073" s="261" t="s">
        <v>8</v>
      </c>
      <c r="C1073" s="262" t="s">
        <v>1274</v>
      </c>
      <c r="D1073" s="497"/>
      <c r="E1073" s="499">
        <f>18550+9405</f>
        <v>27955</v>
      </c>
      <c r="F1073" s="263"/>
      <c r="G1073" s="262"/>
    </row>
    <row r="1074" spans="1:7" ht="17.45" customHeight="1">
      <c r="A1074" s="261" t="s">
        <v>8</v>
      </c>
      <c r="C1074" s="262" t="s">
        <v>1275</v>
      </c>
      <c r="D1074" s="497"/>
      <c r="E1074" s="499">
        <v>26450</v>
      </c>
      <c r="F1074" s="263"/>
      <c r="G1074" s="262"/>
    </row>
    <row r="1075" spans="1:7" ht="17.45" customHeight="1">
      <c r="A1075" s="261" t="s">
        <v>8</v>
      </c>
      <c r="C1075" s="262" t="s">
        <v>2168</v>
      </c>
      <c r="D1075" s="497"/>
      <c r="E1075" s="499">
        <v>18816</v>
      </c>
      <c r="F1075" s="263"/>
      <c r="G1075" s="262"/>
    </row>
    <row r="1076" spans="1:7" ht="17.45" customHeight="1">
      <c r="A1076" s="261" t="s">
        <v>8</v>
      </c>
      <c r="C1076" s="262" t="s">
        <v>1517</v>
      </c>
      <c r="D1076" s="497"/>
      <c r="E1076" s="499">
        <v>23230</v>
      </c>
      <c r="F1076" s="263"/>
      <c r="G1076" s="262"/>
    </row>
    <row r="1077" spans="1:7" ht="17.45" customHeight="1">
      <c r="A1077" s="261" t="s">
        <v>8</v>
      </c>
      <c r="C1077" s="262" t="s">
        <v>1276</v>
      </c>
      <c r="D1077" s="497"/>
      <c r="E1077" s="499">
        <v>245790</v>
      </c>
      <c r="F1077" s="263"/>
      <c r="G1077" s="262"/>
    </row>
    <row r="1078" spans="1:7" ht="17.45" customHeight="1">
      <c r="A1078" s="261" t="s">
        <v>8</v>
      </c>
      <c r="C1078" s="262" t="s">
        <v>1277</v>
      </c>
      <c r="D1078" s="497"/>
      <c r="E1078" s="499">
        <v>10900</v>
      </c>
      <c r="F1078" s="263"/>
      <c r="G1078" s="262"/>
    </row>
    <row r="1079" spans="1:7" ht="17.45" customHeight="1">
      <c r="A1079" s="261" t="s">
        <v>8</v>
      </c>
      <c r="C1079" s="262" t="s">
        <v>1278</v>
      </c>
      <c r="D1079" s="497"/>
      <c r="E1079" s="499">
        <v>200000</v>
      </c>
      <c r="F1079" s="263"/>
      <c r="G1079" s="262"/>
    </row>
    <row r="1080" spans="1:7" ht="17.45" customHeight="1">
      <c r="A1080" s="261" t="s">
        <v>8</v>
      </c>
      <c r="C1080" s="262" t="s">
        <v>1332</v>
      </c>
      <c r="D1080" s="497"/>
      <c r="E1080" s="497">
        <v>0</v>
      </c>
      <c r="F1080" s="263"/>
      <c r="G1080" s="265"/>
    </row>
    <row r="1081" spans="1:7" ht="17.45" customHeight="1">
      <c r="A1081" s="261" t="s">
        <v>8</v>
      </c>
      <c r="C1081" s="262" t="s">
        <v>1484</v>
      </c>
      <c r="D1081" s="497"/>
      <c r="E1081" s="499">
        <v>103000</v>
      </c>
      <c r="F1081" s="263"/>
      <c r="G1081" s="265"/>
    </row>
    <row r="1082" spans="1:7" ht="17.45" customHeight="1">
      <c r="A1082" s="261" t="s">
        <v>8</v>
      </c>
      <c r="C1082" s="262" t="s">
        <v>1413</v>
      </c>
      <c r="D1082" s="497"/>
      <c r="E1082" s="499">
        <f>1300000</f>
        <v>1300000</v>
      </c>
      <c r="F1082" s="263"/>
      <c r="G1082" s="267"/>
    </row>
    <row r="1083" spans="1:7" ht="17.45" customHeight="1">
      <c r="A1083" s="261" t="s">
        <v>8</v>
      </c>
      <c r="C1083" s="262" t="s">
        <v>1280</v>
      </c>
      <c r="D1083" s="497"/>
      <c r="E1083" s="499">
        <f>50000*0+70000</f>
        <v>70000</v>
      </c>
      <c r="F1083" s="263"/>
      <c r="G1083" s="265"/>
    </row>
    <row r="1084" spans="1:7" ht="17.45" customHeight="1">
      <c r="A1084" s="261" t="s">
        <v>8</v>
      </c>
      <c r="C1084" s="262" t="s">
        <v>391</v>
      </c>
      <c r="D1084" s="497"/>
      <c r="E1084" s="497">
        <f>50000*0</f>
        <v>0</v>
      </c>
      <c r="F1084" s="263"/>
      <c r="G1084" s="265"/>
    </row>
    <row r="1085" spans="1:7" ht="17.45" customHeight="1">
      <c r="A1085" s="261" t="s">
        <v>8</v>
      </c>
      <c r="C1085" s="262" t="s">
        <v>1584</v>
      </c>
      <c r="D1085" s="497"/>
      <c r="E1085" s="499">
        <v>11000</v>
      </c>
      <c r="F1085" s="263"/>
      <c r="G1085" s="265"/>
    </row>
    <row r="1086" spans="1:7" ht="17.45" customHeight="1">
      <c r="A1086" s="261" t="s">
        <v>8</v>
      </c>
      <c r="C1086" s="262" t="s">
        <v>1569</v>
      </c>
      <c r="D1086" s="497"/>
      <c r="E1086" s="499">
        <f>81620+67790</f>
        <v>149410</v>
      </c>
      <c r="F1086" s="263"/>
      <c r="G1086" s="265"/>
    </row>
    <row r="1087" spans="1:7" ht="17.45" customHeight="1">
      <c r="A1087" s="261" t="s">
        <v>8</v>
      </c>
      <c r="C1087" s="262" t="s">
        <v>1668</v>
      </c>
      <c r="D1087" s="497"/>
      <c r="E1087" s="499">
        <v>100000</v>
      </c>
      <c r="F1087" s="263"/>
      <c r="G1087" s="265"/>
    </row>
    <row r="1088" spans="1:7" ht="17.45" customHeight="1">
      <c r="A1088" s="261" t="s">
        <v>8</v>
      </c>
      <c r="C1088" s="262" t="s">
        <v>1669</v>
      </c>
      <c r="D1088" s="497"/>
      <c r="E1088" s="499">
        <v>33800</v>
      </c>
      <c r="F1088" s="263"/>
      <c r="G1088" s="265"/>
    </row>
    <row r="1089" spans="1:7" ht="17.45" customHeight="1">
      <c r="A1089" s="261" t="s">
        <v>8</v>
      </c>
      <c r="C1089" s="262" t="s">
        <v>1670</v>
      </c>
      <c r="D1089" s="497"/>
      <c r="E1089" s="499">
        <v>26010</v>
      </c>
      <c r="F1089" s="263"/>
      <c r="G1089" s="265"/>
    </row>
    <row r="1090" spans="1:7" ht="17.45" customHeight="1">
      <c r="A1090" s="261" t="s">
        <v>8</v>
      </c>
      <c r="C1090" s="262" t="s">
        <v>1671</v>
      </c>
      <c r="D1090" s="497"/>
      <c r="E1090" s="499">
        <v>15900</v>
      </c>
      <c r="F1090" s="263"/>
      <c r="G1090" s="265"/>
    </row>
    <row r="1091" spans="1:7" ht="17.45" customHeight="1">
      <c r="A1091" s="261" t="s">
        <v>8</v>
      </c>
      <c r="C1091" s="262" t="s">
        <v>1613</v>
      </c>
      <c r="D1091" s="497"/>
      <c r="E1091" s="499">
        <v>8500</v>
      </c>
      <c r="F1091" s="263"/>
      <c r="G1091" s="265"/>
    </row>
    <row r="1092" spans="1:7" ht="17.45" customHeight="1">
      <c r="A1092" s="261" t="s">
        <v>8</v>
      </c>
      <c r="C1092" s="262" t="s">
        <v>1594</v>
      </c>
      <c r="D1092" s="497"/>
      <c r="E1092" s="499">
        <v>17700</v>
      </c>
      <c r="F1092" s="263"/>
      <c r="G1092" s="265"/>
    </row>
    <row r="1093" spans="1:7" ht="17.45" customHeight="1">
      <c r="A1093" s="261" t="s">
        <v>8</v>
      </c>
      <c r="C1093" s="262" t="s">
        <v>1680</v>
      </c>
      <c r="D1093" s="497"/>
      <c r="E1093" s="499">
        <v>2200</v>
      </c>
      <c r="F1093" s="263"/>
      <c r="G1093" s="265"/>
    </row>
    <row r="1094" spans="1:7" ht="17.45" customHeight="1">
      <c r="A1094" s="261" t="s">
        <v>8</v>
      </c>
      <c r="C1094" s="262" t="s">
        <v>1650</v>
      </c>
      <c r="D1094" s="497"/>
      <c r="E1094" s="499">
        <v>13400</v>
      </c>
      <c r="F1094" s="263"/>
      <c r="G1094" s="265"/>
    </row>
    <row r="1095" spans="1:7" ht="17.45" customHeight="1">
      <c r="A1095" s="261" t="s">
        <v>8</v>
      </c>
      <c r="C1095" s="262" t="s">
        <v>1681</v>
      </c>
      <c r="D1095" s="497"/>
      <c r="E1095" s="499">
        <v>11000</v>
      </c>
      <c r="F1095" s="263"/>
      <c r="G1095" s="265"/>
    </row>
    <row r="1096" spans="1:7" ht="17.45" customHeight="1">
      <c r="A1096" s="261" t="s">
        <v>8</v>
      </c>
      <c r="C1096" s="262" t="s">
        <v>1682</v>
      </c>
      <c r="D1096" s="497"/>
      <c r="E1096" s="499">
        <v>9900</v>
      </c>
      <c r="F1096" s="263"/>
      <c r="G1096" s="265"/>
    </row>
    <row r="1097" spans="1:7" ht="17.45" customHeight="1">
      <c r="A1097" s="261" t="s">
        <v>8</v>
      </c>
      <c r="C1097" s="262" t="s">
        <v>1683</v>
      </c>
      <c r="D1097" s="497"/>
      <c r="E1097" s="499">
        <v>1077610</v>
      </c>
      <c r="F1097" s="263"/>
      <c r="G1097" s="265"/>
    </row>
    <row r="1098" spans="1:7" ht="17.45" customHeight="1">
      <c r="A1098" s="261" t="s">
        <v>8</v>
      </c>
      <c r="C1098" s="262" t="s">
        <v>1618</v>
      </c>
      <c r="D1098" s="497"/>
      <c r="E1098" s="499">
        <f>9740+9960</f>
        <v>19700</v>
      </c>
      <c r="F1098" s="263"/>
      <c r="G1098" s="265"/>
    </row>
    <row r="1099" spans="1:7" ht="17.45" customHeight="1">
      <c r="A1099" s="261" t="s">
        <v>8</v>
      </c>
      <c r="C1099" s="262" t="s">
        <v>1684</v>
      </c>
      <c r="D1099" s="499">
        <v>1205592</v>
      </c>
      <c r="E1099" s="497"/>
      <c r="F1099" s="263"/>
      <c r="G1099" s="265"/>
    </row>
    <row r="1100" spans="1:7" ht="17.45" customHeight="1">
      <c r="A1100" s="261" t="s">
        <v>8</v>
      </c>
      <c r="C1100" s="262" t="s">
        <v>1685</v>
      </c>
      <c r="D1100" s="497"/>
      <c r="E1100" s="499">
        <v>8700</v>
      </c>
      <c r="F1100" s="263"/>
      <c r="G1100" s="265"/>
    </row>
    <row r="1101" spans="1:7" ht="17.45" customHeight="1">
      <c r="A1101" s="261" t="s">
        <v>8</v>
      </c>
      <c r="C1101" s="262" t="s">
        <v>1686</v>
      </c>
      <c r="D1101" s="497"/>
      <c r="E1101" s="499">
        <v>7000</v>
      </c>
      <c r="F1101" s="263"/>
      <c r="G1101" s="265"/>
    </row>
    <row r="1102" spans="1:7" ht="17.45" customHeight="1">
      <c r="A1102" s="261" t="s">
        <v>8</v>
      </c>
      <c r="C1102" s="262" t="s">
        <v>1644</v>
      </c>
      <c r="D1102" s="497"/>
      <c r="E1102" s="499">
        <f>138300-80000</f>
        <v>58300</v>
      </c>
      <c r="F1102" s="263"/>
      <c r="G1102" s="265"/>
    </row>
    <row r="1103" spans="1:7" ht="17.45" customHeight="1">
      <c r="A1103" s="261" t="s">
        <v>8</v>
      </c>
      <c r="C1103" s="262" t="s">
        <v>1687</v>
      </c>
      <c r="D1103" s="497"/>
      <c r="E1103" s="499">
        <v>1500000</v>
      </c>
      <c r="F1103" s="263"/>
      <c r="G1103" s="265"/>
    </row>
    <row r="1104" spans="1:7" ht="17.45" customHeight="1">
      <c r="A1104" s="261" t="s">
        <v>8</v>
      </c>
      <c r="C1104" s="262" t="s">
        <v>1758</v>
      </c>
      <c r="D1104" s="497"/>
      <c r="E1104" s="499">
        <f>57300+52100+47000+49100-9800+51700-47000</f>
        <v>200400</v>
      </c>
      <c r="F1104" s="263"/>
      <c r="G1104" s="265"/>
    </row>
    <row r="1105" spans="1:7" ht="17.45" customHeight="1">
      <c r="A1105" s="261" t="s">
        <v>8</v>
      </c>
      <c r="C1105" s="262" t="s">
        <v>1688</v>
      </c>
      <c r="D1105" s="497"/>
      <c r="E1105" s="499">
        <v>85000</v>
      </c>
      <c r="F1105" s="263"/>
      <c r="G1105" s="265"/>
    </row>
    <row r="1106" spans="1:7" ht="17.45" customHeight="1">
      <c r="A1106" s="261" t="s">
        <v>8</v>
      </c>
      <c r="C1106" s="262" t="s">
        <v>1689</v>
      </c>
      <c r="D1106" s="497"/>
      <c r="E1106" s="499">
        <v>33790</v>
      </c>
      <c r="F1106" s="263"/>
      <c r="G1106" s="265"/>
    </row>
    <row r="1107" spans="1:7" ht="17.45" customHeight="1">
      <c r="A1107" s="261" t="s">
        <v>8</v>
      </c>
      <c r="C1107" s="262" t="s">
        <v>1690</v>
      </c>
      <c r="D1107" s="497"/>
      <c r="E1107" s="499">
        <v>6000</v>
      </c>
      <c r="F1107" s="263"/>
      <c r="G1107" s="265"/>
    </row>
    <row r="1108" spans="1:7" ht="17.45" customHeight="1">
      <c r="A1108" s="261" t="s">
        <v>8</v>
      </c>
      <c r="C1108" s="262" t="s">
        <v>1585</v>
      </c>
      <c r="D1108" s="497"/>
      <c r="E1108" s="499">
        <f>24000+23500</f>
        <v>47500</v>
      </c>
      <c r="F1108" s="263"/>
      <c r="G1108" s="265"/>
    </row>
    <row r="1109" spans="1:7" ht="17.45" customHeight="1">
      <c r="A1109" s="261" t="s">
        <v>8</v>
      </c>
      <c r="C1109" s="262" t="s">
        <v>1691</v>
      </c>
      <c r="D1109" s="497"/>
      <c r="E1109" s="499">
        <v>219000</v>
      </c>
      <c r="F1109" s="263"/>
      <c r="G1109" s="265"/>
    </row>
    <row r="1110" spans="1:7" ht="17.45" customHeight="1">
      <c r="A1110" s="261" t="s">
        <v>8</v>
      </c>
      <c r="C1110" s="262" t="s">
        <v>1692</v>
      </c>
      <c r="D1110" s="497"/>
      <c r="E1110" s="499">
        <v>10000</v>
      </c>
      <c r="F1110" s="263"/>
      <c r="G1110" s="265"/>
    </row>
    <row r="1111" spans="1:7" ht="17.45" customHeight="1">
      <c r="A1111" s="261" t="s">
        <v>8</v>
      </c>
      <c r="C1111" s="262" t="s">
        <v>1693</v>
      </c>
      <c r="D1111" s="497"/>
      <c r="E1111" s="499">
        <v>9400</v>
      </c>
      <c r="F1111" s="263"/>
      <c r="G1111" s="265"/>
    </row>
    <row r="1112" spans="1:7" ht="17.45" customHeight="1">
      <c r="A1112" s="261" t="s">
        <v>8</v>
      </c>
      <c r="C1112" s="262" t="s">
        <v>1694</v>
      </c>
      <c r="D1112" s="497"/>
      <c r="E1112" s="499">
        <v>8200</v>
      </c>
      <c r="F1112" s="263"/>
      <c r="G1112" s="265"/>
    </row>
    <row r="1113" spans="1:7" ht="17.45" customHeight="1">
      <c r="A1113" s="261" t="s">
        <v>8</v>
      </c>
      <c r="C1113" s="262" t="s">
        <v>1300</v>
      </c>
      <c r="D1113" s="497">
        <f>SUM(D1065:D1112)-SUM(E1065:E1112)</f>
        <v>-81438</v>
      </c>
      <c r="E1113" s="497">
        <f>SUM(E1065:E1112)-SUM(F1065:F1112)</f>
        <v>7184591</v>
      </c>
      <c r="F1113" s="263"/>
      <c r="G1113" s="262"/>
    </row>
    <row r="1114" spans="1:7">
      <c r="A1114" s="261" t="s">
        <v>8</v>
      </c>
    </row>
    <row r="1115" spans="1:7" ht="17.45" customHeight="1">
      <c r="A1115" s="261" t="s">
        <v>8</v>
      </c>
      <c r="B1115" s="256" t="s">
        <v>2174</v>
      </c>
      <c r="C1115" s="262" t="s">
        <v>1268</v>
      </c>
      <c r="D1115" s="499">
        <v>6136791</v>
      </c>
      <c r="E1115" s="497"/>
      <c r="F1115" s="263"/>
      <c r="G1115" s="262"/>
    </row>
    <row r="1116" spans="1:7" ht="17.45" customHeight="1">
      <c r="A1116" s="261" t="s">
        <v>8</v>
      </c>
      <c r="C1116" s="262" t="s">
        <v>1759</v>
      </c>
      <c r="D1116" s="499">
        <v>10530000</v>
      </c>
      <c r="E1116" s="497"/>
      <c r="F1116" s="263"/>
      <c r="G1116" s="265"/>
    </row>
    <row r="1117" spans="1:7" ht="17.45" customHeight="1">
      <c r="A1117" s="261" t="s">
        <v>8</v>
      </c>
      <c r="C1117" s="262" t="s">
        <v>1761</v>
      </c>
      <c r="D1117" s="497"/>
      <c r="E1117" s="499">
        <v>6500000</v>
      </c>
      <c r="F1117" s="263"/>
      <c r="G1117" s="265"/>
    </row>
    <row r="1118" spans="1:7" ht="17.45" customHeight="1">
      <c r="A1118" s="261" t="s">
        <v>8</v>
      </c>
      <c r="C1118" s="262" t="s">
        <v>1760</v>
      </c>
      <c r="D1118" s="497"/>
      <c r="E1118" s="499">
        <v>500000</v>
      </c>
      <c r="F1118" s="263"/>
      <c r="G1118" s="265"/>
    </row>
    <row r="1119" spans="1:7" ht="17.45" customHeight="1">
      <c r="A1119" s="261" t="s">
        <v>8</v>
      </c>
      <c r="C1119" s="262" t="s">
        <v>1762</v>
      </c>
      <c r="D1119" s="497"/>
      <c r="E1119" s="499">
        <v>281000</v>
      </c>
      <c r="F1119" s="263"/>
      <c r="G1119" s="265"/>
    </row>
    <row r="1120" spans="1:7" ht="17.45" customHeight="1">
      <c r="A1120" s="261" t="s">
        <v>8</v>
      </c>
      <c r="B1120" s="257"/>
      <c r="C1120" s="262" t="s">
        <v>1269</v>
      </c>
      <c r="D1120" s="497"/>
      <c r="E1120" s="499">
        <f>414000-2160</f>
        <v>411840</v>
      </c>
      <c r="F1120" s="263"/>
      <c r="G1120" s="267" t="s">
        <v>2175</v>
      </c>
    </row>
    <row r="1121" spans="1:7" ht="17.45" customHeight="1">
      <c r="A1121" s="261" t="s">
        <v>8</v>
      </c>
      <c r="C1121" s="262" t="s">
        <v>1270</v>
      </c>
      <c r="D1121" s="497"/>
      <c r="E1121" s="499">
        <v>765000</v>
      </c>
      <c r="F1121" s="263"/>
      <c r="G1121" s="262"/>
    </row>
    <row r="1122" spans="1:7" ht="17.45" customHeight="1">
      <c r="A1122" s="261" t="s">
        <v>8</v>
      </c>
      <c r="C1122" s="262" t="s">
        <v>1670</v>
      </c>
      <c r="D1122" s="497"/>
      <c r="E1122" s="499">
        <v>26010</v>
      </c>
      <c r="F1122" s="263"/>
      <c r="G1122" s="264"/>
    </row>
    <row r="1123" spans="1:7" ht="17.45" customHeight="1">
      <c r="A1123" s="261" t="s">
        <v>8</v>
      </c>
      <c r="C1123" s="262" t="s">
        <v>1672</v>
      </c>
      <c r="D1123" s="497"/>
      <c r="E1123" s="499">
        <v>68920</v>
      </c>
      <c r="F1123" s="263"/>
      <c r="G1123" s="264"/>
    </row>
    <row r="1124" spans="1:7" ht="17.45" customHeight="1">
      <c r="A1124" s="261" t="s">
        <v>8</v>
      </c>
      <c r="C1124" s="262" t="s">
        <v>1673</v>
      </c>
      <c r="D1124" s="497"/>
      <c r="E1124" s="497">
        <v>0</v>
      </c>
      <c r="F1124" s="263"/>
      <c r="G1124" s="264"/>
    </row>
    <row r="1125" spans="1:7" ht="17.45" customHeight="1">
      <c r="A1125" s="261" t="s">
        <v>8</v>
      </c>
      <c r="C1125" s="262" t="s">
        <v>1271</v>
      </c>
      <c r="D1125" s="497"/>
      <c r="E1125" s="499">
        <v>3060</v>
      </c>
      <c r="F1125" s="263"/>
      <c r="G1125" s="264" t="s">
        <v>2176</v>
      </c>
    </row>
    <row r="1126" spans="1:7" ht="17.45" customHeight="1">
      <c r="A1126" s="261" t="s">
        <v>8</v>
      </c>
      <c r="C1126" s="262" t="s">
        <v>1272</v>
      </c>
      <c r="D1126" s="497"/>
      <c r="E1126" s="499">
        <v>6960</v>
      </c>
      <c r="F1126" s="263"/>
      <c r="G1126" s="262"/>
    </row>
    <row r="1127" spans="1:7" ht="17.45" customHeight="1">
      <c r="A1127" s="261" t="s">
        <v>8</v>
      </c>
      <c r="C1127" s="262" t="s">
        <v>1273</v>
      </c>
      <c r="D1127" s="497"/>
      <c r="E1127" s="499">
        <v>29920</v>
      </c>
      <c r="F1127" s="263"/>
      <c r="G1127" s="262"/>
    </row>
    <row r="1128" spans="1:7" ht="17.45" customHeight="1">
      <c r="A1128" s="261" t="s">
        <v>8</v>
      </c>
      <c r="C1128" s="262" t="s">
        <v>1274</v>
      </c>
      <c r="D1128" s="497"/>
      <c r="E1128" s="499">
        <v>9405</v>
      </c>
      <c r="F1128" s="263"/>
      <c r="G1128" s="262"/>
    </row>
    <row r="1129" spans="1:7" ht="17.45" customHeight="1">
      <c r="A1129" s="261" t="s">
        <v>8</v>
      </c>
      <c r="C1129" s="262" t="s">
        <v>1275</v>
      </c>
      <c r="D1129" s="497"/>
      <c r="E1129" s="499">
        <v>26450</v>
      </c>
      <c r="F1129" s="263"/>
      <c r="G1129" s="262"/>
    </row>
    <row r="1130" spans="1:7" ht="17.45" customHeight="1">
      <c r="A1130" s="261" t="s">
        <v>8</v>
      </c>
      <c r="C1130" s="262" t="s">
        <v>2168</v>
      </c>
      <c r="D1130" s="497"/>
      <c r="E1130" s="499">
        <v>18816</v>
      </c>
      <c r="F1130" s="263"/>
      <c r="G1130" s="262"/>
    </row>
    <row r="1131" spans="1:7" ht="17.45" customHeight="1">
      <c r="A1131" s="261" t="s">
        <v>8</v>
      </c>
      <c r="C1131" s="262" t="s">
        <v>1517</v>
      </c>
      <c r="D1131" s="497"/>
      <c r="E1131" s="499">
        <v>23230</v>
      </c>
      <c r="F1131" s="263"/>
      <c r="G1131" s="262"/>
    </row>
    <row r="1132" spans="1:7" ht="17.45" customHeight="1">
      <c r="A1132" s="261" t="s">
        <v>8</v>
      </c>
      <c r="C1132" s="262" t="s">
        <v>1276</v>
      </c>
      <c r="D1132" s="497"/>
      <c r="E1132" s="499">
        <v>445680</v>
      </c>
      <c r="F1132" s="263"/>
      <c r="G1132" s="262"/>
    </row>
    <row r="1133" spans="1:7" ht="17.45" customHeight="1">
      <c r="A1133" s="261" t="s">
        <v>8</v>
      </c>
      <c r="C1133" s="262" t="s">
        <v>1277</v>
      </c>
      <c r="D1133" s="497"/>
      <c r="E1133" s="499">
        <v>11120</v>
      </c>
      <c r="F1133" s="263"/>
      <c r="G1133" s="262"/>
    </row>
    <row r="1134" spans="1:7" ht="17.45" customHeight="1">
      <c r="A1134" s="261" t="s">
        <v>8</v>
      </c>
      <c r="C1134" s="262" t="s">
        <v>1787</v>
      </c>
      <c r="D1134" s="497"/>
      <c r="E1134" s="499">
        <v>3000</v>
      </c>
      <c r="F1134" s="263"/>
      <c r="G1134" s="262"/>
    </row>
    <row r="1135" spans="1:7" ht="17.45" customHeight="1">
      <c r="A1135" s="261" t="s">
        <v>8</v>
      </c>
      <c r="C1135" s="262" t="s">
        <v>1781</v>
      </c>
      <c r="D1135" s="497"/>
      <c r="E1135" s="499">
        <v>1000</v>
      </c>
      <c r="F1135" s="263"/>
      <c r="G1135" s="262"/>
    </row>
    <row r="1136" spans="1:7" ht="17.45" customHeight="1">
      <c r="A1136" s="261" t="s">
        <v>8</v>
      </c>
      <c r="C1136" s="262" t="s">
        <v>1782</v>
      </c>
      <c r="D1136" s="497"/>
      <c r="E1136" s="499">
        <v>28000</v>
      </c>
      <c r="F1136" s="263"/>
      <c r="G1136" s="262"/>
    </row>
    <row r="1137" spans="1:7" ht="17.45" customHeight="1">
      <c r="A1137" s="261" t="s">
        <v>8</v>
      </c>
      <c r="C1137" s="262" t="s">
        <v>1783</v>
      </c>
      <c r="D1137" s="497"/>
      <c r="E1137" s="499">
        <v>11900</v>
      </c>
      <c r="F1137" s="263"/>
      <c r="G1137" s="265"/>
    </row>
    <row r="1138" spans="1:7" ht="17.45" customHeight="1">
      <c r="A1138" s="261" t="s">
        <v>8</v>
      </c>
      <c r="C1138" s="262" t="s">
        <v>1784</v>
      </c>
      <c r="D1138" s="497"/>
      <c r="E1138" s="499">
        <v>9000</v>
      </c>
      <c r="F1138" s="263"/>
      <c r="G1138" s="265"/>
    </row>
    <row r="1139" spans="1:7" ht="17.45" customHeight="1">
      <c r="A1139" s="261" t="s">
        <v>8</v>
      </c>
      <c r="C1139" s="262" t="s">
        <v>1785</v>
      </c>
      <c r="D1139" s="497"/>
      <c r="E1139" s="499">
        <v>2000</v>
      </c>
      <c r="F1139" s="263"/>
      <c r="G1139" s="267"/>
    </row>
    <row r="1140" spans="1:7" ht="17.45" customHeight="1">
      <c r="A1140" s="261" t="s">
        <v>8</v>
      </c>
      <c r="C1140" s="262" t="s">
        <v>1687</v>
      </c>
      <c r="D1140" s="497"/>
      <c r="E1140" s="499">
        <v>1350000</v>
      </c>
      <c r="F1140" s="263"/>
      <c r="G1140" s="265"/>
    </row>
    <row r="1141" spans="1:7" ht="17.45" customHeight="1">
      <c r="A1141" s="261" t="s">
        <v>8</v>
      </c>
      <c r="C1141" s="262" t="s">
        <v>1786</v>
      </c>
      <c r="D1141" s="497"/>
      <c r="E1141" s="499">
        <v>37000</v>
      </c>
      <c r="F1141" s="263"/>
      <c r="G1141" s="265"/>
    </row>
    <row r="1142" spans="1:7" ht="17.45" customHeight="1">
      <c r="A1142" s="261" t="s">
        <v>8</v>
      </c>
      <c r="C1142" s="262" t="s">
        <v>1278</v>
      </c>
      <c r="D1142" s="497"/>
      <c r="E1142" s="499">
        <f>200000+100000</f>
        <v>300000</v>
      </c>
      <c r="F1142" s="263"/>
      <c r="G1142" s="262"/>
    </row>
    <row r="1143" spans="1:7" ht="17.45" customHeight="1">
      <c r="A1143" s="261" t="s">
        <v>8</v>
      </c>
      <c r="C1143" s="262" t="s">
        <v>1778</v>
      </c>
      <c r="D1143" s="497"/>
      <c r="E1143" s="499">
        <v>109000</v>
      </c>
      <c r="F1143" s="263"/>
      <c r="G1143" s="262"/>
    </row>
    <row r="1144" spans="1:7" ht="17.45" customHeight="1">
      <c r="A1144" s="261" t="s">
        <v>8</v>
      </c>
      <c r="C1144" s="262" t="s">
        <v>1332</v>
      </c>
      <c r="D1144" s="497"/>
      <c r="E1144" s="499">
        <v>42630</v>
      </c>
      <c r="F1144" s="263"/>
      <c r="G1144" s="265"/>
    </row>
    <row r="1145" spans="1:7" ht="17.45" customHeight="1">
      <c r="A1145" s="261" t="s">
        <v>8</v>
      </c>
      <c r="C1145" s="262" t="s">
        <v>1484</v>
      </c>
      <c r="D1145" s="497"/>
      <c r="E1145" s="499">
        <v>103000</v>
      </c>
      <c r="F1145" s="263"/>
      <c r="G1145" s="265"/>
    </row>
    <row r="1146" spans="1:7" ht="17.45" customHeight="1">
      <c r="A1146" s="261" t="s">
        <v>8</v>
      </c>
      <c r="C1146" s="262" t="s">
        <v>1413</v>
      </c>
      <c r="D1146" s="497"/>
      <c r="E1146" s="499">
        <f>1300000</f>
        <v>1300000</v>
      </c>
      <c r="F1146" s="263"/>
      <c r="G1146" s="267"/>
    </row>
    <row r="1147" spans="1:7" ht="17.45" customHeight="1">
      <c r="A1147" s="261" t="s">
        <v>8</v>
      </c>
      <c r="C1147" s="262" t="s">
        <v>1280</v>
      </c>
      <c r="D1147" s="497"/>
      <c r="E1147" s="499">
        <f>50000*3</f>
        <v>150000</v>
      </c>
      <c r="F1147" s="263"/>
      <c r="G1147" s="265"/>
    </row>
    <row r="1148" spans="1:7" ht="17.45" customHeight="1">
      <c r="A1148" s="261" t="s">
        <v>8</v>
      </c>
      <c r="C1148" s="262" t="s">
        <v>1780</v>
      </c>
      <c r="D1148" s="497"/>
      <c r="E1148" s="499">
        <v>46000</v>
      </c>
      <c r="F1148" s="263"/>
      <c r="G1148" s="265"/>
    </row>
    <row r="1149" spans="1:7" ht="17.45" customHeight="1">
      <c r="A1149" s="261" t="s">
        <v>8</v>
      </c>
      <c r="C1149" s="262" t="s">
        <v>1779</v>
      </c>
      <c r="D1149" s="497"/>
      <c r="E1149" s="499">
        <v>5200</v>
      </c>
      <c r="F1149" s="263"/>
      <c r="G1149" s="265"/>
    </row>
    <row r="1150" spans="1:7" ht="17.45" customHeight="1">
      <c r="A1150" s="261" t="s">
        <v>8</v>
      </c>
      <c r="C1150" s="262" t="s">
        <v>1646</v>
      </c>
      <c r="D1150" s="497"/>
      <c r="E1150" s="499">
        <v>8000</v>
      </c>
      <c r="F1150" s="263"/>
      <c r="G1150" s="265"/>
    </row>
    <row r="1151" spans="1:7" ht="17.45" customHeight="1">
      <c r="A1151" s="261" t="s">
        <v>8</v>
      </c>
      <c r="C1151" s="262" t="s">
        <v>1688</v>
      </c>
      <c r="D1151" s="497"/>
      <c r="E1151" s="499">
        <v>90000</v>
      </c>
      <c r="F1151" s="263"/>
      <c r="G1151" s="265"/>
    </row>
    <row r="1152" spans="1:7" ht="17.45" customHeight="1">
      <c r="A1152" s="261" t="s">
        <v>8</v>
      </c>
      <c r="C1152" s="262" t="s">
        <v>1777</v>
      </c>
      <c r="D1152" s="497"/>
      <c r="E1152" s="499">
        <v>19500</v>
      </c>
      <c r="F1152" s="263"/>
      <c r="G1152" s="265"/>
    </row>
    <row r="1153" spans="1:7" ht="17.45" customHeight="1">
      <c r="A1153" s="261" t="s">
        <v>8</v>
      </c>
      <c r="C1153" s="262" t="s">
        <v>1595</v>
      </c>
      <c r="D1153" s="497"/>
      <c r="E1153" s="499">
        <v>6400</v>
      </c>
      <c r="F1153" s="263"/>
      <c r="G1153" s="265"/>
    </row>
    <row r="1154" spans="1:7" ht="17.45" customHeight="1">
      <c r="A1154" s="261" t="s">
        <v>8</v>
      </c>
      <c r="C1154" s="262" t="s">
        <v>1596</v>
      </c>
      <c r="D1154" s="497"/>
      <c r="E1154" s="499">
        <v>39700</v>
      </c>
      <c r="F1154" s="263"/>
      <c r="G1154" s="265"/>
    </row>
    <row r="1155" spans="1:7" ht="17.45" customHeight="1">
      <c r="A1155" s="261" t="s">
        <v>8</v>
      </c>
      <c r="C1155" s="262" t="s">
        <v>1776</v>
      </c>
      <c r="D1155" s="497"/>
      <c r="E1155" s="499">
        <v>4600</v>
      </c>
      <c r="F1155" s="263"/>
      <c r="G1155" s="265"/>
    </row>
    <row r="1156" spans="1:7" ht="17.45" customHeight="1">
      <c r="A1156" s="261" t="s">
        <v>8</v>
      </c>
      <c r="C1156" s="262" t="s">
        <v>1613</v>
      </c>
      <c r="D1156" s="497"/>
      <c r="E1156" s="499">
        <v>3600</v>
      </c>
      <c r="F1156" s="263"/>
      <c r="G1156" s="265"/>
    </row>
    <row r="1157" spans="1:7" ht="17.45" customHeight="1">
      <c r="A1157" s="261" t="s">
        <v>8</v>
      </c>
      <c r="C1157" s="262" t="s">
        <v>1775</v>
      </c>
      <c r="D1157" s="497"/>
      <c r="E1157" s="499">
        <v>24000</v>
      </c>
      <c r="F1157" s="263"/>
      <c r="G1157" s="265"/>
    </row>
    <row r="1158" spans="1:7" ht="17.45" customHeight="1">
      <c r="A1158" s="261" t="s">
        <v>8</v>
      </c>
      <c r="C1158" s="262" t="s">
        <v>1680</v>
      </c>
      <c r="D1158" s="497"/>
      <c r="E1158" s="499">
        <f>800+9100</f>
        <v>9900</v>
      </c>
      <c r="F1158" s="263"/>
      <c r="G1158" s="265"/>
    </row>
    <row r="1159" spans="1:7" ht="17.45" customHeight="1">
      <c r="A1159" s="261" t="s">
        <v>8</v>
      </c>
      <c r="C1159" s="262" t="s">
        <v>1774</v>
      </c>
      <c r="D1159" s="497"/>
      <c r="E1159" s="499">
        <v>430120</v>
      </c>
      <c r="F1159" s="263"/>
      <c r="G1159" s="265"/>
    </row>
    <row r="1160" spans="1:7" ht="17.45" customHeight="1">
      <c r="A1160" s="261" t="s">
        <v>8</v>
      </c>
      <c r="C1160" s="262" t="s">
        <v>1772</v>
      </c>
      <c r="D1160" s="499">
        <v>276100</v>
      </c>
      <c r="E1160" s="499">
        <v>276100</v>
      </c>
      <c r="F1160" s="263"/>
      <c r="G1160" s="265"/>
    </row>
    <row r="1161" spans="1:7" ht="17.45" customHeight="1">
      <c r="A1161" s="261" t="s">
        <v>8</v>
      </c>
      <c r="C1161" s="262" t="s">
        <v>1771</v>
      </c>
      <c r="D1161" s="497"/>
      <c r="E1161" s="499">
        <v>300000</v>
      </c>
      <c r="F1161" s="263"/>
      <c r="G1161" s="265"/>
    </row>
    <row r="1162" spans="1:7" ht="17.45" customHeight="1">
      <c r="A1162" s="261" t="s">
        <v>8</v>
      </c>
      <c r="C1162" s="262" t="s">
        <v>1790</v>
      </c>
      <c r="D1162" s="497"/>
      <c r="E1162" s="499">
        <v>20000</v>
      </c>
      <c r="F1162" s="263"/>
      <c r="G1162" s="265"/>
    </row>
    <row r="1163" spans="1:7" ht="17.45" customHeight="1">
      <c r="A1163" s="261" t="s">
        <v>8</v>
      </c>
      <c r="C1163" s="262" t="s">
        <v>1789</v>
      </c>
      <c r="D1163" s="497"/>
      <c r="E1163" s="499">
        <v>430000</v>
      </c>
      <c r="F1163" s="263"/>
      <c r="G1163" s="265"/>
    </row>
    <row r="1164" spans="1:7" ht="17.45" customHeight="1">
      <c r="A1164" s="261" t="s">
        <v>8</v>
      </c>
      <c r="C1164" s="262" t="s">
        <v>1618</v>
      </c>
      <c r="D1164" s="497"/>
      <c r="E1164" s="499">
        <v>21990</v>
      </c>
      <c r="F1164" s="263"/>
      <c r="G1164" s="265"/>
    </row>
    <row r="1165" spans="1:7" ht="17.45" customHeight="1">
      <c r="A1165" s="261" t="s">
        <v>8</v>
      </c>
      <c r="C1165" s="262" t="s">
        <v>1769</v>
      </c>
      <c r="D1165" s="497"/>
      <c r="E1165" s="499">
        <v>300000</v>
      </c>
      <c r="F1165" s="263"/>
      <c r="G1165" s="265"/>
    </row>
    <row r="1166" spans="1:7" ht="17.45" customHeight="1">
      <c r="A1166" s="261" t="s">
        <v>8</v>
      </c>
      <c r="C1166" s="262" t="s">
        <v>1650</v>
      </c>
      <c r="D1166" s="497"/>
      <c r="E1166" s="499">
        <f>8900+9800</f>
        <v>18700</v>
      </c>
      <c r="F1166" s="263"/>
      <c r="G1166" s="265"/>
    </row>
    <row r="1167" spans="1:7" ht="17.45" customHeight="1">
      <c r="A1167" s="261" t="s">
        <v>8</v>
      </c>
      <c r="C1167" s="262" t="s">
        <v>1768</v>
      </c>
      <c r="D1167" s="497"/>
      <c r="E1167" s="499">
        <v>118000</v>
      </c>
      <c r="F1167" s="263"/>
      <c r="G1167" s="265"/>
    </row>
    <row r="1168" spans="1:7" ht="17.45" customHeight="1">
      <c r="A1168" s="261" t="s">
        <v>8</v>
      </c>
      <c r="C1168" s="262" t="s">
        <v>1163</v>
      </c>
      <c r="D1168" s="497"/>
      <c r="E1168" s="499">
        <v>8500</v>
      </c>
      <c r="F1168" s="263"/>
      <c r="G1168" s="265"/>
    </row>
    <row r="1169" spans="1:7" ht="17.45" customHeight="1">
      <c r="A1169" s="261" t="s">
        <v>8</v>
      </c>
      <c r="C1169" s="262" t="s">
        <v>1758</v>
      </c>
      <c r="D1169" s="497"/>
      <c r="E1169" s="499">
        <f>120200-57300-120200</f>
        <v>-57300</v>
      </c>
      <c r="F1169" s="263"/>
      <c r="G1169" s="265"/>
    </row>
    <row r="1170" spans="1:7" ht="17.45" customHeight="1">
      <c r="A1170" s="261" t="s">
        <v>8</v>
      </c>
      <c r="C1170" s="262" t="s">
        <v>1770</v>
      </c>
      <c r="D1170" s="497"/>
      <c r="E1170" s="499">
        <v>6000</v>
      </c>
      <c r="F1170" s="263"/>
      <c r="G1170" s="265"/>
    </row>
    <row r="1171" spans="1:7" ht="17.45" customHeight="1">
      <c r="A1171" s="261" t="s">
        <v>8</v>
      </c>
      <c r="C1171" s="262" t="s">
        <v>1594</v>
      </c>
      <c r="D1171" s="497"/>
      <c r="E1171" s="499">
        <f>21920+27700</f>
        <v>49620</v>
      </c>
      <c r="F1171" s="263"/>
      <c r="G1171" s="265"/>
    </row>
    <row r="1172" spans="1:7" ht="17.45" customHeight="1">
      <c r="A1172" s="261" t="s">
        <v>8</v>
      </c>
      <c r="C1172" s="262" t="s">
        <v>1767</v>
      </c>
      <c r="D1172" s="497"/>
      <c r="E1172" s="499">
        <v>43000</v>
      </c>
      <c r="F1172" s="263"/>
      <c r="G1172" s="265"/>
    </row>
    <row r="1173" spans="1:7" ht="17.45" customHeight="1">
      <c r="A1173" s="261" t="s">
        <v>8</v>
      </c>
      <c r="C1173" s="262" t="s">
        <v>1766</v>
      </c>
      <c r="D1173" s="497"/>
      <c r="E1173" s="499">
        <v>6000</v>
      </c>
      <c r="F1173" s="263"/>
      <c r="G1173" s="265"/>
    </row>
    <row r="1174" spans="1:7" ht="17.45" customHeight="1">
      <c r="A1174" s="261" t="s">
        <v>8</v>
      </c>
      <c r="C1174" s="262" t="s">
        <v>1647</v>
      </c>
      <c r="D1174" s="497"/>
      <c r="E1174" s="499">
        <f>4400+5400-6000</f>
        <v>3800</v>
      </c>
      <c r="F1174" s="263"/>
      <c r="G1174" s="265"/>
    </row>
    <row r="1175" spans="1:7" ht="17.45" customHeight="1">
      <c r="A1175" s="261" t="s">
        <v>8</v>
      </c>
      <c r="C1175" s="262" t="s">
        <v>1645</v>
      </c>
      <c r="D1175" s="497"/>
      <c r="E1175" s="499">
        <v>16700</v>
      </c>
      <c r="F1175" s="263"/>
      <c r="G1175" s="265"/>
    </row>
    <row r="1176" spans="1:7" ht="17.45" customHeight="1">
      <c r="A1176" s="261" t="s">
        <v>8</v>
      </c>
      <c r="C1176" s="262" t="s">
        <v>1765</v>
      </c>
      <c r="D1176" s="497"/>
      <c r="E1176" s="499">
        <v>3600</v>
      </c>
      <c r="F1176" s="263"/>
      <c r="G1176" s="265"/>
    </row>
    <row r="1177" spans="1:7" ht="17.45" customHeight="1">
      <c r="A1177" s="261" t="s">
        <v>8</v>
      </c>
      <c r="C1177" s="262" t="s">
        <v>1763</v>
      </c>
      <c r="D1177" s="497"/>
      <c r="E1177" s="499">
        <v>28000</v>
      </c>
      <c r="F1177" s="263"/>
      <c r="G1177" s="265"/>
    </row>
    <row r="1178" spans="1:7" ht="17.45" customHeight="1">
      <c r="A1178" s="261" t="s">
        <v>8</v>
      </c>
      <c r="C1178" s="262" t="s">
        <v>1764</v>
      </c>
      <c r="D1178" s="497"/>
      <c r="E1178" s="499">
        <v>2000</v>
      </c>
      <c r="F1178" s="263"/>
      <c r="G1178" s="265"/>
    </row>
    <row r="1179" spans="1:7" ht="17.45" customHeight="1">
      <c r="A1179" s="261" t="s">
        <v>8</v>
      </c>
      <c r="C1179" s="262" t="s">
        <v>1631</v>
      </c>
      <c r="D1179" s="499">
        <v>32700</v>
      </c>
      <c r="E1179" s="499">
        <v>32700</v>
      </c>
      <c r="F1179" s="263"/>
      <c r="G1179" s="265"/>
    </row>
    <row r="1180" spans="1:7" ht="17.45" customHeight="1">
      <c r="A1180" s="261" t="s">
        <v>8</v>
      </c>
      <c r="C1180" s="262" t="s">
        <v>1300</v>
      </c>
      <c r="D1180" s="497">
        <f>SUM(D1115:D1179)-SUM(E1115:E1179)</f>
        <v>2087220</v>
      </c>
      <c r="E1180" s="497">
        <f>SUM(E1115:E1179)-SUM(F1115:F1179)</f>
        <v>14888371</v>
      </c>
      <c r="F1180" s="263"/>
      <c r="G1180" s="262"/>
    </row>
    <row r="1181" spans="1:7" ht="12.75" thickBot="1">
      <c r="A1181" s="261" t="s">
        <v>8</v>
      </c>
    </row>
    <row r="1182" spans="1:7" ht="17.45" customHeight="1">
      <c r="A1182" s="261" t="s">
        <v>8</v>
      </c>
      <c r="B1182" s="256" t="s">
        <v>2177</v>
      </c>
      <c r="C1182" s="268" t="s">
        <v>1268</v>
      </c>
      <c r="D1182" s="500">
        <v>5894271</v>
      </c>
      <c r="E1182" s="501"/>
      <c r="F1182" s="269"/>
      <c r="G1182" s="270"/>
    </row>
    <row r="1183" spans="1:7" ht="17.45" customHeight="1">
      <c r="A1183" s="261" t="s">
        <v>8</v>
      </c>
      <c r="B1183" s="257"/>
      <c r="C1183" s="271" t="s">
        <v>1269</v>
      </c>
      <c r="D1183" s="497"/>
      <c r="E1183" s="499">
        <v>401000</v>
      </c>
      <c r="F1183" s="263"/>
      <c r="G1183" s="272" t="s">
        <v>2178</v>
      </c>
    </row>
    <row r="1184" spans="1:7" ht="17.45" customHeight="1">
      <c r="A1184" s="261" t="s">
        <v>8</v>
      </c>
      <c r="C1184" s="271" t="s">
        <v>1270</v>
      </c>
      <c r="D1184" s="497"/>
      <c r="E1184" s="499">
        <v>732000</v>
      </c>
      <c r="F1184" s="263"/>
      <c r="G1184" s="273"/>
    </row>
    <row r="1185" spans="1:7" ht="17.45" customHeight="1">
      <c r="A1185" s="261" t="s">
        <v>8</v>
      </c>
      <c r="C1185" s="271" t="s">
        <v>1670</v>
      </c>
      <c r="D1185" s="497"/>
      <c r="E1185" s="499">
        <v>26010</v>
      </c>
      <c r="F1185" s="263"/>
      <c r="G1185" s="274"/>
    </row>
    <row r="1186" spans="1:7" ht="17.45" customHeight="1">
      <c r="A1186" s="261" t="s">
        <v>8</v>
      </c>
      <c r="C1186" s="271" t="s">
        <v>1672</v>
      </c>
      <c r="D1186" s="497"/>
      <c r="E1186" s="499">
        <v>65970</v>
      </c>
      <c r="F1186" s="263"/>
      <c r="G1186" s="274"/>
    </row>
    <row r="1187" spans="1:7" ht="17.45" customHeight="1">
      <c r="A1187" s="261" t="s">
        <v>8</v>
      </c>
      <c r="C1187" s="271" t="s">
        <v>1673</v>
      </c>
      <c r="D1187" s="497"/>
      <c r="E1187" s="499">
        <v>0</v>
      </c>
      <c r="F1187" s="263"/>
      <c r="G1187" s="274"/>
    </row>
    <row r="1188" spans="1:7" ht="17.45" customHeight="1">
      <c r="A1188" s="261" t="s">
        <v>8</v>
      </c>
      <c r="C1188" s="271" t="s">
        <v>1332</v>
      </c>
      <c r="D1188" s="497"/>
      <c r="E1188" s="499">
        <v>42900</v>
      </c>
      <c r="F1188" s="263"/>
      <c r="G1188" s="275"/>
    </row>
    <row r="1189" spans="1:7" ht="17.45" customHeight="1">
      <c r="A1189" s="261" t="s">
        <v>8</v>
      </c>
      <c r="C1189" s="271" t="s">
        <v>1271</v>
      </c>
      <c r="D1189" s="497"/>
      <c r="E1189" s="499">
        <v>0</v>
      </c>
      <c r="F1189" s="263"/>
      <c r="G1189" s="274"/>
    </row>
    <row r="1190" spans="1:7" ht="17.45" customHeight="1">
      <c r="A1190" s="261" t="s">
        <v>8</v>
      </c>
      <c r="C1190" s="271" t="s">
        <v>1272</v>
      </c>
      <c r="D1190" s="497"/>
      <c r="E1190" s="499">
        <v>6960</v>
      </c>
      <c r="F1190" s="263"/>
      <c r="G1190" s="273"/>
    </row>
    <row r="1191" spans="1:7" ht="17.45" customHeight="1">
      <c r="A1191" s="261" t="s">
        <v>8</v>
      </c>
      <c r="C1191" s="271" t="s">
        <v>1273</v>
      </c>
      <c r="D1191" s="497"/>
      <c r="E1191" s="499">
        <v>29920</v>
      </c>
      <c r="F1191" s="263"/>
      <c r="G1191" s="273"/>
    </row>
    <row r="1192" spans="1:7" ht="17.45" customHeight="1">
      <c r="A1192" s="261" t="s">
        <v>8</v>
      </c>
      <c r="C1192" s="271" t="s">
        <v>1274</v>
      </c>
      <c r="D1192" s="497"/>
      <c r="E1192" s="499">
        <v>9405</v>
      </c>
      <c r="F1192" s="263"/>
      <c r="G1192" s="273"/>
    </row>
    <row r="1193" spans="1:7" ht="17.45" customHeight="1">
      <c r="A1193" s="261" t="s">
        <v>8</v>
      </c>
      <c r="C1193" s="271" t="s">
        <v>1275</v>
      </c>
      <c r="D1193" s="497"/>
      <c r="E1193" s="499">
        <v>26450</v>
      </c>
      <c r="F1193" s="263"/>
      <c r="G1193" s="273"/>
    </row>
    <row r="1194" spans="1:7" ht="17.45" customHeight="1">
      <c r="A1194" s="261" t="s">
        <v>8</v>
      </c>
      <c r="C1194" s="271" t="s">
        <v>2168</v>
      </c>
      <c r="D1194" s="497"/>
      <c r="E1194" s="499">
        <v>18816</v>
      </c>
      <c r="F1194" s="263"/>
      <c r="G1194" s="273"/>
    </row>
    <row r="1195" spans="1:7" ht="17.45" customHeight="1">
      <c r="A1195" s="261" t="s">
        <v>8</v>
      </c>
      <c r="C1195" s="271" t="s">
        <v>1517</v>
      </c>
      <c r="D1195" s="497"/>
      <c r="E1195" s="499">
        <v>23230</v>
      </c>
      <c r="F1195" s="263"/>
      <c r="G1195" s="273"/>
    </row>
    <row r="1196" spans="1:7" ht="17.45" customHeight="1">
      <c r="A1196" s="261" t="s">
        <v>8</v>
      </c>
      <c r="C1196" s="271" t="s">
        <v>1276</v>
      </c>
      <c r="D1196" s="497"/>
      <c r="E1196" s="499">
        <f>289150-50000</f>
        <v>239150</v>
      </c>
      <c r="F1196" s="263"/>
      <c r="G1196" s="273"/>
    </row>
    <row r="1197" spans="1:7" ht="17.45" customHeight="1">
      <c r="A1197" s="261" t="s">
        <v>8</v>
      </c>
      <c r="C1197" s="271" t="s">
        <v>1277</v>
      </c>
      <c r="D1197" s="497"/>
      <c r="E1197" s="499">
        <v>10110</v>
      </c>
      <c r="F1197" s="263"/>
      <c r="G1197" s="273"/>
    </row>
    <row r="1198" spans="1:7" ht="17.45" customHeight="1">
      <c r="A1198" s="261" t="s">
        <v>8</v>
      </c>
      <c r="C1198" s="271" t="s">
        <v>1278</v>
      </c>
      <c r="D1198" s="497"/>
      <c r="E1198" s="499">
        <v>200000</v>
      </c>
      <c r="F1198" s="263"/>
      <c r="G1198" s="273"/>
    </row>
    <row r="1199" spans="1:7" ht="17.45" customHeight="1" thickBot="1">
      <c r="A1199" s="261" t="s">
        <v>8</v>
      </c>
      <c r="C1199" s="276" t="s">
        <v>1413</v>
      </c>
      <c r="D1199" s="502"/>
      <c r="E1199" s="503">
        <v>1300000</v>
      </c>
      <c r="F1199" s="277"/>
      <c r="G1199" s="278"/>
    </row>
    <row r="1200" spans="1:7" ht="17.45" customHeight="1">
      <c r="A1200" s="261" t="s">
        <v>8</v>
      </c>
      <c r="C1200" s="279" t="s">
        <v>1280</v>
      </c>
      <c r="D1200" s="504"/>
      <c r="E1200" s="505">
        <f>50000*2</f>
        <v>100000</v>
      </c>
      <c r="F1200" s="280"/>
      <c r="G1200" s="281"/>
    </row>
    <row r="1201" spans="1:7" ht="17.45" customHeight="1">
      <c r="A1201" s="261" t="s">
        <v>8</v>
      </c>
      <c r="C1201" s="271" t="s">
        <v>1484</v>
      </c>
      <c r="D1201" s="497"/>
      <c r="E1201" s="499">
        <v>103000</v>
      </c>
      <c r="F1201" s="263"/>
      <c r="G1201" s="275"/>
    </row>
    <row r="1202" spans="1:7" ht="17.45" customHeight="1">
      <c r="A1202" s="261" t="s">
        <v>8</v>
      </c>
      <c r="C1202" s="271" t="s">
        <v>1791</v>
      </c>
      <c r="D1202" s="497"/>
      <c r="E1202" s="499">
        <v>400000</v>
      </c>
      <c r="F1202" s="263"/>
      <c r="G1202" s="273"/>
    </row>
    <row r="1203" spans="1:7" ht="17.45" customHeight="1">
      <c r="A1203" s="261" t="s">
        <v>8</v>
      </c>
      <c r="C1203" s="271" t="s">
        <v>1613</v>
      </c>
      <c r="D1203" s="497"/>
      <c r="E1203" s="499">
        <f>6600+9200</f>
        <v>15800</v>
      </c>
      <c r="F1203" s="263"/>
      <c r="G1203" s="275"/>
    </row>
    <row r="1204" spans="1:7" ht="17.45" customHeight="1">
      <c r="A1204" s="261" t="s">
        <v>8</v>
      </c>
      <c r="C1204" s="271" t="s">
        <v>1618</v>
      </c>
      <c r="D1204" s="497"/>
      <c r="E1204" s="499">
        <f>13920+36510+23190</f>
        <v>73620</v>
      </c>
      <c r="F1204" s="263"/>
      <c r="G1204" s="275"/>
    </row>
    <row r="1205" spans="1:7" ht="17.45" customHeight="1">
      <c r="A1205" s="261" t="s">
        <v>8</v>
      </c>
      <c r="C1205" s="271" t="s">
        <v>1800</v>
      </c>
      <c r="D1205" s="497"/>
      <c r="E1205" s="499">
        <v>12000</v>
      </c>
      <c r="F1205" s="263"/>
      <c r="G1205" s="275"/>
    </row>
    <row r="1206" spans="1:7" ht="17.45" customHeight="1" thickBot="1">
      <c r="A1206" s="261" t="s">
        <v>8</v>
      </c>
      <c r="C1206" s="276" t="s">
        <v>1594</v>
      </c>
      <c r="D1206" s="502"/>
      <c r="E1206" s="503">
        <f>19000+22400</f>
        <v>41400</v>
      </c>
      <c r="F1206" s="277"/>
      <c r="G1206" s="282"/>
    </row>
    <row r="1207" spans="1:7" ht="17.45" customHeight="1">
      <c r="A1207" s="261" t="s">
        <v>8</v>
      </c>
      <c r="C1207" s="268" t="s">
        <v>1792</v>
      </c>
      <c r="D1207" s="501"/>
      <c r="E1207" s="500">
        <f>7000+11200+15200+400+39200+13200</f>
        <v>86200</v>
      </c>
      <c r="F1207" s="269"/>
      <c r="G1207" s="270"/>
    </row>
    <row r="1208" spans="1:7" ht="17.45" customHeight="1">
      <c r="A1208" s="261" t="s">
        <v>8</v>
      </c>
      <c r="C1208" s="271" t="s">
        <v>1793</v>
      </c>
      <c r="D1208" s="497"/>
      <c r="E1208" s="499">
        <v>13000</v>
      </c>
      <c r="F1208" s="263"/>
      <c r="G1208" s="273"/>
    </row>
    <row r="1209" spans="1:7" ht="17.45" customHeight="1">
      <c r="A1209" s="261" t="s">
        <v>8</v>
      </c>
      <c r="C1209" s="271" t="s">
        <v>1794</v>
      </c>
      <c r="D1209" s="497"/>
      <c r="E1209" s="499">
        <v>7000</v>
      </c>
      <c r="F1209" s="263"/>
      <c r="G1209" s="275"/>
    </row>
    <row r="1210" spans="1:7" ht="17.45" customHeight="1">
      <c r="A1210" s="261" t="s">
        <v>8</v>
      </c>
      <c r="C1210" s="271" t="s">
        <v>1795</v>
      </c>
      <c r="D1210" s="497"/>
      <c r="E1210" s="499">
        <v>71415</v>
      </c>
      <c r="F1210" s="263"/>
      <c r="G1210" s="275"/>
    </row>
    <row r="1211" spans="1:7" ht="17.45" customHeight="1">
      <c r="A1211" s="261" t="s">
        <v>8</v>
      </c>
      <c r="C1211" s="271" t="s">
        <v>1796</v>
      </c>
      <c r="D1211" s="497"/>
      <c r="E1211" s="499">
        <v>77000</v>
      </c>
      <c r="F1211" s="263"/>
      <c r="G1211" s="272"/>
    </row>
    <row r="1212" spans="1:7" ht="17.45" customHeight="1">
      <c r="A1212" s="261" t="s">
        <v>8</v>
      </c>
      <c r="C1212" s="271" t="s">
        <v>1797</v>
      </c>
      <c r="D1212" s="497"/>
      <c r="E1212" s="499">
        <f>165900+112000-98489</f>
        <v>179411</v>
      </c>
      <c r="F1212" s="263"/>
      <c r="G1212" s="275"/>
    </row>
    <row r="1213" spans="1:7" ht="17.45" customHeight="1">
      <c r="A1213" s="261" t="s">
        <v>8</v>
      </c>
      <c r="C1213" s="271" t="s">
        <v>1798</v>
      </c>
      <c r="D1213" s="497"/>
      <c r="E1213" s="499">
        <v>43000</v>
      </c>
      <c r="F1213" s="263"/>
      <c r="G1213" s="273"/>
    </row>
    <row r="1214" spans="1:7" ht="17.45" customHeight="1">
      <c r="A1214" s="261" t="s">
        <v>8</v>
      </c>
      <c r="C1214" s="271" t="s">
        <v>1799</v>
      </c>
      <c r="D1214" s="497"/>
      <c r="E1214" s="499">
        <v>100000</v>
      </c>
      <c r="F1214" s="263"/>
      <c r="G1214" s="275"/>
    </row>
    <row r="1215" spans="1:7" ht="17.45" customHeight="1">
      <c r="A1215" s="261" t="s">
        <v>8</v>
      </c>
      <c r="C1215" s="271" t="s">
        <v>1304</v>
      </c>
      <c r="D1215" s="499">
        <v>850</v>
      </c>
      <c r="E1215" s="499">
        <f>1076760+850</f>
        <v>1077610</v>
      </c>
      <c r="F1215" s="263"/>
      <c r="G1215" s="275" t="s">
        <v>2179</v>
      </c>
    </row>
    <row r="1216" spans="1:7" ht="17.45" customHeight="1">
      <c r="A1216" s="261" t="s">
        <v>8</v>
      </c>
      <c r="C1216" s="271" t="s">
        <v>1801</v>
      </c>
      <c r="D1216" s="497"/>
      <c r="E1216" s="499">
        <v>2000</v>
      </c>
      <c r="F1216" s="263"/>
      <c r="G1216" s="275"/>
    </row>
    <row r="1217" spans="1:7" ht="17.45" customHeight="1">
      <c r="A1217" s="261" t="s">
        <v>8</v>
      </c>
      <c r="C1217" s="271" t="s">
        <v>1802</v>
      </c>
      <c r="D1217" s="497"/>
      <c r="E1217" s="499">
        <v>3300</v>
      </c>
      <c r="F1217" s="263"/>
      <c r="G1217" s="275"/>
    </row>
    <row r="1218" spans="1:7" ht="17.45" customHeight="1">
      <c r="A1218" s="261" t="s">
        <v>8</v>
      </c>
      <c r="C1218" s="271" t="s">
        <v>1803</v>
      </c>
      <c r="D1218" s="497"/>
      <c r="E1218" s="499">
        <v>3700</v>
      </c>
      <c r="F1218" s="263"/>
      <c r="G1218" s="275"/>
    </row>
    <row r="1219" spans="1:7" ht="17.45" customHeight="1">
      <c r="A1219" s="261" t="s">
        <v>8</v>
      </c>
      <c r="C1219" s="271" t="s">
        <v>1804</v>
      </c>
      <c r="D1219" s="497"/>
      <c r="E1219" s="499">
        <v>46000</v>
      </c>
      <c r="F1219" s="263"/>
      <c r="G1219" s="275"/>
    </row>
    <row r="1220" spans="1:7" ht="17.45" customHeight="1">
      <c r="A1220" s="261" t="s">
        <v>8</v>
      </c>
      <c r="C1220" s="271" t="s">
        <v>1805</v>
      </c>
      <c r="D1220" s="497"/>
      <c r="E1220" s="499">
        <v>63373</v>
      </c>
      <c r="F1220" s="263"/>
      <c r="G1220" s="275"/>
    </row>
    <row r="1221" spans="1:7" ht="17.45" customHeight="1">
      <c r="A1221" s="261" t="s">
        <v>8</v>
      </c>
      <c r="C1221" s="271" t="s">
        <v>1806</v>
      </c>
      <c r="D1221" s="497"/>
      <c r="E1221" s="499">
        <v>5700</v>
      </c>
      <c r="F1221" s="263"/>
      <c r="G1221" s="275"/>
    </row>
    <row r="1222" spans="1:7" ht="17.45" customHeight="1">
      <c r="A1222" s="261" t="s">
        <v>8</v>
      </c>
      <c r="C1222" s="271" t="s">
        <v>1807</v>
      </c>
      <c r="D1222" s="497"/>
      <c r="E1222" s="499">
        <v>5700</v>
      </c>
      <c r="F1222" s="263"/>
      <c r="G1222" s="275"/>
    </row>
    <row r="1223" spans="1:7" ht="17.45" customHeight="1">
      <c r="A1223" s="261" t="s">
        <v>8</v>
      </c>
      <c r="C1223" s="271" t="s">
        <v>1808</v>
      </c>
      <c r="D1223" s="497"/>
      <c r="E1223" s="499">
        <v>12500</v>
      </c>
      <c r="F1223" s="263"/>
      <c r="G1223" s="275"/>
    </row>
    <row r="1224" spans="1:7" ht="17.45" customHeight="1">
      <c r="A1224" s="261" t="s">
        <v>8</v>
      </c>
      <c r="C1224" s="271" t="s">
        <v>1809</v>
      </c>
      <c r="D1224" s="497"/>
      <c r="E1224" s="499">
        <v>17000</v>
      </c>
      <c r="F1224" s="263"/>
      <c r="G1224" s="275"/>
    </row>
    <row r="1225" spans="1:7" ht="17.45" customHeight="1">
      <c r="A1225" s="261" t="s">
        <v>8</v>
      </c>
      <c r="C1225" s="271" t="s">
        <v>1602</v>
      </c>
      <c r="D1225" s="499">
        <v>1648</v>
      </c>
      <c r="E1225" s="497"/>
      <c r="F1225" s="263"/>
      <c r="G1225" s="275"/>
    </row>
    <row r="1226" spans="1:7" ht="17.45" customHeight="1">
      <c r="A1226" s="261" t="s">
        <v>8</v>
      </c>
      <c r="C1226" s="271" t="s">
        <v>1810</v>
      </c>
      <c r="D1226" s="497"/>
      <c r="E1226" s="499">
        <v>2000</v>
      </c>
      <c r="F1226" s="263"/>
      <c r="G1226" s="275"/>
    </row>
    <row r="1227" spans="1:7" ht="17.45" customHeight="1">
      <c r="A1227" s="261" t="s">
        <v>8</v>
      </c>
      <c r="C1227" s="271" t="s">
        <v>1811</v>
      </c>
      <c r="D1227" s="497"/>
      <c r="E1227" s="499">
        <v>45000</v>
      </c>
      <c r="F1227" s="263"/>
      <c r="G1227" s="275"/>
    </row>
    <row r="1228" spans="1:7" ht="17.45" customHeight="1">
      <c r="A1228" s="261" t="s">
        <v>8</v>
      </c>
      <c r="C1228" s="271" t="s">
        <v>1812</v>
      </c>
      <c r="D1228" s="497"/>
      <c r="E1228" s="499">
        <v>35000</v>
      </c>
      <c r="F1228" s="263"/>
      <c r="G1228" s="275"/>
    </row>
    <row r="1229" spans="1:7" ht="17.45" customHeight="1">
      <c r="A1229" s="261" t="s">
        <v>8</v>
      </c>
      <c r="C1229" s="271" t="s">
        <v>1813</v>
      </c>
      <c r="D1229" s="497"/>
      <c r="E1229" s="499">
        <v>200000</v>
      </c>
      <c r="F1229" s="263"/>
      <c r="G1229" s="275"/>
    </row>
    <row r="1230" spans="1:7" ht="17.45" customHeight="1">
      <c r="A1230" s="261" t="s">
        <v>8</v>
      </c>
      <c r="C1230" s="271" t="s">
        <v>1814</v>
      </c>
      <c r="D1230" s="497"/>
      <c r="E1230" s="499">
        <v>6400</v>
      </c>
      <c r="F1230" s="263"/>
      <c r="G1230" s="275"/>
    </row>
    <row r="1231" spans="1:7" ht="17.45" customHeight="1">
      <c r="A1231" s="261" t="s">
        <v>8</v>
      </c>
      <c r="C1231" s="271" t="s">
        <v>1569</v>
      </c>
      <c r="D1231" s="497"/>
      <c r="E1231" s="499">
        <v>49320</v>
      </c>
      <c r="F1231" s="263"/>
      <c r="G1231" s="275"/>
    </row>
    <row r="1232" spans="1:7" ht="17.45" customHeight="1">
      <c r="A1232" s="261" t="s">
        <v>8</v>
      </c>
      <c r="C1232" s="271" t="s">
        <v>1815</v>
      </c>
      <c r="D1232" s="497"/>
      <c r="E1232" s="499">
        <v>2000</v>
      </c>
      <c r="F1232" s="263"/>
      <c r="G1232" s="275"/>
    </row>
    <row r="1233" spans="1:7" ht="17.45" customHeight="1">
      <c r="A1233" s="261" t="s">
        <v>8</v>
      </c>
      <c r="C1233" s="271" t="s">
        <v>1816</v>
      </c>
      <c r="D1233" s="497"/>
      <c r="E1233" s="499">
        <v>36500</v>
      </c>
      <c r="F1233" s="263"/>
      <c r="G1233" s="275"/>
    </row>
    <row r="1234" spans="1:7" ht="17.45" customHeight="1" thickBot="1">
      <c r="A1234" s="261" t="s">
        <v>8</v>
      </c>
      <c r="C1234" s="276" t="s">
        <v>1300</v>
      </c>
      <c r="D1234" s="502">
        <f>SUM(D1182:D1233)-SUM(E1182:E1233)</f>
        <v>-171101</v>
      </c>
      <c r="E1234" s="502">
        <f>SUM(E1182:E1233)-SUM(F1182:F1233)</f>
        <v>6067870</v>
      </c>
      <c r="F1234" s="277"/>
      <c r="G1234" s="283"/>
    </row>
    <row r="1235" spans="1:7">
      <c r="A1235" s="261" t="s">
        <v>8</v>
      </c>
    </row>
    <row r="1236" spans="1:7" ht="12.75" thickBot="1">
      <c r="A1236" s="261" t="s">
        <v>8</v>
      </c>
    </row>
    <row r="1237" spans="1:7" ht="17.45" customHeight="1">
      <c r="A1237" s="261" t="s">
        <v>8</v>
      </c>
      <c r="B1237" s="256" t="s">
        <v>2180</v>
      </c>
      <c r="C1237" s="268" t="s">
        <v>1268</v>
      </c>
      <c r="D1237" s="500">
        <v>5845771</v>
      </c>
      <c r="E1237" s="501"/>
      <c r="F1237" s="269"/>
      <c r="G1237" s="270"/>
    </row>
    <row r="1238" spans="1:7" ht="17.45" customHeight="1">
      <c r="A1238" s="261" t="s">
        <v>8</v>
      </c>
      <c r="B1238" s="257"/>
      <c r="C1238" s="271" t="s">
        <v>1269</v>
      </c>
      <c r="D1238" s="497"/>
      <c r="E1238" s="499">
        <v>394000</v>
      </c>
      <c r="F1238" s="263"/>
      <c r="G1238" s="272" t="s">
        <v>2181</v>
      </c>
    </row>
    <row r="1239" spans="1:7" ht="17.45" customHeight="1">
      <c r="A1239" s="261" t="s">
        <v>8</v>
      </c>
      <c r="C1239" s="271" t="s">
        <v>1270</v>
      </c>
      <c r="D1239" s="497"/>
      <c r="E1239" s="499">
        <v>752000</v>
      </c>
      <c r="F1239" s="263"/>
      <c r="G1239" s="273"/>
    </row>
    <row r="1240" spans="1:7" ht="17.45" customHeight="1">
      <c r="A1240" s="261" t="s">
        <v>8</v>
      </c>
      <c r="C1240" s="271" t="s">
        <v>1670</v>
      </c>
      <c r="D1240" s="497"/>
      <c r="E1240" s="499">
        <v>26010</v>
      </c>
      <c r="F1240" s="263"/>
      <c r="G1240" s="274"/>
    </row>
    <row r="1241" spans="1:7" ht="17.45" customHeight="1">
      <c r="A1241" s="261" t="s">
        <v>8</v>
      </c>
      <c r="C1241" s="271" t="s">
        <v>1672</v>
      </c>
      <c r="D1241" s="497"/>
      <c r="E1241" s="499">
        <v>64600</v>
      </c>
      <c r="F1241" s="263"/>
      <c r="G1241" s="274"/>
    </row>
    <row r="1242" spans="1:7" ht="17.45" customHeight="1">
      <c r="A1242" s="261" t="s">
        <v>8</v>
      </c>
      <c r="C1242" s="271" t="s">
        <v>1673</v>
      </c>
      <c r="D1242" s="497"/>
      <c r="E1242" s="497">
        <v>0</v>
      </c>
      <c r="F1242" s="263"/>
      <c r="G1242" s="274"/>
    </row>
    <row r="1243" spans="1:7" ht="17.45" customHeight="1">
      <c r="A1243" s="261" t="s">
        <v>8</v>
      </c>
      <c r="C1243" s="271" t="s">
        <v>1332</v>
      </c>
      <c r="D1243" s="497"/>
      <c r="E1243" s="499">
        <v>42900</v>
      </c>
      <c r="F1243" s="263"/>
      <c r="G1243" s="275"/>
    </row>
    <row r="1244" spans="1:7" ht="17.45" customHeight="1">
      <c r="A1244" s="261" t="s">
        <v>8</v>
      </c>
      <c r="C1244" s="271" t="s">
        <v>1271</v>
      </c>
      <c r="D1244" s="497"/>
      <c r="E1244" s="497">
        <v>0</v>
      </c>
      <c r="F1244" s="263"/>
      <c r="G1244" s="274"/>
    </row>
    <row r="1245" spans="1:7" ht="17.45" customHeight="1">
      <c r="A1245" s="261" t="s">
        <v>8</v>
      </c>
      <c r="C1245" s="271" t="s">
        <v>1272</v>
      </c>
      <c r="D1245" s="497"/>
      <c r="E1245" s="499">
        <v>6960</v>
      </c>
      <c r="F1245" s="263"/>
      <c r="G1245" s="273"/>
    </row>
    <row r="1246" spans="1:7" ht="17.45" customHeight="1">
      <c r="A1246" s="261" t="s">
        <v>8</v>
      </c>
      <c r="C1246" s="271" t="s">
        <v>1273</v>
      </c>
      <c r="D1246" s="497"/>
      <c r="E1246" s="499">
        <v>29920</v>
      </c>
      <c r="F1246" s="263"/>
      <c r="G1246" s="273"/>
    </row>
    <row r="1247" spans="1:7" ht="17.45" customHeight="1">
      <c r="A1247" s="261" t="s">
        <v>8</v>
      </c>
      <c r="C1247" s="271" t="s">
        <v>1274</v>
      </c>
      <c r="D1247" s="497"/>
      <c r="E1247" s="499">
        <v>9405</v>
      </c>
      <c r="F1247" s="263"/>
      <c r="G1247" s="273"/>
    </row>
    <row r="1248" spans="1:7" ht="17.45" customHeight="1">
      <c r="A1248" s="261" t="s">
        <v>8</v>
      </c>
      <c r="C1248" s="271" t="s">
        <v>1275</v>
      </c>
      <c r="D1248" s="497"/>
      <c r="E1248" s="499">
        <v>26450</v>
      </c>
      <c r="F1248" s="263"/>
      <c r="G1248" s="273"/>
    </row>
    <row r="1249" spans="1:7" ht="17.45" customHeight="1">
      <c r="A1249" s="261" t="s">
        <v>8</v>
      </c>
      <c r="C1249" s="271" t="s">
        <v>2168</v>
      </c>
      <c r="D1249" s="497"/>
      <c r="E1249" s="499">
        <v>18816</v>
      </c>
      <c r="F1249" s="263"/>
      <c r="G1249" s="273"/>
    </row>
    <row r="1250" spans="1:7" ht="17.45" customHeight="1">
      <c r="A1250" s="261" t="s">
        <v>8</v>
      </c>
      <c r="C1250" s="271" t="s">
        <v>1517</v>
      </c>
      <c r="D1250" s="497"/>
      <c r="E1250" s="499">
        <v>23230</v>
      </c>
      <c r="F1250" s="263"/>
      <c r="G1250" s="273"/>
    </row>
    <row r="1251" spans="1:7" ht="17.45" customHeight="1">
      <c r="A1251" s="261" t="s">
        <v>8</v>
      </c>
      <c r="C1251" s="271" t="s">
        <v>1276</v>
      </c>
      <c r="D1251" s="497"/>
      <c r="E1251" s="499">
        <f>415410-20000</f>
        <v>395410</v>
      </c>
      <c r="F1251" s="263"/>
      <c r="G1251" s="273"/>
    </row>
    <row r="1252" spans="1:7" ht="17.45" customHeight="1">
      <c r="A1252" s="261" t="s">
        <v>8</v>
      </c>
      <c r="C1252" s="271" t="s">
        <v>1277</v>
      </c>
      <c r="D1252" s="497"/>
      <c r="E1252" s="499">
        <v>8140</v>
      </c>
      <c r="F1252" s="263"/>
      <c r="G1252" s="273"/>
    </row>
    <row r="1253" spans="1:7" ht="17.45" customHeight="1">
      <c r="A1253" s="261" t="s">
        <v>8</v>
      </c>
      <c r="C1253" s="271" t="s">
        <v>1278</v>
      </c>
      <c r="D1253" s="497"/>
      <c r="E1253" s="499">
        <v>200000</v>
      </c>
      <c r="F1253" s="263"/>
      <c r="G1253" s="273"/>
    </row>
    <row r="1254" spans="1:7" ht="17.45" customHeight="1" thickBot="1">
      <c r="A1254" s="261" t="s">
        <v>8</v>
      </c>
      <c r="C1254" s="276" t="s">
        <v>1413</v>
      </c>
      <c r="D1254" s="502"/>
      <c r="E1254" s="503">
        <v>1300000</v>
      </c>
      <c r="F1254" s="277"/>
      <c r="G1254" s="278"/>
    </row>
    <row r="1255" spans="1:7" ht="17.45" customHeight="1">
      <c r="A1255" s="261" t="s">
        <v>8</v>
      </c>
      <c r="C1255" s="279" t="s">
        <v>1280</v>
      </c>
      <c r="D1255" s="504"/>
      <c r="E1255" s="505">
        <f>87000+10000</f>
        <v>97000</v>
      </c>
      <c r="F1255" s="280"/>
      <c r="G1255" s="281"/>
    </row>
    <row r="1256" spans="1:7" ht="17.45" customHeight="1">
      <c r="A1256" s="261" t="s">
        <v>8</v>
      </c>
      <c r="C1256" s="271" t="s">
        <v>1549</v>
      </c>
      <c r="D1256" s="497"/>
      <c r="E1256" s="499">
        <v>100000</v>
      </c>
      <c r="F1256" s="263"/>
      <c r="G1256" s="275"/>
    </row>
    <row r="1257" spans="1:7" ht="17.45" customHeight="1">
      <c r="A1257" s="261" t="s">
        <v>8</v>
      </c>
      <c r="C1257" s="271" t="s">
        <v>1819</v>
      </c>
      <c r="D1257" s="497"/>
      <c r="E1257" s="499">
        <v>50000</v>
      </c>
      <c r="F1257" s="263"/>
      <c r="G1257" s="275"/>
    </row>
    <row r="1258" spans="1:7" ht="17.45" customHeight="1">
      <c r="A1258" s="261" t="s">
        <v>8</v>
      </c>
      <c r="C1258" s="271" t="s">
        <v>1822</v>
      </c>
      <c r="D1258" s="497"/>
      <c r="E1258" s="499">
        <v>50000</v>
      </c>
      <c r="F1258" s="263"/>
      <c r="G1258" s="275"/>
    </row>
    <row r="1259" spans="1:7" ht="17.45" customHeight="1">
      <c r="A1259" s="261" t="s">
        <v>8</v>
      </c>
      <c r="C1259" s="271" t="s">
        <v>1484</v>
      </c>
      <c r="D1259" s="499">
        <v>85000</v>
      </c>
      <c r="E1259" s="499">
        <v>85000</v>
      </c>
      <c r="F1259" s="263"/>
      <c r="G1259" s="275"/>
    </row>
    <row r="1260" spans="1:7" ht="17.45" customHeight="1">
      <c r="A1260" s="261" t="s">
        <v>8</v>
      </c>
      <c r="C1260" s="271" t="s">
        <v>1687</v>
      </c>
      <c r="D1260" s="497"/>
      <c r="E1260" s="497"/>
      <c r="F1260" s="263"/>
      <c r="G1260" s="275"/>
    </row>
    <row r="1261" spans="1:7" ht="17.45" customHeight="1">
      <c r="A1261" s="261" t="s">
        <v>8</v>
      </c>
      <c r="C1261" s="271" t="s">
        <v>1791</v>
      </c>
      <c r="D1261" s="497"/>
      <c r="E1261" s="499">
        <v>400000</v>
      </c>
      <c r="F1261" s="263"/>
      <c r="G1261" s="273"/>
    </row>
    <row r="1262" spans="1:7" ht="17.45" customHeight="1">
      <c r="A1262" s="261" t="s">
        <v>8</v>
      </c>
      <c r="C1262" s="271" t="s">
        <v>1688</v>
      </c>
      <c r="D1262" s="497"/>
      <c r="E1262" s="497"/>
      <c r="F1262" s="263"/>
      <c r="G1262" s="275"/>
    </row>
    <row r="1263" spans="1:7" ht="17.45" customHeight="1">
      <c r="A1263" s="261" t="s">
        <v>8</v>
      </c>
      <c r="C1263" s="271" t="s">
        <v>1596</v>
      </c>
      <c r="D1263" s="497"/>
      <c r="E1263" s="497"/>
      <c r="F1263" s="263"/>
      <c r="G1263" s="275"/>
    </row>
    <row r="1264" spans="1:7" ht="17.45" customHeight="1">
      <c r="A1264" s="261" t="s">
        <v>8</v>
      </c>
      <c r="C1264" s="271" t="s">
        <v>1595</v>
      </c>
      <c r="D1264" s="497"/>
      <c r="E1264" s="497"/>
      <c r="F1264" s="263"/>
      <c r="G1264" s="275"/>
    </row>
    <row r="1265" spans="1:7" ht="17.45" customHeight="1">
      <c r="A1265" s="261" t="s">
        <v>8</v>
      </c>
      <c r="C1265" s="271" t="s">
        <v>1613</v>
      </c>
      <c r="D1265" s="497"/>
      <c r="E1265" s="499">
        <f>16700+2600+4000+7800</f>
        <v>31100</v>
      </c>
      <c r="F1265" s="263"/>
      <c r="G1265" s="275"/>
    </row>
    <row r="1266" spans="1:7" ht="17.45" customHeight="1">
      <c r="A1266" s="261" t="s">
        <v>8</v>
      </c>
      <c r="C1266" s="271" t="s">
        <v>1618</v>
      </c>
      <c r="D1266" s="497"/>
      <c r="E1266" s="497"/>
      <c r="F1266" s="263"/>
      <c r="G1266" s="275"/>
    </row>
    <row r="1267" spans="1:7" ht="17.45" customHeight="1">
      <c r="A1267" s="261" t="s">
        <v>8</v>
      </c>
      <c r="C1267" s="271" t="s">
        <v>1800</v>
      </c>
      <c r="D1267" s="497"/>
      <c r="E1267" s="499">
        <v>33000</v>
      </c>
      <c r="F1267" s="263"/>
      <c r="G1267" s="275"/>
    </row>
    <row r="1268" spans="1:7" ht="17.45" customHeight="1" thickBot="1">
      <c r="A1268" s="261" t="s">
        <v>8</v>
      </c>
      <c r="C1268" s="276" t="s">
        <v>1594</v>
      </c>
      <c r="D1268" s="502"/>
      <c r="E1268" s="503">
        <v>20640</v>
      </c>
      <c r="F1268" s="277"/>
      <c r="G1268" s="282"/>
    </row>
    <row r="1269" spans="1:7" ht="17.45" customHeight="1">
      <c r="A1269" s="261" t="s">
        <v>8</v>
      </c>
      <c r="C1269" s="268" t="s">
        <v>1817</v>
      </c>
      <c r="D1269" s="501"/>
      <c r="E1269" s="500">
        <v>50000</v>
      </c>
      <c r="F1269" s="269"/>
      <c r="G1269" s="270"/>
    </row>
    <row r="1270" spans="1:7" ht="17.45" customHeight="1">
      <c r="A1270" s="261" t="s">
        <v>8</v>
      </c>
      <c r="C1270" s="271" t="s">
        <v>1818</v>
      </c>
      <c r="D1270" s="497"/>
      <c r="E1270" s="499">
        <v>50000</v>
      </c>
      <c r="F1270" s="263"/>
      <c r="G1270" s="273"/>
    </row>
    <row r="1271" spans="1:7" ht="17.45" customHeight="1">
      <c r="A1271" s="261" t="s">
        <v>8</v>
      </c>
      <c r="C1271" s="271" t="s">
        <v>1820</v>
      </c>
      <c r="D1271" s="497"/>
      <c r="E1271" s="499">
        <v>7200</v>
      </c>
      <c r="F1271" s="263"/>
      <c r="G1271" s="275"/>
    </row>
    <row r="1272" spans="1:7" ht="17.45" customHeight="1">
      <c r="A1272" s="261" t="s">
        <v>8</v>
      </c>
      <c r="C1272" s="271" t="s">
        <v>1810</v>
      </c>
      <c r="D1272" s="497"/>
      <c r="E1272" s="499">
        <v>1000</v>
      </c>
      <c r="F1272" s="263"/>
      <c r="G1272" s="275"/>
    </row>
    <row r="1273" spans="1:7" ht="17.45" customHeight="1">
      <c r="A1273" s="261" t="s">
        <v>8</v>
      </c>
      <c r="C1273" s="271" t="s">
        <v>1821</v>
      </c>
      <c r="D1273" s="497"/>
      <c r="E1273" s="499">
        <v>210000</v>
      </c>
      <c r="F1273" s="263"/>
      <c r="G1273" s="272"/>
    </row>
    <row r="1274" spans="1:7" ht="17.45" customHeight="1">
      <c r="A1274" s="261" t="s">
        <v>8</v>
      </c>
      <c r="C1274" s="271" t="s">
        <v>1823</v>
      </c>
      <c r="D1274" s="497"/>
      <c r="E1274" s="499">
        <v>13500</v>
      </c>
      <c r="F1274" s="263"/>
      <c r="G1274" s="275"/>
    </row>
    <row r="1275" spans="1:7" ht="17.45" customHeight="1">
      <c r="A1275" s="261" t="s">
        <v>8</v>
      </c>
      <c r="C1275" s="271" t="s">
        <v>1824</v>
      </c>
      <c r="D1275" s="497"/>
      <c r="E1275" s="499">
        <v>7700</v>
      </c>
      <c r="F1275" s="263"/>
      <c r="G1275" s="273"/>
    </row>
    <row r="1276" spans="1:7" ht="17.45" customHeight="1">
      <c r="A1276" s="261" t="s">
        <v>8</v>
      </c>
      <c r="C1276" s="271" t="s">
        <v>1825</v>
      </c>
      <c r="D1276" s="497"/>
      <c r="E1276" s="499">
        <v>3400</v>
      </c>
      <c r="F1276" s="263"/>
      <c r="G1276" s="275"/>
    </row>
    <row r="1277" spans="1:7" ht="17.45" customHeight="1">
      <c r="A1277" s="261" t="s">
        <v>8</v>
      </c>
      <c r="C1277" s="271" t="s">
        <v>1826</v>
      </c>
      <c r="D1277" s="497"/>
      <c r="E1277" s="499">
        <v>44000</v>
      </c>
      <c r="F1277" s="263"/>
      <c r="G1277" s="275"/>
    </row>
    <row r="1278" spans="1:7" ht="17.45" customHeight="1">
      <c r="A1278" s="261" t="s">
        <v>8</v>
      </c>
      <c r="C1278" s="271" t="s">
        <v>1827</v>
      </c>
      <c r="D1278" s="497"/>
      <c r="E1278" s="499">
        <v>29700</v>
      </c>
      <c r="F1278" s="263"/>
      <c r="G1278" s="275"/>
    </row>
    <row r="1279" spans="1:7" ht="17.45" customHeight="1">
      <c r="A1279" s="261" t="s">
        <v>8</v>
      </c>
      <c r="C1279" s="271" t="s">
        <v>1828</v>
      </c>
      <c r="D1279" s="497"/>
      <c r="E1279" s="499">
        <v>3600</v>
      </c>
      <c r="F1279" s="263"/>
      <c r="G1279" s="275"/>
    </row>
    <row r="1280" spans="1:7" ht="17.45" customHeight="1">
      <c r="A1280" s="261" t="s">
        <v>8</v>
      </c>
      <c r="C1280" s="271" t="s">
        <v>1829</v>
      </c>
      <c r="D1280" s="497"/>
      <c r="E1280" s="499">
        <v>6000</v>
      </c>
      <c r="F1280" s="263"/>
      <c r="G1280" s="275"/>
    </row>
    <row r="1281" spans="1:7" ht="17.45" customHeight="1">
      <c r="A1281" s="261" t="s">
        <v>8</v>
      </c>
      <c r="C1281" s="271" t="s">
        <v>1313</v>
      </c>
      <c r="D1281" s="497"/>
      <c r="E1281" s="499">
        <v>100000</v>
      </c>
      <c r="F1281" s="263"/>
      <c r="G1281" s="275"/>
    </row>
    <row r="1282" spans="1:7" ht="17.45" customHeight="1">
      <c r="A1282" s="261" t="s">
        <v>8</v>
      </c>
      <c r="C1282" s="271" t="s">
        <v>1830</v>
      </c>
      <c r="D1282" s="497"/>
      <c r="E1282" s="499">
        <v>6000</v>
      </c>
      <c r="F1282" s="263"/>
      <c r="G1282" s="275"/>
    </row>
    <row r="1283" spans="1:7" ht="17.45" customHeight="1">
      <c r="A1283" s="261" t="s">
        <v>8</v>
      </c>
      <c r="C1283" s="271" t="s">
        <v>1831</v>
      </c>
      <c r="D1283" s="497"/>
      <c r="E1283" s="499">
        <v>300000</v>
      </c>
      <c r="F1283" s="263"/>
      <c r="G1283" s="275"/>
    </row>
    <row r="1284" spans="1:7" ht="17.45" customHeight="1">
      <c r="A1284" s="261" t="s">
        <v>8</v>
      </c>
      <c r="C1284" s="271" t="s">
        <v>1832</v>
      </c>
      <c r="D1284" s="497"/>
      <c r="E1284" s="499">
        <v>15000</v>
      </c>
      <c r="F1284" s="263"/>
      <c r="G1284" s="275"/>
    </row>
    <row r="1285" spans="1:7" ht="17.45" customHeight="1">
      <c r="A1285" s="261" t="s">
        <v>8</v>
      </c>
      <c r="C1285" s="271" t="s">
        <v>1609</v>
      </c>
      <c r="D1285" s="497"/>
      <c r="E1285" s="499">
        <v>18500</v>
      </c>
      <c r="F1285" s="263"/>
      <c r="G1285" s="275"/>
    </row>
    <row r="1286" spans="1:7" ht="17.45" customHeight="1">
      <c r="A1286" s="261" t="s">
        <v>8</v>
      </c>
      <c r="C1286" s="271" t="s">
        <v>1833</v>
      </c>
      <c r="D1286" s="497"/>
      <c r="E1286" s="499">
        <v>5300</v>
      </c>
      <c r="F1286" s="263"/>
      <c r="G1286" s="275"/>
    </row>
    <row r="1287" spans="1:7" ht="17.45" customHeight="1">
      <c r="A1287" s="261" t="s">
        <v>8</v>
      </c>
      <c r="C1287" s="271" t="s">
        <v>1610</v>
      </c>
      <c r="D1287" s="497"/>
      <c r="E1287" s="499">
        <f>12900+4450</f>
        <v>17350</v>
      </c>
      <c r="F1287" s="263"/>
      <c r="G1287" s="275"/>
    </row>
    <row r="1288" spans="1:7" ht="17.45" customHeight="1">
      <c r="A1288" s="261" t="s">
        <v>8</v>
      </c>
      <c r="C1288" s="271" t="s">
        <v>1834</v>
      </c>
      <c r="D1288" s="497"/>
      <c r="E1288" s="499">
        <v>14000</v>
      </c>
      <c r="F1288" s="263"/>
      <c r="G1288" s="275"/>
    </row>
    <row r="1289" spans="1:7" ht="17.45" customHeight="1">
      <c r="A1289" s="261" t="s">
        <v>8</v>
      </c>
      <c r="C1289" s="271" t="s">
        <v>1835</v>
      </c>
      <c r="D1289" s="497"/>
      <c r="E1289" s="499">
        <v>34000</v>
      </c>
      <c r="F1289" s="263"/>
      <c r="G1289" s="275"/>
    </row>
    <row r="1290" spans="1:7" ht="17.45" customHeight="1">
      <c r="A1290" s="261" t="s">
        <v>8</v>
      </c>
      <c r="C1290" s="271" t="s">
        <v>1836</v>
      </c>
      <c r="D1290" s="497"/>
      <c r="E1290" s="499">
        <v>18000</v>
      </c>
      <c r="F1290" s="263"/>
      <c r="G1290" s="275"/>
    </row>
    <row r="1291" spans="1:7" ht="17.45" customHeight="1">
      <c r="A1291" s="261" t="s">
        <v>8</v>
      </c>
      <c r="C1291" s="271" t="s">
        <v>1873</v>
      </c>
      <c r="D1291" s="497"/>
      <c r="E1291" s="499">
        <v>17900</v>
      </c>
      <c r="F1291" s="263"/>
      <c r="G1291" s="275"/>
    </row>
    <row r="1292" spans="1:7" ht="17.45" customHeight="1">
      <c r="A1292" s="261" t="s">
        <v>8</v>
      </c>
      <c r="C1292" s="271" t="s">
        <v>1874</v>
      </c>
      <c r="D1292" s="497"/>
      <c r="E1292" s="499">
        <v>31300</v>
      </c>
      <c r="F1292" s="263"/>
      <c r="G1292" s="275"/>
    </row>
    <row r="1293" spans="1:7" ht="17.45" customHeight="1">
      <c r="A1293" s="261" t="s">
        <v>8</v>
      </c>
      <c r="C1293" s="271" t="s">
        <v>1875</v>
      </c>
      <c r="D1293" s="497"/>
      <c r="E1293" s="499">
        <v>5450</v>
      </c>
      <c r="F1293" s="263"/>
      <c r="G1293" s="275"/>
    </row>
    <row r="1294" spans="1:7" ht="17.45" customHeight="1">
      <c r="A1294" s="261" t="s">
        <v>8</v>
      </c>
      <c r="C1294" s="271" t="s">
        <v>1651</v>
      </c>
      <c r="D1294" s="497"/>
      <c r="E1294" s="499">
        <v>65100</v>
      </c>
      <c r="F1294" s="263"/>
      <c r="G1294" s="275"/>
    </row>
    <row r="1295" spans="1:7" ht="17.45" customHeight="1">
      <c r="A1295" s="261" t="s">
        <v>8</v>
      </c>
      <c r="C1295" s="271" t="s">
        <v>1877</v>
      </c>
      <c r="D1295" s="497"/>
      <c r="E1295" s="499">
        <v>52500</v>
      </c>
      <c r="F1295" s="263"/>
      <c r="G1295" s="275"/>
    </row>
    <row r="1296" spans="1:7" ht="17.45" customHeight="1">
      <c r="A1296" s="261" t="s">
        <v>8</v>
      </c>
      <c r="C1296" s="271" t="s">
        <v>1878</v>
      </c>
      <c r="D1296" s="497"/>
      <c r="E1296" s="499">
        <v>14000</v>
      </c>
      <c r="F1296" s="263"/>
      <c r="G1296" s="275"/>
    </row>
    <row r="1297" spans="1:7" ht="17.45" customHeight="1">
      <c r="A1297" s="261" t="s">
        <v>8</v>
      </c>
      <c r="C1297" s="271" t="s">
        <v>1584</v>
      </c>
      <c r="D1297" s="497"/>
      <c r="E1297" s="499">
        <v>18000</v>
      </c>
      <c r="F1297" s="263"/>
      <c r="G1297" s="275"/>
    </row>
    <row r="1298" spans="1:7" ht="17.45" customHeight="1">
      <c r="A1298" s="261" t="s">
        <v>8</v>
      </c>
      <c r="C1298" s="271" t="s">
        <v>1789</v>
      </c>
      <c r="D1298" s="499">
        <v>776900</v>
      </c>
      <c r="E1298" s="499">
        <f>1339600</f>
        <v>1339600</v>
      </c>
      <c r="F1298" s="263"/>
      <c r="G1298" s="275"/>
    </row>
    <row r="1299" spans="1:7" ht="17.45" customHeight="1">
      <c r="A1299" s="261" t="s">
        <v>8</v>
      </c>
      <c r="C1299" s="271" t="s">
        <v>1606</v>
      </c>
      <c r="D1299" s="497"/>
      <c r="E1299" s="499">
        <v>21800</v>
      </c>
      <c r="F1299" s="263"/>
      <c r="G1299" s="275"/>
    </row>
    <row r="1300" spans="1:7" ht="17.45" customHeight="1">
      <c r="A1300" s="261" t="s">
        <v>8</v>
      </c>
      <c r="C1300" s="271" t="s">
        <v>1881</v>
      </c>
      <c r="D1300" s="497"/>
      <c r="E1300" s="499">
        <v>1000</v>
      </c>
      <c r="F1300" s="263"/>
      <c r="G1300" s="275"/>
    </row>
    <row r="1301" spans="1:7" ht="17.45" customHeight="1">
      <c r="A1301" s="261" t="s">
        <v>8</v>
      </c>
      <c r="C1301" s="284" t="s">
        <v>1882</v>
      </c>
      <c r="D1301" s="497"/>
      <c r="E1301" s="499">
        <v>2000</v>
      </c>
      <c r="F1301" s="263"/>
      <c r="G1301" s="275"/>
    </row>
    <row r="1302" spans="1:7" ht="17.45" customHeight="1">
      <c r="A1302" s="261" t="s">
        <v>8</v>
      </c>
      <c r="C1302" s="271"/>
      <c r="D1302" s="497"/>
      <c r="E1302" s="497"/>
      <c r="F1302" s="263"/>
      <c r="G1302" s="275"/>
    </row>
    <row r="1303" spans="1:7" ht="17.45" customHeight="1">
      <c r="A1303" s="261" t="s">
        <v>8</v>
      </c>
      <c r="C1303" s="271"/>
      <c r="D1303" s="497"/>
      <c r="E1303" s="497"/>
      <c r="F1303" s="263"/>
      <c r="G1303" s="275"/>
    </row>
    <row r="1304" spans="1:7" ht="17.45" customHeight="1">
      <c r="A1304" s="261" t="s">
        <v>8</v>
      </c>
      <c r="C1304" s="271"/>
      <c r="D1304" s="497"/>
      <c r="E1304" s="497"/>
      <c r="F1304" s="263"/>
      <c r="G1304" s="275"/>
    </row>
    <row r="1305" spans="1:7" ht="17.45" customHeight="1" thickBot="1">
      <c r="A1305" s="261" t="s">
        <v>8</v>
      </c>
      <c r="C1305" s="276" t="s">
        <v>1300</v>
      </c>
      <c r="D1305" s="502">
        <f>SUM(D1237:D1304)-SUM(E1237:E1304)</f>
        <v>20190</v>
      </c>
      <c r="E1305" s="502">
        <f>SUM(E1237:E1304)-SUM(F1237:F1304)</f>
        <v>6687481</v>
      </c>
      <c r="F1305" s="277"/>
      <c r="G1305" s="283"/>
    </row>
    <row r="1306" spans="1:7">
      <c r="A1306" s="261" t="s">
        <v>8</v>
      </c>
    </row>
    <row r="1307" spans="1:7" ht="12.75" thickBot="1">
      <c r="A1307" s="261" t="s">
        <v>8</v>
      </c>
    </row>
    <row r="1308" spans="1:7" ht="17.45" customHeight="1">
      <c r="A1308" s="261" t="s">
        <v>8</v>
      </c>
      <c r="B1308" s="256" t="s">
        <v>2182</v>
      </c>
      <c r="C1308" s="268" t="s">
        <v>1268</v>
      </c>
      <c r="D1308" s="500">
        <v>5916911</v>
      </c>
      <c r="E1308" s="501"/>
      <c r="F1308" s="269"/>
      <c r="G1308" s="270"/>
    </row>
    <row r="1309" spans="1:7" ht="17.45" customHeight="1">
      <c r="A1309" s="261" t="s">
        <v>8</v>
      </c>
      <c r="B1309" s="257"/>
      <c r="C1309" s="271" t="s">
        <v>1269</v>
      </c>
      <c r="D1309" s="497"/>
      <c r="E1309" s="499">
        <v>436000</v>
      </c>
      <c r="F1309" s="263"/>
      <c r="G1309" s="272" t="s">
        <v>2183</v>
      </c>
    </row>
    <row r="1310" spans="1:7" ht="17.45" customHeight="1">
      <c r="A1310" s="261" t="s">
        <v>8</v>
      </c>
      <c r="C1310" s="271" t="s">
        <v>1270</v>
      </c>
      <c r="D1310" s="497"/>
      <c r="E1310" s="499">
        <v>737000</v>
      </c>
      <c r="F1310" s="263"/>
      <c r="G1310" s="273"/>
    </row>
    <row r="1311" spans="1:7" ht="17.45" customHeight="1">
      <c r="A1311" s="261" t="s">
        <v>8</v>
      </c>
      <c r="C1311" s="271" t="s">
        <v>1670</v>
      </c>
      <c r="D1311" s="497"/>
      <c r="E1311" s="499">
        <v>26010</v>
      </c>
      <c r="F1311" s="263"/>
      <c r="G1311" s="274"/>
    </row>
    <row r="1312" spans="1:7" ht="17.45" customHeight="1">
      <c r="A1312" s="261" t="s">
        <v>8</v>
      </c>
      <c r="C1312" s="271" t="s">
        <v>1672</v>
      </c>
      <c r="D1312" s="497"/>
      <c r="E1312" s="499">
        <v>73910</v>
      </c>
      <c r="F1312" s="263"/>
      <c r="G1312" s="274"/>
    </row>
    <row r="1313" spans="1:7" ht="17.45" customHeight="1">
      <c r="A1313" s="261" t="s">
        <v>8</v>
      </c>
      <c r="C1313" s="271" t="s">
        <v>1673</v>
      </c>
      <c r="D1313" s="497"/>
      <c r="E1313" s="499">
        <v>0</v>
      </c>
      <c r="F1313" s="263"/>
      <c r="G1313" s="274"/>
    </row>
    <row r="1314" spans="1:7" ht="17.45" customHeight="1">
      <c r="A1314" s="261" t="s">
        <v>8</v>
      </c>
      <c r="C1314" s="271" t="s">
        <v>1332</v>
      </c>
      <c r="D1314" s="497"/>
      <c r="E1314" s="499">
        <v>42900</v>
      </c>
      <c r="F1314" s="263"/>
      <c r="G1314" s="275"/>
    </row>
    <row r="1315" spans="1:7" ht="17.45" customHeight="1">
      <c r="A1315" s="261" t="s">
        <v>8</v>
      </c>
      <c r="C1315" s="271" t="s">
        <v>1271</v>
      </c>
      <c r="D1315" s="497"/>
      <c r="E1315" s="499">
        <v>0</v>
      </c>
      <c r="F1315" s="263"/>
      <c r="G1315" s="274"/>
    </row>
    <row r="1316" spans="1:7" ht="17.45" customHeight="1">
      <c r="A1316" s="261" t="s">
        <v>8</v>
      </c>
      <c r="C1316" s="271" t="s">
        <v>1272</v>
      </c>
      <c r="D1316" s="497"/>
      <c r="E1316" s="499">
        <v>6960</v>
      </c>
      <c r="F1316" s="263"/>
      <c r="G1316" s="273"/>
    </row>
    <row r="1317" spans="1:7" ht="17.45" customHeight="1">
      <c r="A1317" s="261" t="s">
        <v>8</v>
      </c>
      <c r="C1317" s="271" t="s">
        <v>1273</v>
      </c>
      <c r="D1317" s="497"/>
      <c r="E1317" s="499">
        <v>29920</v>
      </c>
      <c r="F1317" s="263"/>
      <c r="G1317" s="273"/>
    </row>
    <row r="1318" spans="1:7" ht="17.45" customHeight="1">
      <c r="A1318" s="261" t="s">
        <v>8</v>
      </c>
      <c r="C1318" s="271" t="s">
        <v>1274</v>
      </c>
      <c r="D1318" s="497"/>
      <c r="E1318" s="499">
        <v>9405</v>
      </c>
      <c r="F1318" s="263"/>
      <c r="G1318" s="273"/>
    </row>
    <row r="1319" spans="1:7" ht="17.45" customHeight="1">
      <c r="A1319" s="261" t="s">
        <v>8</v>
      </c>
      <c r="C1319" s="271" t="s">
        <v>1275</v>
      </c>
      <c r="D1319" s="497"/>
      <c r="E1319" s="499">
        <v>26450</v>
      </c>
      <c r="F1319" s="263"/>
      <c r="G1319" s="273"/>
    </row>
    <row r="1320" spans="1:7" ht="17.45" customHeight="1">
      <c r="A1320" s="261" t="s">
        <v>8</v>
      </c>
      <c r="C1320" s="271" t="s">
        <v>2168</v>
      </c>
      <c r="D1320" s="497"/>
      <c r="E1320" s="499">
        <v>18816</v>
      </c>
      <c r="F1320" s="263"/>
      <c r="G1320" s="273"/>
    </row>
    <row r="1321" spans="1:7" ht="17.45" customHeight="1">
      <c r="A1321" s="261" t="s">
        <v>8</v>
      </c>
      <c r="C1321" s="271" t="s">
        <v>1517</v>
      </c>
      <c r="D1321" s="497"/>
      <c r="E1321" s="499">
        <v>23230</v>
      </c>
      <c r="F1321" s="263"/>
      <c r="G1321" s="273"/>
    </row>
    <row r="1322" spans="1:7" ht="17.45" customHeight="1">
      <c r="A1322" s="261" t="s">
        <v>8</v>
      </c>
      <c r="C1322" s="271" t="s">
        <v>1276</v>
      </c>
      <c r="D1322" s="499">
        <v>250000</v>
      </c>
      <c r="E1322" s="499">
        <v>288570</v>
      </c>
      <c r="F1322" s="263"/>
      <c r="G1322" s="273"/>
    </row>
    <row r="1323" spans="1:7" ht="17.45" customHeight="1">
      <c r="A1323" s="261" t="s">
        <v>8</v>
      </c>
      <c r="C1323" s="271" t="s">
        <v>1277</v>
      </c>
      <c r="D1323" s="497"/>
      <c r="E1323" s="499">
        <v>15940</v>
      </c>
      <c r="F1323" s="263"/>
      <c r="G1323" s="273"/>
    </row>
    <row r="1324" spans="1:7" ht="17.45" customHeight="1">
      <c r="A1324" s="261" t="s">
        <v>8</v>
      </c>
      <c r="C1324" s="271" t="s">
        <v>1278</v>
      </c>
      <c r="D1324" s="497"/>
      <c r="E1324" s="499">
        <v>200000</v>
      </c>
      <c r="F1324" s="263"/>
      <c r="G1324" s="273"/>
    </row>
    <row r="1325" spans="1:7" ht="17.45" customHeight="1" thickBot="1">
      <c r="A1325" s="261" t="s">
        <v>8</v>
      </c>
      <c r="C1325" s="285" t="s">
        <v>1413</v>
      </c>
      <c r="D1325" s="506"/>
      <c r="E1325" s="507">
        <v>1300000</v>
      </c>
      <c r="F1325" s="286"/>
      <c r="G1325" s="287"/>
    </row>
    <row r="1326" spans="1:7" ht="17.45" customHeight="1">
      <c r="A1326" s="261" t="s">
        <v>8</v>
      </c>
      <c r="C1326" s="268" t="s">
        <v>1280</v>
      </c>
      <c r="D1326" s="501"/>
      <c r="E1326" s="500">
        <v>100000</v>
      </c>
      <c r="F1326" s="269"/>
      <c r="G1326" s="288"/>
    </row>
    <row r="1327" spans="1:7" ht="17.45" customHeight="1">
      <c r="A1327" s="261" t="s">
        <v>8</v>
      </c>
      <c r="C1327" s="271" t="s">
        <v>1549</v>
      </c>
      <c r="D1327" s="497"/>
      <c r="E1327" s="499">
        <v>0</v>
      </c>
      <c r="F1327" s="263"/>
      <c r="G1327" s="275"/>
    </row>
    <row r="1328" spans="1:7" ht="17.45" customHeight="1">
      <c r="A1328" s="261" t="s">
        <v>8</v>
      </c>
      <c r="C1328" s="271" t="s">
        <v>1819</v>
      </c>
      <c r="D1328" s="497"/>
      <c r="E1328" s="499">
        <v>0</v>
      </c>
      <c r="F1328" s="263"/>
      <c r="G1328" s="275"/>
    </row>
    <row r="1329" spans="1:7" ht="17.45" customHeight="1">
      <c r="A1329" s="261" t="s">
        <v>8</v>
      </c>
      <c r="C1329" s="271" t="s">
        <v>1822</v>
      </c>
      <c r="D1329" s="497"/>
      <c r="E1329" s="499">
        <v>0</v>
      </c>
      <c r="F1329" s="263"/>
      <c r="G1329" s="275"/>
    </row>
    <row r="1330" spans="1:7" ht="17.45" customHeight="1">
      <c r="A1330" s="261" t="s">
        <v>8</v>
      </c>
      <c r="C1330" s="271" t="s">
        <v>1484</v>
      </c>
      <c r="D1330" s="497"/>
      <c r="E1330" s="499">
        <v>0</v>
      </c>
      <c r="F1330" s="263"/>
      <c r="G1330" s="275"/>
    </row>
    <row r="1331" spans="1:7" ht="17.45" customHeight="1">
      <c r="A1331" s="261" t="s">
        <v>8</v>
      </c>
      <c r="C1331" s="271" t="s">
        <v>1687</v>
      </c>
      <c r="D1331" s="497"/>
      <c r="E1331" s="499">
        <v>0</v>
      </c>
      <c r="F1331" s="263"/>
      <c r="G1331" s="275"/>
    </row>
    <row r="1332" spans="1:7" ht="17.45" customHeight="1">
      <c r="A1332" s="261" t="s">
        <v>8</v>
      </c>
      <c r="C1332" s="271" t="s">
        <v>1791</v>
      </c>
      <c r="D1332" s="497"/>
      <c r="E1332" s="499">
        <v>400000</v>
      </c>
      <c r="F1332" s="263"/>
      <c r="G1332" s="273"/>
    </row>
    <row r="1333" spans="1:7" ht="17.45" customHeight="1">
      <c r="A1333" s="261" t="s">
        <v>8</v>
      </c>
      <c r="C1333" s="271" t="s">
        <v>1688</v>
      </c>
      <c r="D1333" s="497"/>
      <c r="E1333" s="499">
        <v>100000</v>
      </c>
      <c r="F1333" s="263"/>
      <c r="G1333" s="275"/>
    </row>
    <row r="1334" spans="1:7" ht="17.45" customHeight="1">
      <c r="A1334" s="261" t="s">
        <v>8</v>
      </c>
      <c r="C1334" s="271" t="s">
        <v>1596</v>
      </c>
      <c r="D1334" s="497"/>
      <c r="E1334" s="499">
        <v>0</v>
      </c>
      <c r="F1334" s="263"/>
      <c r="G1334" s="275"/>
    </row>
    <row r="1335" spans="1:7" ht="17.45" customHeight="1">
      <c r="A1335" s="261" t="s">
        <v>8</v>
      </c>
      <c r="C1335" s="271" t="s">
        <v>1595</v>
      </c>
      <c r="D1335" s="497"/>
      <c r="E1335" s="499">
        <v>0</v>
      </c>
      <c r="F1335" s="263"/>
      <c r="G1335" s="275"/>
    </row>
    <row r="1336" spans="1:7" ht="17.45" customHeight="1">
      <c r="A1336" s="261" t="s">
        <v>8</v>
      </c>
      <c r="C1336" s="271" t="s">
        <v>1613</v>
      </c>
      <c r="D1336" s="497"/>
      <c r="E1336" s="499">
        <f>7200+6400+14000</f>
        <v>27600</v>
      </c>
      <c r="F1336" s="263"/>
      <c r="G1336" s="275"/>
    </row>
    <row r="1337" spans="1:7" ht="17.45" customHeight="1">
      <c r="A1337" s="261" t="s">
        <v>8</v>
      </c>
      <c r="C1337" s="271" t="s">
        <v>1569</v>
      </c>
      <c r="D1337" s="497"/>
      <c r="E1337" s="499">
        <v>72620</v>
      </c>
      <c r="F1337" s="263"/>
      <c r="G1337" s="275"/>
    </row>
    <row r="1338" spans="1:7" ht="17.45" customHeight="1">
      <c r="A1338" s="261" t="s">
        <v>8</v>
      </c>
      <c r="C1338" s="271" t="s">
        <v>1618</v>
      </c>
      <c r="D1338" s="497"/>
      <c r="E1338" s="499">
        <f>9480+10760</f>
        <v>20240</v>
      </c>
      <c r="F1338" s="263"/>
      <c r="G1338" s="275"/>
    </row>
    <row r="1339" spans="1:7" ht="17.45" customHeight="1">
      <c r="A1339" s="261" t="s">
        <v>8</v>
      </c>
      <c r="C1339" s="271" t="s">
        <v>1800</v>
      </c>
      <c r="D1339" s="497"/>
      <c r="E1339" s="499">
        <v>0</v>
      </c>
      <c r="F1339" s="263"/>
      <c r="G1339" s="275"/>
    </row>
    <row r="1340" spans="1:7" ht="17.45" customHeight="1" thickBot="1">
      <c r="A1340" s="261" t="s">
        <v>8</v>
      </c>
      <c r="C1340" s="276" t="s">
        <v>1594</v>
      </c>
      <c r="D1340" s="502"/>
      <c r="E1340" s="503">
        <f>23400+26900</f>
        <v>50300</v>
      </c>
      <c r="F1340" s="277"/>
      <c r="G1340" s="282"/>
    </row>
    <row r="1341" spans="1:7" ht="17.45" customHeight="1">
      <c r="A1341" s="261" t="s">
        <v>8</v>
      </c>
      <c r="C1341" s="279" t="s">
        <v>1883</v>
      </c>
      <c r="D1341" s="504"/>
      <c r="E1341" s="505">
        <v>37500</v>
      </c>
      <c r="F1341" s="280"/>
      <c r="G1341" s="289"/>
    </row>
    <row r="1342" spans="1:7" ht="17.45" customHeight="1">
      <c r="A1342" s="261" t="s">
        <v>8</v>
      </c>
      <c r="C1342" s="271" t="s">
        <v>1884</v>
      </c>
      <c r="D1342" s="497"/>
      <c r="E1342" s="499">
        <v>15000</v>
      </c>
      <c r="F1342" s="263"/>
      <c r="G1342" s="273"/>
    </row>
    <row r="1343" spans="1:7" ht="17.45" customHeight="1">
      <c r="A1343" s="261" t="s">
        <v>8</v>
      </c>
      <c r="C1343" s="271" t="s">
        <v>1885</v>
      </c>
      <c r="D1343" s="497"/>
      <c r="E1343" s="499">
        <v>299970</v>
      </c>
      <c r="F1343" s="263"/>
      <c r="G1343" s="275"/>
    </row>
    <row r="1344" spans="1:7" ht="17.45" customHeight="1">
      <c r="A1344" s="261" t="s">
        <v>8</v>
      </c>
      <c r="C1344" s="271" t="s">
        <v>1344</v>
      </c>
      <c r="D1344" s="499">
        <v>52500</v>
      </c>
      <c r="E1344" s="499">
        <v>52500</v>
      </c>
      <c r="F1344" s="263"/>
      <c r="G1344" s="275"/>
    </row>
    <row r="1345" spans="1:7" ht="17.45" customHeight="1">
      <c r="A1345" s="261" t="s">
        <v>8</v>
      </c>
      <c r="C1345" s="271" t="s">
        <v>1789</v>
      </c>
      <c r="D1345" s="499">
        <v>562700</v>
      </c>
      <c r="E1345" s="497"/>
      <c r="F1345" s="263"/>
      <c r="G1345" s="272"/>
    </row>
    <row r="1346" spans="1:7" ht="17.45" customHeight="1">
      <c r="A1346" s="261" t="s">
        <v>8</v>
      </c>
      <c r="C1346" s="271" t="s">
        <v>1886</v>
      </c>
      <c r="D1346" s="497"/>
      <c r="E1346" s="499">
        <v>6500</v>
      </c>
      <c r="F1346" s="263"/>
      <c r="G1346" s="275"/>
    </row>
    <row r="1347" spans="1:7" ht="17.45" customHeight="1">
      <c r="A1347" s="261" t="s">
        <v>8</v>
      </c>
      <c r="C1347" s="271" t="s">
        <v>1650</v>
      </c>
      <c r="D1347" s="497"/>
      <c r="E1347" s="499">
        <v>9800</v>
      </c>
      <c r="F1347" s="263"/>
      <c r="G1347" s="273"/>
    </row>
    <row r="1348" spans="1:7" ht="17.45" customHeight="1">
      <c r="A1348" s="261" t="s">
        <v>8</v>
      </c>
      <c r="C1348" s="271" t="s">
        <v>1887</v>
      </c>
      <c r="D1348" s="497"/>
      <c r="E1348" s="499">
        <v>24578</v>
      </c>
      <c r="F1348" s="263"/>
      <c r="G1348" s="275"/>
    </row>
    <row r="1349" spans="1:7" ht="17.45" customHeight="1">
      <c r="A1349" s="261" t="s">
        <v>8</v>
      </c>
      <c r="C1349" s="271" t="s">
        <v>1888</v>
      </c>
      <c r="D1349" s="497"/>
      <c r="E1349" s="499">
        <v>200000</v>
      </c>
      <c r="F1349" s="263"/>
      <c r="G1349" s="275"/>
    </row>
    <row r="1350" spans="1:7" ht="17.45" customHeight="1">
      <c r="A1350" s="261" t="s">
        <v>8</v>
      </c>
      <c r="C1350" s="271" t="s">
        <v>1889</v>
      </c>
      <c r="D1350" s="497"/>
      <c r="E1350" s="499">
        <v>9468</v>
      </c>
      <c r="F1350" s="263"/>
      <c r="G1350" s="275"/>
    </row>
    <row r="1351" spans="1:7" ht="17.45" customHeight="1">
      <c r="A1351" s="261" t="s">
        <v>8</v>
      </c>
      <c r="C1351" s="271" t="s">
        <v>1890</v>
      </c>
      <c r="D1351" s="497"/>
      <c r="E1351" s="499">
        <v>36329</v>
      </c>
      <c r="F1351" s="263"/>
      <c r="G1351" s="275"/>
    </row>
    <row r="1352" spans="1:7" ht="17.45" customHeight="1">
      <c r="A1352" s="261" t="s">
        <v>8</v>
      </c>
      <c r="C1352" s="271" t="s">
        <v>1627</v>
      </c>
      <c r="D1352" s="497"/>
      <c r="E1352" s="499">
        <v>22500</v>
      </c>
      <c r="F1352" s="263"/>
      <c r="G1352" s="275"/>
    </row>
    <row r="1353" spans="1:7" ht="17.45" customHeight="1">
      <c r="A1353" s="261" t="s">
        <v>8</v>
      </c>
      <c r="C1353" s="271" t="s">
        <v>1891</v>
      </c>
      <c r="D1353" s="497"/>
      <c r="E1353" s="499">
        <v>32000</v>
      </c>
      <c r="F1353" s="263"/>
      <c r="G1353" s="275"/>
    </row>
    <row r="1354" spans="1:7" ht="17.45" customHeight="1">
      <c r="A1354" s="261" t="s">
        <v>8</v>
      </c>
      <c r="C1354" s="271" t="s">
        <v>1884</v>
      </c>
      <c r="D1354" s="497"/>
      <c r="E1354" s="499">
        <v>16680</v>
      </c>
      <c r="F1354" s="263"/>
      <c r="G1354" s="275"/>
    </row>
    <row r="1355" spans="1:7" ht="17.45" customHeight="1">
      <c r="A1355" s="261" t="s">
        <v>8</v>
      </c>
      <c r="C1355" s="271" t="s">
        <v>1892</v>
      </c>
      <c r="D1355" s="497"/>
      <c r="E1355" s="499">
        <v>4500</v>
      </c>
      <c r="F1355" s="263"/>
      <c r="G1355" s="275"/>
    </row>
    <row r="1356" spans="1:7" ht="17.45" customHeight="1">
      <c r="A1356" s="261" t="s">
        <v>8</v>
      </c>
      <c r="C1356" s="271" t="s">
        <v>1893</v>
      </c>
      <c r="D1356" s="497"/>
      <c r="E1356" s="499">
        <v>22680</v>
      </c>
      <c r="F1356" s="263"/>
      <c r="G1356" s="275"/>
    </row>
    <row r="1357" spans="1:7" ht="17.45" customHeight="1">
      <c r="A1357" s="261" t="s">
        <v>8</v>
      </c>
      <c r="C1357" s="271" t="s">
        <v>1894</v>
      </c>
      <c r="D1357" s="497"/>
      <c r="E1357" s="499">
        <v>2100</v>
      </c>
      <c r="F1357" s="263"/>
      <c r="G1357" s="275"/>
    </row>
    <row r="1358" spans="1:7" ht="17.45" customHeight="1">
      <c r="A1358" s="261" t="s">
        <v>8</v>
      </c>
      <c r="C1358" s="271" t="s">
        <v>1895</v>
      </c>
      <c r="D1358" s="497"/>
      <c r="E1358" s="499">
        <v>10000</v>
      </c>
      <c r="F1358" s="263"/>
      <c r="G1358" s="275"/>
    </row>
    <row r="1359" spans="1:7" ht="17.45" customHeight="1">
      <c r="A1359" s="261" t="s">
        <v>8</v>
      </c>
      <c r="C1359" s="271" t="s">
        <v>1809</v>
      </c>
      <c r="D1359" s="497"/>
      <c r="E1359" s="499">
        <v>17000</v>
      </c>
      <c r="F1359" s="263"/>
      <c r="G1359" s="275"/>
    </row>
    <row r="1360" spans="1:7" ht="17.45" customHeight="1">
      <c r="A1360" s="261" t="s">
        <v>8</v>
      </c>
      <c r="C1360" s="271" t="s">
        <v>1814</v>
      </c>
      <c r="D1360" s="497"/>
      <c r="E1360" s="499">
        <v>15500</v>
      </c>
      <c r="F1360" s="263"/>
      <c r="G1360" s="275"/>
    </row>
    <row r="1361" spans="1:7" ht="17.45" customHeight="1" thickBot="1">
      <c r="A1361" s="261" t="s">
        <v>8</v>
      </c>
      <c r="C1361" s="276" t="s">
        <v>1300</v>
      </c>
      <c r="D1361" s="502">
        <f>SUM(D1308:D1360)-SUM(E1308:E1360)</f>
        <v>1941635</v>
      </c>
      <c r="E1361" s="502">
        <f>SUM(E1308:E1360)-SUM(F1308:F1360)</f>
        <v>4840476</v>
      </c>
      <c r="F1361" s="277"/>
      <c r="G1361" s="283"/>
    </row>
    <row r="1362" spans="1:7">
      <c r="A1362" s="261" t="s">
        <v>8</v>
      </c>
    </row>
    <row r="1363" spans="1:7" ht="12.75" thickBot="1">
      <c r="A1363" s="261" t="s">
        <v>8</v>
      </c>
    </row>
    <row r="1364" spans="1:7" ht="17.45" customHeight="1">
      <c r="A1364" s="261" t="s">
        <v>8</v>
      </c>
      <c r="B1364" s="256" t="s">
        <v>2184</v>
      </c>
      <c r="C1364" s="268" t="s">
        <v>1268</v>
      </c>
      <c r="D1364" s="500">
        <v>5901271</v>
      </c>
      <c r="E1364" s="501"/>
      <c r="F1364" s="269"/>
      <c r="G1364" s="270"/>
    </row>
    <row r="1365" spans="1:7" ht="17.45" customHeight="1">
      <c r="A1365" s="261" t="s">
        <v>8</v>
      </c>
      <c r="B1365" s="257"/>
      <c r="C1365" s="271" t="s">
        <v>1269</v>
      </c>
      <c r="D1365" s="508"/>
      <c r="E1365" s="499">
        <v>408000</v>
      </c>
      <c r="F1365" s="263"/>
      <c r="G1365" s="272" t="s">
        <v>2185</v>
      </c>
    </row>
    <row r="1366" spans="1:7" ht="17.45" customHeight="1">
      <c r="A1366" s="261" t="s">
        <v>8</v>
      </c>
      <c r="C1366" s="271" t="s">
        <v>1270</v>
      </c>
      <c r="D1366" s="508"/>
      <c r="E1366" s="499">
        <v>732000</v>
      </c>
      <c r="F1366" s="263"/>
      <c r="G1366" s="273"/>
    </row>
    <row r="1367" spans="1:7" ht="17.45" customHeight="1">
      <c r="A1367" s="261" t="s">
        <v>8</v>
      </c>
      <c r="C1367" s="271" t="s">
        <v>1670</v>
      </c>
      <c r="D1367" s="508"/>
      <c r="E1367" s="499">
        <v>26010</v>
      </c>
      <c r="F1367" s="263"/>
      <c r="G1367" s="274"/>
    </row>
    <row r="1368" spans="1:7" ht="17.45" customHeight="1">
      <c r="A1368" s="261" t="s">
        <v>8</v>
      </c>
      <c r="C1368" s="271" t="s">
        <v>1672</v>
      </c>
      <c r="D1368" s="508"/>
      <c r="E1368" s="499">
        <v>47330</v>
      </c>
      <c r="F1368" s="263"/>
      <c r="G1368" s="274"/>
    </row>
    <row r="1369" spans="1:7" ht="17.45" customHeight="1">
      <c r="A1369" s="261" t="s">
        <v>8</v>
      </c>
      <c r="C1369" s="271" t="s">
        <v>1673</v>
      </c>
      <c r="D1369" s="508"/>
      <c r="E1369" s="508">
        <v>0</v>
      </c>
      <c r="F1369" s="263"/>
      <c r="G1369" s="274"/>
    </row>
    <row r="1370" spans="1:7" ht="17.45" customHeight="1">
      <c r="A1370" s="261" t="s">
        <v>8</v>
      </c>
      <c r="C1370" s="271" t="s">
        <v>1332</v>
      </c>
      <c r="D1370" s="508"/>
      <c r="E1370" s="499">
        <v>42900</v>
      </c>
      <c r="F1370" s="263"/>
      <c r="G1370" s="275"/>
    </row>
    <row r="1371" spans="1:7" ht="17.45" customHeight="1">
      <c r="A1371" s="261" t="s">
        <v>8</v>
      </c>
      <c r="C1371" s="271" t="s">
        <v>1271</v>
      </c>
      <c r="D1371" s="508"/>
      <c r="E1371" s="508">
        <v>0</v>
      </c>
      <c r="F1371" s="263"/>
      <c r="G1371" s="274"/>
    </row>
    <row r="1372" spans="1:7" ht="17.45" customHeight="1">
      <c r="A1372" s="261" t="s">
        <v>8</v>
      </c>
      <c r="C1372" s="271" t="s">
        <v>1272</v>
      </c>
      <c r="D1372" s="508"/>
      <c r="E1372" s="499">
        <v>6960</v>
      </c>
      <c r="F1372" s="263"/>
      <c r="G1372" s="273"/>
    </row>
    <row r="1373" spans="1:7" ht="17.45" customHeight="1">
      <c r="A1373" s="261" t="s">
        <v>8</v>
      </c>
      <c r="C1373" s="271" t="s">
        <v>1273</v>
      </c>
      <c r="D1373" s="508"/>
      <c r="E1373" s="499">
        <v>29920</v>
      </c>
      <c r="F1373" s="263"/>
      <c r="G1373" s="273"/>
    </row>
    <row r="1374" spans="1:7" ht="17.45" customHeight="1">
      <c r="A1374" s="261" t="s">
        <v>8</v>
      </c>
      <c r="C1374" s="271" t="s">
        <v>1274</v>
      </c>
      <c r="D1374" s="508"/>
      <c r="E1374" s="499">
        <v>9405</v>
      </c>
      <c r="F1374" s="263"/>
      <c r="G1374" s="273"/>
    </row>
    <row r="1375" spans="1:7" ht="17.45" customHeight="1">
      <c r="A1375" s="261" t="s">
        <v>8</v>
      </c>
      <c r="C1375" s="271" t="s">
        <v>1275</v>
      </c>
      <c r="D1375" s="508"/>
      <c r="E1375" s="499">
        <v>26450</v>
      </c>
      <c r="F1375" s="263"/>
      <c r="G1375" s="273"/>
    </row>
    <row r="1376" spans="1:7" ht="17.45" customHeight="1">
      <c r="A1376" s="261" t="s">
        <v>8</v>
      </c>
      <c r="C1376" s="271" t="s">
        <v>2168</v>
      </c>
      <c r="D1376" s="508"/>
      <c r="E1376" s="499">
        <v>18816</v>
      </c>
      <c r="F1376" s="263"/>
      <c r="G1376" s="273"/>
    </row>
    <row r="1377" spans="1:7" ht="17.45" customHeight="1">
      <c r="A1377" s="261" t="s">
        <v>8</v>
      </c>
      <c r="C1377" s="271" t="s">
        <v>1517</v>
      </c>
      <c r="D1377" s="508"/>
      <c r="E1377" s="499">
        <v>23230</v>
      </c>
      <c r="F1377" s="263"/>
      <c r="G1377" s="273"/>
    </row>
    <row r="1378" spans="1:7" ht="17.45" customHeight="1">
      <c r="A1378" s="261" t="s">
        <v>8</v>
      </c>
      <c r="C1378" s="271" t="s">
        <v>1276</v>
      </c>
      <c r="D1378" s="508"/>
      <c r="E1378" s="499">
        <v>251350</v>
      </c>
      <c r="F1378" s="263"/>
      <c r="G1378" s="273"/>
    </row>
    <row r="1379" spans="1:7" ht="17.45" customHeight="1">
      <c r="A1379" s="261" t="s">
        <v>8</v>
      </c>
      <c r="C1379" s="271" t="s">
        <v>1277</v>
      </c>
      <c r="D1379" s="508"/>
      <c r="E1379" s="499">
        <v>43360</v>
      </c>
      <c r="F1379" s="263"/>
      <c r="G1379" s="273"/>
    </row>
    <row r="1380" spans="1:7" ht="17.45" customHeight="1">
      <c r="A1380" s="261" t="s">
        <v>8</v>
      </c>
      <c r="C1380" s="271" t="s">
        <v>1278</v>
      </c>
      <c r="D1380" s="508"/>
      <c r="E1380" s="499">
        <v>200000</v>
      </c>
      <c r="F1380" s="263"/>
      <c r="G1380" s="273"/>
    </row>
    <row r="1381" spans="1:7" ht="17.45" customHeight="1" thickBot="1">
      <c r="A1381" s="261" t="s">
        <v>8</v>
      </c>
      <c r="C1381" s="285" t="s">
        <v>1413</v>
      </c>
      <c r="D1381" s="509"/>
      <c r="E1381" s="507">
        <v>1300000</v>
      </c>
      <c r="F1381" s="286"/>
      <c r="G1381" s="287"/>
    </row>
    <row r="1382" spans="1:7" ht="17.45" customHeight="1">
      <c r="A1382" s="261" t="s">
        <v>8</v>
      </c>
      <c r="C1382" s="268" t="s">
        <v>1280</v>
      </c>
      <c r="D1382" s="501"/>
      <c r="E1382" s="500">
        <f>50000*2</f>
        <v>100000</v>
      </c>
      <c r="F1382" s="269"/>
      <c r="G1382" s="288"/>
    </row>
    <row r="1383" spans="1:7" ht="17.45" customHeight="1">
      <c r="A1383" s="261" t="s">
        <v>8</v>
      </c>
      <c r="C1383" s="271" t="s">
        <v>1549</v>
      </c>
      <c r="D1383" s="497"/>
      <c r="E1383" s="497"/>
      <c r="F1383" s="263"/>
      <c r="G1383" s="275"/>
    </row>
    <row r="1384" spans="1:7" ht="17.45" customHeight="1">
      <c r="A1384" s="261" t="s">
        <v>8</v>
      </c>
      <c r="C1384" s="271" t="s">
        <v>1819</v>
      </c>
      <c r="D1384" s="497"/>
      <c r="E1384" s="497"/>
      <c r="F1384" s="263"/>
      <c r="G1384" s="275"/>
    </row>
    <row r="1385" spans="1:7" ht="17.45" customHeight="1">
      <c r="A1385" s="261" t="s">
        <v>8</v>
      </c>
      <c r="C1385" s="271" t="s">
        <v>391</v>
      </c>
      <c r="D1385" s="497"/>
      <c r="E1385" s="499">
        <v>50000</v>
      </c>
      <c r="F1385" s="263"/>
      <c r="G1385" s="275"/>
    </row>
    <row r="1386" spans="1:7" ht="17.45" customHeight="1">
      <c r="A1386" s="261" t="s">
        <v>8</v>
      </c>
      <c r="C1386" s="271" t="s">
        <v>1484</v>
      </c>
      <c r="D1386" s="497"/>
      <c r="E1386" s="499">
        <v>76000</v>
      </c>
      <c r="F1386" s="263"/>
      <c r="G1386" s="275"/>
    </row>
    <row r="1387" spans="1:7" ht="17.45" customHeight="1">
      <c r="A1387" s="261" t="s">
        <v>8</v>
      </c>
      <c r="C1387" s="271" t="s">
        <v>1687</v>
      </c>
      <c r="D1387" s="497"/>
      <c r="E1387" s="497"/>
      <c r="F1387" s="263"/>
      <c r="G1387" s="275"/>
    </row>
    <row r="1388" spans="1:7" ht="17.45" customHeight="1">
      <c r="A1388" s="261" t="s">
        <v>8</v>
      </c>
      <c r="C1388" s="271" t="s">
        <v>1791</v>
      </c>
      <c r="D1388" s="497"/>
      <c r="E1388" s="497"/>
      <c r="F1388" s="263"/>
      <c r="G1388" s="273"/>
    </row>
    <row r="1389" spans="1:7" ht="17.45" customHeight="1">
      <c r="A1389" s="261" t="s">
        <v>8</v>
      </c>
      <c r="C1389" s="271" t="s">
        <v>1688</v>
      </c>
      <c r="D1389" s="497"/>
      <c r="E1389" s="499">
        <v>50000</v>
      </c>
      <c r="F1389" s="263"/>
      <c r="G1389" s="275"/>
    </row>
    <row r="1390" spans="1:7" ht="17.45" customHeight="1">
      <c r="A1390" s="261" t="s">
        <v>8</v>
      </c>
      <c r="C1390" s="271" t="s">
        <v>1596</v>
      </c>
      <c r="D1390" s="497"/>
      <c r="E1390" s="497"/>
      <c r="F1390" s="263"/>
      <c r="G1390" s="275"/>
    </row>
    <row r="1391" spans="1:7" ht="17.45" customHeight="1">
      <c r="A1391" s="261" t="s">
        <v>8</v>
      </c>
      <c r="C1391" s="271" t="s">
        <v>1595</v>
      </c>
      <c r="D1391" s="497"/>
      <c r="E1391" s="499">
        <v>7500</v>
      </c>
      <c r="F1391" s="263"/>
      <c r="G1391" s="275"/>
    </row>
    <row r="1392" spans="1:7" ht="17.45" customHeight="1">
      <c r="A1392" s="261" t="s">
        <v>8</v>
      </c>
      <c r="C1392" s="271" t="s">
        <v>1613</v>
      </c>
      <c r="D1392" s="497"/>
      <c r="E1392" s="499">
        <f>4900+13500+3600+900</f>
        <v>22900</v>
      </c>
      <c r="F1392" s="263"/>
      <c r="G1392" s="275"/>
    </row>
    <row r="1393" spans="1:7" ht="17.45" customHeight="1">
      <c r="A1393" s="261" t="s">
        <v>8</v>
      </c>
      <c r="C1393" s="271" t="s">
        <v>1569</v>
      </c>
      <c r="D1393" s="497"/>
      <c r="E1393" s="499">
        <v>106640</v>
      </c>
      <c r="F1393" s="263"/>
      <c r="G1393" s="275"/>
    </row>
    <row r="1394" spans="1:7" ht="17.45" customHeight="1">
      <c r="A1394" s="261" t="s">
        <v>8</v>
      </c>
      <c r="C1394" s="271" t="s">
        <v>1618</v>
      </c>
      <c r="D1394" s="497"/>
      <c r="E1394" s="499">
        <f>28940+22730</f>
        <v>51670</v>
      </c>
      <c r="F1394" s="263"/>
      <c r="G1394" s="275"/>
    </row>
    <row r="1395" spans="1:7" ht="17.45" customHeight="1">
      <c r="A1395" s="261" t="s">
        <v>8</v>
      </c>
      <c r="C1395" s="271" t="s">
        <v>1800</v>
      </c>
      <c r="D1395" s="497"/>
      <c r="E1395" s="497"/>
      <c r="F1395" s="263"/>
      <c r="G1395" s="275"/>
    </row>
    <row r="1396" spans="1:7" ht="17.45" customHeight="1" thickBot="1">
      <c r="A1396" s="261" t="s">
        <v>8</v>
      </c>
      <c r="C1396" s="276" t="s">
        <v>1594</v>
      </c>
      <c r="D1396" s="502"/>
      <c r="E1396" s="503">
        <v>23800</v>
      </c>
      <c r="F1396" s="277"/>
      <c r="G1396" s="282"/>
    </row>
    <row r="1397" spans="1:7" ht="17.45" customHeight="1">
      <c r="A1397" s="261" t="s">
        <v>8</v>
      </c>
      <c r="C1397" s="279" t="s">
        <v>1647</v>
      </c>
      <c r="D1397" s="504"/>
      <c r="E1397" s="505">
        <f>2600+17600</f>
        <v>20200</v>
      </c>
      <c r="F1397" s="280"/>
      <c r="G1397" s="289"/>
    </row>
    <row r="1398" spans="1:7" ht="17.45" customHeight="1">
      <c r="A1398" s="261" t="s">
        <v>8</v>
      </c>
      <c r="C1398" s="271" t="s">
        <v>1896</v>
      </c>
      <c r="D1398" s="497"/>
      <c r="E1398" s="499">
        <v>15400</v>
      </c>
      <c r="F1398" s="263"/>
      <c r="G1398" s="273"/>
    </row>
    <row r="1399" spans="1:7" ht="17.45" customHeight="1">
      <c r="A1399" s="261" t="s">
        <v>8</v>
      </c>
      <c r="C1399" s="271" t="s">
        <v>1897</v>
      </c>
      <c r="D1399" s="497"/>
      <c r="E1399" s="499">
        <v>8000</v>
      </c>
      <c r="F1399" s="263"/>
      <c r="G1399" s="275"/>
    </row>
    <row r="1400" spans="1:7" ht="17.45" customHeight="1">
      <c r="A1400" s="261" t="s">
        <v>8</v>
      </c>
      <c r="C1400" s="271" t="s">
        <v>1898</v>
      </c>
      <c r="D1400" s="497"/>
      <c r="E1400" s="499">
        <v>138000</v>
      </c>
      <c r="F1400" s="263"/>
      <c r="G1400" s="275"/>
    </row>
    <row r="1401" spans="1:7" ht="17.45" customHeight="1">
      <c r="A1401" s="261" t="s">
        <v>8</v>
      </c>
      <c r="C1401" s="271" t="s">
        <v>1900</v>
      </c>
      <c r="D1401" s="497"/>
      <c r="E1401" s="499">
        <v>1200</v>
      </c>
      <c r="F1401" s="263"/>
      <c r="G1401" s="272"/>
    </row>
    <row r="1402" spans="1:7" ht="17.45" customHeight="1">
      <c r="A1402" s="261" t="s">
        <v>8</v>
      </c>
      <c r="C1402" s="271" t="s">
        <v>1901</v>
      </c>
      <c r="D1402" s="497"/>
      <c r="E1402" s="499">
        <v>8900</v>
      </c>
      <c r="F1402" s="263"/>
      <c r="G1402" s="275"/>
    </row>
    <row r="1403" spans="1:7" ht="17.45" customHeight="1">
      <c r="A1403" s="261" t="s">
        <v>8</v>
      </c>
      <c r="C1403" s="271" t="s">
        <v>1902</v>
      </c>
      <c r="D1403" s="497"/>
      <c r="E1403" s="499">
        <v>300000</v>
      </c>
      <c r="F1403" s="263"/>
      <c r="G1403" s="273"/>
    </row>
    <row r="1404" spans="1:7" ht="17.45" customHeight="1">
      <c r="A1404" s="261" t="s">
        <v>8</v>
      </c>
      <c r="C1404" s="271" t="s">
        <v>1903</v>
      </c>
      <c r="D1404" s="497"/>
      <c r="E1404" s="499">
        <v>32700</v>
      </c>
      <c r="F1404" s="263"/>
      <c r="G1404" s="275"/>
    </row>
    <row r="1405" spans="1:7" ht="17.45" customHeight="1">
      <c r="A1405" s="261" t="s">
        <v>8</v>
      </c>
      <c r="C1405" s="271" t="s">
        <v>1906</v>
      </c>
      <c r="D1405" s="497"/>
      <c r="E1405" s="499">
        <v>5000</v>
      </c>
      <c r="F1405" s="263"/>
      <c r="G1405" s="275"/>
    </row>
    <row r="1406" spans="1:7" ht="17.45" customHeight="1">
      <c r="A1406" s="261" t="s">
        <v>8</v>
      </c>
      <c r="C1406" s="271" t="s">
        <v>1908</v>
      </c>
      <c r="D1406" s="497"/>
      <c r="E1406" s="499">
        <v>129070</v>
      </c>
      <c r="F1406" s="263"/>
      <c r="G1406" s="275"/>
    </row>
    <row r="1407" spans="1:7" ht="17.45" customHeight="1">
      <c r="A1407" s="261" t="s">
        <v>8</v>
      </c>
      <c r="C1407" s="271" t="s">
        <v>1909</v>
      </c>
      <c r="D1407" s="497"/>
      <c r="E1407" s="499">
        <v>144610</v>
      </c>
      <c r="F1407" s="263"/>
      <c r="G1407" s="275"/>
    </row>
    <row r="1408" spans="1:7" ht="17.45" customHeight="1">
      <c r="A1408" s="261" t="s">
        <v>8</v>
      </c>
      <c r="C1408" s="271" t="s">
        <v>1910</v>
      </c>
      <c r="D1408" s="497"/>
      <c r="E1408" s="499">
        <v>13000</v>
      </c>
      <c r="F1408" s="263"/>
      <c r="G1408" s="275"/>
    </row>
    <row r="1409" spans="1:7" ht="17.45" customHeight="1">
      <c r="A1409" s="261" t="s">
        <v>8</v>
      </c>
      <c r="C1409" s="271" t="s">
        <v>1911</v>
      </c>
      <c r="D1409" s="497"/>
      <c r="E1409" s="499">
        <v>6000</v>
      </c>
      <c r="F1409" s="263"/>
      <c r="G1409" s="275"/>
    </row>
    <row r="1410" spans="1:7" ht="17.45" customHeight="1">
      <c r="A1410" s="261" t="s">
        <v>8</v>
      </c>
      <c r="C1410" s="271" t="s">
        <v>1912</v>
      </c>
      <c r="D1410" s="497"/>
      <c r="E1410" s="499">
        <v>56800</v>
      </c>
      <c r="F1410" s="263"/>
      <c r="G1410" s="275"/>
    </row>
    <row r="1411" spans="1:7" ht="17.45" customHeight="1">
      <c r="A1411" s="261" t="s">
        <v>8</v>
      </c>
      <c r="C1411" s="271" t="s">
        <v>1913</v>
      </c>
      <c r="D1411" s="497"/>
      <c r="E1411" s="499">
        <v>6000</v>
      </c>
      <c r="F1411" s="263"/>
      <c r="G1411" s="275"/>
    </row>
    <row r="1412" spans="1:7" ht="17.45" customHeight="1">
      <c r="A1412" s="261" t="s">
        <v>8</v>
      </c>
      <c r="C1412" s="271" t="s">
        <v>1914</v>
      </c>
      <c r="D1412" s="497"/>
      <c r="E1412" s="499">
        <v>6500</v>
      </c>
      <c r="F1412" s="263"/>
      <c r="G1412" s="275"/>
    </row>
    <row r="1413" spans="1:7" ht="17.45" customHeight="1">
      <c r="A1413" s="261" t="s">
        <v>8</v>
      </c>
      <c r="C1413" s="271" t="s">
        <v>1602</v>
      </c>
      <c r="D1413" s="499">
        <v>1839</v>
      </c>
      <c r="E1413" s="497"/>
      <c r="F1413" s="263"/>
      <c r="G1413" s="275"/>
    </row>
    <row r="1414" spans="1:7" ht="17.45" customHeight="1">
      <c r="A1414" s="261" t="s">
        <v>8</v>
      </c>
      <c r="C1414" s="271" t="s">
        <v>1915</v>
      </c>
      <c r="D1414" s="497"/>
      <c r="E1414" s="499">
        <v>866550</v>
      </c>
      <c r="F1414" s="263"/>
      <c r="G1414" s="275"/>
    </row>
    <row r="1415" spans="1:7" ht="17.45" customHeight="1">
      <c r="A1415" s="261" t="s">
        <v>8</v>
      </c>
      <c r="C1415" s="271" t="s">
        <v>1916</v>
      </c>
      <c r="D1415" s="497"/>
      <c r="E1415" s="499">
        <v>56600</v>
      </c>
      <c r="F1415" s="263"/>
      <c r="G1415" s="275"/>
    </row>
    <row r="1416" spans="1:7" ht="17.45" customHeight="1" thickBot="1">
      <c r="A1416" s="261" t="s">
        <v>8</v>
      </c>
      <c r="C1416" s="276" t="s">
        <v>1300</v>
      </c>
      <c r="D1416" s="502">
        <f>SUM(D1364:D1415)-SUM(E1364:E1415)</f>
        <v>434339</v>
      </c>
      <c r="E1416" s="502">
        <f>SUM(E1364:E1415)-SUM(F1364:F1415)</f>
        <v>5468771</v>
      </c>
      <c r="F1416" s="277"/>
      <c r="G1416" s="283"/>
    </row>
    <row r="1417" spans="1:7">
      <c r="A1417" s="261" t="s">
        <v>8</v>
      </c>
    </row>
    <row r="1418" spans="1:7" ht="12.75" thickBot="1">
      <c r="A1418" s="261" t="s">
        <v>8</v>
      </c>
    </row>
    <row r="1419" spans="1:7" ht="17.45" customHeight="1">
      <c r="A1419" s="261" t="s">
        <v>8</v>
      </c>
      <c r="B1419" s="256" t="s">
        <v>2186</v>
      </c>
      <c r="C1419" s="268" t="s">
        <v>1268</v>
      </c>
      <c r="D1419" s="500">
        <v>5895911</v>
      </c>
      <c r="E1419" s="501"/>
      <c r="F1419" s="269"/>
      <c r="G1419" s="270"/>
    </row>
    <row r="1420" spans="1:7" ht="17.45" customHeight="1">
      <c r="A1420" s="261" t="s">
        <v>8</v>
      </c>
      <c r="B1420" s="257"/>
      <c r="C1420" s="271" t="s">
        <v>1269</v>
      </c>
      <c r="D1420" s="508"/>
      <c r="E1420" s="499">
        <v>415000</v>
      </c>
      <c r="F1420" s="263"/>
      <c r="G1420" s="272" t="s">
        <v>2187</v>
      </c>
    </row>
    <row r="1421" spans="1:7" ht="17.45" customHeight="1">
      <c r="A1421" s="261" t="s">
        <v>8</v>
      </c>
      <c r="C1421" s="271" t="s">
        <v>1270</v>
      </c>
      <c r="D1421" s="508"/>
      <c r="E1421" s="499">
        <v>737000</v>
      </c>
      <c r="F1421" s="263"/>
      <c r="G1421" s="273"/>
    </row>
    <row r="1422" spans="1:7" ht="17.45" customHeight="1">
      <c r="A1422" s="261" t="s">
        <v>8</v>
      </c>
      <c r="C1422" s="271" t="s">
        <v>1919</v>
      </c>
      <c r="D1422" s="508"/>
      <c r="E1422" s="499">
        <v>300000</v>
      </c>
      <c r="F1422" s="263"/>
      <c r="G1422" s="273"/>
    </row>
    <row r="1423" spans="1:7" ht="17.45" customHeight="1">
      <c r="A1423" s="261" t="s">
        <v>8</v>
      </c>
      <c r="C1423" s="271" t="s">
        <v>1670</v>
      </c>
      <c r="D1423" s="508"/>
      <c r="E1423" s="499">
        <v>26010</v>
      </c>
      <c r="F1423" s="263"/>
      <c r="G1423" s="274"/>
    </row>
    <row r="1424" spans="1:7" ht="17.45" customHeight="1">
      <c r="A1424" s="261" t="s">
        <v>8</v>
      </c>
      <c r="C1424" s="271" t="s">
        <v>1672</v>
      </c>
      <c r="D1424" s="508"/>
      <c r="E1424" s="499">
        <v>61830</v>
      </c>
      <c r="F1424" s="263"/>
      <c r="G1424" s="274"/>
    </row>
    <row r="1425" spans="1:7" ht="17.45" customHeight="1">
      <c r="A1425" s="261" t="s">
        <v>8</v>
      </c>
      <c r="C1425" s="271" t="s">
        <v>1673</v>
      </c>
      <c r="D1425" s="508"/>
      <c r="E1425" s="497">
        <v>0</v>
      </c>
      <c r="F1425" s="263"/>
      <c r="G1425" s="274"/>
    </row>
    <row r="1426" spans="1:7" ht="17.45" customHeight="1">
      <c r="A1426" s="261" t="s">
        <v>8</v>
      </c>
      <c r="C1426" s="271" t="s">
        <v>1332</v>
      </c>
      <c r="D1426" s="508"/>
      <c r="E1426" s="499">
        <v>42900</v>
      </c>
      <c r="F1426" s="263"/>
      <c r="G1426" s="275"/>
    </row>
    <row r="1427" spans="1:7" ht="17.45" customHeight="1">
      <c r="A1427" s="261" t="s">
        <v>8</v>
      </c>
      <c r="C1427" s="271" t="s">
        <v>1271</v>
      </c>
      <c r="D1427" s="508"/>
      <c r="E1427" s="497">
        <v>0</v>
      </c>
      <c r="F1427" s="263"/>
      <c r="G1427" s="274"/>
    </row>
    <row r="1428" spans="1:7" ht="17.45" customHeight="1">
      <c r="A1428" s="261" t="s">
        <v>8</v>
      </c>
      <c r="C1428" s="271" t="s">
        <v>1272</v>
      </c>
      <c r="D1428" s="508"/>
      <c r="E1428" s="499">
        <v>6960</v>
      </c>
      <c r="F1428" s="263"/>
      <c r="G1428" s="273"/>
    </row>
    <row r="1429" spans="1:7" ht="17.45" customHeight="1">
      <c r="A1429" s="261" t="s">
        <v>8</v>
      </c>
      <c r="C1429" s="271" t="s">
        <v>1273</v>
      </c>
      <c r="D1429" s="508"/>
      <c r="E1429" s="499">
        <v>29920</v>
      </c>
      <c r="F1429" s="263"/>
      <c r="G1429" s="273"/>
    </row>
    <row r="1430" spans="1:7" ht="17.45" customHeight="1">
      <c r="A1430" s="261" t="s">
        <v>8</v>
      </c>
      <c r="C1430" s="271" t="s">
        <v>1274</v>
      </c>
      <c r="D1430" s="508"/>
      <c r="E1430" s="499">
        <v>9405</v>
      </c>
      <c r="F1430" s="263"/>
      <c r="G1430" s="273"/>
    </row>
    <row r="1431" spans="1:7" ht="17.45" customHeight="1">
      <c r="A1431" s="261" t="s">
        <v>8</v>
      </c>
      <c r="C1431" s="271" t="s">
        <v>1275</v>
      </c>
      <c r="D1431" s="508"/>
      <c r="E1431" s="499">
        <v>26450</v>
      </c>
      <c r="F1431" s="263"/>
      <c r="G1431" s="273"/>
    </row>
    <row r="1432" spans="1:7" ht="17.45" customHeight="1">
      <c r="A1432" s="261" t="s">
        <v>8</v>
      </c>
      <c r="C1432" s="271" t="s">
        <v>2168</v>
      </c>
      <c r="D1432" s="508"/>
      <c r="E1432" s="499">
        <v>18816</v>
      </c>
      <c r="F1432" s="263"/>
      <c r="G1432" s="273"/>
    </row>
    <row r="1433" spans="1:7" ht="17.45" customHeight="1">
      <c r="A1433" s="261" t="s">
        <v>8</v>
      </c>
      <c r="C1433" s="271" t="s">
        <v>1517</v>
      </c>
      <c r="D1433" s="508"/>
      <c r="E1433" s="499">
        <v>23230</v>
      </c>
      <c r="F1433" s="263"/>
      <c r="G1433" s="273"/>
    </row>
    <row r="1434" spans="1:7" ht="17.45" customHeight="1">
      <c r="A1434" s="261" t="s">
        <v>8</v>
      </c>
      <c r="C1434" s="271" t="s">
        <v>1276</v>
      </c>
      <c r="D1434" s="508"/>
      <c r="E1434" s="499">
        <v>263330</v>
      </c>
      <c r="F1434" s="263"/>
      <c r="G1434" s="273"/>
    </row>
    <row r="1435" spans="1:7" ht="17.45" customHeight="1">
      <c r="A1435" s="261" t="s">
        <v>8</v>
      </c>
      <c r="C1435" s="271" t="s">
        <v>1277</v>
      </c>
      <c r="D1435" s="508"/>
      <c r="E1435" s="499">
        <v>62200</v>
      </c>
      <c r="F1435" s="263"/>
      <c r="G1435" s="273"/>
    </row>
    <row r="1436" spans="1:7" ht="17.45" customHeight="1">
      <c r="A1436" s="261" t="s">
        <v>8</v>
      </c>
      <c r="C1436" s="271" t="s">
        <v>1278</v>
      </c>
      <c r="D1436" s="508"/>
      <c r="E1436" s="499">
        <v>200000</v>
      </c>
      <c r="F1436" s="263"/>
      <c r="G1436" s="273"/>
    </row>
    <row r="1437" spans="1:7" ht="17.45" customHeight="1">
      <c r="A1437" s="261" t="s">
        <v>8</v>
      </c>
      <c r="C1437" s="285" t="s">
        <v>1413</v>
      </c>
      <c r="D1437" s="509"/>
      <c r="E1437" s="507">
        <v>1300000</v>
      </c>
      <c r="F1437" s="286"/>
      <c r="G1437" s="287"/>
    </row>
    <row r="1438" spans="1:7" ht="17.45" customHeight="1" thickBot="1">
      <c r="A1438" s="261" t="s">
        <v>8</v>
      </c>
      <c r="C1438" s="271" t="s">
        <v>1942</v>
      </c>
      <c r="D1438" s="508"/>
      <c r="E1438" s="499">
        <v>20000</v>
      </c>
      <c r="F1438" s="263"/>
      <c r="G1438" s="273"/>
    </row>
    <row r="1439" spans="1:7" ht="17.45" customHeight="1">
      <c r="A1439" s="261" t="s">
        <v>8</v>
      </c>
      <c r="C1439" s="268" t="s">
        <v>1280</v>
      </c>
      <c r="D1439" s="501"/>
      <c r="E1439" s="500">
        <v>100000</v>
      </c>
      <c r="F1439" s="269"/>
      <c r="G1439" s="288"/>
    </row>
    <row r="1440" spans="1:7" ht="17.45" customHeight="1">
      <c r="A1440" s="261" t="s">
        <v>8</v>
      </c>
      <c r="C1440" s="271" t="s">
        <v>1549</v>
      </c>
      <c r="D1440" s="497"/>
      <c r="E1440" s="497"/>
      <c r="F1440" s="263"/>
      <c r="G1440" s="275"/>
    </row>
    <row r="1441" spans="1:7" ht="17.45" customHeight="1">
      <c r="A1441" s="261" t="s">
        <v>8</v>
      </c>
      <c r="C1441" s="271" t="s">
        <v>1819</v>
      </c>
      <c r="D1441" s="497"/>
      <c r="E1441" s="497"/>
      <c r="F1441" s="263"/>
      <c r="G1441" s="275"/>
    </row>
    <row r="1442" spans="1:7" ht="17.45" customHeight="1">
      <c r="A1442" s="261" t="s">
        <v>8</v>
      </c>
      <c r="C1442" s="271" t="s">
        <v>391</v>
      </c>
      <c r="D1442" s="497"/>
      <c r="E1442" s="497"/>
      <c r="F1442" s="263"/>
      <c r="G1442" s="275"/>
    </row>
    <row r="1443" spans="1:7" ht="17.45" customHeight="1">
      <c r="A1443" s="261" t="s">
        <v>8</v>
      </c>
      <c r="C1443" s="271" t="s">
        <v>1934</v>
      </c>
      <c r="D1443" s="497"/>
      <c r="E1443" s="499">
        <v>50000</v>
      </c>
      <c r="F1443" s="263"/>
      <c r="G1443" s="275"/>
    </row>
    <row r="1444" spans="1:7" ht="17.45" customHeight="1">
      <c r="A1444" s="261" t="s">
        <v>8</v>
      </c>
      <c r="C1444" s="271" t="s">
        <v>1484</v>
      </c>
      <c r="D1444" s="497"/>
      <c r="E1444" s="499">
        <v>38000</v>
      </c>
      <c r="F1444" s="263"/>
      <c r="G1444" s="275"/>
    </row>
    <row r="1445" spans="1:7" ht="17.45" customHeight="1">
      <c r="A1445" s="261" t="s">
        <v>8</v>
      </c>
      <c r="C1445" s="271" t="s">
        <v>1687</v>
      </c>
      <c r="D1445" s="497"/>
      <c r="E1445" s="497"/>
      <c r="F1445" s="263"/>
      <c r="G1445" s="275"/>
    </row>
    <row r="1446" spans="1:7" ht="17.45" customHeight="1">
      <c r="A1446" s="261" t="s">
        <v>8</v>
      </c>
      <c r="C1446" s="271" t="s">
        <v>1791</v>
      </c>
      <c r="D1446" s="497"/>
      <c r="E1446" s="497"/>
      <c r="F1446" s="263"/>
      <c r="G1446" s="273"/>
    </row>
    <row r="1447" spans="1:7" ht="17.45" customHeight="1">
      <c r="A1447" s="261" t="s">
        <v>8</v>
      </c>
      <c r="C1447" s="271" t="s">
        <v>1688</v>
      </c>
      <c r="D1447" s="497"/>
      <c r="E1447" s="497"/>
      <c r="F1447" s="263"/>
      <c r="G1447" s="275"/>
    </row>
    <row r="1448" spans="1:7" ht="17.45" customHeight="1">
      <c r="A1448" s="261" t="s">
        <v>8</v>
      </c>
      <c r="C1448" s="271" t="s">
        <v>1596</v>
      </c>
      <c r="D1448" s="497"/>
      <c r="E1448" s="499">
        <v>2700</v>
      </c>
      <c r="F1448" s="263"/>
      <c r="G1448" s="275"/>
    </row>
    <row r="1449" spans="1:7" ht="17.45" customHeight="1">
      <c r="A1449" s="261" t="s">
        <v>8</v>
      </c>
      <c r="C1449" s="271" t="s">
        <v>1595</v>
      </c>
      <c r="D1449" s="497"/>
      <c r="E1449" s="499">
        <v>3200</v>
      </c>
      <c r="F1449" s="263"/>
      <c r="G1449" s="275"/>
    </row>
    <row r="1450" spans="1:7" ht="17.45" customHeight="1">
      <c r="A1450" s="261" t="s">
        <v>8</v>
      </c>
      <c r="C1450" s="271" t="s">
        <v>1613</v>
      </c>
      <c r="D1450" s="497"/>
      <c r="E1450" s="499">
        <f>12600+5200</f>
        <v>17800</v>
      </c>
      <c r="F1450" s="263"/>
      <c r="G1450" s="275"/>
    </row>
    <row r="1451" spans="1:7" ht="17.45" customHeight="1">
      <c r="A1451" s="261" t="s">
        <v>8</v>
      </c>
      <c r="C1451" s="271" t="s">
        <v>1569</v>
      </c>
      <c r="D1451" s="497"/>
      <c r="E1451" s="499">
        <v>94640</v>
      </c>
      <c r="F1451" s="263"/>
      <c r="G1451" s="275"/>
    </row>
    <row r="1452" spans="1:7" ht="17.45" customHeight="1">
      <c r="A1452" s="261" t="s">
        <v>8</v>
      </c>
      <c r="C1452" s="271" t="s">
        <v>1618</v>
      </c>
      <c r="D1452" s="497"/>
      <c r="E1452" s="499">
        <v>13350</v>
      </c>
      <c r="F1452" s="263"/>
      <c r="G1452" s="275"/>
    </row>
    <row r="1453" spans="1:7" ht="17.45" customHeight="1">
      <c r="A1453" s="261" t="s">
        <v>8</v>
      </c>
      <c r="C1453" s="271" t="s">
        <v>1800</v>
      </c>
      <c r="D1453" s="497"/>
      <c r="E1453" s="497"/>
      <c r="F1453" s="263"/>
      <c r="G1453" s="275"/>
    </row>
    <row r="1454" spans="1:7" ht="17.45" customHeight="1" thickBot="1">
      <c r="A1454" s="261" t="s">
        <v>8</v>
      </c>
      <c r="C1454" s="276" t="s">
        <v>1594</v>
      </c>
      <c r="D1454" s="502"/>
      <c r="E1454" s="503">
        <v>19000</v>
      </c>
      <c r="F1454" s="277"/>
      <c r="G1454" s="282"/>
    </row>
    <row r="1455" spans="1:7" ht="17.45" customHeight="1">
      <c r="A1455" s="261" t="s">
        <v>8</v>
      </c>
      <c r="C1455" s="279" t="s">
        <v>1770</v>
      </c>
      <c r="D1455" s="504"/>
      <c r="E1455" s="505">
        <v>3000</v>
      </c>
      <c r="F1455" s="280"/>
      <c r="G1455" s="281"/>
    </row>
    <row r="1456" spans="1:7" ht="17.45" customHeight="1">
      <c r="A1456" s="261" t="s">
        <v>8</v>
      </c>
      <c r="C1456" s="271" t="s">
        <v>1776</v>
      </c>
      <c r="D1456" s="497"/>
      <c r="E1456" s="499">
        <v>5400</v>
      </c>
      <c r="F1456" s="263"/>
      <c r="G1456" s="275"/>
    </row>
    <row r="1457" spans="1:7" ht="17.45" customHeight="1">
      <c r="A1457" s="261" t="s">
        <v>8</v>
      </c>
      <c r="C1457" s="271" t="s">
        <v>1920</v>
      </c>
      <c r="D1457" s="497"/>
      <c r="E1457" s="499">
        <v>11500</v>
      </c>
      <c r="F1457" s="263"/>
      <c r="G1457" s="275"/>
    </row>
    <row r="1458" spans="1:7" ht="17.45" customHeight="1">
      <c r="A1458" s="261" t="s">
        <v>8</v>
      </c>
      <c r="C1458" s="271" t="s">
        <v>1921</v>
      </c>
      <c r="D1458" s="497"/>
      <c r="E1458" s="499">
        <f>-25800-103400-99000-24700+123900-260400+129200+130200+130200+123700+129200+260400+129200-130200</f>
        <v>512500</v>
      </c>
      <c r="F1458" s="263"/>
      <c r="G1458" s="275"/>
    </row>
    <row r="1459" spans="1:7" ht="17.45" customHeight="1">
      <c r="A1459" s="261" t="s">
        <v>8</v>
      </c>
      <c r="C1459" s="271" t="s">
        <v>1922</v>
      </c>
      <c r="D1459" s="497"/>
      <c r="E1459" s="499">
        <v>12000</v>
      </c>
      <c r="F1459" s="263"/>
      <c r="G1459" s="275"/>
    </row>
    <row r="1460" spans="1:7" ht="17.45" customHeight="1">
      <c r="A1460" s="261" t="s">
        <v>8</v>
      </c>
      <c r="C1460" s="271" t="s">
        <v>1923</v>
      </c>
      <c r="D1460" s="497"/>
      <c r="E1460" s="499">
        <v>3681280</v>
      </c>
      <c r="F1460" s="263"/>
      <c r="G1460" s="275"/>
    </row>
    <row r="1461" spans="1:7" ht="17.45" customHeight="1">
      <c r="A1461" s="261" t="s">
        <v>8</v>
      </c>
      <c r="C1461" s="271" t="s">
        <v>1924</v>
      </c>
      <c r="D1461" s="497"/>
      <c r="E1461" s="499">
        <v>34000</v>
      </c>
      <c r="F1461" s="263"/>
      <c r="G1461" s="275"/>
    </row>
    <row r="1462" spans="1:7" ht="17.45" customHeight="1">
      <c r="A1462" s="261" t="s">
        <v>8</v>
      </c>
      <c r="C1462" s="271" t="s">
        <v>1925</v>
      </c>
      <c r="D1462" s="497"/>
      <c r="E1462" s="499">
        <v>40000</v>
      </c>
      <c r="F1462" s="263"/>
      <c r="G1462" s="275"/>
    </row>
    <row r="1463" spans="1:7" ht="17.45" customHeight="1">
      <c r="A1463" s="261" t="s">
        <v>8</v>
      </c>
      <c r="C1463" s="271" t="s">
        <v>1801</v>
      </c>
      <c r="D1463" s="497"/>
      <c r="E1463" s="499">
        <v>2000</v>
      </c>
      <c r="F1463" s="263"/>
      <c r="G1463" s="275"/>
    </row>
    <row r="1464" spans="1:7" ht="17.45" customHeight="1">
      <c r="A1464" s="261" t="s">
        <v>8</v>
      </c>
      <c r="C1464" s="271" t="s">
        <v>1810</v>
      </c>
      <c r="D1464" s="497"/>
      <c r="E1464" s="499">
        <v>1000</v>
      </c>
      <c r="F1464" s="263"/>
      <c r="G1464" s="275"/>
    </row>
    <row r="1465" spans="1:7" ht="17.45" customHeight="1">
      <c r="A1465" s="261" t="s">
        <v>8</v>
      </c>
      <c r="C1465" s="271" t="s">
        <v>1926</v>
      </c>
      <c r="D1465" s="497"/>
      <c r="E1465" s="499">
        <v>12000</v>
      </c>
      <c r="F1465" s="263"/>
      <c r="G1465" s="275"/>
    </row>
    <row r="1466" spans="1:7" ht="17.45" customHeight="1">
      <c r="A1466" s="261" t="s">
        <v>8</v>
      </c>
      <c r="C1466" s="271" t="s">
        <v>1927</v>
      </c>
      <c r="D1466" s="497"/>
      <c r="E1466" s="499">
        <v>150000</v>
      </c>
      <c r="F1466" s="263"/>
      <c r="G1466" s="275"/>
    </row>
    <row r="1467" spans="1:7" ht="17.45" customHeight="1">
      <c r="A1467" s="261" t="s">
        <v>8</v>
      </c>
      <c r="C1467" s="271" t="s">
        <v>1664</v>
      </c>
      <c r="D1467" s="497"/>
      <c r="E1467" s="499">
        <v>2000</v>
      </c>
      <c r="F1467" s="263"/>
      <c r="G1467" s="275"/>
    </row>
    <row r="1468" spans="1:7" ht="17.45" customHeight="1">
      <c r="A1468" s="261" t="s">
        <v>8</v>
      </c>
      <c r="C1468" s="271" t="s">
        <v>1929</v>
      </c>
      <c r="D1468" s="497"/>
      <c r="E1468" s="499">
        <v>600000</v>
      </c>
      <c r="F1468" s="263"/>
      <c r="G1468" s="275"/>
    </row>
    <row r="1469" spans="1:7" ht="17.45" customHeight="1">
      <c r="A1469" s="261" t="s">
        <v>8</v>
      </c>
      <c r="C1469" s="271" t="s">
        <v>1930</v>
      </c>
      <c r="D1469" s="497"/>
      <c r="E1469" s="499">
        <v>51720</v>
      </c>
      <c r="F1469" s="263"/>
      <c r="G1469" s="275"/>
    </row>
    <row r="1470" spans="1:7" ht="17.45" customHeight="1">
      <c r="A1470" s="261" t="s">
        <v>8</v>
      </c>
      <c r="C1470" s="271" t="s">
        <v>1931</v>
      </c>
      <c r="D1470" s="497"/>
      <c r="E1470" s="499">
        <v>3600</v>
      </c>
      <c r="F1470" s="263"/>
      <c r="G1470" s="275"/>
    </row>
    <row r="1471" spans="1:7" ht="17.45" customHeight="1">
      <c r="A1471" s="261" t="s">
        <v>8</v>
      </c>
      <c r="C1471" s="271" t="s">
        <v>1932</v>
      </c>
      <c r="D1471" s="497"/>
      <c r="E1471" s="499">
        <v>3900</v>
      </c>
      <c r="F1471" s="263"/>
      <c r="G1471" s="275"/>
    </row>
    <row r="1472" spans="1:7" ht="17.45" customHeight="1">
      <c r="A1472" s="261" t="s">
        <v>8</v>
      </c>
      <c r="C1472" s="271" t="s">
        <v>1933</v>
      </c>
      <c r="D1472" s="497"/>
      <c r="E1472" s="499">
        <v>16000</v>
      </c>
      <c r="F1472" s="263"/>
      <c r="G1472" s="275"/>
    </row>
    <row r="1473" spans="1:7" ht="17.45" customHeight="1">
      <c r="A1473" s="261" t="s">
        <v>8</v>
      </c>
      <c r="C1473" s="271" t="s">
        <v>1938</v>
      </c>
      <c r="D1473" s="497"/>
      <c r="E1473" s="499">
        <v>214720</v>
      </c>
      <c r="F1473" s="263"/>
      <c r="G1473" s="275"/>
    </row>
    <row r="1474" spans="1:7" ht="17.45" customHeight="1">
      <c r="A1474" s="261" t="s">
        <v>8</v>
      </c>
      <c r="C1474" s="271" t="s">
        <v>1939</v>
      </c>
      <c r="D1474" s="497"/>
      <c r="E1474" s="499">
        <v>33000</v>
      </c>
      <c r="F1474" s="263"/>
      <c r="G1474" s="275"/>
    </row>
    <row r="1475" spans="1:7" ht="17.45" customHeight="1">
      <c r="A1475" s="261" t="s">
        <v>8</v>
      </c>
      <c r="C1475" s="271" t="s">
        <v>1584</v>
      </c>
      <c r="D1475" s="497"/>
      <c r="E1475" s="499">
        <v>19000</v>
      </c>
      <c r="F1475" s="263"/>
      <c r="G1475" s="275"/>
    </row>
    <row r="1476" spans="1:7" ht="17.45" customHeight="1">
      <c r="A1476" s="261" t="s">
        <v>8</v>
      </c>
      <c r="C1476" s="271" t="s">
        <v>1940</v>
      </c>
      <c r="D1476" s="497"/>
      <c r="E1476" s="499">
        <v>130000</v>
      </c>
      <c r="F1476" s="263"/>
      <c r="G1476" s="275"/>
    </row>
    <row r="1477" spans="1:7" ht="17.45" customHeight="1">
      <c r="A1477" s="261" t="s">
        <v>8</v>
      </c>
      <c r="C1477" s="271" t="s">
        <v>1941</v>
      </c>
      <c r="D1477" s="497"/>
      <c r="E1477" s="499">
        <v>23700</v>
      </c>
      <c r="F1477" s="263"/>
      <c r="G1477" s="275"/>
    </row>
    <row r="1478" spans="1:7" ht="17.45" customHeight="1">
      <c r="A1478" s="261" t="s">
        <v>8</v>
      </c>
      <c r="C1478" s="271" t="s">
        <v>1943</v>
      </c>
      <c r="D1478" s="497"/>
      <c r="E1478" s="499">
        <v>6000</v>
      </c>
      <c r="F1478" s="263"/>
      <c r="G1478" s="275"/>
    </row>
    <row r="1479" spans="1:7" ht="17.45" customHeight="1">
      <c r="A1479" s="261" t="s">
        <v>8</v>
      </c>
      <c r="C1479" s="271" t="s">
        <v>1944</v>
      </c>
      <c r="D1479" s="497"/>
      <c r="E1479" s="499">
        <v>59000</v>
      </c>
      <c r="F1479" s="263"/>
      <c r="G1479" s="275"/>
    </row>
    <row r="1480" spans="1:7" ht="17.45" customHeight="1">
      <c r="A1480" s="261" t="s">
        <v>8</v>
      </c>
      <c r="C1480" s="271" t="s">
        <v>1945</v>
      </c>
      <c r="D1480" s="497"/>
      <c r="E1480" s="499">
        <v>4300</v>
      </c>
      <c r="F1480" s="263"/>
      <c r="G1480" s="275"/>
    </row>
    <row r="1481" spans="1:7" ht="17.45" customHeight="1">
      <c r="A1481" s="261" t="s">
        <v>8</v>
      </c>
      <c r="C1481" s="271" t="s">
        <v>1946</v>
      </c>
      <c r="D1481" s="497"/>
      <c r="E1481" s="499">
        <v>8000</v>
      </c>
      <c r="F1481" s="263"/>
      <c r="G1481" s="275"/>
    </row>
    <row r="1482" spans="1:7" ht="17.45" customHeight="1">
      <c r="A1482" s="261" t="s">
        <v>8</v>
      </c>
      <c r="C1482" s="271" t="s">
        <v>1947</v>
      </c>
      <c r="D1482" s="497"/>
      <c r="E1482" s="499">
        <v>3000</v>
      </c>
      <c r="F1482" s="263"/>
      <c r="G1482" s="275"/>
    </row>
    <row r="1483" spans="1:7" ht="17.45" customHeight="1">
      <c r="A1483" s="261" t="s">
        <v>8</v>
      </c>
      <c r="C1483" s="271" t="s">
        <v>1948</v>
      </c>
      <c r="D1483" s="497"/>
      <c r="E1483" s="499">
        <v>39000</v>
      </c>
      <c r="F1483" s="263"/>
      <c r="G1483" s="275"/>
    </row>
    <row r="1484" spans="1:7" ht="17.45" customHeight="1">
      <c r="A1484" s="261" t="s">
        <v>8</v>
      </c>
      <c r="C1484" s="271" t="s">
        <v>1949</v>
      </c>
      <c r="D1484" s="497"/>
      <c r="E1484" s="499">
        <v>11000</v>
      </c>
      <c r="F1484" s="263"/>
      <c r="G1484" s="275"/>
    </row>
    <row r="1485" spans="1:7" ht="17.45" customHeight="1">
      <c r="A1485" s="261" t="s">
        <v>8</v>
      </c>
      <c r="C1485" s="271" t="s">
        <v>1952</v>
      </c>
      <c r="D1485" s="497"/>
      <c r="E1485" s="499">
        <v>15100</v>
      </c>
      <c r="F1485" s="263"/>
      <c r="G1485" s="275"/>
    </row>
    <row r="1486" spans="1:7" ht="17.45" customHeight="1">
      <c r="A1486" s="261" t="s">
        <v>8</v>
      </c>
      <c r="C1486" s="271" t="s">
        <v>1963</v>
      </c>
      <c r="D1486" s="497"/>
      <c r="E1486" s="499">
        <v>600000</v>
      </c>
      <c r="F1486" s="263"/>
      <c r="G1486" s="275"/>
    </row>
    <row r="1487" spans="1:7" ht="17.45" customHeight="1">
      <c r="A1487" s="261" t="s">
        <v>8</v>
      </c>
      <c r="C1487" s="271" t="s">
        <v>2016</v>
      </c>
      <c r="D1487" s="497"/>
      <c r="E1487" s="499">
        <v>39800</v>
      </c>
      <c r="F1487" s="263"/>
      <c r="G1487" s="275"/>
    </row>
    <row r="1488" spans="1:7" ht="17.45" customHeight="1">
      <c r="A1488" s="261" t="s">
        <v>8</v>
      </c>
      <c r="C1488" s="271" t="s">
        <v>1964</v>
      </c>
      <c r="D1488" s="497"/>
      <c r="E1488" s="499">
        <v>24200</v>
      </c>
      <c r="F1488" s="263"/>
      <c r="G1488" s="275"/>
    </row>
    <row r="1489" spans="1:7" ht="17.45" customHeight="1">
      <c r="A1489" s="261" t="s">
        <v>8</v>
      </c>
      <c r="C1489" s="271" t="s">
        <v>1965</v>
      </c>
      <c r="D1489" s="497"/>
      <c r="E1489" s="499">
        <v>53000</v>
      </c>
      <c r="F1489" s="263"/>
      <c r="G1489" s="275"/>
    </row>
    <row r="1490" spans="1:7" ht="17.45" customHeight="1">
      <c r="A1490" s="261" t="s">
        <v>8</v>
      </c>
      <c r="C1490" s="271" t="s">
        <v>1966</v>
      </c>
      <c r="D1490" s="497"/>
      <c r="E1490" s="499">
        <v>3000</v>
      </c>
      <c r="F1490" s="263"/>
      <c r="G1490" s="275"/>
    </row>
    <row r="1491" spans="1:7" ht="17.45" customHeight="1">
      <c r="A1491" s="261" t="s">
        <v>8</v>
      </c>
      <c r="C1491" s="271" t="s">
        <v>1967</v>
      </c>
      <c r="D1491" s="497"/>
      <c r="E1491" s="499">
        <v>68000</v>
      </c>
      <c r="F1491" s="263"/>
      <c r="G1491" s="275"/>
    </row>
    <row r="1492" spans="1:7" ht="17.45" customHeight="1">
      <c r="A1492" s="261" t="s">
        <v>8</v>
      </c>
      <c r="C1492" s="271" t="s">
        <v>1968</v>
      </c>
      <c r="D1492" s="497"/>
      <c r="E1492" s="499">
        <v>2000</v>
      </c>
      <c r="F1492" s="263"/>
      <c r="G1492" s="275"/>
    </row>
    <row r="1493" spans="1:7" ht="17.45" customHeight="1">
      <c r="A1493" s="261" t="s">
        <v>8</v>
      </c>
      <c r="C1493" s="271" t="s">
        <v>1969</v>
      </c>
      <c r="D1493" s="497"/>
      <c r="E1493" s="499">
        <v>13500</v>
      </c>
      <c r="F1493" s="263"/>
      <c r="G1493" s="275"/>
    </row>
    <row r="1494" spans="1:7" ht="17.45" customHeight="1">
      <c r="A1494" s="261" t="s">
        <v>8</v>
      </c>
      <c r="C1494" s="271" t="s">
        <v>1970</v>
      </c>
      <c r="D1494" s="497"/>
      <c r="E1494" s="499">
        <v>2800</v>
      </c>
      <c r="F1494" s="263"/>
      <c r="G1494" s="275"/>
    </row>
    <row r="1495" spans="1:7" ht="17.45" customHeight="1">
      <c r="A1495" s="261" t="s">
        <v>8</v>
      </c>
      <c r="C1495" s="271" t="s">
        <v>1971</v>
      </c>
      <c r="D1495" s="497"/>
      <c r="E1495" s="499">
        <v>54400</v>
      </c>
      <c r="F1495" s="263"/>
      <c r="G1495" s="275"/>
    </row>
    <row r="1496" spans="1:7" ht="17.45" customHeight="1">
      <c r="A1496" s="261" t="s">
        <v>8</v>
      </c>
      <c r="C1496" s="271" t="s">
        <v>1972</v>
      </c>
      <c r="D1496" s="497"/>
      <c r="E1496" s="499">
        <v>9700</v>
      </c>
      <c r="F1496" s="263"/>
      <c r="G1496" s="275"/>
    </row>
    <row r="1497" spans="1:7" ht="17.45" customHeight="1" thickBot="1">
      <c r="A1497" s="261" t="s">
        <v>8</v>
      </c>
      <c r="C1497" s="276" t="s">
        <v>1300</v>
      </c>
      <c r="D1497" s="502">
        <f>SUM(D1419:D1496)-SUM(E1419:E1496)</f>
        <v>-4563950</v>
      </c>
      <c r="E1497" s="502">
        <f>SUM(E1419:E1496)-SUM(F1419:F1496)</f>
        <v>10459861</v>
      </c>
      <c r="F1497" s="277"/>
      <c r="G1497" s="283"/>
    </row>
    <row r="1498" spans="1:7">
      <c r="A1498" s="261" t="s">
        <v>8</v>
      </c>
    </row>
    <row r="1499" spans="1:7" ht="12.75" thickBot="1">
      <c r="A1499" s="261" t="s">
        <v>8</v>
      </c>
    </row>
    <row r="1500" spans="1:7" ht="17.45" customHeight="1">
      <c r="A1500" s="261" t="s">
        <v>8</v>
      </c>
      <c r="B1500" s="256" t="s">
        <v>2188</v>
      </c>
      <c r="C1500" s="268" t="s">
        <v>1268</v>
      </c>
      <c r="D1500" s="500">
        <v>6119996</v>
      </c>
      <c r="E1500" s="501"/>
      <c r="F1500" s="269"/>
      <c r="G1500" s="270"/>
    </row>
    <row r="1501" spans="1:7" ht="17.45" customHeight="1">
      <c r="A1501" s="261" t="s">
        <v>8</v>
      </c>
      <c r="B1501" s="257"/>
      <c r="C1501" s="271" t="s">
        <v>1269</v>
      </c>
      <c r="D1501" s="497"/>
      <c r="E1501" s="499">
        <v>436000</v>
      </c>
      <c r="F1501" s="263"/>
      <c r="G1501" s="272" t="s">
        <v>2183</v>
      </c>
    </row>
    <row r="1502" spans="1:7" ht="17.45" customHeight="1">
      <c r="A1502" s="261" t="s">
        <v>8</v>
      </c>
      <c r="C1502" s="271" t="s">
        <v>1270</v>
      </c>
      <c r="D1502" s="497"/>
      <c r="E1502" s="499">
        <v>998000</v>
      </c>
      <c r="F1502" s="263"/>
      <c r="G1502" s="273"/>
    </row>
    <row r="1503" spans="1:7" ht="17.45" customHeight="1">
      <c r="A1503" s="261" t="s">
        <v>8</v>
      </c>
      <c r="C1503" s="271" t="s">
        <v>1670</v>
      </c>
      <c r="D1503" s="497"/>
      <c r="E1503" s="499">
        <v>26010</v>
      </c>
      <c r="F1503" s="263"/>
      <c r="G1503" s="274"/>
    </row>
    <row r="1504" spans="1:7" ht="17.45" customHeight="1">
      <c r="A1504" s="261" t="s">
        <v>8</v>
      </c>
      <c r="C1504" s="271" t="s">
        <v>1672</v>
      </c>
      <c r="D1504" s="497"/>
      <c r="E1504" s="499">
        <v>47330</v>
      </c>
      <c r="F1504" s="263"/>
      <c r="G1504" s="274"/>
    </row>
    <row r="1505" spans="1:7" ht="17.45" customHeight="1">
      <c r="A1505" s="261" t="s">
        <v>8</v>
      </c>
      <c r="C1505" s="271" t="s">
        <v>1673</v>
      </c>
      <c r="D1505" s="497"/>
      <c r="E1505" s="499">
        <v>0</v>
      </c>
      <c r="F1505" s="263"/>
      <c r="G1505" s="274"/>
    </row>
    <row r="1506" spans="1:7" ht="17.45" customHeight="1">
      <c r="A1506" s="261" t="s">
        <v>8</v>
      </c>
      <c r="C1506" s="271" t="s">
        <v>1332</v>
      </c>
      <c r="D1506" s="497"/>
      <c r="E1506" s="499">
        <v>42900</v>
      </c>
      <c r="F1506" s="263"/>
      <c r="G1506" s="275"/>
    </row>
    <row r="1507" spans="1:7" ht="17.45" customHeight="1">
      <c r="A1507" s="261" t="s">
        <v>8</v>
      </c>
      <c r="C1507" s="271" t="s">
        <v>1271</v>
      </c>
      <c r="D1507" s="497"/>
      <c r="E1507" s="499">
        <v>0</v>
      </c>
      <c r="F1507" s="263"/>
      <c r="G1507" s="274"/>
    </row>
    <row r="1508" spans="1:7" ht="17.45" customHeight="1">
      <c r="A1508" s="261" t="s">
        <v>8</v>
      </c>
      <c r="C1508" s="271" t="s">
        <v>1272</v>
      </c>
      <c r="D1508" s="497"/>
      <c r="E1508" s="499">
        <v>6960</v>
      </c>
      <c r="F1508" s="263"/>
      <c r="G1508" s="273"/>
    </row>
    <row r="1509" spans="1:7" ht="17.45" customHeight="1">
      <c r="A1509" s="261" t="s">
        <v>8</v>
      </c>
      <c r="C1509" s="271" t="s">
        <v>1273</v>
      </c>
      <c r="D1509" s="497"/>
      <c r="E1509" s="499">
        <v>29920</v>
      </c>
      <c r="F1509" s="263"/>
      <c r="G1509" s="273"/>
    </row>
    <row r="1510" spans="1:7" ht="17.45" customHeight="1">
      <c r="A1510" s="261" t="s">
        <v>8</v>
      </c>
      <c r="C1510" s="271" t="s">
        <v>1274</v>
      </c>
      <c r="D1510" s="497"/>
      <c r="E1510" s="499">
        <v>9405</v>
      </c>
      <c r="F1510" s="263"/>
      <c r="G1510" s="273"/>
    </row>
    <row r="1511" spans="1:7" ht="17.45" customHeight="1">
      <c r="A1511" s="261" t="s">
        <v>8</v>
      </c>
      <c r="C1511" s="271" t="s">
        <v>1275</v>
      </c>
      <c r="D1511" s="497"/>
      <c r="E1511" s="499">
        <v>26450</v>
      </c>
      <c r="F1511" s="263"/>
      <c r="G1511" s="273"/>
    </row>
    <row r="1512" spans="1:7" ht="17.45" customHeight="1">
      <c r="A1512" s="261" t="s">
        <v>8</v>
      </c>
      <c r="C1512" s="271" t="s">
        <v>2168</v>
      </c>
      <c r="D1512" s="497"/>
      <c r="E1512" s="499">
        <v>18816</v>
      </c>
      <c r="F1512" s="263"/>
      <c r="G1512" s="273"/>
    </row>
    <row r="1513" spans="1:7" ht="17.45" customHeight="1">
      <c r="A1513" s="261" t="s">
        <v>8</v>
      </c>
      <c r="C1513" s="271" t="s">
        <v>1517</v>
      </c>
      <c r="D1513" s="497"/>
      <c r="E1513" s="499">
        <v>23230</v>
      </c>
      <c r="F1513" s="263"/>
      <c r="G1513" s="273"/>
    </row>
    <row r="1514" spans="1:7" ht="17.45" customHeight="1">
      <c r="A1514" s="261" t="s">
        <v>8</v>
      </c>
      <c r="C1514" s="271" t="s">
        <v>1276</v>
      </c>
      <c r="D1514" s="497"/>
      <c r="E1514" s="499">
        <v>318880</v>
      </c>
      <c r="F1514" s="263"/>
      <c r="G1514" s="273"/>
    </row>
    <row r="1515" spans="1:7" ht="17.45" customHeight="1">
      <c r="A1515" s="261" t="s">
        <v>8</v>
      </c>
      <c r="C1515" s="271" t="s">
        <v>1277</v>
      </c>
      <c r="D1515" s="497"/>
      <c r="E1515" s="499">
        <v>72860</v>
      </c>
      <c r="F1515" s="263"/>
      <c r="G1515" s="273"/>
    </row>
    <row r="1516" spans="1:7" ht="17.45" customHeight="1">
      <c r="A1516" s="261" t="s">
        <v>8</v>
      </c>
      <c r="C1516" s="271" t="s">
        <v>1278</v>
      </c>
      <c r="D1516" s="497"/>
      <c r="E1516" s="499">
        <v>200000</v>
      </c>
      <c r="F1516" s="263"/>
      <c r="G1516" s="273"/>
    </row>
    <row r="1517" spans="1:7" ht="17.45" customHeight="1">
      <c r="A1517" s="261" t="s">
        <v>8</v>
      </c>
      <c r="C1517" s="285" t="s">
        <v>1413</v>
      </c>
      <c r="D1517" s="506"/>
      <c r="E1517" s="507">
        <v>1300000</v>
      </c>
      <c r="F1517" s="286"/>
      <c r="G1517" s="287"/>
    </row>
    <row r="1518" spans="1:7" ht="17.45" customHeight="1" thickBot="1">
      <c r="A1518" s="261" t="s">
        <v>8</v>
      </c>
      <c r="C1518" s="271" t="s">
        <v>1942</v>
      </c>
      <c r="D1518" s="497"/>
      <c r="E1518" s="499">
        <v>20000</v>
      </c>
      <c r="F1518" s="263"/>
      <c r="G1518" s="273"/>
    </row>
    <row r="1519" spans="1:7" ht="17.45" customHeight="1">
      <c r="A1519" s="261" t="s">
        <v>8</v>
      </c>
      <c r="C1519" s="268" t="s">
        <v>1280</v>
      </c>
      <c r="D1519" s="501"/>
      <c r="E1519" s="500">
        <f>50000*3</f>
        <v>150000</v>
      </c>
      <c r="F1519" s="269"/>
      <c r="G1519" s="288"/>
    </row>
    <row r="1520" spans="1:7" ht="17.45" customHeight="1">
      <c r="A1520" s="261" t="s">
        <v>8</v>
      </c>
      <c r="C1520" s="271" t="s">
        <v>1549</v>
      </c>
      <c r="D1520" s="497"/>
      <c r="E1520" s="499">
        <v>0</v>
      </c>
      <c r="F1520" s="263"/>
      <c r="G1520" s="275"/>
    </row>
    <row r="1521" spans="1:7" ht="17.45" customHeight="1">
      <c r="A1521" s="261" t="s">
        <v>8</v>
      </c>
      <c r="C1521" s="271" t="s">
        <v>1819</v>
      </c>
      <c r="D1521" s="497"/>
      <c r="E1521" s="499">
        <v>0</v>
      </c>
      <c r="F1521" s="263"/>
      <c r="G1521" s="275"/>
    </row>
    <row r="1522" spans="1:7" ht="17.45" customHeight="1">
      <c r="A1522" s="261" t="s">
        <v>8</v>
      </c>
      <c r="C1522" s="271" t="s">
        <v>391</v>
      </c>
      <c r="D1522" s="497"/>
      <c r="E1522" s="499">
        <v>0</v>
      </c>
      <c r="F1522" s="263"/>
      <c r="G1522" s="275"/>
    </row>
    <row r="1523" spans="1:7" ht="17.45" customHeight="1">
      <c r="A1523" s="261" t="s">
        <v>8</v>
      </c>
      <c r="C1523" s="271" t="s">
        <v>1934</v>
      </c>
      <c r="D1523" s="497"/>
      <c r="E1523" s="499">
        <v>0</v>
      </c>
      <c r="F1523" s="263"/>
      <c r="G1523" s="275"/>
    </row>
    <row r="1524" spans="1:7" ht="17.45" customHeight="1">
      <c r="A1524" s="261" t="s">
        <v>8</v>
      </c>
      <c r="C1524" s="271" t="s">
        <v>1484</v>
      </c>
      <c r="D1524" s="497"/>
      <c r="E1524" s="499">
        <v>38000</v>
      </c>
      <c r="F1524" s="263"/>
      <c r="G1524" s="275"/>
    </row>
    <row r="1525" spans="1:7" ht="17.45" customHeight="1">
      <c r="A1525" s="261" t="s">
        <v>8</v>
      </c>
      <c r="C1525" s="271" t="s">
        <v>1687</v>
      </c>
      <c r="D1525" s="497"/>
      <c r="E1525" s="499">
        <v>0</v>
      </c>
      <c r="F1525" s="263"/>
      <c r="G1525" s="275"/>
    </row>
    <row r="1526" spans="1:7" ht="17.45" customHeight="1">
      <c r="A1526" s="261" t="s">
        <v>8</v>
      </c>
      <c r="C1526" s="271" t="s">
        <v>1791</v>
      </c>
      <c r="D1526" s="497"/>
      <c r="E1526" s="499">
        <v>0</v>
      </c>
      <c r="F1526" s="263"/>
      <c r="G1526" s="273"/>
    </row>
    <row r="1527" spans="1:7" ht="17.45" customHeight="1">
      <c r="A1527" s="261" t="s">
        <v>8</v>
      </c>
      <c r="C1527" s="271" t="s">
        <v>1688</v>
      </c>
      <c r="D1527" s="497"/>
      <c r="E1527" s="499">
        <v>50000</v>
      </c>
      <c r="F1527" s="263"/>
      <c r="G1527" s="275"/>
    </row>
    <row r="1528" spans="1:7" ht="17.45" customHeight="1">
      <c r="A1528" s="261" t="s">
        <v>8</v>
      </c>
      <c r="C1528" s="271" t="s">
        <v>1596</v>
      </c>
      <c r="D1528" s="497"/>
      <c r="E1528" s="499">
        <v>0</v>
      </c>
      <c r="F1528" s="263"/>
      <c r="G1528" s="275"/>
    </row>
    <row r="1529" spans="1:7" ht="17.45" customHeight="1">
      <c r="A1529" s="261" t="s">
        <v>8</v>
      </c>
      <c r="C1529" s="271" t="s">
        <v>1595</v>
      </c>
      <c r="D1529" s="497"/>
      <c r="E1529" s="499">
        <v>0</v>
      </c>
      <c r="F1529" s="263"/>
      <c r="G1529" s="275"/>
    </row>
    <row r="1530" spans="1:7" ht="17.45" customHeight="1">
      <c r="A1530" s="261" t="s">
        <v>8</v>
      </c>
      <c r="C1530" s="271" t="s">
        <v>1613</v>
      </c>
      <c r="D1530" s="497"/>
      <c r="E1530" s="499">
        <f>1300+1800</f>
        <v>3100</v>
      </c>
      <c r="F1530" s="263"/>
      <c r="G1530" s="275"/>
    </row>
    <row r="1531" spans="1:7" ht="17.45" customHeight="1">
      <c r="A1531" s="261" t="s">
        <v>8</v>
      </c>
      <c r="C1531" s="271" t="s">
        <v>1569</v>
      </c>
      <c r="D1531" s="497"/>
      <c r="E1531" s="499">
        <v>0</v>
      </c>
      <c r="F1531" s="263"/>
      <c r="G1531" s="275"/>
    </row>
    <row r="1532" spans="1:7" ht="17.45" customHeight="1">
      <c r="A1532" s="261" t="s">
        <v>8</v>
      </c>
      <c r="C1532" s="271" t="s">
        <v>1618</v>
      </c>
      <c r="D1532" s="497"/>
      <c r="E1532" s="499">
        <f>21360+65630+12960</f>
        <v>99950</v>
      </c>
      <c r="F1532" s="263"/>
      <c r="G1532" s="275"/>
    </row>
    <row r="1533" spans="1:7" ht="17.45" customHeight="1">
      <c r="A1533" s="261" t="s">
        <v>8</v>
      </c>
      <c r="C1533" s="271" t="s">
        <v>1800</v>
      </c>
      <c r="D1533" s="497"/>
      <c r="E1533" s="499">
        <v>8000</v>
      </c>
      <c r="F1533" s="263"/>
      <c r="G1533" s="275"/>
    </row>
    <row r="1534" spans="1:7" ht="17.45" customHeight="1" thickBot="1">
      <c r="A1534" s="261" t="s">
        <v>8</v>
      </c>
      <c r="C1534" s="276" t="s">
        <v>1594</v>
      </c>
      <c r="D1534" s="502"/>
      <c r="E1534" s="503">
        <v>20000</v>
      </c>
      <c r="F1534" s="277"/>
      <c r="G1534" s="282"/>
    </row>
    <row r="1535" spans="1:7" ht="17.45" customHeight="1">
      <c r="A1535" s="261" t="s">
        <v>8</v>
      </c>
      <c r="C1535" s="279" t="s">
        <v>1980</v>
      </c>
      <c r="D1535" s="504"/>
      <c r="E1535" s="505">
        <v>45500</v>
      </c>
      <c r="F1535" s="280"/>
      <c r="G1535" s="281"/>
    </row>
    <row r="1536" spans="1:7" ht="17.45" customHeight="1">
      <c r="A1536" s="261" t="s">
        <v>8</v>
      </c>
      <c r="C1536" s="271" t="s">
        <v>1813</v>
      </c>
      <c r="D1536" s="497"/>
      <c r="E1536" s="499">
        <v>200000</v>
      </c>
      <c r="F1536" s="263"/>
      <c r="G1536" s="275"/>
    </row>
    <row r="1537" spans="1:7" ht="17.45" customHeight="1">
      <c r="A1537" s="261" t="s">
        <v>8</v>
      </c>
      <c r="C1537" s="271" t="s">
        <v>1981</v>
      </c>
      <c r="D1537" s="497"/>
      <c r="E1537" s="499">
        <f>5060-4940+4940+4940-2470</f>
        <v>7530</v>
      </c>
      <c r="F1537" s="263"/>
      <c r="G1537" s="275"/>
    </row>
    <row r="1538" spans="1:7" ht="17.45" customHeight="1">
      <c r="A1538" s="261" t="s">
        <v>8</v>
      </c>
      <c r="C1538" s="271" t="s">
        <v>1982</v>
      </c>
      <c r="D1538" s="497"/>
      <c r="E1538" s="499">
        <v>21000</v>
      </c>
      <c r="F1538" s="263"/>
      <c r="G1538" s="275"/>
    </row>
    <row r="1539" spans="1:7" ht="17.45" customHeight="1">
      <c r="A1539" s="261" t="s">
        <v>8</v>
      </c>
      <c r="C1539" s="271" t="s">
        <v>1983</v>
      </c>
      <c r="D1539" s="497"/>
      <c r="E1539" s="499">
        <v>70000</v>
      </c>
      <c r="F1539" s="263"/>
      <c r="G1539" s="275"/>
    </row>
    <row r="1540" spans="1:7" ht="17.45" customHeight="1">
      <c r="A1540" s="261" t="s">
        <v>8</v>
      </c>
      <c r="C1540" s="271" t="s">
        <v>1817</v>
      </c>
      <c r="D1540" s="497"/>
      <c r="E1540" s="499">
        <v>50000</v>
      </c>
      <c r="F1540" s="263"/>
      <c r="G1540" s="275"/>
    </row>
    <row r="1541" spans="1:7" ht="17.45" customHeight="1">
      <c r="A1541" s="261" t="s">
        <v>8</v>
      </c>
      <c r="C1541" s="271" t="s">
        <v>1810</v>
      </c>
      <c r="D1541" s="497"/>
      <c r="E1541" s="499">
        <v>1000</v>
      </c>
      <c r="F1541" s="263"/>
      <c r="G1541" s="275"/>
    </row>
    <row r="1542" spans="1:7" ht="17.45" customHeight="1">
      <c r="A1542" s="261" t="s">
        <v>8</v>
      </c>
      <c r="C1542" s="271" t="s">
        <v>1777</v>
      </c>
      <c r="D1542" s="497"/>
      <c r="E1542" s="499">
        <v>16700</v>
      </c>
      <c r="F1542" s="263"/>
      <c r="G1542" s="275"/>
    </row>
    <row r="1543" spans="1:7" ht="17.45" customHeight="1">
      <c r="A1543" s="261" t="s">
        <v>8</v>
      </c>
      <c r="C1543" s="271" t="s">
        <v>1994</v>
      </c>
      <c r="D1543" s="497"/>
      <c r="E1543" s="499">
        <v>18000</v>
      </c>
      <c r="F1543" s="263"/>
      <c r="G1543" s="275"/>
    </row>
    <row r="1544" spans="1:7" ht="17.45" customHeight="1">
      <c r="A1544" s="261" t="s">
        <v>8</v>
      </c>
      <c r="C1544" s="271" t="s">
        <v>1995</v>
      </c>
      <c r="D1544" s="497"/>
      <c r="E1544" s="499">
        <v>79800</v>
      </c>
      <c r="F1544" s="263"/>
      <c r="G1544" s="275"/>
    </row>
    <row r="1545" spans="1:7" ht="17.45" customHeight="1">
      <c r="A1545" s="261" t="s">
        <v>8</v>
      </c>
      <c r="C1545" s="271" t="s">
        <v>1996</v>
      </c>
      <c r="D1545" s="497"/>
      <c r="E1545" s="499">
        <f>24450+46300</f>
        <v>70750</v>
      </c>
      <c r="F1545" s="263"/>
      <c r="G1545" s="275"/>
    </row>
    <row r="1546" spans="1:7" ht="17.45" customHeight="1">
      <c r="A1546" s="261" t="s">
        <v>8</v>
      </c>
      <c r="C1546" s="271" t="s">
        <v>1981</v>
      </c>
      <c r="D1546" s="497"/>
      <c r="E1546" s="499">
        <f>8820+91340</f>
        <v>100160</v>
      </c>
      <c r="F1546" s="263"/>
      <c r="G1546" s="275"/>
    </row>
    <row r="1547" spans="1:7" ht="17.45" customHeight="1">
      <c r="A1547" s="261" t="s">
        <v>8</v>
      </c>
      <c r="C1547" s="271" t="s">
        <v>1647</v>
      </c>
      <c r="D1547" s="497"/>
      <c r="E1547" s="499">
        <f>-2200</f>
        <v>-2200</v>
      </c>
      <c r="F1547" s="263"/>
      <c r="G1547" s="275"/>
    </row>
    <row r="1548" spans="1:7" ht="17.45" customHeight="1">
      <c r="A1548" s="261" t="s">
        <v>8</v>
      </c>
      <c r="C1548" s="271" t="s">
        <v>1972</v>
      </c>
      <c r="D1548" s="497"/>
      <c r="E1548" s="499">
        <v>-4850</v>
      </c>
      <c r="F1548" s="263"/>
      <c r="G1548" s="275"/>
    </row>
    <row r="1549" spans="1:7" ht="17.45" customHeight="1">
      <c r="A1549" s="261" t="s">
        <v>8</v>
      </c>
      <c r="C1549" s="271" t="s">
        <v>1997</v>
      </c>
      <c r="D1549" s="497"/>
      <c r="E1549" s="499">
        <v>2600</v>
      </c>
      <c r="F1549" s="263"/>
      <c r="G1549" s="275"/>
    </row>
    <row r="1550" spans="1:7" ht="17.45" customHeight="1">
      <c r="A1550" s="261" t="s">
        <v>8</v>
      </c>
      <c r="C1550" s="271" t="s">
        <v>1998</v>
      </c>
      <c r="D1550" s="497"/>
      <c r="E1550" s="499">
        <v>500000</v>
      </c>
      <c r="F1550" s="263"/>
      <c r="G1550" s="275"/>
    </row>
    <row r="1551" spans="1:7" ht="17.45" customHeight="1">
      <c r="A1551" s="261" t="s">
        <v>8</v>
      </c>
      <c r="C1551" s="271" t="s">
        <v>1784</v>
      </c>
      <c r="D1551" s="497"/>
      <c r="E1551" s="499">
        <v>9500</v>
      </c>
      <c r="F1551" s="263"/>
      <c r="G1551" s="275"/>
    </row>
    <row r="1552" spans="1:7" ht="17.45" customHeight="1">
      <c r="A1552" s="261" t="s">
        <v>8</v>
      </c>
      <c r="C1552" s="271" t="s">
        <v>1999</v>
      </c>
      <c r="D1552" s="497"/>
      <c r="E1552" s="499">
        <v>17220</v>
      </c>
      <c r="F1552" s="263"/>
      <c r="G1552" s="275"/>
    </row>
    <row r="1553" spans="1:7" ht="17.45" customHeight="1">
      <c r="A1553" s="261" t="s">
        <v>8</v>
      </c>
      <c r="C1553" s="271" t="s">
        <v>2000</v>
      </c>
      <c r="D1553" s="497"/>
      <c r="E1553" s="499">
        <v>46800</v>
      </c>
      <c r="F1553" s="263"/>
      <c r="G1553" s="275"/>
    </row>
    <row r="1554" spans="1:7" ht="17.45" customHeight="1">
      <c r="A1554" s="261" t="s">
        <v>8</v>
      </c>
      <c r="C1554" s="271" t="s">
        <v>2001</v>
      </c>
      <c r="D1554" s="497"/>
      <c r="E1554" s="499">
        <v>26000</v>
      </c>
      <c r="F1554" s="263"/>
      <c r="G1554" s="275"/>
    </row>
    <row r="1555" spans="1:7" ht="17.45" customHeight="1">
      <c r="A1555" s="261" t="s">
        <v>8</v>
      </c>
      <c r="C1555" s="271" t="s">
        <v>2002</v>
      </c>
      <c r="D1555" s="497"/>
      <c r="E1555" s="499">
        <v>5000</v>
      </c>
      <c r="F1555" s="263"/>
      <c r="G1555" s="275"/>
    </row>
    <row r="1556" spans="1:7" ht="17.45" customHeight="1">
      <c r="A1556" s="261" t="s">
        <v>8</v>
      </c>
      <c r="C1556" s="271" t="s">
        <v>2003</v>
      </c>
      <c r="D1556" s="497"/>
      <c r="E1556" s="499">
        <v>3700</v>
      </c>
      <c r="F1556" s="263"/>
      <c r="G1556" s="275"/>
    </row>
    <row r="1557" spans="1:7" ht="17.45" customHeight="1">
      <c r="A1557" s="261" t="s">
        <v>8</v>
      </c>
      <c r="C1557" s="271" t="s">
        <v>1831</v>
      </c>
      <c r="D1557" s="497"/>
      <c r="E1557" s="499">
        <v>300000</v>
      </c>
      <c r="F1557" s="263"/>
      <c r="G1557" s="275"/>
    </row>
    <row r="1558" spans="1:7" ht="17.45" customHeight="1">
      <c r="A1558" s="261" t="s">
        <v>8</v>
      </c>
      <c r="C1558" s="271" t="s">
        <v>2004</v>
      </c>
      <c r="D1558" s="497"/>
      <c r="E1558" s="499">
        <v>300000</v>
      </c>
      <c r="F1558" s="263"/>
      <c r="G1558" s="275"/>
    </row>
    <row r="1559" spans="1:7" ht="17.45" customHeight="1">
      <c r="A1559" s="261" t="s">
        <v>8</v>
      </c>
      <c r="C1559" s="271" t="s">
        <v>2006</v>
      </c>
      <c r="D1559" s="497"/>
      <c r="E1559" s="499">
        <f>19297+117572</f>
        <v>136869</v>
      </c>
      <c r="F1559" s="263"/>
      <c r="G1559" s="275"/>
    </row>
    <row r="1560" spans="1:7" ht="17.45" customHeight="1">
      <c r="A1560" s="261" t="s">
        <v>8</v>
      </c>
      <c r="C1560" s="271" t="s">
        <v>1609</v>
      </c>
      <c r="D1560" s="497"/>
      <c r="E1560" s="499">
        <v>20000</v>
      </c>
      <c r="F1560" s="263"/>
      <c r="G1560" s="275"/>
    </row>
    <row r="1561" spans="1:7" ht="17.45" customHeight="1">
      <c r="A1561" s="261" t="s">
        <v>8</v>
      </c>
      <c r="C1561" s="271" t="s">
        <v>2005</v>
      </c>
      <c r="D1561" s="497"/>
      <c r="E1561" s="499">
        <v>6400</v>
      </c>
      <c r="F1561" s="263"/>
      <c r="G1561" s="275"/>
    </row>
    <row r="1562" spans="1:7" ht="17.45" customHeight="1">
      <c r="A1562" s="261" t="s">
        <v>8</v>
      </c>
      <c r="C1562" s="271" t="s">
        <v>1627</v>
      </c>
      <c r="D1562" s="497"/>
      <c r="E1562" s="499">
        <v>22500</v>
      </c>
      <c r="F1562" s="263"/>
      <c r="G1562" s="275"/>
    </row>
    <row r="1563" spans="1:7" ht="17.45" customHeight="1">
      <c r="A1563" s="261" t="s">
        <v>8</v>
      </c>
      <c r="C1563" s="271" t="s">
        <v>1610</v>
      </c>
      <c r="D1563" s="497"/>
      <c r="E1563" s="499">
        <v>4750</v>
      </c>
      <c r="F1563" s="263"/>
      <c r="G1563" s="275"/>
    </row>
    <row r="1564" spans="1:7" ht="17.45" customHeight="1" thickBot="1">
      <c r="A1564" s="261" t="s">
        <v>8</v>
      </c>
      <c r="C1564" s="276" t="s">
        <v>1300</v>
      </c>
      <c r="D1564" s="502">
        <f>SUM(D1500:D1563)-SUM(E1500:E1563)</f>
        <v>99456</v>
      </c>
      <c r="E1564" s="502">
        <f>SUM(E1500:E1563)-SUM(F1500:F1563)</f>
        <v>6020540</v>
      </c>
      <c r="F1564" s="277"/>
      <c r="G1564" s="283"/>
    </row>
    <row r="1565" spans="1:7">
      <c r="A1565" s="261" t="s">
        <v>8</v>
      </c>
    </row>
    <row r="1566" spans="1:7" ht="12.75" thickBot="1">
      <c r="A1566" s="261" t="s">
        <v>8</v>
      </c>
    </row>
    <row r="1567" spans="1:7" ht="17.45" customHeight="1">
      <c r="A1567" s="261" t="s">
        <v>8</v>
      </c>
      <c r="B1567" s="256" t="s">
        <v>2189</v>
      </c>
      <c r="C1567" s="268" t="s">
        <v>1268</v>
      </c>
      <c r="D1567" s="500">
        <v>5840341</v>
      </c>
      <c r="E1567" s="501"/>
      <c r="F1567" s="269"/>
      <c r="G1567" s="270"/>
    </row>
    <row r="1568" spans="1:7" ht="17.45" customHeight="1">
      <c r="A1568" s="261" t="s">
        <v>8</v>
      </c>
      <c r="B1568" s="257"/>
      <c r="C1568" s="271" t="s">
        <v>2007</v>
      </c>
      <c r="D1568" s="499">
        <v>1413340</v>
      </c>
      <c r="E1568" s="499">
        <v>1413340</v>
      </c>
      <c r="F1568" s="263"/>
      <c r="G1568" s="272"/>
    </row>
    <row r="1569" spans="1:7" ht="17.45" customHeight="1">
      <c r="A1569" s="261" t="s">
        <v>8</v>
      </c>
      <c r="B1569" s="257"/>
      <c r="C1569" s="271" t="s">
        <v>1269</v>
      </c>
      <c r="D1569" s="497"/>
      <c r="E1569" s="499">
        <v>422000</v>
      </c>
      <c r="F1569" s="263"/>
      <c r="G1569" s="272" t="s">
        <v>2190</v>
      </c>
    </row>
    <row r="1570" spans="1:7" ht="17.45" customHeight="1">
      <c r="A1570" s="261" t="s">
        <v>8</v>
      </c>
      <c r="C1570" s="271" t="s">
        <v>1270</v>
      </c>
      <c r="D1570" s="497"/>
      <c r="E1570" s="499">
        <v>767000</v>
      </c>
      <c r="F1570" s="263"/>
      <c r="G1570" s="273"/>
    </row>
    <row r="1571" spans="1:7" ht="17.45" customHeight="1">
      <c r="A1571" s="261" t="s">
        <v>8</v>
      </c>
      <c r="C1571" s="271" t="s">
        <v>1670</v>
      </c>
      <c r="D1571" s="497"/>
      <c r="E1571" s="499">
        <v>26010</v>
      </c>
      <c r="F1571" s="263"/>
      <c r="G1571" s="274"/>
    </row>
    <row r="1572" spans="1:7" ht="17.45" customHeight="1">
      <c r="A1572" s="261" t="s">
        <v>8</v>
      </c>
      <c r="C1572" s="271" t="s">
        <v>1672</v>
      </c>
      <c r="D1572" s="497"/>
      <c r="E1572" s="499">
        <v>44280</v>
      </c>
      <c r="F1572" s="263"/>
      <c r="G1572" s="274"/>
    </row>
    <row r="1573" spans="1:7" ht="17.45" customHeight="1">
      <c r="A1573" s="261" t="s">
        <v>8</v>
      </c>
      <c r="C1573" s="271" t="s">
        <v>1673</v>
      </c>
      <c r="D1573" s="497"/>
      <c r="E1573" s="497">
        <v>0</v>
      </c>
      <c r="F1573" s="263"/>
      <c r="G1573" s="274"/>
    </row>
    <row r="1574" spans="1:7" ht="17.45" customHeight="1">
      <c r="A1574" s="261" t="s">
        <v>8</v>
      </c>
      <c r="C1574" s="271" t="s">
        <v>1332</v>
      </c>
      <c r="D1574" s="497"/>
      <c r="E1574" s="499">
        <v>42900</v>
      </c>
      <c r="F1574" s="263"/>
      <c r="G1574" s="275"/>
    </row>
    <row r="1575" spans="1:7" ht="17.45" customHeight="1">
      <c r="A1575" s="261" t="s">
        <v>8</v>
      </c>
      <c r="C1575" s="271" t="s">
        <v>1271</v>
      </c>
      <c r="D1575" s="497"/>
      <c r="E1575" s="497">
        <v>0</v>
      </c>
      <c r="F1575" s="263"/>
      <c r="G1575" s="274"/>
    </row>
    <row r="1576" spans="1:7" ht="17.45" customHeight="1">
      <c r="A1576" s="261" t="s">
        <v>8</v>
      </c>
      <c r="C1576" s="271" t="s">
        <v>1272</v>
      </c>
      <c r="D1576" s="497"/>
      <c r="E1576" s="499">
        <v>6960</v>
      </c>
      <c r="F1576" s="263"/>
      <c r="G1576" s="273"/>
    </row>
    <row r="1577" spans="1:7" ht="17.45" customHeight="1">
      <c r="A1577" s="261" t="s">
        <v>8</v>
      </c>
      <c r="C1577" s="271" t="s">
        <v>1273</v>
      </c>
      <c r="D1577" s="497"/>
      <c r="E1577" s="499">
        <v>29920</v>
      </c>
      <c r="F1577" s="263"/>
      <c r="G1577" s="273"/>
    </row>
    <row r="1578" spans="1:7" ht="17.45" customHeight="1">
      <c r="A1578" s="261" t="s">
        <v>8</v>
      </c>
      <c r="C1578" s="271" t="s">
        <v>1274</v>
      </c>
      <c r="D1578" s="497"/>
      <c r="E1578" s="499">
        <v>9405</v>
      </c>
      <c r="F1578" s="263"/>
      <c r="G1578" s="273"/>
    </row>
    <row r="1579" spans="1:7" ht="17.45" customHeight="1">
      <c r="A1579" s="261" t="s">
        <v>8</v>
      </c>
      <c r="C1579" s="271" t="s">
        <v>1275</v>
      </c>
      <c r="D1579" s="497"/>
      <c r="E1579" s="499">
        <v>26450</v>
      </c>
      <c r="F1579" s="263"/>
      <c r="G1579" s="273"/>
    </row>
    <row r="1580" spans="1:7" ht="17.45" customHeight="1">
      <c r="A1580" s="261" t="s">
        <v>8</v>
      </c>
      <c r="C1580" s="271" t="s">
        <v>2168</v>
      </c>
      <c r="D1580" s="497"/>
      <c r="E1580" s="499">
        <v>18816</v>
      </c>
      <c r="F1580" s="263"/>
      <c r="G1580" s="273"/>
    </row>
    <row r="1581" spans="1:7" ht="17.45" customHeight="1">
      <c r="A1581" s="261" t="s">
        <v>8</v>
      </c>
      <c r="C1581" s="271" t="s">
        <v>1517</v>
      </c>
      <c r="D1581" s="497"/>
      <c r="E1581" s="499">
        <v>23230</v>
      </c>
      <c r="F1581" s="263"/>
      <c r="G1581" s="273"/>
    </row>
    <row r="1582" spans="1:7" ht="17.45" customHeight="1">
      <c r="A1582" s="261" t="s">
        <v>8</v>
      </c>
      <c r="C1582" s="271" t="s">
        <v>1276</v>
      </c>
      <c r="D1582" s="497"/>
      <c r="E1582" s="499">
        <v>313970</v>
      </c>
      <c r="F1582" s="263"/>
      <c r="G1582" s="273"/>
    </row>
    <row r="1583" spans="1:7" ht="17.45" customHeight="1">
      <c r="A1583" s="261" t="s">
        <v>8</v>
      </c>
      <c r="C1583" s="271" t="s">
        <v>1277</v>
      </c>
      <c r="D1583" s="497"/>
      <c r="E1583" s="499">
        <v>50180</v>
      </c>
      <c r="F1583" s="263"/>
      <c r="G1583" s="273"/>
    </row>
    <row r="1584" spans="1:7" ht="17.45" customHeight="1">
      <c r="A1584" s="261" t="s">
        <v>8</v>
      </c>
      <c r="C1584" s="271" t="s">
        <v>1278</v>
      </c>
      <c r="D1584" s="497"/>
      <c r="E1584" s="499">
        <v>200000</v>
      </c>
      <c r="F1584" s="263"/>
      <c r="G1584" s="273"/>
    </row>
    <row r="1585" spans="1:7" ht="17.45" customHeight="1">
      <c r="A1585" s="261" t="s">
        <v>8</v>
      </c>
      <c r="C1585" s="285" t="s">
        <v>1413</v>
      </c>
      <c r="D1585" s="506"/>
      <c r="E1585" s="507">
        <v>1300000</v>
      </c>
      <c r="F1585" s="286"/>
      <c r="G1585" s="287"/>
    </row>
    <row r="1586" spans="1:7" ht="17.45" customHeight="1" thickBot="1">
      <c r="A1586" s="261" t="s">
        <v>8</v>
      </c>
      <c r="C1586" s="285" t="s">
        <v>1942</v>
      </c>
      <c r="D1586" s="506"/>
      <c r="E1586" s="507">
        <v>20000</v>
      </c>
      <c r="F1586" s="286"/>
      <c r="G1586" s="290"/>
    </row>
    <row r="1587" spans="1:7" ht="17.45" customHeight="1">
      <c r="A1587" s="261" t="s">
        <v>8</v>
      </c>
      <c r="C1587" s="268" t="s">
        <v>1280</v>
      </c>
      <c r="D1587" s="501"/>
      <c r="E1587" s="500">
        <f>49555+5000+50000</f>
        <v>104555</v>
      </c>
      <c r="F1587" s="269"/>
      <c r="G1587" s="288"/>
    </row>
    <row r="1588" spans="1:7" ht="17.45" customHeight="1">
      <c r="A1588" s="261" t="s">
        <v>8</v>
      </c>
      <c r="C1588" s="271" t="s">
        <v>1549</v>
      </c>
      <c r="D1588" s="497"/>
      <c r="E1588" s="497"/>
      <c r="F1588" s="263"/>
      <c r="G1588" s="275"/>
    </row>
    <row r="1589" spans="1:7" ht="17.45" customHeight="1">
      <c r="A1589" s="261" t="s">
        <v>8</v>
      </c>
      <c r="C1589" s="271" t="s">
        <v>1819</v>
      </c>
      <c r="D1589" s="497"/>
      <c r="E1589" s="497"/>
      <c r="F1589" s="263"/>
      <c r="G1589" s="275"/>
    </row>
    <row r="1590" spans="1:7" ht="17.45" customHeight="1">
      <c r="A1590" s="261" t="s">
        <v>8</v>
      </c>
      <c r="C1590" s="271" t="s">
        <v>391</v>
      </c>
      <c r="D1590" s="497"/>
      <c r="E1590" s="497"/>
      <c r="F1590" s="263"/>
      <c r="G1590" s="275"/>
    </row>
    <row r="1591" spans="1:7" ht="17.45" customHeight="1">
      <c r="A1591" s="261" t="s">
        <v>8</v>
      </c>
      <c r="C1591" s="271" t="s">
        <v>1934</v>
      </c>
      <c r="D1591" s="497"/>
      <c r="E1591" s="497"/>
      <c r="F1591" s="263"/>
      <c r="G1591" s="275"/>
    </row>
    <row r="1592" spans="1:7" ht="17.45" customHeight="1">
      <c r="A1592" s="261" t="s">
        <v>8</v>
      </c>
      <c r="C1592" s="271" t="s">
        <v>1484</v>
      </c>
      <c r="D1592" s="497"/>
      <c r="E1592" s="499">
        <v>43000</v>
      </c>
      <c r="F1592" s="263"/>
      <c r="G1592" s="275"/>
    </row>
    <row r="1593" spans="1:7" ht="17.45" customHeight="1">
      <c r="A1593" s="261" t="s">
        <v>8</v>
      </c>
      <c r="C1593" s="271" t="s">
        <v>1687</v>
      </c>
      <c r="D1593" s="497"/>
      <c r="E1593" s="497"/>
      <c r="F1593" s="263"/>
      <c r="G1593" s="275"/>
    </row>
    <row r="1594" spans="1:7" ht="17.45" customHeight="1">
      <c r="A1594" s="261" t="s">
        <v>8</v>
      </c>
      <c r="C1594" s="271" t="s">
        <v>1688</v>
      </c>
      <c r="D1594" s="497"/>
      <c r="E1594" s="499">
        <v>50000</v>
      </c>
      <c r="F1594" s="263"/>
      <c r="G1594" s="275"/>
    </row>
    <row r="1595" spans="1:7" ht="17.45" customHeight="1">
      <c r="A1595" s="261" t="s">
        <v>8</v>
      </c>
      <c r="C1595" s="271" t="s">
        <v>1596</v>
      </c>
      <c r="D1595" s="497"/>
      <c r="E1595" s="499">
        <v>3300</v>
      </c>
      <c r="F1595" s="263"/>
      <c r="G1595" s="275"/>
    </row>
    <row r="1596" spans="1:7" ht="17.45" customHeight="1">
      <c r="A1596" s="261" t="s">
        <v>8</v>
      </c>
      <c r="C1596" s="271" t="s">
        <v>1595</v>
      </c>
      <c r="D1596" s="497"/>
      <c r="E1596" s="499">
        <v>3200</v>
      </c>
      <c r="F1596" s="263"/>
      <c r="G1596" s="275"/>
    </row>
    <row r="1597" spans="1:7" ht="17.45" customHeight="1">
      <c r="A1597" s="261" t="s">
        <v>8</v>
      </c>
      <c r="C1597" s="271" t="s">
        <v>1613</v>
      </c>
      <c r="D1597" s="497"/>
      <c r="E1597" s="499">
        <f>6000+1800+3600+900+6800+5200</f>
        <v>24300</v>
      </c>
      <c r="F1597" s="263"/>
      <c r="G1597" s="275"/>
    </row>
    <row r="1598" spans="1:7" ht="17.45" customHeight="1">
      <c r="A1598" s="261" t="s">
        <v>8</v>
      </c>
      <c r="C1598" s="271" t="s">
        <v>1569</v>
      </c>
      <c r="D1598" s="497"/>
      <c r="E1598" s="499">
        <v>85070</v>
      </c>
      <c r="F1598" s="263"/>
      <c r="G1598" s="275"/>
    </row>
    <row r="1599" spans="1:7" ht="17.45" customHeight="1">
      <c r="A1599" s="261" t="s">
        <v>8</v>
      </c>
      <c r="C1599" s="271" t="s">
        <v>1618</v>
      </c>
      <c r="D1599" s="497"/>
      <c r="E1599" s="499">
        <f>17760+2780</f>
        <v>20540</v>
      </c>
      <c r="F1599" s="263"/>
      <c r="G1599" s="275"/>
    </row>
    <row r="1600" spans="1:7" ht="17.45" customHeight="1">
      <c r="A1600" s="261" t="s">
        <v>8</v>
      </c>
      <c r="C1600" s="271" t="s">
        <v>1800</v>
      </c>
      <c r="D1600" s="497"/>
      <c r="E1600" s="497"/>
      <c r="F1600" s="263"/>
      <c r="G1600" s="275"/>
    </row>
    <row r="1601" spans="1:7" ht="17.45" customHeight="1" thickBot="1">
      <c r="A1601" s="261" t="s">
        <v>8</v>
      </c>
      <c r="C1601" s="276" t="s">
        <v>1594</v>
      </c>
      <c r="D1601" s="502"/>
      <c r="E1601" s="503">
        <f>30000+23000</f>
        <v>53000</v>
      </c>
      <c r="F1601" s="277"/>
      <c r="G1601" s="282"/>
    </row>
    <row r="1602" spans="1:7" ht="17.45" customHeight="1">
      <c r="A1602" s="261" t="s">
        <v>8</v>
      </c>
      <c r="C1602" s="279" t="s">
        <v>2009</v>
      </c>
      <c r="D1602" s="504"/>
      <c r="E1602" s="505">
        <v>224220</v>
      </c>
      <c r="F1602" s="280"/>
      <c r="G1602" s="281"/>
    </row>
    <row r="1603" spans="1:7" ht="17.45" customHeight="1">
      <c r="A1603" s="261" t="s">
        <v>8</v>
      </c>
      <c r="C1603" s="271" t="s">
        <v>2011</v>
      </c>
      <c r="D1603" s="497"/>
      <c r="E1603" s="499">
        <v>40000</v>
      </c>
      <c r="F1603" s="263"/>
      <c r="G1603" s="275"/>
    </row>
    <row r="1604" spans="1:7" ht="17.45" customHeight="1">
      <c r="A1604" s="261" t="s">
        <v>8</v>
      </c>
      <c r="C1604" s="271" t="s">
        <v>2012</v>
      </c>
      <c r="D1604" s="497"/>
      <c r="E1604" s="499">
        <v>11000</v>
      </c>
      <c r="F1604" s="263"/>
      <c r="G1604" s="275"/>
    </row>
    <row r="1605" spans="1:7" ht="17.45" customHeight="1">
      <c r="A1605" s="261" t="s">
        <v>8</v>
      </c>
      <c r="C1605" s="271" t="s">
        <v>2013</v>
      </c>
      <c r="D1605" s="497"/>
      <c r="E1605" s="499">
        <v>6000</v>
      </c>
      <c r="F1605" s="263"/>
      <c r="G1605" s="275"/>
    </row>
    <row r="1606" spans="1:7" ht="17.45" customHeight="1">
      <c r="A1606" s="261" t="s">
        <v>8</v>
      </c>
      <c r="C1606" s="271" t="s">
        <v>2014</v>
      </c>
      <c r="D1606" s="497"/>
      <c r="E1606" s="499">
        <v>18000</v>
      </c>
      <c r="F1606" s="263"/>
      <c r="G1606" s="275"/>
    </row>
    <row r="1607" spans="1:7" ht="17.45" customHeight="1">
      <c r="A1607" s="261" t="s">
        <v>8</v>
      </c>
      <c r="C1607" s="271" t="s">
        <v>1584</v>
      </c>
      <c r="D1607" s="497"/>
      <c r="E1607" s="499">
        <v>19000</v>
      </c>
      <c r="F1607" s="263"/>
      <c r="G1607" s="275"/>
    </row>
    <row r="1608" spans="1:7" ht="17.45" customHeight="1">
      <c r="A1608" s="261" t="s">
        <v>8</v>
      </c>
      <c r="C1608" s="271" t="s">
        <v>2015</v>
      </c>
      <c r="D1608" s="497"/>
      <c r="E1608" s="499">
        <v>25900</v>
      </c>
      <c r="F1608" s="263"/>
      <c r="G1608" s="275"/>
    </row>
    <row r="1609" spans="1:7" ht="17.45" customHeight="1">
      <c r="A1609" s="261" t="s">
        <v>8</v>
      </c>
      <c r="C1609" s="271" t="s">
        <v>2017</v>
      </c>
      <c r="D1609" s="497"/>
      <c r="E1609" s="499">
        <v>21000</v>
      </c>
      <c r="F1609" s="263"/>
      <c r="G1609" s="275"/>
    </row>
    <row r="1610" spans="1:7" ht="17.45" customHeight="1">
      <c r="A1610" s="261" t="s">
        <v>8</v>
      </c>
      <c r="C1610" s="271" t="s">
        <v>1931</v>
      </c>
      <c r="D1610" s="497"/>
      <c r="E1610" s="499">
        <v>2400</v>
      </c>
      <c r="F1610" s="263"/>
      <c r="G1610" s="275"/>
    </row>
    <row r="1611" spans="1:7" ht="17.45" customHeight="1">
      <c r="A1611" s="261" t="s">
        <v>8</v>
      </c>
      <c r="C1611" s="271" t="s">
        <v>2018</v>
      </c>
      <c r="D1611" s="497"/>
      <c r="E1611" s="499">
        <v>4500</v>
      </c>
      <c r="F1611" s="263"/>
      <c r="G1611" s="275"/>
    </row>
    <row r="1612" spans="1:7" ht="17.45" customHeight="1">
      <c r="A1612" s="261" t="s">
        <v>8</v>
      </c>
      <c r="C1612" s="271" t="s">
        <v>2019</v>
      </c>
      <c r="D1612" s="497"/>
      <c r="E1612" s="499">
        <v>12700</v>
      </c>
      <c r="F1612" s="263"/>
      <c r="G1612" s="275"/>
    </row>
    <row r="1613" spans="1:7" ht="17.45" customHeight="1">
      <c r="A1613" s="261" t="s">
        <v>8</v>
      </c>
      <c r="C1613" s="271" t="s">
        <v>1981</v>
      </c>
      <c r="D1613" s="497"/>
      <c r="E1613" s="499">
        <v>4990</v>
      </c>
      <c r="F1613" s="263"/>
      <c r="G1613" s="275"/>
    </row>
    <row r="1614" spans="1:7" ht="17.45" customHeight="1">
      <c r="A1614" s="261" t="s">
        <v>8</v>
      </c>
      <c r="C1614" s="271" t="s">
        <v>2020</v>
      </c>
      <c r="D1614" s="497"/>
      <c r="E1614" s="499">
        <v>1500</v>
      </c>
      <c r="F1614" s="263"/>
      <c r="G1614" s="275"/>
    </row>
    <row r="1615" spans="1:7" ht="17.45" customHeight="1">
      <c r="A1615" s="261" t="s">
        <v>8</v>
      </c>
      <c r="C1615" s="271" t="s">
        <v>2021</v>
      </c>
      <c r="D1615" s="497"/>
      <c r="E1615" s="499">
        <f>37800+21000</f>
        <v>58800</v>
      </c>
      <c r="F1615" s="263"/>
      <c r="G1615" s="275"/>
    </row>
    <row r="1616" spans="1:7" ht="17.45" customHeight="1">
      <c r="A1616" s="261" t="s">
        <v>8</v>
      </c>
      <c r="C1616" s="271" t="s">
        <v>2022</v>
      </c>
      <c r="D1616" s="497"/>
      <c r="E1616" s="499">
        <v>12000</v>
      </c>
      <c r="F1616" s="263"/>
      <c r="G1616" s="275"/>
    </row>
    <row r="1617" spans="1:7" ht="17.45" customHeight="1">
      <c r="A1617" s="261" t="s">
        <v>8</v>
      </c>
      <c r="C1617" s="271" t="s">
        <v>2023</v>
      </c>
      <c r="D1617" s="497"/>
      <c r="E1617" s="499">
        <v>33900</v>
      </c>
      <c r="F1617" s="263"/>
      <c r="G1617" s="275"/>
    </row>
    <row r="1618" spans="1:7" ht="17.45" customHeight="1">
      <c r="A1618" s="261" t="s">
        <v>8</v>
      </c>
      <c r="C1618" s="271" t="s">
        <v>1789</v>
      </c>
      <c r="D1618" s="497"/>
      <c r="E1618" s="499">
        <f>945300-473000</f>
        <v>472300</v>
      </c>
      <c r="F1618" s="263"/>
      <c r="G1618" s="275"/>
    </row>
    <row r="1619" spans="1:7" ht="17.45" customHeight="1">
      <c r="A1619" s="261" t="s">
        <v>8</v>
      </c>
      <c r="C1619" s="271" t="s">
        <v>2024</v>
      </c>
      <c r="D1619" s="497"/>
      <c r="E1619" s="499">
        <v>6900</v>
      </c>
      <c r="F1619" s="263"/>
      <c r="G1619" s="275"/>
    </row>
    <row r="1620" spans="1:7" ht="17.45" customHeight="1">
      <c r="A1620" s="261" t="s">
        <v>8</v>
      </c>
      <c r="C1620" s="271" t="s">
        <v>2025</v>
      </c>
      <c r="D1620" s="497"/>
      <c r="E1620" s="499">
        <v>23500</v>
      </c>
      <c r="F1620" s="263"/>
      <c r="G1620" s="275"/>
    </row>
    <row r="1621" spans="1:7" ht="17.45" customHeight="1">
      <c r="A1621" s="261" t="s">
        <v>8</v>
      </c>
      <c r="C1621" s="271" t="s">
        <v>2026</v>
      </c>
      <c r="D1621" s="497"/>
      <c r="E1621" s="499">
        <v>3000</v>
      </c>
      <c r="F1621" s="263"/>
      <c r="G1621" s="275"/>
    </row>
    <row r="1622" spans="1:7" ht="17.45" customHeight="1">
      <c r="A1622" s="261" t="s">
        <v>8</v>
      </c>
      <c r="C1622" s="271" t="s">
        <v>2027</v>
      </c>
      <c r="D1622" s="497"/>
      <c r="E1622" s="499">
        <v>1000</v>
      </c>
      <c r="F1622" s="263"/>
      <c r="G1622" s="275"/>
    </row>
    <row r="1623" spans="1:7" ht="17.45" customHeight="1">
      <c r="A1623" s="261" t="s">
        <v>8</v>
      </c>
      <c r="C1623" s="271" t="s">
        <v>2028</v>
      </c>
      <c r="D1623" s="497"/>
      <c r="E1623" s="499">
        <v>13570</v>
      </c>
      <c r="F1623" s="263"/>
      <c r="G1623" s="275"/>
    </row>
    <row r="1624" spans="1:7" ht="17.45" customHeight="1">
      <c r="A1624" s="261" t="s">
        <v>8</v>
      </c>
      <c r="C1624" s="271" t="s">
        <v>1784</v>
      </c>
      <c r="D1624" s="497"/>
      <c r="E1624" s="499">
        <v>9500</v>
      </c>
      <c r="F1624" s="263"/>
      <c r="G1624" s="275"/>
    </row>
    <row r="1625" spans="1:7" ht="17.45" customHeight="1">
      <c r="A1625" s="261" t="s">
        <v>8</v>
      </c>
      <c r="C1625" s="271" t="s">
        <v>1925</v>
      </c>
      <c r="D1625" s="497"/>
      <c r="E1625" s="499">
        <v>30000</v>
      </c>
      <c r="F1625" s="263"/>
      <c r="G1625" s="275"/>
    </row>
    <row r="1626" spans="1:7" ht="17.45" customHeight="1">
      <c r="A1626" s="261" t="s">
        <v>8</v>
      </c>
      <c r="C1626" s="271" t="s">
        <v>2078</v>
      </c>
      <c r="D1626" s="497"/>
      <c r="E1626" s="499">
        <v>5000</v>
      </c>
      <c r="F1626" s="263"/>
      <c r="G1626" s="275"/>
    </row>
    <row r="1627" spans="1:7" ht="17.45" customHeight="1">
      <c r="A1627" s="261" t="s">
        <v>8</v>
      </c>
      <c r="C1627" s="271" t="s">
        <v>2079</v>
      </c>
      <c r="D1627" s="497"/>
      <c r="E1627" s="499">
        <v>5500</v>
      </c>
      <c r="F1627" s="263"/>
      <c r="G1627" s="275"/>
    </row>
    <row r="1628" spans="1:7" ht="17.45" customHeight="1">
      <c r="A1628" s="261" t="s">
        <v>8</v>
      </c>
      <c r="C1628" s="271" t="s">
        <v>2080</v>
      </c>
      <c r="D1628" s="497"/>
      <c r="E1628" s="499">
        <v>300000</v>
      </c>
      <c r="F1628" s="263"/>
      <c r="G1628" s="275"/>
    </row>
    <row r="1629" spans="1:7" ht="17.45" customHeight="1">
      <c r="A1629" s="261" t="s">
        <v>8</v>
      </c>
      <c r="C1629" s="271" t="s">
        <v>2081</v>
      </c>
      <c r="D1629" s="499">
        <v>360000</v>
      </c>
      <c r="E1629" s="497"/>
      <c r="F1629" s="263"/>
      <c r="G1629" s="275"/>
    </row>
    <row r="1630" spans="1:7" ht="17.45" customHeight="1">
      <c r="A1630" s="261" t="s">
        <v>8</v>
      </c>
      <c r="C1630" s="271" t="s">
        <v>2082</v>
      </c>
      <c r="D1630" s="497"/>
      <c r="E1630" s="499">
        <v>34000</v>
      </c>
      <c r="F1630" s="263"/>
      <c r="G1630" s="275"/>
    </row>
    <row r="1631" spans="1:7" ht="17.45" customHeight="1">
      <c r="A1631" s="261" t="s">
        <v>8</v>
      </c>
      <c r="C1631" s="271" t="s">
        <v>1602</v>
      </c>
      <c r="D1631" s="499">
        <v>1510</v>
      </c>
      <c r="E1631" s="497"/>
      <c r="F1631" s="263"/>
      <c r="G1631" s="275"/>
    </row>
    <row r="1632" spans="1:7" ht="17.45" customHeight="1">
      <c r="A1632" s="261" t="s">
        <v>8</v>
      </c>
      <c r="C1632" s="271" t="s">
        <v>2083</v>
      </c>
      <c r="D1632" s="497"/>
      <c r="E1632" s="499">
        <v>3800</v>
      </c>
      <c r="F1632" s="263"/>
      <c r="G1632" s="275"/>
    </row>
    <row r="1633" spans="1:7" ht="17.45" customHeight="1">
      <c r="A1633" s="261" t="s">
        <v>8</v>
      </c>
      <c r="C1633" s="271" t="s">
        <v>2084</v>
      </c>
      <c r="D1633" s="497"/>
      <c r="E1633" s="499">
        <v>1600</v>
      </c>
      <c r="F1633" s="263"/>
      <c r="G1633" s="275"/>
    </row>
    <row r="1634" spans="1:7" ht="17.45" customHeight="1" thickBot="1">
      <c r="A1634" s="261" t="s">
        <v>8</v>
      </c>
      <c r="C1634" s="276" t="s">
        <v>1300</v>
      </c>
      <c r="D1634" s="502">
        <f>SUM(D1567:D1633)-SUM(E1567:E1633)</f>
        <v>1108185</v>
      </c>
      <c r="E1634" s="502">
        <f>SUM(E1567:E1633)-SUM(F1567:F1633)</f>
        <v>6507006</v>
      </c>
      <c r="F1634" s="277"/>
      <c r="G1634" s="283"/>
    </row>
    <row r="1635" spans="1:7">
      <c r="A1635" s="261" t="s">
        <v>8</v>
      </c>
    </row>
    <row r="1636" spans="1:7" ht="12.75" thickBot="1">
      <c r="A1636" s="261" t="s">
        <v>8</v>
      </c>
    </row>
    <row r="1637" spans="1:7" ht="17.45" customHeight="1">
      <c r="A1637" s="261" t="s">
        <v>8</v>
      </c>
      <c r="B1637" s="256" t="s">
        <v>2191</v>
      </c>
      <c r="C1637" s="268" t="s">
        <v>1268</v>
      </c>
      <c r="D1637" s="500">
        <v>6058871</v>
      </c>
      <c r="E1637" s="501"/>
      <c r="F1637" s="269"/>
      <c r="G1637" s="270"/>
    </row>
    <row r="1638" spans="1:7" ht="17.45" customHeight="1">
      <c r="A1638" s="261" t="s">
        <v>8</v>
      </c>
      <c r="B1638" s="257"/>
      <c r="C1638" s="271" t="s">
        <v>1269</v>
      </c>
      <c r="D1638" s="497"/>
      <c r="E1638" s="499">
        <v>422000</v>
      </c>
      <c r="F1638" s="263"/>
      <c r="G1638" s="272" t="s">
        <v>2190</v>
      </c>
    </row>
    <row r="1639" spans="1:7" ht="17.45" customHeight="1">
      <c r="A1639" s="261" t="s">
        <v>8</v>
      </c>
      <c r="C1639" s="271" t="s">
        <v>1270</v>
      </c>
      <c r="D1639" s="497"/>
      <c r="E1639" s="499">
        <v>736000</v>
      </c>
      <c r="F1639" s="263"/>
      <c r="G1639" s="273" t="s">
        <v>2192</v>
      </c>
    </row>
    <row r="1640" spans="1:7" ht="17.45" customHeight="1">
      <c r="A1640" s="261" t="s">
        <v>8</v>
      </c>
      <c r="C1640" s="271" t="s">
        <v>1670</v>
      </c>
      <c r="D1640" s="497"/>
      <c r="E1640" s="499">
        <v>26010</v>
      </c>
      <c r="F1640" s="263"/>
      <c r="G1640" s="274"/>
    </row>
    <row r="1641" spans="1:7" ht="17.45" customHeight="1">
      <c r="A1641" s="261" t="s">
        <v>8</v>
      </c>
      <c r="C1641" s="271" t="s">
        <v>1672</v>
      </c>
      <c r="D1641" s="497"/>
      <c r="E1641" s="499">
        <v>56580</v>
      </c>
      <c r="F1641" s="263"/>
      <c r="G1641" s="274"/>
    </row>
    <row r="1642" spans="1:7" ht="17.45" customHeight="1">
      <c r="A1642" s="261" t="s">
        <v>8</v>
      </c>
      <c r="C1642" s="271" t="s">
        <v>1673</v>
      </c>
      <c r="D1642" s="497"/>
      <c r="E1642" s="497">
        <v>0</v>
      </c>
      <c r="F1642" s="263"/>
      <c r="G1642" s="274"/>
    </row>
    <row r="1643" spans="1:7" ht="17.45" customHeight="1">
      <c r="A1643" s="261" t="s">
        <v>8</v>
      </c>
      <c r="C1643" s="271" t="s">
        <v>1332</v>
      </c>
      <c r="D1643" s="497"/>
      <c r="E1643" s="499">
        <v>42900</v>
      </c>
      <c r="F1643" s="263"/>
      <c r="G1643" s="275"/>
    </row>
    <row r="1644" spans="1:7" ht="17.45" customHeight="1">
      <c r="A1644" s="261" t="s">
        <v>8</v>
      </c>
      <c r="C1644" s="271" t="s">
        <v>1271</v>
      </c>
      <c r="D1644" s="497"/>
      <c r="E1644" s="497">
        <v>0</v>
      </c>
      <c r="F1644" s="263"/>
      <c r="G1644" s="274"/>
    </row>
    <row r="1645" spans="1:7" ht="17.45" customHeight="1">
      <c r="A1645" s="261" t="s">
        <v>8</v>
      </c>
      <c r="C1645" s="271" t="s">
        <v>1272</v>
      </c>
      <c r="D1645" s="497"/>
      <c r="E1645" s="499">
        <v>7470</v>
      </c>
      <c r="F1645" s="263"/>
      <c r="G1645" s="273"/>
    </row>
    <row r="1646" spans="1:7" ht="17.45" customHeight="1">
      <c r="A1646" s="261" t="s">
        <v>8</v>
      </c>
      <c r="C1646" s="271" t="s">
        <v>1273</v>
      </c>
      <c r="D1646" s="497"/>
      <c r="E1646" s="499">
        <v>29920</v>
      </c>
      <c r="F1646" s="263"/>
      <c r="G1646" s="273"/>
    </row>
    <row r="1647" spans="1:7" ht="17.45" customHeight="1">
      <c r="A1647" s="261" t="s">
        <v>8</v>
      </c>
      <c r="C1647" s="271" t="s">
        <v>1274</v>
      </c>
      <c r="D1647" s="497"/>
      <c r="E1647" s="499">
        <v>9405</v>
      </c>
      <c r="F1647" s="263"/>
      <c r="G1647" s="273"/>
    </row>
    <row r="1648" spans="1:7" ht="17.45" customHeight="1">
      <c r="A1648" s="261" t="s">
        <v>8</v>
      </c>
      <c r="C1648" s="271" t="s">
        <v>1275</v>
      </c>
      <c r="D1648" s="497"/>
      <c r="E1648" s="499">
        <v>26450</v>
      </c>
      <c r="F1648" s="263"/>
      <c r="G1648" s="273"/>
    </row>
    <row r="1649" spans="1:7" ht="17.45" customHeight="1">
      <c r="A1649" s="261" t="s">
        <v>8</v>
      </c>
      <c r="C1649" s="271" t="s">
        <v>2168</v>
      </c>
      <c r="D1649" s="497"/>
      <c r="E1649" s="499">
        <v>18816</v>
      </c>
      <c r="F1649" s="263"/>
      <c r="G1649" s="273"/>
    </row>
    <row r="1650" spans="1:7" ht="17.45" customHeight="1">
      <c r="A1650" s="261" t="s">
        <v>8</v>
      </c>
      <c r="C1650" s="271" t="s">
        <v>1517</v>
      </c>
      <c r="D1650" s="497"/>
      <c r="E1650" s="499">
        <v>23230</v>
      </c>
      <c r="F1650" s="263"/>
      <c r="G1650" s="273"/>
    </row>
    <row r="1651" spans="1:7" ht="17.45" customHeight="1">
      <c r="A1651" s="261" t="s">
        <v>8</v>
      </c>
      <c r="C1651" s="271" t="s">
        <v>1276</v>
      </c>
      <c r="D1651" s="497"/>
      <c r="E1651" s="499">
        <v>294830</v>
      </c>
      <c r="F1651" s="263"/>
      <c r="G1651" s="273"/>
    </row>
    <row r="1652" spans="1:7" ht="17.45" customHeight="1">
      <c r="A1652" s="261" t="s">
        <v>8</v>
      </c>
      <c r="C1652" s="271" t="s">
        <v>1277</v>
      </c>
      <c r="D1652" s="497"/>
      <c r="E1652" s="499">
        <v>41460</v>
      </c>
      <c r="F1652" s="263"/>
      <c r="G1652" s="273"/>
    </row>
    <row r="1653" spans="1:7" ht="17.45" customHeight="1">
      <c r="A1653" s="261" t="s">
        <v>8</v>
      </c>
      <c r="C1653" s="271" t="s">
        <v>1278</v>
      </c>
      <c r="D1653" s="497"/>
      <c r="E1653" s="499">
        <v>200000</v>
      </c>
      <c r="F1653" s="263"/>
      <c r="G1653" s="273"/>
    </row>
    <row r="1654" spans="1:7" ht="17.45" customHeight="1">
      <c r="A1654" s="261" t="s">
        <v>8</v>
      </c>
      <c r="C1654" s="285" t="s">
        <v>1413</v>
      </c>
      <c r="D1654" s="506"/>
      <c r="E1654" s="507">
        <v>1300000</v>
      </c>
      <c r="F1654" s="286"/>
      <c r="G1654" s="287"/>
    </row>
    <row r="1655" spans="1:7" ht="17.45" customHeight="1">
      <c r="A1655" s="261" t="s">
        <v>8</v>
      </c>
      <c r="C1655" s="285" t="s">
        <v>2088</v>
      </c>
      <c r="D1655" s="506"/>
      <c r="E1655" s="507">
        <v>360000</v>
      </c>
      <c r="F1655" s="286"/>
      <c r="G1655" s="287"/>
    </row>
    <row r="1656" spans="1:7" ht="17.45" customHeight="1" thickBot="1">
      <c r="A1656" s="261" t="s">
        <v>8</v>
      </c>
      <c r="C1656" s="285" t="s">
        <v>1942</v>
      </c>
      <c r="D1656" s="506"/>
      <c r="E1656" s="507">
        <v>20000</v>
      </c>
      <c r="F1656" s="286"/>
      <c r="G1656" s="290"/>
    </row>
    <row r="1657" spans="1:7" ht="17.45" customHeight="1">
      <c r="A1657" s="261" t="s">
        <v>8</v>
      </c>
      <c r="C1657" s="268" t="s">
        <v>1280</v>
      </c>
      <c r="D1657" s="501"/>
      <c r="E1657" s="500">
        <f>30000+50000</f>
        <v>80000</v>
      </c>
      <c r="F1657" s="269"/>
      <c r="G1657" s="288"/>
    </row>
    <row r="1658" spans="1:7" ht="17.45" customHeight="1">
      <c r="A1658" s="261" t="s">
        <v>8</v>
      </c>
      <c r="C1658" s="271" t="s">
        <v>1549</v>
      </c>
      <c r="D1658" s="497"/>
      <c r="E1658" s="497"/>
      <c r="F1658" s="263"/>
      <c r="G1658" s="275"/>
    </row>
    <row r="1659" spans="1:7" ht="17.45" customHeight="1">
      <c r="A1659" s="261" t="s">
        <v>8</v>
      </c>
      <c r="C1659" s="271" t="s">
        <v>1819</v>
      </c>
      <c r="D1659" s="497"/>
      <c r="E1659" s="497"/>
      <c r="F1659" s="263"/>
      <c r="G1659" s="275"/>
    </row>
    <row r="1660" spans="1:7" ht="17.45" customHeight="1">
      <c r="A1660" s="261" t="s">
        <v>8</v>
      </c>
      <c r="C1660" s="271" t="s">
        <v>391</v>
      </c>
      <c r="D1660" s="497"/>
      <c r="E1660" s="497"/>
      <c r="F1660" s="263"/>
      <c r="G1660" s="275"/>
    </row>
    <row r="1661" spans="1:7" ht="17.45" customHeight="1">
      <c r="A1661" s="261" t="s">
        <v>8</v>
      </c>
      <c r="C1661" s="271" t="s">
        <v>1934</v>
      </c>
      <c r="D1661" s="497"/>
      <c r="E1661" s="499">
        <v>50000</v>
      </c>
      <c r="F1661" s="263"/>
      <c r="G1661" s="275"/>
    </row>
    <row r="1662" spans="1:7" ht="17.45" customHeight="1">
      <c r="A1662" s="261" t="s">
        <v>8</v>
      </c>
      <c r="C1662" s="271" t="s">
        <v>2097</v>
      </c>
      <c r="D1662" s="497"/>
      <c r="E1662" s="499">
        <v>200000</v>
      </c>
      <c r="F1662" s="263"/>
      <c r="G1662" s="275"/>
    </row>
    <row r="1663" spans="1:7" ht="17.45" customHeight="1">
      <c r="A1663" s="261" t="s">
        <v>8</v>
      </c>
      <c r="C1663" s="271" t="s">
        <v>1484</v>
      </c>
      <c r="D1663" s="497"/>
      <c r="E1663" s="499">
        <v>-43000</v>
      </c>
      <c r="F1663" s="263"/>
      <c r="G1663" s="275"/>
    </row>
    <row r="1664" spans="1:7" ht="17.45" customHeight="1">
      <c r="A1664" s="261" t="s">
        <v>8</v>
      </c>
      <c r="C1664" s="271" t="s">
        <v>1687</v>
      </c>
      <c r="D1664" s="497"/>
      <c r="E1664" s="497"/>
      <c r="F1664" s="263"/>
      <c r="G1664" s="275"/>
    </row>
    <row r="1665" spans="1:7" ht="17.45" customHeight="1">
      <c r="A1665" s="261" t="s">
        <v>8</v>
      </c>
      <c r="C1665" s="271" t="s">
        <v>1688</v>
      </c>
      <c r="D1665" s="497"/>
      <c r="E1665" s="499">
        <v>50000</v>
      </c>
      <c r="F1665" s="263"/>
      <c r="G1665" s="275"/>
    </row>
    <row r="1666" spans="1:7" ht="17.45" customHeight="1">
      <c r="A1666" s="261" t="s">
        <v>8</v>
      </c>
      <c r="C1666" s="271" t="s">
        <v>1596</v>
      </c>
      <c r="D1666" s="497"/>
      <c r="E1666" s="497"/>
      <c r="F1666" s="263"/>
      <c r="G1666" s="275"/>
    </row>
    <row r="1667" spans="1:7" ht="17.45" customHeight="1">
      <c r="A1667" s="261" t="s">
        <v>8</v>
      </c>
      <c r="C1667" s="271" t="s">
        <v>1595</v>
      </c>
      <c r="D1667" s="497"/>
      <c r="E1667" s="497"/>
      <c r="F1667" s="263"/>
      <c r="G1667" s="275"/>
    </row>
    <row r="1668" spans="1:7" ht="17.45" customHeight="1">
      <c r="A1668" s="261" t="s">
        <v>8</v>
      </c>
      <c r="C1668" s="271" t="s">
        <v>1613</v>
      </c>
      <c r="D1668" s="497"/>
      <c r="E1668" s="499">
        <f>4500+7800+3000+9700+9000+3100</f>
        <v>37100</v>
      </c>
      <c r="F1668" s="263"/>
      <c r="G1668" s="275"/>
    </row>
    <row r="1669" spans="1:7" ht="17.45" customHeight="1">
      <c r="A1669" s="261" t="s">
        <v>8</v>
      </c>
      <c r="C1669" s="271" t="s">
        <v>1569</v>
      </c>
      <c r="D1669" s="497"/>
      <c r="E1669" s="497"/>
      <c r="F1669" s="263"/>
      <c r="G1669" s="275"/>
    </row>
    <row r="1670" spans="1:7" ht="17.45" customHeight="1">
      <c r="A1670" s="261" t="s">
        <v>8</v>
      </c>
      <c r="C1670" s="271" t="s">
        <v>1618</v>
      </c>
      <c r="D1670" s="497"/>
      <c r="E1670" s="499">
        <f>2780+33260+5280+3490+15800+31470</f>
        <v>92080</v>
      </c>
      <c r="F1670" s="263"/>
      <c r="G1670" s="275"/>
    </row>
    <row r="1671" spans="1:7" ht="17.45" customHeight="1">
      <c r="A1671" s="261" t="s">
        <v>8</v>
      </c>
      <c r="C1671" s="271" t="s">
        <v>1800</v>
      </c>
      <c r="D1671" s="497"/>
      <c r="E1671" s="499">
        <v>15000</v>
      </c>
      <c r="F1671" s="263"/>
      <c r="G1671" s="275"/>
    </row>
    <row r="1672" spans="1:7" ht="17.45" customHeight="1" thickBot="1">
      <c r="A1672" s="261" t="s">
        <v>8</v>
      </c>
      <c r="C1672" s="276" t="s">
        <v>1594</v>
      </c>
      <c r="D1672" s="502"/>
      <c r="E1672" s="503">
        <f>21500+22000</f>
        <v>43500</v>
      </c>
      <c r="F1672" s="277"/>
      <c r="G1672" s="282"/>
    </row>
    <row r="1673" spans="1:7" ht="17.45" customHeight="1">
      <c r="A1673" s="261" t="s">
        <v>8</v>
      </c>
      <c r="C1673" s="279" t="s">
        <v>2087</v>
      </c>
      <c r="D1673" s="504"/>
      <c r="E1673" s="505">
        <f>47000-47000</f>
        <v>0</v>
      </c>
      <c r="F1673" s="280"/>
      <c r="G1673" s="281"/>
    </row>
    <row r="1674" spans="1:7" ht="17.45" customHeight="1">
      <c r="A1674" s="261" t="s">
        <v>8</v>
      </c>
      <c r="C1674" s="271" t="s">
        <v>1789</v>
      </c>
      <c r="D1674" s="497"/>
      <c r="E1674" s="499">
        <v>-472300</v>
      </c>
      <c r="F1674" s="263"/>
      <c r="G1674" s="275"/>
    </row>
    <row r="1675" spans="1:7" ht="17.45" customHeight="1">
      <c r="A1675" s="261" t="s">
        <v>8</v>
      </c>
      <c r="C1675" s="271" t="s">
        <v>1693</v>
      </c>
      <c r="D1675" s="497"/>
      <c r="E1675" s="499">
        <v>15900</v>
      </c>
      <c r="F1675" s="263"/>
      <c r="G1675" s="275"/>
    </row>
    <row r="1676" spans="1:7" ht="17.45" customHeight="1">
      <c r="A1676" s="261" t="s">
        <v>8</v>
      </c>
      <c r="C1676" s="271" t="s">
        <v>2089</v>
      </c>
      <c r="D1676" s="497"/>
      <c r="E1676" s="499">
        <v>3000</v>
      </c>
      <c r="F1676" s="263"/>
      <c r="G1676" s="275"/>
    </row>
    <row r="1677" spans="1:7" ht="17.45" customHeight="1">
      <c r="A1677" s="261" t="s">
        <v>8</v>
      </c>
      <c r="C1677" s="271" t="s">
        <v>1894</v>
      </c>
      <c r="D1677" s="497"/>
      <c r="E1677" s="499">
        <v>3300</v>
      </c>
      <c r="F1677" s="263"/>
      <c r="G1677" s="275"/>
    </row>
    <row r="1678" spans="1:7" ht="17.45" customHeight="1">
      <c r="A1678" s="261" t="s">
        <v>8</v>
      </c>
      <c r="C1678" s="271" t="s">
        <v>2090</v>
      </c>
      <c r="D1678" s="497"/>
      <c r="E1678" s="499">
        <v>67000</v>
      </c>
      <c r="F1678" s="263"/>
      <c r="G1678" s="275"/>
    </row>
    <row r="1679" spans="1:7" ht="17.45" customHeight="1">
      <c r="A1679" s="261" t="s">
        <v>8</v>
      </c>
      <c r="C1679" s="271" t="s">
        <v>2092</v>
      </c>
      <c r="D1679" s="497"/>
      <c r="E1679" s="499">
        <v>32900</v>
      </c>
      <c r="F1679" s="263"/>
      <c r="G1679" s="275"/>
    </row>
    <row r="1680" spans="1:7" ht="17.45" customHeight="1">
      <c r="A1680" s="261" t="s">
        <v>8</v>
      </c>
      <c r="C1680" s="271" t="s">
        <v>2093</v>
      </c>
      <c r="D1680" s="497"/>
      <c r="E1680" s="499">
        <v>22000</v>
      </c>
      <c r="F1680" s="263"/>
      <c r="G1680" s="275"/>
    </row>
    <row r="1681" spans="1:7" ht="17.45" customHeight="1">
      <c r="A1681" s="261" t="s">
        <v>8</v>
      </c>
      <c r="C1681" s="271" t="s">
        <v>2094</v>
      </c>
      <c r="D1681" s="497"/>
      <c r="E1681" s="499">
        <v>8000</v>
      </c>
      <c r="F1681" s="263"/>
      <c r="G1681" s="275"/>
    </row>
    <row r="1682" spans="1:7" ht="17.45" customHeight="1">
      <c r="A1682" s="261" t="s">
        <v>8</v>
      </c>
      <c r="C1682" s="271" t="s">
        <v>2095</v>
      </c>
      <c r="D1682" s="497"/>
      <c r="E1682" s="499">
        <v>9000</v>
      </c>
      <c r="F1682" s="263"/>
      <c r="G1682" s="275"/>
    </row>
    <row r="1683" spans="1:7" ht="17.45" customHeight="1">
      <c r="A1683" s="261" t="s">
        <v>8</v>
      </c>
      <c r="C1683" s="271" t="s">
        <v>1585</v>
      </c>
      <c r="D1683" s="497"/>
      <c r="E1683" s="499">
        <v>23300</v>
      </c>
      <c r="F1683" s="263"/>
      <c r="G1683" s="275"/>
    </row>
    <row r="1684" spans="1:7" ht="17.45" customHeight="1">
      <c r="A1684" s="261" t="s">
        <v>8</v>
      </c>
      <c r="C1684" s="271" t="s">
        <v>2014</v>
      </c>
      <c r="D1684" s="497"/>
      <c r="E1684" s="499">
        <v>60000</v>
      </c>
      <c r="F1684" s="263"/>
      <c r="G1684" s="275"/>
    </row>
    <row r="1685" spans="1:7" ht="17.45" customHeight="1">
      <c r="A1685" s="261" t="s">
        <v>8</v>
      </c>
      <c r="C1685" s="271" t="s">
        <v>2096</v>
      </c>
      <c r="D1685" s="497"/>
      <c r="E1685" s="499">
        <v>100000</v>
      </c>
      <c r="F1685" s="263"/>
      <c r="G1685" s="275"/>
    </row>
    <row r="1686" spans="1:7" ht="17.45" customHeight="1">
      <c r="A1686" s="261" t="s">
        <v>8</v>
      </c>
      <c r="C1686" s="271" t="s">
        <v>2098</v>
      </c>
      <c r="D1686" s="497"/>
      <c r="E1686" s="499">
        <v>50000</v>
      </c>
      <c r="F1686" s="263"/>
      <c r="G1686" s="275"/>
    </row>
    <row r="1687" spans="1:7" ht="17.45" customHeight="1">
      <c r="A1687" s="261" t="s">
        <v>8</v>
      </c>
      <c r="C1687" s="271" t="s">
        <v>2099</v>
      </c>
      <c r="D1687" s="497"/>
      <c r="E1687" s="499">
        <v>50000</v>
      </c>
      <c r="F1687" s="263"/>
      <c r="G1687" s="275"/>
    </row>
    <row r="1688" spans="1:7" ht="17.45" customHeight="1">
      <c r="A1688" s="261" t="s">
        <v>8</v>
      </c>
      <c r="C1688" s="271" t="s">
        <v>1777</v>
      </c>
      <c r="D1688" s="497"/>
      <c r="E1688" s="499">
        <v>4400</v>
      </c>
      <c r="F1688" s="263"/>
      <c r="G1688" s="275"/>
    </row>
    <row r="1689" spans="1:7" ht="17.45" customHeight="1">
      <c r="A1689" s="261" t="s">
        <v>8</v>
      </c>
      <c r="C1689" s="271" t="s">
        <v>1628</v>
      </c>
      <c r="D1689" s="497"/>
      <c r="E1689" s="499">
        <v>16000</v>
      </c>
      <c r="F1689" s="263"/>
      <c r="G1689" s="275"/>
    </row>
    <row r="1690" spans="1:7" ht="17.45" customHeight="1">
      <c r="A1690" s="261" t="s">
        <v>8</v>
      </c>
      <c r="C1690" s="271" t="s">
        <v>2107</v>
      </c>
      <c r="D1690" s="497"/>
      <c r="E1690" s="499">
        <v>35100</v>
      </c>
      <c r="F1690" s="263"/>
      <c r="G1690" s="275"/>
    </row>
    <row r="1691" spans="1:7" ht="17.45" customHeight="1">
      <c r="A1691" s="261" t="s">
        <v>8</v>
      </c>
      <c r="C1691" s="271" t="s">
        <v>2108</v>
      </c>
      <c r="D1691" s="497"/>
      <c r="E1691" s="499">
        <v>39580</v>
      </c>
      <c r="F1691" s="263"/>
      <c r="G1691" s="275"/>
    </row>
    <row r="1692" spans="1:7" ht="17.45" customHeight="1">
      <c r="A1692" s="261" t="s">
        <v>8</v>
      </c>
      <c r="C1692" s="271" t="s">
        <v>2109</v>
      </c>
      <c r="D1692" s="497"/>
      <c r="E1692" s="499">
        <v>100000</v>
      </c>
      <c r="F1692" s="263"/>
      <c r="G1692" s="275"/>
    </row>
    <row r="1693" spans="1:7" ht="17.45" customHeight="1">
      <c r="A1693" s="261" t="s">
        <v>8</v>
      </c>
      <c r="C1693" s="271" t="s">
        <v>2110</v>
      </c>
      <c r="D1693" s="497"/>
      <c r="E1693" s="499">
        <v>22100</v>
      </c>
      <c r="F1693" s="263"/>
      <c r="G1693" s="275"/>
    </row>
    <row r="1694" spans="1:7" ht="17.45" customHeight="1">
      <c r="A1694" s="261" t="s">
        <v>8</v>
      </c>
      <c r="C1694" s="271" t="s">
        <v>2111</v>
      </c>
      <c r="D1694" s="497"/>
      <c r="E1694" s="499">
        <v>9000</v>
      </c>
      <c r="F1694" s="263"/>
      <c r="G1694" s="275"/>
    </row>
    <row r="1695" spans="1:7" ht="17.45" customHeight="1">
      <c r="A1695" s="261" t="s">
        <v>8</v>
      </c>
      <c r="C1695" s="271" t="s">
        <v>2112</v>
      </c>
      <c r="D1695" s="497"/>
      <c r="E1695" s="499">
        <v>26000</v>
      </c>
      <c r="F1695" s="263"/>
      <c r="G1695" s="275"/>
    </row>
    <row r="1696" spans="1:7" ht="17.45" customHeight="1">
      <c r="A1696" s="261" t="s">
        <v>8</v>
      </c>
      <c r="C1696" s="271" t="s">
        <v>2113</v>
      </c>
      <c r="D1696" s="497"/>
      <c r="E1696" s="499">
        <v>500</v>
      </c>
      <c r="F1696" s="263"/>
      <c r="G1696" s="275"/>
    </row>
    <row r="1697" spans="1:7" ht="17.45" customHeight="1">
      <c r="A1697" s="261" t="s">
        <v>8</v>
      </c>
      <c r="C1697" s="271" t="s">
        <v>2114</v>
      </c>
      <c r="D1697" s="497"/>
      <c r="E1697" s="499">
        <v>151720</v>
      </c>
      <c r="F1697" s="263"/>
      <c r="G1697" s="275"/>
    </row>
    <row r="1698" spans="1:7" ht="17.45" customHeight="1">
      <c r="A1698" s="261" t="s">
        <v>8</v>
      </c>
      <c r="C1698" s="271" t="s">
        <v>2115</v>
      </c>
      <c r="D1698" s="497"/>
      <c r="E1698" s="499">
        <v>29410</v>
      </c>
      <c r="F1698" s="263"/>
      <c r="G1698" s="275"/>
    </row>
    <row r="1699" spans="1:7" ht="17.45" customHeight="1">
      <c r="A1699" s="261" t="s">
        <v>8</v>
      </c>
      <c r="C1699" s="271" t="s">
        <v>2193</v>
      </c>
      <c r="D1699" s="497"/>
      <c r="E1699" s="499">
        <v>5000</v>
      </c>
      <c r="F1699" s="263"/>
      <c r="G1699" s="275"/>
    </row>
    <row r="1700" spans="1:7" ht="17.45" customHeight="1">
      <c r="A1700" s="261" t="s">
        <v>8</v>
      </c>
      <c r="C1700" s="271" t="s">
        <v>2194</v>
      </c>
      <c r="D1700" s="497"/>
      <c r="E1700" s="499">
        <v>4500</v>
      </c>
      <c r="F1700" s="263"/>
      <c r="G1700" s="275"/>
    </row>
    <row r="1701" spans="1:7" ht="17.45" customHeight="1">
      <c r="A1701" s="261" t="s">
        <v>8</v>
      </c>
      <c r="C1701" s="271" t="s">
        <v>2195</v>
      </c>
      <c r="D1701" s="497"/>
      <c r="E1701" s="499">
        <v>28700</v>
      </c>
      <c r="F1701" s="263"/>
      <c r="G1701" s="275"/>
    </row>
    <row r="1702" spans="1:7" ht="17.45" customHeight="1">
      <c r="A1702" s="261" t="s">
        <v>8</v>
      </c>
      <c r="C1702" s="271" t="s">
        <v>2196</v>
      </c>
      <c r="D1702" s="497"/>
      <c r="E1702" s="499">
        <v>16500</v>
      </c>
      <c r="F1702" s="263"/>
      <c r="G1702" s="275"/>
    </row>
    <row r="1703" spans="1:7" ht="17.45" customHeight="1">
      <c r="A1703" s="261" t="s">
        <v>8</v>
      </c>
      <c r="C1703" s="271" t="s">
        <v>2197</v>
      </c>
      <c r="D1703" s="497"/>
      <c r="E1703" s="499">
        <v>20000</v>
      </c>
      <c r="F1703" s="263"/>
      <c r="G1703" s="275"/>
    </row>
    <row r="1704" spans="1:7" ht="17.45" customHeight="1">
      <c r="A1704" s="261" t="s">
        <v>8</v>
      </c>
      <c r="C1704" s="271" t="s">
        <v>1680</v>
      </c>
      <c r="D1704" s="497"/>
      <c r="E1704" s="499">
        <v>3800</v>
      </c>
      <c r="F1704" s="263"/>
      <c r="G1704" s="275"/>
    </row>
    <row r="1705" spans="1:7" ht="17.45" customHeight="1" thickBot="1">
      <c r="A1705" s="261" t="s">
        <v>8</v>
      </c>
      <c r="C1705" s="276" t="s">
        <v>1300</v>
      </c>
      <c r="D1705" s="502">
        <f>SUM(D1637:D1704)-SUM(E1637:E1704)</f>
        <v>1434710</v>
      </c>
      <c r="E1705" s="502">
        <f>SUM(E1637:E1704)-SUM(F1637:F1704)</f>
        <v>4624161</v>
      </c>
      <c r="F1705" s="277"/>
      <c r="G1705" s="283"/>
    </row>
    <row r="1706" spans="1:7">
      <c r="A1706" s="261" t="s">
        <v>8</v>
      </c>
    </row>
    <row r="1707" spans="1:7" ht="12.75" thickBot="1">
      <c r="A1707" s="261" t="s">
        <v>8</v>
      </c>
    </row>
    <row r="1708" spans="1:7" ht="17.45" customHeight="1">
      <c r="A1708" s="261" t="s">
        <v>8</v>
      </c>
      <c r="B1708" s="256" t="s">
        <v>2198</v>
      </c>
      <c r="C1708" s="268" t="s">
        <v>1268</v>
      </c>
      <c r="D1708" s="500">
        <v>5832171</v>
      </c>
      <c r="E1708" s="501"/>
      <c r="F1708" s="269"/>
      <c r="G1708" s="270"/>
    </row>
    <row r="1709" spans="1:7" ht="17.45" customHeight="1">
      <c r="A1709" s="261" t="s">
        <v>8</v>
      </c>
      <c r="B1709" s="257"/>
      <c r="C1709" s="271" t="s">
        <v>1269</v>
      </c>
      <c r="D1709" s="497"/>
      <c r="E1709" s="499">
        <v>418000</v>
      </c>
      <c r="F1709" s="263"/>
      <c r="G1709" s="272" t="s">
        <v>2199</v>
      </c>
    </row>
    <row r="1710" spans="1:7" ht="17.45" customHeight="1">
      <c r="A1710" s="261" t="s">
        <v>8</v>
      </c>
      <c r="C1710" s="271" t="s">
        <v>1270</v>
      </c>
      <c r="D1710" s="497"/>
      <c r="E1710" s="499">
        <v>732000</v>
      </c>
      <c r="F1710" s="263"/>
      <c r="G1710" s="273" t="s">
        <v>2192</v>
      </c>
    </row>
    <row r="1711" spans="1:7" ht="17.45" customHeight="1">
      <c r="A1711" s="261" t="s">
        <v>8</v>
      </c>
      <c r="C1711" s="271" t="s">
        <v>1670</v>
      </c>
      <c r="D1711" s="497"/>
      <c r="E1711" s="499">
        <v>26010</v>
      </c>
      <c r="F1711" s="263"/>
      <c r="G1711" s="274"/>
    </row>
    <row r="1712" spans="1:7" ht="17.45" customHeight="1">
      <c r="A1712" s="261" t="s">
        <v>8</v>
      </c>
      <c r="C1712" s="271" t="s">
        <v>1672</v>
      </c>
      <c r="D1712" s="497"/>
      <c r="E1712" s="499">
        <v>42090</v>
      </c>
      <c r="F1712" s="263"/>
      <c r="G1712" s="274"/>
    </row>
    <row r="1713" spans="1:7" ht="17.45" customHeight="1">
      <c r="A1713" s="261" t="s">
        <v>8</v>
      </c>
      <c r="C1713" s="271" t="s">
        <v>1673</v>
      </c>
      <c r="D1713" s="497"/>
      <c r="E1713" s="497">
        <v>0</v>
      </c>
      <c r="F1713" s="263"/>
      <c r="G1713" s="274"/>
    </row>
    <row r="1714" spans="1:7" ht="17.45" customHeight="1">
      <c r="A1714" s="261" t="s">
        <v>8</v>
      </c>
      <c r="C1714" s="271" t="s">
        <v>1332</v>
      </c>
      <c r="D1714" s="497"/>
      <c r="E1714" s="499">
        <v>42900</v>
      </c>
      <c r="F1714" s="263"/>
      <c r="G1714" s="275"/>
    </row>
    <row r="1715" spans="1:7" ht="17.45" customHeight="1">
      <c r="A1715" s="261" t="s">
        <v>8</v>
      </c>
      <c r="C1715" s="271" t="s">
        <v>1271</v>
      </c>
      <c r="D1715" s="497"/>
      <c r="E1715" s="497">
        <v>0</v>
      </c>
      <c r="F1715" s="263"/>
      <c r="G1715" s="274"/>
    </row>
    <row r="1716" spans="1:7" ht="17.45" customHeight="1">
      <c r="A1716" s="261" t="s">
        <v>8</v>
      </c>
      <c r="C1716" s="271" t="s">
        <v>1272</v>
      </c>
      <c r="D1716" s="497"/>
      <c r="E1716" s="499">
        <v>7470</v>
      </c>
      <c r="F1716" s="263"/>
      <c r="G1716" s="273"/>
    </row>
    <row r="1717" spans="1:7" ht="17.45" customHeight="1">
      <c r="A1717" s="261" t="s">
        <v>8</v>
      </c>
      <c r="C1717" s="271" t="s">
        <v>1273</v>
      </c>
      <c r="D1717" s="497"/>
      <c r="E1717" s="499">
        <v>29920</v>
      </c>
      <c r="F1717" s="263"/>
      <c r="G1717" s="273"/>
    </row>
    <row r="1718" spans="1:7" ht="17.45" customHeight="1">
      <c r="A1718" s="261" t="s">
        <v>8</v>
      </c>
      <c r="C1718" s="271" t="s">
        <v>1274</v>
      </c>
      <c r="D1718" s="497"/>
      <c r="E1718" s="499">
        <v>9405</v>
      </c>
      <c r="F1718" s="263"/>
      <c r="G1718" s="273"/>
    </row>
    <row r="1719" spans="1:7" ht="17.45" customHeight="1">
      <c r="A1719" s="261" t="s">
        <v>8</v>
      </c>
      <c r="C1719" s="271" t="s">
        <v>1275</v>
      </c>
      <c r="D1719" s="497"/>
      <c r="E1719" s="499">
        <v>26450</v>
      </c>
      <c r="F1719" s="263"/>
      <c r="G1719" s="273"/>
    </row>
    <row r="1720" spans="1:7" ht="17.45" customHeight="1">
      <c r="A1720" s="261" t="s">
        <v>8</v>
      </c>
      <c r="C1720" s="271" t="s">
        <v>2168</v>
      </c>
      <c r="D1720" s="497"/>
      <c r="E1720" s="499">
        <v>18816</v>
      </c>
      <c r="F1720" s="263"/>
      <c r="G1720" s="273"/>
    </row>
    <row r="1721" spans="1:7" ht="17.45" customHeight="1">
      <c r="A1721" s="261" t="s">
        <v>8</v>
      </c>
      <c r="C1721" s="271" t="s">
        <v>1517</v>
      </c>
      <c r="D1721" s="497"/>
      <c r="E1721" s="497">
        <v>0</v>
      </c>
      <c r="F1721" s="263"/>
      <c r="G1721" s="273"/>
    </row>
    <row r="1722" spans="1:7" ht="17.45" customHeight="1">
      <c r="A1722" s="261" t="s">
        <v>8</v>
      </c>
      <c r="C1722" s="271" t="s">
        <v>1276</v>
      </c>
      <c r="D1722" s="497"/>
      <c r="E1722" s="499">
        <v>316760</v>
      </c>
      <c r="F1722" s="263"/>
      <c r="G1722" s="273"/>
    </row>
    <row r="1723" spans="1:7" ht="17.45" customHeight="1">
      <c r="A1723" s="261" t="s">
        <v>8</v>
      </c>
      <c r="C1723" s="271" t="s">
        <v>1277</v>
      </c>
      <c r="D1723" s="497"/>
      <c r="E1723" s="499">
        <v>18950</v>
      </c>
      <c r="F1723" s="263"/>
      <c r="G1723" s="273"/>
    </row>
    <row r="1724" spans="1:7" ht="17.45" customHeight="1">
      <c r="A1724" s="261" t="s">
        <v>8</v>
      </c>
      <c r="C1724" s="271" t="s">
        <v>1278</v>
      </c>
      <c r="D1724" s="497"/>
      <c r="E1724" s="499">
        <v>200000</v>
      </c>
      <c r="F1724" s="263"/>
      <c r="G1724" s="273"/>
    </row>
    <row r="1725" spans="1:7" ht="17.45" customHeight="1">
      <c r="A1725" s="261" t="s">
        <v>8</v>
      </c>
      <c r="C1725" s="285" t="s">
        <v>1413</v>
      </c>
      <c r="D1725" s="506"/>
      <c r="E1725" s="507">
        <v>1300000</v>
      </c>
      <c r="F1725" s="286"/>
      <c r="G1725" s="287"/>
    </row>
    <row r="1726" spans="1:7" ht="17.45" customHeight="1" thickBot="1">
      <c r="A1726" s="261" t="s">
        <v>8</v>
      </c>
      <c r="C1726" s="285" t="s">
        <v>1942</v>
      </c>
      <c r="D1726" s="506"/>
      <c r="E1726" s="507">
        <v>20000</v>
      </c>
      <c r="F1726" s="286"/>
      <c r="G1726" s="290"/>
    </row>
    <row r="1727" spans="1:7" ht="17.45" customHeight="1">
      <c r="A1727" s="261" t="s">
        <v>8</v>
      </c>
      <c r="C1727" s="268" t="s">
        <v>1280</v>
      </c>
      <c r="D1727" s="501"/>
      <c r="E1727" s="500">
        <v>50000</v>
      </c>
      <c r="F1727" s="269"/>
      <c r="G1727" s="288"/>
    </row>
    <row r="1728" spans="1:7" ht="17.45" customHeight="1">
      <c r="A1728" s="261" t="s">
        <v>8</v>
      </c>
      <c r="C1728" s="271" t="s">
        <v>1549</v>
      </c>
      <c r="D1728" s="497"/>
      <c r="E1728" s="497"/>
      <c r="F1728" s="263"/>
      <c r="G1728" s="275"/>
    </row>
    <row r="1729" spans="1:7" ht="17.45" customHeight="1">
      <c r="A1729" s="261" t="s">
        <v>8</v>
      </c>
      <c r="C1729" s="271" t="s">
        <v>1819</v>
      </c>
      <c r="D1729" s="497"/>
      <c r="E1729" s="497"/>
      <c r="F1729" s="263"/>
      <c r="G1729" s="275"/>
    </row>
    <row r="1730" spans="1:7" ht="17.45" customHeight="1">
      <c r="A1730" s="261" t="s">
        <v>8</v>
      </c>
      <c r="C1730" s="271" t="s">
        <v>391</v>
      </c>
      <c r="D1730" s="497"/>
      <c r="E1730" s="497"/>
      <c r="F1730" s="263"/>
      <c r="G1730" s="275"/>
    </row>
    <row r="1731" spans="1:7" ht="17.45" customHeight="1">
      <c r="A1731" s="261" t="s">
        <v>8</v>
      </c>
      <c r="C1731" s="271" t="s">
        <v>1934</v>
      </c>
      <c r="D1731" s="497"/>
      <c r="E1731" s="497"/>
      <c r="F1731" s="263"/>
      <c r="G1731" s="275"/>
    </row>
    <row r="1732" spans="1:7" ht="17.25" customHeight="1">
      <c r="A1732" s="261" t="s">
        <v>8</v>
      </c>
      <c r="C1732" s="271" t="s">
        <v>2202</v>
      </c>
      <c r="D1732" s="497"/>
      <c r="E1732" s="499">
        <v>50000</v>
      </c>
      <c r="F1732" s="263"/>
      <c r="G1732" s="275"/>
    </row>
    <row r="1733" spans="1:7" ht="17.45" customHeight="1">
      <c r="A1733" s="261" t="s">
        <v>8</v>
      </c>
      <c r="C1733" s="271" t="s">
        <v>2097</v>
      </c>
      <c r="D1733" s="497"/>
      <c r="E1733" s="499">
        <v>200000</v>
      </c>
      <c r="F1733" s="263"/>
      <c r="G1733" s="275"/>
    </row>
    <row r="1734" spans="1:7" ht="17.45" customHeight="1">
      <c r="A1734" s="261" t="s">
        <v>8</v>
      </c>
      <c r="C1734" s="271" t="s">
        <v>1484</v>
      </c>
      <c r="D1734" s="497"/>
      <c r="E1734" s="497"/>
      <c r="F1734" s="263"/>
      <c r="G1734" s="275"/>
    </row>
    <row r="1735" spans="1:7" ht="17.45" customHeight="1">
      <c r="A1735" s="261" t="s">
        <v>8</v>
      </c>
      <c r="C1735" s="271" t="s">
        <v>1687</v>
      </c>
      <c r="D1735" s="497"/>
      <c r="E1735" s="497"/>
      <c r="F1735" s="263"/>
      <c r="G1735" s="275"/>
    </row>
    <row r="1736" spans="1:7" ht="17.45" customHeight="1">
      <c r="A1736" s="261" t="s">
        <v>8</v>
      </c>
      <c r="C1736" s="271" t="s">
        <v>1688</v>
      </c>
      <c r="D1736" s="497"/>
      <c r="E1736" s="499">
        <v>55000</v>
      </c>
      <c r="F1736" s="263"/>
      <c r="G1736" s="275"/>
    </row>
    <row r="1737" spans="1:7" ht="17.45" customHeight="1">
      <c r="A1737" s="261" t="s">
        <v>8</v>
      </c>
      <c r="C1737" s="271" t="s">
        <v>1596</v>
      </c>
      <c r="D1737" s="497"/>
      <c r="E1737" s="497"/>
      <c r="F1737" s="263"/>
      <c r="G1737" s="275"/>
    </row>
    <row r="1738" spans="1:7" ht="17.45" customHeight="1">
      <c r="A1738" s="261" t="s">
        <v>8</v>
      </c>
      <c r="C1738" s="271" t="s">
        <v>1595</v>
      </c>
      <c r="D1738" s="497"/>
      <c r="E1738" s="497"/>
      <c r="F1738" s="263"/>
      <c r="G1738" s="275"/>
    </row>
    <row r="1739" spans="1:7" ht="17.45" customHeight="1">
      <c r="A1739" s="261" t="s">
        <v>8</v>
      </c>
      <c r="C1739" s="271" t="s">
        <v>1613</v>
      </c>
      <c r="D1739" s="497"/>
      <c r="E1739" s="499">
        <f>9600+8900+8400+2900</f>
        <v>29800</v>
      </c>
      <c r="F1739" s="263"/>
      <c r="G1739" s="275"/>
    </row>
    <row r="1740" spans="1:7" ht="17.45" customHeight="1">
      <c r="A1740" s="261" t="s">
        <v>8</v>
      </c>
      <c r="C1740" s="271" t="s">
        <v>1689</v>
      </c>
      <c r="D1740" s="497"/>
      <c r="E1740" s="499">
        <v>59150</v>
      </c>
      <c r="F1740" s="263"/>
      <c r="G1740" s="275"/>
    </row>
    <row r="1741" spans="1:7" ht="17.45" customHeight="1">
      <c r="A1741" s="261" t="s">
        <v>8</v>
      </c>
      <c r="C1741" s="271" t="s">
        <v>1569</v>
      </c>
      <c r="D1741" s="497"/>
      <c r="E1741" s="497"/>
      <c r="F1741" s="263"/>
      <c r="G1741" s="275"/>
    </row>
    <row r="1742" spans="1:7" ht="17.45" customHeight="1">
      <c r="A1742" s="261" t="s">
        <v>8</v>
      </c>
      <c r="C1742" s="271" t="s">
        <v>1618</v>
      </c>
      <c r="D1742" s="497"/>
      <c r="E1742" s="499">
        <f>12510+45200+35380+2800</f>
        <v>95890</v>
      </c>
      <c r="F1742" s="263"/>
      <c r="G1742" s="275"/>
    </row>
    <row r="1743" spans="1:7" ht="17.45" customHeight="1">
      <c r="A1743" s="261" t="s">
        <v>8</v>
      </c>
      <c r="C1743" s="271" t="s">
        <v>1800</v>
      </c>
      <c r="D1743" s="497"/>
      <c r="E1743" s="499">
        <v>20000</v>
      </c>
      <c r="F1743" s="263"/>
      <c r="G1743" s="275"/>
    </row>
    <row r="1744" spans="1:7" ht="17.45" customHeight="1" thickBot="1">
      <c r="A1744" s="261" t="s">
        <v>8</v>
      </c>
      <c r="C1744" s="276" t="s">
        <v>1594</v>
      </c>
      <c r="D1744" s="502"/>
      <c r="E1744" s="503">
        <f>16500</f>
        <v>16500</v>
      </c>
      <c r="F1744" s="277"/>
      <c r="G1744" s="282"/>
    </row>
    <row r="1745" spans="1:7" ht="17.45" customHeight="1">
      <c r="A1745" s="261" t="s">
        <v>8</v>
      </c>
      <c r="C1745" s="279" t="s">
        <v>2200</v>
      </c>
      <c r="D1745" s="504"/>
      <c r="E1745" s="505">
        <v>300000</v>
      </c>
      <c r="F1745" s="280"/>
      <c r="G1745" s="281"/>
    </row>
    <row r="1746" spans="1:7" ht="17.45" customHeight="1">
      <c r="A1746" s="261" t="s">
        <v>8</v>
      </c>
      <c r="C1746" s="271" t="s">
        <v>2201</v>
      </c>
      <c r="D1746" s="497"/>
      <c r="E1746" s="499">
        <v>10500</v>
      </c>
      <c r="F1746" s="263"/>
      <c r="G1746" s="275"/>
    </row>
    <row r="1747" spans="1:7" ht="17.45" customHeight="1">
      <c r="A1747" s="261" t="s">
        <v>8</v>
      </c>
      <c r="C1747" s="271" t="s">
        <v>2203</v>
      </c>
      <c r="D1747" s="497"/>
      <c r="E1747" s="499">
        <v>36000</v>
      </c>
      <c r="F1747" s="263"/>
      <c r="G1747" s="275"/>
    </row>
    <row r="1748" spans="1:7" ht="17.45" customHeight="1">
      <c r="A1748" s="261" t="s">
        <v>8</v>
      </c>
      <c r="C1748" s="271" t="s">
        <v>1680</v>
      </c>
      <c r="D1748" s="497"/>
      <c r="E1748" s="499">
        <v>3350</v>
      </c>
      <c r="F1748" s="263"/>
      <c r="G1748" s="275"/>
    </row>
    <row r="1749" spans="1:7" ht="17.45" customHeight="1">
      <c r="A1749" s="261" t="s">
        <v>8</v>
      </c>
      <c r="C1749" s="271" t="s">
        <v>2204</v>
      </c>
      <c r="D1749" s="497"/>
      <c r="E1749" s="499">
        <v>11000</v>
      </c>
      <c r="F1749" s="263"/>
      <c r="G1749" s="275"/>
    </row>
    <row r="1750" spans="1:7" ht="17.45" customHeight="1">
      <c r="A1750" s="261" t="s">
        <v>8</v>
      </c>
      <c r="C1750" s="271" t="s">
        <v>2205</v>
      </c>
      <c r="D1750" s="497"/>
      <c r="E1750" s="499">
        <v>20000</v>
      </c>
      <c r="F1750" s="263"/>
      <c r="G1750" s="275"/>
    </row>
    <row r="1751" spans="1:7" ht="17.45" customHeight="1">
      <c r="A1751" s="261" t="s">
        <v>8</v>
      </c>
      <c r="C1751" s="271" t="s">
        <v>2206</v>
      </c>
      <c r="D1751" s="497"/>
      <c r="E1751" s="499">
        <v>6000</v>
      </c>
      <c r="F1751" s="263"/>
      <c r="G1751" s="275"/>
    </row>
    <row r="1752" spans="1:7" ht="17.45" customHeight="1">
      <c r="A1752" s="261" t="s">
        <v>8</v>
      </c>
      <c r="C1752" s="271" t="s">
        <v>2207</v>
      </c>
      <c r="D1752" s="497"/>
      <c r="E1752" s="499">
        <f>45400*2-43200</f>
        <v>47600</v>
      </c>
      <c r="F1752" s="263"/>
      <c r="G1752" s="275"/>
    </row>
    <row r="1753" spans="1:7" ht="17.45" customHeight="1">
      <c r="A1753" s="261" t="s">
        <v>8</v>
      </c>
      <c r="C1753" s="271" t="s">
        <v>2208</v>
      </c>
      <c r="D1753" s="497"/>
      <c r="E1753" s="499">
        <v>59400</v>
      </c>
      <c r="F1753" s="263"/>
      <c r="G1753" s="275"/>
    </row>
    <row r="1754" spans="1:7" ht="17.45" customHeight="1">
      <c r="A1754" s="261" t="s">
        <v>8</v>
      </c>
      <c r="C1754" s="271" t="s">
        <v>1693</v>
      </c>
      <c r="D1754" s="497"/>
      <c r="E1754" s="499">
        <v>8400</v>
      </c>
      <c r="F1754" s="263"/>
      <c r="G1754" s="275"/>
    </row>
    <row r="1755" spans="1:7" ht="17.45" customHeight="1">
      <c r="A1755" s="261" t="s">
        <v>8</v>
      </c>
      <c r="C1755" s="271" t="s">
        <v>2212</v>
      </c>
      <c r="D1755" s="497"/>
      <c r="E1755" s="499">
        <v>50000</v>
      </c>
      <c r="F1755" s="263"/>
      <c r="G1755" s="275"/>
    </row>
    <row r="1756" spans="1:7" ht="17.45" customHeight="1">
      <c r="A1756" s="261" t="s">
        <v>8</v>
      </c>
      <c r="C1756" s="271" t="s">
        <v>2210</v>
      </c>
      <c r="D1756" s="497"/>
      <c r="E1756" s="499">
        <v>200000</v>
      </c>
      <c r="F1756" s="263"/>
      <c r="G1756" s="275"/>
    </row>
    <row r="1757" spans="1:7" ht="17.45" customHeight="1">
      <c r="A1757" s="261" t="s">
        <v>8</v>
      </c>
      <c r="C1757" s="271" t="s">
        <v>2216</v>
      </c>
      <c r="D1757" s="497"/>
      <c r="E1757" s="499">
        <v>200000</v>
      </c>
      <c r="F1757" s="263"/>
      <c r="G1757" s="275"/>
    </row>
    <row r="1758" spans="1:7" ht="17.45" customHeight="1">
      <c r="A1758" s="261" t="s">
        <v>8</v>
      </c>
      <c r="C1758" s="271" t="s">
        <v>2211</v>
      </c>
      <c r="D1758" s="497"/>
      <c r="E1758" s="499">
        <v>27000</v>
      </c>
      <c r="F1758" s="263"/>
      <c r="G1758" s="275"/>
    </row>
    <row r="1759" spans="1:7" ht="17.45" customHeight="1">
      <c r="A1759" s="261" t="s">
        <v>8</v>
      </c>
      <c r="C1759" s="271" t="s">
        <v>2209</v>
      </c>
      <c r="D1759" s="497"/>
      <c r="E1759" s="499">
        <f>49100+47800-47800+900+129200+130200-103400-25800</f>
        <v>180200</v>
      </c>
      <c r="F1759" s="263"/>
      <c r="G1759" s="275"/>
    </row>
    <row r="1760" spans="1:7" ht="17.45" customHeight="1">
      <c r="A1760" s="261" t="s">
        <v>8</v>
      </c>
      <c r="C1760" s="271" t="s">
        <v>2213</v>
      </c>
      <c r="D1760" s="497"/>
      <c r="E1760" s="499">
        <v>35000</v>
      </c>
      <c r="F1760" s="263"/>
      <c r="G1760" s="275"/>
    </row>
    <row r="1761" spans="1:7" ht="17.45" customHeight="1">
      <c r="A1761" s="261" t="s">
        <v>8</v>
      </c>
      <c r="C1761" s="271" t="s">
        <v>2214</v>
      </c>
      <c r="D1761" s="497"/>
      <c r="E1761" s="499">
        <v>439713</v>
      </c>
      <c r="F1761" s="263"/>
      <c r="G1761" s="275"/>
    </row>
    <row r="1762" spans="1:7" ht="17.45" customHeight="1">
      <c r="A1762" s="261" t="s">
        <v>8</v>
      </c>
      <c r="C1762" s="271" t="s">
        <v>2215</v>
      </c>
      <c r="D1762" s="497"/>
      <c r="E1762" s="499">
        <f>147100+137500-59800-29900-57400+800</f>
        <v>138300</v>
      </c>
      <c r="F1762" s="263"/>
      <c r="G1762" s="275"/>
    </row>
    <row r="1763" spans="1:7" ht="17.45" customHeight="1">
      <c r="A1763" s="261" t="s">
        <v>8</v>
      </c>
      <c r="C1763" s="271" t="s">
        <v>2217</v>
      </c>
      <c r="D1763" s="499">
        <f>85700+76000+76000+76000</f>
        <v>313700</v>
      </c>
      <c r="E1763" s="499">
        <f>95700+86000+86000+86000</f>
        <v>353700</v>
      </c>
      <c r="F1763" s="263"/>
      <c r="G1763" s="275"/>
    </row>
    <row r="1764" spans="1:7" ht="17.45" customHeight="1">
      <c r="A1764" s="261" t="s">
        <v>8</v>
      </c>
      <c r="C1764" s="271" t="s">
        <v>1690</v>
      </c>
      <c r="D1764" s="497"/>
      <c r="E1764" s="499">
        <v>10000</v>
      </c>
      <c r="F1764" s="263"/>
      <c r="G1764" s="275"/>
    </row>
    <row r="1765" spans="1:7" ht="17.45" customHeight="1">
      <c r="A1765" s="261" t="s">
        <v>8</v>
      </c>
      <c r="C1765" s="271" t="s">
        <v>1644</v>
      </c>
      <c r="D1765" s="497"/>
      <c r="E1765" s="499">
        <v>15600</v>
      </c>
      <c r="F1765" s="263"/>
      <c r="G1765" s="275"/>
    </row>
    <row r="1766" spans="1:7" ht="17.45" customHeight="1">
      <c r="A1766" s="261" t="s">
        <v>8</v>
      </c>
      <c r="C1766" s="271" t="s">
        <v>2223</v>
      </c>
      <c r="D1766" s="497"/>
      <c r="E1766" s="499">
        <v>18000</v>
      </c>
      <c r="F1766" s="263"/>
      <c r="G1766" s="275"/>
    </row>
    <row r="1767" spans="1:7" ht="17.45" customHeight="1">
      <c r="A1767" s="261" t="s">
        <v>8</v>
      </c>
      <c r="C1767" s="271" t="s">
        <v>2224</v>
      </c>
      <c r="D1767" s="497"/>
      <c r="E1767" s="499">
        <v>3500</v>
      </c>
      <c r="F1767" s="263"/>
      <c r="G1767" s="275"/>
    </row>
    <row r="1768" spans="1:7" ht="17.45" customHeight="1">
      <c r="A1768" s="261" t="s">
        <v>8</v>
      </c>
      <c r="C1768" s="271" t="s">
        <v>2225</v>
      </c>
      <c r="D1768" s="497"/>
      <c r="E1768" s="499">
        <v>100000</v>
      </c>
      <c r="F1768" s="263"/>
      <c r="G1768" s="275"/>
    </row>
    <row r="1769" spans="1:7" ht="17.45" customHeight="1">
      <c r="A1769" s="261" t="s">
        <v>8</v>
      </c>
      <c r="C1769" s="271" t="s">
        <v>1964</v>
      </c>
      <c r="D1769" s="497"/>
      <c r="E1769" s="499">
        <v>15900</v>
      </c>
      <c r="F1769" s="263"/>
      <c r="G1769" s="275"/>
    </row>
    <row r="1770" spans="1:7" ht="17.45" customHeight="1">
      <c r="A1770" s="261" t="s">
        <v>8</v>
      </c>
      <c r="C1770" s="271" t="s">
        <v>2226</v>
      </c>
      <c r="D1770" s="499">
        <v>10000</v>
      </c>
      <c r="E1770" s="499">
        <v>29100</v>
      </c>
      <c r="F1770" s="263"/>
      <c r="G1770" s="275"/>
    </row>
    <row r="1771" spans="1:7" ht="17.45" customHeight="1">
      <c r="A1771" s="261" t="s">
        <v>8</v>
      </c>
      <c r="C1771" s="271"/>
      <c r="D1771" s="497"/>
      <c r="E1771" s="497"/>
      <c r="F1771" s="263"/>
      <c r="G1771" s="275"/>
    </row>
    <row r="1772" spans="1:7" ht="17.45" customHeight="1">
      <c r="A1772" s="261" t="s">
        <v>8</v>
      </c>
      <c r="C1772" s="271"/>
      <c r="D1772" s="497"/>
      <c r="E1772" s="497"/>
      <c r="F1772" s="263"/>
      <c r="G1772" s="275"/>
    </row>
    <row r="1773" spans="1:7" ht="17.45" customHeight="1">
      <c r="A1773" s="261" t="s">
        <v>8</v>
      </c>
      <c r="C1773" s="271"/>
      <c r="D1773" s="497"/>
      <c r="E1773" s="497"/>
      <c r="F1773" s="263"/>
      <c r="G1773" s="275"/>
    </row>
    <row r="1774" spans="1:7" ht="17.45" customHeight="1">
      <c r="A1774" s="261" t="s">
        <v>8</v>
      </c>
      <c r="C1774" s="271"/>
      <c r="D1774" s="497"/>
      <c r="E1774" s="497"/>
      <c r="F1774" s="263"/>
      <c r="G1774" s="275"/>
    </row>
    <row r="1775" spans="1:7" ht="17.45" customHeight="1">
      <c r="A1775" s="261" t="s">
        <v>8</v>
      </c>
      <c r="C1775" s="271"/>
      <c r="D1775" s="497"/>
      <c r="E1775" s="497"/>
      <c r="F1775" s="263"/>
      <c r="G1775" s="275"/>
    </row>
    <row r="1776" spans="1:7" ht="17.45" customHeight="1" thickBot="1">
      <c r="A1776" s="261" t="s">
        <v>8</v>
      </c>
      <c r="C1776" s="276" t="s">
        <v>1300</v>
      </c>
      <c r="D1776" s="502">
        <f>SUM(D1708:D1775)-SUM(E1708:E1775)</f>
        <v>52497</v>
      </c>
      <c r="E1776" s="502">
        <f>SUM(E1708:E1775)-SUM(F1708:F1775)</f>
        <v>6103374</v>
      </c>
      <c r="F1776" s="277"/>
      <c r="G1776" s="283"/>
    </row>
    <row r="1777" spans="1:7">
      <c r="A1777" s="261" t="s">
        <v>8</v>
      </c>
    </row>
    <row r="1778" spans="1:7" ht="12.75" thickBot="1">
      <c r="A1778" s="261" t="s">
        <v>8</v>
      </c>
    </row>
    <row r="1779" spans="1:7" ht="17.45" customHeight="1">
      <c r="A1779" s="261" t="s">
        <v>8</v>
      </c>
      <c r="B1779" s="256" t="s">
        <v>2227</v>
      </c>
      <c r="C1779" s="268" t="s">
        <v>1268</v>
      </c>
      <c r="D1779" s="500">
        <v>6674414</v>
      </c>
      <c r="E1779" s="501"/>
      <c r="F1779" s="269"/>
      <c r="G1779" s="270"/>
    </row>
    <row r="1780" spans="1:7" ht="17.45" customHeight="1">
      <c r="A1780" s="261" t="s">
        <v>8</v>
      </c>
      <c r="B1780" s="257"/>
      <c r="C1780" s="271" t="s">
        <v>1269</v>
      </c>
      <c r="D1780" s="497"/>
      <c r="E1780" s="499">
        <v>414000</v>
      </c>
      <c r="F1780" s="263"/>
      <c r="G1780" s="272" t="s">
        <v>2228</v>
      </c>
    </row>
    <row r="1781" spans="1:7" ht="17.45" customHeight="1">
      <c r="A1781" s="261" t="s">
        <v>8</v>
      </c>
      <c r="C1781" s="271" t="s">
        <v>1270</v>
      </c>
      <c r="D1781" s="497"/>
      <c r="E1781" s="499">
        <v>866000</v>
      </c>
      <c r="F1781" s="263"/>
      <c r="G1781" s="273" t="s">
        <v>2192</v>
      </c>
    </row>
    <row r="1782" spans="1:7" ht="17.45" customHeight="1">
      <c r="A1782" s="261" t="s">
        <v>8</v>
      </c>
      <c r="C1782" s="271" t="s">
        <v>1670</v>
      </c>
      <c r="D1782" s="497"/>
      <c r="E1782" s="499">
        <v>26010</v>
      </c>
      <c r="F1782" s="263"/>
      <c r="G1782" s="274"/>
    </row>
    <row r="1783" spans="1:7" ht="17.45" customHeight="1">
      <c r="A1783" s="261" t="s">
        <v>8</v>
      </c>
      <c r="C1783" s="271" t="s">
        <v>1672</v>
      </c>
      <c r="D1783" s="497"/>
      <c r="E1783" s="499">
        <v>42090</v>
      </c>
      <c r="F1783" s="263"/>
      <c r="G1783" s="274"/>
    </row>
    <row r="1784" spans="1:7" ht="17.45" customHeight="1">
      <c r="A1784" s="261" t="s">
        <v>8</v>
      </c>
      <c r="C1784" s="271" t="s">
        <v>1673</v>
      </c>
      <c r="D1784" s="497"/>
      <c r="E1784" s="497">
        <v>0</v>
      </c>
      <c r="F1784" s="263"/>
      <c r="G1784" s="274"/>
    </row>
    <row r="1785" spans="1:7" ht="17.45" customHeight="1">
      <c r="A1785" s="261" t="s">
        <v>8</v>
      </c>
      <c r="C1785" s="271" t="s">
        <v>1332</v>
      </c>
      <c r="D1785" s="497"/>
      <c r="E1785" s="499">
        <v>42900</v>
      </c>
      <c r="F1785" s="263"/>
      <c r="G1785" s="275"/>
    </row>
    <row r="1786" spans="1:7" ht="17.45" customHeight="1">
      <c r="A1786" s="261" t="s">
        <v>8</v>
      </c>
      <c r="C1786" s="271" t="s">
        <v>1271</v>
      </c>
      <c r="D1786" s="497"/>
      <c r="E1786" s="497">
        <v>0</v>
      </c>
      <c r="F1786" s="263"/>
      <c r="G1786" s="274"/>
    </row>
    <row r="1787" spans="1:7" ht="17.45" customHeight="1">
      <c r="A1787" s="261" t="s">
        <v>8</v>
      </c>
      <c r="C1787" s="271" t="s">
        <v>1272</v>
      </c>
      <c r="D1787" s="497"/>
      <c r="E1787" s="499">
        <v>7470</v>
      </c>
      <c r="F1787" s="263"/>
      <c r="G1787" s="273"/>
    </row>
    <row r="1788" spans="1:7" ht="17.45" customHeight="1">
      <c r="A1788" s="261" t="s">
        <v>8</v>
      </c>
      <c r="C1788" s="271" t="s">
        <v>1273</v>
      </c>
      <c r="D1788" s="497"/>
      <c r="E1788" s="499">
        <v>29920</v>
      </c>
      <c r="F1788" s="263"/>
      <c r="G1788" s="273"/>
    </row>
    <row r="1789" spans="1:7" ht="17.45" customHeight="1">
      <c r="A1789" s="261" t="s">
        <v>8</v>
      </c>
      <c r="C1789" s="271" t="s">
        <v>1274</v>
      </c>
      <c r="D1789" s="497"/>
      <c r="E1789" s="499">
        <v>9405</v>
      </c>
      <c r="F1789" s="263"/>
      <c r="G1789" s="273"/>
    </row>
    <row r="1790" spans="1:7" ht="17.45" customHeight="1">
      <c r="A1790" s="261" t="s">
        <v>8</v>
      </c>
      <c r="C1790" s="271" t="s">
        <v>1275</v>
      </c>
      <c r="D1790" s="497"/>
      <c r="E1790" s="499">
        <v>26450</v>
      </c>
      <c r="F1790" s="263"/>
      <c r="G1790" s="273"/>
    </row>
    <row r="1791" spans="1:7" ht="17.45" customHeight="1">
      <c r="A1791" s="261" t="s">
        <v>8</v>
      </c>
      <c r="C1791" s="271" t="s">
        <v>2168</v>
      </c>
      <c r="D1791" s="497"/>
      <c r="E1791" s="499">
        <v>18816</v>
      </c>
      <c r="F1791" s="263"/>
      <c r="G1791" s="273"/>
    </row>
    <row r="1792" spans="1:7" ht="17.45" customHeight="1">
      <c r="A1792" s="261" t="s">
        <v>8</v>
      </c>
      <c r="C1792" s="271" t="s">
        <v>1517</v>
      </c>
      <c r="D1792" s="497"/>
      <c r="E1792" s="499">
        <v>23230</v>
      </c>
      <c r="F1792" s="263"/>
      <c r="G1792" s="273"/>
    </row>
    <row r="1793" spans="1:7" ht="17.45" customHeight="1">
      <c r="A1793" s="261" t="s">
        <v>8</v>
      </c>
      <c r="C1793" s="271" t="s">
        <v>1276</v>
      </c>
      <c r="D1793" s="497"/>
      <c r="E1793" s="499">
        <v>291810</v>
      </c>
      <c r="F1793" s="263"/>
      <c r="G1793" s="273"/>
    </row>
    <row r="1794" spans="1:7" ht="17.45" customHeight="1">
      <c r="A1794" s="261" t="s">
        <v>8</v>
      </c>
      <c r="C1794" s="271" t="s">
        <v>1277</v>
      </c>
      <c r="D1794" s="497"/>
      <c r="E1794" s="499">
        <v>16940</v>
      </c>
      <c r="F1794" s="263"/>
      <c r="G1794" s="273"/>
    </row>
    <row r="1795" spans="1:7" ht="17.45" customHeight="1">
      <c r="A1795" s="261" t="s">
        <v>8</v>
      </c>
      <c r="C1795" s="271" t="s">
        <v>1278</v>
      </c>
      <c r="D1795" s="497"/>
      <c r="E1795" s="499">
        <v>200000</v>
      </c>
      <c r="F1795" s="263"/>
      <c r="G1795" s="273"/>
    </row>
    <row r="1796" spans="1:7" ht="17.45" customHeight="1">
      <c r="A1796" s="261" t="s">
        <v>8</v>
      </c>
      <c r="C1796" s="285" t="s">
        <v>1413</v>
      </c>
      <c r="D1796" s="506"/>
      <c r="E1796" s="507">
        <v>1300000</v>
      </c>
      <c r="F1796" s="286"/>
      <c r="G1796" s="287"/>
    </row>
    <row r="1797" spans="1:7" ht="17.45" customHeight="1" thickBot="1">
      <c r="A1797" s="261" t="s">
        <v>8</v>
      </c>
      <c r="C1797" s="285" t="s">
        <v>1942</v>
      </c>
      <c r="D1797" s="506"/>
      <c r="E1797" s="507">
        <v>20000</v>
      </c>
      <c r="F1797" s="286"/>
      <c r="G1797" s="290"/>
    </row>
    <row r="1798" spans="1:7" ht="17.45" customHeight="1">
      <c r="A1798" s="261" t="s">
        <v>8</v>
      </c>
      <c r="C1798" s="268" t="s">
        <v>1280</v>
      </c>
      <c r="D1798" s="501"/>
      <c r="E1798" s="500">
        <f>50000+50000</f>
        <v>100000</v>
      </c>
      <c r="F1798" s="269"/>
      <c r="G1798" s="288"/>
    </row>
    <row r="1799" spans="1:7" ht="17.45" customHeight="1">
      <c r="A1799" s="261" t="s">
        <v>8</v>
      </c>
      <c r="C1799" s="271" t="s">
        <v>1549</v>
      </c>
      <c r="D1799" s="497"/>
      <c r="E1799" s="497"/>
      <c r="F1799" s="263"/>
      <c r="G1799" s="275"/>
    </row>
    <row r="1800" spans="1:7" ht="17.45" customHeight="1">
      <c r="A1800" s="261" t="s">
        <v>8</v>
      </c>
      <c r="C1800" s="271" t="s">
        <v>1819</v>
      </c>
      <c r="D1800" s="497"/>
      <c r="E1800" s="497"/>
      <c r="F1800" s="263"/>
      <c r="G1800" s="275"/>
    </row>
    <row r="1801" spans="1:7" ht="17.45" customHeight="1">
      <c r="A1801" s="261" t="s">
        <v>8</v>
      </c>
      <c r="C1801" s="271" t="s">
        <v>391</v>
      </c>
      <c r="D1801" s="497"/>
      <c r="E1801" s="497"/>
      <c r="F1801" s="263"/>
      <c r="G1801" s="275"/>
    </row>
    <row r="1802" spans="1:7" ht="17.45" customHeight="1">
      <c r="A1802" s="261" t="s">
        <v>8</v>
      </c>
      <c r="C1802" s="271" t="s">
        <v>1934</v>
      </c>
      <c r="D1802" s="497"/>
      <c r="E1802" s="497"/>
      <c r="F1802" s="263"/>
      <c r="G1802" s="275"/>
    </row>
    <row r="1803" spans="1:7" ht="17.25" customHeight="1">
      <c r="A1803" s="261" t="s">
        <v>8</v>
      </c>
      <c r="C1803" s="271" t="s">
        <v>2202</v>
      </c>
      <c r="D1803" s="497"/>
      <c r="E1803" s="497"/>
      <c r="F1803" s="263"/>
      <c r="G1803" s="275"/>
    </row>
    <row r="1804" spans="1:7" ht="17.45" customHeight="1">
      <c r="A1804" s="261" t="s">
        <v>8</v>
      </c>
      <c r="C1804" s="271" t="s">
        <v>2097</v>
      </c>
      <c r="D1804" s="497"/>
      <c r="E1804" s="499">
        <v>200000</v>
      </c>
      <c r="F1804" s="263"/>
      <c r="G1804" s="275"/>
    </row>
    <row r="1805" spans="1:7" ht="17.45" customHeight="1">
      <c r="A1805" s="261" t="s">
        <v>8</v>
      </c>
      <c r="C1805" s="271" t="s">
        <v>1687</v>
      </c>
      <c r="D1805" s="497"/>
      <c r="E1805" s="497"/>
      <c r="F1805" s="263"/>
      <c r="G1805" s="275"/>
    </row>
    <row r="1806" spans="1:7" ht="17.45" customHeight="1">
      <c r="A1806" s="261" t="s">
        <v>8</v>
      </c>
      <c r="C1806" s="271" t="s">
        <v>1688</v>
      </c>
      <c r="D1806" s="497"/>
      <c r="E1806" s="499">
        <v>55000</v>
      </c>
      <c r="F1806" s="263"/>
      <c r="G1806" s="275"/>
    </row>
    <row r="1807" spans="1:7" ht="17.45" customHeight="1">
      <c r="A1807" s="261" t="s">
        <v>8</v>
      </c>
      <c r="C1807" s="271" t="s">
        <v>1596</v>
      </c>
      <c r="D1807" s="497"/>
      <c r="E1807" s="497"/>
      <c r="F1807" s="263"/>
      <c r="G1807" s="275"/>
    </row>
    <row r="1808" spans="1:7" ht="17.45" customHeight="1">
      <c r="A1808" s="261" t="s">
        <v>8</v>
      </c>
      <c r="C1808" s="271" t="s">
        <v>1595</v>
      </c>
      <c r="D1808" s="497"/>
      <c r="E1808" s="497"/>
      <c r="F1808" s="263"/>
      <c r="G1808" s="275"/>
    </row>
    <row r="1809" spans="1:7" ht="17.45" customHeight="1">
      <c r="A1809" s="261" t="s">
        <v>8</v>
      </c>
      <c r="C1809" s="271" t="s">
        <v>1613</v>
      </c>
      <c r="D1809" s="497"/>
      <c r="E1809" s="497"/>
      <c r="F1809" s="263"/>
      <c r="G1809" s="275"/>
    </row>
    <row r="1810" spans="1:7" ht="17.45" customHeight="1">
      <c r="A1810" s="261" t="s">
        <v>8</v>
      </c>
      <c r="C1810" s="271" t="s">
        <v>1689</v>
      </c>
      <c r="D1810" s="497"/>
      <c r="E1810" s="497"/>
      <c r="F1810" s="263"/>
      <c r="G1810" s="275"/>
    </row>
    <row r="1811" spans="1:7" ht="17.45" customHeight="1">
      <c r="A1811" s="261" t="s">
        <v>8</v>
      </c>
      <c r="C1811" s="271" t="s">
        <v>1569</v>
      </c>
      <c r="D1811" s="497"/>
      <c r="E1811" s="499">
        <v>66630</v>
      </c>
      <c r="F1811" s="263"/>
      <c r="G1811" s="275"/>
    </row>
    <row r="1812" spans="1:7" ht="17.45" customHeight="1">
      <c r="A1812" s="261" t="s">
        <v>8</v>
      </c>
      <c r="C1812" s="271" t="s">
        <v>1618</v>
      </c>
      <c r="D1812" s="497"/>
      <c r="E1812" s="499">
        <f>3800+8080+24160+9330+10960</f>
        <v>56330</v>
      </c>
      <c r="F1812" s="263"/>
      <c r="G1812" s="275"/>
    </row>
    <row r="1813" spans="1:7" ht="17.45" customHeight="1">
      <c r="A1813" s="261" t="s">
        <v>8</v>
      </c>
      <c r="C1813" s="271" t="s">
        <v>1800</v>
      </c>
      <c r="D1813" s="497"/>
      <c r="E1813" s="499">
        <v>36000</v>
      </c>
      <c r="F1813" s="263"/>
      <c r="G1813" s="275"/>
    </row>
    <row r="1814" spans="1:7" ht="17.45" customHeight="1" thickBot="1">
      <c r="A1814" s="261" t="s">
        <v>8</v>
      </c>
      <c r="C1814" s="276" t="s">
        <v>1594</v>
      </c>
      <c r="D1814" s="502"/>
      <c r="E1814" s="503">
        <v>16500</v>
      </c>
      <c r="F1814" s="277"/>
      <c r="G1814" s="282"/>
    </row>
    <row r="1815" spans="1:7" ht="17.45" customHeight="1">
      <c r="A1815" s="261" t="s">
        <v>8</v>
      </c>
      <c r="C1815" s="279" t="s">
        <v>1770</v>
      </c>
      <c r="D1815" s="504"/>
      <c r="E1815" s="505">
        <v>10000</v>
      </c>
      <c r="F1815" s="280"/>
      <c r="G1815" s="281"/>
    </row>
    <row r="1816" spans="1:7" ht="17.45" customHeight="1">
      <c r="A1816" s="261" t="s">
        <v>8</v>
      </c>
      <c r="C1816" s="271" t="s">
        <v>1814</v>
      </c>
      <c r="D1816" s="497"/>
      <c r="E1816" s="499">
        <v>7800</v>
      </c>
      <c r="F1816" s="263"/>
      <c r="G1816" s="275"/>
    </row>
    <row r="1817" spans="1:7" ht="17.45" customHeight="1">
      <c r="A1817" s="261" t="s">
        <v>8</v>
      </c>
      <c r="C1817" s="271" t="s">
        <v>2229</v>
      </c>
      <c r="D1817" s="497"/>
      <c r="E1817" s="499">
        <v>9000</v>
      </c>
      <c r="F1817" s="263"/>
      <c r="G1817" s="275"/>
    </row>
    <row r="1818" spans="1:7" ht="17.45" customHeight="1">
      <c r="A1818" s="261" t="s">
        <v>8</v>
      </c>
      <c r="C1818" s="271" t="s">
        <v>2230</v>
      </c>
      <c r="D1818" s="497"/>
      <c r="E1818" s="499">
        <v>14000</v>
      </c>
      <c r="F1818" s="263"/>
      <c r="G1818" s="275"/>
    </row>
    <row r="1819" spans="1:7" ht="17.45" customHeight="1">
      <c r="A1819" s="261" t="s">
        <v>8</v>
      </c>
      <c r="C1819" s="271" t="s">
        <v>1606</v>
      </c>
      <c r="D1819" s="497"/>
      <c r="E1819" s="499">
        <v>12000</v>
      </c>
      <c r="F1819" s="263"/>
      <c r="G1819" s="275"/>
    </row>
    <row r="1820" spans="1:7" ht="17.45" customHeight="1">
      <c r="A1820" s="261" t="s">
        <v>8</v>
      </c>
      <c r="C1820" s="271" t="s">
        <v>1610</v>
      </c>
      <c r="D1820" s="497"/>
      <c r="E1820" s="499">
        <f>2000+4750</f>
        <v>6750</v>
      </c>
      <c r="F1820" s="263"/>
      <c r="G1820" s="275"/>
    </row>
    <row r="1821" spans="1:7" ht="17.45" customHeight="1">
      <c r="A1821" s="261" t="s">
        <v>8</v>
      </c>
      <c r="C1821" s="271" t="s">
        <v>2231</v>
      </c>
      <c r="D1821" s="497"/>
      <c r="E1821" s="499">
        <v>50000</v>
      </c>
      <c r="F1821" s="263"/>
      <c r="G1821" s="275"/>
    </row>
    <row r="1822" spans="1:7" ht="17.45" customHeight="1">
      <c r="A1822" s="261" t="s">
        <v>8</v>
      </c>
      <c r="C1822" s="271" t="s">
        <v>1775</v>
      </c>
      <c r="D1822" s="497"/>
      <c r="E1822" s="499">
        <v>3500</v>
      </c>
      <c r="F1822" s="263"/>
      <c r="G1822" s="275"/>
    </row>
    <row r="1823" spans="1:7" ht="17.45" customHeight="1">
      <c r="A1823" s="261" t="s">
        <v>8</v>
      </c>
      <c r="C1823" s="271" t="s">
        <v>2003</v>
      </c>
      <c r="D1823" s="497"/>
      <c r="E1823" s="499">
        <f>3500+2300</f>
        <v>5800</v>
      </c>
      <c r="F1823" s="263"/>
      <c r="G1823" s="275"/>
    </row>
    <row r="1824" spans="1:7" ht="17.45" customHeight="1">
      <c r="A1824" s="261" t="s">
        <v>8</v>
      </c>
      <c r="C1824" s="271" t="s">
        <v>2232</v>
      </c>
      <c r="D1824" s="497"/>
      <c r="E1824" s="499">
        <v>37000</v>
      </c>
      <c r="F1824" s="263"/>
      <c r="G1824" s="275"/>
    </row>
    <row r="1825" spans="1:11" ht="17.45" customHeight="1">
      <c r="A1825" s="261" t="s">
        <v>8</v>
      </c>
      <c r="C1825" s="271" t="s">
        <v>2233</v>
      </c>
      <c r="D1825" s="497"/>
      <c r="E1825" s="499">
        <v>3500</v>
      </c>
      <c r="F1825" s="263"/>
      <c r="G1825" s="275"/>
    </row>
    <row r="1826" spans="1:11" ht="17.45" customHeight="1">
      <c r="A1826" s="261" t="s">
        <v>8</v>
      </c>
      <c r="C1826" s="271" t="s">
        <v>2234</v>
      </c>
      <c r="D1826" s="497"/>
      <c r="E1826" s="499">
        <v>9500</v>
      </c>
      <c r="F1826" s="263"/>
      <c r="G1826" s="275"/>
    </row>
    <row r="1827" spans="1:11" ht="17.45" customHeight="1">
      <c r="A1827" s="261" t="s">
        <v>8</v>
      </c>
      <c r="C1827" s="271" t="s">
        <v>2235</v>
      </c>
      <c r="D1827" s="497"/>
      <c r="E1827" s="499">
        <v>5000</v>
      </c>
      <c r="F1827" s="263"/>
      <c r="G1827" s="275"/>
    </row>
    <row r="1828" spans="1:11" ht="17.45" customHeight="1">
      <c r="A1828" s="261" t="s">
        <v>8</v>
      </c>
      <c r="C1828" s="271" t="s">
        <v>2236</v>
      </c>
      <c r="D1828" s="497"/>
      <c r="E1828" s="499">
        <v>5000</v>
      </c>
      <c r="F1828" s="263"/>
      <c r="G1828" s="275"/>
    </row>
    <row r="1829" spans="1:11" ht="17.45" customHeight="1">
      <c r="A1829" s="261" t="s">
        <v>8</v>
      </c>
      <c r="C1829" s="271" t="s">
        <v>2237</v>
      </c>
      <c r="D1829" s="497"/>
      <c r="E1829" s="499">
        <v>2000</v>
      </c>
      <c r="F1829" s="263"/>
      <c r="G1829" s="275"/>
    </row>
    <row r="1830" spans="1:11" ht="17.45" customHeight="1">
      <c r="A1830" s="261" t="s">
        <v>8</v>
      </c>
      <c r="C1830" s="271" t="s">
        <v>1680</v>
      </c>
      <c r="D1830" s="497"/>
      <c r="E1830" s="499">
        <v>11200</v>
      </c>
      <c r="F1830" s="263"/>
      <c r="G1830" s="275"/>
    </row>
    <row r="1831" spans="1:11" ht="17.45" customHeight="1">
      <c r="A1831" s="261" t="s">
        <v>8</v>
      </c>
      <c r="C1831" s="271" t="s">
        <v>2238</v>
      </c>
      <c r="D1831" s="497"/>
      <c r="E1831" s="499">
        <v>4000</v>
      </c>
      <c r="F1831" s="263"/>
      <c r="G1831" s="275"/>
    </row>
    <row r="1832" spans="1:11" ht="17.45" customHeight="1">
      <c r="A1832" s="261" t="s">
        <v>8</v>
      </c>
      <c r="C1832" s="271" t="s">
        <v>2239</v>
      </c>
      <c r="D1832" s="497"/>
      <c r="E1832" s="499">
        <v>2500</v>
      </c>
      <c r="F1832" s="263"/>
      <c r="G1832" s="275"/>
      <c r="J1832" t="s">
        <v>2257</v>
      </c>
      <c r="K1832" s="291">
        <v>5000</v>
      </c>
    </row>
    <row r="1833" spans="1:11" ht="17.45" customHeight="1">
      <c r="A1833" s="261" t="s">
        <v>8</v>
      </c>
      <c r="C1833" s="271" t="s">
        <v>2240</v>
      </c>
      <c r="D1833" s="497"/>
      <c r="E1833" s="499">
        <v>39700</v>
      </c>
      <c r="F1833" s="263"/>
      <c r="G1833" s="275"/>
      <c r="J1833" t="s">
        <v>2259</v>
      </c>
      <c r="K1833" s="291">
        <v>20000</v>
      </c>
    </row>
    <row r="1834" spans="1:11" ht="17.45" customHeight="1">
      <c r="A1834" s="261" t="s">
        <v>8</v>
      </c>
      <c r="C1834" s="271" t="s">
        <v>2241</v>
      </c>
      <c r="D1834" s="497"/>
      <c r="E1834" s="499">
        <v>14500</v>
      </c>
      <c r="F1834" s="263"/>
      <c r="G1834" s="275"/>
      <c r="J1834" t="s">
        <v>2263</v>
      </c>
      <c r="K1834" s="291">
        <v>71100</v>
      </c>
    </row>
    <row r="1835" spans="1:11" ht="17.45" customHeight="1">
      <c r="A1835" s="261" t="s">
        <v>8</v>
      </c>
      <c r="C1835" s="271" t="s">
        <v>2242</v>
      </c>
      <c r="D1835" s="497"/>
      <c r="E1835" s="499">
        <v>9500</v>
      </c>
      <c r="F1835" s="263"/>
      <c r="G1835" s="275"/>
      <c r="J1835" t="s">
        <v>2261</v>
      </c>
      <c r="K1835" s="291">
        <v>340000</v>
      </c>
    </row>
    <row r="1836" spans="1:11" ht="17.45" customHeight="1">
      <c r="A1836" s="261" t="s">
        <v>8</v>
      </c>
      <c r="C1836" s="271" t="s">
        <v>2243</v>
      </c>
      <c r="D1836" s="497"/>
      <c r="E1836" s="499">
        <v>35800</v>
      </c>
      <c r="F1836" s="263"/>
      <c r="G1836" s="275"/>
      <c r="J1836" t="s">
        <v>1680</v>
      </c>
      <c r="K1836" s="291">
        <f>3900+5500</f>
        <v>9400</v>
      </c>
    </row>
    <row r="1837" spans="1:11" ht="17.45" customHeight="1">
      <c r="A1837" s="261" t="s">
        <v>8</v>
      </c>
      <c r="C1837" s="271" t="s">
        <v>2244</v>
      </c>
      <c r="D1837" s="497"/>
      <c r="E1837" s="499">
        <v>54000</v>
      </c>
      <c r="F1837" s="263"/>
      <c r="G1837" s="275"/>
      <c r="J1837" t="s">
        <v>2265</v>
      </c>
      <c r="K1837" s="291">
        <v>18000</v>
      </c>
    </row>
    <row r="1838" spans="1:11" ht="17.45" customHeight="1">
      <c r="A1838" s="261" t="s">
        <v>8</v>
      </c>
      <c r="C1838" s="271" t="s">
        <v>1908</v>
      </c>
      <c r="D1838" s="497"/>
      <c r="E1838" s="499">
        <v>129070</v>
      </c>
      <c r="F1838" s="263"/>
      <c r="G1838" s="275"/>
      <c r="J1838" t="s">
        <v>2267</v>
      </c>
      <c r="K1838" s="291">
        <v>18500</v>
      </c>
    </row>
    <row r="1839" spans="1:11" ht="17.45" customHeight="1">
      <c r="A1839" s="261" t="s">
        <v>8</v>
      </c>
      <c r="C1839" s="271" t="s">
        <v>1909</v>
      </c>
      <c r="D1839" s="497"/>
      <c r="E1839" s="499">
        <v>144610</v>
      </c>
      <c r="F1839" s="263"/>
      <c r="G1839" s="275"/>
      <c r="J1839" t="s">
        <v>2269</v>
      </c>
      <c r="K1839" s="291">
        <v>4000</v>
      </c>
    </row>
    <row r="1840" spans="1:11" ht="17.45" customHeight="1">
      <c r="A1840" s="261" t="s">
        <v>8</v>
      </c>
      <c r="C1840" s="271" t="s">
        <v>2245</v>
      </c>
      <c r="D1840" s="497"/>
      <c r="E1840" s="499">
        <v>53610</v>
      </c>
      <c r="F1840" s="263"/>
      <c r="G1840" s="275"/>
      <c r="J1840" t="s">
        <v>2271</v>
      </c>
      <c r="K1840" s="291">
        <v>7000</v>
      </c>
    </row>
    <row r="1841" spans="1:11" ht="17.45" customHeight="1">
      <c r="A1841" s="261" t="s">
        <v>8</v>
      </c>
      <c r="C1841" s="271" t="s">
        <v>2246</v>
      </c>
      <c r="D1841" s="497"/>
      <c r="E1841" s="499">
        <v>5200</v>
      </c>
      <c r="F1841" s="263"/>
      <c r="G1841" s="275"/>
      <c r="J1841" t="s">
        <v>2273</v>
      </c>
      <c r="K1841" s="291">
        <v>8000</v>
      </c>
    </row>
    <row r="1842" spans="1:11" ht="17.45" customHeight="1">
      <c r="A1842" s="261" t="s">
        <v>8</v>
      </c>
      <c r="C1842" s="271" t="s">
        <v>1964</v>
      </c>
      <c r="D1842" s="497"/>
      <c r="E1842" s="499">
        <v>16800</v>
      </c>
      <c r="F1842" s="263"/>
      <c r="G1842" s="275"/>
      <c r="J1842" t="s">
        <v>2275</v>
      </c>
      <c r="K1842" s="291">
        <v>53610</v>
      </c>
    </row>
    <row r="1843" spans="1:11" ht="17.45" customHeight="1">
      <c r="A1843" s="261" t="s">
        <v>8</v>
      </c>
      <c r="C1843" s="271" t="s">
        <v>2019</v>
      </c>
      <c r="D1843" s="497"/>
      <c r="E1843" s="499">
        <v>19100</v>
      </c>
      <c r="F1843" s="263"/>
      <c r="G1843" s="275"/>
      <c r="J1843" t="s">
        <v>2276</v>
      </c>
      <c r="K1843" s="291">
        <v>6000</v>
      </c>
    </row>
    <row r="1844" spans="1:11" ht="17.45" customHeight="1">
      <c r="A1844" s="261" t="s">
        <v>8</v>
      </c>
      <c r="C1844" s="271" t="s">
        <v>2247</v>
      </c>
      <c r="D1844" s="497"/>
      <c r="E1844" s="499">
        <v>6000</v>
      </c>
      <c r="F1844" s="263"/>
      <c r="G1844" s="275"/>
      <c r="J1844" t="s">
        <v>2277</v>
      </c>
      <c r="K1844" s="291">
        <v>13000</v>
      </c>
    </row>
    <row r="1845" spans="1:11" ht="17.45" customHeight="1">
      <c r="A1845" s="261" t="s">
        <v>8</v>
      </c>
      <c r="C1845" s="271" t="s">
        <v>2248</v>
      </c>
      <c r="D1845" s="497"/>
      <c r="E1845" s="499">
        <v>20000</v>
      </c>
      <c r="F1845" s="263"/>
      <c r="G1845" s="275"/>
      <c r="J1845" t="s">
        <v>1610</v>
      </c>
      <c r="K1845" s="291">
        <v>4200</v>
      </c>
    </row>
    <row r="1846" spans="1:11" ht="17.45" customHeight="1">
      <c r="A1846" s="261" t="s">
        <v>8</v>
      </c>
      <c r="C1846" s="271" t="s">
        <v>2249</v>
      </c>
      <c r="D1846" s="497"/>
      <c r="E1846" s="499">
        <v>16500</v>
      </c>
      <c r="F1846" s="263"/>
      <c r="G1846" s="275"/>
      <c r="J1846"/>
      <c r="K1846" s="291"/>
    </row>
    <row r="1847" spans="1:11" ht="17.45" customHeight="1">
      <c r="A1847" s="261" t="s">
        <v>8</v>
      </c>
      <c r="C1847" s="271" t="s">
        <v>1650</v>
      </c>
      <c r="D1847" s="497"/>
      <c r="E1847" s="499">
        <v>9800</v>
      </c>
      <c r="F1847" s="263"/>
      <c r="G1847" s="275"/>
      <c r="J1847"/>
      <c r="K1847" s="291">
        <v>577810</v>
      </c>
    </row>
    <row r="1848" spans="1:11" ht="17.45" customHeight="1">
      <c r="A1848" s="261" t="s">
        <v>8</v>
      </c>
      <c r="C1848" s="271" t="s">
        <v>1877</v>
      </c>
      <c r="D1848" s="497"/>
      <c r="E1848" s="499">
        <v>117200</v>
      </c>
      <c r="F1848" s="263"/>
      <c r="G1848" s="275"/>
    </row>
    <row r="1849" spans="1:11" ht="17.45" customHeight="1">
      <c r="A1849" s="261" t="s">
        <v>8</v>
      </c>
      <c r="C1849" s="271" t="s">
        <v>2250</v>
      </c>
      <c r="D1849" s="497"/>
      <c r="E1849" s="499">
        <v>130000</v>
      </c>
      <c r="F1849" s="263"/>
      <c r="G1849" s="275"/>
    </row>
    <row r="1850" spans="1:11" ht="17.45" customHeight="1">
      <c r="A1850" s="261" t="s">
        <v>8</v>
      </c>
      <c r="C1850" s="271" t="s">
        <v>1891</v>
      </c>
      <c r="D1850" s="497"/>
      <c r="E1850" s="499">
        <v>114000</v>
      </c>
      <c r="F1850" s="263"/>
      <c r="G1850" s="275"/>
    </row>
    <row r="1851" spans="1:11" ht="17.45" customHeight="1">
      <c r="A1851" s="261" t="s">
        <v>8</v>
      </c>
      <c r="C1851" s="271" t="s">
        <v>1651</v>
      </c>
      <c r="D1851" s="497"/>
      <c r="E1851" s="499">
        <v>112300</v>
      </c>
      <c r="F1851" s="263"/>
      <c r="G1851" s="275"/>
    </row>
    <row r="1852" spans="1:11" ht="17.45" customHeight="1">
      <c r="A1852" s="261" t="s">
        <v>8</v>
      </c>
      <c r="C1852" s="271" t="s">
        <v>1584</v>
      </c>
      <c r="D1852" s="497"/>
      <c r="E1852" s="499">
        <v>9000</v>
      </c>
      <c r="F1852" s="263"/>
      <c r="G1852" s="275"/>
    </row>
    <row r="1853" spans="1:11" ht="17.45" customHeight="1">
      <c r="A1853" s="261" t="s">
        <v>8</v>
      </c>
      <c r="C1853" s="271" t="s">
        <v>2014</v>
      </c>
      <c r="D1853" s="497"/>
      <c r="E1853" s="499">
        <v>18000</v>
      </c>
      <c r="F1853" s="263"/>
      <c r="G1853" s="275"/>
    </row>
    <row r="1854" spans="1:11" ht="17.45" customHeight="1">
      <c r="A1854" s="261" t="s">
        <v>8</v>
      </c>
      <c r="C1854" s="271" t="s">
        <v>1602</v>
      </c>
      <c r="D1854" s="499">
        <v>1793</v>
      </c>
      <c r="E1854" s="497"/>
      <c r="F1854" s="263"/>
      <c r="G1854" s="275"/>
    </row>
    <row r="1855" spans="1:11" ht="17.45" customHeight="1">
      <c r="A1855" s="261" t="s">
        <v>8</v>
      </c>
      <c r="C1855" s="271" t="s">
        <v>2251</v>
      </c>
      <c r="D1855" s="497"/>
      <c r="E1855" s="499">
        <v>6000</v>
      </c>
      <c r="F1855" s="263"/>
      <c r="G1855" s="275"/>
    </row>
    <row r="1856" spans="1:11" ht="17.45" customHeight="1">
      <c r="A1856" s="261" t="s">
        <v>8</v>
      </c>
      <c r="C1856" s="271" t="s">
        <v>2252</v>
      </c>
      <c r="D1856" s="497"/>
      <c r="E1856" s="499">
        <v>10000</v>
      </c>
      <c r="F1856" s="263"/>
      <c r="G1856" s="275"/>
    </row>
    <row r="1857" spans="1:7" ht="17.45" customHeight="1">
      <c r="A1857" s="261" t="s">
        <v>8</v>
      </c>
      <c r="C1857" s="271" t="s">
        <v>2253</v>
      </c>
      <c r="D1857" s="497"/>
      <c r="E1857" s="499">
        <v>4600</v>
      </c>
      <c r="F1857" s="263"/>
      <c r="G1857" s="275"/>
    </row>
    <row r="1858" spans="1:7" ht="17.45" customHeight="1" thickBot="1">
      <c r="A1858" s="261" t="s">
        <v>8</v>
      </c>
      <c r="C1858" s="276" t="s">
        <v>1300</v>
      </c>
      <c r="D1858" s="502">
        <f>SUM(D1779:D1857)-SUM(E1779:E1857)</f>
        <v>1516866</v>
      </c>
      <c r="E1858" s="502">
        <f>SUM(E1779:E1857)-SUM(F1779:F1857)</f>
        <v>5159341</v>
      </c>
      <c r="F1858" s="277"/>
      <c r="G1858" s="283"/>
    </row>
    <row r="1859" spans="1:7">
      <c r="A1859" s="261" t="s">
        <v>8</v>
      </c>
    </row>
    <row r="1860" spans="1:7" ht="12.75" thickBot="1">
      <c r="A1860" s="261" t="s">
        <v>8</v>
      </c>
    </row>
    <row r="1861" spans="1:7" ht="17.45" customHeight="1">
      <c r="A1861" s="261" t="s">
        <v>8</v>
      </c>
      <c r="B1861" s="256" t="s">
        <v>2255</v>
      </c>
      <c r="C1861" s="268" t="s">
        <v>1268</v>
      </c>
      <c r="D1861" s="500">
        <v>5987005</v>
      </c>
      <c r="E1861" s="501"/>
      <c r="F1861" s="269"/>
      <c r="G1861" s="270"/>
    </row>
    <row r="1862" spans="1:7" ht="17.45" customHeight="1">
      <c r="A1862" s="261" t="s">
        <v>8</v>
      </c>
      <c r="B1862" s="257"/>
      <c r="C1862" s="271" t="s">
        <v>1269</v>
      </c>
      <c r="D1862" s="497"/>
      <c r="E1862" s="499">
        <v>436000</v>
      </c>
      <c r="F1862" s="263"/>
      <c r="G1862" s="272" t="s">
        <v>2183</v>
      </c>
    </row>
    <row r="1863" spans="1:7" ht="17.45" customHeight="1">
      <c r="A1863" s="261" t="s">
        <v>8</v>
      </c>
      <c r="C1863" s="271" t="s">
        <v>1270</v>
      </c>
      <c r="D1863" s="497"/>
      <c r="E1863" s="499">
        <v>796000</v>
      </c>
      <c r="F1863" s="263"/>
      <c r="G1863" s="273" t="s">
        <v>2192</v>
      </c>
    </row>
    <row r="1864" spans="1:7" ht="17.45" customHeight="1">
      <c r="A1864" s="261" t="s">
        <v>8</v>
      </c>
      <c r="C1864" s="271" t="s">
        <v>1670</v>
      </c>
      <c r="D1864" s="497"/>
      <c r="E1864" s="499">
        <v>26010</v>
      </c>
      <c r="F1864" s="263"/>
      <c r="G1864" s="274"/>
    </row>
    <row r="1865" spans="1:7" ht="17.45" customHeight="1">
      <c r="A1865" s="261" t="s">
        <v>8</v>
      </c>
      <c r="C1865" s="271" t="s">
        <v>1672</v>
      </c>
      <c r="D1865" s="497"/>
      <c r="E1865" s="499">
        <v>42090</v>
      </c>
      <c r="F1865" s="263"/>
      <c r="G1865" s="274"/>
    </row>
    <row r="1866" spans="1:7" ht="17.45" customHeight="1">
      <c r="A1866" s="261" t="s">
        <v>8</v>
      </c>
      <c r="C1866" s="271" t="s">
        <v>1673</v>
      </c>
      <c r="D1866" s="497"/>
      <c r="E1866" s="497">
        <v>0</v>
      </c>
      <c r="F1866" s="263"/>
      <c r="G1866" s="274"/>
    </row>
    <row r="1867" spans="1:7" ht="17.45" customHeight="1">
      <c r="A1867" s="261" t="s">
        <v>8</v>
      </c>
      <c r="C1867" s="271" t="s">
        <v>1332</v>
      </c>
      <c r="D1867" s="497"/>
      <c r="E1867" s="499">
        <v>42900</v>
      </c>
      <c r="F1867" s="263"/>
      <c r="G1867" s="275"/>
    </row>
    <row r="1868" spans="1:7" ht="17.45" customHeight="1">
      <c r="A1868" s="261" t="s">
        <v>8</v>
      </c>
      <c r="C1868" s="271" t="s">
        <v>1271</v>
      </c>
      <c r="D1868" s="497"/>
      <c r="E1868" s="497">
        <v>0</v>
      </c>
      <c r="F1868" s="263"/>
      <c r="G1868" s="274"/>
    </row>
    <row r="1869" spans="1:7" ht="17.45" customHeight="1">
      <c r="A1869" s="261" t="s">
        <v>8</v>
      </c>
      <c r="C1869" s="271" t="s">
        <v>1272</v>
      </c>
      <c r="D1869" s="497"/>
      <c r="E1869" s="499">
        <v>7470</v>
      </c>
      <c r="F1869" s="263"/>
      <c r="G1869" s="273"/>
    </row>
    <row r="1870" spans="1:7" ht="17.45" customHeight="1">
      <c r="A1870" s="261" t="s">
        <v>8</v>
      </c>
      <c r="C1870" s="271" t="s">
        <v>1273</v>
      </c>
      <c r="D1870" s="497"/>
      <c r="E1870" s="499">
        <v>29920</v>
      </c>
      <c r="F1870" s="263"/>
      <c r="G1870" s="273"/>
    </row>
    <row r="1871" spans="1:7" ht="17.45" customHeight="1">
      <c r="A1871" s="261" t="s">
        <v>8</v>
      </c>
      <c r="C1871" s="271" t="s">
        <v>1274</v>
      </c>
      <c r="D1871" s="497"/>
      <c r="E1871" s="499">
        <v>9405</v>
      </c>
      <c r="F1871" s="263"/>
      <c r="G1871" s="273"/>
    </row>
    <row r="1872" spans="1:7" ht="17.45" customHeight="1">
      <c r="A1872" s="261" t="s">
        <v>8</v>
      </c>
      <c r="C1872" s="271" t="s">
        <v>1275</v>
      </c>
      <c r="D1872" s="497"/>
      <c r="E1872" s="499">
        <v>26450</v>
      </c>
      <c r="F1872" s="263"/>
      <c r="G1872" s="273"/>
    </row>
    <row r="1873" spans="1:7" ht="17.45" customHeight="1">
      <c r="A1873" s="261" t="s">
        <v>8</v>
      </c>
      <c r="C1873" s="271" t="s">
        <v>2168</v>
      </c>
      <c r="D1873" s="497"/>
      <c r="E1873" s="499">
        <v>18816</v>
      </c>
      <c r="F1873" s="263"/>
      <c r="G1873" s="273"/>
    </row>
    <row r="1874" spans="1:7" ht="17.45" customHeight="1">
      <c r="A1874" s="261" t="s">
        <v>8</v>
      </c>
      <c r="C1874" s="271" t="s">
        <v>1517</v>
      </c>
      <c r="D1874" s="497"/>
      <c r="E1874" s="499">
        <v>23230</v>
      </c>
      <c r="F1874" s="263"/>
      <c r="G1874" s="273"/>
    </row>
    <row r="1875" spans="1:7" ht="17.45" customHeight="1">
      <c r="A1875" s="261" t="s">
        <v>8</v>
      </c>
      <c r="C1875" s="271" t="s">
        <v>1276</v>
      </c>
      <c r="D1875" s="497"/>
      <c r="E1875" s="499">
        <v>310260</v>
      </c>
      <c r="F1875" s="263"/>
      <c r="G1875" s="273"/>
    </row>
    <row r="1876" spans="1:7" ht="17.45" customHeight="1">
      <c r="A1876" s="261" t="s">
        <v>8</v>
      </c>
      <c r="C1876" s="271" t="s">
        <v>1277</v>
      </c>
      <c r="D1876" s="497"/>
      <c r="E1876" s="497"/>
      <c r="F1876" s="263"/>
      <c r="G1876" s="273"/>
    </row>
    <row r="1877" spans="1:7" ht="17.45" customHeight="1">
      <c r="A1877" s="261" t="s">
        <v>8</v>
      </c>
      <c r="C1877" s="271" t="s">
        <v>1278</v>
      </c>
      <c r="D1877" s="497"/>
      <c r="E1877" s="499">
        <v>200000</v>
      </c>
      <c r="F1877" s="263"/>
      <c r="G1877" s="273"/>
    </row>
    <row r="1878" spans="1:7" ht="17.45" customHeight="1">
      <c r="A1878" s="261" t="s">
        <v>8</v>
      </c>
      <c r="C1878" s="285" t="s">
        <v>1413</v>
      </c>
      <c r="D1878" s="506"/>
      <c r="E1878" s="507">
        <v>1300000</v>
      </c>
      <c r="F1878" s="286"/>
      <c r="G1878" s="287"/>
    </row>
    <row r="1879" spans="1:7" ht="17.45" customHeight="1" thickBot="1">
      <c r="A1879" s="261" t="s">
        <v>8</v>
      </c>
      <c r="C1879" s="285" t="s">
        <v>1942</v>
      </c>
      <c r="D1879" s="506"/>
      <c r="E1879" s="507">
        <v>20000</v>
      </c>
      <c r="F1879" s="286"/>
      <c r="G1879" s="290"/>
    </row>
    <row r="1880" spans="1:7" ht="17.45" customHeight="1">
      <c r="A1880" s="261" t="s">
        <v>8</v>
      </c>
      <c r="C1880" s="268" t="s">
        <v>1280</v>
      </c>
      <c r="D1880" s="501"/>
      <c r="E1880" s="501"/>
      <c r="F1880" s="269"/>
      <c r="G1880" s="288"/>
    </row>
    <row r="1881" spans="1:7" ht="17.45" customHeight="1">
      <c r="A1881" s="261" t="s">
        <v>8</v>
      </c>
      <c r="C1881" s="271" t="s">
        <v>1549</v>
      </c>
      <c r="D1881" s="497"/>
      <c r="E1881" s="497"/>
      <c r="F1881" s="263"/>
      <c r="G1881" s="275"/>
    </row>
    <row r="1882" spans="1:7" ht="17.45" customHeight="1">
      <c r="A1882" s="261" t="s">
        <v>8</v>
      </c>
      <c r="C1882" s="271" t="s">
        <v>1819</v>
      </c>
      <c r="D1882" s="497"/>
      <c r="E1882" s="497"/>
      <c r="F1882" s="263"/>
      <c r="G1882" s="275"/>
    </row>
    <row r="1883" spans="1:7" ht="17.45" customHeight="1">
      <c r="A1883" s="261" t="s">
        <v>8</v>
      </c>
      <c r="C1883" s="271" t="s">
        <v>391</v>
      </c>
      <c r="D1883" s="497"/>
      <c r="E1883" s="497"/>
      <c r="F1883" s="263"/>
      <c r="G1883" s="275"/>
    </row>
    <row r="1884" spans="1:7" ht="17.45" customHeight="1">
      <c r="A1884" s="261" t="s">
        <v>8</v>
      </c>
      <c r="C1884" s="271" t="s">
        <v>1934</v>
      </c>
      <c r="D1884" s="497"/>
      <c r="E1884" s="497"/>
      <c r="F1884" s="263"/>
      <c r="G1884" s="275"/>
    </row>
    <row r="1885" spans="1:7" ht="17.25" customHeight="1">
      <c r="A1885" s="261" t="s">
        <v>8</v>
      </c>
      <c r="C1885" s="271" t="s">
        <v>2202</v>
      </c>
      <c r="D1885" s="497"/>
      <c r="E1885" s="497"/>
      <c r="F1885" s="263"/>
      <c r="G1885" s="275"/>
    </row>
    <row r="1886" spans="1:7" ht="17.45" customHeight="1">
      <c r="A1886" s="261" t="s">
        <v>8</v>
      </c>
      <c r="C1886" s="271" t="s">
        <v>2097</v>
      </c>
      <c r="D1886" s="497"/>
      <c r="E1886" s="499">
        <v>200000</v>
      </c>
      <c r="F1886" s="263"/>
      <c r="G1886" s="275"/>
    </row>
    <row r="1887" spans="1:7" ht="17.45" customHeight="1">
      <c r="A1887" s="261" t="s">
        <v>8</v>
      </c>
      <c r="C1887" s="271" t="s">
        <v>1687</v>
      </c>
      <c r="D1887" s="497"/>
      <c r="E1887" s="497"/>
      <c r="F1887" s="263"/>
      <c r="G1887" s="275"/>
    </row>
    <row r="1888" spans="1:7" ht="17.45" customHeight="1">
      <c r="A1888" s="261" t="s">
        <v>8</v>
      </c>
      <c r="C1888" s="271" t="s">
        <v>1688</v>
      </c>
      <c r="D1888" s="497"/>
      <c r="E1888" s="497"/>
      <c r="F1888" s="263"/>
      <c r="G1888" s="275"/>
    </row>
    <row r="1889" spans="1:7" ht="17.45" customHeight="1">
      <c r="A1889" s="261" t="s">
        <v>8</v>
      </c>
      <c r="C1889" s="271" t="s">
        <v>2281</v>
      </c>
      <c r="D1889" s="497"/>
      <c r="E1889" s="499">
        <v>25000</v>
      </c>
      <c r="F1889" s="263"/>
      <c r="G1889" s="275"/>
    </row>
    <row r="1890" spans="1:7" ht="17.45" customHeight="1">
      <c r="A1890" s="261" t="s">
        <v>8</v>
      </c>
      <c r="C1890" s="271" t="s">
        <v>1596</v>
      </c>
      <c r="D1890" s="497"/>
      <c r="E1890" s="497"/>
      <c r="F1890" s="263"/>
      <c r="G1890" s="275"/>
    </row>
    <row r="1891" spans="1:7" ht="17.45" customHeight="1">
      <c r="A1891" s="261" t="s">
        <v>8</v>
      </c>
      <c r="C1891" s="271" t="s">
        <v>1595</v>
      </c>
      <c r="D1891" s="497"/>
      <c r="E1891" s="497"/>
      <c r="F1891" s="263"/>
      <c r="G1891" s="275"/>
    </row>
    <row r="1892" spans="1:7" ht="17.45" customHeight="1">
      <c r="A1892" s="261" t="s">
        <v>8</v>
      </c>
      <c r="C1892" s="271" t="s">
        <v>1613</v>
      </c>
      <c r="D1892" s="497"/>
      <c r="E1892" s="499">
        <f>8400</f>
        <v>8400</v>
      </c>
      <c r="F1892" s="263"/>
      <c r="G1892" s="275"/>
    </row>
    <row r="1893" spans="1:7" ht="17.45" customHeight="1">
      <c r="A1893" s="261" t="s">
        <v>8</v>
      </c>
      <c r="C1893" s="271" t="s">
        <v>1689</v>
      </c>
      <c r="D1893" s="497"/>
      <c r="E1893" s="497"/>
      <c r="F1893" s="263"/>
      <c r="G1893" s="275"/>
    </row>
    <row r="1894" spans="1:7" ht="17.45" customHeight="1">
      <c r="A1894" s="261" t="s">
        <v>8</v>
      </c>
      <c r="C1894" s="271" t="s">
        <v>1569</v>
      </c>
      <c r="D1894" s="497"/>
      <c r="E1894" s="497"/>
      <c r="F1894" s="263"/>
      <c r="G1894" s="275"/>
    </row>
    <row r="1895" spans="1:7" ht="17.45" customHeight="1">
      <c r="A1895" s="261" t="s">
        <v>8</v>
      </c>
      <c r="C1895" s="271" t="s">
        <v>1618</v>
      </c>
      <c r="D1895" s="497"/>
      <c r="E1895" s="499">
        <f>2800+6980</f>
        <v>9780</v>
      </c>
      <c r="F1895" s="263"/>
      <c r="G1895" s="275"/>
    </row>
    <row r="1896" spans="1:7" ht="17.45" customHeight="1">
      <c r="A1896" s="261" t="s">
        <v>8</v>
      </c>
      <c r="C1896" s="271" t="s">
        <v>1800</v>
      </c>
      <c r="D1896" s="497"/>
      <c r="E1896" s="497"/>
      <c r="F1896" s="263"/>
      <c r="G1896" s="275"/>
    </row>
    <row r="1897" spans="1:7" ht="17.45" customHeight="1" thickBot="1">
      <c r="A1897" s="261" t="s">
        <v>8</v>
      </c>
      <c r="C1897" s="276" t="s">
        <v>1594</v>
      </c>
      <c r="D1897" s="502"/>
      <c r="E1897" s="502"/>
      <c r="F1897" s="277"/>
      <c r="G1897" s="282"/>
    </row>
    <row r="1898" spans="1:7" ht="17.45" customHeight="1">
      <c r="A1898" s="261" t="s">
        <v>8</v>
      </c>
      <c r="C1898" s="279" t="s">
        <v>2278</v>
      </c>
      <c r="D1898" s="504"/>
      <c r="E1898" s="505">
        <v>230000</v>
      </c>
      <c r="F1898" s="280"/>
      <c r="G1898" s="281"/>
    </row>
    <row r="1899" spans="1:7" ht="17.45" customHeight="1">
      <c r="A1899" s="261" t="s">
        <v>8</v>
      </c>
      <c r="C1899" s="271" t="s">
        <v>2276</v>
      </c>
      <c r="D1899" s="497"/>
      <c r="E1899" s="499">
        <v>6000</v>
      </c>
      <c r="F1899" s="263"/>
      <c r="G1899" s="275"/>
    </row>
    <row r="1900" spans="1:7" ht="17.45" customHeight="1">
      <c r="A1900" s="261" t="s">
        <v>8</v>
      </c>
      <c r="C1900" s="271" t="s">
        <v>2277</v>
      </c>
      <c r="D1900" s="497"/>
      <c r="E1900" s="499">
        <v>13000</v>
      </c>
      <c r="F1900" s="263"/>
      <c r="G1900" s="275"/>
    </row>
    <row r="1901" spans="1:7" ht="17.45" customHeight="1">
      <c r="A1901" s="261" t="s">
        <v>8</v>
      </c>
      <c r="C1901" s="271" t="s">
        <v>1610</v>
      </c>
      <c r="D1901" s="497"/>
      <c r="E1901" s="499">
        <v>4200</v>
      </c>
      <c r="F1901" s="263"/>
      <c r="G1901" s="275"/>
    </row>
    <row r="1902" spans="1:7" ht="17.45" customHeight="1">
      <c r="A1902" s="261" t="s">
        <v>8</v>
      </c>
      <c r="C1902" s="271" t="s">
        <v>2256</v>
      </c>
      <c r="D1902" s="497"/>
      <c r="E1902" s="499">
        <v>5000</v>
      </c>
      <c r="F1902" s="263"/>
      <c r="G1902" s="275"/>
    </row>
    <row r="1903" spans="1:7" ht="17.45" customHeight="1">
      <c r="A1903" s="261" t="s">
        <v>8</v>
      </c>
      <c r="C1903" s="271" t="s">
        <v>2258</v>
      </c>
      <c r="D1903" s="497"/>
      <c r="E1903" s="499">
        <v>20000</v>
      </c>
      <c r="F1903" s="263"/>
      <c r="G1903" s="275"/>
    </row>
    <row r="1904" spans="1:7" ht="17.45" customHeight="1">
      <c r="A1904" s="261" t="s">
        <v>8</v>
      </c>
      <c r="C1904" s="271" t="s">
        <v>2262</v>
      </c>
      <c r="D1904" s="497"/>
      <c r="E1904" s="499">
        <v>71100</v>
      </c>
      <c r="F1904" s="263"/>
      <c r="G1904" s="275"/>
    </row>
    <row r="1905" spans="1:7" ht="17.45" customHeight="1">
      <c r="A1905" s="261" t="s">
        <v>8</v>
      </c>
      <c r="C1905" s="271" t="s">
        <v>2260</v>
      </c>
      <c r="D1905" s="497"/>
      <c r="E1905" s="499">
        <v>340000</v>
      </c>
      <c r="F1905" s="263"/>
      <c r="G1905" s="275"/>
    </row>
    <row r="1906" spans="1:7" ht="17.45" customHeight="1">
      <c r="A1906" s="261" t="s">
        <v>8</v>
      </c>
      <c r="C1906" s="271" t="s">
        <v>1465</v>
      </c>
      <c r="D1906" s="497"/>
      <c r="E1906" s="499">
        <v>9400</v>
      </c>
      <c r="F1906" s="263"/>
      <c r="G1906" s="275"/>
    </row>
    <row r="1907" spans="1:7" ht="17.45" customHeight="1">
      <c r="A1907" s="261" t="s">
        <v>8</v>
      </c>
      <c r="C1907" s="271" t="s">
        <v>2264</v>
      </c>
      <c r="D1907" s="497"/>
      <c r="E1907" s="499">
        <v>18000</v>
      </c>
      <c r="F1907" s="263"/>
      <c r="G1907" s="275"/>
    </row>
    <row r="1908" spans="1:7" ht="17.45" customHeight="1">
      <c r="A1908" s="261" t="s">
        <v>8</v>
      </c>
      <c r="C1908" s="271" t="s">
        <v>2266</v>
      </c>
      <c r="D1908" s="497"/>
      <c r="E1908" s="499">
        <v>18500</v>
      </c>
      <c r="F1908" s="263"/>
      <c r="G1908" s="275"/>
    </row>
    <row r="1909" spans="1:7" ht="17.45" customHeight="1">
      <c r="A1909" s="261" t="s">
        <v>8</v>
      </c>
      <c r="C1909" s="271" t="s">
        <v>2268</v>
      </c>
      <c r="D1909" s="497"/>
      <c r="E1909" s="499">
        <v>4000</v>
      </c>
      <c r="F1909" s="263"/>
      <c r="G1909" s="275"/>
    </row>
    <row r="1910" spans="1:7" ht="17.45" customHeight="1">
      <c r="A1910" s="261" t="s">
        <v>8</v>
      </c>
      <c r="C1910" s="271" t="s">
        <v>2270</v>
      </c>
      <c r="D1910" s="497"/>
      <c r="E1910" s="499">
        <v>7000</v>
      </c>
      <c r="F1910" s="263"/>
      <c r="G1910" s="275"/>
    </row>
    <row r="1911" spans="1:7" ht="17.45" customHeight="1">
      <c r="A1911" s="261" t="s">
        <v>8</v>
      </c>
      <c r="C1911" s="271" t="s">
        <v>2272</v>
      </c>
      <c r="D1911" s="497"/>
      <c r="E1911" s="499">
        <v>8000</v>
      </c>
      <c r="F1911" s="263"/>
      <c r="G1911" s="275"/>
    </row>
    <row r="1912" spans="1:7" ht="17.45" customHeight="1">
      <c r="A1912" s="261" t="s">
        <v>8</v>
      </c>
      <c r="C1912" s="271" t="s">
        <v>2274</v>
      </c>
      <c r="D1912" s="497"/>
      <c r="E1912" s="499">
        <v>53610</v>
      </c>
      <c r="F1912" s="263"/>
      <c r="G1912" s="275"/>
    </row>
    <row r="1913" spans="1:7" ht="17.45" customHeight="1">
      <c r="A1913" s="261" t="s">
        <v>8</v>
      </c>
      <c r="C1913" s="271" t="s">
        <v>2279</v>
      </c>
      <c r="D1913" s="497"/>
      <c r="E1913" s="499">
        <v>50000</v>
      </c>
      <c r="F1913" s="263"/>
      <c r="G1913" s="275"/>
    </row>
    <row r="1914" spans="1:7" ht="17.45" customHeight="1">
      <c r="A1914" s="261" t="s">
        <v>8</v>
      </c>
      <c r="C1914" s="271" t="s">
        <v>2280</v>
      </c>
      <c r="D1914" s="497"/>
      <c r="E1914" s="499">
        <v>3400</v>
      </c>
      <c r="F1914" s="263"/>
      <c r="G1914" s="275"/>
    </row>
    <row r="1915" spans="1:7" ht="17.45" customHeight="1">
      <c r="A1915" s="261" t="s">
        <v>8</v>
      </c>
      <c r="C1915" s="271" t="s">
        <v>2107</v>
      </c>
      <c r="D1915" s="497"/>
      <c r="E1915" s="499">
        <v>35500</v>
      </c>
      <c r="F1915" s="263"/>
      <c r="G1915" s="275"/>
    </row>
    <row r="1916" spans="1:7" ht="17.45" customHeight="1">
      <c r="A1916" s="261" t="s">
        <v>8</v>
      </c>
      <c r="C1916" s="271" t="s">
        <v>2251</v>
      </c>
      <c r="D1916" s="497"/>
      <c r="E1916" s="499">
        <v>3000</v>
      </c>
      <c r="F1916" s="263"/>
      <c r="G1916" s="275"/>
    </row>
    <row r="1917" spans="1:7" ht="17.45" customHeight="1">
      <c r="A1917" s="261" t="s">
        <v>8</v>
      </c>
      <c r="C1917" s="271" t="s">
        <v>1650</v>
      </c>
      <c r="D1917" s="497"/>
      <c r="E1917" s="499">
        <v>9800</v>
      </c>
      <c r="F1917" s="263"/>
      <c r="G1917" s="275"/>
    </row>
    <row r="1918" spans="1:7" ht="17.45" customHeight="1">
      <c r="A1918" s="261" t="s">
        <v>8</v>
      </c>
      <c r="C1918" s="271" t="s">
        <v>2284</v>
      </c>
      <c r="D1918" s="497"/>
      <c r="E1918" s="499">
        <v>180000</v>
      </c>
      <c r="F1918" s="263"/>
      <c r="G1918" s="275"/>
    </row>
    <row r="1919" spans="1:7" ht="17.45" customHeight="1">
      <c r="A1919" s="261" t="s">
        <v>8</v>
      </c>
      <c r="C1919" s="271" t="s">
        <v>2002</v>
      </c>
      <c r="D1919" s="497"/>
      <c r="E1919" s="499">
        <v>33000</v>
      </c>
      <c r="F1919" s="263"/>
      <c r="G1919" s="275"/>
    </row>
    <row r="1920" spans="1:7" ht="17.45" customHeight="1">
      <c r="A1920" s="261" t="s">
        <v>8</v>
      </c>
      <c r="C1920" s="271" t="s">
        <v>1877</v>
      </c>
      <c r="D1920" s="497"/>
      <c r="E1920" s="499">
        <f>60600-164400-65100</f>
        <v>-168900</v>
      </c>
      <c r="F1920" s="263"/>
      <c r="G1920" s="275"/>
    </row>
    <row r="1921" spans="1:7" ht="17.45" customHeight="1">
      <c r="A1921" s="261" t="s">
        <v>8</v>
      </c>
      <c r="C1921" s="271" t="s">
        <v>1769</v>
      </c>
      <c r="D1921" s="497"/>
      <c r="E1921" s="499">
        <v>300000</v>
      </c>
      <c r="F1921" s="263"/>
      <c r="G1921" s="275"/>
    </row>
    <row r="1922" spans="1:7" ht="17.45" customHeight="1">
      <c r="A1922" s="261" t="s">
        <v>8</v>
      </c>
      <c r="C1922" s="271" t="s">
        <v>2285</v>
      </c>
      <c r="D1922" s="497"/>
      <c r="E1922" s="499">
        <v>49000</v>
      </c>
      <c r="F1922" s="263"/>
      <c r="G1922" s="275"/>
    </row>
    <row r="1923" spans="1:7" ht="17.45" customHeight="1">
      <c r="A1923" s="261" t="s">
        <v>8</v>
      </c>
      <c r="C1923" s="271" t="s">
        <v>1776</v>
      </c>
      <c r="D1923" s="497"/>
      <c r="E1923" s="499">
        <v>22500</v>
      </c>
      <c r="F1923" s="263"/>
      <c r="G1923" s="275"/>
    </row>
    <row r="1924" spans="1:7" ht="17.45" customHeight="1">
      <c r="A1924" s="261" t="s">
        <v>8</v>
      </c>
      <c r="C1924" s="271" t="s">
        <v>1799</v>
      </c>
      <c r="D1924" s="497"/>
      <c r="E1924" s="499">
        <v>3350</v>
      </c>
      <c r="F1924" s="263"/>
      <c r="G1924" s="275"/>
    </row>
    <row r="1925" spans="1:7" ht="17.45" customHeight="1">
      <c r="A1925" s="261" t="s">
        <v>8</v>
      </c>
      <c r="C1925" s="271" t="s">
        <v>2286</v>
      </c>
      <c r="D1925" s="497"/>
      <c r="E1925" s="499">
        <v>99000</v>
      </c>
      <c r="F1925" s="263"/>
      <c r="G1925" s="275"/>
    </row>
    <row r="1926" spans="1:7" ht="17.45" customHeight="1">
      <c r="A1926" s="261" t="s">
        <v>8</v>
      </c>
      <c r="C1926" s="271" t="s">
        <v>1628</v>
      </c>
      <c r="D1926" s="497"/>
      <c r="E1926" s="499">
        <v>17000</v>
      </c>
      <c r="F1926" s="263"/>
      <c r="G1926" s="275"/>
    </row>
    <row r="1927" spans="1:7" ht="17.45" customHeight="1">
      <c r="A1927" s="261" t="s">
        <v>8</v>
      </c>
      <c r="C1927" s="271" t="s">
        <v>2287</v>
      </c>
      <c r="D1927" s="497"/>
      <c r="E1927" s="499">
        <v>110000</v>
      </c>
      <c r="F1927" s="263"/>
      <c r="G1927" s="275"/>
    </row>
    <row r="1928" spans="1:7" ht="17.45" customHeight="1">
      <c r="A1928" s="261" t="s">
        <v>8</v>
      </c>
      <c r="C1928" s="271" t="s">
        <v>1932</v>
      </c>
      <c r="D1928" s="497"/>
      <c r="E1928" s="499">
        <v>5000</v>
      </c>
      <c r="F1928" s="263"/>
      <c r="G1928" s="275"/>
    </row>
    <row r="1929" spans="1:7" ht="17.45" customHeight="1">
      <c r="A1929" s="261" t="s">
        <v>8</v>
      </c>
      <c r="C1929" s="271" t="s">
        <v>2288</v>
      </c>
      <c r="D1929" s="497"/>
      <c r="E1929" s="499">
        <v>5000</v>
      </c>
      <c r="F1929" s="263"/>
      <c r="G1929" s="275"/>
    </row>
    <row r="1930" spans="1:7" ht="17.45" customHeight="1">
      <c r="A1930" s="261" t="s">
        <v>8</v>
      </c>
      <c r="C1930" s="271" t="s">
        <v>2289</v>
      </c>
      <c r="D1930" s="497"/>
      <c r="E1930" s="499">
        <v>13300</v>
      </c>
      <c r="F1930" s="263"/>
      <c r="G1930" s="275"/>
    </row>
    <row r="1931" spans="1:7" ht="17.45" customHeight="1">
      <c r="A1931" s="261" t="s">
        <v>8</v>
      </c>
      <c r="C1931" s="271" t="s">
        <v>1567</v>
      </c>
      <c r="D1931" s="497"/>
      <c r="E1931" s="499">
        <v>710640</v>
      </c>
      <c r="F1931" s="263"/>
      <c r="G1931" s="275"/>
    </row>
    <row r="1932" spans="1:7" ht="17.45" customHeight="1">
      <c r="A1932" s="261" t="s">
        <v>8</v>
      </c>
      <c r="C1932" s="271" t="s">
        <v>2290</v>
      </c>
      <c r="D1932" s="497"/>
      <c r="E1932" s="499">
        <v>1116210</v>
      </c>
      <c r="F1932" s="263"/>
      <c r="G1932" s="275"/>
    </row>
    <row r="1933" spans="1:7" ht="17.45" customHeight="1">
      <c r="A1933" s="261" t="s">
        <v>8</v>
      </c>
      <c r="C1933" s="271" t="s">
        <v>1645</v>
      </c>
      <c r="D1933" s="497"/>
      <c r="E1933" s="499">
        <v>14900</v>
      </c>
      <c r="F1933" s="263"/>
      <c r="G1933" s="275"/>
    </row>
    <row r="1934" spans="1:7" ht="17.45" customHeight="1" thickBot="1">
      <c r="A1934" s="261" t="s">
        <v>8</v>
      </c>
      <c r="C1934" s="276" t="s">
        <v>1300</v>
      </c>
      <c r="D1934" s="502">
        <f>SUM(D1861:D1933)-SUM(E1861:E1933)</f>
        <v>-964236</v>
      </c>
      <c r="E1934" s="502">
        <f>SUM(E1861:E1933)-SUM(F1861:F1933)</f>
        <v>6951241</v>
      </c>
      <c r="F1934" s="277"/>
      <c r="G1934" s="283"/>
    </row>
    <row r="1935" spans="1:7">
      <c r="A1935" s="261" t="s">
        <v>8</v>
      </c>
    </row>
    <row r="1936" spans="1:7" ht="12.75" thickBot="1">
      <c r="A1936" s="261" t="s">
        <v>8</v>
      </c>
    </row>
    <row r="1937" spans="1:7" ht="17.45" customHeight="1">
      <c r="A1937" s="261" t="s">
        <v>8</v>
      </c>
      <c r="B1937" s="256" t="s">
        <v>2360</v>
      </c>
      <c r="C1937" s="268" t="s">
        <v>1268</v>
      </c>
      <c r="D1937" s="500">
        <v>6281700</v>
      </c>
      <c r="E1937" s="501"/>
      <c r="F1937" s="269"/>
      <c r="G1937" s="270"/>
    </row>
    <row r="1938" spans="1:7" ht="17.45" customHeight="1">
      <c r="A1938" s="261" t="s">
        <v>8</v>
      </c>
      <c r="B1938" s="257"/>
      <c r="C1938" s="271" t="s">
        <v>1269</v>
      </c>
      <c r="D1938" s="497"/>
      <c r="E1938" s="499">
        <v>435000</v>
      </c>
      <c r="F1938" s="263"/>
      <c r="G1938" s="272" t="s">
        <v>2361</v>
      </c>
    </row>
    <row r="1939" spans="1:7" ht="17.45" customHeight="1">
      <c r="A1939" s="261" t="s">
        <v>8</v>
      </c>
      <c r="C1939" s="271" t="s">
        <v>1270</v>
      </c>
      <c r="D1939" s="497"/>
      <c r="E1939" s="499">
        <v>792000</v>
      </c>
      <c r="F1939" s="263"/>
      <c r="G1939" s="273" t="s">
        <v>2192</v>
      </c>
    </row>
    <row r="1940" spans="1:7" ht="17.45" customHeight="1">
      <c r="A1940" s="261" t="s">
        <v>8</v>
      </c>
      <c r="C1940" s="271" t="s">
        <v>1670</v>
      </c>
      <c r="D1940" s="497"/>
      <c r="E1940" s="499">
        <v>26010</v>
      </c>
      <c r="F1940" s="263"/>
      <c r="G1940" s="274"/>
    </row>
    <row r="1941" spans="1:7" ht="17.45" customHeight="1">
      <c r="A1941" s="261" t="s">
        <v>8</v>
      </c>
      <c r="C1941" s="271" t="s">
        <v>1672</v>
      </c>
      <c r="D1941" s="497"/>
      <c r="E1941" s="499">
        <v>42090</v>
      </c>
      <c r="F1941" s="263"/>
      <c r="G1941" s="274"/>
    </row>
    <row r="1942" spans="1:7" ht="17.45" customHeight="1">
      <c r="A1942" s="261" t="s">
        <v>8</v>
      </c>
      <c r="C1942" s="271" t="s">
        <v>1673</v>
      </c>
      <c r="D1942" s="497"/>
      <c r="E1942" s="497">
        <v>0</v>
      </c>
      <c r="F1942" s="263"/>
      <c r="G1942" s="274"/>
    </row>
    <row r="1943" spans="1:7" ht="17.45" customHeight="1">
      <c r="A1943" s="261" t="s">
        <v>8</v>
      </c>
      <c r="C1943" s="271" t="s">
        <v>1332</v>
      </c>
      <c r="D1943" s="497"/>
      <c r="E1943" s="499">
        <v>42900</v>
      </c>
      <c r="F1943" s="263"/>
      <c r="G1943" s="275"/>
    </row>
    <row r="1944" spans="1:7" ht="17.45" customHeight="1">
      <c r="A1944" s="261" t="s">
        <v>8</v>
      </c>
      <c r="C1944" s="271" t="s">
        <v>1271</v>
      </c>
      <c r="D1944" s="497"/>
      <c r="E1944" s="497">
        <v>0</v>
      </c>
      <c r="F1944" s="263"/>
      <c r="G1944" s="274"/>
    </row>
    <row r="1945" spans="1:7" ht="17.45" customHeight="1">
      <c r="A1945" s="261" t="s">
        <v>8</v>
      </c>
      <c r="C1945" s="271" t="s">
        <v>1272</v>
      </c>
      <c r="D1945" s="497"/>
      <c r="E1945" s="499">
        <v>7470</v>
      </c>
      <c r="F1945" s="263"/>
      <c r="G1945" s="273"/>
    </row>
    <row r="1946" spans="1:7" ht="17.45" customHeight="1">
      <c r="A1946" s="261" t="s">
        <v>8</v>
      </c>
      <c r="C1946" s="271" t="s">
        <v>1273</v>
      </c>
      <c r="D1946" s="497"/>
      <c r="E1946" s="499">
        <v>29920</v>
      </c>
      <c r="F1946" s="263"/>
      <c r="G1946" s="273"/>
    </row>
    <row r="1947" spans="1:7" ht="17.45" customHeight="1">
      <c r="A1947" s="261" t="s">
        <v>8</v>
      </c>
      <c r="C1947" s="271" t="s">
        <v>1274</v>
      </c>
      <c r="D1947" s="497"/>
      <c r="E1947" s="499">
        <v>9405</v>
      </c>
      <c r="F1947" s="263"/>
      <c r="G1947" s="273"/>
    </row>
    <row r="1948" spans="1:7" ht="17.45" customHeight="1">
      <c r="A1948" s="261" t="s">
        <v>8</v>
      </c>
      <c r="C1948" s="271" t="s">
        <v>1275</v>
      </c>
      <c r="D1948" s="497"/>
      <c r="E1948" s="499">
        <v>26450</v>
      </c>
      <c r="F1948" s="263"/>
      <c r="G1948" s="273"/>
    </row>
    <row r="1949" spans="1:7" ht="17.45" customHeight="1">
      <c r="A1949" s="261" t="s">
        <v>8</v>
      </c>
      <c r="C1949" s="271" t="s">
        <v>2168</v>
      </c>
      <c r="D1949" s="497"/>
      <c r="E1949" s="499">
        <v>18816</v>
      </c>
      <c r="F1949" s="263"/>
      <c r="G1949" s="273"/>
    </row>
    <row r="1950" spans="1:7" ht="17.45" customHeight="1">
      <c r="A1950" s="261" t="s">
        <v>8</v>
      </c>
      <c r="C1950" s="271" t="s">
        <v>1517</v>
      </c>
      <c r="D1950" s="497"/>
      <c r="E1950" s="499">
        <v>23230</v>
      </c>
      <c r="F1950" s="263"/>
      <c r="G1950" s="273"/>
    </row>
    <row r="1951" spans="1:7" ht="17.45" customHeight="1">
      <c r="A1951" s="261" t="s">
        <v>8</v>
      </c>
      <c r="C1951" s="271" t="s">
        <v>1276</v>
      </c>
      <c r="D1951" s="497"/>
      <c r="E1951" s="499">
        <v>287860</v>
      </c>
      <c r="F1951" s="263"/>
      <c r="G1951" s="273"/>
    </row>
    <row r="1952" spans="1:7" ht="17.45" customHeight="1">
      <c r="A1952" s="261" t="s">
        <v>8</v>
      </c>
      <c r="C1952" s="271" t="s">
        <v>1277</v>
      </c>
      <c r="D1952" s="497"/>
      <c r="E1952" s="497"/>
      <c r="F1952" s="263"/>
      <c r="G1952" s="273"/>
    </row>
    <row r="1953" spans="1:7" ht="17.45" customHeight="1">
      <c r="A1953" s="261" t="s">
        <v>8</v>
      </c>
      <c r="C1953" s="271" t="s">
        <v>1278</v>
      </c>
      <c r="D1953" s="497"/>
      <c r="E1953" s="499">
        <v>200000</v>
      </c>
      <c r="F1953" s="263"/>
      <c r="G1953" s="273"/>
    </row>
    <row r="1954" spans="1:7" ht="17.45" customHeight="1">
      <c r="A1954" s="261" t="s">
        <v>8</v>
      </c>
      <c r="C1954" s="285" t="s">
        <v>1413</v>
      </c>
      <c r="D1954" s="506"/>
      <c r="E1954" s="507">
        <v>1300000</v>
      </c>
      <c r="F1954" s="286"/>
      <c r="G1954" s="287"/>
    </row>
    <row r="1955" spans="1:7" ht="17.45" customHeight="1" thickBot="1">
      <c r="A1955" s="261" t="s">
        <v>8</v>
      </c>
      <c r="C1955" s="285" t="s">
        <v>1942</v>
      </c>
      <c r="D1955" s="506"/>
      <c r="E1955" s="507">
        <v>20000</v>
      </c>
      <c r="F1955" s="286"/>
      <c r="G1955" s="290"/>
    </row>
    <row r="1956" spans="1:7" ht="17.45" customHeight="1">
      <c r="A1956" s="261" t="s">
        <v>8</v>
      </c>
      <c r="C1956" s="268" t="s">
        <v>1280</v>
      </c>
      <c r="D1956" s="501"/>
      <c r="E1956" s="500">
        <f>50000+50000+50000</f>
        <v>150000</v>
      </c>
      <c r="F1956" s="269"/>
      <c r="G1956" s="288"/>
    </row>
    <row r="1957" spans="1:7" ht="17.45" customHeight="1">
      <c r="A1957" s="261" t="s">
        <v>8</v>
      </c>
      <c r="C1957" s="271" t="s">
        <v>1549</v>
      </c>
      <c r="D1957" s="497"/>
      <c r="E1957" s="497"/>
      <c r="F1957" s="263"/>
      <c r="G1957" s="275"/>
    </row>
    <row r="1958" spans="1:7" ht="17.45" customHeight="1">
      <c r="A1958" s="261" t="s">
        <v>8</v>
      </c>
      <c r="C1958" s="271" t="s">
        <v>1819</v>
      </c>
      <c r="D1958" s="497"/>
      <c r="E1958" s="497"/>
      <c r="F1958" s="263"/>
      <c r="G1958" s="275"/>
    </row>
    <row r="1959" spans="1:7" ht="17.45" customHeight="1">
      <c r="A1959" s="261" t="s">
        <v>8</v>
      </c>
      <c r="C1959" s="271" t="s">
        <v>391</v>
      </c>
      <c r="D1959" s="497"/>
      <c r="E1959" s="497"/>
      <c r="F1959" s="263"/>
      <c r="G1959" s="275"/>
    </row>
    <row r="1960" spans="1:7" ht="17.45" customHeight="1">
      <c r="A1960" s="261" t="s">
        <v>8</v>
      </c>
      <c r="C1960" s="271" t="s">
        <v>1934</v>
      </c>
      <c r="D1960" s="497"/>
      <c r="E1960" s="497"/>
      <c r="F1960" s="263"/>
      <c r="G1960" s="275"/>
    </row>
    <row r="1961" spans="1:7" ht="17.25" customHeight="1">
      <c r="A1961" s="261" t="s">
        <v>8</v>
      </c>
      <c r="C1961" s="271" t="s">
        <v>2202</v>
      </c>
      <c r="D1961" s="497"/>
      <c r="E1961" s="497"/>
      <c r="F1961" s="263"/>
      <c r="G1961" s="275"/>
    </row>
    <row r="1962" spans="1:7" ht="17.45" customHeight="1">
      <c r="A1962" s="261" t="s">
        <v>8</v>
      </c>
      <c r="C1962" s="271" t="s">
        <v>2097</v>
      </c>
      <c r="D1962" s="497"/>
      <c r="E1962" s="499">
        <v>200000</v>
      </c>
      <c r="F1962" s="263"/>
      <c r="G1962" s="275"/>
    </row>
    <row r="1963" spans="1:7" ht="17.45" customHeight="1">
      <c r="A1963" s="261" t="s">
        <v>8</v>
      </c>
      <c r="C1963" s="271" t="s">
        <v>1687</v>
      </c>
      <c r="D1963" s="497"/>
      <c r="E1963" s="499">
        <v>1800000</v>
      </c>
      <c r="F1963" s="263"/>
      <c r="G1963" s="275"/>
    </row>
    <row r="1964" spans="1:7" ht="17.45" customHeight="1">
      <c r="A1964" s="261" t="s">
        <v>8</v>
      </c>
      <c r="C1964" s="271" t="s">
        <v>1688</v>
      </c>
      <c r="D1964" s="497"/>
      <c r="E1964" s="499">
        <v>55000</v>
      </c>
      <c r="F1964" s="263"/>
      <c r="G1964" s="275"/>
    </row>
    <row r="1965" spans="1:7" ht="17.45" customHeight="1">
      <c r="A1965" s="261" t="s">
        <v>8</v>
      </c>
      <c r="C1965" s="271" t="s">
        <v>2281</v>
      </c>
      <c r="D1965" s="497"/>
      <c r="E1965" s="499">
        <v>18000</v>
      </c>
      <c r="F1965" s="263"/>
      <c r="G1965" s="275"/>
    </row>
    <row r="1966" spans="1:7" ht="17.45" customHeight="1">
      <c r="A1966" s="261" t="s">
        <v>8</v>
      </c>
      <c r="C1966" s="271" t="s">
        <v>1596</v>
      </c>
      <c r="D1966" s="497"/>
      <c r="E1966" s="497"/>
      <c r="F1966" s="263"/>
      <c r="G1966" s="275"/>
    </row>
    <row r="1967" spans="1:7" ht="17.45" customHeight="1">
      <c r="A1967" s="261" t="s">
        <v>8</v>
      </c>
      <c r="C1967" s="271" t="s">
        <v>1595</v>
      </c>
      <c r="D1967" s="497"/>
      <c r="E1967" s="497"/>
      <c r="F1967" s="263"/>
      <c r="G1967" s="275"/>
    </row>
    <row r="1968" spans="1:7" ht="17.45" customHeight="1">
      <c r="A1968" s="261" t="s">
        <v>8</v>
      </c>
      <c r="C1968" s="271" t="s">
        <v>1613</v>
      </c>
      <c r="D1968" s="497"/>
      <c r="E1968" s="499">
        <f>2600+3800+3800+8800</f>
        <v>19000</v>
      </c>
      <c r="F1968" s="263"/>
      <c r="G1968" s="275"/>
    </row>
    <row r="1969" spans="1:7" ht="17.45" customHeight="1">
      <c r="A1969" s="261" t="s">
        <v>8</v>
      </c>
      <c r="C1969" s="271" t="s">
        <v>1689</v>
      </c>
      <c r="D1969" s="497"/>
      <c r="E1969" s="497"/>
      <c r="F1969" s="263"/>
      <c r="G1969" s="275"/>
    </row>
    <row r="1970" spans="1:7" ht="17.45" customHeight="1">
      <c r="A1970" s="261" t="s">
        <v>8</v>
      </c>
      <c r="C1970" s="271" t="s">
        <v>1569</v>
      </c>
      <c r="D1970" s="497"/>
      <c r="E1970" s="497"/>
      <c r="F1970" s="263"/>
      <c r="G1970" s="275"/>
    </row>
    <row r="1971" spans="1:7" ht="17.45" customHeight="1">
      <c r="A1971" s="261" t="s">
        <v>8</v>
      </c>
      <c r="C1971" s="271" t="s">
        <v>1618</v>
      </c>
      <c r="D1971" s="497"/>
      <c r="E1971" s="499">
        <f>62460+22860+6480+16160+5980+54880</f>
        <v>168820</v>
      </c>
      <c r="F1971" s="263"/>
      <c r="G1971" s="275"/>
    </row>
    <row r="1972" spans="1:7" ht="17.45" customHeight="1">
      <c r="A1972" s="261" t="s">
        <v>8</v>
      </c>
      <c r="C1972" s="271" t="s">
        <v>1800</v>
      </c>
      <c r="D1972" s="497"/>
      <c r="E1972" s="499">
        <v>15000</v>
      </c>
      <c r="F1972" s="263"/>
      <c r="G1972" s="275"/>
    </row>
    <row r="1973" spans="1:7" ht="17.45" customHeight="1" thickBot="1">
      <c r="A1973" s="261" t="s">
        <v>8</v>
      </c>
      <c r="C1973" s="276" t="s">
        <v>1594</v>
      </c>
      <c r="D1973" s="502"/>
      <c r="E1973" s="503">
        <v>27900</v>
      </c>
      <c r="F1973" s="277"/>
      <c r="G1973" s="282"/>
    </row>
    <row r="1974" spans="1:7" ht="17.45" customHeight="1">
      <c r="A1974" s="261" t="s">
        <v>8</v>
      </c>
      <c r="C1974" s="279" t="s">
        <v>2362</v>
      </c>
      <c r="D1974" s="504"/>
      <c r="E1974" s="505">
        <v>15000</v>
      </c>
      <c r="F1974" s="280"/>
      <c r="G1974" s="281"/>
    </row>
    <row r="1975" spans="1:7" ht="17.45" customHeight="1">
      <c r="A1975" s="261" t="s">
        <v>8</v>
      </c>
      <c r="C1975" s="271" t="s">
        <v>1567</v>
      </c>
      <c r="D1975" s="497"/>
      <c r="E1975" s="499">
        <v>-710640</v>
      </c>
      <c r="F1975" s="263"/>
      <c r="G1975" s="275"/>
    </row>
    <row r="1976" spans="1:7" ht="17.45" customHeight="1">
      <c r="A1976" s="261" t="s">
        <v>8</v>
      </c>
      <c r="C1976" s="271" t="s">
        <v>2363</v>
      </c>
      <c r="D1976" s="497"/>
      <c r="E1976" s="499">
        <v>4000</v>
      </c>
      <c r="F1976" s="263"/>
      <c r="G1976" s="275"/>
    </row>
    <row r="1977" spans="1:7" ht="17.45" customHeight="1">
      <c r="A1977" s="261" t="s">
        <v>8</v>
      </c>
      <c r="C1977" s="271" t="s">
        <v>2364</v>
      </c>
      <c r="D1977" s="497"/>
      <c r="E1977" s="499">
        <v>1400</v>
      </c>
      <c r="F1977" s="263"/>
      <c r="G1977" s="275"/>
    </row>
    <row r="1978" spans="1:7" ht="17.45" customHeight="1">
      <c r="A1978" s="261" t="s">
        <v>8</v>
      </c>
      <c r="C1978" s="271" t="s">
        <v>2365</v>
      </c>
      <c r="D1978" s="497"/>
      <c r="E1978" s="499">
        <v>6000</v>
      </c>
      <c r="F1978" s="263"/>
      <c r="G1978" s="275"/>
    </row>
    <row r="1979" spans="1:7" ht="17.45" customHeight="1">
      <c r="A1979" s="261" t="s">
        <v>8</v>
      </c>
      <c r="C1979" s="271" t="s">
        <v>1776</v>
      </c>
      <c r="D1979" s="497"/>
      <c r="E1979" s="499">
        <v>2400</v>
      </c>
      <c r="F1979" s="263"/>
      <c r="G1979" s="275"/>
    </row>
    <row r="1980" spans="1:7" ht="17.45" customHeight="1">
      <c r="A1980" s="261" t="s">
        <v>8</v>
      </c>
      <c r="C1980" s="271" t="s">
        <v>1810</v>
      </c>
      <c r="D1980" s="497"/>
      <c r="E1980" s="499">
        <v>2000</v>
      </c>
      <c r="F1980" s="263"/>
      <c r="G1980" s="275"/>
    </row>
    <row r="1981" spans="1:7" ht="17.45" customHeight="1">
      <c r="A1981" s="261" t="s">
        <v>8</v>
      </c>
      <c r="C1981" s="271" t="s">
        <v>2366</v>
      </c>
      <c r="D1981" s="497"/>
      <c r="E1981" s="499">
        <v>32000</v>
      </c>
      <c r="F1981" s="263"/>
      <c r="G1981" s="275"/>
    </row>
    <row r="1982" spans="1:7" ht="17.45" customHeight="1">
      <c r="A1982" s="261" t="s">
        <v>8</v>
      </c>
      <c r="C1982" s="271" t="s">
        <v>1606</v>
      </c>
      <c r="D1982" s="497"/>
      <c r="E1982" s="499">
        <v>16600</v>
      </c>
      <c r="F1982" s="263"/>
      <c r="G1982" s="275"/>
    </row>
    <row r="1983" spans="1:7" ht="17.45" customHeight="1">
      <c r="A1983" s="261" t="s">
        <v>8</v>
      </c>
      <c r="C1983" s="271" t="s">
        <v>2384</v>
      </c>
      <c r="D1983" s="497"/>
      <c r="E1983" s="499">
        <v>15500</v>
      </c>
      <c r="F1983" s="263"/>
      <c r="G1983" s="275"/>
    </row>
    <row r="1984" spans="1:7" ht="17.45" customHeight="1">
      <c r="A1984" s="261" t="s">
        <v>8</v>
      </c>
      <c r="C1984" s="271" t="s">
        <v>2385</v>
      </c>
      <c r="D1984" s="497"/>
      <c r="E1984" s="499">
        <v>5000</v>
      </c>
      <c r="F1984" s="263"/>
      <c r="G1984" s="275"/>
    </row>
    <row r="1985" spans="1:7" ht="17.45" customHeight="1">
      <c r="A1985" s="261" t="s">
        <v>8</v>
      </c>
      <c r="C1985" s="271" t="s">
        <v>2386</v>
      </c>
      <c r="D1985" s="497"/>
      <c r="E1985" s="499">
        <v>19500</v>
      </c>
      <c r="F1985" s="263"/>
      <c r="G1985" s="275"/>
    </row>
    <row r="1986" spans="1:7" ht="17.45" customHeight="1">
      <c r="A1986" s="261" t="s">
        <v>8</v>
      </c>
      <c r="C1986" s="271" t="s">
        <v>2387</v>
      </c>
      <c r="D1986" s="497"/>
      <c r="E1986" s="499">
        <v>5100</v>
      </c>
      <c r="F1986" s="263"/>
      <c r="G1986" s="275"/>
    </row>
    <row r="1987" spans="1:7" ht="17.45" customHeight="1">
      <c r="A1987" s="261" t="s">
        <v>8</v>
      </c>
      <c r="C1987" s="271" t="s">
        <v>2388</v>
      </c>
      <c r="D1987" s="497"/>
      <c r="E1987" s="499">
        <v>11000</v>
      </c>
      <c r="F1987" s="263"/>
      <c r="G1987" s="275"/>
    </row>
    <row r="1988" spans="1:7" ht="17.45" customHeight="1">
      <c r="A1988" s="261" t="s">
        <v>8</v>
      </c>
      <c r="C1988" s="271" t="s">
        <v>2389</v>
      </c>
      <c r="D1988" s="497"/>
      <c r="E1988" s="499">
        <v>7780</v>
      </c>
      <c r="F1988" s="263"/>
      <c r="G1988" s="275"/>
    </row>
    <row r="1989" spans="1:7" ht="17.45" customHeight="1">
      <c r="A1989" s="261" t="s">
        <v>8</v>
      </c>
      <c r="C1989" s="271" t="s">
        <v>2390</v>
      </c>
      <c r="D1989" s="497"/>
      <c r="E1989" s="499">
        <v>18000</v>
      </c>
      <c r="F1989" s="263"/>
      <c r="G1989" s="275"/>
    </row>
    <row r="1990" spans="1:7" ht="17.45" customHeight="1">
      <c r="A1990" s="261" t="s">
        <v>8</v>
      </c>
      <c r="C1990" s="271" t="s">
        <v>2391</v>
      </c>
      <c r="D1990" s="497"/>
      <c r="E1990" s="499">
        <v>3800</v>
      </c>
      <c r="F1990" s="263"/>
      <c r="G1990" s="275"/>
    </row>
    <row r="1991" spans="1:7" ht="17.45" customHeight="1">
      <c r="A1991" s="261" t="s">
        <v>8</v>
      </c>
      <c r="C1991" s="271" t="s">
        <v>2392</v>
      </c>
      <c r="D1991" s="497"/>
      <c r="E1991" s="499">
        <v>1100</v>
      </c>
      <c r="F1991" s="263"/>
      <c r="G1991" s="275"/>
    </row>
    <row r="1992" spans="1:7" ht="17.45" customHeight="1">
      <c r="A1992" s="261" t="s">
        <v>8</v>
      </c>
      <c r="C1992" s="271" t="s">
        <v>2392</v>
      </c>
      <c r="D1992" s="497"/>
      <c r="E1992" s="499">
        <v>3000</v>
      </c>
      <c r="F1992" s="263"/>
      <c r="G1992" s="275"/>
    </row>
    <row r="1993" spans="1:7" ht="17.45" customHeight="1">
      <c r="A1993" s="261" t="s">
        <v>8</v>
      </c>
      <c r="C1993" s="271" t="s">
        <v>2393</v>
      </c>
      <c r="D1993" s="497"/>
      <c r="E1993" s="499">
        <v>15000</v>
      </c>
      <c r="F1993" s="263"/>
      <c r="G1993" s="275"/>
    </row>
    <row r="1994" spans="1:7" ht="17.45" customHeight="1">
      <c r="A1994" s="261" t="s">
        <v>8</v>
      </c>
      <c r="C1994" s="271" t="s">
        <v>2394</v>
      </c>
      <c r="D1994" s="497"/>
      <c r="E1994" s="499">
        <v>20000</v>
      </c>
      <c r="F1994" s="263"/>
      <c r="G1994" s="275"/>
    </row>
    <row r="1995" spans="1:7" ht="17.45" customHeight="1">
      <c r="A1995" s="261" t="s">
        <v>8</v>
      </c>
      <c r="C1995" s="271" t="s">
        <v>2248</v>
      </c>
      <c r="D1995" s="497"/>
      <c r="E1995" s="499">
        <v>2000</v>
      </c>
      <c r="F1995" s="263"/>
      <c r="G1995" s="275"/>
    </row>
    <row r="1996" spans="1:7" ht="17.45" customHeight="1">
      <c r="A1996" s="261" t="s">
        <v>8</v>
      </c>
      <c r="C1996" s="271" t="s">
        <v>2248</v>
      </c>
      <c r="D1996" s="497"/>
      <c r="E1996" s="499">
        <v>18000</v>
      </c>
      <c r="F1996" s="263"/>
      <c r="G1996" s="275"/>
    </row>
    <row r="1997" spans="1:7" ht="17.45" customHeight="1">
      <c r="A1997" s="261" t="s">
        <v>8</v>
      </c>
      <c r="C1997" s="271" t="s">
        <v>2395</v>
      </c>
      <c r="D1997" s="497"/>
      <c r="E1997" s="499">
        <f>52100+50100</f>
        <v>102200</v>
      </c>
      <c r="F1997" s="263"/>
      <c r="G1997" s="275"/>
    </row>
    <row r="1998" spans="1:7" ht="17.45" customHeight="1">
      <c r="A1998" s="261" t="s">
        <v>8</v>
      </c>
      <c r="C1998" s="271" t="s">
        <v>1610</v>
      </c>
      <c r="D1998" s="497"/>
      <c r="E1998" s="499">
        <v>1500</v>
      </c>
      <c r="F1998" s="263"/>
      <c r="G1998" s="275"/>
    </row>
    <row r="1999" spans="1:7" ht="17.45" customHeight="1">
      <c r="A1999" s="261" t="s">
        <v>8</v>
      </c>
      <c r="C1999" s="271" t="s">
        <v>1776</v>
      </c>
      <c r="D1999" s="497"/>
      <c r="E1999" s="499">
        <v>10700</v>
      </c>
      <c r="F1999" s="263"/>
      <c r="G1999" s="275"/>
    </row>
    <row r="2000" spans="1:7" ht="17.45" customHeight="1">
      <c r="A2000" s="261" t="s">
        <v>8</v>
      </c>
      <c r="C2000" s="271" t="s">
        <v>2397</v>
      </c>
      <c r="D2000" s="497"/>
      <c r="E2000" s="499">
        <v>51780</v>
      </c>
      <c r="F2000" s="263"/>
      <c r="G2000" s="275"/>
    </row>
    <row r="2001" spans="1:7" ht="17.45" customHeight="1">
      <c r="A2001" s="261" t="s">
        <v>8</v>
      </c>
      <c r="C2001" s="271" t="s">
        <v>1680</v>
      </c>
      <c r="D2001" s="497"/>
      <c r="E2001" s="499">
        <v>3600</v>
      </c>
      <c r="F2001" s="263"/>
      <c r="G2001" s="275"/>
    </row>
    <row r="2002" spans="1:7" ht="17.45" customHeight="1">
      <c r="A2002" s="261" t="s">
        <v>8</v>
      </c>
      <c r="C2002" s="271" t="s">
        <v>2398</v>
      </c>
      <c r="D2002" s="497"/>
      <c r="E2002" s="499">
        <v>5200</v>
      </c>
      <c r="F2002" s="263"/>
      <c r="G2002" s="275"/>
    </row>
    <row r="2003" spans="1:7" ht="17.45" customHeight="1">
      <c r="A2003" s="261" t="s">
        <v>8</v>
      </c>
      <c r="C2003" s="271" t="s">
        <v>2399</v>
      </c>
      <c r="D2003" s="497"/>
      <c r="E2003" s="499">
        <v>100000</v>
      </c>
      <c r="F2003" s="263"/>
      <c r="G2003" s="275"/>
    </row>
    <row r="2004" spans="1:7" ht="17.45" customHeight="1">
      <c r="A2004" s="261" t="s">
        <v>8</v>
      </c>
      <c r="C2004" s="271" t="s">
        <v>2402</v>
      </c>
      <c r="D2004" s="497"/>
      <c r="E2004" s="499">
        <v>19000</v>
      </c>
      <c r="F2004" s="263"/>
      <c r="G2004" s="275"/>
    </row>
    <row r="2005" spans="1:7" ht="17.45" customHeight="1">
      <c r="A2005" s="261" t="s">
        <v>8</v>
      </c>
      <c r="C2005" s="271" t="s">
        <v>2403</v>
      </c>
      <c r="D2005" s="497"/>
      <c r="E2005" s="499">
        <v>173500</v>
      </c>
      <c r="F2005" s="263"/>
      <c r="G2005" s="275"/>
    </row>
    <row r="2006" spans="1:7" ht="17.45" customHeight="1">
      <c r="A2006" s="261" t="s">
        <v>8</v>
      </c>
      <c r="C2006" s="271" t="s">
        <v>2404</v>
      </c>
      <c r="D2006" s="497"/>
      <c r="E2006" s="499">
        <v>40000</v>
      </c>
      <c r="F2006" s="263"/>
      <c r="G2006" s="275"/>
    </row>
    <row r="2007" spans="1:7" ht="17.45" customHeight="1">
      <c r="A2007" s="261" t="s">
        <v>8</v>
      </c>
      <c r="C2007" s="271" t="s">
        <v>2405</v>
      </c>
      <c r="D2007" s="497"/>
      <c r="E2007" s="499">
        <v>2000</v>
      </c>
      <c r="F2007" s="263"/>
      <c r="G2007" s="275"/>
    </row>
    <row r="2008" spans="1:7" ht="17.45" customHeight="1">
      <c r="A2008" s="261" t="s">
        <v>8</v>
      </c>
      <c r="C2008" s="271" t="s">
        <v>2406</v>
      </c>
      <c r="D2008" s="497"/>
      <c r="E2008" s="499">
        <v>11500</v>
      </c>
      <c r="F2008" s="263"/>
      <c r="G2008" s="275"/>
    </row>
    <row r="2009" spans="1:7" ht="17.45" customHeight="1">
      <c r="A2009" s="261" t="s">
        <v>8</v>
      </c>
      <c r="C2009" s="271" t="s">
        <v>2407</v>
      </c>
      <c r="D2009" s="497"/>
      <c r="E2009" s="499">
        <v>51300</v>
      </c>
      <c r="F2009" s="263"/>
      <c r="G2009" s="275"/>
    </row>
    <row r="2010" spans="1:7" ht="17.45" customHeight="1">
      <c r="A2010" s="261" t="s">
        <v>8</v>
      </c>
      <c r="C2010" s="271" t="s">
        <v>2408</v>
      </c>
      <c r="D2010" s="497"/>
      <c r="E2010" s="499">
        <v>9000</v>
      </c>
      <c r="F2010" s="263"/>
      <c r="G2010" s="275"/>
    </row>
    <row r="2011" spans="1:7" ht="17.45" customHeight="1">
      <c r="A2011" s="261" t="s">
        <v>8</v>
      </c>
      <c r="C2011" s="271" t="s">
        <v>2414</v>
      </c>
      <c r="D2011" s="497"/>
      <c r="E2011" s="499">
        <v>6200</v>
      </c>
      <c r="F2011" s="263"/>
      <c r="G2011" s="275"/>
    </row>
    <row r="2012" spans="1:7" ht="17.45" customHeight="1">
      <c r="A2012" s="261" t="s">
        <v>8</v>
      </c>
      <c r="C2012" s="271" t="s">
        <v>2415</v>
      </c>
      <c r="D2012" s="497"/>
      <c r="E2012" s="499">
        <v>8000</v>
      </c>
      <c r="F2012" s="263"/>
      <c r="G2012" s="275"/>
    </row>
    <row r="2013" spans="1:7" ht="17.45" customHeight="1" thickBot="1">
      <c r="A2013" s="261" t="s">
        <v>8</v>
      </c>
      <c r="C2013" s="276" t="s">
        <v>1300</v>
      </c>
      <c r="D2013" s="502">
        <f>SUM(D1937:D2012)-SUM(E1937:E2012)</f>
        <v>457809</v>
      </c>
      <c r="E2013" s="502">
        <f>SUM(E1937:E2012)-SUM(F1937:F2012)</f>
        <v>5823891</v>
      </c>
      <c r="F2013" s="277"/>
      <c r="G2013" s="283"/>
    </row>
    <row r="2014" spans="1:7">
      <c r="A2014" s="261" t="s">
        <v>8</v>
      </c>
    </row>
    <row r="2015" spans="1:7" ht="12.75" thickBot="1">
      <c r="A2015" s="261" t="s">
        <v>8</v>
      </c>
    </row>
    <row r="2016" spans="1:7" ht="17.45" customHeight="1">
      <c r="A2016" s="261" t="s">
        <v>8</v>
      </c>
      <c r="B2016" s="256" t="s">
        <v>2416</v>
      </c>
      <c r="C2016" s="268" t="s">
        <v>1268</v>
      </c>
      <c r="D2016" s="500">
        <v>6051950</v>
      </c>
      <c r="E2016" s="501"/>
      <c r="F2016" s="269"/>
      <c r="G2016" s="270"/>
    </row>
    <row r="2017" spans="1:7" ht="17.45" customHeight="1">
      <c r="A2017" s="261" t="s">
        <v>8</v>
      </c>
      <c r="B2017" s="257"/>
      <c r="C2017" s="271" t="s">
        <v>1269</v>
      </c>
      <c r="D2017" s="497"/>
      <c r="E2017" s="499">
        <v>439000</v>
      </c>
      <c r="F2017" s="263"/>
      <c r="G2017" s="272" t="s">
        <v>2417</v>
      </c>
    </row>
    <row r="2018" spans="1:7" ht="17.45" customHeight="1">
      <c r="A2018" s="261" t="s">
        <v>8</v>
      </c>
      <c r="C2018" s="271" t="s">
        <v>1270</v>
      </c>
      <c r="D2018" s="497"/>
      <c r="E2018" s="499">
        <v>758000</v>
      </c>
      <c r="F2018" s="263"/>
      <c r="G2018" s="273" t="s">
        <v>2192</v>
      </c>
    </row>
    <row r="2019" spans="1:7" ht="17.45" customHeight="1">
      <c r="A2019" s="261" t="s">
        <v>8</v>
      </c>
      <c r="C2019" s="271" t="s">
        <v>1670</v>
      </c>
      <c r="D2019" s="497"/>
      <c r="E2019" s="499">
        <v>26010</v>
      </c>
      <c r="F2019" s="263"/>
      <c r="G2019" s="274"/>
    </row>
    <row r="2020" spans="1:7" ht="17.45" customHeight="1">
      <c r="A2020" s="261" t="s">
        <v>8</v>
      </c>
      <c r="C2020" s="271" t="s">
        <v>1672</v>
      </c>
      <c r="D2020" s="497"/>
      <c r="E2020" s="499">
        <v>115400</v>
      </c>
      <c r="F2020" s="263"/>
      <c r="G2020" s="274"/>
    </row>
    <row r="2021" spans="1:7" ht="17.45" customHeight="1">
      <c r="A2021" s="261" t="s">
        <v>8</v>
      </c>
      <c r="C2021" s="271" t="s">
        <v>1673</v>
      </c>
      <c r="D2021" s="497"/>
      <c r="E2021" s="497">
        <v>0</v>
      </c>
      <c r="F2021" s="263"/>
      <c r="G2021" s="274"/>
    </row>
    <row r="2022" spans="1:7" ht="17.45" customHeight="1">
      <c r="A2022" s="261" t="s">
        <v>8</v>
      </c>
      <c r="C2022" s="271" t="s">
        <v>1332</v>
      </c>
      <c r="D2022" s="497"/>
      <c r="E2022" s="499">
        <v>42900</v>
      </c>
      <c r="F2022" s="263"/>
      <c r="G2022" s="275"/>
    </row>
    <row r="2023" spans="1:7" ht="17.45" customHeight="1">
      <c r="A2023" s="261" t="s">
        <v>8</v>
      </c>
      <c r="C2023" s="271" t="s">
        <v>1271</v>
      </c>
      <c r="D2023" s="497"/>
      <c r="E2023" s="497">
        <v>0</v>
      </c>
      <c r="F2023" s="263"/>
      <c r="G2023" s="274"/>
    </row>
    <row r="2024" spans="1:7" ht="17.45" customHeight="1">
      <c r="A2024" s="261" t="s">
        <v>8</v>
      </c>
      <c r="C2024" s="271" t="s">
        <v>1272</v>
      </c>
      <c r="D2024" s="497"/>
      <c r="E2024" s="499">
        <v>7470</v>
      </c>
      <c r="F2024" s="263"/>
      <c r="G2024" s="273"/>
    </row>
    <row r="2025" spans="1:7" ht="17.45" customHeight="1">
      <c r="A2025" s="261" t="s">
        <v>8</v>
      </c>
      <c r="C2025" s="271" t="s">
        <v>1273</v>
      </c>
      <c r="D2025" s="497"/>
      <c r="E2025" s="499">
        <v>29920</v>
      </c>
      <c r="F2025" s="263"/>
      <c r="G2025" s="273"/>
    </row>
    <row r="2026" spans="1:7" ht="17.45" customHeight="1">
      <c r="A2026" s="261" t="s">
        <v>8</v>
      </c>
      <c r="C2026" s="271" t="s">
        <v>1274</v>
      </c>
      <c r="D2026" s="497"/>
      <c r="E2026" s="499">
        <v>9405</v>
      </c>
      <c r="F2026" s="263"/>
      <c r="G2026" s="273"/>
    </row>
    <row r="2027" spans="1:7" ht="17.45" customHeight="1">
      <c r="A2027" s="261" t="s">
        <v>8</v>
      </c>
      <c r="C2027" s="271" t="s">
        <v>1275</v>
      </c>
      <c r="D2027" s="497"/>
      <c r="E2027" s="499">
        <v>26450</v>
      </c>
      <c r="F2027" s="263"/>
      <c r="G2027" s="273"/>
    </row>
    <row r="2028" spans="1:7" ht="17.45" customHeight="1">
      <c r="A2028" s="261" t="s">
        <v>8</v>
      </c>
      <c r="C2028" s="271" t="s">
        <v>2168</v>
      </c>
      <c r="D2028" s="497"/>
      <c r="E2028" s="499">
        <v>18816</v>
      </c>
      <c r="F2028" s="263"/>
      <c r="G2028" s="273"/>
    </row>
    <row r="2029" spans="1:7" ht="17.45" customHeight="1">
      <c r="A2029" s="261" t="s">
        <v>8</v>
      </c>
      <c r="C2029" s="271" t="s">
        <v>1517</v>
      </c>
      <c r="D2029" s="497"/>
      <c r="E2029" s="499">
        <v>23230</v>
      </c>
      <c r="F2029" s="263"/>
      <c r="G2029" s="273"/>
    </row>
    <row r="2030" spans="1:7" ht="17.45" customHeight="1">
      <c r="A2030" s="261" t="s">
        <v>8</v>
      </c>
      <c r="C2030" s="271" t="s">
        <v>1276</v>
      </c>
      <c r="D2030" s="497"/>
      <c r="E2030" s="499">
        <f>328350-150000</f>
        <v>178350</v>
      </c>
      <c r="F2030" s="263"/>
      <c r="G2030" s="273"/>
    </row>
    <row r="2031" spans="1:7" ht="17.45" customHeight="1">
      <c r="A2031" s="261" t="s">
        <v>8</v>
      </c>
      <c r="C2031" s="271" t="s">
        <v>1277</v>
      </c>
      <c r="D2031" s="497"/>
      <c r="E2031" s="497"/>
      <c r="F2031" s="263"/>
      <c r="G2031" s="273"/>
    </row>
    <row r="2032" spans="1:7" ht="17.45" customHeight="1">
      <c r="A2032" s="261" t="s">
        <v>8</v>
      </c>
      <c r="C2032" s="271" t="s">
        <v>1278</v>
      </c>
      <c r="D2032" s="497"/>
      <c r="E2032" s="499">
        <v>200000</v>
      </c>
      <c r="F2032" s="263"/>
      <c r="G2032" s="273"/>
    </row>
    <row r="2033" spans="1:7" ht="17.45" customHeight="1">
      <c r="A2033" s="261" t="s">
        <v>8</v>
      </c>
      <c r="C2033" s="285" t="s">
        <v>1413</v>
      </c>
      <c r="D2033" s="506"/>
      <c r="E2033" s="507">
        <v>1300000</v>
      </c>
      <c r="F2033" s="286"/>
      <c r="G2033" s="287"/>
    </row>
    <row r="2034" spans="1:7" ht="17.45" customHeight="1" thickBot="1">
      <c r="A2034" s="261" t="s">
        <v>8</v>
      </c>
      <c r="C2034" s="285" t="s">
        <v>1942</v>
      </c>
      <c r="D2034" s="506"/>
      <c r="E2034" s="507">
        <v>20000</v>
      </c>
      <c r="F2034" s="286"/>
      <c r="G2034" s="290"/>
    </row>
    <row r="2035" spans="1:7" ht="17.45" customHeight="1">
      <c r="A2035" s="261" t="s">
        <v>8</v>
      </c>
      <c r="C2035" s="268" t="s">
        <v>1280</v>
      </c>
      <c r="D2035" s="501"/>
      <c r="E2035" s="500">
        <f>50000</f>
        <v>50000</v>
      </c>
      <c r="F2035" s="269"/>
      <c r="G2035" s="288"/>
    </row>
    <row r="2036" spans="1:7" ht="17.45" customHeight="1">
      <c r="A2036" s="261" t="s">
        <v>8</v>
      </c>
      <c r="C2036" s="271" t="s">
        <v>1549</v>
      </c>
      <c r="D2036" s="497"/>
      <c r="E2036" s="497"/>
      <c r="F2036" s="263"/>
      <c r="G2036" s="275"/>
    </row>
    <row r="2037" spans="1:7" ht="17.45" customHeight="1">
      <c r="A2037" s="261" t="s">
        <v>8</v>
      </c>
      <c r="C2037" s="271" t="s">
        <v>1819</v>
      </c>
      <c r="D2037" s="497"/>
      <c r="E2037" s="497"/>
      <c r="F2037" s="263"/>
      <c r="G2037" s="275"/>
    </row>
    <row r="2038" spans="1:7" ht="17.45" customHeight="1">
      <c r="A2038" s="261" t="s">
        <v>8</v>
      </c>
      <c r="C2038" s="271" t="s">
        <v>391</v>
      </c>
      <c r="D2038" s="497"/>
      <c r="E2038" s="497"/>
      <c r="F2038" s="263"/>
      <c r="G2038" s="275"/>
    </row>
    <row r="2039" spans="1:7" ht="17.45" customHeight="1">
      <c r="A2039" s="261" t="s">
        <v>8</v>
      </c>
      <c r="C2039" s="271" t="s">
        <v>1934</v>
      </c>
      <c r="D2039" s="497"/>
      <c r="E2039" s="497"/>
      <c r="F2039" s="263"/>
      <c r="G2039" s="275"/>
    </row>
    <row r="2040" spans="1:7" ht="17.25" customHeight="1">
      <c r="A2040" s="261" t="s">
        <v>8</v>
      </c>
      <c r="C2040" s="271" t="s">
        <v>2202</v>
      </c>
      <c r="D2040" s="497"/>
      <c r="E2040" s="497"/>
      <c r="F2040" s="263"/>
      <c r="G2040" s="275"/>
    </row>
    <row r="2041" spans="1:7" ht="17.45" customHeight="1">
      <c r="A2041" s="261" t="s">
        <v>8</v>
      </c>
      <c r="C2041" s="271" t="s">
        <v>2097</v>
      </c>
      <c r="D2041" s="497"/>
      <c r="E2041" s="497"/>
      <c r="F2041" s="263"/>
      <c r="G2041" s="275"/>
    </row>
    <row r="2042" spans="1:7" ht="17.45" customHeight="1">
      <c r="A2042" s="261" t="s">
        <v>8</v>
      </c>
      <c r="C2042" s="271" t="s">
        <v>1687</v>
      </c>
      <c r="D2042" s="497"/>
      <c r="E2042" s="497"/>
      <c r="F2042" s="263"/>
      <c r="G2042" s="275"/>
    </row>
    <row r="2043" spans="1:7" ht="17.45" customHeight="1">
      <c r="A2043" s="261" t="s">
        <v>8</v>
      </c>
      <c r="C2043" s="271" t="s">
        <v>1688</v>
      </c>
      <c r="D2043" s="497"/>
      <c r="E2043" s="499">
        <v>55000</v>
      </c>
      <c r="F2043" s="263"/>
      <c r="G2043" s="275"/>
    </row>
    <row r="2044" spans="1:7" ht="17.45" customHeight="1">
      <c r="A2044" s="261" t="s">
        <v>8</v>
      </c>
      <c r="C2044" s="271" t="s">
        <v>2281</v>
      </c>
      <c r="D2044" s="497"/>
      <c r="E2044" s="497"/>
      <c r="F2044" s="263"/>
      <c r="G2044" s="275"/>
    </row>
    <row r="2045" spans="1:7" ht="17.45" customHeight="1">
      <c r="A2045" s="261" t="s">
        <v>8</v>
      </c>
      <c r="C2045" s="271" t="s">
        <v>1596</v>
      </c>
      <c r="D2045" s="497"/>
      <c r="E2045" s="497"/>
      <c r="F2045" s="263"/>
      <c r="G2045" s="275"/>
    </row>
    <row r="2046" spans="1:7" ht="17.45" customHeight="1">
      <c r="A2046" s="261" t="s">
        <v>8</v>
      </c>
      <c r="C2046" s="271" t="s">
        <v>1595</v>
      </c>
      <c r="D2046" s="497"/>
      <c r="E2046" s="497"/>
      <c r="F2046" s="263"/>
      <c r="G2046" s="275"/>
    </row>
    <row r="2047" spans="1:7" ht="17.45" customHeight="1">
      <c r="A2047" s="261" t="s">
        <v>8</v>
      </c>
      <c r="C2047" s="271" t="s">
        <v>1613</v>
      </c>
      <c r="D2047" s="497"/>
      <c r="E2047" s="497"/>
      <c r="F2047" s="263"/>
      <c r="G2047" s="275"/>
    </row>
    <row r="2048" spans="1:7" ht="17.45" customHeight="1">
      <c r="A2048" s="261" t="s">
        <v>8</v>
      </c>
      <c r="C2048" s="271" t="s">
        <v>1689</v>
      </c>
      <c r="D2048" s="497"/>
      <c r="E2048" s="497"/>
      <c r="F2048" s="263"/>
      <c r="G2048" s="275"/>
    </row>
    <row r="2049" spans="1:7" ht="17.45" customHeight="1">
      <c r="A2049" s="261" t="s">
        <v>8</v>
      </c>
      <c r="C2049" s="271" t="s">
        <v>1569</v>
      </c>
      <c r="D2049" s="497"/>
      <c r="E2049" s="499">
        <v>56300</v>
      </c>
      <c r="F2049" s="263"/>
      <c r="G2049" s="275"/>
    </row>
    <row r="2050" spans="1:7" ht="17.45" customHeight="1">
      <c r="A2050" s="261" t="s">
        <v>8</v>
      </c>
      <c r="C2050" s="271" t="s">
        <v>1618</v>
      </c>
      <c r="D2050" s="497"/>
      <c r="E2050" s="499">
        <f>9140+6230+15550+10410+4780+70100+8970</f>
        <v>125180</v>
      </c>
      <c r="F2050" s="263"/>
      <c r="G2050" s="275"/>
    </row>
    <row r="2051" spans="1:7" ht="17.45" customHeight="1">
      <c r="A2051" s="261" t="s">
        <v>8</v>
      </c>
      <c r="C2051" s="271" t="s">
        <v>1800</v>
      </c>
      <c r="D2051" s="497"/>
      <c r="E2051" s="497"/>
      <c r="F2051" s="263"/>
      <c r="G2051" s="275"/>
    </row>
    <row r="2052" spans="1:7" ht="17.45" customHeight="1" thickBot="1">
      <c r="A2052" s="261" t="s">
        <v>8</v>
      </c>
      <c r="C2052" s="276" t="s">
        <v>1594</v>
      </c>
      <c r="D2052" s="502"/>
      <c r="E2052" s="503">
        <v>23000</v>
      </c>
      <c r="F2052" s="277"/>
      <c r="G2052" s="282"/>
    </row>
    <row r="2053" spans="1:7" ht="17.45" customHeight="1">
      <c r="A2053" s="261" t="s">
        <v>8</v>
      </c>
      <c r="C2053" s="279" t="s">
        <v>1813</v>
      </c>
      <c r="D2053" s="504"/>
      <c r="E2053" s="505">
        <v>200000</v>
      </c>
      <c r="F2053" s="280"/>
      <c r="G2053" s="281"/>
    </row>
    <row r="2054" spans="1:7" ht="17.45" customHeight="1">
      <c r="A2054" s="261" t="s">
        <v>8</v>
      </c>
      <c r="C2054" s="271" t="s">
        <v>1831</v>
      </c>
      <c r="D2054" s="497"/>
      <c r="E2054" s="499">
        <v>300000</v>
      </c>
      <c r="F2054" s="263"/>
      <c r="G2054" s="275"/>
    </row>
    <row r="2055" spans="1:7" ht="17.45" customHeight="1">
      <c r="A2055" s="261" t="s">
        <v>8</v>
      </c>
      <c r="C2055" s="271" t="s">
        <v>2004</v>
      </c>
      <c r="D2055" s="497"/>
      <c r="E2055" s="499">
        <v>300000</v>
      </c>
      <c r="F2055" s="263"/>
      <c r="G2055" s="275"/>
    </row>
    <row r="2056" spans="1:7" ht="17.45" customHeight="1">
      <c r="A2056" s="261" t="s">
        <v>8</v>
      </c>
      <c r="C2056" s="271" t="s">
        <v>1304</v>
      </c>
      <c r="D2056" s="497"/>
      <c r="E2056" s="499">
        <v>1116210</v>
      </c>
      <c r="F2056" s="263"/>
      <c r="G2056" s="275"/>
    </row>
    <row r="2057" spans="1:7" ht="17.45" customHeight="1">
      <c r="A2057" s="261" t="s">
        <v>8</v>
      </c>
      <c r="C2057" s="271" t="s">
        <v>2208</v>
      </c>
      <c r="D2057" s="497"/>
      <c r="E2057" s="499">
        <v>59400</v>
      </c>
      <c r="F2057" s="263"/>
      <c r="G2057" s="275"/>
    </row>
    <row r="2058" spans="1:7" ht="17.45" customHeight="1">
      <c r="A2058" s="261" t="s">
        <v>8</v>
      </c>
      <c r="C2058" s="271" t="s">
        <v>1774</v>
      </c>
      <c r="D2058" s="497"/>
      <c r="E2058" s="499">
        <v>478726</v>
      </c>
      <c r="F2058" s="263"/>
      <c r="G2058" s="275"/>
    </row>
    <row r="2059" spans="1:7" ht="17.45" customHeight="1">
      <c r="A2059" s="261" t="s">
        <v>8</v>
      </c>
      <c r="C2059" s="271" t="s">
        <v>1921</v>
      </c>
      <c r="D2059" s="497"/>
      <c r="E2059" s="499">
        <f>130200+64600+117200-312000</f>
        <v>0</v>
      </c>
      <c r="F2059" s="263"/>
      <c r="G2059" s="275"/>
    </row>
    <row r="2060" spans="1:7" ht="17.45" customHeight="1">
      <c r="A2060" s="261" t="s">
        <v>8</v>
      </c>
      <c r="C2060" s="271" t="s">
        <v>2423</v>
      </c>
      <c r="D2060" s="497"/>
      <c r="E2060" s="499">
        <v>7600</v>
      </c>
      <c r="F2060" s="263"/>
      <c r="G2060" s="275"/>
    </row>
    <row r="2061" spans="1:7" ht="17.45" customHeight="1">
      <c r="A2061" s="261" t="s">
        <v>8</v>
      </c>
      <c r="C2061" s="271" t="s">
        <v>2424</v>
      </c>
      <c r="D2061" s="497"/>
      <c r="E2061" s="499">
        <v>2000</v>
      </c>
      <c r="F2061" s="263"/>
      <c r="G2061" s="275"/>
    </row>
    <row r="2062" spans="1:7" ht="17.45" customHeight="1">
      <c r="A2062" s="261" t="s">
        <v>8</v>
      </c>
      <c r="C2062" s="271" t="s">
        <v>1647</v>
      </c>
      <c r="D2062" s="497"/>
      <c r="E2062" s="499">
        <f>700+2200</f>
        <v>2900</v>
      </c>
      <c r="F2062" s="263"/>
      <c r="G2062" s="275"/>
    </row>
    <row r="2063" spans="1:7" ht="17.45" customHeight="1">
      <c r="A2063" s="261" t="s">
        <v>8</v>
      </c>
      <c r="C2063" s="271" t="s">
        <v>1646</v>
      </c>
      <c r="D2063" s="497"/>
      <c r="E2063" s="499">
        <f>8500+13500</f>
        <v>22000</v>
      </c>
      <c r="F2063" s="263"/>
      <c r="G2063" s="275"/>
    </row>
    <row r="2064" spans="1:7" ht="17.45" customHeight="1">
      <c r="A2064" s="261" t="s">
        <v>8</v>
      </c>
      <c r="C2064" s="271" t="s">
        <v>1614</v>
      </c>
      <c r="D2064" s="497"/>
      <c r="E2064" s="499">
        <v>23000</v>
      </c>
      <c r="F2064" s="263"/>
      <c r="G2064" s="275"/>
    </row>
    <row r="2065" spans="1:7" ht="17.45" customHeight="1">
      <c r="A2065" s="261" t="s">
        <v>8</v>
      </c>
      <c r="C2065" s="271" t="s">
        <v>2425</v>
      </c>
      <c r="D2065" s="497"/>
      <c r="E2065" s="499">
        <v>39000</v>
      </c>
      <c r="F2065" s="263"/>
      <c r="G2065" s="275"/>
    </row>
    <row r="2066" spans="1:7" ht="17.45" customHeight="1">
      <c r="A2066" s="261" t="s">
        <v>8</v>
      </c>
      <c r="C2066" s="271" t="s">
        <v>1776</v>
      </c>
      <c r="D2066" s="497"/>
      <c r="E2066" s="499">
        <v>1800</v>
      </c>
      <c r="F2066" s="263"/>
      <c r="G2066" s="275"/>
    </row>
    <row r="2067" spans="1:7" ht="17.45" customHeight="1">
      <c r="A2067" s="261" t="s">
        <v>8</v>
      </c>
      <c r="C2067" s="271" t="s">
        <v>2426</v>
      </c>
      <c r="D2067" s="497"/>
      <c r="E2067" s="499">
        <v>100000</v>
      </c>
      <c r="F2067" s="263"/>
      <c r="G2067" s="275"/>
    </row>
    <row r="2068" spans="1:7" ht="17.45" customHeight="1">
      <c r="A2068" s="261" t="s">
        <v>8</v>
      </c>
      <c r="C2068" s="271" t="s">
        <v>1784</v>
      </c>
      <c r="D2068" s="497"/>
      <c r="E2068" s="499">
        <v>5000</v>
      </c>
      <c r="F2068" s="263"/>
      <c r="G2068" s="275"/>
    </row>
    <row r="2069" spans="1:7" ht="17.45" customHeight="1">
      <c r="A2069" s="261" t="s">
        <v>8</v>
      </c>
      <c r="C2069" s="271" t="s">
        <v>2427</v>
      </c>
      <c r="D2069" s="497"/>
      <c r="E2069" s="499">
        <v>4500</v>
      </c>
      <c r="F2069" s="263"/>
      <c r="G2069" s="275"/>
    </row>
    <row r="2070" spans="1:7" ht="17.45" customHeight="1">
      <c r="A2070" s="261" t="s">
        <v>8</v>
      </c>
      <c r="C2070" s="271" t="s">
        <v>2435</v>
      </c>
      <c r="D2070" s="497"/>
      <c r="E2070" s="499">
        <f>7890+48470</f>
        <v>56360</v>
      </c>
      <c r="F2070" s="263"/>
      <c r="G2070" s="275"/>
    </row>
    <row r="2071" spans="1:7" ht="17.45" customHeight="1">
      <c r="A2071" s="261" t="s">
        <v>8</v>
      </c>
      <c r="C2071" s="271" t="s">
        <v>1628</v>
      </c>
      <c r="D2071" s="497"/>
      <c r="E2071" s="499">
        <v>20000</v>
      </c>
      <c r="F2071" s="263"/>
      <c r="G2071" s="275"/>
    </row>
    <row r="2072" spans="1:7" ht="17.45" customHeight="1">
      <c r="A2072" s="261" t="s">
        <v>8</v>
      </c>
      <c r="C2072" s="271" t="s">
        <v>2436</v>
      </c>
      <c r="D2072" s="497"/>
      <c r="E2072" s="499">
        <v>8000</v>
      </c>
      <c r="F2072" s="263"/>
      <c r="G2072" s="275"/>
    </row>
    <row r="2073" spans="1:7" ht="17.45" customHeight="1">
      <c r="A2073" s="261" t="s">
        <v>8</v>
      </c>
      <c r="C2073" s="271" t="s">
        <v>1770</v>
      </c>
      <c r="D2073" s="497"/>
      <c r="E2073" s="499">
        <f>3000+3000+4000</f>
        <v>10000</v>
      </c>
      <c r="F2073" s="263"/>
      <c r="G2073" s="275"/>
    </row>
    <row r="2074" spans="1:7" ht="17.45" customHeight="1">
      <c r="A2074" s="261" t="s">
        <v>8</v>
      </c>
      <c r="C2074" s="271" t="s">
        <v>2437</v>
      </c>
      <c r="D2074" s="497"/>
      <c r="E2074" s="499">
        <v>100000</v>
      </c>
      <c r="F2074" s="263"/>
      <c r="G2074" s="275"/>
    </row>
    <row r="2075" spans="1:7" ht="17.45" customHeight="1">
      <c r="A2075" s="261" t="s">
        <v>8</v>
      </c>
      <c r="C2075" s="271" t="s">
        <v>2438</v>
      </c>
      <c r="D2075" s="497"/>
      <c r="E2075" s="499">
        <v>8500</v>
      </c>
      <c r="F2075" s="263"/>
      <c r="G2075" s="275"/>
    </row>
    <row r="2076" spans="1:7" ht="17.45" customHeight="1">
      <c r="A2076" s="261" t="s">
        <v>8</v>
      </c>
      <c r="C2076" s="271" t="s">
        <v>2439</v>
      </c>
      <c r="D2076" s="497"/>
      <c r="E2076" s="499">
        <v>6000</v>
      </c>
      <c r="F2076" s="263"/>
      <c r="G2076" s="275"/>
    </row>
    <row r="2077" spans="1:7" ht="17.45" customHeight="1">
      <c r="A2077" s="261" t="s">
        <v>8</v>
      </c>
      <c r="C2077" s="271" t="s">
        <v>1606</v>
      </c>
      <c r="D2077" s="497"/>
      <c r="E2077" s="499">
        <v>12400</v>
      </c>
      <c r="F2077" s="263"/>
      <c r="G2077" s="275"/>
    </row>
    <row r="2078" spans="1:7" ht="17.45" customHeight="1">
      <c r="A2078" s="261" t="s">
        <v>8</v>
      </c>
      <c r="C2078" s="271" t="s">
        <v>2441</v>
      </c>
      <c r="D2078" s="497"/>
      <c r="E2078" s="499">
        <v>4000</v>
      </c>
      <c r="F2078" s="263"/>
      <c r="G2078" s="275"/>
    </row>
    <row r="2079" spans="1:7" ht="17.45" customHeight="1">
      <c r="A2079" s="261" t="s">
        <v>8</v>
      </c>
      <c r="C2079" s="271" t="s">
        <v>2442</v>
      </c>
      <c r="D2079" s="497"/>
      <c r="E2079" s="499">
        <v>26300</v>
      </c>
      <c r="F2079" s="263"/>
      <c r="G2079" s="275"/>
    </row>
    <row r="2080" spans="1:7" ht="17.45" customHeight="1">
      <c r="A2080" s="261" t="s">
        <v>8</v>
      </c>
      <c r="C2080" s="271" t="s">
        <v>2443</v>
      </c>
      <c r="D2080" s="497"/>
      <c r="E2080" s="499">
        <f>4800+4200</f>
        <v>9000</v>
      </c>
      <c r="F2080" s="263"/>
      <c r="G2080" s="275"/>
    </row>
    <row r="2081" spans="1:7" ht="17.45" customHeight="1">
      <c r="A2081" s="261" t="s">
        <v>8</v>
      </c>
      <c r="C2081" s="271" t="s">
        <v>1777</v>
      </c>
      <c r="D2081" s="497"/>
      <c r="E2081" s="499">
        <f>4800+4800</f>
        <v>9600</v>
      </c>
      <c r="F2081" s="263"/>
      <c r="G2081" s="275"/>
    </row>
    <row r="2082" spans="1:7" ht="17.45" customHeight="1">
      <c r="A2082" s="261" t="s">
        <v>8</v>
      </c>
      <c r="C2082" s="271" t="s">
        <v>2445</v>
      </c>
      <c r="D2082" s="497"/>
      <c r="E2082" s="499">
        <v>20000</v>
      </c>
      <c r="F2082" s="263"/>
      <c r="G2082" s="275"/>
    </row>
    <row r="2083" spans="1:7" ht="17.45" customHeight="1">
      <c r="A2083" s="261" t="s">
        <v>8</v>
      </c>
      <c r="C2083" s="271" t="s">
        <v>2446</v>
      </c>
      <c r="D2083" s="497"/>
      <c r="E2083" s="499">
        <v>6850</v>
      </c>
      <c r="F2083" s="263"/>
      <c r="G2083" s="275"/>
    </row>
    <row r="2084" spans="1:7" ht="17.45" customHeight="1">
      <c r="A2084" s="261" t="s">
        <v>8</v>
      </c>
      <c r="C2084" s="271" t="s">
        <v>2447</v>
      </c>
      <c r="D2084" s="497"/>
      <c r="E2084" s="499">
        <v>20000</v>
      </c>
      <c r="F2084" s="263"/>
      <c r="G2084" s="275"/>
    </row>
    <row r="2085" spans="1:7" ht="17.45" customHeight="1">
      <c r="A2085" s="261" t="s">
        <v>8</v>
      </c>
      <c r="C2085" s="271" t="s">
        <v>2448</v>
      </c>
      <c r="D2085" s="497"/>
      <c r="E2085" s="499">
        <v>11000</v>
      </c>
      <c r="F2085" s="263"/>
      <c r="G2085" s="275"/>
    </row>
    <row r="2086" spans="1:7" ht="17.45" customHeight="1">
      <c r="A2086" s="261" t="s">
        <v>8</v>
      </c>
      <c r="C2086" s="271" t="s">
        <v>2408</v>
      </c>
      <c r="D2086" s="497"/>
      <c r="E2086" s="499">
        <v>8000</v>
      </c>
      <c r="F2086" s="263"/>
      <c r="G2086" s="275"/>
    </row>
    <row r="2087" spans="1:7" ht="17.45" customHeight="1">
      <c r="A2087" s="261" t="s">
        <v>8</v>
      </c>
      <c r="C2087" s="271" t="s">
        <v>1585</v>
      </c>
      <c r="D2087" s="497"/>
      <c r="E2087" s="499">
        <f>18900+18900</f>
        <v>37800</v>
      </c>
      <c r="F2087" s="263"/>
      <c r="G2087" s="275"/>
    </row>
    <row r="2088" spans="1:7" ht="17.45" customHeight="1">
      <c r="A2088" s="261" t="s">
        <v>8</v>
      </c>
      <c r="C2088" s="271" t="s">
        <v>1610</v>
      </c>
      <c r="D2088" s="497"/>
      <c r="E2088" s="499">
        <v>4100</v>
      </c>
      <c r="F2088" s="263"/>
      <c r="G2088" s="275"/>
    </row>
    <row r="2089" spans="1:7" ht="17.45" customHeight="1">
      <c r="A2089" s="261" t="s">
        <v>8</v>
      </c>
      <c r="C2089" s="271" t="s">
        <v>2450</v>
      </c>
      <c r="D2089" s="497"/>
      <c r="E2089" s="499">
        <v>100000</v>
      </c>
      <c r="F2089" s="263"/>
      <c r="G2089" s="275"/>
    </row>
    <row r="2090" spans="1:7" ht="17.45" customHeight="1">
      <c r="A2090" s="261" t="s">
        <v>8</v>
      </c>
      <c r="C2090" s="271" t="s">
        <v>2452</v>
      </c>
      <c r="D2090" s="497"/>
      <c r="E2090" s="499">
        <v>4000</v>
      </c>
      <c r="F2090" s="263"/>
      <c r="G2090" s="275"/>
    </row>
    <row r="2091" spans="1:7" ht="17.45" customHeight="1">
      <c r="A2091" s="261" t="s">
        <v>8</v>
      </c>
      <c r="C2091" s="271" t="s">
        <v>1950</v>
      </c>
      <c r="D2091" s="497"/>
      <c r="E2091" s="499">
        <v>215000</v>
      </c>
      <c r="F2091" s="263"/>
      <c r="G2091" s="275"/>
    </row>
    <row r="2092" spans="1:7" ht="17.45" customHeight="1">
      <c r="A2092" s="261" t="s">
        <v>8</v>
      </c>
      <c r="C2092" s="271" t="s">
        <v>2453</v>
      </c>
      <c r="D2092" s="497"/>
      <c r="E2092" s="499">
        <v>37000</v>
      </c>
      <c r="F2092" s="263"/>
      <c r="G2092" s="275"/>
    </row>
    <row r="2093" spans="1:7" ht="17.45" customHeight="1">
      <c r="A2093" s="261" t="s">
        <v>8</v>
      </c>
      <c r="C2093" s="271" t="s">
        <v>2464</v>
      </c>
      <c r="D2093" s="497"/>
      <c r="E2093" s="499">
        <f>42500-12500</f>
        <v>30000</v>
      </c>
      <c r="F2093" s="263"/>
      <c r="G2093" s="275"/>
    </row>
    <row r="2094" spans="1:7" ht="17.45" customHeight="1">
      <c r="A2094" s="261" t="s">
        <v>8</v>
      </c>
      <c r="C2094" s="271" t="s">
        <v>1792</v>
      </c>
      <c r="D2094" s="497"/>
      <c r="E2094" s="499">
        <v>13000</v>
      </c>
      <c r="F2094" s="263"/>
      <c r="G2094" s="275"/>
    </row>
    <row r="2095" spans="1:7" ht="17.45" customHeight="1">
      <c r="A2095" s="261" t="s">
        <v>8</v>
      </c>
      <c r="C2095" s="271" t="s">
        <v>2454</v>
      </c>
      <c r="D2095" s="497"/>
      <c r="E2095" s="499">
        <v>24700</v>
      </c>
      <c r="F2095" s="263"/>
      <c r="G2095" s="275"/>
    </row>
    <row r="2096" spans="1:7" ht="17.45" customHeight="1">
      <c r="A2096" s="261" t="s">
        <v>8</v>
      </c>
      <c r="C2096" s="271" t="s">
        <v>2455</v>
      </c>
      <c r="D2096" s="497"/>
      <c r="E2096" s="499">
        <v>1000</v>
      </c>
      <c r="F2096" s="263"/>
      <c r="G2096" s="275"/>
    </row>
    <row r="2097" spans="1:7" ht="17.45" customHeight="1">
      <c r="A2097" s="261" t="s">
        <v>8</v>
      </c>
      <c r="C2097" s="271" t="s">
        <v>1810</v>
      </c>
      <c r="D2097" s="497"/>
      <c r="E2097" s="499">
        <v>2000</v>
      </c>
      <c r="F2097" s="263"/>
      <c r="G2097" s="275"/>
    </row>
    <row r="2098" spans="1:7" ht="17.45" customHeight="1">
      <c r="A2098" s="261" t="s">
        <v>8</v>
      </c>
      <c r="C2098" s="271" t="s">
        <v>2196</v>
      </c>
      <c r="D2098" s="497"/>
      <c r="E2098" s="499">
        <v>27000</v>
      </c>
      <c r="F2098" s="263"/>
      <c r="G2098" s="275"/>
    </row>
    <row r="2099" spans="1:7" ht="17.45" customHeight="1">
      <c r="A2099" s="261" t="s">
        <v>8</v>
      </c>
      <c r="C2099" s="271" t="s">
        <v>2456</v>
      </c>
      <c r="D2099" s="497"/>
      <c r="E2099" s="499">
        <v>2000</v>
      </c>
      <c r="F2099" s="263"/>
      <c r="G2099" s="275"/>
    </row>
    <row r="2100" spans="1:7" ht="17.45" customHeight="1">
      <c r="A2100" s="261" t="s">
        <v>8</v>
      </c>
      <c r="C2100" s="271" t="s">
        <v>2457</v>
      </c>
      <c r="D2100" s="499">
        <v>105000</v>
      </c>
      <c r="E2100" s="497"/>
      <c r="F2100" s="263"/>
      <c r="G2100" s="275"/>
    </row>
    <row r="2101" spans="1:7" ht="17.45" customHeight="1">
      <c r="A2101" s="261" t="s">
        <v>8</v>
      </c>
      <c r="C2101" s="271" t="s">
        <v>1602</v>
      </c>
      <c r="D2101" s="499">
        <v>2083</v>
      </c>
      <c r="E2101" s="497"/>
      <c r="F2101" s="263"/>
      <c r="G2101" s="275"/>
    </row>
    <row r="2102" spans="1:7" ht="17.45" customHeight="1">
      <c r="A2102" s="261" t="s">
        <v>8</v>
      </c>
      <c r="C2102" s="271" t="s">
        <v>2458</v>
      </c>
      <c r="D2102" s="497"/>
      <c r="E2102" s="499">
        <v>800</v>
      </c>
      <c r="F2102" s="263"/>
      <c r="G2102" s="275"/>
    </row>
    <row r="2103" spans="1:7" ht="17.45" customHeight="1">
      <c r="A2103" s="261" t="s">
        <v>8</v>
      </c>
      <c r="C2103" s="271" t="s">
        <v>2459</v>
      </c>
      <c r="D2103" s="497"/>
      <c r="E2103" s="499">
        <v>2200</v>
      </c>
      <c r="F2103" s="263"/>
      <c r="G2103" s="275"/>
    </row>
    <row r="2104" spans="1:7" ht="17.45" customHeight="1">
      <c r="A2104" s="261" t="s">
        <v>8</v>
      </c>
      <c r="C2104" s="271" t="s">
        <v>2460</v>
      </c>
      <c r="D2104" s="497"/>
      <c r="E2104" s="499">
        <v>17000</v>
      </c>
      <c r="F2104" s="263"/>
      <c r="G2104" s="275"/>
    </row>
    <row r="2105" spans="1:7" ht="17.45" customHeight="1">
      <c r="A2105" s="261" t="s">
        <v>8</v>
      </c>
      <c r="C2105" s="271" t="s">
        <v>2461</v>
      </c>
      <c r="D2105" s="497"/>
      <c r="E2105" s="499">
        <v>8500</v>
      </c>
      <c r="F2105" s="263"/>
      <c r="G2105" s="275"/>
    </row>
    <row r="2106" spans="1:7" ht="17.45" customHeight="1">
      <c r="A2106" s="261" t="s">
        <v>8</v>
      </c>
      <c r="C2106" s="271" t="s">
        <v>1680</v>
      </c>
      <c r="D2106" s="497"/>
      <c r="E2106" s="499">
        <f>3200+3900</f>
        <v>7100</v>
      </c>
      <c r="F2106" s="263"/>
      <c r="G2106" s="275"/>
    </row>
    <row r="2107" spans="1:7" ht="17.45" customHeight="1">
      <c r="A2107" s="261" t="s">
        <v>8</v>
      </c>
      <c r="C2107" s="271" t="s">
        <v>2462</v>
      </c>
      <c r="D2107" s="497"/>
      <c r="E2107" s="499">
        <v>50000</v>
      </c>
      <c r="F2107" s="263"/>
      <c r="G2107" s="275"/>
    </row>
    <row r="2108" spans="1:7" ht="17.45" customHeight="1">
      <c r="A2108" s="261" t="s">
        <v>8</v>
      </c>
      <c r="C2108" s="271" t="s">
        <v>2463</v>
      </c>
      <c r="D2108" s="497"/>
      <c r="E2108" s="499">
        <v>21250</v>
      </c>
      <c r="F2108" s="263"/>
      <c r="G2108" s="275"/>
    </row>
    <row r="2109" spans="1:7" ht="17.45" customHeight="1" thickBot="1">
      <c r="A2109" s="261" t="s">
        <v>8</v>
      </c>
      <c r="C2109" s="276" t="s">
        <v>1300</v>
      </c>
      <c r="D2109" s="502">
        <f>SUM(D2016:D2108)-SUM(E2016:E2108)</f>
        <v>-947994</v>
      </c>
      <c r="E2109" s="502">
        <f>SUM(E2016:E2108)-SUM(F2016:F2108)</f>
        <v>7107027</v>
      </c>
      <c r="F2109" s="277"/>
      <c r="G2109" s="283"/>
    </row>
    <row r="2111" spans="1:7" ht="12.75" thickBot="1"/>
    <row r="2112" spans="1:7" ht="17.45" customHeight="1">
      <c r="A2112" s="261" t="s">
        <v>8</v>
      </c>
      <c r="B2112" s="256" t="s">
        <v>2419</v>
      </c>
      <c r="C2112" s="268" t="s">
        <v>1268</v>
      </c>
      <c r="D2112" s="500">
        <v>5808550</v>
      </c>
      <c r="E2112" s="501"/>
      <c r="F2112" s="269"/>
      <c r="G2112" s="270"/>
    </row>
    <row r="2113" spans="1:7" ht="17.45" customHeight="1">
      <c r="A2113" s="261" t="s">
        <v>8</v>
      </c>
      <c r="B2113" s="257"/>
      <c r="C2113" s="271" t="s">
        <v>1269</v>
      </c>
      <c r="D2113" s="497"/>
      <c r="E2113" s="499">
        <v>436000</v>
      </c>
      <c r="F2113" s="263"/>
      <c r="G2113" s="272" t="s">
        <v>2183</v>
      </c>
    </row>
    <row r="2114" spans="1:7" ht="17.45" customHeight="1">
      <c r="A2114" s="261" t="s">
        <v>8</v>
      </c>
      <c r="C2114" s="271" t="s">
        <v>1270</v>
      </c>
      <c r="D2114" s="497"/>
      <c r="E2114" s="499">
        <v>778000</v>
      </c>
      <c r="F2114" s="263"/>
      <c r="G2114" s="273" t="s">
        <v>2192</v>
      </c>
    </row>
    <row r="2115" spans="1:7" ht="17.45" customHeight="1">
      <c r="A2115" s="261" t="s">
        <v>8</v>
      </c>
      <c r="C2115" s="271" t="s">
        <v>1670</v>
      </c>
      <c r="D2115" s="497"/>
      <c r="E2115" s="499">
        <v>26010</v>
      </c>
      <c r="F2115" s="263"/>
      <c r="G2115" s="274"/>
    </row>
    <row r="2116" spans="1:7" ht="17.45" customHeight="1">
      <c r="A2116" s="261" t="s">
        <v>8</v>
      </c>
      <c r="C2116" s="271" t="s">
        <v>1672</v>
      </c>
      <c r="D2116" s="497"/>
      <c r="E2116" s="499">
        <v>109900</v>
      </c>
      <c r="F2116" s="263"/>
      <c r="G2116" s="274"/>
    </row>
    <row r="2117" spans="1:7" ht="17.45" customHeight="1">
      <c r="A2117" s="261" t="s">
        <v>8</v>
      </c>
      <c r="C2117" s="271" t="s">
        <v>1673</v>
      </c>
      <c r="D2117" s="497"/>
      <c r="E2117" s="497">
        <v>0</v>
      </c>
      <c r="F2117" s="263"/>
      <c r="G2117" s="274"/>
    </row>
    <row r="2118" spans="1:7" ht="17.45" customHeight="1">
      <c r="A2118" s="261" t="s">
        <v>8</v>
      </c>
      <c r="C2118" s="271" t="s">
        <v>1332</v>
      </c>
      <c r="D2118" s="497"/>
      <c r="E2118" s="499">
        <v>42900</v>
      </c>
      <c r="F2118" s="263"/>
      <c r="G2118" s="275"/>
    </row>
    <row r="2119" spans="1:7" ht="17.45" customHeight="1">
      <c r="A2119" s="261" t="s">
        <v>8</v>
      </c>
      <c r="C2119" s="271" t="s">
        <v>1271</v>
      </c>
      <c r="D2119" s="497"/>
      <c r="E2119" s="497">
        <v>0</v>
      </c>
      <c r="F2119" s="263"/>
      <c r="G2119" s="274"/>
    </row>
    <row r="2120" spans="1:7" ht="17.45" customHeight="1">
      <c r="A2120" s="261" t="s">
        <v>8</v>
      </c>
      <c r="C2120" s="271" t="s">
        <v>1272</v>
      </c>
      <c r="D2120" s="497"/>
      <c r="E2120" s="499">
        <v>7470</v>
      </c>
      <c r="F2120" s="263"/>
      <c r="G2120" s="273"/>
    </row>
    <row r="2121" spans="1:7" ht="17.45" customHeight="1">
      <c r="A2121" s="261" t="s">
        <v>8</v>
      </c>
      <c r="C2121" s="271" t="s">
        <v>1273</v>
      </c>
      <c r="D2121" s="497"/>
      <c r="E2121" s="499">
        <v>29920</v>
      </c>
      <c r="F2121" s="263"/>
      <c r="G2121" s="273"/>
    </row>
    <row r="2122" spans="1:7" ht="17.45" customHeight="1">
      <c r="A2122" s="261" t="s">
        <v>8</v>
      </c>
      <c r="C2122" s="271" t="s">
        <v>1274</v>
      </c>
      <c r="D2122" s="497"/>
      <c r="E2122" s="499">
        <v>9405</v>
      </c>
      <c r="F2122" s="263"/>
      <c r="G2122" s="273"/>
    </row>
    <row r="2123" spans="1:7" ht="17.45" customHeight="1">
      <c r="A2123" s="261" t="s">
        <v>8</v>
      </c>
      <c r="C2123" s="271" t="s">
        <v>1275</v>
      </c>
      <c r="D2123" s="497"/>
      <c r="E2123" s="499">
        <v>26450</v>
      </c>
      <c r="F2123" s="263"/>
      <c r="G2123" s="273"/>
    </row>
    <row r="2124" spans="1:7" ht="17.45" customHeight="1">
      <c r="A2124" s="261" t="s">
        <v>8</v>
      </c>
      <c r="C2124" s="271" t="s">
        <v>2168</v>
      </c>
      <c r="D2124" s="497"/>
      <c r="E2124" s="499">
        <v>18816</v>
      </c>
      <c r="F2124" s="263"/>
      <c r="G2124" s="273"/>
    </row>
    <row r="2125" spans="1:7" ht="17.45" customHeight="1">
      <c r="A2125" s="261" t="s">
        <v>8</v>
      </c>
      <c r="C2125" s="271" t="s">
        <v>1517</v>
      </c>
      <c r="D2125" s="497"/>
      <c r="E2125" s="499">
        <v>23230</v>
      </c>
      <c r="F2125" s="263"/>
      <c r="G2125" s="273"/>
    </row>
    <row r="2126" spans="1:7" ht="17.45" customHeight="1">
      <c r="A2126" s="261" t="s">
        <v>8</v>
      </c>
      <c r="C2126" s="271" t="s">
        <v>1276</v>
      </c>
      <c r="D2126" s="497"/>
      <c r="E2126" s="499">
        <v>360270</v>
      </c>
      <c r="F2126" s="263"/>
      <c r="G2126" s="273"/>
    </row>
    <row r="2127" spans="1:7" ht="17.45" customHeight="1">
      <c r="A2127" s="261" t="s">
        <v>8</v>
      </c>
      <c r="C2127" s="271" t="s">
        <v>1277</v>
      </c>
      <c r="D2127" s="497"/>
      <c r="E2127" s="499">
        <f>37680+13810</f>
        <v>51490</v>
      </c>
      <c r="F2127" s="263"/>
      <c r="G2127" s="273"/>
    </row>
    <row r="2128" spans="1:7" ht="17.45" customHeight="1">
      <c r="A2128" s="261" t="s">
        <v>8</v>
      </c>
      <c r="C2128" s="271" t="s">
        <v>1278</v>
      </c>
      <c r="D2128" s="497"/>
      <c r="E2128" s="499">
        <v>200000</v>
      </c>
      <c r="F2128" s="263"/>
      <c r="G2128" s="273"/>
    </row>
    <row r="2129" spans="1:7" ht="17.45" customHeight="1">
      <c r="A2129" s="261" t="s">
        <v>8</v>
      </c>
      <c r="C2129" s="285" t="s">
        <v>1413</v>
      </c>
      <c r="D2129" s="506"/>
      <c r="E2129" s="507">
        <v>1300000</v>
      </c>
      <c r="F2129" s="286"/>
      <c r="G2129" s="287"/>
    </row>
    <row r="2130" spans="1:7" ht="17.45" customHeight="1" thickBot="1">
      <c r="A2130" s="261" t="s">
        <v>8</v>
      </c>
      <c r="C2130" s="285" t="s">
        <v>1942</v>
      </c>
      <c r="D2130" s="506"/>
      <c r="E2130" s="507">
        <v>20000</v>
      </c>
      <c r="F2130" s="286"/>
      <c r="G2130" s="290"/>
    </row>
    <row r="2131" spans="1:7" ht="17.45" customHeight="1">
      <c r="A2131" s="261" t="s">
        <v>8</v>
      </c>
      <c r="C2131" s="268" t="s">
        <v>1280</v>
      </c>
      <c r="D2131" s="501"/>
      <c r="E2131" s="501"/>
      <c r="F2131" s="269"/>
      <c r="G2131" s="288"/>
    </row>
    <row r="2132" spans="1:7" ht="17.45" customHeight="1">
      <c r="A2132" s="261" t="s">
        <v>8</v>
      </c>
      <c r="C2132" s="271" t="s">
        <v>1549</v>
      </c>
      <c r="D2132" s="497"/>
      <c r="E2132" s="499">
        <v>50000</v>
      </c>
      <c r="F2132" s="263"/>
      <c r="G2132" s="275"/>
    </row>
    <row r="2133" spans="1:7" ht="17.45" customHeight="1">
      <c r="A2133" s="261" t="s">
        <v>8</v>
      </c>
      <c r="C2133" s="271" t="s">
        <v>1819</v>
      </c>
      <c r="D2133" s="497"/>
      <c r="E2133" s="497"/>
      <c r="F2133" s="263"/>
      <c r="G2133" s="275"/>
    </row>
    <row r="2134" spans="1:7" ht="17.45" customHeight="1">
      <c r="A2134" s="261" t="s">
        <v>8</v>
      </c>
      <c r="C2134" s="271" t="s">
        <v>391</v>
      </c>
      <c r="D2134" s="497"/>
      <c r="E2134" s="497"/>
      <c r="F2134" s="263"/>
      <c r="G2134" s="275"/>
    </row>
    <row r="2135" spans="1:7" ht="17.45" customHeight="1">
      <c r="A2135" s="261" t="s">
        <v>8</v>
      </c>
      <c r="C2135" s="271" t="s">
        <v>1934</v>
      </c>
      <c r="D2135" s="497"/>
      <c r="E2135" s="497"/>
      <c r="F2135" s="263"/>
      <c r="G2135" s="275"/>
    </row>
    <row r="2136" spans="1:7" ht="17.25" customHeight="1">
      <c r="A2136" s="261" t="s">
        <v>8</v>
      </c>
      <c r="C2136" s="271" t="s">
        <v>2202</v>
      </c>
      <c r="D2136" s="497"/>
      <c r="E2136" s="497"/>
      <c r="F2136" s="263"/>
      <c r="G2136" s="275"/>
    </row>
    <row r="2137" spans="1:7" ht="17.45" customHeight="1">
      <c r="A2137" s="261" t="s">
        <v>8</v>
      </c>
      <c r="C2137" s="271" t="s">
        <v>2097</v>
      </c>
      <c r="D2137" s="497"/>
      <c r="E2137" s="497"/>
      <c r="F2137" s="263"/>
      <c r="G2137" s="275"/>
    </row>
    <row r="2138" spans="1:7" ht="17.45" customHeight="1">
      <c r="A2138" s="261" t="s">
        <v>8</v>
      </c>
      <c r="C2138" s="271" t="s">
        <v>1687</v>
      </c>
      <c r="D2138" s="497"/>
      <c r="E2138" s="497"/>
      <c r="F2138" s="263"/>
      <c r="G2138" s="275"/>
    </row>
    <row r="2139" spans="1:7" ht="17.45" customHeight="1">
      <c r="A2139" s="261" t="s">
        <v>8</v>
      </c>
      <c r="C2139" s="271" t="s">
        <v>1688</v>
      </c>
      <c r="D2139" s="497"/>
      <c r="E2139" s="497"/>
      <c r="F2139" s="263"/>
      <c r="G2139" s="275"/>
    </row>
    <row r="2140" spans="1:7" ht="17.45" customHeight="1">
      <c r="A2140" s="261" t="s">
        <v>8</v>
      </c>
      <c r="C2140" s="271" t="s">
        <v>2281</v>
      </c>
      <c r="D2140" s="497"/>
      <c r="E2140" s="497"/>
      <c r="F2140" s="263"/>
      <c r="G2140" s="275"/>
    </row>
    <row r="2141" spans="1:7" ht="17.45" customHeight="1">
      <c r="A2141" s="261" t="s">
        <v>8</v>
      </c>
      <c r="C2141" s="271" t="s">
        <v>1596</v>
      </c>
      <c r="D2141" s="497"/>
      <c r="E2141" s="499">
        <v>6600</v>
      </c>
      <c r="F2141" s="263"/>
      <c r="G2141" s="275"/>
    </row>
    <row r="2142" spans="1:7" ht="17.45" customHeight="1">
      <c r="A2142" s="261" t="s">
        <v>8</v>
      </c>
      <c r="C2142" s="271" t="s">
        <v>1595</v>
      </c>
      <c r="D2142" s="497"/>
      <c r="E2142" s="499">
        <v>6700</v>
      </c>
      <c r="F2142" s="263"/>
      <c r="G2142" s="275"/>
    </row>
    <row r="2143" spans="1:7" ht="17.45" customHeight="1">
      <c r="A2143" s="261" t="s">
        <v>8</v>
      </c>
      <c r="C2143" s="271" t="s">
        <v>1613</v>
      </c>
      <c r="D2143" s="497"/>
      <c r="E2143" s="499">
        <f>4800+9200+8400+7200</f>
        <v>29600</v>
      </c>
      <c r="F2143" s="263"/>
      <c r="G2143" s="275"/>
    </row>
    <row r="2144" spans="1:7" ht="17.45" customHeight="1">
      <c r="A2144" s="261" t="s">
        <v>8</v>
      </c>
      <c r="C2144" s="271" t="s">
        <v>1689</v>
      </c>
      <c r="D2144" s="497"/>
      <c r="E2144" s="497"/>
      <c r="F2144" s="263"/>
      <c r="G2144" s="275"/>
    </row>
    <row r="2145" spans="1:7" ht="17.45" customHeight="1">
      <c r="A2145" s="261" t="s">
        <v>8</v>
      </c>
      <c r="C2145" s="271" t="s">
        <v>1569</v>
      </c>
      <c r="D2145" s="497"/>
      <c r="E2145" s="497"/>
      <c r="F2145" s="263"/>
      <c r="G2145" s="275"/>
    </row>
    <row r="2146" spans="1:7" ht="17.45" customHeight="1">
      <c r="A2146" s="261" t="s">
        <v>8</v>
      </c>
      <c r="C2146" s="271" t="s">
        <v>1618</v>
      </c>
      <c r="D2146" s="497"/>
      <c r="E2146" s="499">
        <f>9560+56800+4980+34100+23340+13780+20450+40410</f>
        <v>203420</v>
      </c>
      <c r="F2146" s="263"/>
      <c r="G2146" s="275"/>
    </row>
    <row r="2147" spans="1:7" ht="17.45" customHeight="1">
      <c r="A2147" s="261" t="s">
        <v>8</v>
      </c>
      <c r="C2147" s="271" t="s">
        <v>1800</v>
      </c>
      <c r="D2147" s="497"/>
      <c r="E2147" s="499">
        <v>10000</v>
      </c>
      <c r="F2147" s="263"/>
      <c r="G2147" s="275"/>
    </row>
    <row r="2148" spans="1:7" ht="17.45" customHeight="1" thickBot="1">
      <c r="A2148" s="261" t="s">
        <v>8</v>
      </c>
      <c r="C2148" s="276" t="s">
        <v>1594</v>
      </c>
      <c r="D2148" s="502"/>
      <c r="E2148" s="502"/>
      <c r="F2148" s="277"/>
      <c r="G2148" s="282"/>
    </row>
    <row r="2149" spans="1:7" ht="17.45" customHeight="1">
      <c r="A2149" s="261" t="s">
        <v>8</v>
      </c>
      <c r="C2149" s="279" t="s">
        <v>2466</v>
      </c>
      <c r="D2149" s="504"/>
      <c r="E2149" s="505">
        <v>6000</v>
      </c>
      <c r="F2149" s="280"/>
      <c r="G2149" s="281"/>
    </row>
    <row r="2150" spans="1:7" ht="17.45" customHeight="1">
      <c r="A2150" s="261" t="s">
        <v>8</v>
      </c>
      <c r="C2150" s="271" t="s">
        <v>2467</v>
      </c>
      <c r="D2150" s="497"/>
      <c r="E2150" s="499">
        <v>11000</v>
      </c>
      <c r="F2150" s="263"/>
      <c r="G2150" s="275"/>
    </row>
    <row r="2151" spans="1:7" ht="17.45" customHeight="1">
      <c r="A2151" s="261" t="s">
        <v>8</v>
      </c>
      <c r="C2151" s="271" t="s">
        <v>2468</v>
      </c>
      <c r="D2151" s="497"/>
      <c r="E2151" s="499">
        <v>16900</v>
      </c>
      <c r="F2151" s="263"/>
      <c r="G2151" s="275"/>
    </row>
    <row r="2152" spans="1:7" ht="17.45" customHeight="1">
      <c r="A2152" s="261" t="s">
        <v>8</v>
      </c>
      <c r="C2152" s="271" t="s">
        <v>2469</v>
      </c>
      <c r="D2152" s="497"/>
      <c r="E2152" s="499">
        <f>-5000</f>
        <v>-5000</v>
      </c>
      <c r="F2152" s="263"/>
      <c r="G2152" s="275"/>
    </row>
    <row r="2153" spans="1:7" ht="17.45" customHeight="1">
      <c r="A2153" s="261" t="s">
        <v>8</v>
      </c>
      <c r="C2153" s="271" t="s">
        <v>1647</v>
      </c>
      <c r="D2153" s="497"/>
      <c r="E2153" s="499">
        <v>6000</v>
      </c>
      <c r="F2153" s="263"/>
      <c r="G2153" s="275"/>
    </row>
    <row r="2154" spans="1:7" ht="17.45" customHeight="1">
      <c r="A2154" s="261" t="s">
        <v>8</v>
      </c>
      <c r="C2154" s="271" t="s">
        <v>1680</v>
      </c>
      <c r="D2154" s="497"/>
      <c r="E2154" s="499">
        <f>3200+7000</f>
        <v>10200</v>
      </c>
      <c r="F2154" s="263"/>
      <c r="G2154" s="275"/>
    </row>
    <row r="2155" spans="1:7" ht="17.45" customHeight="1">
      <c r="A2155" s="261" t="s">
        <v>8</v>
      </c>
      <c r="C2155" s="271" t="s">
        <v>2470</v>
      </c>
      <c r="D2155" s="497"/>
      <c r="E2155" s="499">
        <f>1100+3100</f>
        <v>4200</v>
      </c>
      <c r="F2155" s="263"/>
      <c r="G2155" s="275"/>
    </row>
    <row r="2156" spans="1:7" ht="17.45" customHeight="1">
      <c r="A2156" s="261" t="s">
        <v>8</v>
      </c>
      <c r="C2156" s="271" t="s">
        <v>2471</v>
      </c>
      <c r="D2156" s="497"/>
      <c r="E2156" s="499">
        <v>5000</v>
      </c>
      <c r="F2156" s="263"/>
      <c r="G2156" s="275"/>
    </row>
    <row r="2157" spans="1:7" ht="17.45" customHeight="1">
      <c r="A2157" s="261" t="s">
        <v>8</v>
      </c>
      <c r="C2157" s="271" t="s">
        <v>2407</v>
      </c>
      <c r="D2157" s="497"/>
      <c r="E2157" s="499">
        <v>7000</v>
      </c>
      <c r="F2157" s="263"/>
      <c r="G2157" s="275"/>
    </row>
    <row r="2158" spans="1:7" ht="17.45" customHeight="1">
      <c r="A2158" s="261" t="s">
        <v>8</v>
      </c>
      <c r="C2158" s="271" t="s">
        <v>2472</v>
      </c>
      <c r="D2158" s="497"/>
      <c r="E2158" s="499">
        <v>108160</v>
      </c>
      <c r="F2158" s="263"/>
      <c r="G2158" s="275"/>
    </row>
    <row r="2159" spans="1:7" ht="17.45" customHeight="1">
      <c r="A2159" s="261" t="s">
        <v>8</v>
      </c>
      <c r="C2159" s="271" t="s">
        <v>2473</v>
      </c>
      <c r="D2159" s="497"/>
      <c r="E2159" s="499">
        <v>25500</v>
      </c>
      <c r="F2159" s="263"/>
      <c r="G2159" s="275"/>
    </row>
    <row r="2160" spans="1:7" ht="17.45" customHeight="1">
      <c r="A2160" s="261" t="s">
        <v>8</v>
      </c>
      <c r="C2160" s="271" t="s">
        <v>2443</v>
      </c>
      <c r="D2160" s="497"/>
      <c r="E2160" s="499">
        <v>9800</v>
      </c>
      <c r="F2160" s="263"/>
      <c r="G2160" s="275"/>
    </row>
    <row r="2161" spans="1:7" ht="17.45" customHeight="1">
      <c r="A2161" s="261" t="s">
        <v>8</v>
      </c>
      <c r="C2161" s="271" t="s">
        <v>1776</v>
      </c>
      <c r="D2161" s="497"/>
      <c r="E2161" s="499">
        <v>3500</v>
      </c>
      <c r="F2161" s="263"/>
      <c r="G2161" s="275"/>
    </row>
    <row r="2162" spans="1:7" ht="17.45" customHeight="1">
      <c r="A2162" s="261" t="s">
        <v>8</v>
      </c>
      <c r="C2162" s="271" t="s">
        <v>2484</v>
      </c>
      <c r="D2162" s="497"/>
      <c r="E2162" s="499">
        <v>6750</v>
      </c>
      <c r="F2162" s="263"/>
      <c r="G2162" s="275"/>
    </row>
    <row r="2163" spans="1:7" ht="17.45" customHeight="1">
      <c r="A2163" s="261" t="s">
        <v>8</v>
      </c>
      <c r="C2163" s="271" t="s">
        <v>2485</v>
      </c>
      <c r="D2163" s="497"/>
      <c r="E2163" s="499">
        <v>8000</v>
      </c>
      <c r="F2163" s="263"/>
      <c r="G2163" s="275"/>
    </row>
    <row r="2164" spans="1:7" ht="17.45" customHeight="1">
      <c r="A2164" s="261" t="s">
        <v>8</v>
      </c>
      <c r="C2164" s="271" t="s">
        <v>2486</v>
      </c>
      <c r="D2164" s="497"/>
      <c r="E2164" s="499">
        <v>2500</v>
      </c>
      <c r="F2164" s="263"/>
      <c r="G2164" s="275"/>
    </row>
    <row r="2165" spans="1:7" ht="17.45" customHeight="1">
      <c r="A2165" s="261" t="s">
        <v>8</v>
      </c>
      <c r="C2165" s="271" t="s">
        <v>2487</v>
      </c>
      <c r="D2165" s="497"/>
      <c r="E2165" s="499">
        <v>11430</v>
      </c>
      <c r="F2165" s="263"/>
      <c r="G2165" s="275"/>
    </row>
    <row r="2166" spans="1:7" ht="17.45" customHeight="1">
      <c r="A2166" s="261" t="s">
        <v>8</v>
      </c>
      <c r="C2166" s="271" t="s">
        <v>2488</v>
      </c>
      <c r="D2166" s="497"/>
      <c r="E2166" s="499">
        <v>1000</v>
      </c>
      <c r="F2166" s="263"/>
      <c r="G2166" s="275"/>
    </row>
    <row r="2167" spans="1:7" ht="17.45" customHeight="1">
      <c r="A2167" s="261" t="s">
        <v>8</v>
      </c>
      <c r="C2167" s="271" t="s">
        <v>1610</v>
      </c>
      <c r="D2167" s="497"/>
      <c r="E2167" s="499">
        <f>6000+2400</f>
        <v>8400</v>
      </c>
      <c r="F2167" s="263"/>
      <c r="G2167" s="275"/>
    </row>
    <row r="2168" spans="1:7" ht="17.45" customHeight="1">
      <c r="A2168" s="261" t="s">
        <v>8</v>
      </c>
      <c r="C2168" s="271" t="s">
        <v>2489</v>
      </c>
      <c r="D2168" s="497"/>
      <c r="E2168" s="499">
        <v>7800</v>
      </c>
      <c r="F2168" s="263"/>
      <c r="G2168" s="275"/>
    </row>
    <row r="2169" spans="1:7" ht="17.45" customHeight="1">
      <c r="A2169" s="261" t="s">
        <v>8</v>
      </c>
      <c r="C2169" s="271" t="s">
        <v>150</v>
      </c>
      <c r="D2169" s="497"/>
      <c r="E2169" s="499">
        <f>230000+22500+30000</f>
        <v>282500</v>
      </c>
      <c r="F2169" s="263"/>
      <c r="G2169" s="275"/>
    </row>
    <row r="2170" spans="1:7" ht="17.45" customHeight="1">
      <c r="A2170" s="261" t="s">
        <v>8</v>
      </c>
      <c r="C2170" s="271" t="s">
        <v>2491</v>
      </c>
      <c r="D2170" s="497"/>
      <c r="E2170" s="499">
        <v>3500</v>
      </c>
      <c r="F2170" s="263"/>
      <c r="G2170" s="275"/>
    </row>
    <row r="2171" spans="1:7" ht="17.45" customHeight="1">
      <c r="A2171" s="261" t="s">
        <v>8</v>
      </c>
      <c r="C2171" s="271" t="s">
        <v>2492</v>
      </c>
      <c r="D2171" s="497"/>
      <c r="E2171" s="499">
        <v>43500</v>
      </c>
      <c r="F2171" s="263"/>
      <c r="G2171" s="275"/>
    </row>
    <row r="2172" spans="1:7" ht="17.45" customHeight="1">
      <c r="A2172" s="261" t="s">
        <v>8</v>
      </c>
      <c r="C2172" s="271" t="s">
        <v>2493</v>
      </c>
      <c r="D2172" s="497"/>
      <c r="E2172" s="499">
        <v>12000</v>
      </c>
      <c r="F2172" s="263"/>
      <c r="G2172" s="275"/>
    </row>
    <row r="2173" spans="1:7" ht="17.45" customHeight="1">
      <c r="A2173" s="261" t="s">
        <v>8</v>
      </c>
      <c r="C2173" s="271" t="s">
        <v>2494</v>
      </c>
      <c r="D2173" s="497"/>
      <c r="E2173" s="499">
        <v>4100</v>
      </c>
      <c r="F2173" s="263"/>
      <c r="G2173" s="275"/>
    </row>
    <row r="2174" spans="1:7" ht="17.45" customHeight="1">
      <c r="A2174" s="261" t="s">
        <v>8</v>
      </c>
      <c r="C2174" s="271" t="s">
        <v>2495</v>
      </c>
      <c r="D2174" s="497"/>
      <c r="E2174" s="499">
        <v>22000</v>
      </c>
      <c r="F2174" s="263"/>
      <c r="G2174" s="275"/>
    </row>
    <row r="2175" spans="1:7" ht="17.45" customHeight="1">
      <c r="A2175" s="261" t="s">
        <v>8</v>
      </c>
      <c r="C2175" s="271" t="s">
        <v>2496</v>
      </c>
      <c r="D2175" s="497"/>
      <c r="E2175" s="499">
        <v>60000</v>
      </c>
      <c r="F2175" s="263"/>
      <c r="G2175" s="275"/>
    </row>
    <row r="2176" spans="1:7" ht="17.45" customHeight="1">
      <c r="A2176" s="261" t="s">
        <v>8</v>
      </c>
      <c r="C2176" s="271" t="s">
        <v>2497</v>
      </c>
      <c r="D2176" s="497"/>
      <c r="E2176" s="499">
        <v>16730</v>
      </c>
      <c r="F2176" s="263"/>
      <c r="G2176" s="275"/>
    </row>
    <row r="2177" spans="1:7" ht="17.45" customHeight="1">
      <c r="A2177" s="261" t="s">
        <v>8</v>
      </c>
      <c r="C2177" s="271" t="s">
        <v>2498</v>
      </c>
      <c r="D2177" s="497"/>
      <c r="E2177" s="499">
        <v>14200</v>
      </c>
      <c r="F2177" s="263"/>
      <c r="G2177" s="275"/>
    </row>
    <row r="2178" spans="1:7" ht="17.45" customHeight="1">
      <c r="A2178" s="261" t="s">
        <v>8</v>
      </c>
      <c r="C2178" s="271" t="s">
        <v>2499</v>
      </c>
      <c r="D2178" s="497"/>
      <c r="E2178" s="499">
        <v>3800</v>
      </c>
      <c r="F2178" s="263"/>
      <c r="G2178" s="275"/>
    </row>
    <row r="2179" spans="1:7" ht="17.45" customHeight="1">
      <c r="A2179" s="261" t="s">
        <v>8</v>
      </c>
      <c r="C2179" s="271" t="s">
        <v>2423</v>
      </c>
      <c r="D2179" s="497"/>
      <c r="E2179" s="499">
        <v>2600</v>
      </c>
      <c r="F2179" s="263"/>
      <c r="G2179" s="275"/>
    </row>
    <row r="2180" spans="1:7" ht="17.45" customHeight="1">
      <c r="A2180" s="261" t="s">
        <v>8</v>
      </c>
      <c r="C2180" s="271" t="s">
        <v>2474</v>
      </c>
      <c r="D2180" s="497"/>
      <c r="E2180" s="499">
        <v>15000</v>
      </c>
      <c r="F2180" s="263"/>
      <c r="G2180" s="275" t="s">
        <v>1620</v>
      </c>
    </row>
    <row r="2181" spans="1:7" ht="17.45" customHeight="1">
      <c r="A2181" s="261" t="s">
        <v>8</v>
      </c>
      <c r="C2181" s="271" t="s">
        <v>2475</v>
      </c>
      <c r="D2181" s="497"/>
      <c r="E2181" s="499">
        <v>6000</v>
      </c>
      <c r="F2181" s="263"/>
      <c r="G2181" s="275" t="s">
        <v>1620</v>
      </c>
    </row>
    <row r="2182" spans="1:7" ht="17.45" customHeight="1">
      <c r="A2182" s="261" t="s">
        <v>8</v>
      </c>
      <c r="C2182" s="271" t="s">
        <v>1680</v>
      </c>
      <c r="D2182" s="497"/>
      <c r="E2182" s="499">
        <v>3500</v>
      </c>
      <c r="F2182" s="263"/>
      <c r="G2182" s="275" t="s">
        <v>1620</v>
      </c>
    </row>
    <row r="2183" spans="1:7" ht="17.45" customHeight="1">
      <c r="A2183" s="261" t="s">
        <v>8</v>
      </c>
      <c r="C2183" s="271" t="s">
        <v>2476</v>
      </c>
      <c r="D2183" s="497"/>
      <c r="E2183" s="499">
        <v>18800</v>
      </c>
      <c r="F2183" s="263"/>
      <c r="G2183" s="275" t="s">
        <v>1620</v>
      </c>
    </row>
    <row r="2184" spans="1:7" ht="17.45" customHeight="1">
      <c r="A2184" s="261" t="s">
        <v>8</v>
      </c>
      <c r="C2184" s="271" t="s">
        <v>2477</v>
      </c>
      <c r="D2184" s="497"/>
      <c r="E2184" s="499">
        <v>36000</v>
      </c>
      <c r="F2184" s="263"/>
      <c r="G2184" s="275" t="s">
        <v>1620</v>
      </c>
    </row>
    <row r="2185" spans="1:7" ht="17.45" customHeight="1">
      <c r="A2185" s="261" t="s">
        <v>8</v>
      </c>
      <c r="C2185" s="271" t="s">
        <v>2478</v>
      </c>
      <c r="D2185" s="497"/>
      <c r="E2185" s="499">
        <v>8500</v>
      </c>
      <c r="F2185" s="263"/>
      <c r="G2185" s="275" t="s">
        <v>1620</v>
      </c>
    </row>
    <row r="2186" spans="1:7" ht="17.45" customHeight="1">
      <c r="A2186" s="261" t="s">
        <v>8</v>
      </c>
      <c r="C2186" s="271" t="s">
        <v>2482</v>
      </c>
      <c r="D2186" s="497"/>
      <c r="E2186" s="499">
        <v>1500</v>
      </c>
      <c r="F2186" s="263"/>
      <c r="G2186" s="275" t="s">
        <v>1620</v>
      </c>
    </row>
    <row r="2187" spans="1:7" ht="17.45" customHeight="1">
      <c r="A2187" s="261" t="s">
        <v>8</v>
      </c>
      <c r="C2187" s="271" t="s">
        <v>2479</v>
      </c>
      <c r="D2187" s="497"/>
      <c r="E2187" s="499">
        <v>7000</v>
      </c>
      <c r="F2187" s="263"/>
      <c r="G2187" s="275" t="s">
        <v>1620</v>
      </c>
    </row>
    <row r="2188" spans="1:7" ht="17.45" customHeight="1">
      <c r="A2188" s="261" t="s">
        <v>8</v>
      </c>
      <c r="C2188" s="271" t="s">
        <v>2251</v>
      </c>
      <c r="D2188" s="497"/>
      <c r="E2188" s="499">
        <v>3500</v>
      </c>
      <c r="F2188" s="263"/>
      <c r="G2188" s="275" t="s">
        <v>1620</v>
      </c>
    </row>
    <row r="2189" spans="1:7" ht="17.45" customHeight="1">
      <c r="A2189" s="261" t="s">
        <v>8</v>
      </c>
      <c r="C2189" s="271" t="s">
        <v>2480</v>
      </c>
      <c r="D2189" s="497"/>
      <c r="E2189" s="499">
        <v>17000</v>
      </c>
      <c r="F2189" s="263"/>
      <c r="G2189" s="275" t="s">
        <v>1620</v>
      </c>
    </row>
    <row r="2190" spans="1:7" ht="17.45" customHeight="1">
      <c r="A2190" s="261" t="s">
        <v>8</v>
      </c>
      <c r="C2190" s="271" t="s">
        <v>2481</v>
      </c>
      <c r="D2190" s="497"/>
      <c r="E2190" s="499">
        <v>4000</v>
      </c>
      <c r="F2190" s="263"/>
      <c r="G2190" s="275" t="s">
        <v>1620</v>
      </c>
    </row>
    <row r="2191" spans="1:7" ht="17.45" customHeight="1">
      <c r="A2191" s="261" t="s">
        <v>8</v>
      </c>
      <c r="C2191" s="271" t="s">
        <v>2483</v>
      </c>
      <c r="D2191" s="497"/>
      <c r="E2191" s="499">
        <v>7800</v>
      </c>
      <c r="F2191" s="263"/>
      <c r="G2191" s="275" t="s">
        <v>1620</v>
      </c>
    </row>
    <row r="2192" spans="1:7" ht="17.45" customHeight="1" thickBot="1">
      <c r="A2192" s="261" t="s">
        <v>8</v>
      </c>
      <c r="C2192" s="276" t="s">
        <v>1300</v>
      </c>
      <c r="D2192" s="502">
        <f>SUM(D2112:D2191)-SUM(E2112:E2191)</f>
        <v>1214699</v>
      </c>
      <c r="E2192" s="502">
        <f>SUM(E2112:E2191)-SUM(F2112:F2191)</f>
        <v>4593851</v>
      </c>
      <c r="F2192" s="277"/>
      <c r="G2192" s="283"/>
    </row>
    <row r="2194" spans="1:7" ht="12.75" thickBot="1"/>
    <row r="2195" spans="1:7" ht="17.45" customHeight="1">
      <c r="A2195" s="261" t="s">
        <v>8</v>
      </c>
      <c r="B2195" s="256" t="s">
        <v>2422</v>
      </c>
      <c r="C2195" s="268" t="s">
        <v>1268</v>
      </c>
      <c r="D2195" s="500">
        <v>6037350</v>
      </c>
      <c r="E2195" s="501"/>
      <c r="F2195" s="269"/>
      <c r="G2195" s="270"/>
    </row>
    <row r="2196" spans="1:7" ht="17.45" customHeight="1">
      <c r="A2196" s="261" t="s">
        <v>8</v>
      </c>
      <c r="B2196" s="257"/>
      <c r="C2196" s="271" t="s">
        <v>1269</v>
      </c>
      <c r="D2196" s="497"/>
      <c r="E2196" s="499">
        <f>436000+40000+129000</f>
        <v>605000</v>
      </c>
      <c r="F2196" s="263"/>
      <c r="G2196" s="272" t="s">
        <v>2665</v>
      </c>
    </row>
    <row r="2197" spans="1:7" ht="17.45" customHeight="1">
      <c r="A2197" s="261" t="s">
        <v>8</v>
      </c>
      <c r="C2197" s="271" t="s">
        <v>1270</v>
      </c>
      <c r="D2197" s="497"/>
      <c r="E2197" s="499">
        <v>763000</v>
      </c>
      <c r="F2197" s="263"/>
      <c r="G2197" s="273" t="s">
        <v>2192</v>
      </c>
    </row>
    <row r="2198" spans="1:7" ht="17.45" customHeight="1">
      <c r="A2198" s="261" t="s">
        <v>8</v>
      </c>
      <c r="C2198" s="271" t="s">
        <v>1670</v>
      </c>
      <c r="D2198" s="497"/>
      <c r="E2198" s="497"/>
      <c r="F2198" s="263"/>
      <c r="G2198" s="274"/>
    </row>
    <row r="2199" spans="1:7" ht="17.45" customHeight="1">
      <c r="A2199" s="261" t="s">
        <v>8</v>
      </c>
      <c r="C2199" s="271" t="s">
        <v>1672</v>
      </c>
      <c r="D2199" s="497"/>
      <c r="E2199" s="499">
        <v>112680</v>
      </c>
      <c r="F2199" s="263"/>
      <c r="G2199" s="274"/>
    </row>
    <row r="2200" spans="1:7" ht="17.45" customHeight="1">
      <c r="A2200" s="261" t="s">
        <v>8</v>
      </c>
      <c r="C2200" s="271" t="s">
        <v>1673</v>
      </c>
      <c r="D2200" s="497"/>
      <c r="E2200" s="497">
        <v>0</v>
      </c>
      <c r="F2200" s="263"/>
      <c r="G2200" s="274"/>
    </row>
    <row r="2201" spans="1:7" ht="17.45" customHeight="1">
      <c r="A2201" s="261" t="s">
        <v>8</v>
      </c>
      <c r="C2201" s="271" t="s">
        <v>1332</v>
      </c>
      <c r="D2201" s="497"/>
      <c r="E2201" s="499">
        <v>44980</v>
      </c>
      <c r="F2201" s="263"/>
      <c r="G2201" s="275"/>
    </row>
    <row r="2202" spans="1:7" ht="17.45" customHeight="1">
      <c r="A2202" s="261" t="s">
        <v>8</v>
      </c>
      <c r="C2202" s="271" t="s">
        <v>1271</v>
      </c>
      <c r="D2202" s="497"/>
      <c r="E2202" s="497">
        <v>0</v>
      </c>
      <c r="F2202" s="263"/>
      <c r="G2202" s="274"/>
    </row>
    <row r="2203" spans="1:7" ht="17.45" customHeight="1">
      <c r="A2203" s="261" t="s">
        <v>8</v>
      </c>
      <c r="C2203" s="271" t="s">
        <v>1272</v>
      </c>
      <c r="D2203" s="497"/>
      <c r="E2203" s="499">
        <v>7470</v>
      </c>
      <c r="F2203" s="263"/>
      <c r="G2203" s="273"/>
    </row>
    <row r="2204" spans="1:7" ht="17.45" customHeight="1">
      <c r="A2204" s="261" t="s">
        <v>8</v>
      </c>
      <c r="C2204" s="271" t="s">
        <v>1273</v>
      </c>
      <c r="D2204" s="497"/>
      <c r="E2204" s="499">
        <v>29920</v>
      </c>
      <c r="F2204" s="263"/>
      <c r="G2204" s="273"/>
    </row>
    <row r="2205" spans="1:7" ht="17.45" customHeight="1">
      <c r="A2205" s="261" t="s">
        <v>8</v>
      </c>
      <c r="C2205" s="271" t="s">
        <v>1274</v>
      </c>
      <c r="D2205" s="497"/>
      <c r="E2205" s="499">
        <v>9405</v>
      </c>
      <c r="F2205" s="263"/>
      <c r="G2205" s="273"/>
    </row>
    <row r="2206" spans="1:7" ht="17.45" customHeight="1">
      <c r="A2206" s="261" t="s">
        <v>8</v>
      </c>
      <c r="C2206" s="271" t="s">
        <v>1275</v>
      </c>
      <c r="D2206" s="497"/>
      <c r="E2206" s="499">
        <v>26450</v>
      </c>
      <c r="F2206" s="263"/>
      <c r="G2206" s="273"/>
    </row>
    <row r="2207" spans="1:7" ht="17.45" customHeight="1">
      <c r="A2207" s="261" t="s">
        <v>8</v>
      </c>
      <c r="C2207" s="271" t="s">
        <v>2168</v>
      </c>
      <c r="D2207" s="497"/>
      <c r="E2207" s="499">
        <v>18816</v>
      </c>
      <c r="F2207" s="263"/>
      <c r="G2207" s="273"/>
    </row>
    <row r="2208" spans="1:7" ht="17.45" customHeight="1">
      <c r="A2208" s="261" t="s">
        <v>8</v>
      </c>
      <c r="C2208" s="271" t="s">
        <v>1517</v>
      </c>
      <c r="D2208" s="497"/>
      <c r="E2208" s="499">
        <v>23230</v>
      </c>
      <c r="F2208" s="263"/>
      <c r="G2208" s="273"/>
    </row>
    <row r="2209" spans="1:7" ht="17.45" customHeight="1">
      <c r="A2209" s="261" t="s">
        <v>8</v>
      </c>
      <c r="C2209" s="271" t="s">
        <v>1276</v>
      </c>
      <c r="D2209" s="497"/>
      <c r="E2209" s="499">
        <v>363160</v>
      </c>
      <c r="F2209" s="263"/>
      <c r="G2209" s="273"/>
    </row>
    <row r="2210" spans="1:7" ht="17.45" customHeight="1">
      <c r="A2210" s="261" t="s">
        <v>8</v>
      </c>
      <c r="C2210" s="271" t="s">
        <v>1277</v>
      </c>
      <c r="D2210" s="497"/>
      <c r="E2210" s="497"/>
      <c r="F2210" s="263"/>
      <c r="G2210" s="273"/>
    </row>
    <row r="2211" spans="1:7" ht="17.45" customHeight="1">
      <c r="A2211" s="261" t="s">
        <v>8</v>
      </c>
      <c r="C2211" s="271" t="s">
        <v>1278</v>
      </c>
      <c r="D2211" s="497"/>
      <c r="E2211" s="499">
        <v>200000</v>
      </c>
      <c r="F2211" s="263"/>
      <c r="G2211" s="273"/>
    </row>
    <row r="2212" spans="1:7" ht="17.45" customHeight="1">
      <c r="A2212" s="261" t="s">
        <v>8</v>
      </c>
      <c r="C2212" s="285" t="s">
        <v>1413</v>
      </c>
      <c r="D2212" s="506"/>
      <c r="E2212" s="507">
        <v>1300000</v>
      </c>
      <c r="F2212" s="286"/>
      <c r="G2212" s="287"/>
    </row>
    <row r="2213" spans="1:7" ht="17.25" customHeight="1">
      <c r="A2213" s="261" t="s">
        <v>8</v>
      </c>
      <c r="C2213" s="338" t="s">
        <v>2661</v>
      </c>
      <c r="D2213" s="497"/>
      <c r="E2213" s="499">
        <v>760000</v>
      </c>
      <c r="F2213" s="263"/>
      <c r="G2213" s="275"/>
    </row>
    <row r="2214" spans="1:7" ht="17.45" customHeight="1">
      <c r="A2214" s="261" t="s">
        <v>8</v>
      </c>
      <c r="C2214" s="339" t="s">
        <v>2647</v>
      </c>
      <c r="D2214" s="506"/>
      <c r="E2214" s="507">
        <v>5000000</v>
      </c>
      <c r="F2214" s="286"/>
      <c r="G2214" s="290"/>
    </row>
    <row r="2215" spans="1:7" ht="17.45" customHeight="1" thickBot="1">
      <c r="A2215" s="261" t="s">
        <v>8</v>
      </c>
      <c r="C2215" s="285" t="s">
        <v>1942</v>
      </c>
      <c r="D2215" s="506"/>
      <c r="E2215" s="507">
        <v>20000</v>
      </c>
      <c r="F2215" s="286"/>
      <c r="G2215" s="290"/>
    </row>
    <row r="2216" spans="1:7" ht="17.45" customHeight="1">
      <c r="A2216" s="261" t="s">
        <v>8</v>
      </c>
      <c r="C2216" s="268" t="s">
        <v>1280</v>
      </c>
      <c r="D2216" s="501"/>
      <c r="E2216" s="500">
        <f>50000+50000</f>
        <v>100000</v>
      </c>
      <c r="F2216" s="269"/>
      <c r="G2216" s="288"/>
    </row>
    <row r="2217" spans="1:7" ht="17.45" customHeight="1">
      <c r="A2217" s="261" t="s">
        <v>8</v>
      </c>
      <c r="C2217" s="271" t="s">
        <v>1549</v>
      </c>
      <c r="D2217" s="497"/>
      <c r="E2217" s="497"/>
      <c r="F2217" s="263"/>
      <c r="G2217" s="275"/>
    </row>
    <row r="2218" spans="1:7" ht="17.45" customHeight="1">
      <c r="A2218" s="261" t="s">
        <v>8</v>
      </c>
      <c r="C2218" s="271" t="s">
        <v>1819</v>
      </c>
      <c r="D2218" s="497"/>
      <c r="E2218" s="497"/>
      <c r="F2218" s="263"/>
      <c r="G2218" s="275"/>
    </row>
    <row r="2219" spans="1:7" ht="17.45" customHeight="1">
      <c r="A2219" s="261" t="s">
        <v>8</v>
      </c>
      <c r="C2219" s="271" t="s">
        <v>391</v>
      </c>
      <c r="D2219" s="497"/>
      <c r="E2219" s="497"/>
      <c r="F2219" s="263"/>
      <c r="G2219" s="275"/>
    </row>
    <row r="2220" spans="1:7" ht="17.45" customHeight="1">
      <c r="A2220" s="261" t="s">
        <v>8</v>
      </c>
      <c r="C2220" s="271" t="s">
        <v>1934</v>
      </c>
      <c r="D2220" s="497"/>
      <c r="E2220" s="497"/>
      <c r="F2220" s="263"/>
      <c r="G2220" s="275"/>
    </row>
    <row r="2221" spans="1:7" ht="17.25" customHeight="1">
      <c r="A2221" s="261" t="s">
        <v>8</v>
      </c>
      <c r="C2221" s="271" t="s">
        <v>2202</v>
      </c>
      <c r="D2221" s="497"/>
      <c r="E2221" s="497"/>
      <c r="F2221" s="263"/>
      <c r="G2221" s="275"/>
    </row>
    <row r="2222" spans="1:7" ht="17.45" customHeight="1">
      <c r="A2222" s="261" t="s">
        <v>8</v>
      </c>
      <c r="C2222" s="271" t="s">
        <v>2097</v>
      </c>
      <c r="D2222" s="497"/>
      <c r="E2222" s="497"/>
      <c r="F2222" s="263"/>
      <c r="G2222" s="275"/>
    </row>
    <row r="2223" spans="1:7" ht="17.45" customHeight="1">
      <c r="A2223" s="261" t="s">
        <v>8</v>
      </c>
      <c r="C2223" s="271" t="s">
        <v>2654</v>
      </c>
      <c r="D2223" s="497"/>
      <c r="E2223" s="499">
        <v>60000</v>
      </c>
      <c r="F2223" s="263"/>
      <c r="G2223" s="275"/>
    </row>
    <row r="2224" spans="1:7" ht="17.45" customHeight="1">
      <c r="A2224" s="261" t="s">
        <v>8</v>
      </c>
      <c r="C2224" s="271" t="s">
        <v>1687</v>
      </c>
      <c r="D2224" s="497"/>
      <c r="E2224" s="497"/>
      <c r="F2224" s="263"/>
      <c r="G2224" s="275"/>
    </row>
    <row r="2225" spans="1:7" ht="17.45" customHeight="1">
      <c r="A2225" s="261" t="s">
        <v>8</v>
      </c>
      <c r="C2225" s="271" t="s">
        <v>1688</v>
      </c>
      <c r="D2225" s="497"/>
      <c r="E2225" s="499">
        <v>55000</v>
      </c>
      <c r="F2225" s="263"/>
      <c r="G2225" s="275"/>
    </row>
    <row r="2226" spans="1:7" ht="17.45" customHeight="1">
      <c r="A2226" s="261" t="s">
        <v>8</v>
      </c>
      <c r="C2226" s="271" t="s">
        <v>2281</v>
      </c>
      <c r="D2226" s="497"/>
      <c r="E2226" s="497"/>
      <c r="F2226" s="263"/>
      <c r="G2226" s="275"/>
    </row>
    <row r="2227" spans="1:7" ht="17.45" customHeight="1">
      <c r="A2227" s="261" t="s">
        <v>8</v>
      </c>
      <c r="C2227" s="271" t="s">
        <v>1596</v>
      </c>
      <c r="D2227" s="497"/>
      <c r="E2227" s="499">
        <v>2700</v>
      </c>
      <c r="F2227" s="263"/>
      <c r="G2227" s="275"/>
    </row>
    <row r="2228" spans="1:7" ht="17.45" customHeight="1">
      <c r="A2228" s="261" t="s">
        <v>8</v>
      </c>
      <c r="C2228" s="271" t="s">
        <v>1595</v>
      </c>
      <c r="D2228" s="497"/>
      <c r="E2228" s="499">
        <v>2200</v>
      </c>
      <c r="F2228" s="263"/>
      <c r="G2228" s="275"/>
    </row>
    <row r="2229" spans="1:7" ht="17.45" customHeight="1">
      <c r="A2229" s="261" t="s">
        <v>8</v>
      </c>
      <c r="C2229" s="271" t="s">
        <v>1613</v>
      </c>
      <c r="D2229" s="497"/>
      <c r="E2229" s="499">
        <f>7800+2700</f>
        <v>10500</v>
      </c>
      <c r="F2229" s="263"/>
      <c r="G2229" s="275"/>
    </row>
    <row r="2230" spans="1:7" ht="17.45" customHeight="1">
      <c r="A2230" s="261" t="s">
        <v>8</v>
      </c>
      <c r="C2230" s="271" t="s">
        <v>1689</v>
      </c>
      <c r="D2230" s="497"/>
      <c r="E2230" s="497"/>
      <c r="F2230" s="263"/>
      <c r="G2230" s="275"/>
    </row>
    <row r="2231" spans="1:7" ht="17.45" customHeight="1">
      <c r="A2231" s="261" t="s">
        <v>8</v>
      </c>
      <c r="C2231" s="271" t="s">
        <v>1569</v>
      </c>
      <c r="D2231" s="497"/>
      <c r="E2231" s="497"/>
      <c r="F2231" s="263"/>
      <c r="G2231" s="275"/>
    </row>
    <row r="2232" spans="1:7" ht="17.45" customHeight="1">
      <c r="A2232" s="261" t="s">
        <v>8</v>
      </c>
      <c r="C2232" s="271" t="s">
        <v>1618</v>
      </c>
      <c r="D2232" s="497"/>
      <c r="E2232" s="499">
        <f>15980+1890+43980+5410+12600</f>
        <v>79860</v>
      </c>
      <c r="F2232" s="263"/>
      <c r="G2232" s="275"/>
    </row>
    <row r="2233" spans="1:7" ht="17.45" customHeight="1">
      <c r="A2233" s="261" t="s">
        <v>8</v>
      </c>
      <c r="C2233" s="271" t="s">
        <v>1800</v>
      </c>
      <c r="D2233" s="497"/>
      <c r="E2233" s="499">
        <v>26000</v>
      </c>
      <c r="F2233" s="263"/>
      <c r="G2233" s="275"/>
    </row>
    <row r="2234" spans="1:7" ht="17.45" customHeight="1" thickBot="1">
      <c r="A2234" s="261" t="s">
        <v>8</v>
      </c>
      <c r="C2234" s="276" t="s">
        <v>1594</v>
      </c>
      <c r="D2234" s="502"/>
      <c r="E2234" s="502"/>
      <c r="F2234" s="277"/>
      <c r="G2234" s="282"/>
    </row>
    <row r="2235" spans="1:7" ht="17.45" customHeight="1">
      <c r="A2235" s="261" t="s">
        <v>8</v>
      </c>
      <c r="C2235" s="279" t="s">
        <v>2107</v>
      </c>
      <c r="D2235" s="504"/>
      <c r="E2235" s="505">
        <v>33900</v>
      </c>
      <c r="F2235" s="280"/>
      <c r="G2235" s="281"/>
    </row>
    <row r="2236" spans="1:7" ht="17.45" customHeight="1">
      <c r="A2236" s="261" t="s">
        <v>8</v>
      </c>
      <c r="C2236" s="271" t="s">
        <v>2636</v>
      </c>
      <c r="D2236" s="497"/>
      <c r="E2236" s="499">
        <v>30500</v>
      </c>
      <c r="F2236" s="263"/>
      <c r="G2236" s="275"/>
    </row>
    <row r="2237" spans="1:7" ht="17.45" customHeight="1">
      <c r="A2237" s="261" t="s">
        <v>8</v>
      </c>
      <c r="C2237" s="271" t="s">
        <v>2637</v>
      </c>
      <c r="D2237" s="497"/>
      <c r="E2237" s="499">
        <v>3000</v>
      </c>
      <c r="F2237" s="263"/>
      <c r="G2237" s="275"/>
    </row>
    <row r="2238" spans="1:7" ht="17.45" customHeight="1">
      <c r="A2238" s="261" t="s">
        <v>8</v>
      </c>
      <c r="C2238" s="271" t="s">
        <v>2638</v>
      </c>
      <c r="D2238" s="497"/>
      <c r="E2238" s="499">
        <v>4250</v>
      </c>
      <c r="F2238" s="263"/>
      <c r="G2238" s="275"/>
    </row>
    <row r="2239" spans="1:7" ht="17.45" customHeight="1">
      <c r="A2239" s="261" t="s">
        <v>8</v>
      </c>
      <c r="C2239" s="271" t="s">
        <v>2639</v>
      </c>
      <c r="D2239" s="499">
        <v>73600</v>
      </c>
      <c r="E2239" s="499">
        <v>93600</v>
      </c>
      <c r="F2239" s="263"/>
      <c r="G2239" s="275"/>
    </row>
    <row r="2240" spans="1:7" ht="17.45" customHeight="1">
      <c r="A2240" s="261" t="s">
        <v>8</v>
      </c>
      <c r="C2240" s="271" t="s">
        <v>2641</v>
      </c>
      <c r="D2240" s="497"/>
      <c r="E2240" s="499">
        <v>1000</v>
      </c>
      <c r="F2240" s="263"/>
      <c r="G2240" s="275"/>
    </row>
    <row r="2241" spans="1:7" ht="17.45" customHeight="1">
      <c r="A2241" s="261" t="s">
        <v>8</v>
      </c>
      <c r="C2241" s="271" t="s">
        <v>2642</v>
      </c>
      <c r="D2241" s="497"/>
      <c r="E2241" s="499">
        <v>58000</v>
      </c>
      <c r="F2241" s="263"/>
      <c r="G2241" s="275"/>
    </row>
    <row r="2242" spans="1:7" ht="17.45" customHeight="1">
      <c r="A2242" s="261" t="s">
        <v>8</v>
      </c>
      <c r="C2242" s="271" t="s">
        <v>2643</v>
      </c>
      <c r="D2242" s="497"/>
      <c r="E2242" s="499">
        <v>10000</v>
      </c>
      <c r="F2242" s="263"/>
      <c r="G2242" s="275"/>
    </row>
    <row r="2243" spans="1:7" ht="17.45" customHeight="1">
      <c r="A2243" s="261" t="s">
        <v>8</v>
      </c>
      <c r="C2243" s="271" t="s">
        <v>2644</v>
      </c>
      <c r="D2243" s="497"/>
      <c r="E2243" s="499">
        <v>6000</v>
      </c>
      <c r="F2243" s="263"/>
      <c r="G2243" s="275"/>
    </row>
    <row r="2244" spans="1:7" ht="17.45" customHeight="1">
      <c r="A2244" s="261" t="s">
        <v>8</v>
      </c>
      <c r="C2244" s="271" t="s">
        <v>159</v>
      </c>
      <c r="D2244" s="497"/>
      <c r="E2244" s="499">
        <v>250000</v>
      </c>
      <c r="F2244" s="263"/>
      <c r="G2244" s="275"/>
    </row>
    <row r="2245" spans="1:7" ht="17.45" customHeight="1">
      <c r="A2245" s="261" t="s">
        <v>8</v>
      </c>
      <c r="C2245" s="271" t="s">
        <v>1693</v>
      </c>
      <c r="D2245" s="497"/>
      <c r="E2245" s="499">
        <v>20400</v>
      </c>
      <c r="F2245" s="263"/>
      <c r="G2245" s="275"/>
    </row>
    <row r="2246" spans="1:7" ht="17.45" customHeight="1">
      <c r="A2246" s="261" t="s">
        <v>8</v>
      </c>
      <c r="C2246" s="271" t="s">
        <v>2645</v>
      </c>
      <c r="D2246" s="497"/>
      <c r="E2246" s="499">
        <v>4000</v>
      </c>
      <c r="F2246" s="263"/>
      <c r="G2246" s="275"/>
    </row>
    <row r="2247" spans="1:7" ht="17.45" customHeight="1">
      <c r="A2247" s="261" t="s">
        <v>8</v>
      </c>
      <c r="C2247" s="271" t="s">
        <v>1776</v>
      </c>
      <c r="D2247" s="497"/>
      <c r="E2247" s="499">
        <v>3100</v>
      </c>
      <c r="F2247" s="263"/>
      <c r="G2247" s="275"/>
    </row>
    <row r="2248" spans="1:7" ht="17.45" customHeight="1">
      <c r="A2248" s="261" t="s">
        <v>8</v>
      </c>
      <c r="C2248" s="271" t="s">
        <v>1585</v>
      </c>
      <c r="D2248" s="497"/>
      <c r="E2248" s="499">
        <v>19300</v>
      </c>
      <c r="F2248" s="263"/>
      <c r="G2248" s="275"/>
    </row>
    <row r="2249" spans="1:7" ht="17.45" customHeight="1">
      <c r="A2249" s="261" t="s">
        <v>8</v>
      </c>
      <c r="C2249" s="271" t="s">
        <v>2646</v>
      </c>
      <c r="D2249" s="497"/>
      <c r="E2249" s="499">
        <v>3500</v>
      </c>
      <c r="F2249" s="263"/>
      <c r="G2249" s="275"/>
    </row>
    <row r="2250" spans="1:7" ht="17.45" customHeight="1">
      <c r="A2250" s="261" t="s">
        <v>8</v>
      </c>
      <c r="C2250" s="271" t="s">
        <v>2108</v>
      </c>
      <c r="D2250" s="497"/>
      <c r="E2250" s="499">
        <v>35168</v>
      </c>
      <c r="F2250" s="263"/>
      <c r="G2250" s="275"/>
    </row>
    <row r="2251" spans="1:7" ht="17.45" customHeight="1">
      <c r="A2251" s="261" t="s">
        <v>8</v>
      </c>
      <c r="C2251" s="271" t="s">
        <v>1814</v>
      </c>
      <c r="D2251" s="497"/>
      <c r="E2251" s="499">
        <v>13600</v>
      </c>
      <c r="F2251" s="263"/>
      <c r="G2251" s="275"/>
    </row>
    <row r="2252" spans="1:7" ht="17.45" customHeight="1">
      <c r="A2252" s="261" t="s">
        <v>8</v>
      </c>
      <c r="C2252" s="271" t="s">
        <v>2648</v>
      </c>
      <c r="D2252" s="497"/>
      <c r="E2252" s="499">
        <v>4000</v>
      </c>
      <c r="F2252" s="263"/>
      <c r="G2252" s="275"/>
    </row>
    <row r="2253" spans="1:7" ht="17.45" customHeight="1">
      <c r="A2253" s="261" t="s">
        <v>8</v>
      </c>
      <c r="C2253" s="271" t="s">
        <v>2649</v>
      </c>
      <c r="D2253" s="497"/>
      <c r="E2253" s="499">
        <v>5000</v>
      </c>
      <c r="F2253" s="263"/>
      <c r="G2253" s="275"/>
    </row>
    <row r="2254" spans="1:7" ht="17.45" customHeight="1">
      <c r="A2254" s="261" t="s">
        <v>8</v>
      </c>
      <c r="C2254" s="271" t="s">
        <v>2650</v>
      </c>
      <c r="D2254" s="497"/>
      <c r="E2254" s="499">
        <v>6500</v>
      </c>
      <c r="F2254" s="263"/>
      <c r="G2254" s="275"/>
    </row>
    <row r="2255" spans="1:7" ht="17.45" customHeight="1">
      <c r="A2255" s="261" t="s">
        <v>8</v>
      </c>
      <c r="C2255" s="271" t="s">
        <v>2651</v>
      </c>
      <c r="D2255" s="497"/>
      <c r="E2255" s="499">
        <v>7900</v>
      </c>
      <c r="F2255" s="263"/>
      <c r="G2255" s="275"/>
    </row>
    <row r="2256" spans="1:7" ht="17.45" customHeight="1">
      <c r="A2256" s="261" t="s">
        <v>8</v>
      </c>
      <c r="C2256" s="271" t="s">
        <v>2652</v>
      </c>
      <c r="D2256" s="497"/>
      <c r="E2256" s="499">
        <v>5000</v>
      </c>
      <c r="F2256" s="263"/>
      <c r="G2256" s="275"/>
    </row>
    <row r="2257" spans="1:7" ht="17.45" customHeight="1">
      <c r="A2257" s="261" t="s">
        <v>8</v>
      </c>
      <c r="C2257" s="271" t="s">
        <v>2653</v>
      </c>
      <c r="D2257" s="497"/>
      <c r="E2257" s="499">
        <v>800</v>
      </c>
      <c r="F2257" s="263"/>
      <c r="G2257" s="275"/>
    </row>
    <row r="2258" spans="1:7" ht="17.45" customHeight="1">
      <c r="A2258" s="261" t="s">
        <v>8</v>
      </c>
      <c r="C2258" s="271" t="s">
        <v>2407</v>
      </c>
      <c r="D2258" s="497"/>
      <c r="E2258" s="499">
        <v>5300</v>
      </c>
      <c r="F2258" s="263"/>
      <c r="G2258" s="275"/>
    </row>
    <row r="2259" spans="1:7" ht="17.45" customHeight="1">
      <c r="A2259" s="261" t="s">
        <v>8</v>
      </c>
      <c r="C2259" s="271" t="s">
        <v>1628</v>
      </c>
      <c r="D2259" s="497"/>
      <c r="E2259" s="499">
        <v>18000</v>
      </c>
      <c r="F2259" s="263"/>
      <c r="G2259" s="275"/>
    </row>
    <row r="2260" spans="1:7" ht="17.45" customHeight="1">
      <c r="A2260" s="261" t="s">
        <v>8</v>
      </c>
      <c r="C2260" s="271" t="s">
        <v>1610</v>
      </c>
      <c r="D2260" s="497"/>
      <c r="E2260" s="499">
        <v>5500</v>
      </c>
      <c r="F2260" s="263"/>
      <c r="G2260" s="275"/>
    </row>
    <row r="2261" spans="1:7" ht="17.45" customHeight="1">
      <c r="A2261" s="261" t="s">
        <v>8</v>
      </c>
      <c r="C2261" s="271" t="s">
        <v>2655</v>
      </c>
      <c r="D2261" s="497"/>
      <c r="E2261" s="499">
        <f>2500+28000</f>
        <v>30500</v>
      </c>
      <c r="F2261" s="263"/>
      <c r="G2261" s="275"/>
    </row>
    <row r="2262" spans="1:7" ht="17.45" customHeight="1">
      <c r="A2262" s="261" t="s">
        <v>8</v>
      </c>
      <c r="C2262" s="271" t="s">
        <v>2656</v>
      </c>
      <c r="D2262" s="497"/>
      <c r="E2262" s="499">
        <v>7800</v>
      </c>
      <c r="F2262" s="263"/>
      <c r="G2262" s="275"/>
    </row>
    <row r="2263" spans="1:7" ht="17.45" customHeight="1">
      <c r="A2263" s="261" t="s">
        <v>8</v>
      </c>
      <c r="C2263" s="271" t="s">
        <v>2657</v>
      </c>
      <c r="D2263" s="497"/>
      <c r="E2263" s="499">
        <v>9900</v>
      </c>
      <c r="F2263" s="263"/>
      <c r="G2263" s="275"/>
    </row>
    <row r="2264" spans="1:7" ht="17.45" customHeight="1">
      <c r="A2264" s="261" t="s">
        <v>8</v>
      </c>
      <c r="C2264" s="271" t="s">
        <v>2658</v>
      </c>
      <c r="D2264" s="497"/>
      <c r="E2264" s="499">
        <v>3000</v>
      </c>
      <c r="F2264" s="263"/>
      <c r="G2264" s="275"/>
    </row>
    <row r="2265" spans="1:7" ht="17.45" customHeight="1">
      <c r="A2265" s="261" t="s">
        <v>8</v>
      </c>
      <c r="C2265" s="271" t="s">
        <v>2659</v>
      </c>
      <c r="D2265" s="497"/>
      <c r="E2265" s="499">
        <v>19000</v>
      </c>
      <c r="F2265" s="263"/>
      <c r="G2265" s="275"/>
    </row>
    <row r="2266" spans="1:7" ht="17.45" customHeight="1">
      <c r="A2266" s="261" t="s">
        <v>8</v>
      </c>
      <c r="C2266" s="271" t="s">
        <v>2660</v>
      </c>
      <c r="D2266" s="497"/>
      <c r="E2266" s="499">
        <v>22000</v>
      </c>
      <c r="F2266" s="263"/>
      <c r="G2266" s="275"/>
    </row>
    <row r="2267" spans="1:7" ht="17.45" customHeight="1">
      <c r="A2267" s="261" t="s">
        <v>8</v>
      </c>
      <c r="C2267" s="271" t="s">
        <v>2662</v>
      </c>
      <c r="D2267" s="497"/>
      <c r="E2267" s="499">
        <v>3900</v>
      </c>
      <c r="F2267" s="263"/>
      <c r="G2267" s="275"/>
    </row>
    <row r="2268" spans="1:7" ht="17.45" customHeight="1">
      <c r="A2268" s="261" t="s">
        <v>8</v>
      </c>
      <c r="C2268" s="271" t="s">
        <v>1583</v>
      </c>
      <c r="D2268" s="497"/>
      <c r="E2268" s="499">
        <v>170490</v>
      </c>
      <c r="F2268" s="263"/>
      <c r="G2268" s="275"/>
    </row>
    <row r="2269" spans="1:7" ht="17.45" customHeight="1">
      <c r="A2269" s="261" t="s">
        <v>8</v>
      </c>
      <c r="C2269" s="271" t="s">
        <v>2663</v>
      </c>
      <c r="D2269" s="497"/>
      <c r="E2269" s="499">
        <v>2000</v>
      </c>
      <c r="F2269" s="263"/>
      <c r="G2269" s="275"/>
    </row>
    <row r="2270" spans="1:7" ht="17.45" customHeight="1">
      <c r="A2270" s="261" t="s">
        <v>8</v>
      </c>
      <c r="C2270" s="271" t="s">
        <v>2664</v>
      </c>
      <c r="D2270" s="497"/>
      <c r="E2270" s="499">
        <v>46000</v>
      </c>
      <c r="F2270" s="263"/>
      <c r="G2270" s="275"/>
    </row>
    <row r="2271" spans="1:7" ht="17.45" customHeight="1">
      <c r="A2271" s="261" t="s">
        <v>8</v>
      </c>
      <c r="C2271" s="271" t="s">
        <v>148</v>
      </c>
      <c r="D2271" s="497"/>
      <c r="E2271" s="499">
        <v>290000</v>
      </c>
      <c r="F2271" s="263"/>
      <c r="G2271" s="275"/>
    </row>
    <row r="2272" spans="1:7" ht="17.45" customHeight="1" thickBot="1">
      <c r="A2272" s="261" t="s">
        <v>8</v>
      </c>
      <c r="C2272" s="276" t="s">
        <v>1300</v>
      </c>
      <c r="D2272" s="502">
        <f>SUM(D2195:D2271)-SUM(E2195:E2271)</f>
        <v>-4761329</v>
      </c>
      <c r="E2272" s="502">
        <f>SUM(E2195:E2271)-SUM(F2195:F2271)</f>
        <v>10872279</v>
      </c>
      <c r="F2272" s="277"/>
      <c r="G2272" s="283"/>
    </row>
    <row r="2274" spans="1:7" ht="12.75" thickBot="1"/>
    <row r="2275" spans="1:7" ht="17.45" customHeight="1">
      <c r="A2275" s="261" t="s">
        <v>8</v>
      </c>
      <c r="B2275" s="256" t="s">
        <v>2421</v>
      </c>
      <c r="C2275" s="268" t="s">
        <v>1268</v>
      </c>
      <c r="D2275" s="500">
        <v>6034950</v>
      </c>
      <c r="E2275" s="501"/>
      <c r="F2275" s="269"/>
      <c r="G2275" s="270"/>
    </row>
    <row r="2276" spans="1:7" ht="17.45" customHeight="1">
      <c r="A2276" s="261" t="s">
        <v>8</v>
      </c>
      <c r="B2276" s="257"/>
      <c r="C2276" s="271" t="s">
        <v>1269</v>
      </c>
      <c r="D2276" s="497"/>
      <c r="E2276" s="499">
        <v>253000</v>
      </c>
      <c r="F2276" s="263"/>
      <c r="G2276" s="272" t="s">
        <v>2666</v>
      </c>
    </row>
    <row r="2277" spans="1:7" ht="17.45" customHeight="1">
      <c r="A2277" s="261" t="s">
        <v>8</v>
      </c>
      <c r="C2277" s="271" t="s">
        <v>1270</v>
      </c>
      <c r="D2277" s="497"/>
      <c r="E2277" s="499">
        <v>758000</v>
      </c>
      <c r="F2277" s="263"/>
      <c r="G2277" s="273" t="s">
        <v>2192</v>
      </c>
    </row>
    <row r="2278" spans="1:7" ht="17.45" customHeight="1">
      <c r="A2278" s="261" t="s">
        <v>8</v>
      </c>
      <c r="C2278" s="271" t="s">
        <v>1670</v>
      </c>
      <c r="D2278" s="497"/>
      <c r="E2278" s="497"/>
      <c r="F2278" s="263"/>
      <c r="G2278" s="274"/>
    </row>
    <row r="2279" spans="1:7" ht="17.45" customHeight="1">
      <c r="A2279" s="261" t="s">
        <v>8</v>
      </c>
      <c r="C2279" s="271" t="s">
        <v>1672</v>
      </c>
      <c r="D2279" s="497"/>
      <c r="E2279" s="499">
        <v>114300</v>
      </c>
      <c r="F2279" s="263"/>
      <c r="G2279" s="274"/>
    </row>
    <row r="2280" spans="1:7" ht="17.45" customHeight="1">
      <c r="A2280" s="261" t="s">
        <v>8</v>
      </c>
      <c r="C2280" s="271" t="s">
        <v>1673</v>
      </c>
      <c r="D2280" s="497"/>
      <c r="E2280" s="497">
        <v>0</v>
      </c>
      <c r="F2280" s="263"/>
      <c r="G2280" s="274"/>
    </row>
    <row r="2281" spans="1:7" ht="17.45" customHeight="1">
      <c r="A2281" s="261" t="s">
        <v>8</v>
      </c>
      <c r="C2281" s="271" t="s">
        <v>1332</v>
      </c>
      <c r="D2281" s="497"/>
      <c r="E2281" s="499">
        <v>36880</v>
      </c>
      <c r="F2281" s="263"/>
      <c r="G2281" s="275"/>
    </row>
    <row r="2282" spans="1:7" ht="17.45" customHeight="1">
      <c r="A2282" s="261" t="s">
        <v>8</v>
      </c>
      <c r="C2282" s="271" t="s">
        <v>1271</v>
      </c>
      <c r="D2282" s="497"/>
      <c r="E2282" s="497">
        <v>0</v>
      </c>
      <c r="F2282" s="263"/>
      <c r="G2282" s="274"/>
    </row>
    <row r="2283" spans="1:7" ht="17.45" customHeight="1">
      <c r="A2283" s="261" t="s">
        <v>8</v>
      </c>
      <c r="C2283" s="271" t="s">
        <v>1272</v>
      </c>
      <c r="D2283" s="497"/>
      <c r="E2283" s="499">
        <v>7470</v>
      </c>
      <c r="F2283" s="263"/>
      <c r="G2283" s="273"/>
    </row>
    <row r="2284" spans="1:7" ht="17.45" customHeight="1">
      <c r="A2284" s="261" t="s">
        <v>8</v>
      </c>
      <c r="C2284" s="271" t="s">
        <v>1273</v>
      </c>
      <c r="D2284" s="497"/>
      <c r="E2284" s="499">
        <v>29920</v>
      </c>
      <c r="F2284" s="263"/>
      <c r="G2284" s="273"/>
    </row>
    <row r="2285" spans="1:7" ht="17.45" customHeight="1">
      <c r="A2285" s="261" t="s">
        <v>8</v>
      </c>
      <c r="C2285" s="271" t="s">
        <v>1274</v>
      </c>
      <c r="D2285" s="497"/>
      <c r="E2285" s="499">
        <v>9405</v>
      </c>
      <c r="F2285" s="263"/>
      <c r="G2285" s="273"/>
    </row>
    <row r="2286" spans="1:7" ht="17.45" customHeight="1">
      <c r="A2286" s="261" t="s">
        <v>8</v>
      </c>
      <c r="C2286" s="271" t="s">
        <v>1275</v>
      </c>
      <c r="D2286" s="497"/>
      <c r="E2286" s="497"/>
      <c r="F2286" s="263"/>
      <c r="G2286" s="273"/>
    </row>
    <row r="2287" spans="1:7" ht="17.45" customHeight="1">
      <c r="A2287" s="261" t="s">
        <v>8</v>
      </c>
      <c r="C2287" s="271" t="s">
        <v>2168</v>
      </c>
      <c r="D2287" s="497"/>
      <c r="E2287" s="499">
        <v>18816</v>
      </c>
      <c r="F2287" s="263"/>
      <c r="G2287" s="273"/>
    </row>
    <row r="2288" spans="1:7" ht="17.45" customHeight="1">
      <c r="A2288" s="261" t="s">
        <v>8</v>
      </c>
      <c r="C2288" s="271" t="s">
        <v>1517</v>
      </c>
      <c r="D2288" s="497"/>
      <c r="E2288" s="499">
        <v>23230</v>
      </c>
      <c r="F2288" s="263"/>
      <c r="G2288" s="273"/>
    </row>
    <row r="2289" spans="1:7" ht="17.45" customHeight="1">
      <c r="A2289" s="261" t="s">
        <v>8</v>
      </c>
      <c r="C2289" s="271" t="s">
        <v>1276</v>
      </c>
      <c r="D2289" s="497"/>
      <c r="E2289" s="499">
        <v>271050</v>
      </c>
      <c r="F2289" s="263"/>
      <c r="G2289" s="273"/>
    </row>
    <row r="2290" spans="1:7" ht="17.45" customHeight="1">
      <c r="A2290" s="261" t="s">
        <v>8</v>
      </c>
      <c r="C2290" s="271" t="s">
        <v>1277</v>
      </c>
      <c r="D2290" s="497"/>
      <c r="E2290" s="499">
        <v>20800</v>
      </c>
      <c r="F2290" s="263"/>
      <c r="G2290" s="273"/>
    </row>
    <row r="2291" spans="1:7" ht="17.45" customHeight="1">
      <c r="A2291" s="261" t="s">
        <v>8</v>
      </c>
      <c r="C2291" s="271" t="s">
        <v>1278</v>
      </c>
      <c r="D2291" s="497"/>
      <c r="E2291" s="499">
        <v>200000</v>
      </c>
      <c r="F2291" s="263"/>
      <c r="G2291" s="273"/>
    </row>
    <row r="2292" spans="1:7" ht="17.45" customHeight="1">
      <c r="A2292" s="261" t="s">
        <v>8</v>
      </c>
      <c r="C2292" s="285" t="s">
        <v>1413</v>
      </c>
      <c r="D2292" s="506"/>
      <c r="E2292" s="507">
        <v>1300000</v>
      </c>
      <c r="F2292" s="286"/>
      <c r="G2292" s="287"/>
    </row>
    <row r="2293" spans="1:7" ht="17.25" customHeight="1">
      <c r="A2293" s="261" t="s">
        <v>8</v>
      </c>
      <c r="C2293" s="338" t="s">
        <v>2661</v>
      </c>
      <c r="D2293" s="497"/>
      <c r="E2293" s="499">
        <v>475000</v>
      </c>
      <c r="F2293" s="263"/>
      <c r="G2293" s="275"/>
    </row>
    <row r="2294" spans="1:7" ht="17.45" customHeight="1">
      <c r="A2294" s="261" t="s">
        <v>8</v>
      </c>
      <c r="C2294" s="339" t="s">
        <v>2647</v>
      </c>
      <c r="D2294" s="506"/>
      <c r="E2294" s="506"/>
      <c r="F2294" s="286"/>
      <c r="G2294" s="290"/>
    </row>
    <row r="2295" spans="1:7" ht="17.45" customHeight="1" thickBot="1">
      <c r="A2295" s="261" t="s">
        <v>8</v>
      </c>
      <c r="C2295" s="285" t="s">
        <v>1942</v>
      </c>
      <c r="D2295" s="506"/>
      <c r="E2295" s="507">
        <v>20000</v>
      </c>
      <c r="F2295" s="286"/>
      <c r="G2295" s="290"/>
    </row>
    <row r="2296" spans="1:7" ht="17.45" customHeight="1">
      <c r="A2296" s="261" t="s">
        <v>8</v>
      </c>
      <c r="C2296" s="268" t="s">
        <v>1280</v>
      </c>
      <c r="D2296" s="501"/>
      <c r="E2296" s="500">
        <f>50000*2</f>
        <v>100000</v>
      </c>
      <c r="F2296" s="269"/>
      <c r="G2296" s="288"/>
    </row>
    <row r="2297" spans="1:7" ht="17.45" customHeight="1">
      <c r="A2297" s="261" t="s">
        <v>8</v>
      </c>
      <c r="C2297" s="271" t="s">
        <v>1549</v>
      </c>
      <c r="D2297" s="497"/>
      <c r="E2297" s="497"/>
      <c r="F2297" s="263"/>
      <c r="G2297" s="275"/>
    </row>
    <row r="2298" spans="1:7" ht="17.45" customHeight="1">
      <c r="A2298" s="261" t="s">
        <v>8</v>
      </c>
      <c r="C2298" s="271" t="s">
        <v>1819</v>
      </c>
      <c r="D2298" s="497"/>
      <c r="E2298" s="497"/>
      <c r="F2298" s="263"/>
      <c r="G2298" s="275"/>
    </row>
    <row r="2299" spans="1:7" ht="17.45" customHeight="1">
      <c r="A2299" s="261" t="s">
        <v>8</v>
      </c>
      <c r="C2299" s="271" t="s">
        <v>391</v>
      </c>
      <c r="D2299" s="497"/>
      <c r="E2299" s="497"/>
      <c r="F2299" s="263"/>
      <c r="G2299" s="275"/>
    </row>
    <row r="2300" spans="1:7" ht="17.45" customHeight="1">
      <c r="A2300" s="261" t="s">
        <v>8</v>
      </c>
      <c r="C2300" s="271" t="s">
        <v>1934</v>
      </c>
      <c r="D2300" s="497"/>
      <c r="E2300" s="497"/>
      <c r="F2300" s="263"/>
      <c r="G2300" s="275"/>
    </row>
    <row r="2301" spans="1:7" ht="17.25" customHeight="1">
      <c r="A2301" s="261" t="s">
        <v>8</v>
      </c>
      <c r="C2301" s="271" t="s">
        <v>2202</v>
      </c>
      <c r="D2301" s="497"/>
      <c r="E2301" s="497"/>
      <c r="F2301" s="263"/>
      <c r="G2301" s="275"/>
    </row>
    <row r="2302" spans="1:7" ht="17.45" customHeight="1">
      <c r="A2302" s="261" t="s">
        <v>8</v>
      </c>
      <c r="C2302" s="271" t="s">
        <v>2097</v>
      </c>
      <c r="D2302" s="497"/>
      <c r="E2302" s="497"/>
      <c r="F2302" s="263"/>
      <c r="G2302" s="275"/>
    </row>
    <row r="2303" spans="1:7" ht="17.45" customHeight="1">
      <c r="A2303" s="261" t="s">
        <v>8</v>
      </c>
      <c r="C2303" s="271" t="s">
        <v>2654</v>
      </c>
      <c r="D2303" s="497"/>
      <c r="E2303" s="499">
        <v>60000</v>
      </c>
      <c r="F2303" s="263"/>
      <c r="G2303" s="275"/>
    </row>
    <row r="2304" spans="1:7" ht="17.45" customHeight="1">
      <c r="A2304" s="261" t="s">
        <v>8</v>
      </c>
      <c r="C2304" s="271" t="s">
        <v>1687</v>
      </c>
      <c r="D2304" s="497"/>
      <c r="E2304" s="497"/>
      <c r="F2304" s="263"/>
      <c r="G2304" s="275"/>
    </row>
    <row r="2305" spans="1:7" ht="17.45" customHeight="1">
      <c r="A2305" s="261" t="s">
        <v>8</v>
      </c>
      <c r="C2305" s="271" t="s">
        <v>1688</v>
      </c>
      <c r="D2305" s="497"/>
      <c r="E2305" s="499">
        <v>55000</v>
      </c>
      <c r="F2305" s="263"/>
      <c r="G2305" s="275"/>
    </row>
    <row r="2306" spans="1:7" ht="17.45" customHeight="1">
      <c r="A2306" s="261" t="s">
        <v>8</v>
      </c>
      <c r="C2306" s="271" t="s">
        <v>2281</v>
      </c>
      <c r="D2306" s="497"/>
      <c r="E2306" s="497"/>
      <c r="F2306" s="263"/>
      <c r="G2306" s="275"/>
    </row>
    <row r="2307" spans="1:7" ht="17.45" customHeight="1">
      <c r="A2307" s="261" t="s">
        <v>8</v>
      </c>
      <c r="C2307" s="271" t="s">
        <v>1596</v>
      </c>
      <c r="D2307" s="499">
        <v>66500</v>
      </c>
      <c r="E2307" s="499">
        <v>98300</v>
      </c>
      <c r="F2307" s="263"/>
      <c r="G2307" s="275"/>
    </row>
    <row r="2308" spans="1:7" ht="17.45" customHeight="1">
      <c r="A2308" s="261" t="s">
        <v>8</v>
      </c>
      <c r="C2308" s="271" t="s">
        <v>1595</v>
      </c>
      <c r="D2308" s="497"/>
      <c r="E2308" s="499">
        <v>5900</v>
      </c>
      <c r="F2308" s="263"/>
      <c r="G2308" s="275"/>
    </row>
    <row r="2309" spans="1:7" ht="17.45" customHeight="1">
      <c r="A2309" s="261" t="s">
        <v>8</v>
      </c>
      <c r="C2309" s="271" t="s">
        <v>1613</v>
      </c>
      <c r="D2309" s="497"/>
      <c r="E2309" s="499">
        <v>6900</v>
      </c>
      <c r="F2309" s="263"/>
      <c r="G2309" s="275"/>
    </row>
    <row r="2310" spans="1:7" ht="17.45" customHeight="1">
      <c r="A2310" s="261" t="s">
        <v>8</v>
      </c>
      <c r="C2310" s="271" t="s">
        <v>1689</v>
      </c>
      <c r="D2310" s="497"/>
      <c r="E2310" s="497"/>
      <c r="F2310" s="263"/>
      <c r="G2310" s="275"/>
    </row>
    <row r="2311" spans="1:7" ht="17.45" customHeight="1">
      <c r="A2311" s="261" t="s">
        <v>8</v>
      </c>
      <c r="C2311" s="271" t="s">
        <v>1569</v>
      </c>
      <c r="D2311" s="497"/>
      <c r="E2311" s="499">
        <v>47270</v>
      </c>
      <c r="F2311" s="263"/>
      <c r="G2311" s="275"/>
    </row>
    <row r="2312" spans="1:7" ht="17.45" customHeight="1">
      <c r="A2312" s="261" t="s">
        <v>8</v>
      </c>
      <c r="C2312" s="271" t="s">
        <v>1618</v>
      </c>
      <c r="D2312" s="497"/>
      <c r="E2312" s="499">
        <f>25960+18980+31810+15100+29630</f>
        <v>121480</v>
      </c>
      <c r="F2312" s="263"/>
      <c r="G2312" s="275"/>
    </row>
    <row r="2313" spans="1:7" ht="17.45" customHeight="1">
      <c r="A2313" s="261" t="s">
        <v>8</v>
      </c>
      <c r="C2313" s="271" t="s">
        <v>1800</v>
      </c>
      <c r="D2313" s="497"/>
      <c r="E2313" s="497"/>
      <c r="F2313" s="263"/>
      <c r="G2313" s="275"/>
    </row>
    <row r="2314" spans="1:7" ht="17.45" customHeight="1" thickBot="1">
      <c r="A2314" s="261" t="s">
        <v>8</v>
      </c>
      <c r="C2314" s="276" t="s">
        <v>1594</v>
      </c>
      <c r="D2314" s="502"/>
      <c r="E2314" s="502"/>
      <c r="F2314" s="277"/>
      <c r="G2314" s="282"/>
    </row>
    <row r="2315" spans="1:7" ht="17.45" customHeight="1">
      <c r="A2315" s="261" t="s">
        <v>8</v>
      </c>
      <c r="C2315" s="271" t="s">
        <v>1583</v>
      </c>
      <c r="D2315" s="499">
        <v>127441</v>
      </c>
      <c r="E2315" s="497"/>
      <c r="F2315" s="263"/>
      <c r="G2315" s="275"/>
    </row>
    <row r="2316" spans="1:7" ht="17.25" customHeight="1">
      <c r="A2316" s="261" t="s">
        <v>8</v>
      </c>
      <c r="C2316" s="271" t="s">
        <v>2669</v>
      </c>
      <c r="D2316" s="499">
        <v>295100</v>
      </c>
      <c r="E2316" s="497"/>
      <c r="F2316" s="263"/>
      <c r="G2316" s="275"/>
    </row>
    <row r="2317" spans="1:7" ht="17.45" customHeight="1">
      <c r="A2317" s="261" t="s">
        <v>8</v>
      </c>
      <c r="C2317" s="271" t="s">
        <v>2670</v>
      </c>
      <c r="D2317" s="497"/>
      <c r="E2317" s="499">
        <v>7000</v>
      </c>
      <c r="F2317" s="263"/>
      <c r="G2317" s="275"/>
    </row>
    <row r="2318" spans="1:7" ht="17.45" customHeight="1">
      <c r="A2318" s="261" t="s">
        <v>8</v>
      </c>
      <c r="C2318" s="271" t="s">
        <v>2671</v>
      </c>
      <c r="D2318" s="497"/>
      <c r="E2318" s="499">
        <v>22350</v>
      </c>
      <c r="F2318" s="263"/>
      <c r="G2318" s="275"/>
    </row>
    <row r="2319" spans="1:7" ht="17.45" customHeight="1">
      <c r="A2319" s="261" t="s">
        <v>8</v>
      </c>
      <c r="C2319" s="271" t="s">
        <v>2639</v>
      </c>
      <c r="D2319" s="497"/>
      <c r="E2319" s="499">
        <v>20600</v>
      </c>
      <c r="F2319" s="263"/>
      <c r="G2319" s="275"/>
    </row>
    <row r="2320" spans="1:7" ht="17.45" customHeight="1">
      <c r="A2320" s="261" t="s">
        <v>8</v>
      </c>
      <c r="C2320" s="271" t="s">
        <v>1585</v>
      </c>
      <c r="D2320" s="497"/>
      <c r="E2320" s="499">
        <f>21000+33000</f>
        <v>54000</v>
      </c>
      <c r="F2320" s="263"/>
      <c r="G2320" s="275"/>
    </row>
    <row r="2321" spans="1:7" ht="17.45" customHeight="1">
      <c r="A2321" s="261" t="s">
        <v>8</v>
      </c>
      <c r="C2321" s="271" t="s">
        <v>2489</v>
      </c>
      <c r="D2321" s="497"/>
      <c r="E2321" s="499">
        <v>13100</v>
      </c>
      <c r="F2321" s="263"/>
      <c r="G2321" s="275"/>
    </row>
    <row r="2322" spans="1:7" ht="17.45" customHeight="1">
      <c r="A2322" s="261" t="s">
        <v>8</v>
      </c>
      <c r="C2322" s="271" t="s">
        <v>1801</v>
      </c>
      <c r="D2322" s="497"/>
      <c r="E2322" s="499">
        <v>9000</v>
      </c>
      <c r="F2322" s="263"/>
      <c r="G2322" s="275"/>
    </row>
    <row r="2323" spans="1:7" ht="17.45" customHeight="1">
      <c r="A2323" s="261" t="s">
        <v>8</v>
      </c>
      <c r="C2323" s="271" t="s">
        <v>1777</v>
      </c>
      <c r="D2323" s="497"/>
      <c r="E2323" s="499">
        <v>22100</v>
      </c>
      <c r="F2323" s="263"/>
      <c r="G2323" s="275"/>
    </row>
    <row r="2324" spans="1:7" ht="17.45" customHeight="1">
      <c r="A2324" s="261" t="s">
        <v>8</v>
      </c>
      <c r="C2324" s="271" t="s">
        <v>1902</v>
      </c>
      <c r="D2324" s="497"/>
      <c r="E2324" s="499">
        <v>300000</v>
      </c>
      <c r="F2324" s="263"/>
      <c r="G2324" s="275"/>
    </row>
    <row r="2325" spans="1:7" ht="17.45" customHeight="1">
      <c r="A2325" s="261" t="s">
        <v>8</v>
      </c>
      <c r="C2325" s="271" t="s">
        <v>2673</v>
      </c>
      <c r="D2325" s="497"/>
      <c r="E2325" s="499">
        <f>751420-273007</f>
        <v>478413</v>
      </c>
      <c r="F2325" s="263"/>
      <c r="G2325" s="275"/>
    </row>
    <row r="2326" spans="1:7" ht="17.45" customHeight="1">
      <c r="A2326" s="261" t="s">
        <v>8</v>
      </c>
      <c r="C2326" s="271" t="s">
        <v>2674</v>
      </c>
      <c r="D2326" s="497"/>
      <c r="E2326" s="499">
        <v>4000</v>
      </c>
      <c r="F2326" s="263"/>
      <c r="G2326" s="275"/>
    </row>
    <row r="2327" spans="1:7" ht="17.45" customHeight="1">
      <c r="A2327" s="261" t="s">
        <v>8</v>
      </c>
      <c r="C2327" s="271" t="s">
        <v>2676</v>
      </c>
      <c r="D2327" s="497"/>
      <c r="E2327" s="499">
        <v>28800</v>
      </c>
      <c r="F2327" s="263"/>
      <c r="G2327" s="275"/>
    </row>
    <row r="2328" spans="1:7" ht="17.45" customHeight="1">
      <c r="A2328" s="261" t="s">
        <v>8</v>
      </c>
      <c r="C2328" s="271" t="s">
        <v>2677</v>
      </c>
      <c r="D2328" s="497"/>
      <c r="E2328" s="499">
        <v>9600</v>
      </c>
      <c r="F2328" s="263"/>
      <c r="G2328" s="275"/>
    </row>
    <row r="2329" spans="1:7" ht="17.45" customHeight="1">
      <c r="A2329" s="261" t="s">
        <v>8</v>
      </c>
      <c r="C2329" s="271" t="s">
        <v>2678</v>
      </c>
      <c r="D2329" s="497"/>
      <c r="E2329" s="499">
        <v>10000</v>
      </c>
      <c r="F2329" s="263"/>
      <c r="G2329" s="275"/>
    </row>
    <row r="2330" spans="1:7" ht="17.45" customHeight="1">
      <c r="A2330" s="261" t="s">
        <v>8</v>
      </c>
      <c r="C2330" s="271" t="s">
        <v>2679</v>
      </c>
      <c r="D2330" s="497"/>
      <c r="E2330" s="499">
        <v>4000</v>
      </c>
      <c r="F2330" s="263"/>
      <c r="G2330" s="275"/>
    </row>
    <row r="2331" spans="1:7" ht="17.45" customHeight="1">
      <c r="A2331" s="261" t="s">
        <v>8</v>
      </c>
      <c r="C2331" s="271" t="s">
        <v>2680</v>
      </c>
      <c r="D2331" s="497"/>
      <c r="E2331" s="499">
        <v>7500</v>
      </c>
      <c r="F2331" s="263"/>
      <c r="G2331" s="275"/>
    </row>
    <row r="2332" spans="1:7" ht="17.45" customHeight="1">
      <c r="A2332" s="261" t="s">
        <v>8</v>
      </c>
      <c r="C2332" s="271" t="s">
        <v>2681</v>
      </c>
      <c r="D2332" s="497"/>
      <c r="E2332" s="499">
        <v>7000</v>
      </c>
      <c r="F2332" s="263"/>
      <c r="G2332" s="275"/>
    </row>
    <row r="2333" spans="1:7" ht="17.45" customHeight="1">
      <c r="A2333" s="261" t="s">
        <v>8</v>
      </c>
      <c r="C2333" s="271" t="s">
        <v>2682</v>
      </c>
      <c r="D2333" s="497"/>
      <c r="E2333" s="499">
        <v>16200</v>
      </c>
      <c r="F2333" s="263"/>
      <c r="G2333" s="275"/>
    </row>
    <row r="2334" spans="1:7" ht="17.45" customHeight="1">
      <c r="A2334" s="261" t="s">
        <v>8</v>
      </c>
      <c r="C2334" s="271" t="s">
        <v>2683</v>
      </c>
      <c r="D2334" s="497"/>
      <c r="E2334" s="499">
        <f>14856+25425</f>
        <v>40281</v>
      </c>
      <c r="F2334" s="263"/>
      <c r="G2334" s="275"/>
    </row>
    <row r="2335" spans="1:7" ht="17.45" customHeight="1">
      <c r="A2335" s="261" t="s">
        <v>8</v>
      </c>
      <c r="C2335" s="271" t="s">
        <v>2672</v>
      </c>
      <c r="D2335" s="497"/>
      <c r="E2335" s="499">
        <v>22656</v>
      </c>
      <c r="F2335" s="263"/>
      <c r="G2335" s="275" t="s">
        <v>2675</v>
      </c>
    </row>
    <row r="2336" spans="1:7" ht="17.25" customHeight="1">
      <c r="A2336" s="261" t="s">
        <v>8</v>
      </c>
      <c r="C2336" s="271" t="s">
        <v>2684</v>
      </c>
      <c r="D2336" s="497"/>
      <c r="E2336" s="499">
        <f>1447+228537</f>
        <v>229984</v>
      </c>
      <c r="F2336" s="263"/>
      <c r="G2336" s="344" t="s">
        <v>2687</v>
      </c>
    </row>
    <row r="2337" spans="1:7" ht="17.25" customHeight="1">
      <c r="A2337" s="261" t="s">
        <v>8</v>
      </c>
      <c r="C2337" s="271" t="s">
        <v>2693</v>
      </c>
      <c r="D2337" s="497"/>
      <c r="E2337" s="499">
        <v>526221</v>
      </c>
      <c r="F2337" s="263"/>
      <c r="G2337" s="344" t="s">
        <v>2687</v>
      </c>
    </row>
    <row r="2338" spans="1:7" ht="17.45" customHeight="1">
      <c r="A2338" s="261" t="s">
        <v>8</v>
      </c>
      <c r="C2338" s="271" t="s">
        <v>2685</v>
      </c>
      <c r="D2338" s="497"/>
      <c r="E2338" s="499">
        <f>4338+5573+2771</f>
        <v>12682</v>
      </c>
      <c r="F2338" s="263"/>
      <c r="G2338" s="344" t="s">
        <v>2687</v>
      </c>
    </row>
    <row r="2339" spans="1:7" ht="17.45" customHeight="1">
      <c r="A2339" s="261" t="s">
        <v>8</v>
      </c>
      <c r="C2339" s="271" t="s">
        <v>1606</v>
      </c>
      <c r="D2339" s="497"/>
      <c r="E2339" s="499">
        <v>19177</v>
      </c>
      <c r="F2339" s="263"/>
      <c r="G2339" s="275" t="s">
        <v>2688</v>
      </c>
    </row>
    <row r="2340" spans="1:7" ht="17.45" customHeight="1">
      <c r="A2340" s="261" t="s">
        <v>8</v>
      </c>
      <c r="C2340" s="271" t="s">
        <v>2686</v>
      </c>
      <c r="D2340" s="497"/>
      <c r="E2340" s="499">
        <v>15715</v>
      </c>
      <c r="F2340" s="263"/>
      <c r="G2340" s="275" t="s">
        <v>2688</v>
      </c>
    </row>
    <row r="2341" spans="1:7" ht="17.45" customHeight="1">
      <c r="A2341" s="261" t="s">
        <v>8</v>
      </c>
      <c r="C2341" s="271" t="s">
        <v>2689</v>
      </c>
      <c r="D2341" s="497"/>
      <c r="E2341" s="499">
        <f>3200+3200</f>
        <v>6400</v>
      </c>
      <c r="F2341" s="263"/>
      <c r="G2341" s="344" t="s">
        <v>2687</v>
      </c>
    </row>
    <row r="2342" spans="1:7" ht="17.45" customHeight="1">
      <c r="A2342" s="261" t="s">
        <v>8</v>
      </c>
      <c r="C2342" s="271" t="s">
        <v>1627</v>
      </c>
      <c r="D2342" s="497"/>
      <c r="E2342" s="499">
        <v>27000</v>
      </c>
      <c r="F2342" s="263"/>
      <c r="G2342" s="344" t="s">
        <v>2687</v>
      </c>
    </row>
    <row r="2343" spans="1:7" ht="17.45" customHeight="1">
      <c r="A2343" s="261" t="s">
        <v>8</v>
      </c>
      <c r="C2343" s="271" t="s">
        <v>2108</v>
      </c>
      <c r="D2343" s="497"/>
      <c r="E2343" s="499">
        <v>51900</v>
      </c>
      <c r="F2343" s="263"/>
      <c r="G2343" s="275"/>
    </row>
    <row r="2344" spans="1:7" ht="17.45" customHeight="1">
      <c r="A2344" s="261" t="s">
        <v>8</v>
      </c>
      <c r="C2344" s="271" t="s">
        <v>2690</v>
      </c>
      <c r="D2344" s="497"/>
      <c r="E2344" s="499">
        <f>130200-65100-65100</f>
        <v>0</v>
      </c>
      <c r="F2344" s="263"/>
      <c r="G2344" s="275"/>
    </row>
    <row r="2345" spans="1:7" ht="17.45" customHeight="1">
      <c r="A2345" s="261" t="s">
        <v>8</v>
      </c>
      <c r="C2345" s="271" t="s">
        <v>2691</v>
      </c>
      <c r="D2345" s="497"/>
      <c r="E2345" s="499">
        <v>25777</v>
      </c>
      <c r="F2345" s="263"/>
      <c r="G2345" s="275"/>
    </row>
    <row r="2346" spans="1:7" ht="17.45" customHeight="1">
      <c r="A2346" s="261" t="s">
        <v>8</v>
      </c>
      <c r="C2346" s="271" t="s">
        <v>2692</v>
      </c>
      <c r="D2346" s="497"/>
      <c r="E2346" s="499">
        <v>28710</v>
      </c>
      <c r="F2346" s="263"/>
      <c r="G2346" s="275"/>
    </row>
    <row r="2347" spans="1:7" ht="17.45" customHeight="1">
      <c r="A2347" s="261" t="s">
        <v>8</v>
      </c>
      <c r="C2347" s="271" t="s">
        <v>2694</v>
      </c>
      <c r="D2347" s="497"/>
      <c r="E2347" s="499">
        <v>45300</v>
      </c>
      <c r="F2347" s="263"/>
      <c r="G2347" s="275" t="s">
        <v>2704</v>
      </c>
    </row>
    <row r="2348" spans="1:7" ht="17.45" customHeight="1">
      <c r="A2348" s="261" t="s">
        <v>8</v>
      </c>
      <c r="C2348" s="271" t="s">
        <v>2695</v>
      </c>
      <c r="D2348" s="497"/>
      <c r="E2348" s="499">
        <v>29160</v>
      </c>
      <c r="F2348" s="263"/>
      <c r="G2348" s="275"/>
    </row>
    <row r="2349" spans="1:7" ht="17.45" customHeight="1">
      <c r="A2349" s="261" t="s">
        <v>8</v>
      </c>
      <c r="C2349" s="271" t="s">
        <v>1602</v>
      </c>
      <c r="D2349" s="499">
        <v>1589</v>
      </c>
      <c r="E2349" s="497"/>
      <c r="F2349" s="263"/>
      <c r="G2349" s="275"/>
    </row>
    <row r="2350" spans="1:7" ht="17.45" customHeight="1">
      <c r="A2350" s="261" t="s">
        <v>8</v>
      </c>
      <c r="C2350" s="271" t="s">
        <v>2696</v>
      </c>
      <c r="D2350" s="497"/>
      <c r="E2350" s="499">
        <v>650000</v>
      </c>
      <c r="F2350" s="263"/>
      <c r="G2350" s="275"/>
    </row>
    <row r="2351" spans="1:7" ht="17.45" customHeight="1">
      <c r="A2351" s="261" t="s">
        <v>8</v>
      </c>
      <c r="C2351" s="271" t="s">
        <v>2697</v>
      </c>
      <c r="D2351" s="497"/>
      <c r="E2351" s="499">
        <v>6700</v>
      </c>
      <c r="F2351" s="263"/>
      <c r="G2351" s="275"/>
    </row>
    <row r="2352" spans="1:7" ht="17.45" customHeight="1" thickBot="1">
      <c r="A2352" s="261" t="s">
        <v>8</v>
      </c>
      <c r="C2352" s="276" t="s">
        <v>1300</v>
      </c>
      <c r="D2352" s="502">
        <f>SUM(D2275:D2351)-SUM(E2275:E2351)</f>
        <v>-258467</v>
      </c>
      <c r="E2352" s="502">
        <f>SUM(E2275:E2351)-SUM(F2275:F2351)</f>
        <v>6784047</v>
      </c>
      <c r="F2352" s="277"/>
      <c r="G2352" s="283"/>
    </row>
    <row r="2354" spans="1:7" ht="12.75" thickBot="1"/>
    <row r="2355" spans="1:7" ht="17.45" customHeight="1">
      <c r="A2355" s="261" t="s">
        <v>8</v>
      </c>
      <c r="B2355" s="256" t="s">
        <v>2420</v>
      </c>
      <c r="C2355" s="268" t="s">
        <v>1268</v>
      </c>
      <c r="D2355" s="501">
        <v>6500850</v>
      </c>
      <c r="E2355" s="501"/>
      <c r="F2355" s="269"/>
      <c r="G2355" s="270"/>
    </row>
    <row r="2356" spans="1:7" ht="17.45" customHeight="1">
      <c r="A2356" s="261" t="s">
        <v>8</v>
      </c>
      <c r="B2356" s="257"/>
      <c r="C2356" s="271" t="s">
        <v>1269</v>
      </c>
      <c r="D2356" s="497"/>
      <c r="E2356" s="499">
        <v>399500</v>
      </c>
      <c r="F2356" s="263"/>
      <c r="G2356" s="272" t="s">
        <v>2698</v>
      </c>
    </row>
    <row r="2357" spans="1:7" ht="17.45" customHeight="1">
      <c r="A2357" s="261" t="s">
        <v>8</v>
      </c>
      <c r="C2357" s="271" t="s">
        <v>1270</v>
      </c>
      <c r="D2357" s="497"/>
      <c r="E2357" s="499">
        <f>813000+77000</f>
        <v>890000</v>
      </c>
      <c r="F2357" s="263"/>
      <c r="G2357" s="273" t="s">
        <v>2192</v>
      </c>
    </row>
    <row r="2358" spans="1:7" ht="17.45" customHeight="1">
      <c r="A2358" s="261" t="s">
        <v>8</v>
      </c>
      <c r="C2358" s="271" t="s">
        <v>1670</v>
      </c>
      <c r="D2358" s="497"/>
      <c r="E2358" s="497"/>
      <c r="F2358" s="263"/>
      <c r="G2358" s="274"/>
    </row>
    <row r="2359" spans="1:7" ht="17.45" customHeight="1">
      <c r="A2359" s="261" t="s">
        <v>8</v>
      </c>
      <c r="C2359" s="271" t="s">
        <v>1672</v>
      </c>
      <c r="D2359" s="497"/>
      <c r="E2359" s="499">
        <v>114300</v>
      </c>
      <c r="F2359" s="263"/>
      <c r="G2359" s="274"/>
    </row>
    <row r="2360" spans="1:7" ht="17.45" customHeight="1">
      <c r="A2360" s="261" t="s">
        <v>8</v>
      </c>
      <c r="C2360" s="271" t="s">
        <v>1673</v>
      </c>
      <c r="D2360" s="497"/>
      <c r="E2360" s="497">
        <v>0</v>
      </c>
      <c r="F2360" s="263"/>
      <c r="G2360" s="274"/>
    </row>
    <row r="2361" spans="1:7" ht="17.45" customHeight="1">
      <c r="A2361" s="261" t="s">
        <v>8</v>
      </c>
      <c r="C2361" s="271" t="s">
        <v>1332</v>
      </c>
      <c r="D2361" s="497"/>
      <c r="E2361" s="499">
        <v>34650</v>
      </c>
      <c r="F2361" s="263"/>
      <c r="G2361" s="275"/>
    </row>
    <row r="2362" spans="1:7" ht="17.45" customHeight="1">
      <c r="A2362" s="261" t="s">
        <v>8</v>
      </c>
      <c r="C2362" s="271" t="s">
        <v>1271</v>
      </c>
      <c r="D2362" s="497"/>
      <c r="E2362" s="497">
        <v>0</v>
      </c>
      <c r="F2362" s="263"/>
      <c r="G2362" s="274"/>
    </row>
    <row r="2363" spans="1:7" ht="17.45" customHeight="1">
      <c r="A2363" s="261" t="s">
        <v>8</v>
      </c>
      <c r="C2363" s="271" t="s">
        <v>1272</v>
      </c>
      <c r="D2363" s="497"/>
      <c r="E2363" s="499">
        <v>7470</v>
      </c>
      <c r="F2363" s="263"/>
      <c r="G2363" s="273"/>
    </row>
    <row r="2364" spans="1:7" ht="17.45" customHeight="1">
      <c r="A2364" s="261" t="s">
        <v>8</v>
      </c>
      <c r="C2364" s="271" t="s">
        <v>1273</v>
      </c>
      <c r="D2364" s="497"/>
      <c r="E2364" s="499">
        <v>29920</v>
      </c>
      <c r="F2364" s="263"/>
      <c r="G2364" s="273"/>
    </row>
    <row r="2365" spans="1:7" ht="17.45" customHeight="1">
      <c r="A2365" s="261" t="s">
        <v>8</v>
      </c>
      <c r="C2365" s="271" t="s">
        <v>1274</v>
      </c>
      <c r="D2365" s="497"/>
      <c r="E2365" s="499">
        <v>9405</v>
      </c>
      <c r="F2365" s="263"/>
      <c r="G2365" s="273"/>
    </row>
    <row r="2366" spans="1:7" ht="17.45" customHeight="1">
      <c r="A2366" s="261" t="s">
        <v>8</v>
      </c>
      <c r="C2366" s="271" t="s">
        <v>1275</v>
      </c>
      <c r="D2366" s="497"/>
      <c r="E2366" s="497"/>
      <c r="F2366" s="263"/>
      <c r="G2366" s="273"/>
    </row>
    <row r="2367" spans="1:7" ht="17.45" customHeight="1">
      <c r="A2367" s="261" t="s">
        <v>8</v>
      </c>
      <c r="C2367" s="271" t="s">
        <v>2168</v>
      </c>
      <c r="D2367" s="497"/>
      <c r="E2367" s="499">
        <v>18816</v>
      </c>
      <c r="F2367" s="263"/>
      <c r="G2367" s="273"/>
    </row>
    <row r="2368" spans="1:7" ht="17.45" customHeight="1">
      <c r="A2368" s="261" t="s">
        <v>8</v>
      </c>
      <c r="C2368" s="271" t="s">
        <v>1517</v>
      </c>
      <c r="D2368" s="497"/>
      <c r="E2368" s="499">
        <v>23230</v>
      </c>
      <c r="F2368" s="263"/>
      <c r="G2368" s="273"/>
    </row>
    <row r="2369" spans="1:7" ht="17.45" customHeight="1">
      <c r="A2369" s="261" t="s">
        <v>8</v>
      </c>
      <c r="C2369" s="271" t="s">
        <v>1276</v>
      </c>
      <c r="D2369" s="497"/>
      <c r="E2369" s="499">
        <v>272510</v>
      </c>
      <c r="F2369" s="263"/>
      <c r="G2369" s="273"/>
    </row>
    <row r="2370" spans="1:7" ht="17.45" customHeight="1">
      <c r="A2370" s="261" t="s">
        <v>8</v>
      </c>
      <c r="C2370" s="271" t="s">
        <v>1277</v>
      </c>
      <c r="D2370" s="497"/>
      <c r="E2370" s="499">
        <f>36430+40610</f>
        <v>77040</v>
      </c>
      <c r="F2370" s="263"/>
      <c r="G2370" s="273"/>
    </row>
    <row r="2371" spans="1:7" ht="17.45" customHeight="1">
      <c r="A2371" s="261" t="s">
        <v>8</v>
      </c>
      <c r="C2371" s="271" t="s">
        <v>1278</v>
      </c>
      <c r="D2371" s="497"/>
      <c r="E2371" s="499">
        <v>200000</v>
      </c>
      <c r="F2371" s="263"/>
      <c r="G2371" s="273"/>
    </row>
    <row r="2372" spans="1:7" ht="17.45" customHeight="1">
      <c r="A2372" s="261" t="s">
        <v>8</v>
      </c>
      <c r="C2372" s="285" t="s">
        <v>1413</v>
      </c>
      <c r="D2372" s="506"/>
      <c r="E2372" s="507">
        <f>1300000+219556</f>
        <v>1519556</v>
      </c>
      <c r="F2372" s="286"/>
      <c r="G2372" s="287"/>
    </row>
    <row r="2373" spans="1:7" ht="17.25" customHeight="1">
      <c r="A2373" s="261" t="s">
        <v>8</v>
      </c>
      <c r="C2373" s="338" t="s">
        <v>2661</v>
      </c>
      <c r="D2373" s="497"/>
      <c r="E2373" s="499">
        <f>285000+475000+123500-118300</f>
        <v>765200</v>
      </c>
      <c r="F2373" s="263"/>
      <c r="G2373" s="275"/>
    </row>
    <row r="2374" spans="1:7" ht="17.45" customHeight="1">
      <c r="A2374" s="261" t="s">
        <v>8</v>
      </c>
      <c r="C2374" s="339" t="s">
        <v>2647</v>
      </c>
      <c r="D2374" s="506"/>
      <c r="E2374" s="506"/>
      <c r="F2374" s="286"/>
      <c r="G2374" s="290"/>
    </row>
    <row r="2375" spans="1:7" ht="17.45" customHeight="1" thickBot="1">
      <c r="A2375" s="261" t="s">
        <v>8</v>
      </c>
      <c r="C2375" s="285" t="s">
        <v>1942</v>
      </c>
      <c r="D2375" s="506"/>
      <c r="E2375" s="507">
        <v>20000</v>
      </c>
      <c r="F2375" s="286"/>
      <c r="G2375" s="290"/>
    </row>
    <row r="2376" spans="1:7" ht="17.45" customHeight="1">
      <c r="A2376" s="261" t="s">
        <v>8</v>
      </c>
      <c r="C2376" s="268" t="s">
        <v>1280</v>
      </c>
      <c r="D2376" s="501"/>
      <c r="E2376" s="500">
        <f>50000*2</f>
        <v>100000</v>
      </c>
      <c r="F2376" s="269"/>
      <c r="G2376" s="288"/>
    </row>
    <row r="2377" spans="1:7" ht="17.45" customHeight="1">
      <c r="A2377" s="261" t="s">
        <v>8</v>
      </c>
      <c r="C2377" s="271" t="s">
        <v>1549</v>
      </c>
      <c r="D2377" s="497"/>
      <c r="E2377" s="497"/>
      <c r="F2377" s="263"/>
      <c r="G2377" s="275"/>
    </row>
    <row r="2378" spans="1:7" ht="17.45" customHeight="1">
      <c r="A2378" s="261" t="s">
        <v>8</v>
      </c>
      <c r="C2378" s="271" t="s">
        <v>1819</v>
      </c>
      <c r="D2378" s="497"/>
      <c r="E2378" s="497"/>
      <c r="F2378" s="263"/>
      <c r="G2378" s="275"/>
    </row>
    <row r="2379" spans="1:7" ht="17.45" customHeight="1">
      <c r="A2379" s="261" t="s">
        <v>8</v>
      </c>
      <c r="C2379" s="271" t="s">
        <v>391</v>
      </c>
      <c r="D2379" s="497"/>
      <c r="E2379" s="497"/>
      <c r="F2379" s="263"/>
      <c r="G2379" s="275"/>
    </row>
    <row r="2380" spans="1:7" ht="17.45" customHeight="1">
      <c r="A2380" s="261" t="s">
        <v>8</v>
      </c>
      <c r="C2380" s="271" t="s">
        <v>1934</v>
      </c>
      <c r="D2380" s="497"/>
      <c r="E2380" s="497"/>
      <c r="F2380" s="263"/>
      <c r="G2380" s="275"/>
    </row>
    <row r="2381" spans="1:7" ht="17.25" customHeight="1">
      <c r="A2381" s="261" t="s">
        <v>8</v>
      </c>
      <c r="C2381" s="271" t="s">
        <v>2202</v>
      </c>
      <c r="D2381" s="497"/>
      <c r="E2381" s="497"/>
      <c r="F2381" s="263"/>
      <c r="G2381" s="275"/>
    </row>
    <row r="2382" spans="1:7" ht="17.45" customHeight="1">
      <c r="A2382" s="261" t="s">
        <v>8</v>
      </c>
      <c r="C2382" s="271" t="s">
        <v>2097</v>
      </c>
      <c r="D2382" s="497"/>
      <c r="E2382" s="497"/>
      <c r="F2382" s="263"/>
      <c r="G2382" s="275"/>
    </row>
    <row r="2383" spans="1:7" ht="17.45" customHeight="1">
      <c r="A2383" s="261" t="s">
        <v>8</v>
      </c>
      <c r="C2383" s="271" t="s">
        <v>2654</v>
      </c>
      <c r="D2383" s="497"/>
      <c r="E2383" s="499">
        <v>60000</v>
      </c>
      <c r="F2383" s="263"/>
      <c r="G2383" s="275"/>
    </row>
    <row r="2384" spans="1:7" ht="17.45" customHeight="1">
      <c r="A2384" s="261" t="s">
        <v>8</v>
      </c>
      <c r="C2384" s="271" t="s">
        <v>1687</v>
      </c>
      <c r="D2384" s="497"/>
      <c r="E2384" s="497"/>
      <c r="F2384" s="263"/>
      <c r="G2384" s="275"/>
    </row>
    <row r="2385" spans="1:7" ht="17.45" customHeight="1">
      <c r="A2385" s="261" t="s">
        <v>8</v>
      </c>
      <c r="C2385" s="271" t="s">
        <v>1688</v>
      </c>
      <c r="D2385" s="497"/>
      <c r="E2385" s="497"/>
      <c r="F2385" s="263"/>
      <c r="G2385" s="275"/>
    </row>
    <row r="2386" spans="1:7" ht="17.45" customHeight="1">
      <c r="A2386" s="261" t="s">
        <v>8</v>
      </c>
      <c r="C2386" s="271" t="s">
        <v>2281</v>
      </c>
      <c r="D2386" s="497"/>
      <c r="E2386" s="497"/>
      <c r="F2386" s="263"/>
      <c r="G2386" s="275"/>
    </row>
    <row r="2387" spans="1:7" ht="17.45" customHeight="1">
      <c r="A2387" s="261" t="s">
        <v>8</v>
      </c>
      <c r="C2387" s="271" t="s">
        <v>1596</v>
      </c>
      <c r="D2387" s="497"/>
      <c r="E2387" s="499">
        <v>43400</v>
      </c>
      <c r="F2387" s="263"/>
      <c r="G2387" s="275"/>
    </row>
    <row r="2388" spans="1:7" ht="17.45" customHeight="1">
      <c r="A2388" s="261" t="s">
        <v>8</v>
      </c>
      <c r="C2388" s="271" t="s">
        <v>1595</v>
      </c>
      <c r="D2388" s="497"/>
      <c r="E2388" s="499">
        <v>2900</v>
      </c>
      <c r="F2388" s="263"/>
      <c r="G2388" s="275"/>
    </row>
    <row r="2389" spans="1:7" ht="17.45" customHeight="1">
      <c r="A2389" s="261" t="s">
        <v>8</v>
      </c>
      <c r="C2389" s="271" t="s">
        <v>1613</v>
      </c>
      <c r="D2389" s="497"/>
      <c r="E2389" s="497"/>
      <c r="F2389" s="263"/>
      <c r="G2389" s="275"/>
    </row>
    <row r="2390" spans="1:7" ht="17.45" customHeight="1">
      <c r="A2390" s="261" t="s">
        <v>8</v>
      </c>
      <c r="C2390" s="271" t="s">
        <v>1689</v>
      </c>
      <c r="D2390" s="497"/>
      <c r="E2390" s="497"/>
      <c r="F2390" s="263"/>
      <c r="G2390" s="275"/>
    </row>
    <row r="2391" spans="1:7" ht="17.45" customHeight="1">
      <c r="A2391" s="261" t="s">
        <v>8</v>
      </c>
      <c r="C2391" s="271" t="s">
        <v>1569</v>
      </c>
      <c r="D2391" s="497"/>
      <c r="E2391" s="497"/>
      <c r="F2391" s="263"/>
      <c r="G2391" s="275"/>
    </row>
    <row r="2392" spans="1:7" ht="17.45" customHeight="1">
      <c r="A2392" s="261" t="s">
        <v>8</v>
      </c>
      <c r="C2392" s="271" t="s">
        <v>1618</v>
      </c>
      <c r="D2392" s="497"/>
      <c r="E2392" s="499">
        <f>59660+17460+2800</f>
        <v>79920</v>
      </c>
      <c r="F2392" s="263"/>
      <c r="G2392" s="275"/>
    </row>
    <row r="2393" spans="1:7" ht="17.45" customHeight="1">
      <c r="A2393" s="261" t="s">
        <v>8</v>
      </c>
      <c r="C2393" s="271" t="s">
        <v>1800</v>
      </c>
      <c r="D2393" s="497"/>
      <c r="E2393" s="497"/>
      <c r="F2393" s="263"/>
      <c r="G2393" s="275"/>
    </row>
    <row r="2394" spans="1:7" ht="17.45" customHeight="1" thickBot="1">
      <c r="A2394" s="261" t="s">
        <v>8</v>
      </c>
      <c r="C2394" s="276" t="s">
        <v>2699</v>
      </c>
      <c r="D2394" s="502"/>
      <c r="E2394" s="503">
        <f>18000+22500</f>
        <v>40500</v>
      </c>
      <c r="F2394" s="277"/>
      <c r="G2394" s="282"/>
    </row>
    <row r="2395" spans="1:7" ht="17.45" customHeight="1">
      <c r="A2395" s="261" t="s">
        <v>8</v>
      </c>
      <c r="C2395" s="279" t="s">
        <v>2700</v>
      </c>
      <c r="D2395" s="504"/>
      <c r="E2395" s="505">
        <v>2000</v>
      </c>
      <c r="F2395" s="280"/>
      <c r="G2395" s="281"/>
    </row>
    <row r="2396" spans="1:7" ht="17.45" customHeight="1">
      <c r="A2396" s="261" t="s">
        <v>8</v>
      </c>
      <c r="C2396" s="271" t="s">
        <v>2701</v>
      </c>
      <c r="D2396" s="497"/>
      <c r="E2396" s="499">
        <v>9000</v>
      </c>
      <c r="F2396" s="263"/>
      <c r="G2396" s="275"/>
    </row>
    <row r="2397" spans="1:7" ht="17.45" customHeight="1">
      <c r="A2397" s="261" t="s">
        <v>8</v>
      </c>
      <c r="C2397" s="271" t="s">
        <v>1770</v>
      </c>
      <c r="D2397" s="497"/>
      <c r="E2397" s="499">
        <v>5000</v>
      </c>
      <c r="F2397" s="263"/>
      <c r="G2397" s="275"/>
    </row>
    <row r="2398" spans="1:7" ht="17.45" customHeight="1">
      <c r="A2398" s="261" t="s">
        <v>8</v>
      </c>
      <c r="C2398" s="271" t="s">
        <v>1908</v>
      </c>
      <c r="D2398" s="497"/>
      <c r="E2398" s="499">
        <v>129070</v>
      </c>
      <c r="F2398" s="263"/>
      <c r="G2398" s="275"/>
    </row>
    <row r="2399" spans="1:7" ht="17.45" customHeight="1">
      <c r="A2399" s="261" t="s">
        <v>8</v>
      </c>
      <c r="C2399" s="271" t="s">
        <v>1909</v>
      </c>
      <c r="D2399" s="497"/>
      <c r="E2399" s="499">
        <v>144610</v>
      </c>
      <c r="F2399" s="263"/>
      <c r="G2399" s="275"/>
    </row>
    <row r="2400" spans="1:7" ht="17.45" customHeight="1">
      <c r="A2400" s="261" t="s">
        <v>8</v>
      </c>
      <c r="C2400" s="271" t="s">
        <v>2702</v>
      </c>
      <c r="D2400" s="497"/>
      <c r="E2400" s="499">
        <v>32000</v>
      </c>
      <c r="F2400" s="263"/>
      <c r="G2400" s="275"/>
    </row>
    <row r="2401" spans="1:7" ht="17.45" customHeight="1">
      <c r="A2401" s="261" t="s">
        <v>8</v>
      </c>
      <c r="C2401" s="271" t="s">
        <v>2703</v>
      </c>
      <c r="D2401" s="497"/>
      <c r="E2401" s="499">
        <v>2700</v>
      </c>
      <c r="F2401" s="263"/>
      <c r="G2401" s="275"/>
    </row>
    <row r="2402" spans="1:7" ht="17.45" customHeight="1">
      <c r="A2402" s="261" t="s">
        <v>8</v>
      </c>
      <c r="C2402" s="271" t="s">
        <v>2705</v>
      </c>
      <c r="D2402" s="497"/>
      <c r="E2402" s="499">
        <v>40000</v>
      </c>
      <c r="F2402" s="263"/>
      <c r="G2402" s="275" t="s">
        <v>2704</v>
      </c>
    </row>
    <row r="2403" spans="1:7" ht="17.45" customHeight="1">
      <c r="A2403" s="261" t="s">
        <v>8</v>
      </c>
      <c r="C2403" s="271" t="s">
        <v>1810</v>
      </c>
      <c r="D2403" s="497"/>
      <c r="E2403" s="499">
        <v>5000</v>
      </c>
      <c r="F2403" s="263"/>
      <c r="G2403" s="275"/>
    </row>
    <row r="2404" spans="1:7" ht="17.45" customHeight="1">
      <c r="A2404" s="261" t="s">
        <v>8</v>
      </c>
      <c r="C2404" s="271" t="s">
        <v>2706</v>
      </c>
      <c r="D2404" s="497"/>
      <c r="E2404" s="499">
        <v>4000</v>
      </c>
      <c r="F2404" s="263"/>
      <c r="G2404" s="275"/>
    </row>
    <row r="2405" spans="1:7" ht="17.45" customHeight="1">
      <c r="A2405" s="261" t="s">
        <v>8</v>
      </c>
      <c r="C2405" s="271" t="s">
        <v>2707</v>
      </c>
      <c r="D2405" s="497"/>
      <c r="E2405" s="499">
        <v>32000</v>
      </c>
      <c r="F2405" s="263"/>
      <c r="G2405" s="275"/>
    </row>
    <row r="2406" spans="1:7" ht="17.45" customHeight="1">
      <c r="A2406" s="261" t="s">
        <v>8</v>
      </c>
      <c r="C2406" s="271" t="s">
        <v>2708</v>
      </c>
      <c r="D2406" s="497"/>
      <c r="E2406" s="499">
        <v>5500</v>
      </c>
      <c r="F2406" s="263"/>
      <c r="G2406" s="275"/>
    </row>
    <row r="2407" spans="1:7" ht="17.45" customHeight="1">
      <c r="A2407" s="261" t="s">
        <v>8</v>
      </c>
      <c r="C2407" s="271" t="s">
        <v>2709</v>
      </c>
      <c r="D2407" s="497"/>
      <c r="E2407" s="499">
        <v>6900</v>
      </c>
      <c r="F2407" s="263"/>
      <c r="G2407" s="275"/>
    </row>
    <row r="2408" spans="1:7" ht="17.45" customHeight="1">
      <c r="A2408" s="261" t="s">
        <v>8</v>
      </c>
      <c r="C2408" s="271" t="s">
        <v>2710</v>
      </c>
      <c r="D2408" s="497"/>
      <c r="E2408" s="499">
        <v>4600</v>
      </c>
      <c r="F2408" s="263"/>
      <c r="G2408" s="275"/>
    </row>
    <row r="2409" spans="1:7" ht="17.45" customHeight="1">
      <c r="A2409" s="261" t="s">
        <v>8</v>
      </c>
      <c r="C2409" s="271" t="s">
        <v>2711</v>
      </c>
      <c r="D2409" s="497"/>
      <c r="E2409" s="499">
        <v>6200</v>
      </c>
      <c r="F2409" s="263"/>
      <c r="G2409" s="275"/>
    </row>
    <row r="2410" spans="1:7" ht="17.45" customHeight="1">
      <c r="A2410" s="261" t="s">
        <v>8</v>
      </c>
      <c r="C2410" s="271" t="s">
        <v>2712</v>
      </c>
      <c r="D2410" s="497"/>
      <c r="E2410" s="499">
        <v>100000</v>
      </c>
      <c r="F2410" s="263"/>
      <c r="G2410" s="275"/>
    </row>
    <row r="2411" spans="1:7" ht="17.45" customHeight="1">
      <c r="A2411" s="261" t="s">
        <v>8</v>
      </c>
      <c r="C2411" s="271" t="s">
        <v>2713</v>
      </c>
      <c r="D2411" s="497"/>
      <c r="E2411" s="499">
        <v>2000</v>
      </c>
      <c r="F2411" s="263"/>
      <c r="G2411" s="275"/>
    </row>
    <row r="2412" spans="1:7" ht="17.45" customHeight="1">
      <c r="A2412" s="261" t="s">
        <v>8</v>
      </c>
      <c r="C2412" s="271" t="s">
        <v>2714</v>
      </c>
      <c r="D2412" s="497"/>
      <c r="E2412" s="499">
        <v>1000</v>
      </c>
      <c r="F2412" s="263"/>
      <c r="G2412" s="275"/>
    </row>
    <row r="2413" spans="1:7" ht="17.45" customHeight="1">
      <c r="A2413" s="261" t="s">
        <v>8</v>
      </c>
      <c r="C2413" s="271" t="s">
        <v>2715</v>
      </c>
      <c r="D2413" s="497"/>
      <c r="E2413" s="499">
        <v>48000</v>
      </c>
      <c r="F2413" s="263"/>
      <c r="G2413" s="275"/>
    </row>
    <row r="2414" spans="1:7" ht="17.45" customHeight="1">
      <c r="A2414" s="261" t="s">
        <v>8</v>
      </c>
      <c r="C2414" s="271" t="s">
        <v>2716</v>
      </c>
      <c r="D2414" s="497"/>
      <c r="E2414" s="499">
        <v>3500</v>
      </c>
      <c r="F2414" s="263"/>
      <c r="G2414" s="275"/>
    </row>
    <row r="2415" spans="1:7" ht="17.45" customHeight="1">
      <c r="A2415" s="261" t="s">
        <v>8</v>
      </c>
      <c r="C2415" s="271" t="s">
        <v>1982</v>
      </c>
      <c r="D2415" s="497"/>
      <c r="E2415" s="499">
        <v>21000</v>
      </c>
      <c r="F2415" s="263"/>
      <c r="G2415" s="275"/>
    </row>
    <row r="2416" spans="1:7" ht="17.45" customHeight="1">
      <c r="A2416" s="261" t="s">
        <v>8</v>
      </c>
      <c r="C2416" s="271" t="s">
        <v>2406</v>
      </c>
      <c r="D2416" s="497"/>
      <c r="E2416" s="499">
        <v>15500</v>
      </c>
      <c r="F2416" s="263"/>
      <c r="G2416" s="275"/>
    </row>
    <row r="2417" spans="1:7" ht="17.45" customHeight="1">
      <c r="A2417" s="261" t="s">
        <v>8</v>
      </c>
      <c r="C2417" s="271" t="s">
        <v>2717</v>
      </c>
      <c r="D2417" s="497"/>
      <c r="E2417" s="499">
        <v>2500</v>
      </c>
      <c r="F2417" s="263"/>
      <c r="G2417" s="275"/>
    </row>
    <row r="2418" spans="1:7" ht="17.45" customHeight="1">
      <c r="A2418" s="261" t="s">
        <v>8</v>
      </c>
      <c r="C2418" s="271" t="s">
        <v>2718</v>
      </c>
      <c r="D2418" s="497"/>
      <c r="E2418" s="499">
        <v>8500</v>
      </c>
      <c r="F2418" s="263"/>
      <c r="G2418" s="275"/>
    </row>
    <row r="2419" spans="1:7" ht="17.45" customHeight="1">
      <c r="A2419" s="261" t="s">
        <v>8</v>
      </c>
      <c r="C2419" s="271" t="s">
        <v>2719</v>
      </c>
      <c r="D2419" s="497"/>
      <c r="E2419" s="499">
        <v>12800</v>
      </c>
      <c r="F2419" s="263"/>
      <c r="G2419" s="275"/>
    </row>
    <row r="2420" spans="1:7" ht="17.45" customHeight="1">
      <c r="A2420" s="261" t="s">
        <v>8</v>
      </c>
      <c r="C2420" s="271" t="s">
        <v>2720</v>
      </c>
      <c r="D2420" s="497"/>
      <c r="E2420" s="499">
        <v>563090</v>
      </c>
      <c r="F2420" s="263"/>
      <c r="G2420" s="275"/>
    </row>
    <row r="2421" spans="1:7" ht="17.45" customHeight="1">
      <c r="A2421" s="261" t="s">
        <v>8</v>
      </c>
      <c r="C2421" s="271" t="s">
        <v>2721</v>
      </c>
      <c r="D2421" s="497"/>
      <c r="E2421" s="499">
        <f>-60000+900000</f>
        <v>840000</v>
      </c>
      <c r="F2421" s="263"/>
      <c r="G2421" s="275"/>
    </row>
    <row r="2422" spans="1:7" ht="17.45" customHeight="1">
      <c r="A2422" s="261" t="s">
        <v>8</v>
      </c>
      <c r="C2422" s="271" t="s">
        <v>2722</v>
      </c>
      <c r="D2422" s="499">
        <v>1645849</v>
      </c>
      <c r="E2422" s="497"/>
      <c r="F2422" s="263"/>
      <c r="G2422" s="275"/>
    </row>
    <row r="2423" spans="1:7" ht="17.45" customHeight="1">
      <c r="A2423" s="261" t="s">
        <v>8</v>
      </c>
      <c r="C2423" s="271" t="s">
        <v>2723</v>
      </c>
      <c r="D2423" s="497"/>
      <c r="E2423" s="499">
        <v>139480</v>
      </c>
      <c r="F2423" s="263"/>
      <c r="G2423" s="275"/>
    </row>
    <row r="2424" spans="1:7" ht="17.45" customHeight="1">
      <c r="A2424" s="261" t="s">
        <v>8</v>
      </c>
      <c r="C2424" s="271" t="s">
        <v>1610</v>
      </c>
      <c r="D2424" s="497"/>
      <c r="E2424" s="499">
        <v>6000</v>
      </c>
      <c r="F2424" s="263"/>
      <c r="G2424" s="275"/>
    </row>
    <row r="2425" spans="1:7" ht="17.45" customHeight="1">
      <c r="A2425" s="261" t="s">
        <v>8</v>
      </c>
      <c r="C2425" s="271" t="s">
        <v>1931</v>
      </c>
      <c r="D2425" s="497"/>
      <c r="E2425" s="499">
        <v>4500</v>
      </c>
      <c r="F2425" s="263"/>
      <c r="G2425" s="275"/>
    </row>
    <row r="2426" spans="1:7" ht="17.45" customHeight="1">
      <c r="A2426" s="261" t="s">
        <v>8</v>
      </c>
      <c r="C2426" s="271" t="s">
        <v>2724</v>
      </c>
      <c r="D2426" s="497"/>
      <c r="E2426" s="499">
        <v>2000</v>
      </c>
      <c r="F2426" s="263"/>
      <c r="G2426" s="275"/>
    </row>
    <row r="2427" spans="1:7" ht="17.45" customHeight="1">
      <c r="A2427" s="261" t="s">
        <v>8</v>
      </c>
      <c r="C2427" s="271" t="s">
        <v>2725</v>
      </c>
      <c r="D2427" s="497"/>
      <c r="E2427" s="499">
        <v>31000</v>
      </c>
      <c r="F2427" s="263"/>
      <c r="G2427" s="275"/>
    </row>
    <row r="2428" spans="1:7" ht="17.45" customHeight="1">
      <c r="A2428" s="261" t="s">
        <v>8</v>
      </c>
      <c r="C2428" s="271" t="s">
        <v>2016</v>
      </c>
      <c r="D2428" s="497"/>
      <c r="E2428" s="499">
        <v>50500</v>
      </c>
      <c r="F2428" s="263"/>
      <c r="G2428" s="275"/>
    </row>
    <row r="2429" spans="1:7" ht="17.45" customHeight="1">
      <c r="A2429" s="261" t="s">
        <v>8</v>
      </c>
      <c r="C2429" s="271" t="s">
        <v>2726</v>
      </c>
      <c r="D2429" s="499">
        <v>44100</v>
      </c>
      <c r="E2429" s="499">
        <v>64200</v>
      </c>
      <c r="F2429" s="263"/>
      <c r="G2429" s="275"/>
    </row>
    <row r="2430" spans="1:7" ht="17.45" customHeight="1">
      <c r="A2430" s="261" t="s">
        <v>8</v>
      </c>
      <c r="C2430" s="271" t="s">
        <v>1776</v>
      </c>
      <c r="D2430" s="497"/>
      <c r="E2430" s="499">
        <v>10600</v>
      </c>
      <c r="F2430" s="263"/>
      <c r="G2430" s="275"/>
    </row>
    <row r="2431" spans="1:7" ht="17.45" customHeight="1">
      <c r="A2431" s="261" t="s">
        <v>8</v>
      </c>
      <c r="C2431" s="271" t="s">
        <v>1919</v>
      </c>
      <c r="D2431" s="508"/>
      <c r="E2431" s="499">
        <v>400000</v>
      </c>
      <c r="F2431" s="263"/>
      <c r="G2431" s="275"/>
    </row>
    <row r="2432" spans="1:7" ht="17.45" customHeight="1">
      <c r="A2432" s="261" t="s">
        <v>8</v>
      </c>
      <c r="C2432" s="271" t="s">
        <v>1813</v>
      </c>
      <c r="D2432" s="497"/>
      <c r="E2432" s="499">
        <v>200000</v>
      </c>
      <c r="F2432" s="263"/>
      <c r="G2432" s="275"/>
    </row>
    <row r="2433" spans="1:7" ht="17.45" customHeight="1">
      <c r="A2433" s="261" t="s">
        <v>8</v>
      </c>
      <c r="C2433" s="271" t="s">
        <v>2727</v>
      </c>
      <c r="D2433" s="497"/>
      <c r="E2433" s="499">
        <v>6500</v>
      </c>
      <c r="F2433" s="263"/>
      <c r="G2433" s="275"/>
    </row>
    <row r="2434" spans="1:7" ht="17.45" customHeight="1">
      <c r="A2434" s="261" t="s">
        <v>8</v>
      </c>
      <c r="C2434" s="271" t="s">
        <v>2728</v>
      </c>
      <c r="D2434" s="497"/>
      <c r="E2434" s="499">
        <v>180000</v>
      </c>
      <c r="F2434" s="263"/>
      <c r="G2434" s="275"/>
    </row>
    <row r="2435" spans="1:7" ht="17.45" customHeight="1">
      <c r="A2435" s="261" t="s">
        <v>8</v>
      </c>
      <c r="C2435" s="271" t="s">
        <v>1998</v>
      </c>
      <c r="D2435" s="497"/>
      <c r="E2435" s="499">
        <v>500000</v>
      </c>
      <c r="F2435" s="263"/>
      <c r="G2435" s="275"/>
    </row>
    <row r="2436" spans="1:7" ht="17.45" customHeight="1">
      <c r="A2436" s="261" t="s">
        <v>8</v>
      </c>
      <c r="C2436" s="271" t="s">
        <v>1971</v>
      </c>
      <c r="D2436" s="497"/>
      <c r="E2436" s="499">
        <v>65000</v>
      </c>
      <c r="F2436" s="263"/>
      <c r="G2436" s="275"/>
    </row>
    <row r="2437" spans="1:7" ht="17.45" customHeight="1">
      <c r="A2437" s="261" t="s">
        <v>8</v>
      </c>
      <c r="C2437" s="271" t="s">
        <v>2729</v>
      </c>
      <c r="D2437" s="497"/>
      <c r="E2437" s="499">
        <v>8000</v>
      </c>
      <c r="F2437" s="263"/>
      <c r="G2437" s="275"/>
    </row>
    <row r="2438" spans="1:7" ht="17.45" customHeight="1" thickBot="1">
      <c r="A2438" s="261" t="s">
        <v>8</v>
      </c>
      <c r="C2438" s="276" t="s">
        <v>1300</v>
      </c>
      <c r="D2438" s="502">
        <f>SUM(D2355:D2437)-SUM(E2355:E2437)</f>
        <v>-231768</v>
      </c>
      <c r="E2438" s="502">
        <f>SUM(E2355:E2437)-SUM(F2355:F2437)</f>
        <v>8422567</v>
      </c>
      <c r="F2438" s="277"/>
      <c r="G2438" s="283"/>
    </row>
    <row r="2440" spans="1:7" ht="12.75" thickBot="1"/>
    <row r="2441" spans="1:7" ht="17.45" customHeight="1">
      <c r="A2441" s="261" t="s">
        <v>8</v>
      </c>
      <c r="B2441" s="256" t="s">
        <v>2730</v>
      </c>
      <c r="C2441" s="268" t="s">
        <v>1268</v>
      </c>
      <c r="D2441" s="501">
        <v>6109890</v>
      </c>
      <c r="E2441" s="501"/>
      <c r="F2441" s="269"/>
      <c r="G2441" s="270"/>
    </row>
    <row r="2442" spans="1:7" ht="17.45" customHeight="1">
      <c r="A2442" s="261" t="s">
        <v>8</v>
      </c>
      <c r="B2442" s="257"/>
      <c r="C2442" s="271" t="s">
        <v>1269</v>
      </c>
      <c r="D2442" s="497"/>
      <c r="E2442" s="499">
        <v>425000</v>
      </c>
      <c r="F2442" s="263"/>
      <c r="G2442" s="272" t="s">
        <v>2731</v>
      </c>
    </row>
    <row r="2443" spans="1:7" ht="17.45" customHeight="1">
      <c r="A2443" s="261" t="s">
        <v>8</v>
      </c>
      <c r="C2443" s="271" t="s">
        <v>1270</v>
      </c>
      <c r="D2443" s="497"/>
      <c r="E2443" s="499">
        <v>778000</v>
      </c>
      <c r="F2443" s="263"/>
      <c r="G2443" s="273" t="s">
        <v>2740</v>
      </c>
    </row>
    <row r="2444" spans="1:7" ht="17.45" customHeight="1">
      <c r="A2444" s="261" t="s">
        <v>8</v>
      </c>
      <c r="C2444" s="271" t="s">
        <v>1670</v>
      </c>
      <c r="D2444" s="497"/>
      <c r="E2444" s="497"/>
      <c r="F2444" s="263"/>
      <c r="G2444" s="274"/>
    </row>
    <row r="2445" spans="1:7" ht="17.45" customHeight="1">
      <c r="A2445" s="261" t="s">
        <v>8</v>
      </c>
      <c r="C2445" s="271" t="s">
        <v>1672</v>
      </c>
      <c r="D2445" s="497"/>
      <c r="E2445" s="497"/>
      <c r="F2445" s="263"/>
      <c r="G2445" s="273" t="s">
        <v>2732</v>
      </c>
    </row>
    <row r="2446" spans="1:7" ht="17.45" customHeight="1">
      <c r="A2446" s="261" t="s">
        <v>8</v>
      </c>
      <c r="C2446" s="271" t="s">
        <v>1673</v>
      </c>
      <c r="D2446" s="497"/>
      <c r="E2446" s="497"/>
      <c r="F2446" s="263"/>
      <c r="G2446" s="274"/>
    </row>
    <row r="2447" spans="1:7" ht="17.45" customHeight="1">
      <c r="A2447" s="261" t="s">
        <v>8</v>
      </c>
      <c r="C2447" s="271" t="s">
        <v>1332</v>
      </c>
      <c r="D2447" s="497"/>
      <c r="E2447" s="499">
        <v>34650</v>
      </c>
      <c r="F2447" s="263"/>
      <c r="G2447" s="275"/>
    </row>
    <row r="2448" spans="1:7" ht="17.45" customHeight="1">
      <c r="A2448" s="261" t="s">
        <v>8</v>
      </c>
      <c r="C2448" s="271" t="s">
        <v>1271</v>
      </c>
      <c r="D2448" s="497"/>
      <c r="E2448" s="497">
        <v>0</v>
      </c>
      <c r="F2448" s="263"/>
      <c r="G2448" s="274"/>
    </row>
    <row r="2449" spans="1:7" ht="17.45" customHeight="1">
      <c r="A2449" s="261" t="s">
        <v>8</v>
      </c>
      <c r="C2449" s="271" t="s">
        <v>1272</v>
      </c>
      <c r="D2449" s="497"/>
      <c r="E2449" s="499">
        <v>-900</v>
      </c>
      <c r="F2449" s="263"/>
      <c r="G2449" s="273"/>
    </row>
    <row r="2450" spans="1:7" ht="17.45" customHeight="1">
      <c r="A2450" s="261" t="s">
        <v>8</v>
      </c>
      <c r="C2450" s="271" t="s">
        <v>1273</v>
      </c>
      <c r="D2450" s="497"/>
      <c r="E2450" s="497"/>
      <c r="F2450" s="263"/>
      <c r="G2450" s="273" t="s">
        <v>2732</v>
      </c>
    </row>
    <row r="2451" spans="1:7" ht="17.45" customHeight="1">
      <c r="A2451" s="261" t="s">
        <v>8</v>
      </c>
      <c r="C2451" s="271" t="s">
        <v>1274</v>
      </c>
      <c r="D2451" s="497"/>
      <c r="E2451" s="497"/>
      <c r="F2451" s="263"/>
      <c r="G2451" s="273" t="s">
        <v>2732</v>
      </c>
    </row>
    <row r="2452" spans="1:7" ht="17.45" customHeight="1">
      <c r="A2452" s="261" t="s">
        <v>8</v>
      </c>
      <c r="C2452" s="271" t="s">
        <v>1275</v>
      </c>
      <c r="D2452" s="497"/>
      <c r="E2452" s="497"/>
      <c r="F2452" s="263"/>
      <c r="G2452" s="273"/>
    </row>
    <row r="2453" spans="1:7" ht="17.45" customHeight="1">
      <c r="A2453" s="261" t="s">
        <v>8</v>
      </c>
      <c r="C2453" s="271" t="s">
        <v>2168</v>
      </c>
      <c r="D2453" s="497"/>
      <c r="E2453" s="497"/>
      <c r="F2453" s="263"/>
      <c r="G2453" s="273" t="s">
        <v>2732</v>
      </c>
    </row>
    <row r="2454" spans="1:7" ht="17.45" customHeight="1">
      <c r="A2454" s="261" t="s">
        <v>8</v>
      </c>
      <c r="C2454" s="271" t="s">
        <v>1517</v>
      </c>
      <c r="D2454" s="497"/>
      <c r="E2454" s="497"/>
      <c r="F2454" s="263"/>
      <c r="G2454" s="273" t="s">
        <v>2732</v>
      </c>
    </row>
    <row r="2455" spans="1:7" ht="17.45" customHeight="1">
      <c r="A2455" s="261" t="s">
        <v>8</v>
      </c>
      <c r="C2455" s="271" t="s">
        <v>1276</v>
      </c>
      <c r="D2455" s="497"/>
      <c r="E2455" s="497"/>
      <c r="F2455" s="263"/>
      <c r="G2455" s="273" t="s">
        <v>2732</v>
      </c>
    </row>
    <row r="2456" spans="1:7" ht="17.45" customHeight="1">
      <c r="A2456" s="261" t="s">
        <v>8</v>
      </c>
      <c r="C2456" s="271" t="s">
        <v>1277</v>
      </c>
      <c r="D2456" s="497"/>
      <c r="E2456" s="497"/>
      <c r="F2456" s="263"/>
      <c r="G2456" s="273" t="s">
        <v>2732</v>
      </c>
    </row>
    <row r="2457" spans="1:7" ht="17.45" customHeight="1">
      <c r="A2457" s="261" t="s">
        <v>8</v>
      </c>
      <c r="C2457" s="271" t="s">
        <v>1278</v>
      </c>
      <c r="D2457" s="497"/>
      <c r="E2457" s="499">
        <v>200000</v>
      </c>
      <c r="F2457" s="263"/>
      <c r="G2457" s="273"/>
    </row>
    <row r="2458" spans="1:7" ht="17.45" customHeight="1">
      <c r="A2458" s="261" t="s">
        <v>8</v>
      </c>
      <c r="C2458" s="285" t="s">
        <v>1413</v>
      </c>
      <c r="D2458" s="506"/>
      <c r="E2458" s="507">
        <f>1300000</f>
        <v>1300000</v>
      </c>
      <c r="F2458" s="286"/>
      <c r="G2458" s="287"/>
    </row>
    <row r="2459" spans="1:7" ht="17.25" customHeight="1">
      <c r="A2459" s="261" t="s">
        <v>8</v>
      </c>
      <c r="C2459" s="338" t="s">
        <v>2661</v>
      </c>
      <c r="D2459" s="497"/>
      <c r="E2459" s="497"/>
      <c r="F2459" s="263"/>
      <c r="G2459" s="275"/>
    </row>
    <row r="2460" spans="1:7" ht="17.45" customHeight="1">
      <c r="A2460" s="261" t="s">
        <v>8</v>
      </c>
      <c r="C2460" s="339" t="s">
        <v>2647</v>
      </c>
      <c r="D2460" s="506"/>
      <c r="E2460" s="507">
        <v>5000000</v>
      </c>
      <c r="F2460" s="286"/>
      <c r="G2460" s="290"/>
    </row>
    <row r="2461" spans="1:7" ht="17.45" customHeight="1" thickBot="1">
      <c r="A2461" s="261" t="s">
        <v>8</v>
      </c>
      <c r="C2461" s="285" t="s">
        <v>1942</v>
      </c>
      <c r="D2461" s="506"/>
      <c r="E2461" s="507">
        <v>20000</v>
      </c>
      <c r="F2461" s="286"/>
      <c r="G2461" s="290"/>
    </row>
    <row r="2462" spans="1:7" ht="17.45" customHeight="1">
      <c r="A2462" s="261" t="s">
        <v>8</v>
      </c>
      <c r="C2462" s="268" t="s">
        <v>1280</v>
      </c>
      <c r="D2462" s="501"/>
      <c r="E2462" s="500">
        <f>50000*1</f>
        <v>50000</v>
      </c>
      <c r="F2462" s="269"/>
      <c r="G2462" s="288"/>
    </row>
    <row r="2463" spans="1:7" ht="17.45" customHeight="1">
      <c r="A2463" s="261" t="s">
        <v>8</v>
      </c>
      <c r="C2463" s="271" t="s">
        <v>1549</v>
      </c>
      <c r="D2463" s="497"/>
      <c r="E2463" s="497"/>
      <c r="F2463" s="263"/>
      <c r="G2463" s="275"/>
    </row>
    <row r="2464" spans="1:7" ht="17.45" customHeight="1">
      <c r="A2464" s="261" t="s">
        <v>8</v>
      </c>
      <c r="C2464" s="271" t="s">
        <v>1819</v>
      </c>
      <c r="D2464" s="497"/>
      <c r="E2464" s="497"/>
      <c r="F2464" s="263"/>
      <c r="G2464" s="275"/>
    </row>
    <row r="2465" spans="1:7" ht="17.45" customHeight="1">
      <c r="A2465" s="261" t="s">
        <v>8</v>
      </c>
      <c r="C2465" s="271" t="s">
        <v>391</v>
      </c>
      <c r="D2465" s="497"/>
      <c r="E2465" s="497"/>
      <c r="F2465" s="263"/>
      <c r="G2465" s="275"/>
    </row>
    <row r="2466" spans="1:7" ht="17.45" customHeight="1">
      <c r="A2466" s="261" t="s">
        <v>8</v>
      </c>
      <c r="C2466" s="271" t="s">
        <v>1934</v>
      </c>
      <c r="D2466" s="497"/>
      <c r="E2466" s="499">
        <v>50000</v>
      </c>
      <c r="F2466" s="263"/>
      <c r="G2466" s="275"/>
    </row>
    <row r="2467" spans="1:7" ht="17.25" customHeight="1">
      <c r="A2467" s="261" t="s">
        <v>8</v>
      </c>
      <c r="C2467" s="271" t="s">
        <v>2202</v>
      </c>
      <c r="D2467" s="497"/>
      <c r="E2467" s="497"/>
      <c r="F2467" s="263"/>
      <c r="G2467" s="275"/>
    </row>
    <row r="2468" spans="1:7" ht="17.45" customHeight="1">
      <c r="A2468" s="261" t="s">
        <v>8</v>
      </c>
      <c r="C2468" s="271" t="s">
        <v>2097</v>
      </c>
      <c r="D2468" s="497"/>
      <c r="E2468" s="497"/>
      <c r="F2468" s="263"/>
      <c r="G2468" s="275"/>
    </row>
    <row r="2469" spans="1:7" ht="17.45" customHeight="1">
      <c r="A2469" s="261" t="s">
        <v>8</v>
      </c>
      <c r="C2469" s="271" t="s">
        <v>2654</v>
      </c>
      <c r="D2469" s="497"/>
      <c r="E2469" s="499">
        <v>60000</v>
      </c>
      <c r="F2469" s="263"/>
      <c r="G2469" s="275"/>
    </row>
    <row r="2470" spans="1:7" ht="17.45" customHeight="1">
      <c r="A2470" s="261" t="s">
        <v>8</v>
      </c>
      <c r="C2470" s="271" t="s">
        <v>1687</v>
      </c>
      <c r="D2470" s="497"/>
      <c r="E2470" s="497"/>
      <c r="F2470" s="263"/>
      <c r="G2470" s="275"/>
    </row>
    <row r="2471" spans="1:7" ht="17.45" customHeight="1">
      <c r="A2471" s="261" t="s">
        <v>8</v>
      </c>
      <c r="C2471" s="271" t="s">
        <v>1688</v>
      </c>
      <c r="D2471" s="497"/>
      <c r="E2471" s="499">
        <v>55000</v>
      </c>
      <c r="F2471" s="263"/>
      <c r="G2471" s="275"/>
    </row>
    <row r="2472" spans="1:7" ht="17.45" customHeight="1">
      <c r="A2472" s="261" t="s">
        <v>8</v>
      </c>
      <c r="C2472" s="271" t="s">
        <v>2748</v>
      </c>
      <c r="D2472" s="497"/>
      <c r="E2472" s="499">
        <v>33000</v>
      </c>
      <c r="F2472" s="263"/>
      <c r="G2472" s="275"/>
    </row>
    <row r="2473" spans="1:7" ht="17.45" customHeight="1">
      <c r="A2473" s="261" t="s">
        <v>8</v>
      </c>
      <c r="C2473" s="271" t="s">
        <v>1596</v>
      </c>
      <c r="D2473" s="497"/>
      <c r="E2473" s="497"/>
      <c r="F2473" s="263"/>
      <c r="G2473" s="275"/>
    </row>
    <row r="2474" spans="1:7" ht="17.45" customHeight="1">
      <c r="A2474" s="261" t="s">
        <v>8</v>
      </c>
      <c r="C2474" s="271" t="s">
        <v>1595</v>
      </c>
      <c r="D2474" s="497"/>
      <c r="E2474" s="497"/>
      <c r="F2474" s="263"/>
      <c r="G2474" s="275"/>
    </row>
    <row r="2475" spans="1:7" ht="17.45" customHeight="1">
      <c r="A2475" s="261" t="s">
        <v>8</v>
      </c>
      <c r="C2475" s="271" t="s">
        <v>1613</v>
      </c>
      <c r="D2475" s="497"/>
      <c r="E2475" s="499">
        <f>1600+1800+1600+3200+7100+7200</f>
        <v>22500</v>
      </c>
      <c r="F2475" s="263"/>
      <c r="G2475" s="275"/>
    </row>
    <row r="2476" spans="1:7" ht="17.45" customHeight="1">
      <c r="A2476" s="261" t="s">
        <v>8</v>
      </c>
      <c r="C2476" s="271" t="s">
        <v>1689</v>
      </c>
      <c r="D2476" s="497"/>
      <c r="E2476" s="497"/>
      <c r="F2476" s="263"/>
      <c r="G2476" s="275"/>
    </row>
    <row r="2477" spans="1:7" ht="17.45" customHeight="1">
      <c r="A2477" s="261" t="s">
        <v>8</v>
      </c>
      <c r="C2477" s="271" t="s">
        <v>1569</v>
      </c>
      <c r="D2477" s="497"/>
      <c r="E2477" s="497"/>
      <c r="F2477" s="263"/>
      <c r="G2477" s="275"/>
    </row>
    <row r="2478" spans="1:7" ht="17.45" customHeight="1">
      <c r="A2478" s="261" t="s">
        <v>8</v>
      </c>
      <c r="C2478" s="271" t="s">
        <v>1618</v>
      </c>
      <c r="D2478" s="497"/>
      <c r="E2478" s="499">
        <f>40390+35761+13330+5980</f>
        <v>95461</v>
      </c>
      <c r="F2478" s="263"/>
      <c r="G2478" s="275"/>
    </row>
    <row r="2479" spans="1:7" ht="17.45" customHeight="1">
      <c r="A2479" s="261" t="s">
        <v>8</v>
      </c>
      <c r="C2479" s="271" t="s">
        <v>1800</v>
      </c>
      <c r="D2479" s="497"/>
      <c r="E2479" s="497"/>
      <c r="F2479" s="263"/>
      <c r="G2479" s="275"/>
    </row>
    <row r="2480" spans="1:7" ht="17.45" customHeight="1" thickBot="1">
      <c r="A2480" s="261" t="s">
        <v>8</v>
      </c>
      <c r="C2480" s="276" t="s">
        <v>2699</v>
      </c>
      <c r="D2480" s="502"/>
      <c r="E2480" s="503">
        <f>19300</f>
        <v>19300</v>
      </c>
      <c r="F2480" s="277"/>
      <c r="G2480" s="282"/>
    </row>
    <row r="2481" spans="1:7" ht="17.45" customHeight="1">
      <c r="A2481" s="261" t="s">
        <v>8</v>
      </c>
      <c r="C2481" s="279" t="s">
        <v>2733</v>
      </c>
      <c r="D2481" s="504"/>
      <c r="E2481" s="505">
        <v>24000</v>
      </c>
      <c r="F2481" s="280"/>
      <c r="G2481" s="281"/>
    </row>
    <row r="2482" spans="1:7" ht="17.45" customHeight="1">
      <c r="A2482" s="261" t="s">
        <v>8</v>
      </c>
      <c r="C2482" s="271" t="s">
        <v>2397</v>
      </c>
      <c r="D2482" s="497"/>
      <c r="E2482" s="499">
        <f>10270+13650</f>
        <v>23920</v>
      </c>
      <c r="F2482" s="263"/>
      <c r="G2482" s="275"/>
    </row>
    <row r="2483" spans="1:7" ht="17.45" customHeight="1">
      <c r="A2483" s="261" t="s">
        <v>8</v>
      </c>
      <c r="C2483" s="271" t="s">
        <v>2711</v>
      </c>
      <c r="D2483" s="497"/>
      <c r="E2483" s="499">
        <f>3600+3100</f>
        <v>6700</v>
      </c>
      <c r="F2483" s="263"/>
      <c r="G2483" s="275"/>
    </row>
    <row r="2484" spans="1:7" ht="17.45" customHeight="1">
      <c r="A2484" s="261" t="s">
        <v>8</v>
      </c>
      <c r="C2484" s="271" t="s">
        <v>2734</v>
      </c>
      <c r="D2484" s="497"/>
      <c r="E2484" s="499">
        <v>32000</v>
      </c>
      <c r="F2484" s="263"/>
      <c r="G2484" s="275"/>
    </row>
    <row r="2485" spans="1:7" ht="17.45" customHeight="1">
      <c r="A2485" s="261" t="s">
        <v>8</v>
      </c>
      <c r="C2485" s="271" t="s">
        <v>2735</v>
      </c>
      <c r="D2485" s="497"/>
      <c r="E2485" s="499">
        <v>3000</v>
      </c>
      <c r="F2485" s="263"/>
      <c r="G2485" s="275"/>
    </row>
    <row r="2486" spans="1:7" ht="17.45" customHeight="1">
      <c r="A2486" s="261" t="s">
        <v>8</v>
      </c>
      <c r="C2486" s="271" t="s">
        <v>1831</v>
      </c>
      <c r="D2486" s="497"/>
      <c r="E2486" s="499">
        <v>200000</v>
      </c>
      <c r="F2486" s="263"/>
      <c r="G2486" s="275"/>
    </row>
    <row r="2487" spans="1:7" ht="17.45" customHeight="1">
      <c r="A2487" s="261" t="s">
        <v>8</v>
      </c>
      <c r="C2487" s="271" t="s">
        <v>2004</v>
      </c>
      <c r="D2487" s="497"/>
      <c r="E2487" s="499">
        <v>200000</v>
      </c>
      <c r="F2487" s="263"/>
      <c r="G2487" s="275"/>
    </row>
    <row r="2488" spans="1:7" ht="17.45" customHeight="1">
      <c r="A2488" s="261" t="s">
        <v>8</v>
      </c>
      <c r="C2488" s="271" t="s">
        <v>2736</v>
      </c>
      <c r="D2488" s="497"/>
      <c r="E2488" s="499">
        <v>40800</v>
      </c>
      <c r="F2488" s="263"/>
      <c r="G2488" s="275"/>
    </row>
    <row r="2489" spans="1:7" ht="17.45" customHeight="1">
      <c r="A2489" s="261" t="s">
        <v>8</v>
      </c>
      <c r="C2489" s="271" t="s">
        <v>1770</v>
      </c>
      <c r="D2489" s="497"/>
      <c r="E2489" s="499">
        <v>1200</v>
      </c>
      <c r="F2489" s="263"/>
      <c r="G2489" s="275"/>
    </row>
    <row r="2490" spans="1:7" ht="17.45" customHeight="1">
      <c r="A2490" s="261" t="s">
        <v>8</v>
      </c>
      <c r="C2490" s="271" t="s">
        <v>2423</v>
      </c>
      <c r="D2490" s="497"/>
      <c r="E2490" s="499">
        <v>5600</v>
      </c>
      <c r="F2490" s="263"/>
      <c r="G2490" s="275"/>
    </row>
    <row r="2491" spans="1:7" ht="17.25" customHeight="1">
      <c r="A2491" s="261" t="s">
        <v>8</v>
      </c>
      <c r="C2491" s="271" t="s">
        <v>2741</v>
      </c>
      <c r="D2491" s="499">
        <v>110735</v>
      </c>
      <c r="E2491" s="497"/>
      <c r="F2491" s="263"/>
      <c r="G2491" s="275"/>
    </row>
    <row r="2492" spans="1:7" ht="17.45" customHeight="1">
      <c r="A2492" s="261" t="s">
        <v>8</v>
      </c>
      <c r="C2492" s="271" t="s">
        <v>2737</v>
      </c>
      <c r="D2492" s="497"/>
      <c r="E2492" s="499">
        <v>8000</v>
      </c>
      <c r="F2492" s="263"/>
      <c r="G2492" s="275"/>
    </row>
    <row r="2493" spans="1:7" ht="17.45" customHeight="1">
      <c r="A2493" s="261" t="s">
        <v>8</v>
      </c>
      <c r="C2493" s="271" t="s">
        <v>2108</v>
      </c>
      <c r="D2493" s="497"/>
      <c r="E2493" s="499">
        <f>41755+50600</f>
        <v>92355</v>
      </c>
      <c r="F2493" s="263"/>
      <c r="G2493" s="275"/>
    </row>
    <row r="2494" spans="1:7" ht="17.45" customHeight="1">
      <c r="A2494" s="261" t="s">
        <v>8</v>
      </c>
      <c r="C2494" s="271" t="s">
        <v>2720</v>
      </c>
      <c r="D2494" s="497"/>
      <c r="E2494" s="499">
        <v>-35520</v>
      </c>
      <c r="F2494" s="263"/>
      <c r="G2494" s="275"/>
    </row>
    <row r="2495" spans="1:7" ht="17.45" customHeight="1">
      <c r="A2495" s="261" t="s">
        <v>8</v>
      </c>
      <c r="C2495" s="271" t="s">
        <v>2738</v>
      </c>
      <c r="D2495" s="497"/>
      <c r="E2495" s="499">
        <v>-16450</v>
      </c>
      <c r="F2495" s="263"/>
      <c r="G2495" s="275"/>
    </row>
    <row r="2496" spans="1:7" ht="17.45" customHeight="1">
      <c r="A2496" s="261" t="s">
        <v>8</v>
      </c>
      <c r="C2496" s="271" t="s">
        <v>2739</v>
      </c>
      <c r="D2496" s="497"/>
      <c r="E2496" s="499">
        <v>50000</v>
      </c>
      <c r="F2496" s="263"/>
      <c r="G2496" s="275"/>
    </row>
    <row r="2497" spans="1:7" ht="17.45" customHeight="1">
      <c r="A2497" s="261" t="s">
        <v>8</v>
      </c>
      <c r="C2497" s="271" t="s">
        <v>1966</v>
      </c>
      <c r="D2497" s="497"/>
      <c r="E2497" s="499">
        <v>6900</v>
      </c>
      <c r="F2497" s="263"/>
      <c r="G2497" s="275"/>
    </row>
    <row r="2498" spans="1:7" ht="17.45" customHeight="1">
      <c r="A2498" s="261" t="s">
        <v>8</v>
      </c>
      <c r="C2498" s="271" t="s">
        <v>1584</v>
      </c>
      <c r="D2498" s="497"/>
      <c r="E2498" s="499">
        <v>19000</v>
      </c>
      <c r="F2498" s="263"/>
      <c r="G2498" s="275"/>
    </row>
    <row r="2499" spans="1:7" ht="17.45" customHeight="1">
      <c r="A2499" s="261" t="s">
        <v>8</v>
      </c>
      <c r="C2499" s="271" t="s">
        <v>1776</v>
      </c>
      <c r="D2499" s="497"/>
      <c r="E2499" s="499">
        <v>11800</v>
      </c>
      <c r="F2499" s="263"/>
      <c r="G2499" s="275"/>
    </row>
    <row r="2500" spans="1:7" ht="17.45" customHeight="1">
      <c r="A2500" s="261" t="s">
        <v>8</v>
      </c>
      <c r="C2500" s="271" t="s">
        <v>1650</v>
      </c>
      <c r="D2500" s="497"/>
      <c r="E2500" s="499">
        <v>9800</v>
      </c>
      <c r="F2500" s="263"/>
      <c r="G2500" s="275"/>
    </row>
    <row r="2501" spans="1:7" ht="17.45" customHeight="1">
      <c r="A2501" s="261" t="s">
        <v>8</v>
      </c>
      <c r="C2501" s="271" t="s">
        <v>2742</v>
      </c>
      <c r="D2501" s="497"/>
      <c r="E2501" s="499">
        <f>8500+5500+6700</f>
        <v>20700</v>
      </c>
      <c r="F2501" s="263"/>
      <c r="G2501" s="275"/>
    </row>
    <row r="2502" spans="1:7" ht="17.45" customHeight="1">
      <c r="A2502" s="261" t="s">
        <v>8</v>
      </c>
      <c r="C2502" s="271" t="s">
        <v>2743</v>
      </c>
      <c r="D2502" s="497"/>
      <c r="E2502" s="499">
        <v>100000</v>
      </c>
      <c r="F2502" s="263"/>
      <c r="G2502" s="275"/>
    </row>
    <row r="2503" spans="1:7" ht="17.45" customHeight="1">
      <c r="A2503" s="261" t="s">
        <v>8</v>
      </c>
      <c r="C2503" s="271" t="s">
        <v>2744</v>
      </c>
      <c r="D2503" s="497"/>
      <c r="E2503" s="499">
        <v>132170</v>
      </c>
      <c r="F2503" s="263"/>
      <c r="G2503" s="275"/>
    </row>
    <row r="2504" spans="1:7" ht="17.45" customHeight="1">
      <c r="A2504" s="261" t="s">
        <v>8</v>
      </c>
      <c r="C2504" s="271" t="s">
        <v>2019</v>
      </c>
      <c r="D2504" s="497"/>
      <c r="E2504" s="499">
        <v>17600</v>
      </c>
      <c r="F2504" s="263"/>
      <c r="G2504" s="275"/>
    </row>
    <row r="2505" spans="1:7" ht="17.45" customHeight="1">
      <c r="A2505" s="261" t="s">
        <v>8</v>
      </c>
      <c r="C2505" s="271" t="s">
        <v>2745</v>
      </c>
      <c r="D2505" s="497"/>
      <c r="E2505" s="499">
        <v>31000</v>
      </c>
      <c r="F2505" s="263"/>
      <c r="G2505" s="275"/>
    </row>
    <row r="2506" spans="1:7" ht="17.45" customHeight="1">
      <c r="A2506" s="261" t="s">
        <v>8</v>
      </c>
      <c r="C2506" s="271" t="s">
        <v>2746</v>
      </c>
      <c r="D2506" s="497"/>
      <c r="E2506" s="499">
        <v>53900</v>
      </c>
      <c r="F2506" s="263"/>
      <c r="G2506" s="275"/>
    </row>
    <row r="2507" spans="1:7" ht="17.45" customHeight="1">
      <c r="A2507" s="261" t="s">
        <v>8</v>
      </c>
      <c r="C2507" s="271" t="s">
        <v>2747</v>
      </c>
      <c r="D2507" s="497"/>
      <c r="E2507" s="499">
        <v>2200</v>
      </c>
      <c r="F2507" s="263"/>
      <c r="G2507" s="275"/>
    </row>
    <row r="2508" spans="1:7" ht="17.45" customHeight="1">
      <c r="A2508" s="261" t="s">
        <v>8</v>
      </c>
      <c r="C2508" s="271" t="s">
        <v>2749</v>
      </c>
      <c r="D2508" s="497"/>
      <c r="E2508" s="499">
        <v>14300</v>
      </c>
      <c r="F2508" s="263"/>
      <c r="G2508" s="275"/>
    </row>
    <row r="2509" spans="1:7" ht="17.45" customHeight="1">
      <c r="A2509" s="261" t="s">
        <v>8</v>
      </c>
      <c r="C2509" s="271" t="s">
        <v>2750</v>
      </c>
      <c r="D2509" s="497"/>
      <c r="E2509" s="499">
        <v>60180</v>
      </c>
      <c r="F2509" s="263"/>
      <c r="G2509" s="275"/>
    </row>
    <row r="2510" spans="1:7" ht="17.45" customHeight="1">
      <c r="A2510" s="261" t="s">
        <v>8</v>
      </c>
      <c r="C2510" s="271" t="s">
        <v>2248</v>
      </c>
      <c r="D2510" s="497"/>
      <c r="E2510" s="499">
        <v>20000</v>
      </c>
      <c r="F2510" s="263"/>
      <c r="G2510" s="275"/>
    </row>
    <row r="2511" spans="1:7" ht="17.45" customHeight="1">
      <c r="A2511" s="261" t="s">
        <v>8</v>
      </c>
      <c r="C2511" s="271" t="s">
        <v>2751</v>
      </c>
      <c r="D2511" s="497"/>
      <c r="E2511" s="499">
        <v>49500</v>
      </c>
      <c r="F2511" s="263"/>
      <c r="G2511" s="275"/>
    </row>
    <row r="2512" spans="1:7" ht="17.45" customHeight="1">
      <c r="A2512" s="261" t="s">
        <v>8</v>
      </c>
      <c r="C2512" s="271" t="s">
        <v>1647</v>
      </c>
      <c r="D2512" s="497"/>
      <c r="E2512" s="499">
        <v>2000</v>
      </c>
      <c r="F2512" s="263"/>
      <c r="G2512" s="275"/>
    </row>
    <row r="2513" spans="1:7" ht="17.45" customHeight="1" thickBot="1">
      <c r="A2513" s="261" t="s">
        <v>8</v>
      </c>
      <c r="C2513" s="276" t="s">
        <v>1300</v>
      </c>
      <c r="D2513" s="502">
        <f>SUM(D2441:D2512)-SUM(E2441:E2512)</f>
        <v>-3108041</v>
      </c>
      <c r="E2513" s="502">
        <f>SUM(E2441:E2512)-SUM(F2441:F2512)</f>
        <v>9328666</v>
      </c>
      <c r="F2513" s="277"/>
      <c r="G2513" s="283"/>
    </row>
    <row r="2515" spans="1:7" ht="12.75" thickBot="1"/>
    <row r="2516" spans="1:7" ht="17.45" customHeight="1">
      <c r="A2516" s="261" t="s">
        <v>8</v>
      </c>
      <c r="B2516" s="256" t="s">
        <v>2752</v>
      </c>
      <c r="C2516" s="268" t="s">
        <v>1268</v>
      </c>
      <c r="D2516" s="500">
        <v>5878200</v>
      </c>
      <c r="E2516" s="501"/>
      <c r="F2516" s="269"/>
      <c r="G2516" s="270"/>
    </row>
    <row r="2517" spans="1:7" ht="17.45" customHeight="1">
      <c r="A2517" s="261" t="s">
        <v>8</v>
      </c>
      <c r="B2517" s="257"/>
      <c r="C2517" s="271" t="s">
        <v>2794</v>
      </c>
      <c r="D2517" s="499">
        <v>230270</v>
      </c>
      <c r="E2517" s="497"/>
      <c r="F2517" s="263"/>
      <c r="G2517" s="272" t="s">
        <v>2753</v>
      </c>
    </row>
    <row r="2518" spans="1:7" ht="17.45" customHeight="1">
      <c r="A2518" s="261" t="s">
        <v>8</v>
      </c>
      <c r="B2518" s="257"/>
      <c r="C2518" s="271" t="s">
        <v>1269</v>
      </c>
      <c r="D2518" s="497"/>
      <c r="E2518" s="499">
        <v>396200</v>
      </c>
      <c r="F2518" s="263"/>
      <c r="G2518" s="272" t="s">
        <v>2753</v>
      </c>
    </row>
    <row r="2519" spans="1:7" ht="17.45" customHeight="1">
      <c r="A2519" s="261" t="s">
        <v>8</v>
      </c>
      <c r="C2519" s="271" t="s">
        <v>1270</v>
      </c>
      <c r="D2519" s="497"/>
      <c r="E2519" s="499">
        <v>763000</v>
      </c>
      <c r="F2519" s="263"/>
      <c r="G2519" s="273" t="s">
        <v>2740</v>
      </c>
    </row>
    <row r="2520" spans="1:7" ht="17.45" customHeight="1">
      <c r="A2520" s="261" t="s">
        <v>8</v>
      </c>
      <c r="C2520" s="271" t="s">
        <v>1670</v>
      </c>
      <c r="D2520" s="497"/>
      <c r="E2520" s="497">
        <v>0</v>
      </c>
      <c r="F2520" s="263"/>
      <c r="G2520" s="274"/>
    </row>
    <row r="2521" spans="1:7" ht="17.45" customHeight="1">
      <c r="A2521" s="261" t="s">
        <v>8</v>
      </c>
      <c r="C2521" s="271" t="s">
        <v>1672</v>
      </c>
      <c r="D2521" s="497"/>
      <c r="E2521" s="499">
        <v>140300</v>
      </c>
      <c r="F2521" s="263"/>
      <c r="G2521" s="273" t="s">
        <v>2732</v>
      </c>
    </row>
    <row r="2522" spans="1:7" ht="17.45" customHeight="1">
      <c r="A2522" s="261" t="s">
        <v>8</v>
      </c>
      <c r="C2522" s="271" t="s">
        <v>1673</v>
      </c>
      <c r="D2522" s="497"/>
      <c r="E2522" s="497">
        <v>0</v>
      </c>
      <c r="F2522" s="263"/>
      <c r="G2522" s="274"/>
    </row>
    <row r="2523" spans="1:7" ht="17.45" customHeight="1">
      <c r="A2523" s="261" t="s">
        <v>8</v>
      </c>
      <c r="C2523" s="271" t="s">
        <v>1332</v>
      </c>
      <c r="D2523" s="497"/>
      <c r="E2523" s="499">
        <v>34650</v>
      </c>
      <c r="F2523" s="263"/>
      <c r="G2523" s="275"/>
    </row>
    <row r="2524" spans="1:7" ht="17.45" customHeight="1">
      <c r="A2524" s="261" t="s">
        <v>8</v>
      </c>
      <c r="C2524" s="271" t="s">
        <v>1271</v>
      </c>
      <c r="D2524" s="497"/>
      <c r="E2524" s="497">
        <v>0</v>
      </c>
      <c r="F2524" s="263"/>
      <c r="G2524" s="274"/>
    </row>
    <row r="2525" spans="1:7" ht="17.45" customHeight="1">
      <c r="A2525" s="261" t="s">
        <v>8</v>
      </c>
      <c r="C2525" s="271" t="s">
        <v>1272</v>
      </c>
      <c r="D2525" s="497"/>
      <c r="E2525" s="497">
        <v>0</v>
      </c>
      <c r="F2525" s="263"/>
      <c r="G2525" s="273"/>
    </row>
    <row r="2526" spans="1:7" ht="17.45" customHeight="1">
      <c r="A2526" s="261" t="s">
        <v>8</v>
      </c>
      <c r="C2526" s="271" t="s">
        <v>1273</v>
      </c>
      <c r="D2526" s="497"/>
      <c r="E2526" s="499">
        <v>29920</v>
      </c>
      <c r="F2526" s="263"/>
      <c r="G2526" s="273" t="s">
        <v>2732</v>
      </c>
    </row>
    <row r="2527" spans="1:7" ht="17.45" customHeight="1">
      <c r="A2527" s="261" t="s">
        <v>8</v>
      </c>
      <c r="C2527" s="271" t="s">
        <v>1274</v>
      </c>
      <c r="D2527" s="497"/>
      <c r="E2527" s="497">
        <v>0</v>
      </c>
      <c r="F2527" s="263"/>
      <c r="G2527" s="273" t="s">
        <v>2732</v>
      </c>
    </row>
    <row r="2528" spans="1:7" ht="17.45" customHeight="1">
      <c r="A2528" s="261" t="s">
        <v>8</v>
      </c>
      <c r="C2528" s="271" t="s">
        <v>1275</v>
      </c>
      <c r="D2528" s="497"/>
      <c r="E2528" s="497">
        <v>0</v>
      </c>
      <c r="F2528" s="263"/>
      <c r="G2528" s="273"/>
    </row>
    <row r="2529" spans="1:7" ht="17.45" customHeight="1">
      <c r="A2529" s="261" t="s">
        <v>8</v>
      </c>
      <c r="C2529" s="271" t="s">
        <v>2168</v>
      </c>
      <c r="D2529" s="497"/>
      <c r="E2529" s="499">
        <v>18816</v>
      </c>
      <c r="F2529" s="263"/>
      <c r="G2529" s="273" t="s">
        <v>2732</v>
      </c>
    </row>
    <row r="2530" spans="1:7" ht="17.45" customHeight="1">
      <c r="A2530" s="261" t="s">
        <v>8</v>
      </c>
      <c r="C2530" s="271" t="s">
        <v>1517</v>
      </c>
      <c r="D2530" s="497"/>
      <c r="E2530" s="499">
        <f>23230*2</f>
        <v>46460</v>
      </c>
      <c r="F2530" s="263"/>
      <c r="G2530" s="273" t="s">
        <v>2732</v>
      </c>
    </row>
    <row r="2531" spans="1:7" ht="17.45" customHeight="1">
      <c r="A2531" s="261" t="s">
        <v>8</v>
      </c>
      <c r="C2531" s="271" t="s">
        <v>1276</v>
      </c>
      <c r="D2531" s="497"/>
      <c r="E2531" s="499">
        <f>507540-505490</f>
        <v>2050</v>
      </c>
      <c r="F2531" s="263"/>
      <c r="G2531" s="273" t="s">
        <v>2732</v>
      </c>
    </row>
    <row r="2532" spans="1:7" ht="17.45" customHeight="1">
      <c r="A2532" s="261" t="s">
        <v>8</v>
      </c>
      <c r="C2532" s="271" t="s">
        <v>1277</v>
      </c>
      <c r="D2532" s="497"/>
      <c r="E2532" s="497"/>
      <c r="F2532" s="263"/>
      <c r="G2532" s="273" t="s">
        <v>2732</v>
      </c>
    </row>
    <row r="2533" spans="1:7" ht="17.45" customHeight="1">
      <c r="A2533" s="261" t="s">
        <v>8</v>
      </c>
      <c r="C2533" s="271" t="s">
        <v>1278</v>
      </c>
      <c r="D2533" s="497"/>
      <c r="E2533" s="499">
        <v>200000</v>
      </c>
      <c r="F2533" s="263"/>
      <c r="G2533" s="273"/>
    </row>
    <row r="2534" spans="1:7" ht="17.45" customHeight="1">
      <c r="A2534" s="261" t="s">
        <v>8</v>
      </c>
      <c r="C2534" s="285" t="s">
        <v>1413</v>
      </c>
      <c r="D2534" s="506"/>
      <c r="E2534" s="507">
        <f>1300000</f>
        <v>1300000</v>
      </c>
      <c r="F2534" s="286"/>
      <c r="G2534" s="287"/>
    </row>
    <row r="2535" spans="1:7" ht="17.25" customHeight="1">
      <c r="A2535" s="261" t="s">
        <v>8</v>
      </c>
      <c r="C2535" s="285" t="s">
        <v>2780</v>
      </c>
      <c r="D2535" s="499">
        <v>3000000</v>
      </c>
      <c r="E2535" s="497"/>
      <c r="F2535" s="263"/>
      <c r="G2535" s="275"/>
    </row>
    <row r="2536" spans="1:7" ht="17.25" customHeight="1">
      <c r="A2536" s="261" t="s">
        <v>8</v>
      </c>
      <c r="C2536" s="338" t="s">
        <v>2776</v>
      </c>
      <c r="D2536" s="497"/>
      <c r="E2536" s="497"/>
      <c r="F2536" s="263"/>
      <c r="G2536" s="275"/>
    </row>
    <row r="2537" spans="1:7" ht="17.25" customHeight="1">
      <c r="A2537" s="261" t="s">
        <v>8</v>
      </c>
      <c r="C2537" s="338" t="s">
        <v>2775</v>
      </c>
      <c r="D2537" s="499">
        <v>1995000</v>
      </c>
      <c r="E2537" s="497"/>
      <c r="F2537" s="263"/>
      <c r="G2537" s="275"/>
    </row>
    <row r="2538" spans="1:7" ht="17.45" customHeight="1">
      <c r="A2538" s="261" t="s">
        <v>8</v>
      </c>
      <c r="C2538" s="339" t="s">
        <v>2647</v>
      </c>
      <c r="D2538" s="506"/>
      <c r="E2538" s="506"/>
      <c r="F2538" s="286"/>
      <c r="G2538" s="290"/>
    </row>
    <row r="2539" spans="1:7" ht="17.45" customHeight="1" thickBot="1">
      <c r="A2539" s="261" t="s">
        <v>8</v>
      </c>
      <c r="C2539" s="285" t="s">
        <v>1942</v>
      </c>
      <c r="D2539" s="506"/>
      <c r="E2539" s="507">
        <v>20000</v>
      </c>
      <c r="F2539" s="286"/>
      <c r="G2539" s="290"/>
    </row>
    <row r="2540" spans="1:7" ht="17.45" customHeight="1">
      <c r="A2540" s="261" t="s">
        <v>8</v>
      </c>
      <c r="C2540" s="268" t="s">
        <v>1280</v>
      </c>
      <c r="D2540" s="501"/>
      <c r="E2540" s="500">
        <f>50000*2</f>
        <v>100000</v>
      </c>
      <c r="F2540" s="269"/>
      <c r="G2540" s="288"/>
    </row>
    <row r="2541" spans="1:7" ht="17.45" customHeight="1">
      <c r="A2541" s="261" t="s">
        <v>8</v>
      </c>
      <c r="C2541" s="271" t="s">
        <v>1549</v>
      </c>
      <c r="D2541" s="497"/>
      <c r="E2541" s="497"/>
      <c r="F2541" s="263"/>
      <c r="G2541" s="275"/>
    </row>
    <row r="2542" spans="1:7" ht="17.45" customHeight="1">
      <c r="A2542" s="261" t="s">
        <v>8</v>
      </c>
      <c r="C2542" s="271" t="s">
        <v>1819</v>
      </c>
      <c r="D2542" s="497"/>
      <c r="E2542" s="497"/>
      <c r="F2542" s="263"/>
      <c r="G2542" s="275"/>
    </row>
    <row r="2543" spans="1:7" ht="17.45" customHeight="1">
      <c r="A2543" s="261" t="s">
        <v>8</v>
      </c>
      <c r="C2543" s="271" t="s">
        <v>391</v>
      </c>
      <c r="D2543" s="497"/>
      <c r="E2543" s="497"/>
      <c r="F2543" s="263"/>
      <c r="G2543" s="275"/>
    </row>
    <row r="2544" spans="1:7" ht="17.45" customHeight="1">
      <c r="A2544" s="261" t="s">
        <v>8</v>
      </c>
      <c r="C2544" s="271" t="s">
        <v>1934</v>
      </c>
      <c r="D2544" s="497"/>
      <c r="E2544" s="497"/>
      <c r="F2544" s="263"/>
      <c r="G2544" s="275"/>
    </row>
    <row r="2545" spans="1:7" ht="17.25" customHeight="1">
      <c r="A2545" s="261" t="s">
        <v>8</v>
      </c>
      <c r="C2545" s="271" t="s">
        <v>2202</v>
      </c>
      <c r="D2545" s="497"/>
      <c r="E2545" s="497"/>
      <c r="F2545" s="263"/>
      <c r="G2545" s="275"/>
    </row>
    <row r="2546" spans="1:7" ht="17.45" customHeight="1">
      <c r="A2546" s="261" t="s">
        <v>8</v>
      </c>
      <c r="C2546" s="271" t="s">
        <v>2097</v>
      </c>
      <c r="D2546" s="497"/>
      <c r="E2546" s="497"/>
      <c r="F2546" s="263"/>
      <c r="G2546" s="275"/>
    </row>
    <row r="2547" spans="1:7" ht="17.45" customHeight="1">
      <c r="A2547" s="261" t="s">
        <v>8</v>
      </c>
      <c r="C2547" s="271" t="s">
        <v>2654</v>
      </c>
      <c r="D2547" s="497"/>
      <c r="E2547" s="499">
        <v>60000</v>
      </c>
      <c r="F2547" s="263"/>
      <c r="G2547" s="275"/>
    </row>
    <row r="2548" spans="1:7" ht="17.45" customHeight="1">
      <c r="A2548" s="261" t="s">
        <v>8</v>
      </c>
      <c r="C2548" s="271" t="s">
        <v>1687</v>
      </c>
      <c r="D2548" s="497"/>
      <c r="E2548" s="497"/>
      <c r="F2548" s="263"/>
      <c r="G2548" s="275"/>
    </row>
    <row r="2549" spans="1:7" ht="17.45" customHeight="1">
      <c r="A2549" s="261" t="s">
        <v>8</v>
      </c>
      <c r="C2549" s="271" t="s">
        <v>1688</v>
      </c>
      <c r="D2549" s="497"/>
      <c r="E2549" s="497"/>
      <c r="F2549" s="263"/>
      <c r="G2549" s="275"/>
    </row>
    <row r="2550" spans="1:7" ht="17.45" customHeight="1">
      <c r="A2550" s="261" t="s">
        <v>8</v>
      </c>
      <c r="C2550" s="271" t="s">
        <v>2797</v>
      </c>
      <c r="D2550" s="497"/>
      <c r="E2550" s="499">
        <v>40000</v>
      </c>
      <c r="F2550" s="263"/>
      <c r="G2550" s="275"/>
    </row>
    <row r="2551" spans="1:7" ht="17.45" customHeight="1">
      <c r="A2551" s="261" t="s">
        <v>8</v>
      </c>
      <c r="C2551" s="271" t="s">
        <v>1596</v>
      </c>
      <c r="D2551" s="497"/>
      <c r="E2551" s="497"/>
      <c r="F2551" s="263"/>
      <c r="G2551" s="275"/>
    </row>
    <row r="2552" spans="1:7" ht="17.45" customHeight="1">
      <c r="A2552" s="261" t="s">
        <v>8</v>
      </c>
      <c r="C2552" s="271" t="s">
        <v>1595</v>
      </c>
      <c r="D2552" s="497"/>
      <c r="E2552" s="497"/>
      <c r="F2552" s="263"/>
      <c r="G2552" s="275"/>
    </row>
    <row r="2553" spans="1:7" ht="17.45" customHeight="1">
      <c r="A2553" s="261" t="s">
        <v>8</v>
      </c>
      <c r="C2553" s="271" t="s">
        <v>1613</v>
      </c>
      <c r="D2553" s="497"/>
      <c r="E2553" s="499">
        <f>5000+7200</f>
        <v>12200</v>
      </c>
      <c r="F2553" s="263"/>
      <c r="G2553" s="275"/>
    </row>
    <row r="2554" spans="1:7" ht="17.45" customHeight="1">
      <c r="A2554" s="261" t="s">
        <v>8</v>
      </c>
      <c r="C2554" s="271" t="s">
        <v>1689</v>
      </c>
      <c r="D2554" s="497"/>
      <c r="E2554" s="497"/>
      <c r="F2554" s="263"/>
      <c r="G2554" s="275"/>
    </row>
    <row r="2555" spans="1:7" ht="17.45" customHeight="1">
      <c r="A2555" s="261" t="s">
        <v>8</v>
      </c>
      <c r="C2555" s="271" t="s">
        <v>1569</v>
      </c>
      <c r="D2555" s="497"/>
      <c r="E2555" s="497"/>
      <c r="F2555" s="263"/>
      <c r="G2555" s="275"/>
    </row>
    <row r="2556" spans="1:7" ht="17.45" customHeight="1">
      <c r="A2556" s="261" t="s">
        <v>8</v>
      </c>
      <c r="C2556" s="271" t="s">
        <v>1618</v>
      </c>
      <c r="D2556" s="497"/>
      <c r="E2556" s="499">
        <f>6850+58340</f>
        <v>65190</v>
      </c>
      <c r="F2556" s="263"/>
      <c r="G2556" s="275"/>
    </row>
    <row r="2557" spans="1:7" ht="17.45" customHeight="1">
      <c r="A2557" s="261" t="s">
        <v>8</v>
      </c>
      <c r="C2557" s="271" t="s">
        <v>1800</v>
      </c>
      <c r="D2557" s="497"/>
      <c r="E2557" s="497"/>
      <c r="F2557" s="263"/>
      <c r="G2557" s="275"/>
    </row>
    <row r="2558" spans="1:7" ht="17.45" customHeight="1" thickBot="1">
      <c r="A2558" s="261" t="s">
        <v>8</v>
      </c>
      <c r="C2558" s="276" t="s">
        <v>2699</v>
      </c>
      <c r="D2558" s="502"/>
      <c r="E2558" s="503">
        <f>26300+19100+12000+34000+29800</f>
        <v>121200</v>
      </c>
      <c r="F2558" s="277"/>
      <c r="G2558" s="282"/>
    </row>
    <row r="2559" spans="1:7" ht="17.45" customHeight="1">
      <c r="A2559" s="261" t="s">
        <v>8</v>
      </c>
      <c r="C2559" s="279" t="s">
        <v>2754</v>
      </c>
      <c r="D2559" s="504"/>
      <c r="E2559" s="505">
        <f>44000+1500</f>
        <v>45500</v>
      </c>
      <c r="F2559" s="280"/>
      <c r="G2559" s="281"/>
    </row>
    <row r="2560" spans="1:7" ht="17.45" customHeight="1">
      <c r="A2560" s="261" t="s">
        <v>8</v>
      </c>
      <c r="C2560" s="271" t="s">
        <v>2721</v>
      </c>
      <c r="D2560" s="497"/>
      <c r="E2560" s="499">
        <v>-100000</v>
      </c>
      <c r="F2560" s="263"/>
      <c r="G2560" s="275"/>
    </row>
    <row r="2561" spans="1:7" ht="17.45" customHeight="1">
      <c r="A2561" s="261" t="s">
        <v>8</v>
      </c>
      <c r="C2561" s="271" t="s">
        <v>2755</v>
      </c>
      <c r="D2561" s="497"/>
      <c r="E2561" s="499">
        <v>18000</v>
      </c>
      <c r="F2561" s="263"/>
      <c r="G2561" s="273" t="s">
        <v>2732</v>
      </c>
    </row>
    <row r="2562" spans="1:7" ht="17.45" customHeight="1">
      <c r="A2562" s="261" t="s">
        <v>8</v>
      </c>
      <c r="C2562" s="271" t="s">
        <v>2423</v>
      </c>
      <c r="D2562" s="497"/>
      <c r="E2562" s="499">
        <v>1200</v>
      </c>
      <c r="F2562" s="263"/>
      <c r="G2562" s="275"/>
    </row>
    <row r="2563" spans="1:7" ht="17.45" customHeight="1">
      <c r="A2563" s="261" t="s">
        <v>8</v>
      </c>
      <c r="C2563" s="271" t="s">
        <v>2756</v>
      </c>
      <c r="D2563" s="497"/>
      <c r="E2563" s="499">
        <v>3000</v>
      </c>
      <c r="F2563" s="263"/>
      <c r="G2563" s="275"/>
    </row>
    <row r="2564" spans="1:7" ht="17.45" customHeight="1">
      <c r="A2564" s="261" t="s">
        <v>8</v>
      </c>
      <c r="C2564" s="271" t="s">
        <v>2757</v>
      </c>
      <c r="D2564" s="497"/>
      <c r="E2564" s="499">
        <v>21000</v>
      </c>
      <c r="F2564" s="263"/>
      <c r="G2564" s="275"/>
    </row>
    <row r="2565" spans="1:7" ht="17.45" customHeight="1">
      <c r="A2565" s="261" t="s">
        <v>8</v>
      </c>
      <c r="C2565" s="271" t="s">
        <v>2084</v>
      </c>
      <c r="D2565" s="497"/>
      <c r="E2565" s="499">
        <v>5200</v>
      </c>
      <c r="F2565" s="263"/>
      <c r="G2565" s="275"/>
    </row>
    <row r="2566" spans="1:7" ht="17.45" customHeight="1">
      <c r="A2566" s="261" t="s">
        <v>8</v>
      </c>
      <c r="C2566" s="271" t="s">
        <v>2758</v>
      </c>
      <c r="D2566" s="497"/>
      <c r="E2566" s="499">
        <v>14300</v>
      </c>
      <c r="F2566" s="263"/>
      <c r="G2566" s="275"/>
    </row>
    <row r="2567" spans="1:7" ht="17.45" customHeight="1">
      <c r="A2567" s="261" t="s">
        <v>8</v>
      </c>
      <c r="C2567" s="271" t="s">
        <v>2759</v>
      </c>
      <c r="D2567" s="497"/>
      <c r="E2567" s="499">
        <v>1000</v>
      </c>
      <c r="F2567" s="263"/>
      <c r="G2567" s="275"/>
    </row>
    <row r="2568" spans="1:7" ht="17.45" customHeight="1">
      <c r="A2568" s="261" t="s">
        <v>8</v>
      </c>
      <c r="C2568" s="271" t="s">
        <v>2760</v>
      </c>
      <c r="D2568" s="497"/>
      <c r="E2568" s="499">
        <v>55000</v>
      </c>
      <c r="F2568" s="263"/>
      <c r="G2568" s="275"/>
    </row>
    <row r="2569" spans="1:7" ht="17.25" customHeight="1">
      <c r="A2569" s="261" t="s">
        <v>8</v>
      </c>
      <c r="C2569" s="271" t="s">
        <v>2761</v>
      </c>
      <c r="D2569" s="497"/>
      <c r="E2569" s="499">
        <v>104200</v>
      </c>
      <c r="F2569" s="263"/>
      <c r="G2569" s="275"/>
    </row>
    <row r="2570" spans="1:7" ht="17.45" customHeight="1">
      <c r="A2570" s="261" t="s">
        <v>8</v>
      </c>
      <c r="C2570" s="271" t="s">
        <v>2443</v>
      </c>
      <c r="D2570" s="497"/>
      <c r="E2570" s="499">
        <v>4100</v>
      </c>
      <c r="F2570" s="263"/>
      <c r="G2570" s="275"/>
    </row>
    <row r="2571" spans="1:7" ht="17.45" customHeight="1">
      <c r="A2571" s="261" t="s">
        <v>8</v>
      </c>
      <c r="C2571" s="271" t="s">
        <v>2489</v>
      </c>
      <c r="D2571" s="497"/>
      <c r="E2571" s="499">
        <v>13100</v>
      </c>
      <c r="F2571" s="263"/>
      <c r="G2571" s="275"/>
    </row>
    <row r="2572" spans="1:7" ht="17.45" customHeight="1">
      <c r="A2572" s="261" t="s">
        <v>8</v>
      </c>
      <c r="C2572" s="271" t="s">
        <v>2762</v>
      </c>
      <c r="D2572" s="497"/>
      <c r="E2572" s="499">
        <f>1000+500</f>
        <v>1500</v>
      </c>
      <c r="F2572" s="263"/>
      <c r="G2572" s="275"/>
    </row>
    <row r="2573" spans="1:7" ht="17.45" customHeight="1">
      <c r="A2573" s="261" t="s">
        <v>8</v>
      </c>
      <c r="C2573" s="271" t="s">
        <v>2763</v>
      </c>
      <c r="D2573" s="497"/>
      <c r="E2573" s="499">
        <v>5000</v>
      </c>
      <c r="F2573" s="263"/>
      <c r="G2573" s="275"/>
    </row>
    <row r="2574" spans="1:7" ht="17.45" customHeight="1">
      <c r="A2574" s="261" t="s">
        <v>8</v>
      </c>
      <c r="C2574" s="271" t="s">
        <v>2764</v>
      </c>
      <c r="D2574" s="497"/>
      <c r="E2574" s="499">
        <f>20000*3</f>
        <v>60000</v>
      </c>
      <c r="F2574" s="263"/>
      <c r="G2574" s="275"/>
    </row>
    <row r="2575" spans="1:7" ht="17.45" customHeight="1">
      <c r="A2575" s="261" t="s">
        <v>8</v>
      </c>
      <c r="C2575" s="271" t="s">
        <v>2765</v>
      </c>
      <c r="D2575" s="497"/>
      <c r="E2575" s="499">
        <v>150000</v>
      </c>
      <c r="F2575" s="263"/>
      <c r="G2575" s="275"/>
    </row>
    <row r="2576" spans="1:7" ht="17.45" customHeight="1">
      <c r="A2576" s="261" t="s">
        <v>8</v>
      </c>
      <c r="C2576" s="271" t="s">
        <v>1163</v>
      </c>
      <c r="D2576" s="497"/>
      <c r="E2576" s="499">
        <v>8800</v>
      </c>
      <c r="F2576" s="263"/>
      <c r="G2576" s="275"/>
    </row>
    <row r="2577" spans="1:7" ht="17.45" customHeight="1">
      <c r="A2577" s="261" t="s">
        <v>8</v>
      </c>
      <c r="C2577" s="271" t="s">
        <v>1647</v>
      </c>
      <c r="D2577" s="497"/>
      <c r="E2577" s="499">
        <f>3900+9300+7800</f>
        <v>21000</v>
      </c>
      <c r="F2577" s="263"/>
      <c r="G2577" s="275"/>
    </row>
    <row r="2578" spans="1:7" ht="17.45" customHeight="1">
      <c r="A2578" s="261" t="s">
        <v>8</v>
      </c>
      <c r="C2578" s="271" t="s">
        <v>2766</v>
      </c>
      <c r="D2578" s="497"/>
      <c r="E2578" s="499">
        <v>4000</v>
      </c>
      <c r="F2578" s="263"/>
      <c r="G2578" s="275"/>
    </row>
    <row r="2579" spans="1:7" ht="17.45" customHeight="1">
      <c r="A2579" s="261" t="s">
        <v>8</v>
      </c>
      <c r="C2579" s="271" t="s">
        <v>1680</v>
      </c>
      <c r="D2579" s="497"/>
      <c r="E2579" s="499">
        <v>3800</v>
      </c>
      <c r="F2579" s="263"/>
      <c r="G2579" s="275"/>
    </row>
    <row r="2580" spans="1:7" ht="17.45" customHeight="1">
      <c r="A2580" s="261" t="s">
        <v>8</v>
      </c>
      <c r="C2580" s="271" t="s">
        <v>2767</v>
      </c>
      <c r="D2580" s="497"/>
      <c r="E2580" s="499">
        <f>20000+6000</f>
        <v>26000</v>
      </c>
      <c r="F2580" s="263"/>
      <c r="G2580" s="275"/>
    </row>
    <row r="2581" spans="1:7" ht="17.45" customHeight="1">
      <c r="A2581" s="261" t="s">
        <v>8</v>
      </c>
      <c r="C2581" s="271" t="s">
        <v>1789</v>
      </c>
      <c r="D2581" s="497"/>
      <c r="E2581" s="499">
        <f>-13020+453020-13020</f>
        <v>426980</v>
      </c>
      <c r="F2581" s="263"/>
      <c r="G2581" s="275"/>
    </row>
    <row r="2582" spans="1:7" ht="17.45" customHeight="1">
      <c r="A2582" s="261" t="s">
        <v>8</v>
      </c>
      <c r="C2582" s="271" t="s">
        <v>2768</v>
      </c>
      <c r="D2582" s="497"/>
      <c r="E2582" s="499">
        <v>3500</v>
      </c>
      <c r="F2582" s="263"/>
      <c r="G2582" s="275"/>
    </row>
    <row r="2583" spans="1:7" ht="17.45" customHeight="1">
      <c r="A2583" s="261" t="s">
        <v>8</v>
      </c>
      <c r="C2583" s="271" t="s">
        <v>2769</v>
      </c>
      <c r="D2583" s="497"/>
      <c r="E2583" s="499">
        <v>12300</v>
      </c>
      <c r="F2583" s="263"/>
      <c r="G2583" s="275"/>
    </row>
    <row r="2584" spans="1:7" ht="17.45" customHeight="1">
      <c r="A2584" s="261" t="s">
        <v>8</v>
      </c>
      <c r="C2584" s="271" t="s">
        <v>2770</v>
      </c>
      <c r="D2584" s="497"/>
      <c r="E2584" s="499">
        <v>3600</v>
      </c>
      <c r="F2584" s="263"/>
      <c r="G2584" s="275"/>
    </row>
    <row r="2585" spans="1:7" ht="17.45" customHeight="1">
      <c r="A2585" s="261" t="s">
        <v>8</v>
      </c>
      <c r="C2585" s="271" t="s">
        <v>2771</v>
      </c>
      <c r="D2585" s="497"/>
      <c r="E2585" s="499">
        <v>5500</v>
      </c>
      <c r="F2585" s="263"/>
      <c r="G2585" s="275"/>
    </row>
    <row r="2586" spans="1:7" ht="17.45" customHeight="1">
      <c r="A2586" s="261" t="s">
        <v>8</v>
      </c>
      <c r="C2586" s="271" t="s">
        <v>2772</v>
      </c>
      <c r="D2586" s="497"/>
      <c r="E2586" s="499">
        <v>11000</v>
      </c>
      <c r="F2586" s="263"/>
      <c r="G2586" s="275"/>
    </row>
    <row r="2587" spans="1:7" ht="17.45" customHeight="1">
      <c r="A2587" s="261" t="s">
        <v>8</v>
      </c>
      <c r="C2587" s="271" t="s">
        <v>2773</v>
      </c>
      <c r="D2587" s="497"/>
      <c r="E2587" s="499">
        <v>22300</v>
      </c>
      <c r="F2587" s="263"/>
      <c r="G2587" s="275"/>
    </row>
    <row r="2588" spans="1:7" ht="17.45" customHeight="1">
      <c r="A2588" s="261" t="s">
        <v>8</v>
      </c>
      <c r="C2588" s="271" t="s">
        <v>2644</v>
      </c>
      <c r="D2588" s="497"/>
      <c r="E2588" s="499">
        <v>35500</v>
      </c>
      <c r="F2588" s="263"/>
      <c r="G2588" s="275"/>
    </row>
    <row r="2589" spans="1:7" ht="17.45" customHeight="1">
      <c r="A2589" s="261" t="s">
        <v>8</v>
      </c>
      <c r="C2589" s="271" t="s">
        <v>2774</v>
      </c>
      <c r="D2589" s="497"/>
      <c r="E2589" s="499">
        <v>27600</v>
      </c>
      <c r="F2589" s="263"/>
      <c r="G2589" s="275"/>
    </row>
    <row r="2590" spans="1:7" ht="17.45" customHeight="1">
      <c r="A2590" s="261" t="s">
        <v>8</v>
      </c>
      <c r="C2590" s="271" t="s">
        <v>2437</v>
      </c>
      <c r="D2590" s="497"/>
      <c r="E2590" s="499">
        <v>-100000</v>
      </c>
      <c r="F2590" s="263"/>
      <c r="G2590" s="275"/>
    </row>
    <row r="2591" spans="1:7" ht="17.45" customHeight="1">
      <c r="A2591" s="261" t="s">
        <v>8</v>
      </c>
      <c r="C2591" s="271" t="s">
        <v>1628</v>
      </c>
      <c r="D2591" s="497"/>
      <c r="E2591" s="499">
        <v>24000</v>
      </c>
      <c r="F2591" s="263"/>
      <c r="G2591" s="275"/>
    </row>
    <row r="2592" spans="1:7" ht="17.45" customHeight="1">
      <c r="A2592" s="261" t="s">
        <v>8</v>
      </c>
      <c r="C2592" s="271" t="s">
        <v>2642</v>
      </c>
      <c r="D2592" s="497"/>
      <c r="E2592" s="499">
        <v>22000</v>
      </c>
      <c r="F2592" s="263"/>
      <c r="G2592" s="275"/>
    </row>
    <row r="2593" spans="1:7" ht="17.45" customHeight="1">
      <c r="A2593" s="261" t="s">
        <v>8</v>
      </c>
      <c r="C2593" s="271" t="s">
        <v>2777</v>
      </c>
      <c r="D2593" s="497"/>
      <c r="E2593" s="499">
        <v>27400</v>
      </c>
      <c r="F2593" s="263"/>
      <c r="G2593" s="275"/>
    </row>
    <row r="2594" spans="1:7" ht="17.45" customHeight="1">
      <c r="A2594" s="261" t="s">
        <v>8</v>
      </c>
      <c r="C2594" s="271" t="s">
        <v>2248</v>
      </c>
      <c r="D2594" s="497"/>
      <c r="E2594" s="499">
        <v>21500</v>
      </c>
      <c r="F2594" s="263"/>
      <c r="G2594" s="275"/>
    </row>
    <row r="2595" spans="1:7" ht="17.45" customHeight="1">
      <c r="A2595" s="261" t="s">
        <v>8</v>
      </c>
      <c r="C2595" s="271" t="s">
        <v>1776</v>
      </c>
      <c r="D2595" s="497"/>
      <c r="E2595" s="499">
        <v>5500</v>
      </c>
      <c r="F2595" s="263"/>
      <c r="G2595" s="275"/>
    </row>
    <row r="2596" spans="1:7" ht="17.45" customHeight="1">
      <c r="A2596" s="261" t="s">
        <v>8</v>
      </c>
      <c r="C2596" s="271" t="s">
        <v>1910</v>
      </c>
      <c r="D2596" s="497"/>
      <c r="E2596" s="499">
        <v>13000</v>
      </c>
      <c r="F2596" s="263"/>
      <c r="G2596" s="275"/>
    </row>
    <row r="2597" spans="1:7" ht="17.45" customHeight="1">
      <c r="A2597" s="261" t="s">
        <v>8</v>
      </c>
      <c r="C2597" s="271" t="s">
        <v>2713</v>
      </c>
      <c r="D2597" s="497"/>
      <c r="E2597" s="499">
        <v>400</v>
      </c>
      <c r="F2597" s="263"/>
      <c r="G2597" s="275"/>
    </row>
    <row r="2598" spans="1:7" ht="17.45" customHeight="1">
      <c r="A2598" s="261" t="s">
        <v>8</v>
      </c>
      <c r="C2598" s="271" t="s">
        <v>2778</v>
      </c>
      <c r="D2598" s="497"/>
      <c r="E2598" s="499">
        <v>33900</v>
      </c>
      <c r="F2598" s="263"/>
      <c r="G2598" s="275"/>
    </row>
    <row r="2599" spans="1:7" ht="17.45" customHeight="1">
      <c r="A2599" s="261" t="s">
        <v>8</v>
      </c>
      <c r="C2599" s="271" t="s">
        <v>2779</v>
      </c>
      <c r="D2599" s="497"/>
      <c r="E2599" s="499">
        <f>10000+25900+5590+16300</f>
        <v>57790</v>
      </c>
      <c r="F2599" s="263"/>
      <c r="G2599" s="275"/>
    </row>
    <row r="2600" spans="1:7" ht="17.45" customHeight="1">
      <c r="A2600" s="261" t="s">
        <v>8</v>
      </c>
      <c r="C2600" s="271" t="s">
        <v>2080</v>
      </c>
      <c r="D2600" s="497"/>
      <c r="E2600" s="499">
        <v>300000</v>
      </c>
      <c r="F2600" s="263"/>
      <c r="G2600" s="275"/>
    </row>
    <row r="2601" spans="1:7" ht="17.45" customHeight="1">
      <c r="A2601" s="261" t="s">
        <v>8</v>
      </c>
      <c r="C2601" s="271" t="s">
        <v>1650</v>
      </c>
      <c r="D2601" s="497"/>
      <c r="E2601" s="499">
        <f>9800+9800</f>
        <v>19600</v>
      </c>
      <c r="F2601" s="263"/>
      <c r="G2601" s="275"/>
    </row>
    <row r="2602" spans="1:7" ht="17.45" customHeight="1">
      <c r="A2602" s="261" t="s">
        <v>8</v>
      </c>
      <c r="C2602" s="271" t="s">
        <v>1602</v>
      </c>
      <c r="D2602" s="499">
        <v>860</v>
      </c>
      <c r="E2602" s="497"/>
      <c r="F2602" s="263"/>
      <c r="G2602" s="275"/>
    </row>
    <row r="2603" spans="1:7" ht="17.45" customHeight="1">
      <c r="A2603" s="261" t="s">
        <v>8</v>
      </c>
      <c r="C2603" s="271" t="s">
        <v>2795</v>
      </c>
      <c r="D2603" s="497"/>
      <c r="E2603" s="499">
        <v>1000</v>
      </c>
      <c r="F2603" s="263"/>
      <c r="G2603" s="275"/>
    </row>
    <row r="2604" spans="1:7" ht="17.45" customHeight="1">
      <c r="A2604" s="261" t="s">
        <v>8</v>
      </c>
      <c r="C2604" s="271" t="s">
        <v>2796</v>
      </c>
      <c r="D2604" s="497"/>
      <c r="E2604" s="499">
        <v>100000</v>
      </c>
      <c r="F2604" s="263"/>
      <c r="G2604" s="275"/>
    </row>
    <row r="2605" spans="1:7" ht="17.45" customHeight="1" thickBot="1">
      <c r="A2605" s="261" t="s">
        <v>8</v>
      </c>
      <c r="C2605" s="276" t="s">
        <v>1300</v>
      </c>
      <c r="D2605" s="502">
        <f>SUM(D2516:D2604)-SUM(E2516:E2604)</f>
        <v>6214274</v>
      </c>
      <c r="E2605" s="502">
        <f>SUM(E2516:E2604)-SUM(F2516:F2604)</f>
        <v>4890056</v>
      </c>
      <c r="F2605" s="277"/>
      <c r="G2605" s="283"/>
    </row>
    <row r="2607" spans="1:7" ht="12.75" thickBot="1"/>
    <row r="2608" spans="1:7" ht="17.45" customHeight="1">
      <c r="A2608" s="261" t="s">
        <v>8</v>
      </c>
      <c r="B2608" s="256" t="s">
        <v>2799</v>
      </c>
      <c r="C2608" s="268" t="s">
        <v>1268</v>
      </c>
      <c r="D2608" s="500">
        <v>6102788</v>
      </c>
      <c r="E2608" s="501"/>
      <c r="F2608" s="269"/>
      <c r="G2608" s="270"/>
    </row>
    <row r="2609" spans="1:7" ht="17.45" customHeight="1">
      <c r="A2609" s="261" t="s">
        <v>8</v>
      </c>
      <c r="B2609" s="257"/>
      <c r="C2609" s="271" t="s">
        <v>1269</v>
      </c>
      <c r="D2609" s="497"/>
      <c r="E2609" s="499">
        <f>450000-82800</f>
        <v>367200</v>
      </c>
      <c r="F2609" s="263"/>
      <c r="G2609" s="272" t="s">
        <v>2800</v>
      </c>
    </row>
    <row r="2610" spans="1:7" ht="17.45" customHeight="1">
      <c r="A2610" s="261" t="s">
        <v>8</v>
      </c>
      <c r="C2610" s="271" t="s">
        <v>1270</v>
      </c>
      <c r="D2610" s="497"/>
      <c r="E2610" s="499">
        <v>758000</v>
      </c>
      <c r="F2610" s="263"/>
      <c r="G2610" s="273" t="s">
        <v>2740</v>
      </c>
    </row>
    <row r="2611" spans="1:7" ht="17.45" customHeight="1">
      <c r="A2611" s="261" t="s">
        <v>8</v>
      </c>
      <c r="C2611" s="271" t="s">
        <v>1670</v>
      </c>
      <c r="D2611" s="497"/>
      <c r="E2611" s="497">
        <v>0</v>
      </c>
      <c r="F2611" s="263"/>
      <c r="G2611" s="274"/>
    </row>
    <row r="2612" spans="1:7" ht="17.45" customHeight="1">
      <c r="A2612" s="261" t="s">
        <v>8</v>
      </c>
      <c r="C2612" s="271" t="s">
        <v>1672</v>
      </c>
      <c r="D2612" s="497"/>
      <c r="E2612" s="499">
        <v>114300</v>
      </c>
      <c r="F2612" s="263"/>
      <c r="G2612" s="273" t="s">
        <v>2732</v>
      </c>
    </row>
    <row r="2613" spans="1:7" ht="17.45" customHeight="1">
      <c r="A2613" s="261" t="s">
        <v>8</v>
      </c>
      <c r="C2613" s="271" t="s">
        <v>1673</v>
      </c>
      <c r="D2613" s="497"/>
      <c r="E2613" s="497">
        <v>0</v>
      </c>
      <c r="F2613" s="263"/>
      <c r="G2613" s="274"/>
    </row>
    <row r="2614" spans="1:7" ht="17.45" customHeight="1">
      <c r="A2614" s="261" t="s">
        <v>8</v>
      </c>
      <c r="C2614" s="271" t="s">
        <v>1332</v>
      </c>
      <c r="D2614" s="497"/>
      <c r="E2614" s="499">
        <v>34650</v>
      </c>
      <c r="F2614" s="263"/>
      <c r="G2614" s="275"/>
    </row>
    <row r="2615" spans="1:7" ht="17.45" customHeight="1">
      <c r="A2615" s="261" t="s">
        <v>8</v>
      </c>
      <c r="C2615" s="271" t="s">
        <v>1271</v>
      </c>
      <c r="D2615" s="497"/>
      <c r="E2615" s="497">
        <v>0</v>
      </c>
      <c r="F2615" s="263"/>
      <c r="G2615" s="274"/>
    </row>
    <row r="2616" spans="1:7" ht="17.45" customHeight="1">
      <c r="A2616" s="261" t="s">
        <v>8</v>
      </c>
      <c r="C2616" s="271" t="s">
        <v>1272</v>
      </c>
      <c r="D2616" s="497"/>
      <c r="E2616" s="497">
        <v>0</v>
      </c>
      <c r="F2616" s="263"/>
      <c r="G2616" s="273"/>
    </row>
    <row r="2617" spans="1:7" ht="17.45" customHeight="1">
      <c r="A2617" s="261" t="s">
        <v>8</v>
      </c>
      <c r="C2617" s="271" t="s">
        <v>1273</v>
      </c>
      <c r="D2617" s="497"/>
      <c r="E2617" s="499">
        <v>29920</v>
      </c>
      <c r="F2617" s="263"/>
      <c r="G2617" s="273" t="s">
        <v>2732</v>
      </c>
    </row>
    <row r="2618" spans="1:7" ht="17.45" customHeight="1">
      <c r="A2618" s="261" t="s">
        <v>8</v>
      </c>
      <c r="C2618" s="271" t="s">
        <v>1274</v>
      </c>
      <c r="D2618" s="497"/>
      <c r="E2618" s="499">
        <v>9405</v>
      </c>
      <c r="F2618" s="263"/>
      <c r="G2618" s="273" t="s">
        <v>2732</v>
      </c>
    </row>
    <row r="2619" spans="1:7" ht="17.45" customHeight="1">
      <c r="A2619" s="261" t="s">
        <v>8</v>
      </c>
      <c r="C2619" s="271" t="s">
        <v>1275</v>
      </c>
      <c r="D2619" s="497"/>
      <c r="E2619" s="497">
        <v>0</v>
      </c>
      <c r="F2619" s="263"/>
      <c r="G2619" s="273"/>
    </row>
    <row r="2620" spans="1:7" ht="17.45" customHeight="1">
      <c r="A2620" s="261" t="s">
        <v>8</v>
      </c>
      <c r="C2620" s="271" t="s">
        <v>2168</v>
      </c>
      <c r="D2620" s="497"/>
      <c r="E2620" s="499">
        <v>18816</v>
      </c>
      <c r="F2620" s="263"/>
      <c r="G2620" s="273" t="s">
        <v>2732</v>
      </c>
    </row>
    <row r="2621" spans="1:7" ht="17.45" customHeight="1">
      <c r="A2621" s="261" t="s">
        <v>8</v>
      </c>
      <c r="C2621" s="271" t="s">
        <v>1517</v>
      </c>
      <c r="D2621" s="497"/>
      <c r="E2621" s="499">
        <v>23230</v>
      </c>
      <c r="F2621" s="263"/>
      <c r="G2621" s="273" t="s">
        <v>2732</v>
      </c>
    </row>
    <row r="2622" spans="1:7" ht="17.45" customHeight="1">
      <c r="A2622" s="261" t="s">
        <v>8</v>
      </c>
      <c r="C2622" s="271" t="s">
        <v>1276</v>
      </c>
      <c r="D2622" s="497"/>
      <c r="E2622" s="499">
        <v>505490</v>
      </c>
      <c r="F2622" s="263"/>
      <c r="G2622" s="273" t="s">
        <v>2732</v>
      </c>
    </row>
    <row r="2623" spans="1:7" ht="17.45" customHeight="1">
      <c r="A2623" s="261" t="s">
        <v>8</v>
      </c>
      <c r="C2623" s="271" t="s">
        <v>1277</v>
      </c>
      <c r="D2623" s="497"/>
      <c r="E2623" s="499">
        <v>68160</v>
      </c>
      <c r="F2623" s="263"/>
      <c r="G2623" s="273" t="s">
        <v>2732</v>
      </c>
    </row>
    <row r="2624" spans="1:7" ht="17.45" customHeight="1">
      <c r="A2624" s="261" t="s">
        <v>8</v>
      </c>
      <c r="C2624" s="271" t="s">
        <v>1278</v>
      </c>
      <c r="D2624" s="497"/>
      <c r="E2624" s="499">
        <v>200000</v>
      </c>
      <c r="F2624" s="263"/>
      <c r="G2624" s="273"/>
    </row>
    <row r="2625" spans="1:7" ht="17.45" customHeight="1">
      <c r="A2625" s="261" t="s">
        <v>8</v>
      </c>
      <c r="C2625" s="285" t="s">
        <v>1413</v>
      </c>
      <c r="D2625" s="506"/>
      <c r="E2625" s="507">
        <f>1300000</f>
        <v>1300000</v>
      </c>
      <c r="F2625" s="286"/>
      <c r="G2625" s="287"/>
    </row>
    <row r="2626" spans="1:7" ht="17.25" customHeight="1">
      <c r="A2626" s="261" t="s">
        <v>8</v>
      </c>
      <c r="C2626" s="338" t="s">
        <v>2661</v>
      </c>
      <c r="D2626" s="497"/>
      <c r="E2626" s="497"/>
      <c r="F2626" s="263"/>
      <c r="G2626" s="275"/>
    </row>
    <row r="2627" spans="1:7" ht="17.45" customHeight="1">
      <c r="A2627" s="261" t="s">
        <v>8</v>
      </c>
      <c r="C2627" s="339" t="s">
        <v>2647</v>
      </c>
      <c r="D2627" s="506"/>
      <c r="E2627" s="506"/>
      <c r="F2627" s="286"/>
      <c r="G2627" s="290"/>
    </row>
    <row r="2628" spans="1:7" ht="17.45" customHeight="1" thickBot="1">
      <c r="A2628" s="261" t="s">
        <v>8</v>
      </c>
      <c r="C2628" s="285" t="s">
        <v>1942</v>
      </c>
      <c r="D2628" s="506"/>
      <c r="E2628" s="507">
        <v>20000</v>
      </c>
      <c r="F2628" s="286"/>
      <c r="G2628" s="290"/>
    </row>
    <row r="2629" spans="1:7" ht="17.45" customHeight="1">
      <c r="A2629" s="261" t="s">
        <v>8</v>
      </c>
      <c r="C2629" s="268" t="s">
        <v>1280</v>
      </c>
      <c r="D2629" s="501"/>
      <c r="E2629" s="500">
        <f>72000</f>
        <v>72000</v>
      </c>
      <c r="F2629" s="269"/>
      <c r="G2629" s="288"/>
    </row>
    <row r="2630" spans="1:7" ht="17.45" customHeight="1">
      <c r="A2630" s="261" t="s">
        <v>8</v>
      </c>
      <c r="C2630" s="271" t="s">
        <v>1549</v>
      </c>
      <c r="D2630" s="497"/>
      <c r="E2630" s="497"/>
      <c r="F2630" s="263"/>
      <c r="G2630" s="275"/>
    </row>
    <row r="2631" spans="1:7" ht="17.45" customHeight="1">
      <c r="A2631" s="261" t="s">
        <v>8</v>
      </c>
      <c r="C2631" s="271" t="s">
        <v>1819</v>
      </c>
      <c r="D2631" s="497"/>
      <c r="E2631" s="497"/>
      <c r="F2631" s="263"/>
      <c r="G2631" s="275"/>
    </row>
    <row r="2632" spans="1:7" ht="17.45" customHeight="1">
      <c r="A2632" s="261" t="s">
        <v>8</v>
      </c>
      <c r="C2632" s="271" t="s">
        <v>391</v>
      </c>
      <c r="D2632" s="497"/>
      <c r="E2632" s="497"/>
      <c r="F2632" s="263"/>
      <c r="G2632" s="275"/>
    </row>
    <row r="2633" spans="1:7" ht="17.45" customHeight="1">
      <c r="A2633" s="261" t="s">
        <v>8</v>
      </c>
      <c r="C2633" s="271" t="s">
        <v>1934</v>
      </c>
      <c r="D2633" s="497"/>
      <c r="E2633" s="497"/>
      <c r="F2633" s="263"/>
      <c r="G2633" s="275"/>
    </row>
    <row r="2634" spans="1:7" ht="17.25" customHeight="1">
      <c r="A2634" s="261" t="s">
        <v>8</v>
      </c>
      <c r="C2634" s="271" t="s">
        <v>2202</v>
      </c>
      <c r="D2634" s="497"/>
      <c r="E2634" s="497"/>
      <c r="F2634" s="263"/>
      <c r="G2634" s="275"/>
    </row>
    <row r="2635" spans="1:7" ht="17.45" customHeight="1">
      <c r="A2635" s="261" t="s">
        <v>8</v>
      </c>
      <c r="C2635" s="271" t="s">
        <v>2097</v>
      </c>
      <c r="D2635" s="497"/>
      <c r="E2635" s="497"/>
      <c r="F2635" s="263"/>
      <c r="G2635" s="275"/>
    </row>
    <row r="2636" spans="1:7" ht="17.45" customHeight="1">
      <c r="A2636" s="261" t="s">
        <v>8</v>
      </c>
      <c r="C2636" s="271" t="s">
        <v>2654</v>
      </c>
      <c r="D2636" s="497"/>
      <c r="E2636" s="499">
        <v>60000</v>
      </c>
      <c r="F2636" s="263"/>
      <c r="G2636" s="275"/>
    </row>
    <row r="2637" spans="1:7" ht="17.45" customHeight="1">
      <c r="A2637" s="261" t="s">
        <v>8</v>
      </c>
      <c r="C2637" s="271" t="s">
        <v>1687</v>
      </c>
      <c r="D2637" s="497"/>
      <c r="E2637" s="497"/>
      <c r="F2637" s="263"/>
      <c r="G2637" s="275"/>
    </row>
    <row r="2638" spans="1:7" ht="17.45" customHeight="1">
      <c r="A2638" s="261" t="s">
        <v>8</v>
      </c>
      <c r="C2638" s="271" t="s">
        <v>1688</v>
      </c>
      <c r="D2638" s="497"/>
      <c r="E2638" s="497"/>
      <c r="F2638" s="263"/>
      <c r="G2638" s="275"/>
    </row>
    <row r="2639" spans="1:7" ht="17.45" customHeight="1">
      <c r="A2639" s="261" t="s">
        <v>8</v>
      </c>
      <c r="C2639" s="271" t="s">
        <v>2748</v>
      </c>
      <c r="D2639" s="497"/>
      <c r="E2639" s="497"/>
      <c r="F2639" s="263"/>
      <c r="G2639" s="275"/>
    </row>
    <row r="2640" spans="1:7" ht="17.45" customHeight="1">
      <c r="A2640" s="261" t="s">
        <v>8</v>
      </c>
      <c r="C2640" s="271" t="s">
        <v>1596</v>
      </c>
      <c r="D2640" s="497"/>
      <c r="E2640" s="499">
        <f>3400</f>
        <v>3400</v>
      </c>
      <c r="F2640" s="263"/>
      <c r="G2640" s="275"/>
    </row>
    <row r="2641" spans="1:7" ht="17.45" customHeight="1">
      <c r="A2641" s="261" t="s">
        <v>8</v>
      </c>
      <c r="C2641" s="271" t="s">
        <v>1595</v>
      </c>
      <c r="D2641" s="497"/>
      <c r="E2641" s="499">
        <f>3300</f>
        <v>3300</v>
      </c>
      <c r="F2641" s="263"/>
      <c r="G2641" s="275"/>
    </row>
    <row r="2642" spans="1:7" ht="17.45" customHeight="1">
      <c r="A2642" s="261" t="s">
        <v>8</v>
      </c>
      <c r="C2642" s="271" t="s">
        <v>1613</v>
      </c>
      <c r="D2642" s="497"/>
      <c r="E2642" s="497"/>
      <c r="F2642" s="263"/>
      <c r="G2642" s="275"/>
    </row>
    <row r="2643" spans="1:7" ht="17.45" customHeight="1">
      <c r="A2643" s="261" t="s">
        <v>8</v>
      </c>
      <c r="C2643" s="271" t="s">
        <v>1613</v>
      </c>
      <c r="D2643" s="497"/>
      <c r="E2643" s="499">
        <v>1300</v>
      </c>
      <c r="F2643" s="263"/>
      <c r="G2643" s="273" t="s">
        <v>2801</v>
      </c>
    </row>
    <row r="2644" spans="1:7" ht="17.45" customHeight="1">
      <c r="A2644" s="261" t="s">
        <v>8</v>
      </c>
      <c r="C2644" s="271" t="s">
        <v>1689</v>
      </c>
      <c r="D2644" s="497"/>
      <c r="E2644" s="497"/>
      <c r="F2644" s="263"/>
      <c r="G2644" s="275"/>
    </row>
    <row r="2645" spans="1:7" ht="17.45" customHeight="1">
      <c r="A2645" s="261" t="s">
        <v>8</v>
      </c>
      <c r="C2645" s="271" t="s">
        <v>1569</v>
      </c>
      <c r="D2645" s="497"/>
      <c r="E2645" s="499">
        <f>48290</f>
        <v>48290</v>
      </c>
      <c r="F2645" s="263"/>
      <c r="G2645" s="275"/>
    </row>
    <row r="2646" spans="1:7" ht="17.45" customHeight="1">
      <c r="A2646" s="261" t="s">
        <v>8</v>
      </c>
      <c r="C2646" s="271" t="s">
        <v>1618</v>
      </c>
      <c r="D2646" s="497"/>
      <c r="E2646" s="499">
        <f>21610+28920+5880+31960+32190</f>
        <v>120560</v>
      </c>
      <c r="F2646" s="263"/>
      <c r="G2646" s="275"/>
    </row>
    <row r="2647" spans="1:7" ht="17.45" customHeight="1">
      <c r="A2647" s="261" t="s">
        <v>8</v>
      </c>
      <c r="C2647" s="271" t="s">
        <v>2810</v>
      </c>
      <c r="D2647" s="497"/>
      <c r="E2647" s="499">
        <v>56764</v>
      </c>
      <c r="F2647" s="263"/>
      <c r="G2647" s="275"/>
    </row>
    <row r="2648" spans="1:7" ht="17.45" customHeight="1" thickBot="1">
      <c r="A2648" s="261" t="s">
        <v>8</v>
      </c>
      <c r="C2648" s="276" t="s">
        <v>2699</v>
      </c>
      <c r="D2648" s="502"/>
      <c r="E2648" s="503">
        <f>16000+33000+17000</f>
        <v>66000</v>
      </c>
      <c r="F2648" s="277"/>
      <c r="G2648" s="282"/>
    </row>
    <row r="2649" spans="1:7" ht="17.45" customHeight="1">
      <c r="A2649" s="261" t="s">
        <v>8</v>
      </c>
      <c r="C2649" s="279" t="s">
        <v>1650</v>
      </c>
      <c r="D2649" s="504"/>
      <c r="E2649" s="505">
        <f>8900+9800</f>
        <v>18700</v>
      </c>
      <c r="F2649" s="280"/>
      <c r="G2649" s="281"/>
    </row>
    <row r="2650" spans="1:7" ht="17.45" customHeight="1">
      <c r="A2650" s="261" t="s">
        <v>8</v>
      </c>
      <c r="C2650" s="271" t="s">
        <v>2778</v>
      </c>
      <c r="D2650" s="497"/>
      <c r="E2650" s="499">
        <v>71200</v>
      </c>
      <c r="F2650" s="263"/>
      <c r="G2650" s="275"/>
    </row>
    <row r="2651" spans="1:7" ht="17.45" customHeight="1">
      <c r="A2651" s="261" t="s">
        <v>8</v>
      </c>
      <c r="C2651" s="271" t="s">
        <v>2779</v>
      </c>
      <c r="D2651" s="497"/>
      <c r="E2651" s="499">
        <f>20030-11400</f>
        <v>8630</v>
      </c>
      <c r="F2651" s="263"/>
      <c r="G2651" s="275"/>
    </row>
    <row r="2652" spans="1:7" ht="17.45" customHeight="1">
      <c r="A2652" s="261" t="s">
        <v>8</v>
      </c>
      <c r="C2652" s="271" t="s">
        <v>1891</v>
      </c>
      <c r="D2652" s="497"/>
      <c r="E2652" s="499">
        <v>24000</v>
      </c>
      <c r="F2652" s="263"/>
      <c r="G2652" s="275"/>
    </row>
    <row r="2653" spans="1:7" ht="17.45" customHeight="1">
      <c r="A2653" s="261" t="s">
        <v>8</v>
      </c>
      <c r="C2653" s="271" t="s">
        <v>2802</v>
      </c>
      <c r="D2653" s="497"/>
      <c r="E2653" s="499">
        <f>17000*2</f>
        <v>34000</v>
      </c>
      <c r="F2653" s="263"/>
      <c r="G2653" s="275"/>
    </row>
    <row r="2654" spans="1:7" ht="17.45" customHeight="1">
      <c r="A2654" s="261" t="s">
        <v>8</v>
      </c>
      <c r="C2654" s="271" t="s">
        <v>2803</v>
      </c>
      <c r="D2654" s="497"/>
      <c r="E2654" s="499">
        <v>3500</v>
      </c>
      <c r="F2654" s="263"/>
      <c r="G2654" s="275"/>
    </row>
    <row r="2655" spans="1:7" ht="17.45" customHeight="1">
      <c r="A2655" s="261" t="s">
        <v>8</v>
      </c>
      <c r="C2655" s="271" t="s">
        <v>2804</v>
      </c>
      <c r="D2655" s="497"/>
      <c r="E2655" s="499">
        <v>7900</v>
      </c>
      <c r="F2655" s="263"/>
      <c r="G2655" s="275"/>
    </row>
    <row r="2656" spans="1:7" ht="17.45" customHeight="1">
      <c r="A2656" s="261" t="s">
        <v>8</v>
      </c>
      <c r="C2656" s="271" t="s">
        <v>2763</v>
      </c>
      <c r="D2656" s="497"/>
      <c r="E2656" s="499">
        <v>5000</v>
      </c>
      <c r="F2656" s="263"/>
      <c r="G2656" s="275"/>
    </row>
    <row r="2657" spans="1:7" ht="17.45" customHeight="1">
      <c r="A2657" s="261" t="s">
        <v>8</v>
      </c>
      <c r="C2657" s="271" t="s">
        <v>2397</v>
      </c>
      <c r="D2657" s="497"/>
      <c r="E2657" s="499">
        <v>22000</v>
      </c>
      <c r="F2657" s="263"/>
      <c r="G2657" s="275"/>
    </row>
    <row r="2658" spans="1:7" ht="17.45" customHeight="1">
      <c r="A2658" s="261" t="s">
        <v>8</v>
      </c>
      <c r="C2658" s="284" t="s">
        <v>2805</v>
      </c>
      <c r="D2658" s="497"/>
      <c r="E2658" s="499">
        <v>3000000</v>
      </c>
      <c r="F2658" s="263"/>
      <c r="G2658" s="275"/>
    </row>
    <row r="2659" spans="1:7" ht="17.25" customHeight="1">
      <c r="A2659" s="261" t="s">
        <v>8</v>
      </c>
      <c r="C2659" s="271" t="s">
        <v>2806</v>
      </c>
      <c r="D2659" s="497"/>
      <c r="E2659" s="499">
        <v>82800</v>
      </c>
      <c r="F2659" s="263"/>
      <c r="G2659" s="275"/>
    </row>
    <row r="2660" spans="1:7" ht="17.45" customHeight="1">
      <c r="A2660" s="261" t="s">
        <v>8</v>
      </c>
      <c r="C2660" s="271" t="s">
        <v>2807</v>
      </c>
      <c r="D2660" s="497"/>
      <c r="E2660" s="499">
        <v>15900</v>
      </c>
      <c r="F2660" s="263"/>
      <c r="G2660" s="275"/>
    </row>
    <row r="2661" spans="1:7" ht="17.45" customHeight="1">
      <c r="A2661" s="261" t="s">
        <v>8</v>
      </c>
      <c r="C2661" s="271" t="s">
        <v>2808</v>
      </c>
      <c r="D2661" s="497"/>
      <c r="E2661" s="499">
        <f>5180+45180+5780-3380</f>
        <v>52760</v>
      </c>
      <c r="F2661" s="263"/>
      <c r="G2661" s="275"/>
    </row>
    <row r="2662" spans="1:7" ht="17.45" customHeight="1">
      <c r="A2662" s="261" t="s">
        <v>8</v>
      </c>
      <c r="C2662" s="271" t="s">
        <v>2809</v>
      </c>
      <c r="D2662" s="497"/>
      <c r="E2662" s="499">
        <v>120000</v>
      </c>
      <c r="F2662" s="263"/>
      <c r="G2662" s="275"/>
    </row>
    <row r="2663" spans="1:7" ht="17.45" customHeight="1">
      <c r="A2663" s="261" t="s">
        <v>8</v>
      </c>
      <c r="C2663" s="284" t="s">
        <v>2811</v>
      </c>
      <c r="D2663" s="497"/>
      <c r="E2663" s="499">
        <v>23800</v>
      </c>
      <c r="F2663" s="263"/>
      <c r="G2663" s="275"/>
    </row>
    <row r="2664" spans="1:7" ht="17.45" customHeight="1">
      <c r="A2664" s="261" t="s">
        <v>8</v>
      </c>
      <c r="C2664" s="271" t="s">
        <v>2812</v>
      </c>
      <c r="D2664" s="497"/>
      <c r="E2664" s="499">
        <v>1600</v>
      </c>
      <c r="F2664" s="263"/>
      <c r="G2664" s="275"/>
    </row>
    <row r="2665" spans="1:7" ht="17.45" customHeight="1">
      <c r="A2665" s="261" t="s">
        <v>8</v>
      </c>
      <c r="C2665" s="271" t="s">
        <v>2813</v>
      </c>
      <c r="D2665" s="497"/>
      <c r="E2665" s="499">
        <v>19800</v>
      </c>
      <c r="F2665" s="263"/>
      <c r="G2665" s="275"/>
    </row>
    <row r="2666" spans="1:7" ht="17.45" customHeight="1">
      <c r="A2666" s="261" t="s">
        <v>8</v>
      </c>
      <c r="C2666" s="271" t="s">
        <v>2814</v>
      </c>
      <c r="D2666" s="499">
        <f>163633-163385</f>
        <v>248</v>
      </c>
      <c r="E2666" s="497"/>
      <c r="F2666" s="263"/>
      <c r="G2666" s="275"/>
    </row>
    <row r="2667" spans="1:7" ht="17.45" customHeight="1">
      <c r="A2667" s="261" t="s">
        <v>8</v>
      </c>
      <c r="C2667" s="271" t="s">
        <v>2816</v>
      </c>
      <c r="D2667" s="497"/>
      <c r="E2667" s="499">
        <v>66130</v>
      </c>
      <c r="F2667" s="263"/>
      <c r="G2667" s="275"/>
    </row>
    <row r="2668" spans="1:7" ht="17.45" customHeight="1">
      <c r="A2668" s="261" t="s">
        <v>8</v>
      </c>
      <c r="C2668" s="271" t="s">
        <v>1647</v>
      </c>
      <c r="D2668" s="497"/>
      <c r="E2668" s="499">
        <v>1900</v>
      </c>
      <c r="F2668" s="263"/>
      <c r="G2668" s="275"/>
    </row>
    <row r="2669" spans="1:7" ht="17.45" customHeight="1">
      <c r="A2669" s="261" t="s">
        <v>8</v>
      </c>
      <c r="C2669" s="271" t="s">
        <v>2817</v>
      </c>
      <c r="D2669" s="497"/>
      <c r="E2669" s="499">
        <v>-2200</v>
      </c>
      <c r="F2669" s="263"/>
      <c r="G2669" s="275"/>
    </row>
    <row r="2670" spans="1:7" ht="17.45" customHeight="1">
      <c r="A2670" s="261" t="s">
        <v>8</v>
      </c>
      <c r="C2670" s="271" t="s">
        <v>2818</v>
      </c>
      <c r="D2670" s="497"/>
      <c r="E2670" s="499">
        <v>35000</v>
      </c>
      <c r="F2670" s="263"/>
      <c r="G2670" s="275"/>
    </row>
    <row r="2671" spans="1:7" ht="17.45" customHeight="1">
      <c r="A2671" s="261" t="s">
        <v>8</v>
      </c>
      <c r="C2671" s="271" t="s">
        <v>2470</v>
      </c>
      <c r="D2671" s="497"/>
      <c r="E2671" s="499">
        <v>1100</v>
      </c>
      <c r="F2671" s="263"/>
      <c r="G2671" s="275"/>
    </row>
    <row r="2672" spans="1:7" ht="17.45" customHeight="1">
      <c r="A2672" s="261" t="s">
        <v>8</v>
      </c>
      <c r="C2672" s="271" t="s">
        <v>2819</v>
      </c>
      <c r="D2672" s="497"/>
      <c r="E2672" s="499">
        <v>15000</v>
      </c>
      <c r="F2672" s="263"/>
      <c r="G2672" s="275"/>
    </row>
    <row r="2673" spans="1:7" ht="17.45" customHeight="1" thickBot="1">
      <c r="A2673" s="261" t="s">
        <v>8</v>
      </c>
      <c r="C2673" s="276" t="s">
        <v>1300</v>
      </c>
      <c r="D2673" s="502">
        <f>SUM(D2608:D2672)-SUM(E2608:E2672)</f>
        <v>-1406269</v>
      </c>
      <c r="E2673" s="502">
        <f>SUM(E2608:E2672)-SUM(F2608:F2672)</f>
        <v>7509305</v>
      </c>
      <c r="F2673" s="277"/>
      <c r="G2673" s="283"/>
    </row>
    <row r="2675" spans="1:7" ht="12.75" thickBot="1"/>
    <row r="2676" spans="1:7" ht="17.45" customHeight="1">
      <c r="A2676" s="261" t="s">
        <v>8</v>
      </c>
      <c r="B2676" s="256" t="s">
        <v>2820</v>
      </c>
      <c r="C2676" s="268" t="s">
        <v>1268</v>
      </c>
      <c r="D2676" s="501">
        <v>8311835</v>
      </c>
      <c r="E2676" s="501"/>
      <c r="F2676" s="269"/>
      <c r="G2676" s="270"/>
    </row>
    <row r="2677" spans="1:7" ht="17.45" customHeight="1">
      <c r="A2677" s="261" t="s">
        <v>8</v>
      </c>
      <c r="B2677" s="257"/>
      <c r="C2677" s="271" t="s">
        <v>1269</v>
      </c>
      <c r="D2677" s="497"/>
      <c r="E2677" s="499">
        <v>408000</v>
      </c>
      <c r="F2677" s="263"/>
      <c r="G2677" s="272" t="s">
        <v>2185</v>
      </c>
    </row>
    <row r="2678" spans="1:7" ht="17.45" customHeight="1">
      <c r="A2678" s="261" t="s">
        <v>8</v>
      </c>
      <c r="C2678" s="271" t="s">
        <v>1270</v>
      </c>
      <c r="D2678" s="497"/>
      <c r="E2678" s="499">
        <v>1001000</v>
      </c>
      <c r="F2678" s="263"/>
      <c r="G2678" s="273" t="s">
        <v>2740</v>
      </c>
    </row>
    <row r="2679" spans="1:7" ht="17.45" customHeight="1">
      <c r="A2679" s="261" t="s">
        <v>8</v>
      </c>
      <c r="C2679" s="271" t="s">
        <v>1670</v>
      </c>
      <c r="D2679" s="497"/>
      <c r="E2679" s="497"/>
      <c r="F2679" s="263"/>
      <c r="G2679" s="274"/>
    </row>
    <row r="2680" spans="1:7" ht="17.45" customHeight="1">
      <c r="A2680" s="261" t="s">
        <v>8</v>
      </c>
      <c r="C2680" s="271" t="s">
        <v>1672</v>
      </c>
      <c r="D2680" s="497"/>
      <c r="E2680" s="499">
        <v>112300</v>
      </c>
      <c r="F2680" s="263"/>
      <c r="G2680" s="273" t="s">
        <v>2732</v>
      </c>
    </row>
    <row r="2681" spans="1:7" ht="17.45" customHeight="1">
      <c r="A2681" s="261" t="s">
        <v>8</v>
      </c>
      <c r="C2681" s="271" t="s">
        <v>1673</v>
      </c>
      <c r="D2681" s="497"/>
      <c r="E2681" s="497"/>
      <c r="F2681" s="263"/>
      <c r="G2681" s="274"/>
    </row>
    <row r="2682" spans="1:7" ht="17.45" customHeight="1">
      <c r="A2682" s="261" t="s">
        <v>8</v>
      </c>
      <c r="C2682" s="271" t="s">
        <v>1332</v>
      </c>
      <c r="D2682" s="497"/>
      <c r="E2682" s="499">
        <v>34650</v>
      </c>
      <c r="F2682" s="263"/>
      <c r="G2682" s="275"/>
    </row>
    <row r="2683" spans="1:7" ht="17.45" customHeight="1">
      <c r="A2683" s="261" t="s">
        <v>8</v>
      </c>
      <c r="C2683" s="271" t="s">
        <v>1271</v>
      </c>
      <c r="D2683" s="497"/>
      <c r="E2683" s="497"/>
      <c r="F2683" s="263"/>
      <c r="G2683" s="274"/>
    </row>
    <row r="2684" spans="1:7" ht="17.45" customHeight="1">
      <c r="A2684" s="261" t="s">
        <v>8</v>
      </c>
      <c r="C2684" s="271" t="s">
        <v>1272</v>
      </c>
      <c r="D2684" s="497"/>
      <c r="E2684" s="497"/>
      <c r="F2684" s="263"/>
      <c r="G2684" s="273"/>
    </row>
    <row r="2685" spans="1:7" ht="17.45" customHeight="1">
      <c r="A2685" s="261" t="s">
        <v>8</v>
      </c>
      <c r="C2685" s="271" t="s">
        <v>1273</v>
      </c>
      <c r="D2685" s="497"/>
      <c r="E2685" s="499">
        <v>29920</v>
      </c>
      <c r="F2685" s="263"/>
      <c r="G2685" s="273" t="s">
        <v>2732</v>
      </c>
    </row>
    <row r="2686" spans="1:7" ht="17.45" customHeight="1">
      <c r="A2686" s="261" t="s">
        <v>8</v>
      </c>
      <c r="C2686" s="271" t="s">
        <v>1274</v>
      </c>
      <c r="D2686" s="497"/>
      <c r="E2686" s="499">
        <v>9405</v>
      </c>
      <c r="F2686" s="263"/>
      <c r="G2686" s="273" t="s">
        <v>2732</v>
      </c>
    </row>
    <row r="2687" spans="1:7" ht="17.45" customHeight="1">
      <c r="A2687" s="261" t="s">
        <v>8</v>
      </c>
      <c r="C2687" s="271" t="s">
        <v>2168</v>
      </c>
      <c r="D2687" s="497"/>
      <c r="E2687" s="499">
        <v>18816</v>
      </c>
      <c r="F2687" s="263"/>
      <c r="G2687" s="273" t="s">
        <v>2732</v>
      </c>
    </row>
    <row r="2688" spans="1:7" ht="17.45" customHeight="1">
      <c r="A2688" s="261" t="s">
        <v>8</v>
      </c>
      <c r="C2688" s="271" t="s">
        <v>1517</v>
      </c>
      <c r="D2688" s="497"/>
      <c r="E2688" s="499">
        <v>23230</v>
      </c>
      <c r="F2688" s="263"/>
      <c r="G2688" s="273" t="s">
        <v>2732</v>
      </c>
    </row>
    <row r="2689" spans="1:7" ht="17.45" customHeight="1">
      <c r="A2689" s="261" t="s">
        <v>8</v>
      </c>
      <c r="C2689" s="271" t="s">
        <v>1276</v>
      </c>
      <c r="D2689" s="497"/>
      <c r="E2689" s="499">
        <v>255460</v>
      </c>
      <c r="F2689" s="263"/>
      <c r="G2689" s="273" t="s">
        <v>2732</v>
      </c>
    </row>
    <row r="2690" spans="1:7" ht="17.45" customHeight="1">
      <c r="A2690" s="261" t="s">
        <v>8</v>
      </c>
      <c r="C2690" s="271" t="s">
        <v>1277</v>
      </c>
      <c r="D2690" s="497"/>
      <c r="E2690" s="499">
        <v>61750</v>
      </c>
      <c r="F2690" s="263"/>
      <c r="G2690" s="273" t="s">
        <v>2732</v>
      </c>
    </row>
    <row r="2691" spans="1:7" ht="17.45" customHeight="1">
      <c r="A2691" s="261" t="s">
        <v>8</v>
      </c>
      <c r="C2691" s="271" t="s">
        <v>1278</v>
      </c>
      <c r="D2691" s="497"/>
      <c r="E2691" s="499">
        <v>200000</v>
      </c>
      <c r="F2691" s="263"/>
      <c r="G2691" s="273"/>
    </row>
    <row r="2692" spans="1:7" ht="17.45" customHeight="1">
      <c r="A2692" s="261" t="s">
        <v>8</v>
      </c>
      <c r="C2692" s="285" t="s">
        <v>1413</v>
      </c>
      <c r="D2692" s="506"/>
      <c r="E2692" s="507">
        <f>1300000</f>
        <v>1300000</v>
      </c>
      <c r="F2692" s="286"/>
      <c r="G2692" s="287"/>
    </row>
    <row r="2693" spans="1:7" ht="17.25" customHeight="1">
      <c r="A2693" s="261" t="s">
        <v>8</v>
      </c>
      <c r="C2693" s="338" t="s">
        <v>2661</v>
      </c>
      <c r="D2693" s="497"/>
      <c r="E2693" s="497"/>
      <c r="F2693" s="263"/>
      <c r="G2693" s="275"/>
    </row>
    <row r="2694" spans="1:7" ht="17.45" customHeight="1">
      <c r="A2694" s="261" t="s">
        <v>8</v>
      </c>
      <c r="C2694" s="339" t="s">
        <v>2647</v>
      </c>
      <c r="D2694" s="506"/>
      <c r="E2694" s="506"/>
      <c r="F2694" s="286"/>
      <c r="G2694" s="290"/>
    </row>
    <row r="2695" spans="1:7" ht="17.45" customHeight="1" thickBot="1">
      <c r="A2695" s="261" t="s">
        <v>8</v>
      </c>
      <c r="C2695" s="285" t="s">
        <v>1942</v>
      </c>
      <c r="D2695" s="506"/>
      <c r="E2695" s="507">
        <v>20000</v>
      </c>
      <c r="F2695" s="286"/>
      <c r="G2695" s="290"/>
    </row>
    <row r="2696" spans="1:7" ht="17.45" customHeight="1">
      <c r="A2696" s="261" t="s">
        <v>8</v>
      </c>
      <c r="C2696" s="268" t="s">
        <v>1280</v>
      </c>
      <c r="D2696" s="501"/>
      <c r="E2696" s="500">
        <f>50000</f>
        <v>50000</v>
      </c>
      <c r="F2696" s="269"/>
      <c r="G2696" s="288"/>
    </row>
    <row r="2697" spans="1:7" ht="17.45" customHeight="1">
      <c r="A2697" s="261" t="s">
        <v>8</v>
      </c>
      <c r="C2697" s="271" t="s">
        <v>1549</v>
      </c>
      <c r="D2697" s="497"/>
      <c r="E2697" s="497"/>
      <c r="F2697" s="263"/>
      <c r="G2697" s="275"/>
    </row>
    <row r="2698" spans="1:7" ht="17.45" customHeight="1">
      <c r="A2698" s="261" t="s">
        <v>8</v>
      </c>
      <c r="C2698" s="271" t="s">
        <v>1819</v>
      </c>
      <c r="D2698" s="497"/>
      <c r="E2698" s="497"/>
      <c r="F2698" s="263"/>
      <c r="G2698" s="275"/>
    </row>
    <row r="2699" spans="1:7" ht="17.45" customHeight="1">
      <c r="A2699" s="261" t="s">
        <v>8</v>
      </c>
      <c r="C2699" s="271" t="s">
        <v>391</v>
      </c>
      <c r="D2699" s="497"/>
      <c r="E2699" s="497"/>
      <c r="F2699" s="263"/>
      <c r="G2699" s="275"/>
    </row>
    <row r="2700" spans="1:7" ht="17.45" customHeight="1">
      <c r="A2700" s="261" t="s">
        <v>8</v>
      </c>
      <c r="C2700" s="271" t="s">
        <v>1934</v>
      </c>
      <c r="D2700" s="497"/>
      <c r="E2700" s="497"/>
      <c r="F2700" s="263"/>
      <c r="G2700" s="275"/>
    </row>
    <row r="2701" spans="1:7" ht="17.25" customHeight="1">
      <c r="A2701" s="261" t="s">
        <v>8</v>
      </c>
      <c r="C2701" s="271" t="s">
        <v>2202</v>
      </c>
      <c r="D2701" s="497"/>
      <c r="E2701" s="497"/>
      <c r="F2701" s="263"/>
      <c r="G2701" s="275"/>
    </row>
    <row r="2702" spans="1:7" ht="17.45" customHeight="1">
      <c r="A2702" s="261" t="s">
        <v>8</v>
      </c>
      <c r="C2702" s="271" t="s">
        <v>2654</v>
      </c>
      <c r="D2702" s="497"/>
      <c r="E2702" s="499">
        <v>60000</v>
      </c>
      <c r="F2702" s="263"/>
      <c r="G2702" s="275"/>
    </row>
    <row r="2703" spans="1:7" ht="17.45" customHeight="1">
      <c r="A2703" s="261" t="s">
        <v>8</v>
      </c>
      <c r="C2703" s="271" t="s">
        <v>1687</v>
      </c>
      <c r="D2703" s="497"/>
      <c r="E2703" s="497"/>
      <c r="F2703" s="263"/>
      <c r="G2703" s="275"/>
    </row>
    <row r="2704" spans="1:7" ht="17.45" customHeight="1">
      <c r="A2704" s="261" t="s">
        <v>8</v>
      </c>
      <c r="C2704" s="271" t="s">
        <v>1688</v>
      </c>
      <c r="D2704" s="497"/>
      <c r="E2704" s="497"/>
      <c r="F2704" s="263"/>
      <c r="G2704" s="275"/>
    </row>
    <row r="2705" spans="1:7" ht="17.45" customHeight="1">
      <c r="A2705" s="261" t="s">
        <v>8</v>
      </c>
      <c r="C2705" s="271" t="s">
        <v>2748</v>
      </c>
      <c r="D2705" s="497"/>
      <c r="E2705" s="497"/>
      <c r="F2705" s="263"/>
      <c r="G2705" s="275"/>
    </row>
    <row r="2706" spans="1:7" ht="17.45" customHeight="1">
      <c r="A2706" s="261" t="s">
        <v>8</v>
      </c>
      <c r="C2706" s="271" t="s">
        <v>1596</v>
      </c>
      <c r="D2706" s="497"/>
      <c r="E2706" s="497"/>
      <c r="F2706" s="263"/>
      <c r="G2706" s="275"/>
    </row>
    <row r="2707" spans="1:7" ht="17.45" customHeight="1">
      <c r="A2707" s="261" t="s">
        <v>8</v>
      </c>
      <c r="C2707" s="271" t="s">
        <v>1595</v>
      </c>
      <c r="D2707" s="497"/>
      <c r="E2707" s="497"/>
      <c r="F2707" s="263"/>
      <c r="G2707" s="275"/>
    </row>
    <row r="2708" spans="1:7" ht="17.45" customHeight="1">
      <c r="A2708" s="261" t="s">
        <v>8</v>
      </c>
      <c r="C2708" s="271" t="s">
        <v>2822</v>
      </c>
      <c r="D2708" s="497"/>
      <c r="E2708" s="497"/>
      <c r="F2708" s="263"/>
      <c r="G2708" s="275"/>
    </row>
    <row r="2709" spans="1:7" ht="17.45" customHeight="1">
      <c r="A2709" s="261" t="s">
        <v>8</v>
      </c>
      <c r="C2709" s="271" t="s">
        <v>2821</v>
      </c>
      <c r="D2709" s="497"/>
      <c r="E2709" s="497"/>
      <c r="F2709" s="263"/>
      <c r="G2709" s="273"/>
    </row>
    <row r="2710" spans="1:7" ht="17.45" customHeight="1">
      <c r="A2710" s="261" t="s">
        <v>8</v>
      </c>
      <c r="C2710" s="271" t="s">
        <v>1689</v>
      </c>
      <c r="D2710" s="497"/>
      <c r="E2710" s="497"/>
      <c r="F2710" s="263"/>
      <c r="G2710" s="275"/>
    </row>
    <row r="2711" spans="1:7" ht="17.45" customHeight="1">
      <c r="A2711" s="261" t="s">
        <v>8</v>
      </c>
      <c r="C2711" s="271" t="s">
        <v>1569</v>
      </c>
      <c r="D2711" s="497"/>
      <c r="E2711" s="499">
        <v>105460</v>
      </c>
      <c r="F2711" s="263"/>
      <c r="G2711" s="275"/>
    </row>
    <row r="2712" spans="1:7" ht="17.45" customHeight="1">
      <c r="A2712" s="261" t="s">
        <v>8</v>
      </c>
      <c r="C2712" s="271" t="s">
        <v>1618</v>
      </c>
      <c r="D2712" s="497"/>
      <c r="E2712" s="499">
        <f>5580+8460+18160</f>
        <v>32200</v>
      </c>
      <c r="F2712" s="263"/>
      <c r="G2712" s="275"/>
    </row>
    <row r="2713" spans="1:7" ht="17.45" customHeight="1">
      <c r="A2713" s="261" t="s">
        <v>8</v>
      </c>
      <c r="C2713" s="271" t="s">
        <v>2810</v>
      </c>
      <c r="D2713" s="497"/>
      <c r="E2713" s="499">
        <f>10000</f>
        <v>10000</v>
      </c>
      <c r="F2713" s="263"/>
      <c r="G2713" s="275"/>
    </row>
    <row r="2714" spans="1:7" ht="17.45" customHeight="1" thickBot="1">
      <c r="A2714" s="261" t="s">
        <v>8</v>
      </c>
      <c r="C2714" s="276" t="s">
        <v>2699</v>
      </c>
      <c r="D2714" s="502"/>
      <c r="E2714" s="503">
        <f>23100</f>
        <v>23100</v>
      </c>
      <c r="F2714" s="277"/>
      <c r="G2714" s="282"/>
    </row>
    <row r="2715" spans="1:7" ht="17.45" customHeight="1">
      <c r="A2715" s="261" t="s">
        <v>8</v>
      </c>
      <c r="C2715" s="279" t="s">
        <v>1647</v>
      </c>
      <c r="D2715" s="504"/>
      <c r="E2715" s="505">
        <v>7000</v>
      </c>
      <c r="F2715" s="280"/>
      <c r="G2715" s="281"/>
    </row>
    <row r="2716" spans="1:7" ht="17.45" customHeight="1">
      <c r="A2716" s="261" t="s">
        <v>8</v>
      </c>
      <c r="C2716" s="271" t="s">
        <v>2489</v>
      </c>
      <c r="D2716" s="497"/>
      <c r="E2716" s="499">
        <v>11400</v>
      </c>
      <c r="F2716" s="263"/>
      <c r="G2716" s="275"/>
    </row>
    <row r="2717" spans="1:7" ht="17.45" customHeight="1">
      <c r="A2717" s="261" t="s">
        <v>8</v>
      </c>
      <c r="C2717" s="271" t="s">
        <v>2883</v>
      </c>
      <c r="D2717" s="497"/>
      <c r="E2717" s="499">
        <v>102000</v>
      </c>
      <c r="F2717" s="263"/>
      <c r="G2717" s="275"/>
    </row>
    <row r="2718" spans="1:7" ht="17.45" customHeight="1">
      <c r="A2718" s="261" t="s">
        <v>8</v>
      </c>
      <c r="C2718" s="271" t="s">
        <v>2884</v>
      </c>
      <c r="D2718" s="497"/>
      <c r="E2718" s="499">
        <v>100000</v>
      </c>
      <c r="F2718" s="263"/>
      <c r="G2718" s="275"/>
    </row>
    <row r="2719" spans="1:7" ht="17.45" customHeight="1">
      <c r="A2719" s="261" t="s">
        <v>8</v>
      </c>
      <c r="C2719" s="271" t="s">
        <v>2885</v>
      </c>
      <c r="D2719" s="497"/>
      <c r="E2719" s="499">
        <v>103200</v>
      </c>
      <c r="F2719" s="263"/>
      <c r="G2719" s="275"/>
    </row>
    <row r="2720" spans="1:7" ht="17.45" customHeight="1">
      <c r="A2720" s="261" t="s">
        <v>8</v>
      </c>
      <c r="C2720" s="271" t="s">
        <v>2886</v>
      </c>
      <c r="D2720" s="497"/>
      <c r="E2720" s="499">
        <v>59900</v>
      </c>
      <c r="F2720" s="263"/>
      <c r="G2720" s="275"/>
    </row>
    <row r="2721" spans="1:7" ht="17.45" customHeight="1">
      <c r="A2721" s="261" t="s">
        <v>8</v>
      </c>
      <c r="C2721" s="271" t="s">
        <v>1163</v>
      </c>
      <c r="D2721" s="497"/>
      <c r="E2721" s="499">
        <v>10300</v>
      </c>
      <c r="F2721" s="263"/>
      <c r="G2721" s="275"/>
    </row>
    <row r="2722" spans="1:7" ht="17.45" customHeight="1">
      <c r="A2722" s="261" t="s">
        <v>8</v>
      </c>
      <c r="C2722" s="271" t="s">
        <v>2887</v>
      </c>
      <c r="D2722" s="497"/>
      <c r="E2722" s="499">
        <v>2000000</v>
      </c>
      <c r="F2722" s="263"/>
      <c r="G2722" s="275"/>
    </row>
    <row r="2723" spans="1:7" ht="17.45" customHeight="1">
      <c r="A2723" s="261" t="s">
        <v>8</v>
      </c>
      <c r="C2723" s="271" t="s">
        <v>2888</v>
      </c>
      <c r="D2723" s="497"/>
      <c r="E2723" s="499">
        <v>500000</v>
      </c>
      <c r="F2723" s="263"/>
      <c r="G2723" s="275"/>
    </row>
    <row r="2724" spans="1:7" ht="17.45" customHeight="1">
      <c r="A2724" s="261" t="s">
        <v>8</v>
      </c>
      <c r="C2724" s="284" t="s">
        <v>2954</v>
      </c>
      <c r="D2724" s="497"/>
      <c r="E2724" s="499">
        <v>16000</v>
      </c>
      <c r="F2724" s="263"/>
      <c r="G2724" s="275"/>
    </row>
    <row r="2725" spans="1:7" ht="17.25" customHeight="1">
      <c r="A2725" s="261" t="s">
        <v>8</v>
      </c>
      <c r="C2725" s="271" t="s">
        <v>2955</v>
      </c>
      <c r="D2725" s="497"/>
      <c r="E2725" s="499">
        <v>20000</v>
      </c>
      <c r="F2725" s="263"/>
      <c r="G2725" s="275"/>
    </row>
    <row r="2726" spans="1:7" ht="17.45" customHeight="1">
      <c r="A2726" s="261" t="s">
        <v>8</v>
      </c>
      <c r="C2726" s="271" t="s">
        <v>2441</v>
      </c>
      <c r="D2726" s="497"/>
      <c r="E2726" s="499">
        <v>9000</v>
      </c>
      <c r="F2726" s="263"/>
      <c r="G2726" s="275"/>
    </row>
    <row r="2727" spans="1:7" ht="17.45" customHeight="1">
      <c r="A2727" s="261" t="s">
        <v>8</v>
      </c>
      <c r="C2727" s="271" t="s">
        <v>2956</v>
      </c>
      <c r="D2727" s="497"/>
      <c r="E2727" s="499">
        <f>74810</f>
        <v>74810</v>
      </c>
      <c r="F2727" s="263"/>
      <c r="G2727" s="275"/>
    </row>
    <row r="2728" spans="1:7" ht="17.45" customHeight="1">
      <c r="A2728" s="261" t="s">
        <v>8</v>
      </c>
      <c r="C2728" s="271" t="s">
        <v>2696</v>
      </c>
      <c r="D2728" s="497"/>
      <c r="E2728" s="499">
        <v>700000</v>
      </c>
      <c r="F2728" s="263"/>
      <c r="G2728" s="275"/>
    </row>
    <row r="2729" spans="1:7" ht="17.45" customHeight="1">
      <c r="A2729" s="261" t="s">
        <v>8</v>
      </c>
      <c r="C2729" s="284" t="s">
        <v>2957</v>
      </c>
      <c r="D2729" s="497"/>
      <c r="E2729" s="499">
        <v>27000</v>
      </c>
      <c r="F2729" s="263"/>
      <c r="G2729" s="275"/>
    </row>
    <row r="2730" spans="1:7" ht="17.45" customHeight="1">
      <c r="A2730" s="261" t="s">
        <v>8</v>
      </c>
      <c r="C2730" s="271" t="s">
        <v>2959</v>
      </c>
      <c r="D2730" s="499">
        <v>50000</v>
      </c>
      <c r="E2730" s="497"/>
      <c r="F2730" s="263"/>
      <c r="G2730" s="275"/>
    </row>
    <row r="2731" spans="1:7" ht="17.45" customHeight="1">
      <c r="A2731" s="261" t="s">
        <v>8</v>
      </c>
      <c r="C2731" s="271" t="s">
        <v>2470</v>
      </c>
      <c r="D2731" s="497"/>
      <c r="E2731" s="499">
        <f>2200+1400</f>
        <v>3600</v>
      </c>
      <c r="F2731" s="263"/>
      <c r="G2731" s="275"/>
    </row>
    <row r="2732" spans="1:7" ht="17.45" customHeight="1">
      <c r="A2732" s="261" t="s">
        <v>8</v>
      </c>
      <c r="C2732" s="271" t="s">
        <v>1200</v>
      </c>
      <c r="D2732" s="497"/>
      <c r="E2732" s="499">
        <v>27500</v>
      </c>
      <c r="F2732" s="263"/>
      <c r="G2732" s="275"/>
    </row>
    <row r="2733" spans="1:7" ht="17.45" customHeight="1">
      <c r="A2733" s="261" t="s">
        <v>8</v>
      </c>
      <c r="C2733" s="271" t="s">
        <v>2961</v>
      </c>
      <c r="D2733" s="497"/>
      <c r="E2733" s="499">
        <v>29900</v>
      </c>
      <c r="F2733" s="263"/>
      <c r="G2733" s="275"/>
    </row>
    <row r="2734" spans="1:7" ht="17.45" customHeight="1">
      <c r="A2734" s="261" t="s">
        <v>8</v>
      </c>
      <c r="C2734" s="271" t="s">
        <v>2962</v>
      </c>
      <c r="D2734" s="497"/>
      <c r="E2734" s="499">
        <v>12000</v>
      </c>
      <c r="F2734" s="263"/>
      <c r="G2734" s="275"/>
    </row>
    <row r="2735" spans="1:7" ht="17.45" customHeight="1">
      <c r="A2735" s="261" t="s">
        <v>8</v>
      </c>
      <c r="C2735" s="271" t="s">
        <v>2963</v>
      </c>
      <c r="D2735" s="497"/>
      <c r="E2735" s="499">
        <v>11000</v>
      </c>
      <c r="F2735" s="263"/>
      <c r="G2735" s="275"/>
    </row>
    <row r="2736" spans="1:7" ht="17.45" customHeight="1">
      <c r="A2736" s="261" t="s">
        <v>8</v>
      </c>
      <c r="C2736" s="271" t="s">
        <v>2964</v>
      </c>
      <c r="D2736" s="497"/>
      <c r="E2736" s="499">
        <v>42500</v>
      </c>
      <c r="F2736" s="263"/>
      <c r="G2736" s="275"/>
    </row>
    <row r="2737" spans="1:7" ht="17.45" customHeight="1">
      <c r="A2737" s="261" t="s">
        <v>8</v>
      </c>
      <c r="C2737" s="271" t="s">
        <v>2965</v>
      </c>
      <c r="D2737" s="497"/>
      <c r="E2737" s="499">
        <v>10500</v>
      </c>
      <c r="F2737" s="263"/>
      <c r="G2737" s="275"/>
    </row>
    <row r="2738" spans="1:7" ht="17.45" customHeight="1">
      <c r="A2738" s="261" t="s">
        <v>8</v>
      </c>
      <c r="C2738" s="271" t="s">
        <v>2966</v>
      </c>
      <c r="D2738" s="497"/>
      <c r="E2738" s="499">
        <v>400000</v>
      </c>
      <c r="F2738" s="263"/>
      <c r="G2738" s="275"/>
    </row>
    <row r="2739" spans="1:7" ht="17.45" customHeight="1">
      <c r="A2739" s="261" t="s">
        <v>8</v>
      </c>
      <c r="C2739" s="271" t="s">
        <v>2967</v>
      </c>
      <c r="D2739" s="497"/>
      <c r="E2739" s="499">
        <v>163000</v>
      </c>
      <c r="F2739" s="263"/>
      <c r="G2739" s="275"/>
    </row>
    <row r="2740" spans="1:7" ht="17.45" customHeight="1">
      <c r="A2740" s="261" t="s">
        <v>8</v>
      </c>
      <c r="C2740" s="271" t="s">
        <v>2968</v>
      </c>
      <c r="D2740" s="497"/>
      <c r="E2740" s="499">
        <v>18000</v>
      </c>
      <c r="F2740" s="263"/>
      <c r="G2740" s="275"/>
    </row>
    <row r="2741" spans="1:7" ht="17.45" customHeight="1">
      <c r="A2741" s="261" t="s">
        <v>8</v>
      </c>
      <c r="C2741" s="271" t="s">
        <v>2969</v>
      </c>
      <c r="D2741" s="497"/>
      <c r="E2741" s="499">
        <v>30000</v>
      </c>
      <c r="F2741" s="263"/>
      <c r="G2741" s="275"/>
    </row>
    <row r="2742" spans="1:7" ht="17.45" customHeight="1">
      <c r="A2742" s="261" t="s">
        <v>8</v>
      </c>
      <c r="C2742" s="271" t="s">
        <v>1810</v>
      </c>
      <c r="D2742" s="497"/>
      <c r="E2742" s="499">
        <v>4500</v>
      </c>
      <c r="F2742" s="263"/>
      <c r="G2742" s="275"/>
    </row>
    <row r="2743" spans="1:7" ht="17.45" customHeight="1">
      <c r="A2743" s="261" t="s">
        <v>8</v>
      </c>
      <c r="C2743" s="271" t="s">
        <v>2970</v>
      </c>
      <c r="D2743" s="497"/>
      <c r="E2743" s="499">
        <v>4200</v>
      </c>
      <c r="F2743" s="263"/>
      <c r="G2743" s="275"/>
    </row>
    <row r="2744" spans="1:7" ht="17.45" customHeight="1">
      <c r="A2744" s="261" t="s">
        <v>8</v>
      </c>
      <c r="C2744" s="271" t="s">
        <v>2771</v>
      </c>
      <c r="D2744" s="497"/>
      <c r="E2744" s="499">
        <v>5500</v>
      </c>
      <c r="F2744" s="263"/>
      <c r="G2744" s="275"/>
    </row>
    <row r="2745" spans="1:7" ht="17.45" customHeight="1">
      <c r="A2745" s="261" t="s">
        <v>8</v>
      </c>
      <c r="C2745" s="271" t="s">
        <v>1910</v>
      </c>
      <c r="D2745" s="497"/>
      <c r="E2745" s="499">
        <v>9000</v>
      </c>
      <c r="F2745" s="263"/>
      <c r="G2745" s="275"/>
    </row>
    <row r="2746" spans="1:7" ht="17.45" customHeight="1">
      <c r="A2746" s="261" t="s">
        <v>8</v>
      </c>
      <c r="C2746" s="271" t="s">
        <v>2670</v>
      </c>
      <c r="D2746" s="497"/>
      <c r="E2746" s="499">
        <v>18000</v>
      </c>
      <c r="F2746" s="263"/>
      <c r="G2746" s="275"/>
    </row>
    <row r="2747" spans="1:7" ht="17.45" customHeight="1">
      <c r="A2747" s="261" t="s">
        <v>8</v>
      </c>
      <c r="C2747" s="271" t="s">
        <v>2971</v>
      </c>
      <c r="D2747" s="497"/>
      <c r="E2747" s="499">
        <v>90800</v>
      </c>
      <c r="F2747" s="263"/>
      <c r="G2747" s="275"/>
    </row>
    <row r="2748" spans="1:7" ht="17.45" customHeight="1">
      <c r="A2748" s="261" t="s">
        <v>8</v>
      </c>
      <c r="C2748" s="271" t="s">
        <v>1650</v>
      </c>
      <c r="D2748" s="497"/>
      <c r="E2748" s="499">
        <f>6020+9800</f>
        <v>15820</v>
      </c>
      <c r="F2748" s="263"/>
      <c r="G2748" s="275"/>
    </row>
    <row r="2749" spans="1:7" ht="17.45" customHeight="1">
      <c r="A2749" s="261" t="s">
        <v>8</v>
      </c>
      <c r="C2749" s="271" t="s">
        <v>2972</v>
      </c>
      <c r="D2749" s="497"/>
      <c r="E2749" s="499">
        <v>12000</v>
      </c>
      <c r="F2749" s="263"/>
      <c r="G2749" s="275"/>
    </row>
    <row r="2750" spans="1:7" ht="17.45" customHeight="1">
      <c r="A2750" s="261" t="s">
        <v>8</v>
      </c>
      <c r="C2750" s="271" t="s">
        <v>1610</v>
      </c>
      <c r="D2750" s="497"/>
      <c r="E2750" s="499">
        <v>1500</v>
      </c>
      <c r="F2750" s="263"/>
      <c r="G2750" s="275"/>
    </row>
    <row r="2751" spans="1:7" ht="17.45" customHeight="1">
      <c r="A2751" s="261" t="s">
        <v>8</v>
      </c>
      <c r="C2751" s="271" t="s">
        <v>2973</v>
      </c>
      <c r="D2751" s="497"/>
      <c r="E2751" s="499">
        <v>7000</v>
      </c>
      <c r="F2751" s="263"/>
      <c r="G2751" s="275"/>
    </row>
    <row r="2752" spans="1:7" ht="17.45" customHeight="1">
      <c r="A2752" s="261" t="s">
        <v>8</v>
      </c>
      <c r="C2752" s="271" t="s">
        <v>2974</v>
      </c>
      <c r="D2752" s="497"/>
      <c r="E2752" s="499">
        <v>5000</v>
      </c>
      <c r="F2752" s="263"/>
      <c r="G2752" s="275"/>
    </row>
    <row r="2753" spans="1:7" ht="17.45" customHeight="1">
      <c r="A2753" s="261" t="s">
        <v>8</v>
      </c>
      <c r="C2753" s="271" t="s">
        <v>2975</v>
      </c>
      <c r="D2753" s="497"/>
      <c r="E2753" s="499">
        <v>38000</v>
      </c>
      <c r="F2753" s="263"/>
      <c r="G2753" s="275"/>
    </row>
    <row r="2754" spans="1:7" ht="17.45" customHeight="1" thickBot="1">
      <c r="A2754" s="261" t="s">
        <v>8</v>
      </c>
      <c r="C2754" s="276" t="s">
        <v>1300</v>
      </c>
      <c r="D2754" s="502">
        <f>SUM(D2676:D2753)-SUM(E2676:E2753)</f>
        <v>-93386</v>
      </c>
      <c r="E2754" s="502">
        <f>SUM(E2676:E2753)-SUM(F2676:F2753)</f>
        <v>8455221</v>
      </c>
      <c r="F2754" s="277"/>
      <c r="G2754" s="283"/>
    </row>
    <row r="2756" spans="1:7" ht="12.75" thickBot="1"/>
    <row r="2757" spans="1:7" ht="17.45" customHeight="1">
      <c r="A2757" s="261" t="s">
        <v>8</v>
      </c>
      <c r="B2757" s="256" t="s">
        <v>2976</v>
      </c>
      <c r="C2757" s="268" t="s">
        <v>1268</v>
      </c>
      <c r="D2757" s="500">
        <v>6187900</v>
      </c>
      <c r="E2757" s="501"/>
      <c r="F2757" s="269"/>
      <c r="G2757" s="270"/>
    </row>
    <row r="2758" spans="1:7" ht="17.45" customHeight="1">
      <c r="A2758" s="261" t="s">
        <v>8</v>
      </c>
      <c r="B2758" s="257"/>
      <c r="C2758" s="271" t="s">
        <v>1269</v>
      </c>
      <c r="D2758" s="497"/>
      <c r="E2758" s="499">
        <f>376000</f>
        <v>376000</v>
      </c>
      <c r="F2758" s="263"/>
      <c r="G2758" s="272" t="s">
        <v>2977</v>
      </c>
    </row>
    <row r="2759" spans="1:7" ht="17.45" customHeight="1">
      <c r="A2759" s="261" t="s">
        <v>8</v>
      </c>
      <c r="C2759" s="271" t="s">
        <v>1270</v>
      </c>
      <c r="D2759" s="497"/>
      <c r="E2759" s="499">
        <v>788000</v>
      </c>
      <c r="F2759" s="263"/>
      <c r="G2759" s="273" t="s">
        <v>2740</v>
      </c>
    </row>
    <row r="2760" spans="1:7" ht="17.45" customHeight="1">
      <c r="A2760" s="261" t="s">
        <v>8</v>
      </c>
      <c r="C2760" s="271" t="s">
        <v>1670</v>
      </c>
      <c r="D2760" s="497"/>
      <c r="E2760" s="497"/>
      <c r="F2760" s="263"/>
      <c r="G2760" s="274"/>
    </row>
    <row r="2761" spans="1:7" ht="17.45" customHeight="1">
      <c r="A2761" s="261" t="s">
        <v>8</v>
      </c>
      <c r="C2761" s="271" t="s">
        <v>1672</v>
      </c>
      <c r="D2761" s="497"/>
      <c r="E2761" s="499">
        <v>73056</v>
      </c>
      <c r="F2761" s="263"/>
      <c r="G2761" s="273" t="s">
        <v>2732</v>
      </c>
    </row>
    <row r="2762" spans="1:7" ht="17.45" customHeight="1">
      <c r="A2762" s="261" t="s">
        <v>8</v>
      </c>
      <c r="C2762" s="271" t="s">
        <v>1673</v>
      </c>
      <c r="D2762" s="497"/>
      <c r="E2762" s="497"/>
      <c r="F2762" s="263"/>
      <c r="G2762" s="274"/>
    </row>
    <row r="2763" spans="1:7" ht="17.45" customHeight="1">
      <c r="A2763" s="261" t="s">
        <v>8</v>
      </c>
      <c r="C2763" s="271" t="s">
        <v>1332</v>
      </c>
      <c r="D2763" s="497"/>
      <c r="E2763" s="499">
        <v>34650</v>
      </c>
      <c r="F2763" s="263"/>
      <c r="G2763" s="275"/>
    </row>
    <row r="2764" spans="1:7" ht="17.45" customHeight="1">
      <c r="A2764" s="261" t="s">
        <v>8</v>
      </c>
      <c r="C2764" s="271" t="s">
        <v>1271</v>
      </c>
      <c r="D2764" s="497"/>
      <c r="E2764" s="497"/>
      <c r="F2764" s="263"/>
      <c r="G2764" s="273"/>
    </row>
    <row r="2765" spans="1:7" ht="17.45" customHeight="1">
      <c r="A2765" s="261" t="s">
        <v>8</v>
      </c>
      <c r="C2765" s="271" t="s">
        <v>1272</v>
      </c>
      <c r="D2765" s="497"/>
      <c r="E2765" s="497"/>
      <c r="F2765" s="263"/>
      <c r="G2765" s="273"/>
    </row>
    <row r="2766" spans="1:7" ht="17.45" customHeight="1">
      <c r="A2766" s="261" t="s">
        <v>8</v>
      </c>
      <c r="C2766" s="271" t="s">
        <v>1273</v>
      </c>
      <c r="D2766" s="497"/>
      <c r="E2766" s="499">
        <v>29920</v>
      </c>
      <c r="F2766" s="263"/>
      <c r="G2766" s="273" t="s">
        <v>2732</v>
      </c>
    </row>
    <row r="2767" spans="1:7" ht="17.45" customHeight="1">
      <c r="A2767" s="261" t="s">
        <v>8</v>
      </c>
      <c r="C2767" s="271" t="s">
        <v>1274</v>
      </c>
      <c r="D2767" s="497"/>
      <c r="E2767" s="499">
        <v>9405</v>
      </c>
      <c r="F2767" s="263"/>
      <c r="G2767" s="273" t="s">
        <v>2732</v>
      </c>
    </row>
    <row r="2768" spans="1:7" ht="17.45" customHeight="1">
      <c r="A2768" s="261" t="s">
        <v>8</v>
      </c>
      <c r="C2768" s="271" t="s">
        <v>2168</v>
      </c>
      <c r="D2768" s="497"/>
      <c r="E2768" s="499">
        <v>18816</v>
      </c>
      <c r="F2768" s="263"/>
      <c r="G2768" s="273" t="s">
        <v>2732</v>
      </c>
    </row>
    <row r="2769" spans="1:7" ht="17.45" customHeight="1">
      <c r="A2769" s="261" t="s">
        <v>8</v>
      </c>
      <c r="C2769" s="271" t="s">
        <v>1517</v>
      </c>
      <c r="D2769" s="497"/>
      <c r="E2769" s="497"/>
      <c r="F2769" s="263"/>
      <c r="G2769" s="273" t="s">
        <v>2732</v>
      </c>
    </row>
    <row r="2770" spans="1:7" ht="17.45" customHeight="1">
      <c r="A2770" s="261" t="s">
        <v>8</v>
      </c>
      <c r="C2770" s="271" t="s">
        <v>1276</v>
      </c>
      <c r="D2770" s="497"/>
      <c r="E2770" s="499">
        <v>228830</v>
      </c>
      <c r="F2770" s="263"/>
      <c r="G2770" s="273" t="s">
        <v>2732</v>
      </c>
    </row>
    <row r="2771" spans="1:7" ht="17.45" customHeight="1">
      <c r="A2771" s="261" t="s">
        <v>8</v>
      </c>
      <c r="C2771" s="271" t="s">
        <v>1277</v>
      </c>
      <c r="D2771" s="497"/>
      <c r="E2771" s="499">
        <v>41184</v>
      </c>
      <c r="F2771" s="263"/>
      <c r="G2771" s="273" t="s">
        <v>2732</v>
      </c>
    </row>
    <row r="2772" spans="1:7" ht="17.45" customHeight="1">
      <c r="A2772" s="261" t="s">
        <v>8</v>
      </c>
      <c r="C2772" s="271" t="s">
        <v>1278</v>
      </c>
      <c r="D2772" s="499">
        <v>20000</v>
      </c>
      <c r="E2772" s="499">
        <v>200000</v>
      </c>
      <c r="F2772" s="263"/>
      <c r="G2772" s="273"/>
    </row>
    <row r="2773" spans="1:7" ht="17.45" customHeight="1">
      <c r="A2773" s="261" t="s">
        <v>8</v>
      </c>
      <c r="C2773" s="285" t="s">
        <v>1413</v>
      </c>
      <c r="D2773" s="506"/>
      <c r="E2773" s="507">
        <f>1300000</f>
        <v>1300000</v>
      </c>
      <c r="F2773" s="286"/>
      <c r="G2773" s="287"/>
    </row>
    <row r="2774" spans="1:7" ht="17.25" customHeight="1">
      <c r="A2774" s="261" t="s">
        <v>8</v>
      </c>
      <c r="C2774" s="338" t="s">
        <v>2776</v>
      </c>
      <c r="D2774" s="497"/>
      <c r="E2774" s="499">
        <v>-1425000</v>
      </c>
      <c r="F2774" s="263"/>
      <c r="G2774" s="275"/>
    </row>
    <row r="2775" spans="1:7" ht="17.25" customHeight="1">
      <c r="A2775" s="261" t="s">
        <v>8</v>
      </c>
      <c r="C2775" s="338" t="s">
        <v>2775</v>
      </c>
      <c r="D2775" s="499">
        <v>-1425000</v>
      </c>
      <c r="E2775" s="497"/>
      <c r="F2775" s="263"/>
      <c r="G2775" s="275"/>
    </row>
    <row r="2776" spans="1:7" ht="17.45" customHeight="1">
      <c r="A2776" s="261" t="s">
        <v>8</v>
      </c>
      <c r="C2776" s="339" t="s">
        <v>2647</v>
      </c>
      <c r="D2776" s="506"/>
      <c r="E2776" s="506"/>
      <c r="F2776" s="286"/>
      <c r="G2776" s="290"/>
    </row>
    <row r="2777" spans="1:7" ht="17.45" customHeight="1" thickBot="1">
      <c r="A2777" s="261" t="s">
        <v>8</v>
      </c>
      <c r="C2777" s="285" t="s">
        <v>1942</v>
      </c>
      <c r="D2777" s="506"/>
      <c r="E2777" s="507">
        <v>20000</v>
      </c>
      <c r="F2777" s="286"/>
      <c r="G2777" s="290"/>
    </row>
    <row r="2778" spans="1:7" ht="17.45" customHeight="1">
      <c r="A2778" s="261" t="s">
        <v>8</v>
      </c>
      <c r="C2778" s="268" t="s">
        <v>1280</v>
      </c>
      <c r="D2778" s="501"/>
      <c r="E2778" s="500">
        <f>50000+50000</f>
        <v>100000</v>
      </c>
      <c r="F2778" s="269"/>
      <c r="G2778" s="288"/>
    </row>
    <row r="2779" spans="1:7" ht="17.45" customHeight="1">
      <c r="A2779" s="261" t="s">
        <v>8</v>
      </c>
      <c r="C2779" s="271" t="s">
        <v>1549</v>
      </c>
      <c r="D2779" s="497"/>
      <c r="E2779" s="497"/>
      <c r="F2779" s="263"/>
      <c r="G2779" s="275"/>
    </row>
    <row r="2780" spans="1:7" ht="17.45" customHeight="1">
      <c r="A2780" s="261" t="s">
        <v>8</v>
      </c>
      <c r="C2780" s="271" t="s">
        <v>1819</v>
      </c>
      <c r="D2780" s="497"/>
      <c r="E2780" s="497"/>
      <c r="F2780" s="263"/>
      <c r="G2780" s="275"/>
    </row>
    <row r="2781" spans="1:7" ht="17.45" customHeight="1">
      <c r="A2781" s="261" t="s">
        <v>8</v>
      </c>
      <c r="C2781" s="271" t="s">
        <v>391</v>
      </c>
      <c r="D2781" s="497"/>
      <c r="E2781" s="497"/>
      <c r="F2781" s="263"/>
      <c r="G2781" s="275"/>
    </row>
    <row r="2782" spans="1:7" ht="17.45" customHeight="1">
      <c r="A2782" s="261" t="s">
        <v>8</v>
      </c>
      <c r="C2782" s="271" t="s">
        <v>1934</v>
      </c>
      <c r="D2782" s="497"/>
      <c r="E2782" s="497"/>
      <c r="F2782" s="263"/>
      <c r="G2782" s="275"/>
    </row>
    <row r="2783" spans="1:7" ht="17.25" customHeight="1">
      <c r="A2783" s="261" t="s">
        <v>8</v>
      </c>
      <c r="C2783" s="271" t="s">
        <v>2202</v>
      </c>
      <c r="D2783" s="497"/>
      <c r="E2783" s="497"/>
      <c r="F2783" s="263"/>
      <c r="G2783" s="275"/>
    </row>
    <row r="2784" spans="1:7" ht="17.45" customHeight="1">
      <c r="A2784" s="261" t="s">
        <v>8</v>
      </c>
      <c r="C2784" s="271" t="s">
        <v>2654</v>
      </c>
      <c r="D2784" s="497"/>
      <c r="E2784" s="499">
        <v>60000</v>
      </c>
      <c r="F2784" s="263"/>
      <c r="G2784" s="275"/>
    </row>
    <row r="2785" spans="1:7" ht="17.45" customHeight="1">
      <c r="A2785" s="261" t="s">
        <v>8</v>
      </c>
      <c r="C2785" s="271" t="s">
        <v>1687</v>
      </c>
      <c r="D2785" s="497"/>
      <c r="E2785" s="497"/>
      <c r="F2785" s="263"/>
      <c r="G2785" s="275"/>
    </row>
    <row r="2786" spans="1:7" ht="17.45" customHeight="1">
      <c r="A2786" s="261" t="s">
        <v>8</v>
      </c>
      <c r="C2786" s="271" t="s">
        <v>1688</v>
      </c>
      <c r="D2786" s="497"/>
      <c r="E2786" s="499">
        <f>55000</f>
        <v>55000</v>
      </c>
      <c r="F2786" s="263"/>
      <c r="G2786" s="275"/>
    </row>
    <row r="2787" spans="1:7" ht="17.45" customHeight="1">
      <c r="A2787" s="261" t="s">
        <v>8</v>
      </c>
      <c r="C2787" s="271" t="s">
        <v>2748</v>
      </c>
      <c r="D2787" s="497"/>
      <c r="E2787" s="497"/>
      <c r="F2787" s="263"/>
      <c r="G2787" s="275"/>
    </row>
    <row r="2788" spans="1:7" ht="17.45" customHeight="1">
      <c r="A2788" s="261" t="s">
        <v>8</v>
      </c>
      <c r="C2788" s="271" t="s">
        <v>1596</v>
      </c>
      <c r="D2788" s="497"/>
      <c r="E2788" s="499">
        <f>2900+2900+2900</f>
        <v>8700</v>
      </c>
      <c r="F2788" s="263"/>
      <c r="G2788" s="275"/>
    </row>
    <row r="2789" spans="1:7" ht="17.45" customHeight="1">
      <c r="A2789" s="261" t="s">
        <v>8</v>
      </c>
      <c r="C2789" s="271" t="s">
        <v>1595</v>
      </c>
      <c r="D2789" s="497"/>
      <c r="E2789" s="499">
        <f>2300+5800+2500</f>
        <v>10600</v>
      </c>
      <c r="F2789" s="263"/>
      <c r="G2789" s="275"/>
    </row>
    <row r="2790" spans="1:7" ht="17.45" customHeight="1">
      <c r="A2790" s="261" t="s">
        <v>8</v>
      </c>
      <c r="C2790" s="271" t="s">
        <v>2822</v>
      </c>
      <c r="D2790" s="497"/>
      <c r="E2790" s="499">
        <f>1200+6000</f>
        <v>7200</v>
      </c>
      <c r="F2790" s="263"/>
      <c r="G2790" s="275"/>
    </row>
    <row r="2791" spans="1:7" ht="17.45" customHeight="1">
      <c r="A2791" s="261" t="s">
        <v>8</v>
      </c>
      <c r="C2791" s="271" t="s">
        <v>2821</v>
      </c>
      <c r="D2791" s="497"/>
      <c r="E2791" s="499">
        <v>6600</v>
      </c>
      <c r="F2791" s="263"/>
      <c r="G2791" s="273"/>
    </row>
    <row r="2792" spans="1:7" ht="17.45" customHeight="1">
      <c r="A2792" s="261" t="s">
        <v>8</v>
      </c>
      <c r="C2792" s="271" t="s">
        <v>1689</v>
      </c>
      <c r="D2792" s="497"/>
      <c r="E2792" s="497"/>
      <c r="F2792" s="263"/>
      <c r="G2792" s="275"/>
    </row>
    <row r="2793" spans="1:7" ht="17.45" customHeight="1">
      <c r="A2793" s="261" t="s">
        <v>8</v>
      </c>
      <c r="C2793" s="271" t="s">
        <v>1569</v>
      </c>
      <c r="D2793" s="497"/>
      <c r="E2793" s="497"/>
      <c r="F2793" s="263"/>
      <c r="G2793" s="275"/>
    </row>
    <row r="2794" spans="1:7" ht="17.45" customHeight="1">
      <c r="A2794" s="261" t="s">
        <v>8</v>
      </c>
      <c r="C2794" s="271" t="s">
        <v>1618</v>
      </c>
      <c r="D2794" s="497"/>
      <c r="E2794" s="499">
        <f>17580+18080+15240+34760</f>
        <v>85660</v>
      </c>
      <c r="F2794" s="263"/>
      <c r="G2794" s="275"/>
    </row>
    <row r="2795" spans="1:7" ht="17.45" customHeight="1">
      <c r="A2795" s="261" t="s">
        <v>8</v>
      </c>
      <c r="C2795" s="271" t="s">
        <v>2810</v>
      </c>
      <c r="D2795" s="497"/>
      <c r="E2795" s="499">
        <f>38100</f>
        <v>38100</v>
      </c>
      <c r="F2795" s="263"/>
      <c r="G2795" s="275"/>
    </row>
    <row r="2796" spans="1:7" ht="17.45" customHeight="1" thickBot="1">
      <c r="A2796" s="261" t="s">
        <v>8</v>
      </c>
      <c r="C2796" s="276" t="s">
        <v>2699</v>
      </c>
      <c r="D2796" s="502"/>
      <c r="E2796" s="503">
        <f>6000+49000+28000+35000</f>
        <v>118000</v>
      </c>
      <c r="F2796" s="277"/>
      <c r="G2796" s="282"/>
    </row>
    <row r="2797" spans="1:7" ht="17.45" customHeight="1">
      <c r="A2797" s="261" t="s">
        <v>8</v>
      </c>
      <c r="C2797" s="279" t="s">
        <v>2107</v>
      </c>
      <c r="D2797" s="504"/>
      <c r="E2797" s="505">
        <v>6200</v>
      </c>
      <c r="F2797" s="280"/>
      <c r="G2797" s="281"/>
    </row>
    <row r="2798" spans="1:7" ht="17.45" customHeight="1">
      <c r="A2798" s="261" t="s">
        <v>8</v>
      </c>
      <c r="C2798" s="271" t="s">
        <v>1606</v>
      </c>
      <c r="D2798" s="497"/>
      <c r="E2798" s="499">
        <f>9900+9900</f>
        <v>19800</v>
      </c>
      <c r="F2798" s="263"/>
      <c r="G2798" s="275"/>
    </row>
    <row r="2799" spans="1:7" ht="17.45" customHeight="1">
      <c r="A2799" s="261" t="s">
        <v>8</v>
      </c>
      <c r="C2799" s="271" t="s">
        <v>2978</v>
      </c>
      <c r="D2799" s="497"/>
      <c r="E2799" s="499">
        <v>11000</v>
      </c>
      <c r="F2799" s="263"/>
      <c r="G2799" s="275"/>
    </row>
    <row r="2800" spans="1:7" ht="17.45" customHeight="1">
      <c r="A2800" s="261" t="s">
        <v>8</v>
      </c>
      <c r="C2800" s="271" t="s">
        <v>2470</v>
      </c>
      <c r="D2800" s="497"/>
      <c r="E2800" s="499">
        <f>800+1300+1500+1200</f>
        <v>4800</v>
      </c>
      <c r="F2800" s="263"/>
      <c r="G2800" s="275"/>
    </row>
    <row r="2801" spans="1:7" ht="17.45" customHeight="1">
      <c r="A2801" s="261" t="s">
        <v>8</v>
      </c>
      <c r="C2801" s="271" t="s">
        <v>2423</v>
      </c>
      <c r="D2801" s="497"/>
      <c r="E2801" s="499">
        <f>2200+4900+1200+1000</f>
        <v>9300</v>
      </c>
      <c r="F2801" s="263"/>
      <c r="G2801" s="275"/>
    </row>
    <row r="2802" spans="1:7" ht="17.45" customHeight="1">
      <c r="A2802" s="261" t="s">
        <v>8</v>
      </c>
      <c r="C2802" s="271" t="s">
        <v>2979</v>
      </c>
      <c r="D2802" s="497"/>
      <c r="E2802" s="499">
        <f>90800-181600</f>
        <v>-90800</v>
      </c>
      <c r="F2802" s="263"/>
      <c r="G2802" s="275"/>
    </row>
    <row r="2803" spans="1:7" ht="17.45" customHeight="1">
      <c r="A2803" s="261" t="s">
        <v>8</v>
      </c>
      <c r="C2803" s="271" t="s">
        <v>2980</v>
      </c>
      <c r="D2803" s="497"/>
      <c r="E2803" s="499">
        <v>18610</v>
      </c>
      <c r="F2803" s="263"/>
      <c r="G2803" s="275"/>
    </row>
    <row r="2804" spans="1:7" ht="17.45" customHeight="1">
      <c r="A2804" s="261" t="s">
        <v>8</v>
      </c>
      <c r="C2804" s="271" t="s">
        <v>2981</v>
      </c>
      <c r="D2804" s="497"/>
      <c r="E2804" s="499">
        <v>124900</v>
      </c>
      <c r="F2804" s="263"/>
      <c r="G2804" s="275"/>
    </row>
    <row r="2805" spans="1:7" ht="17.45" customHeight="1">
      <c r="A2805" s="261" t="s">
        <v>8</v>
      </c>
      <c r="C2805" s="271" t="s">
        <v>2982</v>
      </c>
      <c r="D2805" s="497"/>
      <c r="E2805" s="499">
        <v>-5300</v>
      </c>
      <c r="F2805" s="263"/>
      <c r="G2805" s="275"/>
    </row>
    <row r="2806" spans="1:7" ht="17.45" customHeight="1">
      <c r="A2806" s="261" t="s">
        <v>8</v>
      </c>
      <c r="C2806" s="284" t="s">
        <v>2983</v>
      </c>
      <c r="D2806" s="497"/>
      <c r="E2806" s="499">
        <v>9600</v>
      </c>
      <c r="F2806" s="263"/>
      <c r="G2806" s="275"/>
    </row>
    <row r="2807" spans="1:7" ht="17.25" customHeight="1">
      <c r="A2807" s="261" t="s">
        <v>8</v>
      </c>
      <c r="C2807" s="271" t="s">
        <v>2984</v>
      </c>
      <c r="D2807" s="497"/>
      <c r="E2807" s="499">
        <v>23000</v>
      </c>
      <c r="F2807" s="263"/>
      <c r="G2807" s="275"/>
    </row>
    <row r="2808" spans="1:7" ht="17.45" customHeight="1">
      <c r="A2808" s="261" t="s">
        <v>8</v>
      </c>
      <c r="C2808" s="271" t="s">
        <v>2985</v>
      </c>
      <c r="D2808" s="497"/>
      <c r="E2808" s="499">
        <v>2200</v>
      </c>
      <c r="F2808" s="263"/>
      <c r="G2808" s="275"/>
    </row>
    <row r="2809" spans="1:7" ht="17.45" customHeight="1">
      <c r="A2809" s="261" t="s">
        <v>8</v>
      </c>
      <c r="C2809" s="271" t="s">
        <v>2986</v>
      </c>
      <c r="D2809" s="497"/>
      <c r="E2809" s="499">
        <f>30600+31100</f>
        <v>61700</v>
      </c>
      <c r="F2809" s="263"/>
      <c r="G2809" s="275"/>
    </row>
    <row r="2810" spans="1:7" ht="17.45" customHeight="1">
      <c r="A2810" s="261" t="s">
        <v>8</v>
      </c>
      <c r="C2810" s="271" t="s">
        <v>2987</v>
      </c>
      <c r="D2810" s="499">
        <v>37376</v>
      </c>
      <c r="E2810" s="497"/>
      <c r="F2810" s="263"/>
      <c r="G2810" s="275"/>
    </row>
    <row r="2811" spans="1:7" ht="17.45" customHeight="1">
      <c r="A2811" s="261" t="s">
        <v>8</v>
      </c>
      <c r="C2811" s="284" t="s">
        <v>2988</v>
      </c>
      <c r="D2811" s="497"/>
      <c r="E2811" s="499">
        <f>2000+2000</f>
        <v>4000</v>
      </c>
      <c r="F2811" s="263"/>
      <c r="G2811" s="275"/>
    </row>
    <row r="2812" spans="1:7" ht="17.45" customHeight="1">
      <c r="A2812" s="261" t="s">
        <v>8</v>
      </c>
      <c r="C2812" s="271" t="s">
        <v>2989</v>
      </c>
      <c r="D2812" s="497"/>
      <c r="E2812" s="499">
        <v>26000</v>
      </c>
      <c r="F2812" s="263"/>
      <c r="G2812" s="275"/>
    </row>
    <row r="2813" spans="1:7" ht="17.45" customHeight="1">
      <c r="A2813" s="261" t="s">
        <v>8</v>
      </c>
      <c r="C2813" s="271" t="s">
        <v>2990</v>
      </c>
      <c r="D2813" s="497"/>
      <c r="E2813" s="499">
        <v>3000</v>
      </c>
      <c r="F2813" s="263"/>
      <c r="G2813" s="275"/>
    </row>
    <row r="2814" spans="1:7" ht="17.45" customHeight="1">
      <c r="A2814" s="261" t="s">
        <v>8</v>
      </c>
      <c r="C2814" s="271" t="s">
        <v>2991</v>
      </c>
      <c r="D2814" s="497"/>
      <c r="E2814" s="499">
        <v>9300</v>
      </c>
      <c r="F2814" s="263"/>
      <c r="G2814" s="275"/>
    </row>
    <row r="2815" spans="1:7" ht="17.45" customHeight="1">
      <c r="A2815" s="261" t="s">
        <v>8</v>
      </c>
      <c r="C2815" s="271" t="s">
        <v>2992</v>
      </c>
      <c r="D2815" s="497"/>
      <c r="E2815" s="499">
        <v>23500</v>
      </c>
      <c r="F2815" s="263"/>
      <c r="G2815" s="275"/>
    </row>
    <row r="2816" spans="1:7" ht="17.45" customHeight="1">
      <c r="A2816" s="261" t="s">
        <v>8</v>
      </c>
      <c r="C2816" s="271" t="s">
        <v>2993</v>
      </c>
      <c r="D2816" s="497"/>
      <c r="E2816" s="499">
        <v>5000</v>
      </c>
      <c r="F2816" s="263"/>
      <c r="G2816" s="275"/>
    </row>
    <row r="2817" spans="1:7" ht="17.45" customHeight="1">
      <c r="A2817" s="261" t="s">
        <v>8</v>
      </c>
      <c r="C2817" s="271" t="s">
        <v>2994</v>
      </c>
      <c r="D2817" s="497"/>
      <c r="E2817" s="499">
        <v>5000</v>
      </c>
      <c r="F2817" s="263"/>
      <c r="G2817" s="275"/>
    </row>
    <row r="2818" spans="1:7" ht="17.45" customHeight="1">
      <c r="A2818" s="261" t="s">
        <v>8</v>
      </c>
      <c r="C2818" s="271" t="s">
        <v>2995</v>
      </c>
      <c r="D2818" s="497"/>
      <c r="E2818" s="499">
        <v>91421</v>
      </c>
      <c r="F2818" s="263"/>
      <c r="G2818" s="275"/>
    </row>
    <row r="2819" spans="1:7" ht="17.45" customHeight="1">
      <c r="A2819" s="261" t="s">
        <v>8</v>
      </c>
      <c r="C2819" s="271" t="s">
        <v>2996</v>
      </c>
      <c r="D2819" s="497"/>
      <c r="E2819" s="499">
        <v>33500</v>
      </c>
      <c r="F2819" s="263"/>
      <c r="G2819" s="275"/>
    </row>
    <row r="2820" spans="1:7" ht="17.45" customHeight="1">
      <c r="A2820" s="261" t="s">
        <v>8</v>
      </c>
      <c r="C2820" s="271" t="s">
        <v>2997</v>
      </c>
      <c r="D2820" s="499">
        <v>73090</v>
      </c>
      <c r="E2820" s="497"/>
      <c r="F2820" s="263"/>
      <c r="G2820" s="275" t="s">
        <v>2998</v>
      </c>
    </row>
    <row r="2821" spans="1:7" ht="17.45" customHeight="1">
      <c r="A2821" s="261" t="s">
        <v>8</v>
      </c>
      <c r="C2821" s="271" t="s">
        <v>2999</v>
      </c>
      <c r="D2821" s="497"/>
      <c r="E2821" s="499">
        <f>77500-77500+64600+59800</f>
        <v>124400</v>
      </c>
      <c r="F2821" s="263"/>
      <c r="G2821" s="275"/>
    </row>
    <row r="2822" spans="1:7" ht="17.45" customHeight="1">
      <c r="A2822" s="261" t="s">
        <v>8</v>
      </c>
      <c r="C2822" s="271" t="s">
        <v>3000</v>
      </c>
      <c r="D2822" s="497"/>
      <c r="E2822" s="499">
        <v>32000</v>
      </c>
      <c r="F2822" s="263"/>
      <c r="G2822" s="275"/>
    </row>
    <row r="2823" spans="1:7" ht="17.45" customHeight="1">
      <c r="A2823" s="261" t="s">
        <v>8</v>
      </c>
      <c r="C2823" s="271" t="s">
        <v>3001</v>
      </c>
      <c r="D2823" s="497"/>
      <c r="E2823" s="499">
        <v>137340</v>
      </c>
      <c r="F2823" s="263"/>
      <c r="G2823" s="275"/>
    </row>
    <row r="2824" spans="1:7" ht="17.45" customHeight="1">
      <c r="A2824" s="261" t="s">
        <v>8</v>
      </c>
      <c r="C2824" s="271" t="s">
        <v>3002</v>
      </c>
      <c r="D2824" s="497"/>
      <c r="E2824" s="499">
        <v>129070</v>
      </c>
      <c r="F2824" s="263"/>
      <c r="G2824" s="275"/>
    </row>
    <row r="2825" spans="1:7" ht="17.45" customHeight="1">
      <c r="A2825" s="261" t="s">
        <v>8</v>
      </c>
      <c r="C2825" s="271" t="s">
        <v>3003</v>
      </c>
      <c r="D2825" s="497"/>
      <c r="E2825" s="499">
        <v>2500</v>
      </c>
      <c r="F2825" s="263"/>
      <c r="G2825" s="275"/>
    </row>
    <row r="2826" spans="1:7" ht="17.45" customHeight="1">
      <c r="A2826" s="261" t="s">
        <v>8</v>
      </c>
      <c r="C2826" s="271" t="s">
        <v>3004</v>
      </c>
      <c r="D2826" s="497"/>
      <c r="E2826" s="499">
        <v>23030</v>
      </c>
      <c r="F2826" s="263"/>
      <c r="G2826" s="275"/>
    </row>
    <row r="2827" spans="1:7" ht="17.45" customHeight="1">
      <c r="A2827" s="261" t="s">
        <v>8</v>
      </c>
      <c r="C2827" s="271" t="s">
        <v>3005</v>
      </c>
      <c r="D2827" s="499">
        <v>1396</v>
      </c>
      <c r="E2827" s="497"/>
      <c r="F2827" s="263"/>
      <c r="G2827" s="275"/>
    </row>
    <row r="2828" spans="1:7" ht="17.45" customHeight="1">
      <c r="A2828" s="261"/>
      <c r="C2828" s="271" t="s">
        <v>3033</v>
      </c>
      <c r="D2828" s="497"/>
      <c r="E2828" s="499">
        <v>40000</v>
      </c>
      <c r="F2828" s="263"/>
      <c r="G2828" s="275"/>
    </row>
    <row r="2829" spans="1:7" ht="17.45" customHeight="1">
      <c r="A2829" s="261" t="s">
        <v>8</v>
      </c>
      <c r="C2829" s="271" t="s">
        <v>3006</v>
      </c>
      <c r="D2829" s="497"/>
      <c r="E2829" s="499">
        <v>10000</v>
      </c>
      <c r="F2829" s="263"/>
      <c r="G2829" s="275"/>
    </row>
    <row r="2830" spans="1:7" ht="17.45" customHeight="1">
      <c r="A2830" s="261" t="s">
        <v>8</v>
      </c>
      <c r="C2830" s="271" t="s">
        <v>3007</v>
      </c>
      <c r="D2830" s="497"/>
      <c r="E2830" s="497">
        <v>-1</v>
      </c>
      <c r="F2830" s="263"/>
      <c r="G2830" s="275"/>
    </row>
    <row r="2831" spans="1:7" ht="17.45" customHeight="1" thickBot="1">
      <c r="A2831" s="261" t="s">
        <v>8</v>
      </c>
      <c r="C2831" s="276" t="s">
        <v>1300</v>
      </c>
      <c r="D2831" s="502">
        <f>SUM(D2757:D2830)-SUM(E2757:E2830)</f>
        <v>1815971</v>
      </c>
      <c r="E2831" s="502">
        <f>SUM(E2757:E2830)-SUM(F2757:F2830)</f>
        <v>3078791</v>
      </c>
      <c r="F2831" s="277"/>
      <c r="G2831" s="283"/>
    </row>
    <row r="2833" spans="1:7" ht="12.75" thickBot="1"/>
    <row r="2834" spans="1:7" ht="17.45" customHeight="1">
      <c r="A2834" s="261" t="s">
        <v>8</v>
      </c>
      <c r="B2834" s="256" t="s">
        <v>3008</v>
      </c>
      <c r="C2834" s="268" t="s">
        <v>1268</v>
      </c>
      <c r="D2834" s="501">
        <v>0</v>
      </c>
      <c r="E2834" s="501"/>
      <c r="F2834" s="269"/>
      <c r="G2834" s="270"/>
    </row>
    <row r="2835" spans="1:7" ht="17.45" customHeight="1">
      <c r="A2835" s="261" t="s">
        <v>8</v>
      </c>
      <c r="B2835" s="257"/>
      <c r="C2835" s="271" t="s">
        <v>3047</v>
      </c>
      <c r="D2835" s="499">
        <v>2500000</v>
      </c>
      <c r="E2835" s="497"/>
      <c r="F2835" s="263"/>
      <c r="G2835" s="272"/>
    </row>
    <row r="2836" spans="1:7" ht="17.45" customHeight="1">
      <c r="A2836" s="261" t="s">
        <v>8</v>
      </c>
      <c r="B2836" s="257"/>
      <c r="C2836" s="271" t="s">
        <v>1269</v>
      </c>
      <c r="D2836" s="497"/>
      <c r="E2836" s="499">
        <v>316730</v>
      </c>
      <c r="F2836" s="263"/>
      <c r="G2836" s="272" t="s">
        <v>3048</v>
      </c>
    </row>
    <row r="2837" spans="1:7" ht="17.45" customHeight="1">
      <c r="A2837" s="261" t="s">
        <v>8</v>
      </c>
      <c r="C2837" s="271" t="s">
        <v>1270</v>
      </c>
      <c r="D2837" s="497"/>
      <c r="E2837" s="497"/>
      <c r="F2837" s="263"/>
      <c r="G2837" s="273" t="s">
        <v>2740</v>
      </c>
    </row>
    <row r="2838" spans="1:7" ht="17.45" customHeight="1">
      <c r="A2838" s="261" t="s">
        <v>8</v>
      </c>
      <c r="C2838" s="271" t="s">
        <v>1670</v>
      </c>
      <c r="D2838" s="497"/>
      <c r="E2838" s="497"/>
      <c r="F2838" s="263"/>
      <c r="G2838" s="274"/>
    </row>
    <row r="2839" spans="1:7" ht="17.45" customHeight="1">
      <c r="A2839" s="261" t="s">
        <v>8</v>
      </c>
      <c r="C2839" s="271" t="s">
        <v>1672</v>
      </c>
      <c r="D2839" s="497"/>
      <c r="E2839" s="499">
        <v>74200</v>
      </c>
      <c r="F2839" s="263"/>
      <c r="G2839" s="273" t="s">
        <v>2732</v>
      </c>
    </row>
    <row r="2840" spans="1:7" ht="17.45" customHeight="1">
      <c r="A2840" s="261" t="s">
        <v>8</v>
      </c>
      <c r="C2840" s="271" t="s">
        <v>1673</v>
      </c>
      <c r="D2840" s="497"/>
      <c r="E2840" s="497"/>
      <c r="F2840" s="263"/>
      <c r="G2840" s="274"/>
    </row>
    <row r="2841" spans="1:7" ht="17.45" customHeight="1">
      <c r="A2841" s="261" t="s">
        <v>8</v>
      </c>
      <c r="C2841" s="271" t="s">
        <v>1332</v>
      </c>
      <c r="D2841" s="497"/>
      <c r="E2841" s="499">
        <v>34650</v>
      </c>
      <c r="F2841" s="263"/>
      <c r="G2841" s="275"/>
    </row>
    <row r="2842" spans="1:7" ht="17.45" customHeight="1">
      <c r="A2842" s="261" t="s">
        <v>8</v>
      </c>
      <c r="C2842" s="271" t="s">
        <v>1271</v>
      </c>
      <c r="D2842" s="497"/>
      <c r="E2842" s="497"/>
      <c r="F2842" s="263"/>
      <c r="G2842" s="274"/>
    </row>
    <row r="2843" spans="1:7" ht="17.45" customHeight="1">
      <c r="A2843" s="261" t="s">
        <v>8</v>
      </c>
      <c r="C2843" s="271" t="s">
        <v>1272</v>
      </c>
      <c r="D2843" s="497"/>
      <c r="E2843" s="497"/>
      <c r="F2843" s="263"/>
      <c r="G2843" s="273"/>
    </row>
    <row r="2844" spans="1:7" ht="17.45" customHeight="1">
      <c r="A2844" s="261" t="s">
        <v>8</v>
      </c>
      <c r="C2844" s="271" t="s">
        <v>3009</v>
      </c>
      <c r="D2844" s="497"/>
      <c r="E2844" s="499">
        <f>20763+20763-132</f>
        <v>41394</v>
      </c>
      <c r="F2844" s="263"/>
      <c r="G2844" s="273" t="s">
        <v>2732</v>
      </c>
    </row>
    <row r="2845" spans="1:7" ht="17.45" customHeight="1">
      <c r="A2845" s="261" t="s">
        <v>8</v>
      </c>
      <c r="C2845" s="271" t="s">
        <v>3010</v>
      </c>
      <c r="D2845" s="497"/>
      <c r="E2845" s="499">
        <f>79322+79322</f>
        <v>158644</v>
      </c>
      <c r="F2845" s="263"/>
      <c r="G2845" s="273" t="s">
        <v>2732</v>
      </c>
    </row>
    <row r="2846" spans="1:7" ht="17.45" customHeight="1">
      <c r="A2846" s="261" t="s">
        <v>8</v>
      </c>
      <c r="C2846" s="271" t="s">
        <v>1273</v>
      </c>
      <c r="D2846" s="497"/>
      <c r="E2846" s="499">
        <v>29920</v>
      </c>
      <c r="F2846" s="263"/>
      <c r="G2846" s="273" t="s">
        <v>2732</v>
      </c>
    </row>
    <row r="2847" spans="1:7" ht="17.45" customHeight="1">
      <c r="A2847" s="261" t="s">
        <v>8</v>
      </c>
      <c r="C2847" s="271" t="s">
        <v>1274</v>
      </c>
      <c r="D2847" s="497"/>
      <c r="E2847" s="499">
        <f>9405+3757+3757</f>
        <v>16919</v>
      </c>
      <c r="F2847" s="263"/>
      <c r="G2847" s="273" t="s">
        <v>3035</v>
      </c>
    </row>
    <row r="2848" spans="1:7" ht="17.45" customHeight="1">
      <c r="A2848" s="261" t="s">
        <v>8</v>
      </c>
      <c r="C2848" s="271" t="s">
        <v>2168</v>
      </c>
      <c r="D2848" s="497"/>
      <c r="E2848" s="499">
        <v>18816</v>
      </c>
      <c r="F2848" s="263"/>
      <c r="G2848" s="273" t="s">
        <v>2732</v>
      </c>
    </row>
    <row r="2849" spans="1:7" ht="17.45" customHeight="1">
      <c r="A2849" s="261" t="s">
        <v>8</v>
      </c>
      <c r="C2849" s="271" t="s">
        <v>1517</v>
      </c>
      <c r="D2849" s="497"/>
      <c r="E2849" s="499">
        <f>23230+23230</f>
        <v>46460</v>
      </c>
      <c r="F2849" s="263"/>
      <c r="G2849" s="273" t="s">
        <v>2732</v>
      </c>
    </row>
    <row r="2850" spans="1:7" ht="17.45" customHeight="1">
      <c r="A2850" s="261" t="s">
        <v>8</v>
      </c>
      <c r="C2850" s="271" t="s">
        <v>1276</v>
      </c>
      <c r="D2850" s="497"/>
      <c r="E2850" s="499">
        <v>273940</v>
      </c>
      <c r="F2850" s="263"/>
      <c r="G2850" s="273" t="s">
        <v>2732</v>
      </c>
    </row>
    <row r="2851" spans="1:7" ht="17.45" customHeight="1">
      <c r="A2851" s="261" t="s">
        <v>8</v>
      </c>
      <c r="C2851" s="271" t="s">
        <v>1277</v>
      </c>
      <c r="D2851" s="497"/>
      <c r="E2851" s="499">
        <v>37390</v>
      </c>
      <c r="F2851" s="263"/>
      <c r="G2851" s="273" t="s">
        <v>2732</v>
      </c>
    </row>
    <row r="2852" spans="1:7" ht="17.45" customHeight="1">
      <c r="A2852" s="261" t="s">
        <v>8</v>
      </c>
      <c r="C2852" s="271" t="s">
        <v>1278</v>
      </c>
      <c r="D2852" s="497"/>
      <c r="E2852" s="499">
        <v>200000</v>
      </c>
      <c r="F2852" s="263"/>
      <c r="G2852" s="273"/>
    </row>
    <row r="2853" spans="1:7" ht="17.45" customHeight="1">
      <c r="A2853" s="261" t="s">
        <v>8</v>
      </c>
      <c r="C2853" s="285" t="s">
        <v>1413</v>
      </c>
      <c r="D2853" s="506"/>
      <c r="E2853" s="506"/>
      <c r="F2853" s="286"/>
      <c r="G2853" s="287"/>
    </row>
    <row r="2854" spans="1:7" ht="17.25" customHeight="1">
      <c r="A2854" s="261" t="s">
        <v>8</v>
      </c>
      <c r="C2854" s="338" t="s">
        <v>2661</v>
      </c>
      <c r="D2854" s="497"/>
      <c r="E2854" s="497"/>
      <c r="F2854" s="263"/>
      <c r="G2854" s="275"/>
    </row>
    <row r="2855" spans="1:7" ht="17.45" customHeight="1">
      <c r="A2855" s="261" t="s">
        <v>8</v>
      </c>
      <c r="C2855" s="339" t="s">
        <v>2647</v>
      </c>
      <c r="D2855" s="506"/>
      <c r="E2855" s="506"/>
      <c r="F2855" s="286"/>
      <c r="G2855" s="290"/>
    </row>
    <row r="2856" spans="1:7" ht="17.45" customHeight="1" thickBot="1">
      <c r="A2856" s="261" t="s">
        <v>8</v>
      </c>
      <c r="C2856" s="285" t="s">
        <v>1942</v>
      </c>
      <c r="D2856" s="506"/>
      <c r="E2856" s="507">
        <v>20000</v>
      </c>
      <c r="F2856" s="286"/>
      <c r="G2856" s="290"/>
    </row>
    <row r="2857" spans="1:7" ht="17.45" customHeight="1">
      <c r="A2857" s="261" t="s">
        <v>8</v>
      </c>
      <c r="C2857" s="268" t="s">
        <v>1280</v>
      </c>
      <c r="D2857" s="501"/>
      <c r="E2857" s="500">
        <f>50000*1</f>
        <v>50000</v>
      </c>
      <c r="F2857" s="269"/>
      <c r="G2857" s="288"/>
    </row>
    <row r="2858" spans="1:7" ht="17.45" customHeight="1">
      <c r="A2858" s="261" t="s">
        <v>8</v>
      </c>
      <c r="C2858" s="271" t="s">
        <v>1549</v>
      </c>
      <c r="D2858" s="497"/>
      <c r="E2858" s="497"/>
      <c r="F2858" s="263"/>
      <c r="G2858" s="275"/>
    </row>
    <row r="2859" spans="1:7" ht="17.45" customHeight="1">
      <c r="A2859" s="261" t="s">
        <v>8</v>
      </c>
      <c r="C2859" s="271" t="s">
        <v>1819</v>
      </c>
      <c r="D2859" s="497"/>
      <c r="E2859" s="497"/>
      <c r="F2859" s="263"/>
      <c r="G2859" s="275"/>
    </row>
    <row r="2860" spans="1:7" ht="17.45" customHeight="1">
      <c r="A2860" s="261" t="s">
        <v>8</v>
      </c>
      <c r="C2860" s="271" t="s">
        <v>391</v>
      </c>
      <c r="D2860" s="497"/>
      <c r="E2860" s="497"/>
      <c r="F2860" s="263"/>
      <c r="G2860" s="275"/>
    </row>
    <row r="2861" spans="1:7" ht="17.45" customHeight="1">
      <c r="A2861" s="261" t="s">
        <v>8</v>
      </c>
      <c r="C2861" s="271" t="s">
        <v>1934</v>
      </c>
      <c r="D2861" s="497"/>
      <c r="E2861" s="497"/>
      <c r="F2861" s="263"/>
      <c r="G2861" s="275"/>
    </row>
    <row r="2862" spans="1:7" ht="17.25" customHeight="1">
      <c r="A2862" s="261" t="s">
        <v>8</v>
      </c>
      <c r="C2862" s="271" t="s">
        <v>2202</v>
      </c>
      <c r="D2862" s="497"/>
      <c r="E2862" s="497"/>
      <c r="F2862" s="263"/>
      <c r="G2862" s="275"/>
    </row>
    <row r="2863" spans="1:7" ht="17.45" customHeight="1">
      <c r="A2863" s="261" t="s">
        <v>8</v>
      </c>
      <c r="C2863" s="271" t="s">
        <v>2654</v>
      </c>
      <c r="D2863" s="497"/>
      <c r="E2863" s="499">
        <v>60000</v>
      </c>
      <c r="F2863" s="263"/>
      <c r="G2863" s="275"/>
    </row>
    <row r="2864" spans="1:7" ht="17.45" customHeight="1">
      <c r="A2864" s="261" t="s">
        <v>8</v>
      </c>
      <c r="C2864" s="271" t="s">
        <v>1687</v>
      </c>
      <c r="D2864" s="497"/>
      <c r="E2864" s="497"/>
      <c r="F2864" s="263"/>
      <c r="G2864" s="275"/>
    </row>
    <row r="2865" spans="1:7" ht="17.45" customHeight="1">
      <c r="A2865" s="261" t="s">
        <v>8</v>
      </c>
      <c r="C2865" s="271" t="s">
        <v>1688</v>
      </c>
      <c r="D2865" s="497"/>
      <c r="E2865" s="499">
        <f>55000</f>
        <v>55000</v>
      </c>
      <c r="F2865" s="263"/>
      <c r="G2865" s="275"/>
    </row>
    <row r="2866" spans="1:7" ht="17.45" customHeight="1">
      <c r="A2866" s="261" t="s">
        <v>8</v>
      </c>
      <c r="C2866" s="271"/>
      <c r="D2866" s="497"/>
      <c r="E2866" s="497"/>
      <c r="F2866" s="263"/>
      <c r="G2866" s="275"/>
    </row>
    <row r="2867" spans="1:7" ht="17.45" customHeight="1">
      <c r="A2867" s="261" t="s">
        <v>8</v>
      </c>
      <c r="C2867" s="271" t="s">
        <v>1596</v>
      </c>
      <c r="D2867" s="497"/>
      <c r="E2867" s="499">
        <f>1300</f>
        <v>1300</v>
      </c>
      <c r="F2867" s="263"/>
      <c r="G2867" s="275"/>
    </row>
    <row r="2868" spans="1:7" ht="17.45" customHeight="1">
      <c r="A2868" s="261" t="s">
        <v>8</v>
      </c>
      <c r="C2868" s="271" t="s">
        <v>1595</v>
      </c>
      <c r="D2868" s="497"/>
      <c r="E2868" s="499">
        <f>1400</f>
        <v>1400</v>
      </c>
      <c r="F2868" s="263"/>
      <c r="G2868" s="275"/>
    </row>
    <row r="2869" spans="1:7" ht="17.45" customHeight="1">
      <c r="A2869" s="261" t="s">
        <v>8</v>
      </c>
      <c r="C2869" s="271" t="s">
        <v>2822</v>
      </c>
      <c r="D2869" s="497"/>
      <c r="E2869" s="499">
        <f>5200+4700+1900+3200+5200</f>
        <v>20200</v>
      </c>
      <c r="F2869" s="263"/>
      <c r="G2869" s="275"/>
    </row>
    <row r="2870" spans="1:7" ht="17.45" customHeight="1">
      <c r="A2870" s="261" t="s">
        <v>8</v>
      </c>
      <c r="C2870" s="271" t="s">
        <v>2821</v>
      </c>
      <c r="D2870" s="497"/>
      <c r="E2870" s="499">
        <v>5000</v>
      </c>
      <c r="F2870" s="263"/>
      <c r="G2870" s="273"/>
    </row>
    <row r="2871" spans="1:7" ht="17.45" customHeight="1">
      <c r="A2871" s="261" t="s">
        <v>8</v>
      </c>
      <c r="C2871" s="271" t="s">
        <v>1689</v>
      </c>
      <c r="D2871" s="497"/>
      <c r="E2871" s="497"/>
      <c r="F2871" s="263"/>
      <c r="G2871" s="275"/>
    </row>
    <row r="2872" spans="1:7" ht="17.45" customHeight="1">
      <c r="A2872" s="261" t="s">
        <v>8</v>
      </c>
      <c r="C2872" s="271" t="s">
        <v>1569</v>
      </c>
      <c r="D2872" s="497"/>
      <c r="E2872" s="497"/>
      <c r="F2872" s="263"/>
      <c r="G2872" s="275"/>
    </row>
    <row r="2873" spans="1:7" ht="17.45" customHeight="1">
      <c r="A2873" s="261" t="s">
        <v>8</v>
      </c>
      <c r="C2873" s="271" t="s">
        <v>1618</v>
      </c>
      <c r="D2873" s="497"/>
      <c r="E2873" s="499">
        <f>41070+6760+69910</f>
        <v>117740</v>
      </c>
      <c r="F2873" s="263"/>
      <c r="G2873" s="275"/>
    </row>
    <row r="2874" spans="1:7" ht="17.45" customHeight="1">
      <c r="A2874" s="261" t="s">
        <v>8</v>
      </c>
      <c r="C2874" s="271" t="s">
        <v>2810</v>
      </c>
      <c r="D2874" s="497"/>
      <c r="E2874" s="499">
        <f>27175</f>
        <v>27175</v>
      </c>
      <c r="F2874" s="263"/>
      <c r="G2874" s="275"/>
    </row>
    <row r="2875" spans="1:7" ht="17.45" customHeight="1" thickBot="1">
      <c r="A2875" s="261" t="s">
        <v>8</v>
      </c>
      <c r="C2875" s="276" t="s">
        <v>2699</v>
      </c>
      <c r="D2875" s="502"/>
      <c r="E2875" s="503">
        <f>19000+41000+27800+21000</f>
        <v>108800</v>
      </c>
      <c r="F2875" s="277"/>
      <c r="G2875" s="282"/>
    </row>
    <row r="2876" spans="1:7" ht="17.45" customHeight="1">
      <c r="A2876" s="261" t="s">
        <v>8</v>
      </c>
      <c r="C2876" s="279" t="s">
        <v>3012</v>
      </c>
      <c r="D2876" s="504"/>
      <c r="E2876" s="505">
        <v>2000</v>
      </c>
      <c r="F2876" s="280"/>
      <c r="G2876" s="281"/>
    </row>
    <row r="2877" spans="1:7" ht="17.45" customHeight="1">
      <c r="A2877" s="261" t="s">
        <v>8</v>
      </c>
      <c r="C2877" s="271" t="s">
        <v>3011</v>
      </c>
      <c r="D2877" s="497"/>
      <c r="E2877" s="499">
        <v>50000</v>
      </c>
      <c r="F2877" s="263"/>
      <c r="G2877" s="275"/>
    </row>
    <row r="2878" spans="1:7" ht="17.45" customHeight="1">
      <c r="A2878" s="261" t="s">
        <v>8</v>
      </c>
      <c r="C2878" s="271" t="s">
        <v>3013</v>
      </c>
      <c r="D2878" s="497"/>
      <c r="E2878" s="499">
        <f>13200+9900</f>
        <v>23100</v>
      </c>
      <c r="F2878" s="263"/>
      <c r="G2878" s="275"/>
    </row>
    <row r="2879" spans="1:7" ht="17.45" customHeight="1">
      <c r="A2879" s="261" t="s">
        <v>8</v>
      </c>
      <c r="C2879" s="271" t="s">
        <v>3014</v>
      </c>
      <c r="D2879" s="497"/>
      <c r="E2879" s="499">
        <f>2800+3400</f>
        <v>6200</v>
      </c>
      <c r="F2879" s="263"/>
      <c r="G2879" s="275"/>
    </row>
    <row r="2880" spans="1:7" ht="17.45" customHeight="1">
      <c r="A2880" s="261" t="s">
        <v>8</v>
      </c>
      <c r="C2880" s="271" t="s">
        <v>3015</v>
      </c>
      <c r="D2880" s="497"/>
      <c r="E2880" s="499">
        <v>10000</v>
      </c>
      <c r="F2880" s="263"/>
      <c r="G2880" s="275"/>
    </row>
    <row r="2881" spans="1:7" ht="17.45" customHeight="1">
      <c r="A2881" s="261" t="s">
        <v>8</v>
      </c>
      <c r="C2881" s="271" t="s">
        <v>3016</v>
      </c>
      <c r="D2881" s="497"/>
      <c r="E2881" s="499">
        <v>5600</v>
      </c>
      <c r="F2881" s="263"/>
      <c r="G2881" s="275"/>
    </row>
    <row r="2882" spans="1:7" ht="17.45" customHeight="1">
      <c r="A2882" s="261" t="s">
        <v>8</v>
      </c>
      <c r="C2882" s="271" t="s">
        <v>3017</v>
      </c>
      <c r="D2882" s="497"/>
      <c r="E2882" s="499">
        <v>400</v>
      </c>
      <c r="F2882" s="263"/>
      <c r="G2882" s="275"/>
    </row>
    <row r="2883" spans="1:7" ht="17.45" customHeight="1">
      <c r="A2883" s="261" t="s">
        <v>8</v>
      </c>
      <c r="C2883" s="271" t="s">
        <v>3018</v>
      </c>
      <c r="D2883" s="497"/>
      <c r="E2883" s="499">
        <v>34900</v>
      </c>
      <c r="F2883" s="263"/>
      <c r="G2883" s="275"/>
    </row>
    <row r="2884" spans="1:7" ht="17.45" customHeight="1">
      <c r="A2884" s="261" t="s">
        <v>8</v>
      </c>
      <c r="C2884" s="271" t="s">
        <v>3019</v>
      </c>
      <c r="D2884" s="497"/>
      <c r="E2884" s="499">
        <v>15900</v>
      </c>
      <c r="F2884" s="263"/>
      <c r="G2884" s="275"/>
    </row>
    <row r="2885" spans="1:7" ht="17.45" customHeight="1">
      <c r="A2885" s="261" t="s">
        <v>8</v>
      </c>
      <c r="C2885" s="284" t="s">
        <v>3020</v>
      </c>
      <c r="D2885" s="497"/>
      <c r="E2885" s="499">
        <v>9500</v>
      </c>
      <c r="F2885" s="263"/>
      <c r="G2885" s="275"/>
    </row>
    <row r="2886" spans="1:7" ht="17.25" customHeight="1">
      <c r="A2886" s="261" t="s">
        <v>8</v>
      </c>
      <c r="C2886" s="271" t="s">
        <v>3021</v>
      </c>
      <c r="D2886" s="497"/>
      <c r="E2886" s="499">
        <f>4100+4000-8100</f>
        <v>0</v>
      </c>
      <c r="F2886" s="263"/>
      <c r="G2886" s="275"/>
    </row>
    <row r="2887" spans="1:7" ht="17.45" customHeight="1">
      <c r="A2887" s="261" t="s">
        <v>8</v>
      </c>
      <c r="C2887" s="271" t="s">
        <v>3023</v>
      </c>
      <c r="D2887" s="497"/>
      <c r="E2887" s="499">
        <f>1100+1100+1200</f>
        <v>3400</v>
      </c>
      <c r="F2887" s="263"/>
      <c r="G2887" s="275"/>
    </row>
    <row r="2888" spans="1:7" ht="17.45" customHeight="1">
      <c r="A2888" s="261" t="s">
        <v>8</v>
      </c>
      <c r="C2888" s="271" t="s">
        <v>3024</v>
      </c>
      <c r="D2888" s="497"/>
      <c r="E2888" s="499">
        <v>1000</v>
      </c>
      <c r="F2888" s="263"/>
      <c r="G2888" s="275"/>
    </row>
    <row r="2889" spans="1:7" ht="17.45" customHeight="1">
      <c r="A2889" s="261" t="s">
        <v>8</v>
      </c>
      <c r="C2889" s="271" t="s">
        <v>3025</v>
      </c>
      <c r="D2889" s="499">
        <v>7300</v>
      </c>
      <c r="E2889" s="497"/>
      <c r="F2889" s="263"/>
      <c r="G2889" s="275" t="s">
        <v>2998</v>
      </c>
    </row>
    <row r="2890" spans="1:7" ht="17.45" customHeight="1">
      <c r="A2890" s="261" t="s">
        <v>8</v>
      </c>
      <c r="C2890" s="284" t="s">
        <v>3026</v>
      </c>
      <c r="D2890" s="497"/>
      <c r="E2890" s="499">
        <v>320000</v>
      </c>
      <c r="F2890" s="263"/>
      <c r="G2890" s="275" t="s">
        <v>3027</v>
      </c>
    </row>
    <row r="2891" spans="1:7" ht="17.45" customHeight="1">
      <c r="A2891" s="261" t="s">
        <v>8</v>
      </c>
      <c r="C2891" s="271" t="s">
        <v>3028</v>
      </c>
      <c r="D2891" s="497"/>
      <c r="E2891" s="499">
        <v>1000</v>
      </c>
      <c r="F2891" s="263"/>
      <c r="G2891" s="275"/>
    </row>
    <row r="2892" spans="1:7" ht="17.45" customHeight="1">
      <c r="A2892" s="261" t="s">
        <v>8</v>
      </c>
      <c r="C2892" s="271" t="s">
        <v>3029</v>
      </c>
      <c r="D2892" s="497"/>
      <c r="E2892" s="499">
        <v>9800</v>
      </c>
      <c r="F2892" s="263"/>
      <c r="G2892" s="275"/>
    </row>
    <row r="2893" spans="1:7" ht="17.45" customHeight="1">
      <c r="A2893" s="261" t="s">
        <v>8</v>
      </c>
      <c r="C2893" s="271" t="s">
        <v>3030</v>
      </c>
      <c r="D2893" s="497"/>
      <c r="E2893" s="499">
        <v>1600</v>
      </c>
      <c r="F2893" s="263"/>
      <c r="G2893" s="275"/>
    </row>
    <row r="2894" spans="1:7" ht="17.45" customHeight="1">
      <c r="A2894" s="261" t="s">
        <v>8</v>
      </c>
      <c r="C2894" s="271" t="s">
        <v>3031</v>
      </c>
      <c r="D2894" s="497"/>
      <c r="E2894" s="499">
        <v>17000</v>
      </c>
      <c r="F2894" s="263"/>
      <c r="G2894" s="275"/>
    </row>
    <row r="2895" spans="1:7" ht="17.45" customHeight="1">
      <c r="A2895" s="261" t="s">
        <v>8</v>
      </c>
      <c r="C2895" s="271" t="s">
        <v>3034</v>
      </c>
      <c r="D2895" s="497"/>
      <c r="E2895" s="499">
        <v>1202480</v>
      </c>
      <c r="F2895" s="263"/>
      <c r="G2895" s="275"/>
    </row>
    <row r="2896" spans="1:7" ht="17.45" customHeight="1">
      <c r="A2896" s="261" t="s">
        <v>8</v>
      </c>
      <c r="C2896" s="271" t="s">
        <v>3036</v>
      </c>
      <c r="D2896" s="497"/>
      <c r="E2896" s="499">
        <v>22000</v>
      </c>
      <c r="F2896" s="263"/>
      <c r="G2896" s="275"/>
    </row>
    <row r="2897" spans="1:7" ht="17.45" customHeight="1">
      <c r="A2897" s="261" t="s">
        <v>8</v>
      </c>
      <c r="C2897" s="271" t="s">
        <v>3037</v>
      </c>
      <c r="D2897" s="497"/>
      <c r="E2897" s="499">
        <v>20000</v>
      </c>
      <c r="F2897" s="263"/>
      <c r="G2897" s="275"/>
    </row>
    <row r="2898" spans="1:7" ht="17.45" customHeight="1">
      <c r="A2898" s="261" t="s">
        <v>8</v>
      </c>
      <c r="C2898" s="271" t="s">
        <v>3040</v>
      </c>
      <c r="D2898" s="497"/>
      <c r="E2898" s="499">
        <v>26000</v>
      </c>
      <c r="F2898" s="263"/>
      <c r="G2898" s="275"/>
    </row>
    <row r="2899" spans="1:7" ht="17.45" customHeight="1">
      <c r="A2899" s="261" t="s">
        <v>8</v>
      </c>
      <c r="C2899" s="271" t="s">
        <v>3042</v>
      </c>
      <c r="D2899" s="497"/>
      <c r="E2899" s="499">
        <v>300000</v>
      </c>
      <c r="F2899" s="263"/>
      <c r="G2899" s="275"/>
    </row>
    <row r="2900" spans="1:7" ht="17.45" customHeight="1">
      <c r="A2900" s="261" t="s">
        <v>8</v>
      </c>
      <c r="C2900" s="271" t="s">
        <v>3043</v>
      </c>
      <c r="D2900" s="497"/>
      <c r="E2900" s="499">
        <f>12000+10100</f>
        <v>22100</v>
      </c>
      <c r="F2900" s="263"/>
      <c r="G2900" s="275"/>
    </row>
    <row r="2901" spans="1:7" ht="17.45" customHeight="1">
      <c r="A2901" s="261" t="s">
        <v>8</v>
      </c>
      <c r="C2901" s="271" t="s">
        <v>3044</v>
      </c>
      <c r="D2901" s="497"/>
      <c r="E2901" s="499">
        <v>18000</v>
      </c>
      <c r="F2901" s="263"/>
      <c r="G2901" s="275"/>
    </row>
    <row r="2902" spans="1:7" ht="17.45" customHeight="1">
      <c r="A2902" s="261" t="s">
        <v>8</v>
      </c>
      <c r="C2902" s="271" t="s">
        <v>3045</v>
      </c>
      <c r="D2902" s="497"/>
      <c r="E2902" s="499">
        <v>36000</v>
      </c>
      <c r="F2902" s="263"/>
      <c r="G2902" s="275"/>
    </row>
    <row r="2903" spans="1:7" ht="17.45" customHeight="1">
      <c r="A2903" s="261" t="s">
        <v>8</v>
      </c>
      <c r="C2903" s="271" t="s">
        <v>3046</v>
      </c>
      <c r="D2903" s="497"/>
      <c r="E2903" s="499">
        <f>-64600</f>
        <v>-64600</v>
      </c>
      <c r="F2903" s="263"/>
      <c r="G2903" s="275"/>
    </row>
    <row r="2904" spans="1:7" ht="17.45" customHeight="1">
      <c r="A2904" s="261" t="s">
        <v>8</v>
      </c>
      <c r="C2904" s="271" t="s">
        <v>3049</v>
      </c>
      <c r="D2904" s="497"/>
      <c r="E2904" s="499">
        <f>1083220</f>
        <v>1083220</v>
      </c>
      <c r="F2904" s="263"/>
      <c r="G2904" s="275"/>
    </row>
    <row r="2905" spans="1:7" ht="17.45" customHeight="1">
      <c r="A2905" s="261" t="s">
        <v>8</v>
      </c>
      <c r="C2905" s="271" t="s">
        <v>3050</v>
      </c>
      <c r="D2905" s="497"/>
      <c r="E2905" s="499">
        <v>4000</v>
      </c>
      <c r="F2905" s="263"/>
      <c r="G2905" s="275"/>
    </row>
    <row r="2906" spans="1:7" ht="17.45" customHeight="1" thickBot="1">
      <c r="A2906" s="261" t="s">
        <v>8</v>
      </c>
      <c r="C2906" s="276" t="s">
        <v>1300</v>
      </c>
      <c r="D2906" s="502">
        <f>SUM(D2834:D2905)-SUM(E2834:E2905)</f>
        <v>-2388978</v>
      </c>
      <c r="E2906" s="502">
        <f>SUM(E2834:E2905)-SUM(F2834:F2905)</f>
        <v>4896278</v>
      </c>
      <c r="F2906" s="277"/>
      <c r="G2906" s="283"/>
    </row>
    <row r="2908" spans="1:7" ht="12.75" thickBot="1"/>
    <row r="2909" spans="1:7" ht="17.45" customHeight="1">
      <c r="A2909" s="261" t="s">
        <v>8</v>
      </c>
      <c r="B2909" s="256" t="s">
        <v>3051</v>
      </c>
      <c r="C2909" s="268" t="s">
        <v>1268</v>
      </c>
      <c r="D2909" s="500">
        <v>297300</v>
      </c>
      <c r="E2909" s="501"/>
      <c r="F2909" s="269"/>
      <c r="G2909" s="270"/>
    </row>
    <row r="2910" spans="1:7" ht="17.45" customHeight="1">
      <c r="A2910" s="261" t="s">
        <v>8</v>
      </c>
      <c r="B2910" s="257"/>
      <c r="C2910" s="271" t="s">
        <v>3047</v>
      </c>
      <c r="D2910" s="497"/>
      <c r="E2910" s="497"/>
      <c r="F2910" s="263"/>
      <c r="G2910" s="272"/>
    </row>
    <row r="2911" spans="1:7" ht="17.45" customHeight="1">
      <c r="A2911" s="261" t="s">
        <v>8</v>
      </c>
      <c r="B2911" s="257"/>
      <c r="C2911" s="271" t="s">
        <v>1269</v>
      </c>
      <c r="D2911" s="497"/>
      <c r="E2911" s="497"/>
      <c r="F2911" s="263"/>
      <c r="G2911" s="272" t="s">
        <v>3048</v>
      </c>
    </row>
    <row r="2912" spans="1:7" ht="17.45" customHeight="1">
      <c r="A2912" s="261" t="s">
        <v>8</v>
      </c>
      <c r="C2912" s="271" t="s">
        <v>1270</v>
      </c>
      <c r="D2912" s="497"/>
      <c r="E2912" s="497"/>
      <c r="F2912" s="263"/>
      <c r="G2912" s="273" t="s">
        <v>2740</v>
      </c>
    </row>
    <row r="2913" spans="1:7" ht="17.45" customHeight="1">
      <c r="A2913" s="261" t="s">
        <v>8</v>
      </c>
      <c r="C2913" s="271" t="s">
        <v>1670</v>
      </c>
      <c r="D2913" s="497"/>
      <c r="E2913" s="497"/>
      <c r="F2913" s="263"/>
      <c r="G2913" s="274"/>
    </row>
    <row r="2914" spans="1:7" ht="17.45" customHeight="1">
      <c r="A2914" s="261" t="s">
        <v>8</v>
      </c>
      <c r="C2914" s="271" t="s">
        <v>1672</v>
      </c>
      <c r="D2914" s="497"/>
      <c r="E2914" s="499">
        <v>69892</v>
      </c>
      <c r="F2914" s="263"/>
      <c r="G2914" s="273" t="s">
        <v>2732</v>
      </c>
    </row>
    <row r="2915" spans="1:7" ht="17.45" customHeight="1">
      <c r="A2915" s="261" t="s">
        <v>8</v>
      </c>
      <c r="C2915" s="271" t="s">
        <v>1673</v>
      </c>
      <c r="D2915" s="497"/>
      <c r="E2915" s="497"/>
      <c r="F2915" s="263"/>
      <c r="G2915" s="274"/>
    </row>
    <row r="2916" spans="1:7" ht="17.45" customHeight="1">
      <c r="A2916" s="261" t="s">
        <v>8</v>
      </c>
      <c r="C2916" s="271" t="s">
        <v>1332</v>
      </c>
      <c r="D2916" s="497"/>
      <c r="E2916" s="499">
        <v>34650</v>
      </c>
      <c r="F2916" s="263"/>
      <c r="G2916" s="275"/>
    </row>
    <row r="2917" spans="1:7" ht="17.45" customHeight="1">
      <c r="A2917" s="261" t="s">
        <v>8</v>
      </c>
      <c r="C2917" s="271" t="s">
        <v>1271</v>
      </c>
      <c r="D2917" s="497"/>
      <c r="E2917" s="497"/>
      <c r="F2917" s="263"/>
      <c r="G2917" s="274"/>
    </row>
    <row r="2918" spans="1:7" ht="17.45" customHeight="1">
      <c r="A2918" s="261" t="s">
        <v>8</v>
      </c>
      <c r="C2918" s="271" t="s">
        <v>1272</v>
      </c>
      <c r="D2918" s="497"/>
      <c r="E2918" s="497"/>
      <c r="F2918" s="263"/>
      <c r="G2918" s="273"/>
    </row>
    <row r="2919" spans="1:7" ht="17.45" customHeight="1">
      <c r="A2919" s="261" t="s">
        <v>8</v>
      </c>
      <c r="C2919" s="271" t="s">
        <v>3009</v>
      </c>
      <c r="D2919" s="497"/>
      <c r="E2919" s="499">
        <v>20763</v>
      </c>
      <c r="F2919" s="263"/>
      <c r="G2919" s="273" t="s">
        <v>2732</v>
      </c>
    </row>
    <row r="2920" spans="1:7" ht="17.45" customHeight="1">
      <c r="A2920" s="261" t="s">
        <v>8</v>
      </c>
      <c r="C2920" s="271" t="s">
        <v>3010</v>
      </c>
      <c r="D2920" s="497"/>
      <c r="E2920" s="499">
        <v>79322</v>
      </c>
      <c r="F2920" s="263"/>
      <c r="G2920" s="273" t="s">
        <v>2732</v>
      </c>
    </row>
    <row r="2921" spans="1:7" ht="17.45" customHeight="1">
      <c r="A2921" s="261" t="s">
        <v>8</v>
      </c>
      <c r="C2921" s="271" t="s">
        <v>1273</v>
      </c>
      <c r="D2921" s="497"/>
      <c r="E2921" s="499">
        <v>29920</v>
      </c>
      <c r="F2921" s="263"/>
      <c r="G2921" s="273" t="s">
        <v>2732</v>
      </c>
    </row>
    <row r="2922" spans="1:7" ht="17.45" customHeight="1">
      <c r="A2922" s="261" t="s">
        <v>8</v>
      </c>
      <c r="C2922" s="271" t="s">
        <v>1274</v>
      </c>
      <c r="D2922" s="497"/>
      <c r="E2922" s="499">
        <v>3757</v>
      </c>
      <c r="F2922" s="263"/>
      <c r="G2922" s="273" t="s">
        <v>3035</v>
      </c>
    </row>
    <row r="2923" spans="1:7" ht="17.45" customHeight="1">
      <c r="A2923" s="261" t="s">
        <v>8</v>
      </c>
      <c r="C2923" s="271" t="s">
        <v>2168</v>
      </c>
      <c r="D2923" s="497"/>
      <c r="E2923" s="499">
        <v>18816</v>
      </c>
      <c r="F2923" s="263"/>
      <c r="G2923" s="273" t="s">
        <v>2732</v>
      </c>
    </row>
    <row r="2924" spans="1:7" ht="17.45" customHeight="1">
      <c r="A2924" s="261" t="s">
        <v>8</v>
      </c>
      <c r="C2924" s="271" t="s">
        <v>1517</v>
      </c>
      <c r="D2924" s="497"/>
      <c r="E2924" s="499">
        <v>23230</v>
      </c>
      <c r="F2924" s="263"/>
      <c r="G2924" s="273" t="s">
        <v>2732</v>
      </c>
    </row>
    <row r="2925" spans="1:7" ht="17.45" customHeight="1">
      <c r="A2925" s="261" t="s">
        <v>8</v>
      </c>
      <c r="C2925" s="271" t="s">
        <v>1276</v>
      </c>
      <c r="D2925" s="497"/>
      <c r="E2925" s="499">
        <v>288530</v>
      </c>
      <c r="F2925" s="263"/>
      <c r="G2925" s="273" t="s">
        <v>2732</v>
      </c>
    </row>
    <row r="2926" spans="1:7" ht="17.45" customHeight="1">
      <c r="A2926" s="261" t="s">
        <v>8</v>
      </c>
      <c r="C2926" s="271" t="s">
        <v>1277</v>
      </c>
      <c r="D2926" s="497"/>
      <c r="E2926" s="499">
        <v>24228</v>
      </c>
      <c r="F2926" s="263"/>
      <c r="G2926" s="273" t="s">
        <v>2732</v>
      </c>
    </row>
    <row r="2927" spans="1:7" ht="17.45" customHeight="1">
      <c r="A2927" s="261" t="s">
        <v>8</v>
      </c>
      <c r="C2927" s="271" t="s">
        <v>1278</v>
      </c>
      <c r="D2927" s="497"/>
      <c r="E2927" s="499">
        <v>200000</v>
      </c>
      <c r="F2927" s="263"/>
      <c r="G2927" s="273"/>
    </row>
    <row r="2928" spans="1:7" ht="17.45" customHeight="1">
      <c r="A2928" s="261" t="s">
        <v>8</v>
      </c>
      <c r="C2928" s="285" t="s">
        <v>1413</v>
      </c>
      <c r="D2928" s="506"/>
      <c r="E2928" s="506"/>
      <c r="F2928" s="286"/>
      <c r="G2928" s="287"/>
    </row>
    <row r="2929" spans="1:7" ht="17.25" customHeight="1">
      <c r="A2929" s="261" t="s">
        <v>8</v>
      </c>
      <c r="C2929" s="338" t="s">
        <v>2661</v>
      </c>
      <c r="D2929" s="497"/>
      <c r="E2929" s="497"/>
      <c r="F2929" s="263"/>
      <c r="G2929" s="275"/>
    </row>
    <row r="2930" spans="1:7" ht="17.45" customHeight="1">
      <c r="A2930" s="261" t="s">
        <v>8</v>
      </c>
      <c r="C2930" s="339" t="s">
        <v>2647</v>
      </c>
      <c r="D2930" s="506"/>
      <c r="E2930" s="506"/>
      <c r="F2930" s="286"/>
      <c r="G2930" s="290"/>
    </row>
    <row r="2931" spans="1:7" ht="17.45" customHeight="1" thickBot="1">
      <c r="A2931" s="261" t="s">
        <v>8</v>
      </c>
      <c r="C2931" s="285" t="s">
        <v>1942</v>
      </c>
      <c r="D2931" s="506"/>
      <c r="E2931" s="507">
        <v>20000</v>
      </c>
      <c r="F2931" s="286"/>
      <c r="G2931" s="290"/>
    </row>
    <row r="2932" spans="1:7" ht="17.45" customHeight="1">
      <c r="A2932" s="261" t="s">
        <v>8</v>
      </c>
      <c r="C2932" s="268" t="s">
        <v>1280</v>
      </c>
      <c r="D2932" s="501"/>
      <c r="E2932" s="500">
        <f>50000*2</f>
        <v>100000</v>
      </c>
      <c r="F2932" s="269"/>
      <c r="G2932" s="288"/>
    </row>
    <row r="2933" spans="1:7" ht="17.45" customHeight="1">
      <c r="A2933" s="261" t="s">
        <v>8</v>
      </c>
      <c r="C2933" s="271" t="s">
        <v>1549</v>
      </c>
      <c r="D2933" s="497"/>
      <c r="E2933" s="497"/>
      <c r="F2933" s="263"/>
      <c r="G2933" s="275"/>
    </row>
    <row r="2934" spans="1:7" ht="17.45" customHeight="1">
      <c r="A2934" s="261" t="s">
        <v>8</v>
      </c>
      <c r="C2934" s="271" t="s">
        <v>1819</v>
      </c>
      <c r="D2934" s="497"/>
      <c r="E2934" s="497"/>
      <c r="F2934" s="263"/>
      <c r="G2934" s="275"/>
    </row>
    <row r="2935" spans="1:7" ht="17.45" customHeight="1">
      <c r="A2935" s="261" t="s">
        <v>8</v>
      </c>
      <c r="C2935" s="271" t="s">
        <v>391</v>
      </c>
      <c r="D2935" s="497"/>
      <c r="E2935" s="497"/>
      <c r="F2935" s="263"/>
      <c r="G2935" s="275"/>
    </row>
    <row r="2936" spans="1:7" ht="17.45" customHeight="1">
      <c r="A2936" s="261" t="s">
        <v>8</v>
      </c>
      <c r="C2936" s="271" t="s">
        <v>1934</v>
      </c>
      <c r="D2936" s="497"/>
      <c r="E2936" s="497"/>
      <c r="F2936" s="263"/>
      <c r="G2936" s="275"/>
    </row>
    <row r="2937" spans="1:7" ht="17.25" customHeight="1">
      <c r="A2937" s="261" t="s">
        <v>8</v>
      </c>
      <c r="C2937" s="271" t="s">
        <v>2202</v>
      </c>
      <c r="D2937" s="497"/>
      <c r="E2937" s="497"/>
      <c r="F2937" s="263"/>
      <c r="G2937" s="275"/>
    </row>
    <row r="2938" spans="1:7" ht="17.45" customHeight="1">
      <c r="A2938" s="261" t="s">
        <v>8</v>
      </c>
      <c r="C2938" s="271" t="s">
        <v>2654</v>
      </c>
      <c r="D2938" s="497"/>
      <c r="E2938" s="497"/>
      <c r="F2938" s="263"/>
      <c r="G2938" s="275"/>
    </row>
    <row r="2939" spans="1:7" ht="17.45" customHeight="1">
      <c r="A2939" s="261" t="s">
        <v>8</v>
      </c>
      <c r="C2939" s="271" t="s">
        <v>1687</v>
      </c>
      <c r="D2939" s="497"/>
      <c r="E2939" s="497"/>
      <c r="F2939" s="263"/>
      <c r="G2939" s="275"/>
    </row>
    <row r="2940" spans="1:7" ht="17.45" customHeight="1">
      <c r="A2940" s="261" t="s">
        <v>8</v>
      </c>
      <c r="C2940" s="271" t="s">
        <v>1688</v>
      </c>
      <c r="D2940" s="497"/>
      <c r="E2940" s="497"/>
      <c r="F2940" s="263"/>
      <c r="G2940" s="275"/>
    </row>
    <row r="2941" spans="1:7" ht="17.45" customHeight="1">
      <c r="A2941" s="261" t="s">
        <v>8</v>
      </c>
      <c r="C2941" s="271" t="s">
        <v>3065</v>
      </c>
      <c r="D2941" s="497"/>
      <c r="E2941" s="499">
        <f>10000+28000</f>
        <v>38000</v>
      </c>
      <c r="F2941" s="263"/>
      <c r="G2941" s="275"/>
    </row>
    <row r="2942" spans="1:7" ht="17.45" customHeight="1">
      <c r="A2942" s="261" t="s">
        <v>8</v>
      </c>
      <c r="C2942" s="271" t="s">
        <v>1596</v>
      </c>
      <c r="D2942" s="497"/>
      <c r="E2942" s="497"/>
      <c r="F2942" s="263"/>
      <c r="G2942" s="275"/>
    </row>
    <row r="2943" spans="1:7" ht="17.45" customHeight="1">
      <c r="A2943" s="261" t="s">
        <v>8</v>
      </c>
      <c r="C2943" s="271" t="s">
        <v>1595</v>
      </c>
      <c r="D2943" s="497"/>
      <c r="E2943" s="497"/>
      <c r="F2943" s="263"/>
      <c r="G2943" s="275"/>
    </row>
    <row r="2944" spans="1:7" ht="17.45" customHeight="1">
      <c r="A2944" s="261" t="s">
        <v>8</v>
      </c>
      <c r="C2944" s="271" t="s">
        <v>2822</v>
      </c>
      <c r="D2944" s="497"/>
      <c r="E2944" s="499">
        <f>5100+2600+2400+3800+16700+1000</f>
        <v>31600</v>
      </c>
      <c r="F2944" s="263"/>
      <c r="G2944" s="275"/>
    </row>
    <row r="2945" spans="1:7" ht="17.45" customHeight="1">
      <c r="A2945" s="261" t="s">
        <v>8</v>
      </c>
      <c r="C2945" s="271" t="s">
        <v>2821</v>
      </c>
      <c r="D2945" s="497"/>
      <c r="E2945" s="499">
        <v>4000</v>
      </c>
      <c r="F2945" s="263"/>
      <c r="G2945" s="273"/>
    </row>
    <row r="2946" spans="1:7" ht="17.45" customHeight="1">
      <c r="A2946" s="261" t="s">
        <v>8</v>
      </c>
      <c r="C2946" s="271" t="s">
        <v>1689</v>
      </c>
      <c r="D2946" s="497"/>
      <c r="E2946" s="497"/>
      <c r="F2946" s="263"/>
      <c r="G2946" s="275"/>
    </row>
    <row r="2947" spans="1:7" ht="17.45" customHeight="1">
      <c r="A2947" s="261" t="s">
        <v>8</v>
      </c>
      <c r="C2947" s="271" t="s">
        <v>1569</v>
      </c>
      <c r="D2947" s="497"/>
      <c r="E2947" s="497"/>
      <c r="F2947" s="263"/>
      <c r="G2947" s="275"/>
    </row>
    <row r="2948" spans="1:7" ht="17.45" customHeight="1">
      <c r="A2948" s="261" t="s">
        <v>8</v>
      </c>
      <c r="C2948" s="271" t="s">
        <v>1618</v>
      </c>
      <c r="D2948" s="497"/>
      <c r="E2948" s="499">
        <f>21440+10740+26720+52260</f>
        <v>111160</v>
      </c>
      <c r="F2948" s="263"/>
      <c r="G2948" s="275"/>
    </row>
    <row r="2949" spans="1:7" ht="17.45" customHeight="1">
      <c r="A2949" s="261" t="s">
        <v>8</v>
      </c>
      <c r="C2949" s="271" t="s">
        <v>2810</v>
      </c>
      <c r="D2949" s="497"/>
      <c r="E2949" s="497"/>
      <c r="F2949" s="263"/>
      <c r="G2949" s="275"/>
    </row>
    <row r="2950" spans="1:7" ht="17.45" customHeight="1" thickBot="1">
      <c r="A2950" s="261" t="s">
        <v>8</v>
      </c>
      <c r="C2950" s="276" t="s">
        <v>2699</v>
      </c>
      <c r="D2950" s="502"/>
      <c r="E2950" s="503">
        <f>13200+23000</f>
        <v>36200</v>
      </c>
      <c r="F2950" s="277"/>
      <c r="G2950" s="282"/>
    </row>
    <row r="2951" spans="1:7" ht="17.45" customHeight="1">
      <c r="A2951" s="261" t="s">
        <v>8</v>
      </c>
      <c r="C2951" s="279" t="s">
        <v>3052</v>
      </c>
      <c r="D2951" s="504"/>
      <c r="E2951" s="505">
        <v>17000</v>
      </c>
      <c r="F2951" s="280"/>
      <c r="G2951" s="281"/>
    </row>
    <row r="2952" spans="1:7" ht="17.45" customHeight="1">
      <c r="A2952" s="261" t="s">
        <v>8</v>
      </c>
      <c r="C2952" s="271" t="s">
        <v>3053</v>
      </c>
      <c r="D2952" s="497"/>
      <c r="E2952" s="499">
        <v>19000</v>
      </c>
      <c r="F2952" s="263"/>
      <c r="G2952" s="275"/>
    </row>
    <row r="2953" spans="1:7" ht="17.45" customHeight="1">
      <c r="A2953" s="261" t="s">
        <v>8</v>
      </c>
      <c r="C2953" s="271" t="s">
        <v>3049</v>
      </c>
      <c r="D2953" s="497"/>
      <c r="E2953" s="499">
        <f>-307350-680000</f>
        <v>-987350</v>
      </c>
      <c r="F2953" s="263"/>
      <c r="G2953" s="275"/>
    </row>
    <row r="2954" spans="1:7" ht="17.45" customHeight="1">
      <c r="A2954" s="261" t="s">
        <v>8</v>
      </c>
      <c r="C2954" s="271" t="s">
        <v>3041</v>
      </c>
      <c r="D2954" s="497"/>
      <c r="E2954" s="499">
        <f>9900+9900+9900+9900</f>
        <v>39600</v>
      </c>
      <c r="F2954" s="263"/>
      <c r="G2954" s="275"/>
    </row>
    <row r="2955" spans="1:7" ht="17.45" customHeight="1">
      <c r="A2955" s="261" t="s">
        <v>8</v>
      </c>
      <c r="C2955" s="271" t="s">
        <v>2997</v>
      </c>
      <c r="D2955" s="499">
        <f>1920+190</f>
        <v>2110</v>
      </c>
      <c r="E2955" s="497"/>
      <c r="F2955" s="263"/>
      <c r="G2955" s="275" t="s">
        <v>2998</v>
      </c>
    </row>
    <row r="2956" spans="1:7" ht="17.45" customHeight="1">
      <c r="A2956" s="261" t="s">
        <v>8</v>
      </c>
      <c r="C2956" s="271" t="s">
        <v>3054</v>
      </c>
      <c r="D2956" s="497"/>
      <c r="E2956" s="499">
        <v>54450</v>
      </c>
      <c r="F2956" s="263"/>
      <c r="G2956" s="275"/>
    </row>
    <row r="2957" spans="1:7" ht="17.45" customHeight="1">
      <c r="A2957" s="261" t="s">
        <v>8</v>
      </c>
      <c r="C2957" s="271" t="s">
        <v>3055</v>
      </c>
      <c r="D2957" s="497"/>
      <c r="E2957" s="499">
        <v>20100</v>
      </c>
      <c r="F2957" s="263"/>
      <c r="G2957" s="275"/>
    </row>
    <row r="2958" spans="1:7" ht="17.45" customHeight="1">
      <c r="A2958" s="261" t="s">
        <v>8</v>
      </c>
      <c r="C2958" s="271" t="s">
        <v>3056</v>
      </c>
      <c r="D2958" s="497"/>
      <c r="E2958" s="499">
        <v>67000</v>
      </c>
      <c r="F2958" s="263"/>
      <c r="G2958" s="275"/>
    </row>
    <row r="2959" spans="1:7" ht="17.45" customHeight="1">
      <c r="A2959" s="261" t="s">
        <v>8</v>
      </c>
      <c r="C2959" s="271" t="s">
        <v>3050</v>
      </c>
      <c r="D2959" s="497"/>
      <c r="E2959" s="499">
        <v>-4000</v>
      </c>
      <c r="F2959" s="263"/>
      <c r="G2959" s="275"/>
    </row>
    <row r="2960" spans="1:7" ht="17.45" customHeight="1">
      <c r="A2960" s="261" t="s">
        <v>8</v>
      </c>
      <c r="C2960" s="284" t="s">
        <v>3057</v>
      </c>
      <c r="D2960" s="497"/>
      <c r="E2960" s="499">
        <v>389000</v>
      </c>
      <c r="F2960" s="263"/>
      <c r="G2960" s="275" t="s">
        <v>3058</v>
      </c>
    </row>
    <row r="2961" spans="1:7" ht="17.25" customHeight="1">
      <c r="A2961" s="261" t="s">
        <v>8</v>
      </c>
      <c r="C2961" s="271" t="s">
        <v>3059</v>
      </c>
      <c r="D2961" s="497"/>
      <c r="E2961" s="499">
        <v>13500</v>
      </c>
      <c r="F2961" s="263"/>
      <c r="G2961" s="275"/>
    </row>
    <row r="2962" spans="1:7" ht="17.45" customHeight="1">
      <c r="A2962" s="261" t="s">
        <v>8</v>
      </c>
      <c r="C2962" s="271" t="s">
        <v>3061</v>
      </c>
      <c r="D2962" s="497"/>
      <c r="E2962" s="499">
        <f>1100+1200</f>
        <v>2300</v>
      </c>
      <c r="F2962" s="263"/>
      <c r="G2962" s="275"/>
    </row>
    <row r="2963" spans="1:7" ht="17.45" customHeight="1">
      <c r="A2963" s="261" t="s">
        <v>8</v>
      </c>
      <c r="C2963" s="271" t="s">
        <v>3062</v>
      </c>
      <c r="D2963" s="497"/>
      <c r="E2963" s="499">
        <v>3200</v>
      </c>
      <c r="F2963" s="263"/>
      <c r="G2963" s="275"/>
    </row>
    <row r="2964" spans="1:7" ht="17.45" customHeight="1">
      <c r="A2964" s="261" t="s">
        <v>8</v>
      </c>
      <c r="C2964" s="271" t="s">
        <v>3063</v>
      </c>
      <c r="D2964" s="497"/>
      <c r="E2964" s="499">
        <v>5100</v>
      </c>
      <c r="F2964" s="263"/>
      <c r="G2964" s="275"/>
    </row>
    <row r="2965" spans="1:7" ht="17.45" customHeight="1">
      <c r="A2965" s="261" t="s">
        <v>8</v>
      </c>
      <c r="C2965" s="284" t="s">
        <v>3064</v>
      </c>
      <c r="D2965" s="497"/>
      <c r="E2965" s="499">
        <v>4000</v>
      </c>
      <c r="F2965" s="263"/>
      <c r="G2965" s="275"/>
    </row>
    <row r="2966" spans="1:7" ht="17.45" customHeight="1">
      <c r="A2966" s="261" t="s">
        <v>8</v>
      </c>
      <c r="C2966" s="271" t="s">
        <v>3066</v>
      </c>
      <c r="D2966" s="497"/>
      <c r="E2966" s="499">
        <v>532280</v>
      </c>
      <c r="F2966" s="263"/>
      <c r="G2966" s="275"/>
    </row>
    <row r="2967" spans="1:7" ht="17.45" customHeight="1">
      <c r="A2967" s="261" t="s">
        <v>8</v>
      </c>
      <c r="C2967" s="271" t="s">
        <v>3067</v>
      </c>
      <c r="D2967" s="497"/>
      <c r="E2967" s="499">
        <v>3200</v>
      </c>
      <c r="F2967" s="263"/>
      <c r="G2967" s="275"/>
    </row>
    <row r="2968" spans="1:7" ht="17.45" customHeight="1">
      <c r="A2968" s="261" t="s">
        <v>8</v>
      </c>
      <c r="C2968" s="271" t="s">
        <v>3068</v>
      </c>
      <c r="D2968" s="497"/>
      <c r="E2968" s="499">
        <v>9800</v>
      </c>
      <c r="F2968" s="263"/>
      <c r="G2968" s="275"/>
    </row>
    <row r="2969" spans="1:7" ht="17.45" customHeight="1">
      <c r="A2969" s="261" t="s">
        <v>8</v>
      </c>
      <c r="C2969" s="271" t="s">
        <v>3069</v>
      </c>
      <c r="D2969" s="497"/>
      <c r="E2969" s="499">
        <f>1800-100</f>
        <v>1700</v>
      </c>
      <c r="F2969" s="263"/>
      <c r="G2969" s="275"/>
    </row>
    <row r="2970" spans="1:7" ht="17.45" customHeight="1">
      <c r="A2970" s="261" t="s">
        <v>8</v>
      </c>
      <c r="C2970" s="271" t="s">
        <v>3070</v>
      </c>
      <c r="D2970" s="497"/>
      <c r="E2970" s="499">
        <v>4600</v>
      </c>
      <c r="F2970" s="263"/>
      <c r="G2970" s="275"/>
    </row>
    <row r="2971" spans="1:7" ht="17.45" customHeight="1" thickBot="1">
      <c r="A2971" s="261" t="s">
        <v>8</v>
      </c>
      <c r="C2971" s="276" t="s">
        <v>1300</v>
      </c>
      <c r="D2971" s="502">
        <f>SUM(D2909:D2970)-SUM(E2909:E2970)</f>
        <v>-1029138</v>
      </c>
      <c r="E2971" s="502">
        <f>SUM(E2909:E2970)-SUM(F2909:F2970)</f>
        <v>1328548</v>
      </c>
      <c r="F2971" s="277"/>
      <c r="G2971" s="283"/>
    </row>
    <row r="2973" spans="1:7" ht="12.75" thickBot="1"/>
    <row r="2974" spans="1:7" ht="17.45" customHeight="1">
      <c r="A2974" s="261" t="s">
        <v>8</v>
      </c>
      <c r="B2974" s="256" t="s">
        <v>3071</v>
      </c>
      <c r="C2974" s="268" t="s">
        <v>1268</v>
      </c>
      <c r="D2974" s="501">
        <v>0</v>
      </c>
      <c r="E2974" s="501"/>
      <c r="F2974" s="269"/>
      <c r="G2974" s="270"/>
    </row>
    <row r="2975" spans="1:7" ht="17.45" customHeight="1">
      <c r="A2975" s="261" t="s">
        <v>8</v>
      </c>
      <c r="B2975" s="257"/>
      <c r="C2975" s="271" t="s">
        <v>3047</v>
      </c>
      <c r="D2975" s="499">
        <v>5129030</v>
      </c>
      <c r="E2975" s="497"/>
      <c r="F2975" s="263"/>
      <c r="G2975" s="272"/>
    </row>
    <row r="2976" spans="1:7" ht="17.45" customHeight="1">
      <c r="A2976" s="261" t="s">
        <v>8</v>
      </c>
      <c r="B2976" s="257"/>
      <c r="C2976" s="271" t="s">
        <v>1269</v>
      </c>
      <c r="D2976" s="497"/>
      <c r="E2976" s="499">
        <f>900000-78400</f>
        <v>821600</v>
      </c>
      <c r="F2976" s="263"/>
      <c r="G2976" s="272" t="s">
        <v>3087</v>
      </c>
    </row>
    <row r="2977" spans="1:7" ht="17.45" customHeight="1">
      <c r="A2977" s="261" t="s">
        <v>8</v>
      </c>
      <c r="C2977" s="271" t="s">
        <v>1270</v>
      </c>
      <c r="D2977" s="497"/>
      <c r="E2977" s="499">
        <v>30000</v>
      </c>
      <c r="F2977" s="263"/>
      <c r="G2977" s="273" t="s">
        <v>2740</v>
      </c>
    </row>
    <row r="2978" spans="1:7" ht="17.45" customHeight="1">
      <c r="A2978" s="261" t="s">
        <v>8</v>
      </c>
      <c r="C2978" s="271" t="s">
        <v>1670</v>
      </c>
      <c r="D2978" s="497"/>
      <c r="E2978" s="497"/>
      <c r="F2978" s="263"/>
      <c r="G2978" s="274"/>
    </row>
    <row r="2979" spans="1:7" ht="17.45" customHeight="1">
      <c r="A2979" s="261" t="s">
        <v>8</v>
      </c>
      <c r="C2979" s="271" t="s">
        <v>1672</v>
      </c>
      <c r="D2979" s="497"/>
      <c r="E2979" s="499">
        <v>69470</v>
      </c>
      <c r="F2979" s="263"/>
      <c r="G2979" s="273" t="s">
        <v>2732</v>
      </c>
    </row>
    <row r="2980" spans="1:7" ht="17.45" customHeight="1">
      <c r="A2980" s="261" t="s">
        <v>8</v>
      </c>
      <c r="C2980" s="271" t="s">
        <v>1673</v>
      </c>
      <c r="D2980" s="497"/>
      <c r="E2980" s="497"/>
      <c r="F2980" s="263"/>
      <c r="G2980" s="274"/>
    </row>
    <row r="2981" spans="1:7" ht="17.45" customHeight="1">
      <c r="A2981" s="261" t="s">
        <v>8</v>
      </c>
      <c r="C2981" s="271" t="s">
        <v>1332</v>
      </c>
      <c r="D2981" s="497"/>
      <c r="E2981" s="499">
        <v>34650</v>
      </c>
      <c r="F2981" s="263"/>
      <c r="G2981" s="275"/>
    </row>
    <row r="2982" spans="1:7" ht="17.45" customHeight="1">
      <c r="A2982" s="261" t="s">
        <v>8</v>
      </c>
      <c r="C2982" s="271" t="s">
        <v>1271</v>
      </c>
      <c r="D2982" s="497"/>
      <c r="E2982" s="497"/>
      <c r="F2982" s="263"/>
      <c r="G2982" s="274"/>
    </row>
    <row r="2983" spans="1:7" ht="17.45" customHeight="1">
      <c r="A2983" s="261" t="s">
        <v>8</v>
      </c>
      <c r="C2983" s="271" t="s">
        <v>1272</v>
      </c>
      <c r="D2983" s="497"/>
      <c r="E2983" s="497"/>
      <c r="F2983" s="263"/>
      <c r="G2983" s="273"/>
    </row>
    <row r="2984" spans="1:7" ht="17.45" customHeight="1">
      <c r="A2984" s="261" t="s">
        <v>8</v>
      </c>
      <c r="C2984" s="271" t="s">
        <v>3009</v>
      </c>
      <c r="D2984" s="497"/>
      <c r="E2984" s="499">
        <v>20763</v>
      </c>
      <c r="F2984" s="263"/>
      <c r="G2984" s="273" t="s">
        <v>2732</v>
      </c>
    </row>
    <row r="2985" spans="1:7" ht="17.45" customHeight="1">
      <c r="A2985" s="261" t="s">
        <v>8</v>
      </c>
      <c r="C2985" s="271" t="s">
        <v>3010</v>
      </c>
      <c r="D2985" s="497"/>
      <c r="E2985" s="499">
        <f>79290-395467+395467</f>
        <v>79290</v>
      </c>
      <c r="F2985" s="263"/>
      <c r="G2985" s="273" t="s">
        <v>2732</v>
      </c>
    </row>
    <row r="2986" spans="1:7" ht="17.45" customHeight="1">
      <c r="A2986" s="261" t="s">
        <v>8</v>
      </c>
      <c r="C2986" s="271" t="s">
        <v>1273</v>
      </c>
      <c r="D2986" s="497"/>
      <c r="E2986" s="499">
        <v>29920</v>
      </c>
      <c r="F2986" s="263"/>
      <c r="G2986" s="273" t="s">
        <v>2732</v>
      </c>
    </row>
    <row r="2987" spans="1:7" ht="17.45" customHeight="1">
      <c r="A2987" s="261" t="s">
        <v>8</v>
      </c>
      <c r="C2987" s="271" t="s">
        <v>1274</v>
      </c>
      <c r="D2987" s="497"/>
      <c r="E2987" s="499">
        <v>3757</v>
      </c>
      <c r="F2987" s="263"/>
      <c r="G2987" s="273"/>
    </row>
    <row r="2988" spans="1:7" ht="17.45" customHeight="1">
      <c r="A2988" s="261" t="s">
        <v>8</v>
      </c>
      <c r="C2988" s="271" t="s">
        <v>2168</v>
      </c>
      <c r="D2988" s="497"/>
      <c r="E2988" s="499">
        <v>18816</v>
      </c>
      <c r="F2988" s="263"/>
      <c r="G2988" s="273" t="s">
        <v>2732</v>
      </c>
    </row>
    <row r="2989" spans="1:7" ht="17.45" customHeight="1">
      <c r="A2989" s="261" t="s">
        <v>8</v>
      </c>
      <c r="C2989" s="271" t="s">
        <v>1517</v>
      </c>
      <c r="D2989" s="497"/>
      <c r="E2989" s="499">
        <v>23230</v>
      </c>
      <c r="F2989" s="263"/>
      <c r="G2989" s="273" t="s">
        <v>2732</v>
      </c>
    </row>
    <row r="2990" spans="1:7" ht="17.45" customHeight="1">
      <c r="A2990" s="261" t="s">
        <v>8</v>
      </c>
      <c r="C2990" s="271" t="s">
        <v>1276</v>
      </c>
      <c r="D2990" s="497"/>
      <c r="E2990" s="499">
        <v>344600</v>
      </c>
      <c r="F2990" s="263"/>
      <c r="G2990" s="273" t="s">
        <v>2732</v>
      </c>
    </row>
    <row r="2991" spans="1:7" ht="17.45" customHeight="1">
      <c r="A2991" s="261" t="s">
        <v>8</v>
      </c>
      <c r="C2991" s="271" t="s">
        <v>1277</v>
      </c>
      <c r="D2991" s="497"/>
      <c r="E2991" s="499">
        <v>20430</v>
      </c>
      <c r="F2991" s="263"/>
      <c r="G2991" s="273" t="s">
        <v>2732</v>
      </c>
    </row>
    <row r="2992" spans="1:7" ht="17.45" customHeight="1">
      <c r="A2992" s="261" t="s">
        <v>8</v>
      </c>
      <c r="C2992" s="271" t="s">
        <v>1278</v>
      </c>
      <c r="D2992" s="497"/>
      <c r="E2992" s="499">
        <v>200000</v>
      </c>
      <c r="F2992" s="263"/>
      <c r="G2992" s="273"/>
    </row>
    <row r="2993" spans="1:7" ht="17.45" customHeight="1">
      <c r="A2993" s="261" t="s">
        <v>8</v>
      </c>
      <c r="C2993" s="285" t="s">
        <v>1413</v>
      </c>
      <c r="D2993" s="506"/>
      <c r="E2993" s="506"/>
      <c r="F2993" s="286"/>
      <c r="G2993" s="287"/>
    </row>
    <row r="2994" spans="1:7" ht="17.25" customHeight="1">
      <c r="A2994" s="261" t="s">
        <v>8</v>
      </c>
      <c r="C2994" s="338" t="s">
        <v>2661</v>
      </c>
      <c r="D2994" s="497"/>
      <c r="E2994" s="497"/>
      <c r="F2994" s="263"/>
      <c r="G2994" s="275"/>
    </row>
    <row r="2995" spans="1:7" ht="17.45" customHeight="1">
      <c r="A2995" s="261" t="s">
        <v>8</v>
      </c>
      <c r="C2995" s="339" t="s">
        <v>2647</v>
      </c>
      <c r="D2995" s="506"/>
      <c r="E2995" s="506"/>
      <c r="F2995" s="286"/>
      <c r="G2995" s="290"/>
    </row>
    <row r="2996" spans="1:7" ht="17.45" customHeight="1" thickBot="1">
      <c r="A2996" s="261" t="s">
        <v>8</v>
      </c>
      <c r="C2996" s="285" t="s">
        <v>1942</v>
      </c>
      <c r="D2996" s="506"/>
      <c r="E2996" s="507">
        <v>20000</v>
      </c>
      <c r="F2996" s="286"/>
      <c r="G2996" s="290"/>
    </row>
    <row r="2997" spans="1:7" ht="17.45" customHeight="1">
      <c r="A2997" s="261" t="s">
        <v>8</v>
      </c>
      <c r="C2997" s="268" t="s">
        <v>1280</v>
      </c>
      <c r="D2997" s="501"/>
      <c r="E2997" s="500">
        <f>50000</f>
        <v>50000</v>
      </c>
      <c r="F2997" s="269"/>
      <c r="G2997" s="288"/>
    </row>
    <row r="2998" spans="1:7" ht="17.45" customHeight="1">
      <c r="A2998" s="261" t="s">
        <v>8</v>
      </c>
      <c r="C2998" s="271" t="s">
        <v>1549</v>
      </c>
      <c r="D2998" s="497"/>
      <c r="E2998" s="497"/>
      <c r="F2998" s="263"/>
      <c r="G2998" s="275"/>
    </row>
    <row r="2999" spans="1:7" ht="17.45" customHeight="1">
      <c r="A2999" s="261" t="s">
        <v>8</v>
      </c>
      <c r="C2999" s="271" t="s">
        <v>1819</v>
      </c>
      <c r="D2999" s="497"/>
      <c r="E2999" s="497"/>
      <c r="F2999" s="263"/>
      <c r="G2999" s="275"/>
    </row>
    <row r="3000" spans="1:7" ht="17.45" customHeight="1">
      <c r="A3000" s="261" t="s">
        <v>8</v>
      </c>
      <c r="C3000" s="271" t="s">
        <v>391</v>
      </c>
      <c r="D3000" s="497"/>
      <c r="E3000" s="497"/>
      <c r="F3000" s="263"/>
      <c r="G3000" s="275"/>
    </row>
    <row r="3001" spans="1:7" ht="17.45" customHeight="1">
      <c r="A3001" s="261" t="s">
        <v>8</v>
      </c>
      <c r="C3001" s="271" t="s">
        <v>1934</v>
      </c>
      <c r="D3001" s="497"/>
      <c r="E3001" s="499">
        <f>50000*1</f>
        <v>50000</v>
      </c>
      <c r="F3001" s="263"/>
      <c r="G3001" s="275"/>
    </row>
    <row r="3002" spans="1:7" ht="17.25" customHeight="1">
      <c r="A3002" s="261" t="s">
        <v>8</v>
      </c>
      <c r="C3002" s="271" t="s">
        <v>2202</v>
      </c>
      <c r="D3002" s="497"/>
      <c r="E3002" s="497"/>
      <c r="F3002" s="263"/>
      <c r="G3002" s="275"/>
    </row>
    <row r="3003" spans="1:7" ht="17.45" customHeight="1">
      <c r="A3003" s="261" t="s">
        <v>8</v>
      </c>
      <c r="C3003" s="271" t="s">
        <v>2654</v>
      </c>
      <c r="D3003" s="497"/>
      <c r="E3003" s="499">
        <v>60000</v>
      </c>
      <c r="F3003" s="263"/>
      <c r="G3003" s="275"/>
    </row>
    <row r="3004" spans="1:7" ht="17.45" customHeight="1">
      <c r="A3004" s="261" t="s">
        <v>8</v>
      </c>
      <c r="C3004" s="271" t="s">
        <v>1687</v>
      </c>
      <c r="D3004" s="497"/>
      <c r="E3004" s="497"/>
      <c r="F3004" s="263"/>
      <c r="G3004" s="275"/>
    </row>
    <row r="3005" spans="1:7" ht="17.45" customHeight="1">
      <c r="A3005" s="261" t="s">
        <v>8</v>
      </c>
      <c r="C3005" s="271" t="s">
        <v>1688</v>
      </c>
      <c r="D3005" s="497"/>
      <c r="E3005" s="499">
        <v>55000</v>
      </c>
      <c r="F3005" s="263"/>
      <c r="G3005" s="275"/>
    </row>
    <row r="3006" spans="1:7" ht="17.45" customHeight="1">
      <c r="A3006" s="261" t="s">
        <v>8</v>
      </c>
      <c r="C3006" s="271"/>
      <c r="D3006" s="497"/>
      <c r="E3006" s="497"/>
      <c r="F3006" s="263"/>
      <c r="G3006" s="275"/>
    </row>
    <row r="3007" spans="1:7" ht="17.45" customHeight="1">
      <c r="A3007" s="261" t="s">
        <v>8</v>
      </c>
      <c r="C3007" s="271" t="s">
        <v>1596</v>
      </c>
      <c r="D3007" s="497"/>
      <c r="E3007" s="499">
        <f>11600+2900</f>
        <v>14500</v>
      </c>
      <c r="F3007" s="263"/>
      <c r="G3007" s="275"/>
    </row>
    <row r="3008" spans="1:7" ht="17.45" customHeight="1">
      <c r="A3008" s="261" t="s">
        <v>8</v>
      </c>
      <c r="C3008" s="271" t="s">
        <v>1595</v>
      </c>
      <c r="D3008" s="497"/>
      <c r="E3008" s="499">
        <f>5700+4800</f>
        <v>10500</v>
      </c>
      <c r="F3008" s="263"/>
      <c r="G3008" s="275"/>
    </row>
    <row r="3009" spans="1:7" ht="17.45" customHeight="1">
      <c r="A3009" s="261" t="s">
        <v>8</v>
      </c>
      <c r="C3009" s="271" t="s">
        <v>2822</v>
      </c>
      <c r="D3009" s="497"/>
      <c r="E3009" s="499">
        <f>7600+5400+6900</f>
        <v>19900</v>
      </c>
      <c r="F3009" s="263"/>
      <c r="G3009" s="275"/>
    </row>
    <row r="3010" spans="1:7" ht="17.45" customHeight="1">
      <c r="A3010" s="261" t="s">
        <v>8</v>
      </c>
      <c r="C3010" s="271" t="s">
        <v>2821</v>
      </c>
      <c r="D3010" s="497"/>
      <c r="E3010" s="497"/>
      <c r="F3010" s="263"/>
      <c r="G3010" s="273"/>
    </row>
    <row r="3011" spans="1:7" ht="17.45" customHeight="1">
      <c r="A3011" s="261" t="s">
        <v>8</v>
      </c>
      <c r="C3011" s="271" t="s">
        <v>3081</v>
      </c>
      <c r="D3011" s="497"/>
      <c r="E3011" s="499">
        <v>72350</v>
      </c>
      <c r="F3011" s="263"/>
      <c r="G3011" s="275"/>
    </row>
    <row r="3012" spans="1:7" ht="17.45" customHeight="1">
      <c r="A3012" s="261" t="s">
        <v>8</v>
      </c>
      <c r="C3012" s="271" t="s">
        <v>1569</v>
      </c>
      <c r="D3012" s="497"/>
      <c r="E3012" s="497"/>
      <c r="F3012" s="263"/>
      <c r="G3012" s="275"/>
    </row>
    <row r="3013" spans="1:7" ht="17.45" customHeight="1">
      <c r="A3013" s="261" t="s">
        <v>8</v>
      </c>
      <c r="C3013" s="271" t="s">
        <v>1618</v>
      </c>
      <c r="D3013" s="497"/>
      <c r="E3013" s="499">
        <f>2780+3880+12040+8760+78100+16710+11860+11510+17990</f>
        <v>163630</v>
      </c>
      <c r="F3013" s="263"/>
      <c r="G3013" s="275"/>
    </row>
    <row r="3014" spans="1:7" ht="17.45" customHeight="1">
      <c r="A3014" s="261" t="s">
        <v>8</v>
      </c>
      <c r="C3014" s="271" t="s">
        <v>2810</v>
      </c>
      <c r="D3014" s="497"/>
      <c r="E3014" s="497"/>
      <c r="F3014" s="263"/>
      <c r="G3014" s="275"/>
    </row>
    <row r="3015" spans="1:7" ht="17.45" customHeight="1" thickBot="1">
      <c r="A3015" s="261" t="s">
        <v>8</v>
      </c>
      <c r="C3015" s="276" t="s">
        <v>2699</v>
      </c>
      <c r="D3015" s="502"/>
      <c r="E3015" s="503">
        <f>17000+23500+27000+19000</f>
        <v>86500</v>
      </c>
      <c r="F3015" s="277"/>
      <c r="G3015" s="282"/>
    </row>
    <row r="3016" spans="1:7" ht="17.45" customHeight="1">
      <c r="A3016" s="261" t="s">
        <v>8</v>
      </c>
      <c r="C3016" s="279" t="s">
        <v>3072</v>
      </c>
      <c r="D3016" s="504"/>
      <c r="E3016" s="505">
        <v>11700</v>
      </c>
      <c r="F3016" s="280"/>
      <c r="G3016" s="281"/>
    </row>
    <row r="3017" spans="1:7" ht="17.45" customHeight="1">
      <c r="A3017" s="261" t="s">
        <v>8</v>
      </c>
      <c r="C3017" s="271" t="s">
        <v>3073</v>
      </c>
      <c r="D3017" s="497"/>
      <c r="E3017" s="499">
        <f>1300</f>
        <v>1300</v>
      </c>
      <c r="F3017" s="263"/>
      <c r="G3017" s="275"/>
    </row>
    <row r="3018" spans="1:7" ht="17.45" customHeight="1">
      <c r="A3018" s="261" t="s">
        <v>8</v>
      </c>
      <c r="C3018" s="271" t="s">
        <v>3074</v>
      </c>
      <c r="D3018" s="497"/>
      <c r="E3018" s="499">
        <v>5200</v>
      </c>
      <c r="F3018" s="263"/>
      <c r="G3018" s="275"/>
    </row>
    <row r="3019" spans="1:7" ht="17.45" customHeight="1">
      <c r="A3019" s="261" t="s">
        <v>8</v>
      </c>
      <c r="C3019" s="271" t="s">
        <v>3068</v>
      </c>
      <c r="D3019" s="497"/>
      <c r="E3019" s="499">
        <f>9800+9800</f>
        <v>19600</v>
      </c>
      <c r="F3019" s="263"/>
      <c r="G3019" s="275"/>
    </row>
    <row r="3020" spans="1:7" ht="17.45" customHeight="1">
      <c r="A3020" s="261" t="s">
        <v>8</v>
      </c>
      <c r="C3020" s="271" t="s">
        <v>3075</v>
      </c>
      <c r="D3020" s="497"/>
      <c r="E3020" s="499">
        <v>17500</v>
      </c>
      <c r="F3020" s="263"/>
      <c r="G3020" s="275"/>
    </row>
    <row r="3021" spans="1:7" ht="17.45" customHeight="1">
      <c r="A3021" s="261" t="s">
        <v>8</v>
      </c>
      <c r="C3021" s="271" t="s">
        <v>3076</v>
      </c>
      <c r="D3021" s="497"/>
      <c r="E3021" s="499">
        <v>5200</v>
      </c>
      <c r="F3021" s="263"/>
      <c r="G3021" s="275"/>
    </row>
    <row r="3022" spans="1:7" ht="17.45" customHeight="1">
      <c r="A3022" s="261" t="s">
        <v>8</v>
      </c>
      <c r="C3022" s="271" t="s">
        <v>3077</v>
      </c>
      <c r="D3022" s="497"/>
      <c r="E3022" s="499">
        <v>30800</v>
      </c>
      <c r="F3022" s="263"/>
      <c r="G3022" s="275"/>
    </row>
    <row r="3023" spans="1:7" ht="17.45" customHeight="1">
      <c r="A3023" s="261" t="s">
        <v>8</v>
      </c>
      <c r="C3023" s="271" t="s">
        <v>3078</v>
      </c>
      <c r="D3023" s="497"/>
      <c r="E3023" s="499">
        <f>6600+9900</f>
        <v>16500</v>
      </c>
      <c r="F3023" s="263"/>
      <c r="G3023" s="275"/>
    </row>
    <row r="3024" spans="1:7" ht="17.45" customHeight="1">
      <c r="A3024" s="261" t="s">
        <v>8</v>
      </c>
      <c r="C3024" s="271" t="s">
        <v>3079</v>
      </c>
      <c r="D3024" s="497"/>
      <c r="E3024" s="499">
        <v>11620</v>
      </c>
      <c r="F3024" s="263"/>
      <c r="G3024" s="275"/>
    </row>
    <row r="3025" spans="1:7" ht="17.45" customHeight="1">
      <c r="A3025" s="261" t="s">
        <v>8</v>
      </c>
      <c r="C3025" s="284" t="s">
        <v>3080</v>
      </c>
      <c r="D3025" s="497"/>
      <c r="E3025" s="499">
        <v>5000</v>
      </c>
      <c r="F3025" s="263"/>
      <c r="G3025" s="275"/>
    </row>
    <row r="3026" spans="1:7" ht="17.25" customHeight="1">
      <c r="A3026" s="261" t="s">
        <v>8</v>
      </c>
      <c r="C3026" s="271" t="s">
        <v>3082</v>
      </c>
      <c r="D3026" s="497"/>
      <c r="E3026" s="499">
        <v>97200</v>
      </c>
      <c r="F3026" s="263"/>
      <c r="G3026" s="275"/>
    </row>
    <row r="3027" spans="1:7" ht="17.45" customHeight="1">
      <c r="A3027" s="261" t="s">
        <v>8</v>
      </c>
      <c r="C3027" s="271" t="s">
        <v>2290</v>
      </c>
      <c r="D3027" s="497"/>
      <c r="E3027" s="499">
        <v>1202480</v>
      </c>
      <c r="F3027" s="263"/>
      <c r="G3027" s="275"/>
    </row>
    <row r="3028" spans="1:7" ht="17.45" customHeight="1">
      <c r="A3028" s="261" t="s">
        <v>8</v>
      </c>
      <c r="C3028" s="284" t="s">
        <v>3026</v>
      </c>
      <c r="D3028" s="497"/>
      <c r="E3028" s="499">
        <v>320000</v>
      </c>
      <c r="F3028" s="263"/>
      <c r="G3028" s="275" t="s">
        <v>3027</v>
      </c>
    </row>
    <row r="3029" spans="1:7" ht="17.45" customHeight="1">
      <c r="A3029" s="261" t="s">
        <v>8</v>
      </c>
      <c r="C3029" s="271" t="s">
        <v>3083</v>
      </c>
      <c r="D3029" s="497"/>
      <c r="E3029" s="499">
        <v>32000</v>
      </c>
      <c r="F3029" s="263"/>
      <c r="G3029" s="275"/>
    </row>
    <row r="3030" spans="1:7" ht="17.45" customHeight="1">
      <c r="A3030" s="261" t="s">
        <v>8</v>
      </c>
      <c r="C3030" s="284" t="s">
        <v>3084</v>
      </c>
      <c r="D3030" s="497"/>
      <c r="E3030" s="499">
        <v>25700</v>
      </c>
      <c r="F3030" s="263"/>
      <c r="G3030" s="275"/>
    </row>
    <row r="3031" spans="1:7" ht="17.45" customHeight="1">
      <c r="A3031" s="261" t="s">
        <v>8</v>
      </c>
      <c r="C3031" s="271" t="s">
        <v>3085</v>
      </c>
      <c r="D3031" s="497"/>
      <c r="E3031" s="499">
        <v>9800</v>
      </c>
      <c r="F3031" s="263"/>
      <c r="G3031" s="275"/>
    </row>
    <row r="3032" spans="1:7" ht="17.45" customHeight="1">
      <c r="A3032" s="261" t="s">
        <v>8</v>
      </c>
      <c r="C3032" s="271" t="s">
        <v>3086</v>
      </c>
      <c r="D3032" s="497"/>
      <c r="E3032" s="499">
        <v>5000</v>
      </c>
      <c r="F3032" s="263"/>
      <c r="G3032" s="275"/>
    </row>
    <row r="3033" spans="1:7" ht="17.45" customHeight="1">
      <c r="A3033" s="261" t="s">
        <v>8</v>
      </c>
      <c r="C3033" s="271" t="s">
        <v>3088</v>
      </c>
      <c r="D3033" s="497"/>
      <c r="E3033" s="499">
        <v>9300</v>
      </c>
      <c r="F3033" s="263"/>
      <c r="G3033" s="275"/>
    </row>
    <row r="3034" spans="1:7" ht="17.45" customHeight="1">
      <c r="A3034" s="261" t="s">
        <v>8</v>
      </c>
      <c r="C3034" s="271" t="s">
        <v>3092</v>
      </c>
      <c r="D3034" s="497"/>
      <c r="E3034" s="499">
        <f>140200</f>
        <v>140200</v>
      </c>
      <c r="F3034" s="263"/>
      <c r="G3034" s="275"/>
    </row>
    <row r="3035" spans="1:7" ht="17.45" customHeight="1">
      <c r="A3035" s="261" t="s">
        <v>8</v>
      </c>
      <c r="C3035" s="271" t="s">
        <v>3093</v>
      </c>
      <c r="D3035" s="497"/>
      <c r="E3035" s="499">
        <f>142100+143200</f>
        <v>285300</v>
      </c>
      <c r="F3035" s="263"/>
      <c r="G3035" s="275"/>
    </row>
    <row r="3036" spans="1:7" ht="17.45" customHeight="1">
      <c r="A3036" s="261" t="s">
        <v>8</v>
      </c>
      <c r="C3036" s="271" t="s">
        <v>1602</v>
      </c>
      <c r="D3036" s="499">
        <v>841</v>
      </c>
      <c r="E3036" s="497"/>
      <c r="F3036" s="263"/>
      <c r="G3036" s="275"/>
    </row>
    <row r="3037" spans="1:7" ht="17.45" customHeight="1">
      <c r="A3037" s="261" t="s">
        <v>8</v>
      </c>
      <c r="C3037" s="271" t="s">
        <v>3094</v>
      </c>
      <c r="D3037" s="497"/>
      <c r="E3037" s="499">
        <v>3200</v>
      </c>
      <c r="F3037" s="263"/>
      <c r="G3037" s="275"/>
    </row>
    <row r="3038" spans="1:7" ht="17.45" customHeight="1">
      <c r="A3038" s="261" t="s">
        <v>8</v>
      </c>
      <c r="C3038" s="271" t="s">
        <v>3095</v>
      </c>
      <c r="D3038" s="497"/>
      <c r="E3038" s="499">
        <f>-100</f>
        <v>-100</v>
      </c>
      <c r="F3038" s="263"/>
      <c r="G3038" s="275"/>
    </row>
    <row r="3039" spans="1:7" ht="17.45" customHeight="1" thickBot="1">
      <c r="A3039" s="261" t="s">
        <v>8</v>
      </c>
      <c r="C3039" s="276" t="s">
        <v>1300</v>
      </c>
      <c r="D3039" s="502">
        <f>SUM(D2974:D3038)-SUM(E2974:E3038)</f>
        <v>576465</v>
      </c>
      <c r="E3039" s="502">
        <f>SUM(E2974:E3038)-SUM(F2974:F3038)</f>
        <v>4553406</v>
      </c>
      <c r="F3039" s="277"/>
      <c r="G3039" s="283"/>
    </row>
    <row r="3041" spans="1:7" ht="12.75" thickBot="1"/>
    <row r="3042" spans="1:7" ht="17.45" customHeight="1">
      <c r="A3042" s="261" t="s">
        <v>8</v>
      </c>
      <c r="B3042" s="256" t="s">
        <v>3096</v>
      </c>
      <c r="C3042" s="268" t="s">
        <v>1268</v>
      </c>
      <c r="D3042" s="500">
        <v>6692690</v>
      </c>
      <c r="E3042" s="501"/>
      <c r="F3042" s="269"/>
      <c r="G3042" s="270"/>
    </row>
    <row r="3043" spans="1:7" ht="17.45" customHeight="1">
      <c r="A3043" s="261" t="s">
        <v>8</v>
      </c>
      <c r="B3043" s="257"/>
      <c r="C3043" s="271" t="s">
        <v>3047</v>
      </c>
      <c r="D3043" s="497"/>
      <c r="E3043" s="497"/>
      <c r="F3043" s="263"/>
      <c r="G3043" s="272"/>
    </row>
    <row r="3044" spans="1:7" ht="17.45" customHeight="1">
      <c r="A3044" s="261" t="s">
        <v>8</v>
      </c>
      <c r="B3044" s="257"/>
      <c r="C3044" s="271" t="s">
        <v>1269</v>
      </c>
      <c r="D3044" s="497"/>
      <c r="E3044" s="499">
        <v>450000</v>
      </c>
      <c r="F3044" s="263"/>
      <c r="G3044" s="272"/>
    </row>
    <row r="3045" spans="1:7" ht="17.45" customHeight="1">
      <c r="A3045" s="261" t="s">
        <v>8</v>
      </c>
      <c r="C3045" s="271" t="s">
        <v>1270</v>
      </c>
      <c r="D3045" s="497"/>
      <c r="E3045" s="499">
        <v>862000</v>
      </c>
      <c r="F3045" s="263"/>
      <c r="G3045" s="273" t="s">
        <v>2740</v>
      </c>
    </row>
    <row r="3046" spans="1:7" ht="17.45" customHeight="1">
      <c r="A3046" s="261" t="s">
        <v>8</v>
      </c>
      <c r="C3046" s="271" t="s">
        <v>1670</v>
      </c>
      <c r="D3046" s="497"/>
      <c r="E3046" s="497"/>
      <c r="F3046" s="263"/>
      <c r="G3046" s="274"/>
    </row>
    <row r="3047" spans="1:7" ht="17.45" customHeight="1">
      <c r="A3047" s="261" t="s">
        <v>8</v>
      </c>
      <c r="C3047" s="271" t="s">
        <v>1672</v>
      </c>
      <c r="D3047" s="497"/>
      <c r="E3047" s="499">
        <v>79110</v>
      </c>
      <c r="F3047" s="263"/>
      <c r="G3047" s="273" t="s">
        <v>2732</v>
      </c>
    </row>
    <row r="3048" spans="1:7" ht="17.45" customHeight="1">
      <c r="A3048" s="261" t="s">
        <v>8</v>
      </c>
      <c r="C3048" s="271" t="s">
        <v>1673</v>
      </c>
      <c r="D3048" s="497"/>
      <c r="E3048" s="497"/>
      <c r="F3048" s="263"/>
      <c r="G3048" s="274"/>
    </row>
    <row r="3049" spans="1:7" ht="17.45" customHeight="1">
      <c r="A3049" s="261" t="s">
        <v>8</v>
      </c>
      <c r="C3049" s="271" t="s">
        <v>1332</v>
      </c>
      <c r="D3049" s="497"/>
      <c r="E3049" s="499">
        <v>34650</v>
      </c>
      <c r="F3049" s="263"/>
      <c r="G3049" s="275"/>
    </row>
    <row r="3050" spans="1:7" ht="17.45" customHeight="1">
      <c r="A3050" s="261" t="s">
        <v>8</v>
      </c>
      <c r="C3050" s="271" t="s">
        <v>1271</v>
      </c>
      <c r="D3050" s="497"/>
      <c r="E3050" s="497"/>
      <c r="F3050" s="263"/>
      <c r="G3050" s="274"/>
    </row>
    <row r="3051" spans="1:7" ht="17.45" customHeight="1">
      <c r="A3051" s="261" t="s">
        <v>8</v>
      </c>
      <c r="C3051" s="271" t="s">
        <v>1272</v>
      </c>
      <c r="D3051" s="497"/>
      <c r="E3051" s="497"/>
      <c r="F3051" s="263"/>
      <c r="G3051" s="273"/>
    </row>
    <row r="3052" spans="1:7" ht="17.45" customHeight="1">
      <c r="A3052" s="261" t="s">
        <v>8</v>
      </c>
      <c r="C3052" s="271" t="s">
        <v>3009</v>
      </c>
      <c r="D3052" s="497"/>
      <c r="E3052" s="499">
        <v>20763</v>
      </c>
      <c r="F3052" s="263"/>
      <c r="G3052" s="273" t="s">
        <v>2732</v>
      </c>
    </row>
    <row r="3053" spans="1:7" ht="17.45" customHeight="1">
      <c r="A3053" s="261" t="s">
        <v>8</v>
      </c>
      <c r="C3053" s="271" t="s">
        <v>3010</v>
      </c>
      <c r="D3053" s="497"/>
      <c r="E3053" s="499">
        <v>900</v>
      </c>
      <c r="F3053" s="263"/>
      <c r="G3053" s="273"/>
    </row>
    <row r="3054" spans="1:7" ht="17.45" customHeight="1">
      <c r="A3054" s="261" t="s">
        <v>8</v>
      </c>
      <c r="C3054" s="271" t="s">
        <v>1273</v>
      </c>
      <c r="D3054" s="497"/>
      <c r="E3054" s="499">
        <v>29920</v>
      </c>
      <c r="F3054" s="263"/>
      <c r="G3054" s="273" t="s">
        <v>2732</v>
      </c>
    </row>
    <row r="3055" spans="1:7" ht="17.45" customHeight="1">
      <c r="A3055" s="261" t="s">
        <v>8</v>
      </c>
      <c r="C3055" s="271" t="s">
        <v>1274</v>
      </c>
      <c r="D3055" s="497"/>
      <c r="E3055" s="499">
        <v>3757</v>
      </c>
      <c r="F3055" s="263"/>
      <c r="G3055" s="273"/>
    </row>
    <row r="3056" spans="1:7" ht="17.45" customHeight="1">
      <c r="A3056" s="261" t="s">
        <v>8</v>
      </c>
      <c r="C3056" s="271" t="s">
        <v>2168</v>
      </c>
      <c r="D3056" s="497"/>
      <c r="E3056" s="499">
        <v>18816</v>
      </c>
      <c r="F3056" s="263"/>
      <c r="G3056" s="273" t="s">
        <v>2732</v>
      </c>
    </row>
    <row r="3057" spans="1:7" ht="17.45" customHeight="1">
      <c r="A3057" s="261" t="s">
        <v>8</v>
      </c>
      <c r="C3057" s="271" t="s">
        <v>1517</v>
      </c>
      <c r="D3057" s="497"/>
      <c r="E3057" s="499">
        <v>23230</v>
      </c>
      <c r="F3057" s="263"/>
      <c r="G3057" s="273" t="s">
        <v>2732</v>
      </c>
    </row>
    <row r="3058" spans="1:7" ht="17.45" customHeight="1">
      <c r="A3058" s="261" t="s">
        <v>8</v>
      </c>
      <c r="C3058" s="271" t="s">
        <v>1276</v>
      </c>
      <c r="D3058" s="497"/>
      <c r="E3058" s="499">
        <f>402690-95800</f>
        <v>306890</v>
      </c>
      <c r="F3058" s="263"/>
      <c r="G3058" s="273" t="s">
        <v>3261</v>
      </c>
    </row>
    <row r="3059" spans="1:7" ht="17.45" customHeight="1">
      <c r="A3059" s="261" t="s">
        <v>8</v>
      </c>
      <c r="C3059" s="271" t="s">
        <v>1277</v>
      </c>
      <c r="D3059" s="497"/>
      <c r="E3059" s="499">
        <v>15840</v>
      </c>
      <c r="F3059" s="263"/>
      <c r="G3059" s="273" t="s">
        <v>2732</v>
      </c>
    </row>
    <row r="3060" spans="1:7" ht="17.45" customHeight="1">
      <c r="A3060" s="261" t="s">
        <v>8</v>
      </c>
      <c r="C3060" s="271" t="s">
        <v>1278</v>
      </c>
      <c r="D3060" s="497"/>
      <c r="E3060" s="499">
        <v>200000</v>
      </c>
      <c r="F3060" s="263"/>
      <c r="G3060" s="273"/>
    </row>
    <row r="3061" spans="1:7" ht="17.45" customHeight="1">
      <c r="A3061" s="261" t="s">
        <v>8</v>
      </c>
      <c r="C3061" s="285" t="s">
        <v>1413</v>
      </c>
      <c r="D3061" s="506"/>
      <c r="E3061" s="507">
        <v>1500000</v>
      </c>
      <c r="F3061" s="286"/>
      <c r="G3061" s="287"/>
    </row>
    <row r="3062" spans="1:7" ht="17.25" customHeight="1">
      <c r="A3062" s="261" t="s">
        <v>8</v>
      </c>
      <c r="C3062" s="338" t="s">
        <v>2661</v>
      </c>
      <c r="D3062" s="497"/>
      <c r="E3062" s="497"/>
      <c r="F3062" s="263"/>
      <c r="G3062" s="275"/>
    </row>
    <row r="3063" spans="1:7" ht="17.45" customHeight="1">
      <c r="A3063" s="261" t="s">
        <v>8</v>
      </c>
      <c r="C3063" s="339" t="s">
        <v>3248</v>
      </c>
      <c r="D3063" s="506"/>
      <c r="E3063" s="507">
        <v>3000000</v>
      </c>
      <c r="F3063" s="286"/>
      <c r="G3063" s="290"/>
    </row>
    <row r="3064" spans="1:7" ht="17.45" customHeight="1">
      <c r="A3064" s="261" t="s">
        <v>8</v>
      </c>
      <c r="C3064" s="339" t="s">
        <v>2647</v>
      </c>
      <c r="D3064" s="506"/>
      <c r="E3064" s="506"/>
      <c r="F3064" s="286"/>
      <c r="G3064" s="290"/>
    </row>
    <row r="3065" spans="1:7" ht="17.45" customHeight="1" thickBot="1">
      <c r="A3065" s="261" t="s">
        <v>8</v>
      </c>
      <c r="C3065" s="285" t="s">
        <v>1942</v>
      </c>
      <c r="D3065" s="506"/>
      <c r="E3065" s="507">
        <v>20000</v>
      </c>
      <c r="F3065" s="286"/>
      <c r="G3065" s="290"/>
    </row>
    <row r="3066" spans="1:7" ht="17.45" customHeight="1">
      <c r="A3066" s="261" t="s">
        <v>8</v>
      </c>
      <c r="C3066" s="268" t="s">
        <v>1280</v>
      </c>
      <c r="D3066" s="501"/>
      <c r="E3066" s="500">
        <v>50000</v>
      </c>
      <c r="F3066" s="269"/>
      <c r="G3066" s="288"/>
    </row>
    <row r="3067" spans="1:7" ht="17.45" customHeight="1">
      <c r="A3067" s="261" t="s">
        <v>8</v>
      </c>
      <c r="C3067" s="271" t="s">
        <v>1549</v>
      </c>
      <c r="D3067" s="497"/>
      <c r="E3067" s="497"/>
      <c r="F3067" s="263"/>
      <c r="G3067" s="275"/>
    </row>
    <row r="3068" spans="1:7" ht="17.45" customHeight="1">
      <c r="A3068" s="261" t="s">
        <v>8</v>
      </c>
      <c r="C3068" s="271" t="s">
        <v>1819</v>
      </c>
      <c r="D3068" s="497"/>
      <c r="E3068" s="497"/>
      <c r="F3068" s="263"/>
      <c r="G3068" s="275"/>
    </row>
    <row r="3069" spans="1:7" ht="17.45" customHeight="1">
      <c r="A3069" s="261" t="s">
        <v>8</v>
      </c>
      <c r="C3069" s="271" t="s">
        <v>391</v>
      </c>
      <c r="D3069" s="497"/>
      <c r="E3069" s="497"/>
      <c r="F3069" s="263"/>
      <c r="G3069" s="275"/>
    </row>
    <row r="3070" spans="1:7" ht="17.45" customHeight="1">
      <c r="A3070" s="261" t="s">
        <v>8</v>
      </c>
      <c r="C3070" s="271" t="s">
        <v>1934</v>
      </c>
      <c r="D3070" s="497"/>
      <c r="E3070" s="497"/>
      <c r="F3070" s="263"/>
      <c r="G3070" s="275"/>
    </row>
    <row r="3071" spans="1:7" ht="17.25" customHeight="1">
      <c r="A3071" s="261" t="s">
        <v>8</v>
      </c>
      <c r="C3071" s="271" t="s">
        <v>2202</v>
      </c>
      <c r="D3071" s="497"/>
      <c r="E3071" s="497"/>
      <c r="F3071" s="263"/>
      <c r="G3071" s="275"/>
    </row>
    <row r="3072" spans="1:7" ht="17.45" customHeight="1">
      <c r="A3072" s="261" t="s">
        <v>8</v>
      </c>
      <c r="C3072" s="271" t="s">
        <v>2654</v>
      </c>
      <c r="D3072" s="497"/>
      <c r="E3072" s="499">
        <v>36800</v>
      </c>
      <c r="F3072" s="263"/>
      <c r="G3072" s="275"/>
    </row>
    <row r="3073" spans="1:7" ht="17.45" customHeight="1">
      <c r="A3073" s="261" t="s">
        <v>8</v>
      </c>
      <c r="C3073" s="271" t="s">
        <v>1687</v>
      </c>
      <c r="D3073" s="497"/>
      <c r="E3073" s="497"/>
      <c r="F3073" s="263"/>
      <c r="G3073" s="275"/>
    </row>
    <row r="3074" spans="1:7" ht="17.45" customHeight="1">
      <c r="A3074" s="261" t="s">
        <v>8</v>
      </c>
      <c r="C3074" s="271" t="s">
        <v>1688</v>
      </c>
      <c r="D3074" s="497"/>
      <c r="E3074" s="497"/>
      <c r="F3074" s="263"/>
      <c r="G3074" s="275"/>
    </row>
    <row r="3075" spans="1:7" ht="17.45" customHeight="1">
      <c r="A3075" s="261" t="s">
        <v>8</v>
      </c>
      <c r="C3075" s="271"/>
      <c r="D3075" s="497"/>
      <c r="E3075" s="497"/>
      <c r="F3075" s="263"/>
      <c r="G3075" s="275"/>
    </row>
    <row r="3076" spans="1:7" ht="17.45" customHeight="1">
      <c r="A3076" s="261" t="s">
        <v>8</v>
      </c>
      <c r="C3076" s="271" t="s">
        <v>1596</v>
      </c>
      <c r="D3076" s="497"/>
      <c r="E3076" s="497"/>
      <c r="F3076" s="263"/>
      <c r="G3076" s="275"/>
    </row>
    <row r="3077" spans="1:7" ht="17.45" customHeight="1">
      <c r="A3077" s="261" t="s">
        <v>8</v>
      </c>
      <c r="C3077" s="271" t="s">
        <v>1595</v>
      </c>
      <c r="D3077" s="497"/>
      <c r="E3077" s="497"/>
      <c r="F3077" s="263"/>
      <c r="G3077" s="275"/>
    </row>
    <row r="3078" spans="1:7" ht="17.45" customHeight="1">
      <c r="A3078" s="261" t="s">
        <v>8</v>
      </c>
      <c r="C3078" s="271" t="s">
        <v>2822</v>
      </c>
      <c r="D3078" s="497"/>
      <c r="E3078" s="499">
        <f>3000+12620</f>
        <v>15620</v>
      </c>
      <c r="F3078" s="263"/>
      <c r="G3078" s="275"/>
    </row>
    <row r="3079" spans="1:7" ht="17.45" customHeight="1">
      <c r="A3079" s="261" t="s">
        <v>8</v>
      </c>
      <c r="C3079" s="271" t="s">
        <v>2821</v>
      </c>
      <c r="D3079" s="497"/>
      <c r="E3079" s="497"/>
      <c r="F3079" s="263"/>
      <c r="G3079" s="273"/>
    </row>
    <row r="3080" spans="1:7" ht="17.45" customHeight="1">
      <c r="A3080" s="261" t="s">
        <v>8</v>
      </c>
      <c r="C3080" s="271" t="s">
        <v>1689</v>
      </c>
      <c r="D3080" s="497"/>
      <c r="E3080" s="497"/>
      <c r="F3080" s="263"/>
      <c r="G3080" s="275"/>
    </row>
    <row r="3081" spans="1:7" ht="17.45" customHeight="1">
      <c r="A3081" s="261" t="s">
        <v>8</v>
      </c>
      <c r="C3081" s="271" t="s">
        <v>1569</v>
      </c>
      <c r="D3081" s="497"/>
      <c r="E3081" s="497"/>
      <c r="F3081" s="263"/>
      <c r="G3081" s="275"/>
    </row>
    <row r="3082" spans="1:7" ht="17.45" customHeight="1">
      <c r="A3082" s="261" t="s">
        <v>8</v>
      </c>
      <c r="C3082" s="271" t="s">
        <v>1618</v>
      </c>
      <c r="D3082" s="497"/>
      <c r="E3082" s="499">
        <f>35230+20260+5580+82800+12560+4980</f>
        <v>161410</v>
      </c>
      <c r="F3082" s="263"/>
      <c r="G3082" s="275"/>
    </row>
    <row r="3083" spans="1:7" ht="17.45" customHeight="1">
      <c r="A3083" s="261" t="s">
        <v>8</v>
      </c>
      <c r="C3083" s="271" t="s">
        <v>2810</v>
      </c>
      <c r="D3083" s="497"/>
      <c r="E3083" s="499">
        <f>43000</f>
        <v>43000</v>
      </c>
      <c r="F3083" s="263"/>
      <c r="G3083" s="275"/>
    </row>
    <row r="3084" spans="1:7" ht="17.45" customHeight="1" thickBot="1">
      <c r="A3084" s="261" t="s">
        <v>8</v>
      </c>
      <c r="C3084" s="276" t="s">
        <v>2699</v>
      </c>
      <c r="D3084" s="502"/>
      <c r="E3084" s="503">
        <f>20000+21000+13800+20000</f>
        <v>74800</v>
      </c>
      <c r="F3084" s="277"/>
      <c r="G3084" s="282"/>
    </row>
    <row r="3085" spans="1:7" ht="17.45" customHeight="1">
      <c r="A3085" s="261" t="s">
        <v>8</v>
      </c>
      <c r="C3085" s="279" t="s">
        <v>3097</v>
      </c>
      <c r="D3085" s="504"/>
      <c r="E3085" s="505">
        <v>7000</v>
      </c>
      <c r="F3085" s="280"/>
      <c r="G3085" s="281"/>
    </row>
    <row r="3086" spans="1:7" ht="17.45" customHeight="1">
      <c r="A3086" s="261" t="s">
        <v>8</v>
      </c>
      <c r="C3086" s="284" t="s">
        <v>3026</v>
      </c>
      <c r="D3086" s="497"/>
      <c r="E3086" s="499">
        <v>-160000</v>
      </c>
      <c r="F3086" s="263"/>
      <c r="G3086" s="275" t="s">
        <v>3027</v>
      </c>
    </row>
    <row r="3087" spans="1:7" ht="17.45" customHeight="1">
      <c r="A3087" s="261" t="s">
        <v>8</v>
      </c>
      <c r="C3087" s="271" t="s">
        <v>3098</v>
      </c>
      <c r="D3087" s="497"/>
      <c r="E3087" s="499">
        <f>79530+25700</f>
        <v>105230</v>
      </c>
      <c r="F3087" s="263"/>
      <c r="G3087" s="275"/>
    </row>
    <row r="3088" spans="1:7" ht="17.45" customHeight="1">
      <c r="A3088" s="261" t="s">
        <v>8</v>
      </c>
      <c r="C3088" s="271" t="s">
        <v>3099</v>
      </c>
      <c r="D3088" s="497"/>
      <c r="E3088" s="499">
        <v>10000</v>
      </c>
      <c r="F3088" s="263"/>
      <c r="G3088" s="275"/>
    </row>
    <row r="3089" spans="1:7" ht="17.45" customHeight="1">
      <c r="A3089" s="261" t="s">
        <v>8</v>
      </c>
      <c r="C3089" s="271" t="s">
        <v>3100</v>
      </c>
      <c r="D3089" s="497"/>
      <c r="E3089" s="499">
        <v>59400</v>
      </c>
      <c r="F3089" s="263"/>
      <c r="G3089" s="275"/>
    </row>
    <row r="3090" spans="1:7" ht="17.45" customHeight="1">
      <c r="A3090" s="261" t="s">
        <v>8</v>
      </c>
      <c r="C3090" s="271" t="s">
        <v>3101</v>
      </c>
      <c r="D3090" s="497"/>
      <c r="E3090" s="499">
        <f>1800-1800</f>
        <v>0</v>
      </c>
      <c r="F3090" s="263"/>
      <c r="G3090" s="275"/>
    </row>
    <row r="3091" spans="1:7" ht="17.45" customHeight="1">
      <c r="A3091" s="261" t="s">
        <v>8</v>
      </c>
      <c r="C3091" s="271" t="s">
        <v>3102</v>
      </c>
      <c r="D3091" s="497"/>
      <c r="E3091" s="499">
        <v>528174</v>
      </c>
      <c r="F3091" s="263"/>
      <c r="G3091" s="275"/>
    </row>
    <row r="3092" spans="1:7" ht="17.45" customHeight="1">
      <c r="A3092" s="261" t="s">
        <v>8</v>
      </c>
      <c r="C3092" s="271" t="s">
        <v>3166</v>
      </c>
      <c r="D3092" s="497"/>
      <c r="E3092" s="499">
        <v>200000</v>
      </c>
      <c r="F3092" s="263"/>
      <c r="G3092" s="275"/>
    </row>
    <row r="3093" spans="1:7" ht="17.45" customHeight="1">
      <c r="A3093" s="261" t="s">
        <v>8</v>
      </c>
      <c r="C3093" s="271" t="s">
        <v>3225</v>
      </c>
      <c r="D3093" s="497"/>
      <c r="E3093" s="499">
        <v>200000</v>
      </c>
      <c r="F3093" s="263"/>
      <c r="G3093" s="275"/>
    </row>
    <row r="3094" spans="1:7" ht="17.45" customHeight="1">
      <c r="A3094" s="261" t="s">
        <v>8</v>
      </c>
      <c r="C3094" s="284" t="s">
        <v>3226</v>
      </c>
      <c r="D3094" s="497"/>
      <c r="E3094" s="499">
        <v>200000</v>
      </c>
      <c r="F3094" s="263"/>
      <c r="G3094" s="275"/>
    </row>
    <row r="3095" spans="1:7" ht="17.25" customHeight="1">
      <c r="A3095" s="261" t="s">
        <v>8</v>
      </c>
      <c r="C3095" s="271" t="s">
        <v>3227</v>
      </c>
      <c r="D3095" s="499">
        <v>150000</v>
      </c>
      <c r="E3095" s="499">
        <v>150000</v>
      </c>
      <c r="F3095" s="263"/>
      <c r="G3095" s="275" t="s">
        <v>3027</v>
      </c>
    </row>
    <row r="3096" spans="1:7" ht="17.45" customHeight="1">
      <c r="A3096" s="261" t="s">
        <v>8</v>
      </c>
      <c r="C3096" s="271" t="s">
        <v>3228</v>
      </c>
      <c r="D3096" s="497"/>
      <c r="E3096" s="499">
        <v>17000</v>
      </c>
      <c r="F3096" s="263"/>
      <c r="G3096" s="275"/>
    </row>
    <row r="3097" spans="1:7" ht="17.45" customHeight="1">
      <c r="A3097" s="261" t="s">
        <v>8</v>
      </c>
      <c r="C3097" s="271" t="s">
        <v>3229</v>
      </c>
      <c r="D3097" s="497"/>
      <c r="E3097" s="499">
        <v>70000</v>
      </c>
      <c r="F3097" s="263"/>
      <c r="G3097" s="275"/>
    </row>
    <row r="3098" spans="1:7" ht="17.45" customHeight="1">
      <c r="A3098" s="261" t="s">
        <v>8</v>
      </c>
      <c r="C3098" s="271" t="s">
        <v>3230</v>
      </c>
      <c r="D3098" s="497"/>
      <c r="E3098" s="499">
        <v>20000</v>
      </c>
      <c r="F3098" s="263"/>
      <c r="G3098" s="275" t="s">
        <v>3027</v>
      </c>
    </row>
    <row r="3099" spans="1:7" ht="17.45" customHeight="1">
      <c r="A3099" s="261" t="s">
        <v>8</v>
      </c>
      <c r="C3099" s="284" t="s">
        <v>3231</v>
      </c>
      <c r="D3099" s="497"/>
      <c r="E3099" s="499">
        <v>6500</v>
      </c>
      <c r="F3099" s="263"/>
      <c r="G3099" s="275"/>
    </row>
    <row r="3100" spans="1:7" ht="17.45" customHeight="1">
      <c r="A3100" s="261" t="s">
        <v>8</v>
      </c>
      <c r="C3100" s="271" t="s">
        <v>3232</v>
      </c>
      <c r="D3100" s="497"/>
      <c r="E3100" s="499">
        <v>17600</v>
      </c>
      <c r="F3100" s="263"/>
      <c r="G3100" s="275"/>
    </row>
    <row r="3101" spans="1:7" ht="17.45" customHeight="1">
      <c r="A3101" s="261" t="s">
        <v>8</v>
      </c>
      <c r="C3101" s="271" t="s">
        <v>3233</v>
      </c>
      <c r="D3101" s="497"/>
      <c r="E3101" s="499">
        <v>46500</v>
      </c>
      <c r="F3101" s="263"/>
      <c r="G3101" s="275"/>
    </row>
    <row r="3102" spans="1:7" ht="17.45" customHeight="1">
      <c r="A3102" s="261" t="s">
        <v>8</v>
      </c>
      <c r="C3102" s="271" t="s">
        <v>3234</v>
      </c>
      <c r="D3102" s="497"/>
      <c r="E3102" s="499">
        <v>2000</v>
      </c>
      <c r="F3102" s="263"/>
      <c r="G3102" s="275"/>
    </row>
    <row r="3103" spans="1:7" ht="17.45" customHeight="1">
      <c r="A3103" s="261" t="s">
        <v>8</v>
      </c>
      <c r="C3103" s="271" t="s">
        <v>3235</v>
      </c>
      <c r="D3103" s="497"/>
      <c r="E3103" s="499">
        <v>12600</v>
      </c>
      <c r="F3103" s="263"/>
      <c r="G3103" s="275"/>
    </row>
    <row r="3104" spans="1:7" ht="17.45" customHeight="1">
      <c r="A3104" s="261" t="s">
        <v>8</v>
      </c>
      <c r="C3104" s="271" t="s">
        <v>3236</v>
      </c>
      <c r="D3104" s="497"/>
      <c r="E3104" s="499">
        <v>19900</v>
      </c>
      <c r="F3104" s="263"/>
      <c r="G3104" s="275"/>
    </row>
    <row r="3105" spans="1:7" ht="17.45" customHeight="1">
      <c r="A3105" s="261" t="s">
        <v>8</v>
      </c>
      <c r="C3105" s="271" t="s">
        <v>3237</v>
      </c>
      <c r="D3105" s="497"/>
      <c r="E3105" s="499">
        <v>7500</v>
      </c>
      <c r="F3105" s="263"/>
      <c r="G3105" s="275"/>
    </row>
    <row r="3106" spans="1:7" ht="17.45" customHeight="1">
      <c r="A3106" s="261" t="s">
        <v>8</v>
      </c>
      <c r="C3106" s="271" t="s">
        <v>2209</v>
      </c>
      <c r="D3106" s="497"/>
      <c r="E3106" s="499">
        <f>-143200-42000+6800</f>
        <v>-178400</v>
      </c>
      <c r="F3106" s="263"/>
      <c r="G3106" s="275"/>
    </row>
    <row r="3107" spans="1:7" ht="17.45" customHeight="1">
      <c r="A3107" s="261" t="s">
        <v>8</v>
      </c>
      <c r="C3107" s="271" t="s">
        <v>3238</v>
      </c>
      <c r="D3107" s="497"/>
      <c r="E3107" s="499">
        <f>4000+3000+3000</f>
        <v>10000</v>
      </c>
      <c r="F3107" s="263"/>
      <c r="G3107" s="275"/>
    </row>
    <row r="3108" spans="1:7" ht="17.45" customHeight="1">
      <c r="A3108" s="261" t="s">
        <v>8</v>
      </c>
      <c r="C3108" s="271" t="s">
        <v>3239</v>
      </c>
      <c r="D3108" s="497"/>
      <c r="E3108" s="499">
        <v>4900</v>
      </c>
      <c r="F3108" s="263"/>
      <c r="G3108" s="275"/>
    </row>
    <row r="3109" spans="1:7" ht="17.45" customHeight="1">
      <c r="A3109" s="261" t="s">
        <v>8</v>
      </c>
      <c r="C3109" s="271" t="s">
        <v>3240</v>
      </c>
      <c r="D3109" s="497"/>
      <c r="E3109" s="499">
        <v>50000</v>
      </c>
      <c r="F3109" s="263"/>
      <c r="G3109" s="275"/>
    </row>
    <row r="3110" spans="1:7" ht="17.45" customHeight="1">
      <c r="A3110" s="261" t="s">
        <v>8</v>
      </c>
      <c r="C3110" s="271" t="s">
        <v>3241</v>
      </c>
      <c r="D3110" s="497"/>
      <c r="E3110" s="499">
        <v>1000</v>
      </c>
      <c r="F3110" s="263"/>
      <c r="G3110" s="275"/>
    </row>
    <row r="3111" spans="1:7" ht="17.45" customHeight="1">
      <c r="A3111" s="261" t="s">
        <v>8</v>
      </c>
      <c r="C3111" s="271" t="s">
        <v>3242</v>
      </c>
      <c r="D3111" s="497"/>
      <c r="E3111" s="499">
        <v>2800</v>
      </c>
      <c r="F3111" s="263"/>
      <c r="G3111" s="275"/>
    </row>
    <row r="3112" spans="1:7" ht="17.45" customHeight="1">
      <c r="A3112" s="261" t="s">
        <v>8</v>
      </c>
      <c r="C3112" s="271" t="s">
        <v>3243</v>
      </c>
      <c r="D3112" s="497"/>
      <c r="E3112" s="499">
        <v>26000</v>
      </c>
      <c r="F3112" s="263"/>
      <c r="G3112" s="275"/>
    </row>
    <row r="3113" spans="1:7" ht="17.45" customHeight="1">
      <c r="A3113" s="261" t="s">
        <v>8</v>
      </c>
      <c r="C3113" s="271" t="s">
        <v>3244</v>
      </c>
      <c r="D3113" s="497"/>
      <c r="E3113" s="499">
        <f>103400+400+400-104200</f>
        <v>0</v>
      </c>
      <c r="F3113" s="263"/>
      <c r="G3113" s="275" t="s">
        <v>3262</v>
      </c>
    </row>
    <row r="3114" spans="1:7" ht="17.45" customHeight="1">
      <c r="A3114" s="261" t="s">
        <v>8</v>
      </c>
      <c r="C3114" s="271" t="s">
        <v>3245</v>
      </c>
      <c r="D3114" s="497"/>
      <c r="E3114" s="499">
        <v>1700</v>
      </c>
      <c r="F3114" s="263"/>
      <c r="G3114" s="275"/>
    </row>
    <row r="3115" spans="1:7" ht="17.45" customHeight="1">
      <c r="A3115" s="261" t="s">
        <v>8</v>
      </c>
      <c r="C3115" s="271" t="s">
        <v>3246</v>
      </c>
      <c r="D3115" s="497"/>
      <c r="E3115" s="499">
        <v>6600</v>
      </c>
      <c r="F3115" s="263"/>
      <c r="G3115" s="275"/>
    </row>
    <row r="3116" spans="1:7" ht="17.45" customHeight="1">
      <c r="A3116" s="261" t="s">
        <v>8</v>
      </c>
      <c r="C3116" s="271" t="s">
        <v>3247</v>
      </c>
      <c r="D3116" s="497"/>
      <c r="E3116" s="499">
        <v>15000</v>
      </c>
      <c r="F3116" s="263"/>
      <c r="G3116" s="275"/>
    </row>
    <row r="3117" spans="1:7" ht="17.45" customHeight="1">
      <c r="A3117" s="261" t="s">
        <v>8</v>
      </c>
      <c r="C3117" s="271" t="s">
        <v>3249</v>
      </c>
      <c r="D3117" s="497"/>
      <c r="E3117" s="499">
        <v>17000</v>
      </c>
      <c r="F3117" s="263"/>
      <c r="G3117" s="275" t="s">
        <v>3027</v>
      </c>
    </row>
    <row r="3118" spans="1:7" ht="17.45" customHeight="1">
      <c r="A3118" s="261" t="s">
        <v>8</v>
      </c>
      <c r="C3118" s="271" t="s">
        <v>3250</v>
      </c>
      <c r="D3118" s="497"/>
      <c r="E3118" s="499">
        <v>12000</v>
      </c>
      <c r="F3118" s="263"/>
      <c r="G3118" s="275"/>
    </row>
    <row r="3119" spans="1:7" ht="17.45" customHeight="1">
      <c r="A3119" s="261" t="s">
        <v>8</v>
      </c>
      <c r="C3119" s="271" t="s">
        <v>3251</v>
      </c>
      <c r="D3119" s="497"/>
      <c r="E3119" s="499">
        <v>24500</v>
      </c>
      <c r="F3119" s="263"/>
      <c r="G3119" s="275"/>
    </row>
    <row r="3120" spans="1:7" ht="17.45" customHeight="1">
      <c r="A3120" s="261" t="s">
        <v>8</v>
      </c>
      <c r="C3120" s="271" t="s">
        <v>3252</v>
      </c>
      <c r="D3120" s="499">
        <v>1266760</v>
      </c>
      <c r="E3120" s="499">
        <v>633380</v>
      </c>
      <c r="F3120" s="263"/>
      <c r="G3120" s="275"/>
    </row>
    <row r="3121" spans="1:7" ht="17.45" customHeight="1">
      <c r="A3121" s="261" t="s">
        <v>8</v>
      </c>
      <c r="C3121" s="271" t="s">
        <v>3253</v>
      </c>
      <c r="D3121" s="497"/>
      <c r="E3121" s="499">
        <v>1000</v>
      </c>
      <c r="F3121" s="263"/>
      <c r="G3121" s="275"/>
    </row>
    <row r="3122" spans="1:7" ht="17.45" customHeight="1">
      <c r="A3122" s="261" t="s">
        <v>8</v>
      </c>
      <c r="C3122" s="271" t="s">
        <v>3254</v>
      </c>
      <c r="D3122" s="497"/>
      <c r="E3122" s="499">
        <v>9700</v>
      </c>
      <c r="F3122" s="263"/>
      <c r="G3122" s="275"/>
    </row>
    <row r="3123" spans="1:7" ht="17.45" customHeight="1">
      <c r="A3123" s="261" t="s">
        <v>8</v>
      </c>
      <c r="C3123" s="271" t="s">
        <v>3255</v>
      </c>
      <c r="D3123" s="497"/>
      <c r="E3123" s="499">
        <v>50000</v>
      </c>
      <c r="F3123" s="263"/>
      <c r="G3123" s="275"/>
    </row>
    <row r="3124" spans="1:7" ht="17.45" customHeight="1">
      <c r="A3124" s="261" t="s">
        <v>8</v>
      </c>
      <c r="C3124" s="271" t="s">
        <v>3256</v>
      </c>
      <c r="D3124" s="497"/>
      <c r="E3124" s="499">
        <v>16200</v>
      </c>
      <c r="F3124" s="263"/>
      <c r="G3124" s="275"/>
    </row>
    <row r="3125" spans="1:7" ht="17.45" customHeight="1" thickBot="1">
      <c r="A3125" s="261" t="s">
        <v>8</v>
      </c>
      <c r="C3125" s="276" t="s">
        <v>1300</v>
      </c>
      <c r="D3125" s="502">
        <f>SUM(D3042:D3124)-SUM(E3042:E3124)</f>
        <v>-1060840</v>
      </c>
      <c r="E3125" s="502">
        <f>SUM(E3042:E3124)-SUM(F3042:F3124)</f>
        <v>9170290</v>
      </c>
      <c r="F3125" s="277"/>
      <c r="G3125" s="283"/>
    </row>
    <row r="3127" spans="1:7" ht="12.75" thickBot="1"/>
    <row r="3128" spans="1:7" ht="17.45" customHeight="1">
      <c r="A3128" s="261" t="s">
        <v>8</v>
      </c>
      <c r="B3128" s="256" t="s">
        <v>3263</v>
      </c>
      <c r="C3128" s="268" t="s">
        <v>1268</v>
      </c>
      <c r="D3128" s="500">
        <v>8478985</v>
      </c>
      <c r="E3128" s="501"/>
      <c r="F3128" s="269"/>
      <c r="G3128" s="270"/>
    </row>
    <row r="3129" spans="1:7" ht="17.45" customHeight="1">
      <c r="A3129" s="261" t="s">
        <v>8</v>
      </c>
      <c r="B3129" s="257"/>
      <c r="C3129" s="271" t="s">
        <v>3047</v>
      </c>
      <c r="D3129" s="497"/>
      <c r="E3129" s="497"/>
      <c r="F3129" s="263"/>
      <c r="G3129" s="272"/>
    </row>
    <row r="3130" spans="1:7" ht="17.45" customHeight="1">
      <c r="A3130" s="261" t="s">
        <v>8</v>
      </c>
      <c r="B3130" s="257"/>
      <c r="C3130" s="271" t="s">
        <v>1269</v>
      </c>
      <c r="D3130" s="497"/>
      <c r="E3130" s="499">
        <f>401000-112100</f>
        <v>288900</v>
      </c>
      <c r="F3130" s="263"/>
      <c r="G3130" s="272" t="s">
        <v>3283</v>
      </c>
    </row>
    <row r="3131" spans="1:7" ht="17.45" customHeight="1">
      <c r="A3131" s="261" t="s">
        <v>8</v>
      </c>
      <c r="C3131" s="271" t="s">
        <v>1270</v>
      </c>
      <c r="D3131" s="497"/>
      <c r="E3131" s="499">
        <v>1053000</v>
      </c>
      <c r="F3131" s="263"/>
      <c r="G3131" s="273" t="s">
        <v>2740</v>
      </c>
    </row>
    <row r="3132" spans="1:7" ht="17.45" customHeight="1">
      <c r="A3132" s="261" t="s">
        <v>8</v>
      </c>
      <c r="C3132" s="271" t="s">
        <v>1670</v>
      </c>
      <c r="D3132" s="497"/>
      <c r="E3132" s="497"/>
      <c r="F3132" s="263"/>
      <c r="G3132" s="274"/>
    </row>
    <row r="3133" spans="1:7" ht="17.45" customHeight="1">
      <c r="A3133" s="261" t="s">
        <v>8</v>
      </c>
      <c r="C3133" s="271" t="s">
        <v>1672</v>
      </c>
      <c r="D3133" s="497"/>
      <c r="E3133" s="499">
        <v>35721</v>
      </c>
      <c r="F3133" s="263"/>
      <c r="G3133" s="273" t="s">
        <v>2732</v>
      </c>
    </row>
    <row r="3134" spans="1:7" ht="17.45" customHeight="1">
      <c r="A3134" s="261" t="s">
        <v>8</v>
      </c>
      <c r="C3134" s="271" t="s">
        <v>1673</v>
      </c>
      <c r="D3134" s="497"/>
      <c r="E3134" s="497"/>
      <c r="F3134" s="263"/>
      <c r="G3134" s="274"/>
    </row>
    <row r="3135" spans="1:7" ht="17.45" customHeight="1">
      <c r="A3135" s="261" t="s">
        <v>8</v>
      </c>
      <c r="C3135" s="271" t="s">
        <v>1332</v>
      </c>
      <c r="D3135" s="497"/>
      <c r="E3135" s="499">
        <v>34650</v>
      </c>
      <c r="F3135" s="263"/>
      <c r="G3135" s="275"/>
    </row>
    <row r="3136" spans="1:7" ht="17.45" customHeight="1">
      <c r="A3136" s="261" t="s">
        <v>8</v>
      </c>
      <c r="C3136" s="271" t="s">
        <v>1271</v>
      </c>
      <c r="D3136" s="497"/>
      <c r="E3136" s="497"/>
      <c r="F3136" s="263"/>
      <c r="G3136" s="274"/>
    </row>
    <row r="3137" spans="1:7" ht="17.45" customHeight="1">
      <c r="A3137" s="261" t="s">
        <v>8</v>
      </c>
      <c r="C3137" s="271" t="s">
        <v>1272</v>
      </c>
      <c r="D3137" s="497"/>
      <c r="E3137" s="497"/>
      <c r="F3137" s="263"/>
      <c r="G3137" s="273"/>
    </row>
    <row r="3138" spans="1:7" ht="17.45" customHeight="1">
      <c r="A3138" s="261" t="s">
        <v>8</v>
      </c>
      <c r="C3138" s="271" t="s">
        <v>3009</v>
      </c>
      <c r="D3138" s="497"/>
      <c r="E3138" s="499">
        <v>20763</v>
      </c>
      <c r="F3138" s="263"/>
      <c r="G3138" s="273" t="s">
        <v>2732</v>
      </c>
    </row>
    <row r="3139" spans="1:7" ht="17.45" customHeight="1">
      <c r="A3139" s="261" t="s">
        <v>8</v>
      </c>
      <c r="C3139" s="271" t="s">
        <v>3010</v>
      </c>
      <c r="D3139" s="497"/>
      <c r="E3139" s="499">
        <v>900</v>
      </c>
      <c r="F3139" s="263"/>
      <c r="G3139" s="273"/>
    </row>
    <row r="3140" spans="1:7" ht="17.45" customHeight="1">
      <c r="A3140" s="261" t="s">
        <v>8</v>
      </c>
      <c r="C3140" s="271" t="s">
        <v>1273</v>
      </c>
      <c r="D3140" s="497"/>
      <c r="E3140" s="499">
        <v>29920</v>
      </c>
      <c r="F3140" s="263"/>
      <c r="G3140" s="273" t="s">
        <v>2732</v>
      </c>
    </row>
    <row r="3141" spans="1:7" ht="17.45" customHeight="1">
      <c r="A3141" s="261" t="s">
        <v>8</v>
      </c>
      <c r="C3141" s="271" t="s">
        <v>1274</v>
      </c>
      <c r="D3141" s="497"/>
      <c r="E3141" s="499">
        <v>3757</v>
      </c>
      <c r="F3141" s="263"/>
      <c r="G3141" s="273"/>
    </row>
    <row r="3142" spans="1:7" ht="17.45" customHeight="1">
      <c r="A3142" s="261" t="s">
        <v>8</v>
      </c>
      <c r="C3142" s="271" t="s">
        <v>2168</v>
      </c>
      <c r="D3142" s="497"/>
      <c r="E3142" s="499">
        <v>18816</v>
      </c>
      <c r="F3142" s="263"/>
      <c r="G3142" s="273" t="s">
        <v>2732</v>
      </c>
    </row>
    <row r="3143" spans="1:7" ht="17.45" customHeight="1">
      <c r="A3143" s="261" t="s">
        <v>8</v>
      </c>
      <c r="C3143" s="271" t="s">
        <v>1517</v>
      </c>
      <c r="D3143" s="497"/>
      <c r="E3143" s="499">
        <v>23230</v>
      </c>
      <c r="F3143" s="263"/>
      <c r="G3143" s="273" t="s">
        <v>2732</v>
      </c>
    </row>
    <row r="3144" spans="1:7" ht="17.45" customHeight="1">
      <c r="A3144" s="261" t="s">
        <v>8</v>
      </c>
      <c r="C3144" s="271" t="s">
        <v>1276</v>
      </c>
      <c r="D3144" s="497"/>
      <c r="E3144" s="499">
        <v>387950</v>
      </c>
      <c r="F3144" s="263"/>
      <c r="G3144" s="273" t="s">
        <v>2732</v>
      </c>
    </row>
    <row r="3145" spans="1:7" ht="17.45" customHeight="1">
      <c r="A3145" s="261" t="s">
        <v>8</v>
      </c>
      <c r="C3145" s="271" t="s">
        <v>1277</v>
      </c>
      <c r="D3145" s="497"/>
      <c r="E3145" s="499">
        <v>14886</v>
      </c>
      <c r="F3145" s="263"/>
      <c r="G3145" s="273" t="s">
        <v>2732</v>
      </c>
    </row>
    <row r="3146" spans="1:7" ht="17.45" customHeight="1">
      <c r="A3146" s="261" t="s">
        <v>8</v>
      </c>
      <c r="C3146" s="271" t="s">
        <v>1278</v>
      </c>
      <c r="D3146" s="497"/>
      <c r="E3146" s="499">
        <v>200000</v>
      </c>
      <c r="F3146" s="263"/>
      <c r="G3146" s="273"/>
    </row>
    <row r="3147" spans="1:7" ht="17.45" customHeight="1">
      <c r="A3147" s="261" t="s">
        <v>8</v>
      </c>
      <c r="C3147" s="285" t="s">
        <v>1413</v>
      </c>
      <c r="D3147" s="506"/>
      <c r="E3147" s="507">
        <f>1500000+1000000</f>
        <v>2500000</v>
      </c>
      <c r="F3147" s="286"/>
      <c r="G3147" s="287"/>
    </row>
    <row r="3148" spans="1:7" ht="17.25" customHeight="1">
      <c r="A3148" s="261" t="s">
        <v>8</v>
      </c>
      <c r="C3148" s="338" t="s">
        <v>2661</v>
      </c>
      <c r="D3148" s="497"/>
      <c r="E3148" s="497"/>
      <c r="F3148" s="263"/>
      <c r="G3148" s="275"/>
    </row>
    <row r="3149" spans="1:7" ht="17.45" customHeight="1">
      <c r="A3149" s="261" t="s">
        <v>8</v>
      </c>
      <c r="C3149" s="339" t="s">
        <v>3248</v>
      </c>
      <c r="D3149" s="506"/>
      <c r="E3149" s="507">
        <v>10000000</v>
      </c>
      <c r="F3149" s="286"/>
      <c r="G3149" s="290"/>
    </row>
    <row r="3150" spans="1:7" ht="17.45" customHeight="1">
      <c r="A3150" s="261" t="s">
        <v>8</v>
      </c>
      <c r="C3150" s="339" t="s">
        <v>2647</v>
      </c>
      <c r="D3150" s="506"/>
      <c r="E3150" s="507">
        <v>-10994947</v>
      </c>
      <c r="F3150" s="286"/>
      <c r="G3150" s="290"/>
    </row>
    <row r="3151" spans="1:7" ht="17.45" customHeight="1" thickBot="1">
      <c r="A3151" s="261" t="s">
        <v>8</v>
      </c>
      <c r="C3151" s="285" t="s">
        <v>1942</v>
      </c>
      <c r="D3151" s="506"/>
      <c r="E3151" s="507">
        <v>20000</v>
      </c>
      <c r="F3151" s="286"/>
      <c r="G3151" s="290"/>
    </row>
    <row r="3152" spans="1:7" ht="17.45" customHeight="1">
      <c r="A3152" s="261" t="s">
        <v>8</v>
      </c>
      <c r="C3152" s="268" t="s">
        <v>1280</v>
      </c>
      <c r="D3152" s="501"/>
      <c r="E3152" s="500">
        <f>50000+50000</f>
        <v>100000</v>
      </c>
      <c r="F3152" s="269"/>
      <c r="G3152" s="288"/>
    </row>
    <row r="3153" spans="1:7" ht="17.45" customHeight="1">
      <c r="A3153" s="261" t="s">
        <v>8</v>
      </c>
      <c r="C3153" s="271" t="s">
        <v>1549</v>
      </c>
      <c r="D3153" s="497"/>
      <c r="E3153" s="497"/>
      <c r="F3153" s="263"/>
      <c r="G3153" s="275"/>
    </row>
    <row r="3154" spans="1:7" ht="17.45" customHeight="1">
      <c r="A3154" s="261" t="s">
        <v>8</v>
      </c>
      <c r="C3154" s="271" t="s">
        <v>1819</v>
      </c>
      <c r="D3154" s="497"/>
      <c r="E3154" s="497"/>
      <c r="F3154" s="263"/>
      <c r="G3154" s="275"/>
    </row>
    <row r="3155" spans="1:7" ht="17.45" customHeight="1">
      <c r="A3155" s="261" t="s">
        <v>8</v>
      </c>
      <c r="C3155" s="271" t="s">
        <v>391</v>
      </c>
      <c r="D3155" s="497"/>
      <c r="E3155" s="497"/>
      <c r="F3155" s="263"/>
      <c r="G3155" s="275"/>
    </row>
    <row r="3156" spans="1:7" ht="17.45" customHeight="1">
      <c r="A3156" s="261" t="s">
        <v>8</v>
      </c>
      <c r="C3156" s="271" t="s">
        <v>1934</v>
      </c>
      <c r="D3156" s="497"/>
      <c r="E3156" s="497"/>
      <c r="F3156" s="263"/>
      <c r="G3156" s="275"/>
    </row>
    <row r="3157" spans="1:7" ht="17.25" customHeight="1">
      <c r="A3157" s="261" t="s">
        <v>8</v>
      </c>
      <c r="C3157" s="271" t="s">
        <v>2202</v>
      </c>
      <c r="D3157" s="497"/>
      <c r="E3157" s="497"/>
      <c r="F3157" s="263"/>
      <c r="G3157" s="275"/>
    </row>
    <row r="3158" spans="1:7" ht="17.45" customHeight="1">
      <c r="A3158" s="261" t="s">
        <v>8</v>
      </c>
      <c r="C3158" s="271" t="s">
        <v>2654</v>
      </c>
      <c r="D3158" s="497"/>
      <c r="E3158" s="499">
        <v>60000</v>
      </c>
      <c r="F3158" s="263"/>
      <c r="G3158" s="275"/>
    </row>
    <row r="3159" spans="1:7" ht="17.45" customHeight="1">
      <c r="A3159" s="261" t="s">
        <v>8</v>
      </c>
      <c r="C3159" s="271" t="s">
        <v>1687</v>
      </c>
      <c r="D3159" s="497"/>
      <c r="E3159" s="497"/>
      <c r="F3159" s="263"/>
      <c r="G3159" s="275"/>
    </row>
    <row r="3160" spans="1:7" ht="17.45" customHeight="1">
      <c r="A3160" s="261" t="s">
        <v>8</v>
      </c>
      <c r="C3160" s="271" t="s">
        <v>1688</v>
      </c>
      <c r="D3160" s="497"/>
      <c r="E3160" s="499">
        <f>55000</f>
        <v>55000</v>
      </c>
      <c r="F3160" s="263"/>
      <c r="G3160" s="275"/>
    </row>
    <row r="3161" spans="1:7" ht="17.45" customHeight="1">
      <c r="A3161" s="261" t="s">
        <v>8</v>
      </c>
      <c r="C3161" s="271"/>
      <c r="D3161" s="497"/>
      <c r="E3161" s="497"/>
      <c r="F3161" s="263"/>
      <c r="G3161" s="275"/>
    </row>
    <row r="3162" spans="1:7" ht="17.45" customHeight="1">
      <c r="A3162" s="261" t="s">
        <v>8</v>
      </c>
      <c r="C3162" s="271" t="s">
        <v>1596</v>
      </c>
      <c r="D3162" s="497"/>
      <c r="E3162" s="499">
        <f>39700+5500</f>
        <v>45200</v>
      </c>
      <c r="F3162" s="263"/>
      <c r="G3162" s="275"/>
    </row>
    <row r="3163" spans="1:7" ht="17.45" customHeight="1">
      <c r="A3163" s="261" t="s">
        <v>8</v>
      </c>
      <c r="C3163" s="271" t="s">
        <v>1595</v>
      </c>
      <c r="D3163" s="497"/>
      <c r="E3163" s="499">
        <f>3800+6200</f>
        <v>10000</v>
      </c>
      <c r="F3163" s="263"/>
      <c r="G3163" s="275"/>
    </row>
    <row r="3164" spans="1:7" ht="17.45" customHeight="1">
      <c r="A3164" s="261" t="s">
        <v>8</v>
      </c>
      <c r="C3164" s="271" t="s">
        <v>2822</v>
      </c>
      <c r="D3164" s="497"/>
      <c r="E3164" s="499">
        <f>7020</f>
        <v>7020</v>
      </c>
      <c r="F3164" s="263"/>
      <c r="G3164" s="275"/>
    </row>
    <row r="3165" spans="1:7" ht="17.45" customHeight="1">
      <c r="A3165" s="261" t="s">
        <v>8</v>
      </c>
      <c r="C3165" s="271" t="s">
        <v>2821</v>
      </c>
      <c r="D3165" s="497"/>
      <c r="E3165" s="497"/>
      <c r="F3165" s="263"/>
      <c r="G3165" s="273"/>
    </row>
    <row r="3166" spans="1:7" ht="17.45" customHeight="1">
      <c r="A3166" s="261" t="s">
        <v>8</v>
      </c>
      <c r="C3166" s="271" t="s">
        <v>1689</v>
      </c>
      <c r="D3166" s="497"/>
      <c r="E3166" s="497"/>
      <c r="F3166" s="263"/>
      <c r="G3166" s="275"/>
    </row>
    <row r="3167" spans="1:7" ht="17.45" customHeight="1">
      <c r="A3167" s="261" t="s">
        <v>8</v>
      </c>
      <c r="C3167" s="271" t="s">
        <v>1569</v>
      </c>
      <c r="D3167" s="497"/>
      <c r="E3167" s="499">
        <f>32460+49400</f>
        <v>81860</v>
      </c>
      <c r="F3167" s="263"/>
      <c r="G3167" s="275"/>
    </row>
    <row r="3168" spans="1:7" ht="17.45" customHeight="1">
      <c r="A3168" s="261" t="s">
        <v>8</v>
      </c>
      <c r="C3168" s="271" t="s">
        <v>1618</v>
      </c>
      <c r="D3168" s="497"/>
      <c r="E3168" s="499">
        <f>4230+23460+11940+12500</f>
        <v>52130</v>
      </c>
      <c r="F3168" s="263"/>
      <c r="G3168" s="275"/>
    </row>
    <row r="3169" spans="1:7" ht="17.45" customHeight="1">
      <c r="A3169" s="261" t="s">
        <v>8</v>
      </c>
      <c r="C3169" s="271" t="s">
        <v>2810</v>
      </c>
      <c r="D3169" s="497"/>
      <c r="E3169" s="499">
        <f>38800</f>
        <v>38800</v>
      </c>
      <c r="F3169" s="263"/>
      <c r="G3169" s="275"/>
    </row>
    <row r="3170" spans="1:7" ht="17.45" customHeight="1" thickBot="1">
      <c r="A3170" s="261" t="s">
        <v>8</v>
      </c>
      <c r="C3170" s="276" t="s">
        <v>2699</v>
      </c>
      <c r="D3170" s="502"/>
      <c r="E3170" s="503">
        <f>13400+16800+25500+19000+16000</f>
        <v>90700</v>
      </c>
      <c r="F3170" s="277"/>
      <c r="G3170" s="282"/>
    </row>
    <row r="3171" spans="1:7" ht="17.45" customHeight="1">
      <c r="A3171" s="261" t="s">
        <v>8</v>
      </c>
      <c r="C3171" s="279" t="s">
        <v>3296</v>
      </c>
      <c r="D3171" s="504"/>
      <c r="E3171" s="505">
        <v>7900</v>
      </c>
      <c r="F3171" s="280"/>
      <c r="G3171" s="281"/>
    </row>
    <row r="3172" spans="1:7" ht="17.45" customHeight="1">
      <c r="A3172" s="261" t="s">
        <v>8</v>
      </c>
      <c r="C3172" s="284" t="s">
        <v>3297</v>
      </c>
      <c r="D3172" s="497"/>
      <c r="E3172" s="499">
        <v>506700</v>
      </c>
      <c r="F3172" s="263"/>
      <c r="G3172" s="275"/>
    </row>
    <row r="3173" spans="1:7" ht="17.45" customHeight="1">
      <c r="A3173" s="261" t="s">
        <v>8</v>
      </c>
      <c r="C3173" s="271" t="s">
        <v>3298</v>
      </c>
      <c r="D3173" s="497"/>
      <c r="E3173" s="499">
        <v>5000</v>
      </c>
      <c r="F3173" s="263"/>
      <c r="G3173" s="275"/>
    </row>
    <row r="3174" spans="1:7" ht="17.45" customHeight="1">
      <c r="A3174" s="261" t="s">
        <v>8</v>
      </c>
      <c r="C3174" s="271" t="s">
        <v>3299</v>
      </c>
      <c r="D3174" s="497"/>
      <c r="E3174" s="499">
        <v>25000</v>
      </c>
      <c r="F3174" s="263"/>
      <c r="G3174" s="275"/>
    </row>
    <row r="3175" spans="1:7" ht="17.45" customHeight="1">
      <c r="A3175" s="261" t="s">
        <v>8</v>
      </c>
      <c r="C3175" s="271" t="s">
        <v>3300</v>
      </c>
      <c r="D3175" s="497"/>
      <c r="E3175" s="499">
        <f>2200-2200</f>
        <v>0</v>
      </c>
      <c r="F3175" s="263"/>
      <c r="G3175" s="275"/>
    </row>
    <row r="3176" spans="1:7" ht="17.45" customHeight="1">
      <c r="A3176" s="261" t="s">
        <v>8</v>
      </c>
      <c r="C3176" s="271" t="s">
        <v>3301</v>
      </c>
      <c r="D3176" s="497"/>
      <c r="E3176" s="499">
        <v>23400</v>
      </c>
      <c r="F3176" s="263"/>
      <c r="G3176" s="275"/>
    </row>
    <row r="3177" spans="1:7" ht="17.45" customHeight="1">
      <c r="A3177" s="261" t="s">
        <v>8</v>
      </c>
      <c r="C3177" s="271" t="s">
        <v>3302</v>
      </c>
      <c r="D3177" s="497"/>
      <c r="E3177" s="499">
        <f>52100-52100+400</f>
        <v>400</v>
      </c>
      <c r="F3177" s="263"/>
      <c r="G3177" s="275"/>
    </row>
    <row r="3178" spans="1:7" ht="17.45" customHeight="1">
      <c r="A3178" s="261" t="s">
        <v>8</v>
      </c>
      <c r="C3178" s="271" t="s">
        <v>3306</v>
      </c>
      <c r="D3178" s="497"/>
      <c r="E3178" s="499">
        <v>208341</v>
      </c>
      <c r="F3178" s="263"/>
      <c r="G3178" s="275" t="s">
        <v>3307</v>
      </c>
    </row>
    <row r="3179" spans="1:7" ht="17.45" customHeight="1">
      <c r="A3179" s="261" t="s">
        <v>8</v>
      </c>
      <c r="C3179" s="271" t="s">
        <v>3308</v>
      </c>
      <c r="D3179" s="497"/>
      <c r="E3179" s="499">
        <f>51700-51700</f>
        <v>0</v>
      </c>
      <c r="F3179" s="263"/>
      <c r="G3179" s="275" t="s">
        <v>3309</v>
      </c>
    </row>
    <row r="3180" spans="1:7" ht="17.45" customHeight="1">
      <c r="A3180" s="261" t="s">
        <v>8</v>
      </c>
      <c r="C3180" s="284" t="s">
        <v>3310</v>
      </c>
      <c r="D3180" s="497"/>
      <c r="E3180" s="499">
        <f>12500+12700</f>
        <v>25200</v>
      </c>
      <c r="F3180" s="263"/>
      <c r="G3180" s="275"/>
    </row>
    <row r="3181" spans="1:7" ht="17.25" customHeight="1">
      <c r="A3181" s="261" t="s">
        <v>8</v>
      </c>
      <c r="C3181" s="271" t="s">
        <v>3311</v>
      </c>
      <c r="D3181" s="497"/>
      <c r="E3181" s="499">
        <v>1700</v>
      </c>
      <c r="F3181" s="263"/>
      <c r="G3181" s="275"/>
    </row>
    <row r="3182" spans="1:7" ht="17.45" customHeight="1">
      <c r="A3182" s="261" t="s">
        <v>8</v>
      </c>
      <c r="C3182" s="271" t="s">
        <v>3312</v>
      </c>
      <c r="D3182" s="497"/>
      <c r="E3182" s="499">
        <v>50000</v>
      </c>
      <c r="F3182" s="263"/>
      <c r="G3182" s="275" t="s">
        <v>3027</v>
      </c>
    </row>
    <row r="3183" spans="1:7" ht="17.45" customHeight="1">
      <c r="A3183" s="261" t="s">
        <v>8</v>
      </c>
      <c r="C3183" s="271" t="s">
        <v>3313</v>
      </c>
      <c r="D3183" s="497"/>
      <c r="E3183" s="499">
        <v>21200</v>
      </c>
      <c r="F3183" s="263"/>
      <c r="G3183" s="275" t="s">
        <v>3309</v>
      </c>
    </row>
    <row r="3184" spans="1:7" ht="17.45" customHeight="1">
      <c r="A3184" s="261" t="s">
        <v>8</v>
      </c>
      <c r="C3184" s="271" t="s">
        <v>3314</v>
      </c>
      <c r="D3184" s="497"/>
      <c r="E3184" s="499">
        <v>34000</v>
      </c>
      <c r="F3184" s="263"/>
      <c r="G3184" s="275"/>
    </row>
    <row r="3185" spans="1:7" ht="17.45" customHeight="1">
      <c r="A3185" s="261" t="s">
        <v>8</v>
      </c>
      <c r="C3185" s="284" t="s">
        <v>3315</v>
      </c>
      <c r="D3185" s="497"/>
      <c r="E3185" s="499">
        <f>1300+2600</f>
        <v>3900</v>
      </c>
      <c r="F3185" s="263"/>
      <c r="G3185" s="275"/>
    </row>
    <row r="3186" spans="1:7" ht="17.45" customHeight="1">
      <c r="A3186" s="261" t="s">
        <v>8</v>
      </c>
      <c r="C3186" s="271" t="s">
        <v>3316</v>
      </c>
      <c r="D3186" s="497"/>
      <c r="E3186" s="499">
        <v>50000</v>
      </c>
      <c r="F3186" s="263"/>
      <c r="G3186" s="275"/>
    </row>
    <row r="3187" spans="1:7" ht="17.45" customHeight="1">
      <c r="A3187" s="261" t="s">
        <v>8</v>
      </c>
      <c r="C3187" s="271" t="s">
        <v>3317</v>
      </c>
      <c r="D3187" s="497"/>
      <c r="E3187" s="499">
        <v>1300</v>
      </c>
      <c r="F3187" s="263"/>
      <c r="G3187" s="275"/>
    </row>
    <row r="3188" spans="1:7" ht="17.45" customHeight="1">
      <c r="A3188" s="261" t="s">
        <v>8</v>
      </c>
      <c r="C3188" s="271" t="s">
        <v>3318</v>
      </c>
      <c r="D3188" s="497"/>
      <c r="E3188" s="499">
        <v>67000</v>
      </c>
      <c r="F3188" s="263"/>
      <c r="G3188" s="275" t="s">
        <v>3319</v>
      </c>
    </row>
    <row r="3189" spans="1:7" ht="17.45" customHeight="1">
      <c r="A3189" s="261" t="s">
        <v>8</v>
      </c>
      <c r="C3189" s="271" t="s">
        <v>3320</v>
      </c>
      <c r="D3189" s="497"/>
      <c r="E3189" s="499">
        <v>9800</v>
      </c>
      <c r="F3189" s="263"/>
      <c r="G3189" s="275"/>
    </row>
    <row r="3190" spans="1:7" ht="17.45" customHeight="1">
      <c r="A3190" s="261" t="s">
        <v>8</v>
      </c>
      <c r="C3190" s="271" t="s">
        <v>3323</v>
      </c>
      <c r="D3190" s="497"/>
      <c r="E3190" s="499">
        <v>525939</v>
      </c>
      <c r="F3190" s="263"/>
      <c r="G3190" s="275" t="s">
        <v>3321</v>
      </c>
    </row>
    <row r="3191" spans="1:7" ht="17.45" customHeight="1">
      <c r="A3191" s="261" t="s">
        <v>8</v>
      </c>
      <c r="C3191" s="271" t="s">
        <v>3322</v>
      </c>
      <c r="D3191" s="497"/>
      <c r="E3191" s="499">
        <v>17890</v>
      </c>
      <c r="F3191" s="263"/>
      <c r="G3191" s="275"/>
    </row>
    <row r="3192" spans="1:7" ht="17.45" customHeight="1">
      <c r="A3192" s="261" t="s">
        <v>8</v>
      </c>
      <c r="C3192" s="271" t="s">
        <v>3324</v>
      </c>
      <c r="D3192" s="497"/>
      <c r="E3192" s="499">
        <v>204862</v>
      </c>
      <c r="F3192" s="263"/>
      <c r="G3192" s="275" t="s">
        <v>3321</v>
      </c>
    </row>
    <row r="3193" spans="1:7" ht="17.45" customHeight="1">
      <c r="A3193" s="261" t="s">
        <v>8</v>
      </c>
      <c r="C3193" s="271" t="s">
        <v>3325</v>
      </c>
      <c r="D3193" s="497"/>
      <c r="E3193" s="499">
        <v>163370</v>
      </c>
      <c r="F3193" s="263"/>
      <c r="G3193" s="275" t="s">
        <v>3321</v>
      </c>
    </row>
    <row r="3194" spans="1:7" ht="17.45" customHeight="1">
      <c r="A3194" s="261" t="s">
        <v>8</v>
      </c>
      <c r="C3194" s="271" t="s">
        <v>3326</v>
      </c>
      <c r="D3194" s="497"/>
      <c r="E3194" s="499">
        <v>6000</v>
      </c>
      <c r="F3194" s="263"/>
      <c r="G3194" s="275"/>
    </row>
    <row r="3195" spans="1:7" ht="17.45" customHeight="1">
      <c r="A3195" s="261" t="s">
        <v>8</v>
      </c>
      <c r="C3195" s="271" t="s">
        <v>3327</v>
      </c>
      <c r="D3195" s="497"/>
      <c r="E3195" s="499">
        <v>5000</v>
      </c>
      <c r="F3195" s="263"/>
      <c r="G3195" s="275"/>
    </row>
    <row r="3196" spans="1:7" ht="17.45" customHeight="1">
      <c r="A3196" s="261" t="s">
        <v>8</v>
      </c>
      <c r="C3196" s="271" t="s">
        <v>3328</v>
      </c>
      <c r="D3196" s="497"/>
      <c r="E3196" s="499">
        <v>4500</v>
      </c>
      <c r="F3196" s="263"/>
      <c r="G3196" s="275"/>
    </row>
    <row r="3197" spans="1:7" ht="17.45" customHeight="1">
      <c r="A3197" s="261" t="s">
        <v>8</v>
      </c>
      <c r="C3197" s="271" t="s">
        <v>3329</v>
      </c>
      <c r="D3197" s="497"/>
      <c r="E3197" s="499">
        <v>13000</v>
      </c>
      <c r="F3197" s="263"/>
      <c r="G3197" s="275"/>
    </row>
    <row r="3198" spans="1:7" ht="17.45" customHeight="1" thickBot="1">
      <c r="A3198" s="261" t="s">
        <v>8</v>
      </c>
      <c r="C3198" s="276" t="s">
        <v>1300</v>
      </c>
      <c r="D3198" s="502">
        <f>SUM(D3128:D3197)-SUM(E3128:E3197)</f>
        <v>2319327</v>
      </c>
      <c r="E3198" s="502">
        <f>SUM(E3128:E3197)-SUM(F3128:F3197)</f>
        <v>6159658</v>
      </c>
      <c r="F3198" s="277"/>
      <c r="G3198" s="283"/>
    </row>
    <row r="3200" spans="1:7" ht="12.75" thickBot="1"/>
    <row r="3201" spans="1:7" ht="17.45" customHeight="1">
      <c r="A3201" s="261" t="s">
        <v>8</v>
      </c>
      <c r="B3201" s="256" t="s">
        <v>3330</v>
      </c>
      <c r="C3201" s="268" t="s">
        <v>1268</v>
      </c>
      <c r="D3201" s="500">
        <v>6642107</v>
      </c>
      <c r="E3201" s="501"/>
      <c r="F3201" s="269"/>
      <c r="G3201" s="270"/>
    </row>
    <row r="3202" spans="1:7" ht="17.45" customHeight="1">
      <c r="A3202" s="261" t="s">
        <v>8</v>
      </c>
      <c r="B3202" s="257"/>
      <c r="C3202" s="271" t="s">
        <v>2722</v>
      </c>
      <c r="D3202" s="499">
        <v>881760</v>
      </c>
      <c r="E3202" s="497"/>
      <c r="F3202" s="263"/>
      <c r="G3202" s="272"/>
    </row>
    <row r="3203" spans="1:7" ht="17.45" customHeight="1">
      <c r="A3203" s="261" t="s">
        <v>8</v>
      </c>
      <c r="B3203" s="257"/>
      <c r="C3203" s="271" t="s">
        <v>3047</v>
      </c>
      <c r="D3203" s="497"/>
      <c r="E3203" s="497"/>
      <c r="F3203" s="263"/>
      <c r="G3203" s="272"/>
    </row>
    <row r="3204" spans="1:7" ht="17.45" customHeight="1">
      <c r="A3204" s="261" t="s">
        <v>8</v>
      </c>
      <c r="B3204" s="257"/>
      <c r="C3204" s="271" t="s">
        <v>1269</v>
      </c>
      <c r="D3204" s="497"/>
      <c r="E3204" s="499">
        <v>422000</v>
      </c>
      <c r="F3204" s="263"/>
      <c r="G3204" s="272" t="s">
        <v>3331</v>
      </c>
    </row>
    <row r="3205" spans="1:7" ht="17.45" customHeight="1">
      <c r="A3205" s="261" t="s">
        <v>8</v>
      </c>
      <c r="C3205" s="271" t="s">
        <v>1270</v>
      </c>
      <c r="D3205" s="497"/>
      <c r="E3205" s="499">
        <f>815000+89000</f>
        <v>904000</v>
      </c>
      <c r="F3205" s="263"/>
      <c r="G3205" s="273" t="s">
        <v>2740</v>
      </c>
    </row>
    <row r="3206" spans="1:7" ht="17.45" customHeight="1">
      <c r="A3206" s="261" t="s">
        <v>8</v>
      </c>
      <c r="C3206" s="271" t="s">
        <v>1670</v>
      </c>
      <c r="D3206" s="497"/>
      <c r="E3206" s="497"/>
      <c r="F3206" s="263"/>
      <c r="G3206" s="274"/>
    </row>
    <row r="3207" spans="1:7" ht="17.45" customHeight="1">
      <c r="A3207" s="261" t="s">
        <v>8</v>
      </c>
      <c r="C3207" s="271" t="s">
        <v>1672</v>
      </c>
      <c r="D3207" s="497"/>
      <c r="E3207" s="499">
        <v>69270</v>
      </c>
      <c r="F3207" s="263"/>
      <c r="G3207" s="273" t="s">
        <v>2732</v>
      </c>
    </row>
    <row r="3208" spans="1:7" ht="17.45" customHeight="1">
      <c r="A3208" s="261" t="s">
        <v>8</v>
      </c>
      <c r="C3208" s="271" t="s">
        <v>1673</v>
      </c>
      <c r="D3208" s="497"/>
      <c r="E3208" s="497"/>
      <c r="F3208" s="263"/>
      <c r="G3208" s="274"/>
    </row>
    <row r="3209" spans="1:7" ht="17.45" customHeight="1">
      <c r="A3209" s="261" t="s">
        <v>8</v>
      </c>
      <c r="C3209" s="271" t="s">
        <v>1332</v>
      </c>
      <c r="D3209" s="497"/>
      <c r="E3209" s="499">
        <v>34650</v>
      </c>
      <c r="F3209" s="263"/>
      <c r="G3209" s="275"/>
    </row>
    <row r="3210" spans="1:7" ht="17.45" customHeight="1">
      <c r="A3210" s="261" t="s">
        <v>8</v>
      </c>
      <c r="C3210" s="271" t="s">
        <v>1271</v>
      </c>
      <c r="D3210" s="497"/>
      <c r="E3210" s="497"/>
      <c r="F3210" s="263"/>
      <c r="G3210" s="274"/>
    </row>
    <row r="3211" spans="1:7" ht="17.45" customHeight="1">
      <c r="A3211" s="261" t="s">
        <v>8</v>
      </c>
      <c r="C3211" s="271" t="s">
        <v>1272</v>
      </c>
      <c r="D3211" s="497"/>
      <c r="E3211" s="497"/>
      <c r="F3211" s="263"/>
      <c r="G3211" s="273"/>
    </row>
    <row r="3212" spans="1:7" ht="17.45" customHeight="1">
      <c r="A3212" s="261" t="s">
        <v>8</v>
      </c>
      <c r="C3212" s="271" t="s">
        <v>3009</v>
      </c>
      <c r="D3212" s="497"/>
      <c r="E3212" s="499">
        <v>20763</v>
      </c>
      <c r="F3212" s="263"/>
      <c r="G3212" s="273" t="s">
        <v>2732</v>
      </c>
    </row>
    <row r="3213" spans="1:7" ht="17.45" customHeight="1">
      <c r="A3213" s="261" t="s">
        <v>8</v>
      </c>
      <c r="C3213" s="271" t="s">
        <v>3010</v>
      </c>
      <c r="D3213" s="497"/>
      <c r="E3213" s="499">
        <v>900</v>
      </c>
      <c r="F3213" s="263"/>
      <c r="G3213" s="273"/>
    </row>
    <row r="3214" spans="1:7" ht="17.45" customHeight="1">
      <c r="A3214" s="261" t="s">
        <v>8</v>
      </c>
      <c r="C3214" s="271" t="s">
        <v>1273</v>
      </c>
      <c r="D3214" s="497"/>
      <c r="E3214" s="499">
        <v>29920</v>
      </c>
      <c r="F3214" s="263"/>
      <c r="G3214" s="273" t="s">
        <v>2732</v>
      </c>
    </row>
    <row r="3215" spans="1:7" ht="17.45" customHeight="1">
      <c r="A3215" s="261" t="s">
        <v>8</v>
      </c>
      <c r="C3215" s="271" t="s">
        <v>1274</v>
      </c>
      <c r="D3215" s="497"/>
      <c r="E3215" s="499">
        <v>3757</v>
      </c>
      <c r="F3215" s="263"/>
      <c r="G3215" s="273"/>
    </row>
    <row r="3216" spans="1:7" ht="17.45" customHeight="1">
      <c r="A3216" s="261" t="s">
        <v>8</v>
      </c>
      <c r="C3216" s="271" t="s">
        <v>2168</v>
      </c>
      <c r="D3216" s="497"/>
      <c r="E3216" s="499">
        <v>18816</v>
      </c>
      <c r="F3216" s="263"/>
      <c r="G3216" s="273" t="s">
        <v>2732</v>
      </c>
    </row>
    <row r="3217" spans="1:7" ht="17.45" customHeight="1">
      <c r="A3217" s="261" t="s">
        <v>8</v>
      </c>
      <c r="C3217" s="271" t="s">
        <v>1517</v>
      </c>
      <c r="D3217" s="497"/>
      <c r="E3217" s="499">
        <v>23230</v>
      </c>
      <c r="F3217" s="263"/>
      <c r="G3217" s="273" t="s">
        <v>2732</v>
      </c>
    </row>
    <row r="3218" spans="1:7" ht="17.45" customHeight="1">
      <c r="A3218" s="261" t="s">
        <v>8</v>
      </c>
      <c r="C3218" s="271" t="s">
        <v>1276</v>
      </c>
      <c r="D3218" s="497"/>
      <c r="E3218" s="499">
        <v>344550</v>
      </c>
      <c r="F3218" s="263"/>
      <c r="G3218" s="273" t="s">
        <v>2732</v>
      </c>
    </row>
    <row r="3219" spans="1:7" ht="17.45" customHeight="1">
      <c r="A3219" s="261" t="s">
        <v>8</v>
      </c>
      <c r="C3219" s="271" t="s">
        <v>1277</v>
      </c>
      <c r="D3219" s="497"/>
      <c r="E3219" s="499">
        <v>18630</v>
      </c>
      <c r="F3219" s="263"/>
      <c r="G3219" s="273" t="s">
        <v>2732</v>
      </c>
    </row>
    <row r="3220" spans="1:7" ht="17.45" customHeight="1">
      <c r="A3220" s="261" t="s">
        <v>8</v>
      </c>
      <c r="C3220" s="271" t="s">
        <v>1278</v>
      </c>
      <c r="D3220" s="497"/>
      <c r="E3220" s="499">
        <v>200000</v>
      </c>
      <c r="F3220" s="263"/>
      <c r="G3220" s="273"/>
    </row>
    <row r="3221" spans="1:7" ht="17.45" customHeight="1">
      <c r="A3221" s="261" t="s">
        <v>8</v>
      </c>
      <c r="C3221" s="285" t="s">
        <v>1413</v>
      </c>
      <c r="D3221" s="506"/>
      <c r="E3221" s="507">
        <f>1500000</f>
        <v>1500000</v>
      </c>
      <c r="F3221" s="286"/>
      <c r="G3221" s="287"/>
    </row>
    <row r="3222" spans="1:7" ht="17.25" customHeight="1">
      <c r="A3222" s="261" t="s">
        <v>8</v>
      </c>
      <c r="C3222" s="338" t="s">
        <v>2661</v>
      </c>
      <c r="D3222" s="497"/>
      <c r="E3222" s="497"/>
      <c r="F3222" s="263"/>
      <c r="G3222" s="275"/>
    </row>
    <row r="3223" spans="1:7" ht="17.45" customHeight="1">
      <c r="A3223" s="261" t="s">
        <v>8</v>
      </c>
      <c r="C3223" s="339" t="s">
        <v>3248</v>
      </c>
      <c r="D3223" s="506"/>
      <c r="E3223" s="506"/>
      <c r="F3223" s="286"/>
      <c r="G3223" s="290"/>
    </row>
    <row r="3224" spans="1:7" ht="17.45" customHeight="1">
      <c r="A3224" s="261" t="s">
        <v>8</v>
      </c>
      <c r="C3224" s="339" t="s">
        <v>2647</v>
      </c>
      <c r="D3224" s="506"/>
      <c r="E3224" s="506"/>
      <c r="F3224" s="286"/>
      <c r="G3224" s="290"/>
    </row>
    <row r="3225" spans="1:7" ht="17.45" customHeight="1" thickBot="1">
      <c r="A3225" s="261" t="s">
        <v>8</v>
      </c>
      <c r="C3225" s="285" t="s">
        <v>1942</v>
      </c>
      <c r="D3225" s="506"/>
      <c r="E3225" s="507">
        <v>20000</v>
      </c>
      <c r="F3225" s="286"/>
      <c r="G3225" s="290"/>
    </row>
    <row r="3226" spans="1:7" ht="17.45" customHeight="1">
      <c r="A3226" s="261" t="s">
        <v>8</v>
      </c>
      <c r="C3226" s="268" t="s">
        <v>1280</v>
      </c>
      <c r="D3226" s="501"/>
      <c r="E3226" s="500">
        <f>50000</f>
        <v>50000</v>
      </c>
      <c r="F3226" s="269"/>
      <c r="G3226" s="288"/>
    </row>
    <row r="3227" spans="1:7" ht="17.45" customHeight="1">
      <c r="A3227" s="261" t="s">
        <v>8</v>
      </c>
      <c r="C3227" s="271" t="s">
        <v>1549</v>
      </c>
      <c r="D3227" s="497"/>
      <c r="E3227" s="497"/>
      <c r="F3227" s="263"/>
      <c r="G3227" s="275"/>
    </row>
    <row r="3228" spans="1:7" ht="17.45" customHeight="1">
      <c r="A3228" s="261" t="s">
        <v>8</v>
      </c>
      <c r="C3228" s="271" t="s">
        <v>1819</v>
      </c>
      <c r="D3228" s="497"/>
      <c r="E3228" s="497"/>
      <c r="F3228" s="263"/>
      <c r="G3228" s="275"/>
    </row>
    <row r="3229" spans="1:7" ht="17.45" customHeight="1">
      <c r="A3229" s="261" t="s">
        <v>8</v>
      </c>
      <c r="C3229" s="271" t="s">
        <v>391</v>
      </c>
      <c r="D3229" s="497"/>
      <c r="E3229" s="497"/>
      <c r="F3229" s="263"/>
      <c r="G3229" s="275"/>
    </row>
    <row r="3230" spans="1:7" ht="17.45" customHeight="1">
      <c r="A3230" s="261" t="s">
        <v>8</v>
      </c>
      <c r="C3230" s="271" t="s">
        <v>1934</v>
      </c>
      <c r="D3230" s="497"/>
      <c r="E3230" s="497"/>
      <c r="F3230" s="263"/>
      <c r="G3230" s="275"/>
    </row>
    <row r="3231" spans="1:7" ht="17.25" customHeight="1">
      <c r="A3231" s="261" t="s">
        <v>8</v>
      </c>
      <c r="C3231" s="271" t="s">
        <v>2202</v>
      </c>
      <c r="D3231" s="497"/>
      <c r="E3231" s="497"/>
      <c r="F3231" s="263"/>
      <c r="G3231" s="275"/>
    </row>
    <row r="3232" spans="1:7" ht="17.45" customHeight="1">
      <c r="A3232" s="261" t="s">
        <v>8</v>
      </c>
      <c r="C3232" s="271" t="s">
        <v>2654</v>
      </c>
      <c r="D3232" s="497"/>
      <c r="E3232" s="499">
        <v>60000</v>
      </c>
      <c r="F3232" s="263"/>
      <c r="G3232" s="275"/>
    </row>
    <row r="3233" spans="1:7" ht="17.45" customHeight="1">
      <c r="A3233" s="261" t="s">
        <v>8</v>
      </c>
      <c r="C3233" s="271" t="s">
        <v>2097</v>
      </c>
      <c r="D3233" s="497"/>
      <c r="E3233" s="499">
        <v>10000</v>
      </c>
      <c r="F3233" s="263"/>
      <c r="G3233" s="275"/>
    </row>
    <row r="3234" spans="1:7" ht="17.45" customHeight="1">
      <c r="A3234" s="261" t="s">
        <v>8</v>
      </c>
      <c r="C3234" s="271" t="s">
        <v>1687</v>
      </c>
      <c r="D3234" s="497"/>
      <c r="E3234" s="497"/>
      <c r="F3234" s="263"/>
      <c r="G3234" s="275"/>
    </row>
    <row r="3235" spans="1:7" ht="17.45" customHeight="1">
      <c r="A3235" s="261" t="s">
        <v>8</v>
      </c>
      <c r="C3235" s="271" t="s">
        <v>1688</v>
      </c>
      <c r="D3235" s="497"/>
      <c r="E3235" s="499">
        <v>55000</v>
      </c>
      <c r="F3235" s="263"/>
      <c r="G3235" s="275"/>
    </row>
    <row r="3236" spans="1:7" ht="17.45" customHeight="1">
      <c r="A3236" s="261" t="s">
        <v>8</v>
      </c>
      <c r="C3236" s="271" t="s">
        <v>3367</v>
      </c>
      <c r="D3236" s="499">
        <v>1298</v>
      </c>
      <c r="E3236" s="497"/>
      <c r="F3236" s="263"/>
      <c r="G3236" s="275"/>
    </row>
    <row r="3237" spans="1:7" ht="17.45" customHeight="1">
      <c r="A3237" s="261" t="s">
        <v>8</v>
      </c>
      <c r="C3237" s="271" t="s">
        <v>1596</v>
      </c>
      <c r="D3237" s="497"/>
      <c r="E3237" s="497"/>
      <c r="F3237" s="263"/>
      <c r="G3237" s="275"/>
    </row>
    <row r="3238" spans="1:7" ht="17.45" customHeight="1">
      <c r="A3238" s="261" t="s">
        <v>8</v>
      </c>
      <c r="C3238" s="271" t="s">
        <v>1595</v>
      </c>
      <c r="D3238" s="497"/>
      <c r="E3238" s="497"/>
      <c r="F3238" s="263"/>
      <c r="G3238" s="275"/>
    </row>
    <row r="3239" spans="1:7" ht="17.45" customHeight="1">
      <c r="A3239" s="261" t="s">
        <v>8</v>
      </c>
      <c r="C3239" s="271" t="s">
        <v>2822</v>
      </c>
      <c r="D3239" s="497"/>
      <c r="E3239" s="499">
        <f>3100</f>
        <v>3100</v>
      </c>
      <c r="F3239" s="263"/>
      <c r="G3239" s="275"/>
    </row>
    <row r="3240" spans="1:7" ht="17.45" customHeight="1">
      <c r="A3240" s="261" t="s">
        <v>8</v>
      </c>
      <c r="C3240" s="271" t="s">
        <v>2821</v>
      </c>
      <c r="D3240" s="497"/>
      <c r="E3240" s="499">
        <v>9000</v>
      </c>
      <c r="F3240" s="263"/>
      <c r="G3240" s="273"/>
    </row>
    <row r="3241" spans="1:7" ht="17.45" customHeight="1">
      <c r="A3241" s="261" t="s">
        <v>8</v>
      </c>
      <c r="C3241" s="271" t="s">
        <v>1689</v>
      </c>
      <c r="D3241" s="497"/>
      <c r="E3241" s="497"/>
      <c r="F3241" s="263"/>
      <c r="G3241" s="275"/>
    </row>
    <row r="3242" spans="1:7" ht="17.45" customHeight="1">
      <c r="A3242" s="261" t="s">
        <v>8</v>
      </c>
      <c r="C3242" s="271" t="s">
        <v>1569</v>
      </c>
      <c r="D3242" s="497"/>
      <c r="E3242" s="499">
        <f>40490</f>
        <v>40490</v>
      </c>
      <c r="F3242" s="263"/>
      <c r="G3242" s="275"/>
    </row>
    <row r="3243" spans="1:7" ht="17.45" customHeight="1">
      <c r="A3243" s="261" t="s">
        <v>8</v>
      </c>
      <c r="C3243" s="271" t="s">
        <v>1618</v>
      </c>
      <c r="D3243" s="497"/>
      <c r="E3243" s="499">
        <f>42070+11360+5930+8730+21960</f>
        <v>90050</v>
      </c>
      <c r="F3243" s="263"/>
      <c r="G3243" s="275"/>
    </row>
    <row r="3244" spans="1:7" ht="17.45" customHeight="1">
      <c r="A3244" s="261" t="s">
        <v>8</v>
      </c>
      <c r="C3244" s="271" t="s">
        <v>2810</v>
      </c>
      <c r="D3244" s="497"/>
      <c r="E3244" s="499">
        <f>37600</f>
        <v>37600</v>
      </c>
      <c r="F3244" s="263"/>
      <c r="G3244" s="275"/>
    </row>
    <row r="3245" spans="1:7" ht="17.45" customHeight="1" thickBot="1">
      <c r="A3245" s="261" t="s">
        <v>8</v>
      </c>
      <c r="C3245" s="276" t="s">
        <v>2699</v>
      </c>
      <c r="D3245" s="502"/>
      <c r="E3245" s="503">
        <f>23400+24500</f>
        <v>47900</v>
      </c>
      <c r="F3245" s="277"/>
      <c r="G3245" s="282"/>
    </row>
    <row r="3246" spans="1:7" ht="17.45" customHeight="1">
      <c r="A3246" s="261" t="s">
        <v>8</v>
      </c>
      <c r="C3246" s="279" t="s">
        <v>3332</v>
      </c>
      <c r="D3246" s="504"/>
      <c r="E3246" s="505">
        <v>200000</v>
      </c>
      <c r="F3246" s="280"/>
      <c r="G3246" s="281"/>
    </row>
    <row r="3247" spans="1:7" ht="17.45" customHeight="1">
      <c r="A3247" s="261" t="s">
        <v>8</v>
      </c>
      <c r="C3247" s="284" t="s">
        <v>3333</v>
      </c>
      <c r="D3247" s="497"/>
      <c r="E3247" s="499">
        <v>50000</v>
      </c>
      <c r="F3247" s="263"/>
      <c r="G3247" s="275"/>
    </row>
    <row r="3248" spans="1:7" ht="17.45" customHeight="1">
      <c r="A3248" s="261" t="s">
        <v>8</v>
      </c>
      <c r="C3248" s="271" t="s">
        <v>3334</v>
      </c>
      <c r="D3248" s="497"/>
      <c r="E3248" s="499">
        <v>3000</v>
      </c>
      <c r="F3248" s="263"/>
      <c r="G3248" s="275" t="s">
        <v>3335</v>
      </c>
    </row>
    <row r="3249" spans="1:7" ht="17.45" customHeight="1">
      <c r="A3249" s="261" t="s">
        <v>8</v>
      </c>
      <c r="C3249" s="271" t="s">
        <v>3337</v>
      </c>
      <c r="D3249" s="497"/>
      <c r="E3249" s="499">
        <v>6400</v>
      </c>
      <c r="F3249" s="263"/>
      <c r="G3249" s="275" t="s">
        <v>3336</v>
      </c>
    </row>
    <row r="3250" spans="1:7" ht="17.45" customHeight="1">
      <c r="A3250" s="261" t="s">
        <v>8</v>
      </c>
      <c r="C3250" s="271" t="s">
        <v>3338</v>
      </c>
      <c r="D3250" s="497"/>
      <c r="E3250" s="499">
        <v>26000</v>
      </c>
      <c r="F3250" s="263"/>
      <c r="G3250" s="275" t="s">
        <v>3336</v>
      </c>
    </row>
    <row r="3251" spans="1:7" ht="17.45" customHeight="1">
      <c r="A3251" s="261" t="s">
        <v>8</v>
      </c>
      <c r="C3251" s="271" t="s">
        <v>3339</v>
      </c>
      <c r="D3251" s="497"/>
      <c r="E3251" s="499">
        <v>50000</v>
      </c>
      <c r="F3251" s="263"/>
      <c r="G3251" s="275"/>
    </row>
    <row r="3252" spans="1:7" ht="17.45" customHeight="1">
      <c r="A3252" s="261" t="s">
        <v>8</v>
      </c>
      <c r="C3252" s="271" t="s">
        <v>3340</v>
      </c>
      <c r="D3252" s="497"/>
      <c r="E3252" s="499">
        <f>12000+9400+6600</f>
        <v>28000</v>
      </c>
      <c r="F3252" s="263"/>
      <c r="G3252" s="275"/>
    </row>
    <row r="3253" spans="1:7" ht="17.45" customHeight="1">
      <c r="A3253" s="261" t="s">
        <v>8</v>
      </c>
      <c r="C3253" s="271" t="s">
        <v>3341</v>
      </c>
      <c r="D3253" s="497"/>
      <c r="E3253" s="499">
        <f>1591740-1591740</f>
        <v>0</v>
      </c>
      <c r="F3253" s="263"/>
      <c r="G3253" s="275" t="s">
        <v>3342</v>
      </c>
    </row>
    <row r="3254" spans="1:7" ht="17.45" customHeight="1">
      <c r="A3254" s="261" t="s">
        <v>8</v>
      </c>
      <c r="C3254" s="271" t="s">
        <v>3345</v>
      </c>
      <c r="D3254" s="497"/>
      <c r="E3254" s="499">
        <v>19000</v>
      </c>
      <c r="F3254" s="263"/>
      <c r="G3254" s="275"/>
    </row>
    <row r="3255" spans="1:7" ht="17.45" customHeight="1">
      <c r="A3255" s="261" t="s">
        <v>8</v>
      </c>
      <c r="C3255" s="284" t="s">
        <v>3346</v>
      </c>
      <c r="D3255" s="497"/>
      <c r="E3255" s="499">
        <v>3000</v>
      </c>
      <c r="F3255" s="263"/>
      <c r="G3255" s="275"/>
    </row>
    <row r="3256" spans="1:7" ht="17.25" customHeight="1">
      <c r="A3256" s="261" t="s">
        <v>8</v>
      </c>
      <c r="C3256" s="271" t="s">
        <v>3347</v>
      </c>
      <c r="D3256" s="497"/>
      <c r="E3256" s="499">
        <v>300000</v>
      </c>
      <c r="F3256" s="263"/>
      <c r="G3256" s="275"/>
    </row>
    <row r="3257" spans="1:7" ht="17.45" customHeight="1">
      <c r="A3257" s="261" t="s">
        <v>8</v>
      </c>
      <c r="C3257" s="271" t="s">
        <v>3348</v>
      </c>
      <c r="D3257" s="497"/>
      <c r="E3257" s="499">
        <v>4000</v>
      </c>
      <c r="F3257" s="263"/>
      <c r="G3257" s="275" t="s">
        <v>3351</v>
      </c>
    </row>
    <row r="3258" spans="1:7" ht="17.45" customHeight="1">
      <c r="A3258" s="261" t="s">
        <v>8</v>
      </c>
      <c r="C3258" s="271" t="s">
        <v>3349</v>
      </c>
      <c r="D3258" s="497"/>
      <c r="E3258" s="499">
        <v>1000</v>
      </c>
      <c r="F3258" s="263"/>
      <c r="G3258" s="275"/>
    </row>
    <row r="3259" spans="1:7" ht="17.45" customHeight="1">
      <c r="A3259" s="261" t="s">
        <v>8</v>
      </c>
      <c r="C3259" s="271" t="s">
        <v>3350</v>
      </c>
      <c r="D3259" s="497"/>
      <c r="E3259" s="499">
        <v>39900</v>
      </c>
      <c r="F3259" s="263"/>
      <c r="G3259" s="275" t="s">
        <v>3351</v>
      </c>
    </row>
    <row r="3260" spans="1:7" ht="17.45" customHeight="1">
      <c r="A3260" s="261" t="s">
        <v>8</v>
      </c>
      <c r="C3260" s="284" t="s">
        <v>3352</v>
      </c>
      <c r="D3260" s="497"/>
      <c r="E3260" s="499">
        <v>17500</v>
      </c>
      <c r="F3260" s="263"/>
      <c r="G3260" s="275"/>
    </row>
    <row r="3261" spans="1:7" ht="17.45" customHeight="1">
      <c r="A3261" s="261" t="s">
        <v>8</v>
      </c>
      <c r="C3261" s="271" t="s">
        <v>3353</v>
      </c>
      <c r="D3261" s="497"/>
      <c r="E3261" s="499">
        <v>14900</v>
      </c>
      <c r="F3261" s="263"/>
      <c r="G3261" s="275"/>
    </row>
    <row r="3262" spans="1:7" ht="17.45" customHeight="1">
      <c r="A3262" s="261" t="s">
        <v>8</v>
      </c>
      <c r="C3262" s="271" t="s">
        <v>3354</v>
      </c>
      <c r="D3262" s="497"/>
      <c r="E3262" s="499">
        <v>17500</v>
      </c>
      <c r="F3262" s="263"/>
      <c r="G3262" s="275"/>
    </row>
    <row r="3263" spans="1:7" ht="17.45" customHeight="1">
      <c r="A3263" s="261" t="s">
        <v>8</v>
      </c>
      <c r="C3263" s="271" t="s">
        <v>3355</v>
      </c>
      <c r="D3263" s="497"/>
      <c r="E3263" s="499">
        <v>11400</v>
      </c>
      <c r="F3263" s="263"/>
      <c r="G3263" s="275"/>
    </row>
    <row r="3264" spans="1:7" ht="17.45" customHeight="1">
      <c r="A3264" s="261" t="s">
        <v>8</v>
      </c>
      <c r="C3264" s="271" t="s">
        <v>1693</v>
      </c>
      <c r="D3264" s="497"/>
      <c r="E3264" s="499">
        <f>15700+8000+7200</f>
        <v>30900</v>
      </c>
      <c r="F3264" s="263"/>
      <c r="G3264" s="275"/>
    </row>
    <row r="3265" spans="1:7" ht="17.45" customHeight="1">
      <c r="A3265" s="261" t="s">
        <v>8</v>
      </c>
      <c r="C3265" s="271" t="s">
        <v>2971</v>
      </c>
      <c r="D3265" s="497"/>
      <c r="E3265" s="499">
        <v>52200</v>
      </c>
      <c r="F3265" s="263"/>
      <c r="G3265" s="275"/>
    </row>
    <row r="3266" spans="1:7" ht="17.45" customHeight="1">
      <c r="A3266" s="261" t="s">
        <v>8</v>
      </c>
      <c r="C3266" s="271" t="s">
        <v>2979</v>
      </c>
      <c r="D3266" s="497"/>
      <c r="E3266" s="499">
        <v>45400</v>
      </c>
      <c r="F3266" s="263"/>
      <c r="G3266" s="275"/>
    </row>
    <row r="3267" spans="1:7" ht="17.45" customHeight="1">
      <c r="A3267" s="261" t="s">
        <v>8</v>
      </c>
      <c r="C3267" s="271" t="s">
        <v>2089</v>
      </c>
      <c r="D3267" s="497"/>
      <c r="E3267" s="499">
        <v>16000</v>
      </c>
      <c r="F3267" s="263"/>
      <c r="G3267" s="275"/>
    </row>
    <row r="3268" spans="1:7" ht="17.45" customHeight="1">
      <c r="A3268" s="261" t="s">
        <v>8</v>
      </c>
      <c r="C3268" s="271" t="s">
        <v>3357</v>
      </c>
      <c r="D3268" s="497"/>
      <c r="E3268" s="499">
        <v>3000</v>
      </c>
      <c r="F3268" s="263"/>
      <c r="G3268" s="275" t="s">
        <v>3335</v>
      </c>
    </row>
    <row r="3269" spans="1:7" ht="17.45" customHeight="1">
      <c r="A3269" s="261" t="s">
        <v>8</v>
      </c>
      <c r="C3269" s="271" t="s">
        <v>3358</v>
      </c>
      <c r="D3269" s="497"/>
      <c r="E3269" s="499">
        <v>45600</v>
      </c>
      <c r="F3269" s="263"/>
      <c r="G3269" s="275"/>
    </row>
    <row r="3270" spans="1:7" ht="17.45" customHeight="1">
      <c r="A3270" s="261" t="s">
        <v>8</v>
      </c>
      <c r="C3270" s="271" t="s">
        <v>3359</v>
      </c>
      <c r="D3270" s="497"/>
      <c r="E3270" s="499">
        <v>45600</v>
      </c>
      <c r="F3270" s="263"/>
      <c r="G3270" s="275"/>
    </row>
    <row r="3271" spans="1:7" ht="17.45" customHeight="1">
      <c r="A3271" s="261" t="s">
        <v>8</v>
      </c>
      <c r="C3271" s="271" t="s">
        <v>3360</v>
      </c>
      <c r="D3271" s="497"/>
      <c r="E3271" s="499">
        <v>50000</v>
      </c>
      <c r="F3271" s="263"/>
      <c r="G3271" s="275" t="s">
        <v>3361</v>
      </c>
    </row>
    <row r="3272" spans="1:7" ht="17.45" customHeight="1">
      <c r="A3272" s="261" t="s">
        <v>8</v>
      </c>
      <c r="C3272" s="271" t="s">
        <v>3362</v>
      </c>
      <c r="D3272" s="497"/>
      <c r="E3272" s="499">
        <v>236920</v>
      </c>
      <c r="F3272" s="263"/>
      <c r="G3272" s="275" t="s">
        <v>1620</v>
      </c>
    </row>
    <row r="3273" spans="1:7" ht="17.45" customHeight="1">
      <c r="A3273" s="261" t="s">
        <v>8</v>
      </c>
      <c r="C3273" s="271" t="s">
        <v>3363</v>
      </c>
      <c r="D3273" s="497"/>
      <c r="E3273" s="499">
        <v>200000</v>
      </c>
      <c r="F3273" s="263"/>
      <c r="G3273" s="275"/>
    </row>
    <row r="3274" spans="1:7" ht="17.45" customHeight="1">
      <c r="A3274" s="261" t="s">
        <v>8</v>
      </c>
      <c r="C3274" s="271" t="s">
        <v>3299</v>
      </c>
      <c r="D3274" s="497"/>
      <c r="E3274" s="499">
        <v>47000</v>
      </c>
      <c r="F3274" s="263"/>
      <c r="G3274" s="275"/>
    </row>
    <row r="3275" spans="1:7" ht="17.45" customHeight="1">
      <c r="A3275" s="261" t="s">
        <v>8</v>
      </c>
      <c r="C3275" s="271" t="s">
        <v>3364</v>
      </c>
      <c r="D3275" s="497"/>
      <c r="E3275" s="499">
        <f>2978+13509</f>
        <v>16487</v>
      </c>
      <c r="F3275" s="263"/>
      <c r="G3275" s="275" t="s">
        <v>3335</v>
      </c>
    </row>
    <row r="3276" spans="1:7" ht="17.45" customHeight="1">
      <c r="A3276" s="261" t="s">
        <v>8</v>
      </c>
      <c r="C3276" s="271" t="s">
        <v>3365</v>
      </c>
      <c r="D3276" s="497"/>
      <c r="E3276" s="499">
        <v>129200</v>
      </c>
      <c r="F3276" s="263"/>
      <c r="G3276" s="275"/>
    </row>
    <row r="3277" spans="1:7" ht="17.45" customHeight="1">
      <c r="A3277" s="261" t="s">
        <v>8</v>
      </c>
      <c r="C3277" s="271" t="s">
        <v>3366</v>
      </c>
      <c r="D3277" s="497"/>
      <c r="E3277" s="499">
        <v>10000</v>
      </c>
      <c r="F3277" s="263"/>
      <c r="G3277" s="275"/>
    </row>
    <row r="3278" spans="1:7" ht="17.45" customHeight="1">
      <c r="A3278" s="261" t="s">
        <v>8</v>
      </c>
      <c r="C3278" s="271" t="s">
        <v>3368</v>
      </c>
      <c r="D3278" s="497"/>
      <c r="E3278" s="499">
        <v>17600</v>
      </c>
      <c r="F3278" s="263"/>
      <c r="G3278" s="275"/>
    </row>
    <row r="3279" spans="1:7" ht="17.45" customHeight="1">
      <c r="A3279" s="261" t="s">
        <v>8</v>
      </c>
      <c r="C3279" s="271" t="s">
        <v>3369</v>
      </c>
      <c r="D3279" s="497"/>
      <c r="E3279" s="499">
        <v>-2800</v>
      </c>
      <c r="F3279" s="263"/>
      <c r="G3279" s="275"/>
    </row>
    <row r="3280" spans="1:7" ht="17.45" customHeight="1">
      <c r="A3280" s="261" t="s">
        <v>8</v>
      </c>
      <c r="C3280" s="271" t="s">
        <v>3370</v>
      </c>
      <c r="D3280" s="497"/>
      <c r="E3280" s="499">
        <v>27000</v>
      </c>
      <c r="F3280" s="263"/>
      <c r="G3280" s="275"/>
    </row>
    <row r="3281" spans="1:7" ht="17.45" customHeight="1">
      <c r="A3281" s="261" t="s">
        <v>8</v>
      </c>
      <c r="C3281" s="271" t="s">
        <v>3371</v>
      </c>
      <c r="D3281" s="497"/>
      <c r="E3281" s="499">
        <v>17000</v>
      </c>
      <c r="F3281" s="263"/>
      <c r="G3281" s="275"/>
    </row>
    <row r="3282" spans="1:7" ht="17.45" customHeight="1" thickBot="1">
      <c r="A3282" s="261" t="s">
        <v>8</v>
      </c>
      <c r="C3282" s="276" t="s">
        <v>1300</v>
      </c>
      <c r="D3282" s="502">
        <f>SUM(D3201:D3281)-SUM(E3201:E3281)</f>
        <v>1732832</v>
      </c>
      <c r="E3282" s="502">
        <f>SUM(E3201:E3281)-SUM(F3201:F3281)</f>
        <v>5792333</v>
      </c>
      <c r="F3282" s="277"/>
      <c r="G3282" s="283"/>
    </row>
    <row r="3284" spans="1:7" ht="12.75" thickBot="1"/>
    <row r="3285" spans="1:7" ht="17.45" customHeight="1">
      <c r="A3285" s="261" t="s">
        <v>8</v>
      </c>
      <c r="B3285" s="256" t="s">
        <v>3372</v>
      </c>
      <c r="C3285" s="268" t="s">
        <v>1268</v>
      </c>
      <c r="D3285" s="500">
        <v>6544037</v>
      </c>
      <c r="E3285" s="501"/>
      <c r="F3285" s="269"/>
      <c r="G3285" s="270"/>
    </row>
    <row r="3286" spans="1:7" ht="17.45" customHeight="1">
      <c r="A3286" s="261" t="s">
        <v>8</v>
      </c>
      <c r="B3286" s="257"/>
      <c r="C3286" s="271" t="s">
        <v>2722</v>
      </c>
      <c r="D3286" s="497"/>
      <c r="E3286" s="497"/>
      <c r="F3286" s="263"/>
      <c r="G3286" s="272"/>
    </row>
    <row r="3287" spans="1:7" ht="17.45" customHeight="1">
      <c r="A3287" s="261" t="s">
        <v>8</v>
      </c>
      <c r="B3287" s="257"/>
      <c r="C3287" s="271" t="s">
        <v>3047</v>
      </c>
      <c r="D3287" s="497"/>
      <c r="E3287" s="497"/>
      <c r="F3287" s="263"/>
      <c r="G3287" s="272"/>
    </row>
    <row r="3288" spans="1:7" ht="17.45" customHeight="1">
      <c r="A3288" s="261" t="s">
        <v>8</v>
      </c>
      <c r="B3288" s="257"/>
      <c r="C3288" s="271" t="s">
        <v>1269</v>
      </c>
      <c r="D3288" s="497"/>
      <c r="E3288" s="499">
        <v>394000</v>
      </c>
      <c r="F3288" s="263"/>
      <c r="G3288" s="272" t="s">
        <v>3331</v>
      </c>
    </row>
    <row r="3289" spans="1:7" ht="17.45" customHeight="1">
      <c r="A3289" s="261" t="s">
        <v>8</v>
      </c>
      <c r="C3289" s="271" t="s">
        <v>1270</v>
      </c>
      <c r="D3289" s="497"/>
      <c r="E3289" s="499">
        <v>850000</v>
      </c>
      <c r="F3289" s="263"/>
      <c r="G3289" s="273" t="s">
        <v>2740</v>
      </c>
    </row>
    <row r="3290" spans="1:7" ht="17.45" customHeight="1">
      <c r="A3290" s="261" t="s">
        <v>8</v>
      </c>
      <c r="C3290" s="271" t="s">
        <v>1670</v>
      </c>
      <c r="D3290" s="497"/>
      <c r="E3290" s="497"/>
      <c r="F3290" s="263"/>
      <c r="G3290" s="274"/>
    </row>
    <row r="3291" spans="1:7" ht="17.45" customHeight="1">
      <c r="A3291" s="261" t="s">
        <v>8</v>
      </c>
      <c r="C3291" s="271" t="s">
        <v>1672</v>
      </c>
      <c r="D3291" s="497"/>
      <c r="E3291" s="499">
        <v>69998</v>
      </c>
      <c r="F3291" s="263"/>
      <c r="G3291" s="273" t="s">
        <v>2732</v>
      </c>
    </row>
    <row r="3292" spans="1:7" ht="17.45" customHeight="1">
      <c r="A3292" s="261" t="s">
        <v>8</v>
      </c>
      <c r="C3292" s="271" t="s">
        <v>1673</v>
      </c>
      <c r="D3292" s="497"/>
      <c r="E3292" s="497"/>
      <c r="F3292" s="263"/>
      <c r="G3292" s="274"/>
    </row>
    <row r="3293" spans="1:7" ht="17.45" customHeight="1">
      <c r="A3293" s="261" t="s">
        <v>8</v>
      </c>
      <c r="C3293" s="271" t="s">
        <v>1332</v>
      </c>
      <c r="D3293" s="497"/>
      <c r="E3293" s="499">
        <v>34650</v>
      </c>
      <c r="F3293" s="263"/>
      <c r="G3293" s="275"/>
    </row>
    <row r="3294" spans="1:7" ht="17.45" customHeight="1">
      <c r="A3294" s="261" t="s">
        <v>8</v>
      </c>
      <c r="C3294" s="271" t="s">
        <v>1271</v>
      </c>
      <c r="D3294" s="497"/>
      <c r="E3294" s="497"/>
      <c r="F3294" s="263"/>
      <c r="G3294" s="274"/>
    </row>
    <row r="3295" spans="1:7" ht="17.45" customHeight="1">
      <c r="A3295" s="261" t="s">
        <v>8</v>
      </c>
      <c r="C3295" s="271" t="s">
        <v>1272</v>
      </c>
      <c r="D3295" s="497"/>
      <c r="E3295" s="497"/>
      <c r="F3295" s="263"/>
      <c r="G3295" s="273"/>
    </row>
    <row r="3296" spans="1:7" ht="17.45" customHeight="1">
      <c r="A3296" s="261" t="s">
        <v>8</v>
      </c>
      <c r="C3296" s="271" t="s">
        <v>3009</v>
      </c>
      <c r="D3296" s="497"/>
      <c r="E3296" s="499">
        <v>20763</v>
      </c>
      <c r="F3296" s="263"/>
      <c r="G3296" s="273" t="s">
        <v>2732</v>
      </c>
    </row>
    <row r="3297" spans="1:7" ht="17.45" customHeight="1">
      <c r="A3297" s="261" t="s">
        <v>8</v>
      </c>
      <c r="C3297" s="271" t="s">
        <v>3010</v>
      </c>
      <c r="D3297" s="497"/>
      <c r="E3297" s="499">
        <v>900</v>
      </c>
      <c r="F3297" s="263"/>
      <c r="G3297" s="273"/>
    </row>
    <row r="3298" spans="1:7" ht="17.45" customHeight="1">
      <c r="A3298" s="261" t="s">
        <v>8</v>
      </c>
      <c r="C3298" s="271" t="s">
        <v>1273</v>
      </c>
      <c r="D3298" s="497"/>
      <c r="E3298" s="499">
        <v>29920</v>
      </c>
      <c r="F3298" s="263"/>
      <c r="G3298" s="273" t="s">
        <v>2732</v>
      </c>
    </row>
    <row r="3299" spans="1:7" ht="17.45" customHeight="1">
      <c r="A3299" s="261" t="s">
        <v>8</v>
      </c>
      <c r="C3299" s="271" t="s">
        <v>1274</v>
      </c>
      <c r="D3299" s="497"/>
      <c r="E3299" s="499">
        <v>3757</v>
      </c>
      <c r="F3299" s="263"/>
      <c r="G3299" s="273"/>
    </row>
    <row r="3300" spans="1:7" ht="17.45" customHeight="1">
      <c r="A3300" s="261" t="s">
        <v>8</v>
      </c>
      <c r="C3300" s="271" t="s">
        <v>2168</v>
      </c>
      <c r="D3300" s="497"/>
      <c r="E3300" s="499">
        <v>18816</v>
      </c>
      <c r="F3300" s="263"/>
      <c r="G3300" s="273" t="s">
        <v>2732</v>
      </c>
    </row>
    <row r="3301" spans="1:7" ht="17.45" customHeight="1">
      <c r="A3301" s="261" t="s">
        <v>8</v>
      </c>
      <c r="C3301" s="271" t="s">
        <v>1517</v>
      </c>
      <c r="D3301" s="497"/>
      <c r="E3301" s="499">
        <v>23230</v>
      </c>
      <c r="F3301" s="263"/>
      <c r="G3301" s="273" t="s">
        <v>2732</v>
      </c>
    </row>
    <row r="3302" spans="1:7" ht="17.45" customHeight="1">
      <c r="A3302" s="261" t="s">
        <v>8</v>
      </c>
      <c r="C3302" s="271" t="s">
        <v>1276</v>
      </c>
      <c r="D3302" s="497"/>
      <c r="E3302" s="499">
        <v>441650</v>
      </c>
      <c r="F3302" s="263"/>
      <c r="G3302" s="273" t="s">
        <v>2732</v>
      </c>
    </row>
    <row r="3303" spans="1:7" ht="17.45" customHeight="1">
      <c r="A3303" s="261" t="s">
        <v>8</v>
      </c>
      <c r="C3303" s="271" t="s">
        <v>1277</v>
      </c>
      <c r="D3303" s="497"/>
      <c r="E3303" s="499">
        <v>25182</v>
      </c>
      <c r="F3303" s="263"/>
      <c r="G3303" s="273" t="s">
        <v>2732</v>
      </c>
    </row>
    <row r="3304" spans="1:7" ht="17.45" customHeight="1">
      <c r="A3304" s="261" t="s">
        <v>8</v>
      </c>
      <c r="C3304" s="271" t="s">
        <v>1278</v>
      </c>
      <c r="D3304" s="497"/>
      <c r="E3304" s="499">
        <v>200000</v>
      </c>
      <c r="F3304" s="263"/>
      <c r="G3304" s="273"/>
    </row>
    <row r="3305" spans="1:7" ht="17.45" customHeight="1">
      <c r="A3305" s="261" t="s">
        <v>8</v>
      </c>
      <c r="C3305" s="285" t="s">
        <v>1413</v>
      </c>
      <c r="D3305" s="506"/>
      <c r="E3305" s="507">
        <f>1500000</f>
        <v>1500000</v>
      </c>
      <c r="F3305" s="286"/>
      <c r="G3305" s="287"/>
    </row>
    <row r="3306" spans="1:7" ht="17.25" customHeight="1">
      <c r="A3306" s="261" t="s">
        <v>8</v>
      </c>
      <c r="C3306" s="338" t="s">
        <v>2661</v>
      </c>
      <c r="D3306" s="497"/>
      <c r="E3306" s="497"/>
      <c r="F3306" s="263"/>
      <c r="G3306" s="275"/>
    </row>
    <row r="3307" spans="1:7" ht="17.45" customHeight="1">
      <c r="A3307" s="261" t="s">
        <v>8</v>
      </c>
      <c r="C3307" s="339" t="s">
        <v>3248</v>
      </c>
      <c r="D3307" s="506"/>
      <c r="E3307" s="507">
        <f>5000000+1000000</f>
        <v>6000000</v>
      </c>
      <c r="F3307" s="286"/>
      <c r="G3307" s="290"/>
    </row>
    <row r="3308" spans="1:7" ht="17.45" customHeight="1">
      <c r="A3308" s="261" t="s">
        <v>8</v>
      </c>
      <c r="C3308" s="339" t="s">
        <v>2647</v>
      </c>
      <c r="D3308" s="506"/>
      <c r="E3308" s="506"/>
      <c r="F3308" s="286"/>
      <c r="G3308" s="290"/>
    </row>
    <row r="3309" spans="1:7" ht="17.45" customHeight="1" thickBot="1">
      <c r="A3309" s="261" t="s">
        <v>8</v>
      </c>
      <c r="C3309" s="285" t="s">
        <v>1942</v>
      </c>
      <c r="D3309" s="506"/>
      <c r="E3309" s="507">
        <v>20000</v>
      </c>
      <c r="F3309" s="286"/>
      <c r="G3309" s="290"/>
    </row>
    <row r="3310" spans="1:7" ht="17.45" customHeight="1">
      <c r="A3310" s="261" t="s">
        <v>8</v>
      </c>
      <c r="C3310" s="268" t="s">
        <v>1280</v>
      </c>
      <c r="D3310" s="501"/>
      <c r="E3310" s="500">
        <f>50000+50000</f>
        <v>100000</v>
      </c>
      <c r="F3310" s="269"/>
      <c r="G3310" s="288"/>
    </row>
    <row r="3311" spans="1:7" ht="17.45" customHeight="1">
      <c r="A3311" s="261" t="s">
        <v>8</v>
      </c>
      <c r="C3311" s="271" t="s">
        <v>1549</v>
      </c>
      <c r="D3311" s="497"/>
      <c r="E3311" s="497"/>
      <c r="F3311" s="263"/>
      <c r="G3311" s="275"/>
    </row>
    <row r="3312" spans="1:7" ht="17.45" customHeight="1">
      <c r="A3312" s="261" t="s">
        <v>8</v>
      </c>
      <c r="C3312" s="271" t="s">
        <v>1819</v>
      </c>
      <c r="D3312" s="497"/>
      <c r="E3312" s="497"/>
      <c r="F3312" s="263"/>
      <c r="G3312" s="275"/>
    </row>
    <row r="3313" spans="1:7" ht="17.45" customHeight="1">
      <c r="A3313" s="261" t="s">
        <v>8</v>
      </c>
      <c r="C3313" s="271" t="s">
        <v>391</v>
      </c>
      <c r="D3313" s="497"/>
      <c r="E3313" s="497"/>
      <c r="F3313" s="263"/>
      <c r="G3313" s="275"/>
    </row>
    <row r="3314" spans="1:7" ht="17.45" customHeight="1">
      <c r="A3314" s="261" t="s">
        <v>8</v>
      </c>
      <c r="C3314" s="271" t="s">
        <v>1934</v>
      </c>
      <c r="D3314" s="497"/>
      <c r="E3314" s="497"/>
      <c r="F3314" s="263"/>
      <c r="G3314" s="275"/>
    </row>
    <row r="3315" spans="1:7" ht="17.25" customHeight="1">
      <c r="A3315" s="261" t="s">
        <v>8</v>
      </c>
      <c r="C3315" s="271" t="s">
        <v>2202</v>
      </c>
      <c r="D3315" s="497"/>
      <c r="E3315" s="497"/>
      <c r="F3315" s="263"/>
      <c r="G3315" s="275"/>
    </row>
    <row r="3316" spans="1:7" ht="17.45" customHeight="1">
      <c r="A3316" s="261" t="s">
        <v>8</v>
      </c>
      <c r="C3316" s="271" t="s">
        <v>2654</v>
      </c>
      <c r="D3316" s="497"/>
      <c r="E3316" s="497"/>
      <c r="F3316" s="263"/>
      <c r="G3316" s="275"/>
    </row>
    <row r="3317" spans="1:7" ht="17.45" customHeight="1">
      <c r="A3317" s="261" t="s">
        <v>8</v>
      </c>
      <c r="C3317" s="271" t="s">
        <v>2097</v>
      </c>
      <c r="D3317" s="497"/>
      <c r="E3317" s="497"/>
      <c r="F3317" s="263"/>
      <c r="G3317" s="275"/>
    </row>
    <row r="3318" spans="1:7" ht="17.45" customHeight="1">
      <c r="A3318" s="261" t="s">
        <v>8</v>
      </c>
      <c r="C3318" s="271" t="s">
        <v>1687</v>
      </c>
      <c r="D3318" s="497"/>
      <c r="E3318" s="497"/>
      <c r="F3318" s="263"/>
      <c r="G3318" s="275"/>
    </row>
    <row r="3319" spans="1:7" ht="17.45" customHeight="1">
      <c r="A3319" s="261" t="s">
        <v>8</v>
      </c>
      <c r="C3319" s="271" t="s">
        <v>1688</v>
      </c>
      <c r="D3319" s="497"/>
      <c r="E3319" s="499">
        <v>55000</v>
      </c>
      <c r="F3319" s="263"/>
      <c r="G3319" s="275"/>
    </row>
    <row r="3320" spans="1:7" ht="17.45" customHeight="1">
      <c r="A3320" s="261" t="s">
        <v>8</v>
      </c>
      <c r="C3320" s="271" t="s">
        <v>1602</v>
      </c>
      <c r="D3320" s="497"/>
      <c r="E3320" s="497"/>
      <c r="F3320" s="263"/>
      <c r="G3320" s="275"/>
    </row>
    <row r="3321" spans="1:7" ht="17.45" customHeight="1">
      <c r="A3321" s="261" t="s">
        <v>8</v>
      </c>
      <c r="C3321" s="271" t="s">
        <v>1596</v>
      </c>
      <c r="D3321" s="497"/>
      <c r="E3321" s="499">
        <v>1000</v>
      </c>
      <c r="F3321" s="263"/>
      <c r="G3321" s="275"/>
    </row>
    <row r="3322" spans="1:7" ht="17.45" customHeight="1">
      <c r="A3322" s="261" t="s">
        <v>8</v>
      </c>
      <c r="C3322" s="271" t="s">
        <v>1595</v>
      </c>
      <c r="D3322" s="497"/>
      <c r="E3322" s="499">
        <v>2500</v>
      </c>
      <c r="F3322" s="263"/>
      <c r="G3322" s="275"/>
    </row>
    <row r="3323" spans="1:7" ht="17.45" customHeight="1">
      <c r="A3323" s="261" t="s">
        <v>8</v>
      </c>
      <c r="C3323" s="271" t="s">
        <v>2822</v>
      </c>
      <c r="D3323" s="497"/>
      <c r="E3323" s="499">
        <v>4700</v>
      </c>
      <c r="F3323" s="263"/>
      <c r="G3323" s="275"/>
    </row>
    <row r="3324" spans="1:7" ht="17.45" customHeight="1">
      <c r="A3324" s="261" t="s">
        <v>8</v>
      </c>
      <c r="C3324" s="271" t="s">
        <v>2821</v>
      </c>
      <c r="D3324" s="497"/>
      <c r="E3324" s="499">
        <v>900</v>
      </c>
      <c r="F3324" s="263"/>
      <c r="G3324" s="273" t="s">
        <v>3373</v>
      </c>
    </row>
    <row r="3325" spans="1:7" ht="17.45" customHeight="1">
      <c r="A3325" s="261" t="s">
        <v>8</v>
      </c>
      <c r="C3325" s="271" t="s">
        <v>1689</v>
      </c>
      <c r="D3325" s="497"/>
      <c r="E3325" s="497"/>
      <c r="F3325" s="263"/>
      <c r="G3325" s="275"/>
    </row>
    <row r="3326" spans="1:7" ht="17.45" customHeight="1">
      <c r="A3326" s="261" t="s">
        <v>8</v>
      </c>
      <c r="C3326" s="271" t="s">
        <v>1569</v>
      </c>
      <c r="D3326" s="497"/>
      <c r="E3326" s="497"/>
      <c r="F3326" s="263"/>
      <c r="G3326" s="275"/>
    </row>
    <row r="3327" spans="1:7" ht="17.45" customHeight="1">
      <c r="A3327" s="261" t="s">
        <v>8</v>
      </c>
      <c r="C3327" s="271" t="s">
        <v>1618</v>
      </c>
      <c r="D3327" s="497"/>
      <c r="E3327" s="499">
        <f>81650+5580+35340+5580</f>
        <v>128150</v>
      </c>
      <c r="F3327" s="263"/>
      <c r="G3327" s="275"/>
    </row>
    <row r="3328" spans="1:7" ht="17.45" customHeight="1">
      <c r="A3328" s="261" t="s">
        <v>8</v>
      </c>
      <c r="C3328" s="271" t="s">
        <v>2810</v>
      </c>
      <c r="D3328" s="497"/>
      <c r="E3328" s="499">
        <v>38000</v>
      </c>
      <c r="F3328" s="263"/>
      <c r="G3328" s="275"/>
    </row>
    <row r="3329" spans="1:7" ht="17.45" customHeight="1" thickBot="1">
      <c r="A3329" s="261" t="s">
        <v>8</v>
      </c>
      <c r="C3329" s="276" t="s">
        <v>2699</v>
      </c>
      <c r="D3329" s="502"/>
      <c r="E3329" s="503">
        <f>12900+40200+25600</f>
        <v>78700</v>
      </c>
      <c r="F3329" s="277"/>
      <c r="G3329" s="282"/>
    </row>
    <row r="3330" spans="1:7" ht="17.45" customHeight="1">
      <c r="A3330" s="261" t="s">
        <v>8</v>
      </c>
      <c r="C3330" s="279" t="s">
        <v>3374</v>
      </c>
      <c r="D3330" s="504"/>
      <c r="E3330" s="505">
        <v>31000</v>
      </c>
      <c r="F3330" s="280"/>
      <c r="G3330" s="281"/>
    </row>
    <row r="3331" spans="1:7" ht="17.45" customHeight="1">
      <c r="A3331" s="261" t="s">
        <v>8</v>
      </c>
      <c r="C3331" s="284" t="s">
        <v>3375</v>
      </c>
      <c r="D3331" s="497"/>
      <c r="E3331" s="499">
        <v>4500</v>
      </c>
      <c r="F3331" s="263"/>
      <c r="G3331" s="275"/>
    </row>
    <row r="3332" spans="1:7" ht="17.45" customHeight="1">
      <c r="A3332" s="261" t="s">
        <v>8</v>
      </c>
      <c r="C3332" s="271" t="s">
        <v>3376</v>
      </c>
      <c r="D3332" s="497"/>
      <c r="E3332" s="499">
        <v>29400</v>
      </c>
      <c r="F3332" s="263"/>
      <c r="G3332" s="275"/>
    </row>
    <row r="3333" spans="1:7" ht="17.45" customHeight="1">
      <c r="A3333" s="261" t="s">
        <v>8</v>
      </c>
      <c r="C3333" s="271" t="s">
        <v>3364</v>
      </c>
      <c r="D3333" s="497"/>
      <c r="E3333" s="499">
        <v>42657</v>
      </c>
      <c r="F3333" s="263"/>
      <c r="G3333" s="275" t="s">
        <v>3335</v>
      </c>
    </row>
    <row r="3334" spans="1:7" ht="17.45" customHeight="1">
      <c r="A3334" s="261" t="s">
        <v>8</v>
      </c>
      <c r="C3334" s="271" t="s">
        <v>3377</v>
      </c>
      <c r="D3334" s="497"/>
      <c r="E3334" s="499">
        <f>9900+9900+9800</f>
        <v>29600</v>
      </c>
      <c r="F3334" s="263"/>
      <c r="G3334" s="275"/>
    </row>
    <row r="3335" spans="1:7" ht="17.45" customHeight="1">
      <c r="A3335" s="261" t="s">
        <v>8</v>
      </c>
      <c r="C3335" s="271" t="s">
        <v>3378</v>
      </c>
      <c r="D3335" s="497"/>
      <c r="E3335" s="499">
        <v>11100</v>
      </c>
      <c r="F3335" s="263"/>
      <c r="G3335" s="275"/>
    </row>
    <row r="3336" spans="1:7" ht="17.45" customHeight="1">
      <c r="A3336" s="261" t="s">
        <v>8</v>
      </c>
      <c r="C3336" s="271" t="s">
        <v>3379</v>
      </c>
      <c r="D3336" s="497"/>
      <c r="E3336" s="499">
        <v>3500</v>
      </c>
      <c r="F3336" s="263"/>
      <c r="G3336" s="275"/>
    </row>
    <row r="3337" spans="1:7" ht="17.45" customHeight="1">
      <c r="A3337" s="261" t="s">
        <v>8</v>
      </c>
      <c r="C3337" s="271" t="s">
        <v>3380</v>
      </c>
      <c r="D3337" s="497"/>
      <c r="E3337" s="499">
        <f>11000</f>
        <v>11000</v>
      </c>
      <c r="F3337" s="263"/>
      <c r="G3337" s="275"/>
    </row>
    <row r="3338" spans="1:7" ht="17.45" customHeight="1">
      <c r="A3338" s="261" t="s">
        <v>8</v>
      </c>
      <c r="C3338" s="271" t="s">
        <v>3381</v>
      </c>
      <c r="D3338" s="497"/>
      <c r="E3338" s="499">
        <f>3100</f>
        <v>3100</v>
      </c>
      <c r="F3338" s="263"/>
      <c r="G3338" s="275"/>
    </row>
    <row r="3339" spans="1:7" ht="17.45" customHeight="1">
      <c r="A3339" s="261" t="s">
        <v>8</v>
      </c>
      <c r="C3339" s="284" t="s">
        <v>3382</v>
      </c>
      <c r="D3339" s="497"/>
      <c r="E3339" s="499">
        <v>4500</v>
      </c>
      <c r="F3339" s="263"/>
      <c r="G3339" s="275"/>
    </row>
    <row r="3340" spans="1:7" ht="17.45" customHeight="1">
      <c r="A3340" s="261" t="s">
        <v>8</v>
      </c>
      <c r="C3340" s="271" t="s">
        <v>3383</v>
      </c>
      <c r="D3340" s="497"/>
      <c r="E3340" s="499">
        <v>197400</v>
      </c>
      <c r="F3340" s="263"/>
      <c r="G3340" s="275" t="s">
        <v>3384</v>
      </c>
    </row>
    <row r="3341" spans="1:7" ht="17.45" customHeight="1">
      <c r="A3341" s="261" t="s">
        <v>8</v>
      </c>
      <c r="C3341" s="271" t="s">
        <v>3385</v>
      </c>
      <c r="D3341" s="497"/>
      <c r="E3341" s="499">
        <v>10000</v>
      </c>
      <c r="F3341" s="263"/>
      <c r="G3341" s="275"/>
    </row>
    <row r="3342" spans="1:7" ht="17.45" customHeight="1">
      <c r="A3342" s="261" t="s">
        <v>8</v>
      </c>
      <c r="C3342" s="271" t="s">
        <v>3386</v>
      </c>
      <c r="D3342" s="497"/>
      <c r="E3342" s="499">
        <v>34700</v>
      </c>
      <c r="F3342" s="263"/>
      <c r="G3342" s="275"/>
    </row>
    <row r="3343" spans="1:7" ht="17.45" customHeight="1">
      <c r="A3343" s="261" t="s">
        <v>8</v>
      </c>
      <c r="C3343" s="284" t="s">
        <v>3387</v>
      </c>
      <c r="D3343" s="497"/>
      <c r="E3343" s="499">
        <f>12800+2600+2200+1800</f>
        <v>19400</v>
      </c>
      <c r="F3343" s="263"/>
      <c r="G3343" s="275"/>
    </row>
    <row r="3344" spans="1:7" ht="17.45" customHeight="1">
      <c r="A3344" s="261" t="s">
        <v>8</v>
      </c>
      <c r="C3344" s="271" t="s">
        <v>3389</v>
      </c>
      <c r="D3344" s="497"/>
      <c r="E3344" s="499">
        <f>72510-4700</f>
        <v>67810</v>
      </c>
      <c r="F3344" s="263"/>
      <c r="G3344" s="275" t="s">
        <v>3384</v>
      </c>
    </row>
    <row r="3345" spans="1:7" ht="17.45" customHeight="1">
      <c r="A3345" s="261" t="s">
        <v>8</v>
      </c>
      <c r="C3345" s="271" t="s">
        <v>3388</v>
      </c>
      <c r="D3345" s="497"/>
      <c r="E3345" s="499">
        <v>84800</v>
      </c>
      <c r="F3345" s="263"/>
      <c r="G3345" s="275" t="s">
        <v>3384</v>
      </c>
    </row>
    <row r="3346" spans="1:7" ht="17.45" customHeight="1">
      <c r="A3346" s="261" t="s">
        <v>8</v>
      </c>
      <c r="C3346" s="271" t="s">
        <v>3390</v>
      </c>
      <c r="D3346" s="497"/>
      <c r="E3346" s="499">
        <f>421400-348400</f>
        <v>73000</v>
      </c>
      <c r="F3346" s="263"/>
      <c r="G3346" s="275" t="s">
        <v>3384</v>
      </c>
    </row>
    <row r="3347" spans="1:7" ht="17.45" customHeight="1">
      <c r="A3347" s="261" t="s">
        <v>8</v>
      </c>
      <c r="C3347" s="271" t="s">
        <v>3391</v>
      </c>
      <c r="D3347" s="497"/>
      <c r="E3347" s="499">
        <v>348400</v>
      </c>
      <c r="F3347" s="263"/>
      <c r="G3347" s="275" t="s">
        <v>3384</v>
      </c>
    </row>
    <row r="3348" spans="1:7" ht="17.45" customHeight="1">
      <c r="A3348" s="261" t="s">
        <v>8</v>
      </c>
      <c r="C3348" s="271" t="s">
        <v>3392</v>
      </c>
      <c r="D3348" s="497"/>
      <c r="E3348" s="499">
        <v>19000</v>
      </c>
      <c r="F3348" s="263"/>
      <c r="G3348" s="275"/>
    </row>
    <row r="3349" spans="1:7" ht="17.45" customHeight="1">
      <c r="A3349" s="261" t="s">
        <v>8</v>
      </c>
      <c r="C3349" s="271" t="s">
        <v>3393</v>
      </c>
      <c r="D3349" s="497"/>
      <c r="E3349" s="499">
        <v>31000</v>
      </c>
      <c r="F3349" s="263"/>
      <c r="G3349" s="275"/>
    </row>
    <row r="3350" spans="1:7" ht="17.45" customHeight="1">
      <c r="A3350" s="261" t="s">
        <v>8</v>
      </c>
      <c r="C3350" s="271" t="s">
        <v>3394</v>
      </c>
      <c r="D3350" s="497"/>
      <c r="E3350" s="499">
        <v>3900</v>
      </c>
      <c r="F3350" s="263"/>
      <c r="G3350" s="275"/>
    </row>
    <row r="3351" spans="1:7" ht="17.45" customHeight="1">
      <c r="A3351" s="261" t="s">
        <v>8</v>
      </c>
      <c r="C3351" s="271" t="s">
        <v>3395</v>
      </c>
      <c r="D3351" s="497"/>
      <c r="E3351" s="499">
        <v>11800</v>
      </c>
      <c r="F3351" s="263"/>
      <c r="G3351" s="275"/>
    </row>
    <row r="3352" spans="1:7" ht="17.45" customHeight="1">
      <c r="A3352" s="261" t="s">
        <v>8</v>
      </c>
      <c r="C3352" s="271" t="s">
        <v>3396</v>
      </c>
      <c r="D3352" s="497"/>
      <c r="E3352" s="499">
        <v>49000</v>
      </c>
      <c r="F3352" s="263"/>
      <c r="G3352" s="275"/>
    </row>
    <row r="3353" spans="1:7" ht="17.45" customHeight="1">
      <c r="A3353" s="261" t="s">
        <v>8</v>
      </c>
      <c r="C3353" s="271" t="s">
        <v>3397</v>
      </c>
      <c r="D3353" s="497"/>
      <c r="E3353" s="499">
        <v>687280</v>
      </c>
      <c r="F3353" s="263"/>
      <c r="G3353" s="275"/>
    </row>
    <row r="3354" spans="1:7" ht="17.45" customHeight="1">
      <c r="A3354" s="261" t="s">
        <v>8</v>
      </c>
      <c r="C3354" s="271" t="s">
        <v>3398</v>
      </c>
      <c r="D3354" s="497"/>
      <c r="E3354" s="499">
        <v>251780</v>
      </c>
      <c r="F3354" s="263"/>
      <c r="G3354" s="275"/>
    </row>
    <row r="3355" spans="1:7" ht="17.45" customHeight="1">
      <c r="A3355" s="261" t="s">
        <v>8</v>
      </c>
      <c r="C3355" s="271" t="s">
        <v>3399</v>
      </c>
      <c r="D3355" s="497"/>
      <c r="E3355" s="499">
        <v>188100</v>
      </c>
      <c r="F3355" s="263"/>
      <c r="G3355" s="275" t="s">
        <v>3400</v>
      </c>
    </row>
    <row r="3356" spans="1:7" ht="17.45" customHeight="1">
      <c r="A3356" s="261" t="s">
        <v>8</v>
      </c>
      <c r="C3356" s="271" t="s">
        <v>3401</v>
      </c>
      <c r="D3356" s="497"/>
      <c r="E3356" s="499">
        <v>1000</v>
      </c>
      <c r="F3356" s="263"/>
      <c r="G3356" s="275"/>
    </row>
    <row r="3357" spans="1:7" ht="17.45" customHeight="1">
      <c r="A3357" s="261" t="s">
        <v>8</v>
      </c>
      <c r="C3357" s="271" t="s">
        <v>3402</v>
      </c>
      <c r="D3357" s="497"/>
      <c r="E3357" s="499">
        <v>100000</v>
      </c>
      <c r="F3357" s="263"/>
      <c r="G3357" s="275"/>
    </row>
    <row r="3358" spans="1:7" ht="17.45" customHeight="1">
      <c r="A3358" s="261" t="s">
        <v>8</v>
      </c>
      <c r="C3358" s="271" t="s">
        <v>3403</v>
      </c>
      <c r="D3358" s="497"/>
      <c r="E3358" s="499">
        <v>62870</v>
      </c>
      <c r="F3358" s="263"/>
      <c r="G3358" s="275"/>
    </row>
    <row r="3359" spans="1:7" ht="17.45" customHeight="1">
      <c r="A3359" s="261" t="s">
        <v>8</v>
      </c>
      <c r="C3359" s="271" t="s">
        <v>3404</v>
      </c>
      <c r="D3359" s="497"/>
      <c r="E3359" s="499">
        <v>133750</v>
      </c>
      <c r="F3359" s="263"/>
      <c r="G3359" s="275"/>
    </row>
    <row r="3360" spans="1:7" ht="17.45" customHeight="1">
      <c r="A3360" s="261" t="s">
        <v>8</v>
      </c>
      <c r="C3360" s="271" t="s">
        <v>3405</v>
      </c>
      <c r="D3360" s="497"/>
      <c r="E3360" s="499">
        <v>142270</v>
      </c>
      <c r="F3360" s="263"/>
      <c r="G3360" s="275"/>
    </row>
    <row r="3361" spans="1:7" ht="17.45" customHeight="1">
      <c r="A3361" s="261" t="s">
        <v>8</v>
      </c>
      <c r="C3361" s="271" t="s">
        <v>3406</v>
      </c>
      <c r="D3361" s="497"/>
      <c r="E3361" s="499">
        <v>9000</v>
      </c>
      <c r="F3361" s="263"/>
      <c r="G3361" s="275"/>
    </row>
    <row r="3362" spans="1:7" ht="17.45" customHeight="1">
      <c r="A3362" s="261" t="s">
        <v>8</v>
      </c>
      <c r="C3362" s="271" t="s">
        <v>3407</v>
      </c>
      <c r="D3362" s="497"/>
      <c r="E3362" s="499">
        <v>12000</v>
      </c>
      <c r="F3362" s="263"/>
      <c r="G3362" s="275"/>
    </row>
    <row r="3363" spans="1:7" ht="17.45" customHeight="1">
      <c r="A3363" s="261" t="s">
        <v>8</v>
      </c>
      <c r="C3363" s="271" t="s">
        <v>3408</v>
      </c>
      <c r="D3363" s="497"/>
      <c r="E3363" s="499">
        <v>5000</v>
      </c>
      <c r="F3363" s="263"/>
      <c r="G3363" s="275"/>
    </row>
    <row r="3364" spans="1:7" ht="17.45" customHeight="1">
      <c r="A3364" s="261" t="s">
        <v>8</v>
      </c>
      <c r="C3364" s="271" t="s">
        <v>3409</v>
      </c>
      <c r="D3364" s="497"/>
      <c r="E3364" s="499">
        <v>59650</v>
      </c>
      <c r="F3364" s="263"/>
      <c r="G3364" s="275"/>
    </row>
    <row r="3365" spans="1:7" ht="17.45" customHeight="1">
      <c r="A3365" s="261" t="s">
        <v>8</v>
      </c>
      <c r="C3365" s="271" t="s">
        <v>3410</v>
      </c>
      <c r="D3365" s="497"/>
      <c r="E3365" s="499">
        <f>10000+28000</f>
        <v>38000</v>
      </c>
      <c r="F3365" s="263"/>
      <c r="G3365" s="275"/>
    </row>
    <row r="3366" spans="1:7" ht="17.45" customHeight="1">
      <c r="A3366" s="261" t="s">
        <v>8</v>
      </c>
      <c r="C3366" s="271" t="s">
        <v>3411</v>
      </c>
      <c r="D3366" s="497"/>
      <c r="E3366" s="499">
        <v>24000</v>
      </c>
      <c r="F3366" s="263"/>
      <c r="G3366" s="275"/>
    </row>
    <row r="3367" spans="1:7" ht="17.45" customHeight="1">
      <c r="A3367" s="261" t="s">
        <v>8</v>
      </c>
      <c r="C3367" s="271" t="s">
        <v>3412</v>
      </c>
      <c r="D3367" s="497"/>
      <c r="E3367" s="499">
        <v>10000</v>
      </c>
      <c r="F3367" s="263"/>
      <c r="G3367" s="275"/>
    </row>
    <row r="3368" spans="1:7" ht="17.45" customHeight="1">
      <c r="A3368" s="261" t="s">
        <v>8</v>
      </c>
      <c r="C3368" s="271" t="s">
        <v>3413</v>
      </c>
      <c r="D3368" s="497"/>
      <c r="E3368" s="499">
        <v>19000</v>
      </c>
      <c r="F3368" s="263"/>
      <c r="G3368" s="275"/>
    </row>
    <row r="3369" spans="1:7" ht="17.45" customHeight="1">
      <c r="A3369" s="261" t="s">
        <v>8</v>
      </c>
      <c r="C3369" s="271" t="s">
        <v>3414</v>
      </c>
      <c r="D3369" s="497"/>
      <c r="E3369" s="499">
        <v>72000</v>
      </c>
      <c r="F3369" s="263"/>
      <c r="G3369" s="275" t="s">
        <v>3415</v>
      </c>
    </row>
    <row r="3370" spans="1:7" ht="17.45" customHeight="1">
      <c r="A3370" s="261" t="s">
        <v>8</v>
      </c>
      <c r="C3370" s="271" t="s">
        <v>3416</v>
      </c>
      <c r="D3370" s="497"/>
      <c r="E3370" s="499">
        <v>5000</v>
      </c>
      <c r="F3370" s="263"/>
      <c r="G3370" s="275"/>
    </row>
    <row r="3371" spans="1:7" ht="17.45" customHeight="1">
      <c r="A3371" s="261" t="s">
        <v>8</v>
      </c>
      <c r="C3371" s="271" t="s">
        <v>3417</v>
      </c>
      <c r="D3371" s="497"/>
      <c r="E3371" s="499">
        <v>7080</v>
      </c>
      <c r="F3371" s="263"/>
      <c r="G3371" s="275"/>
    </row>
    <row r="3372" spans="1:7" ht="17.45" customHeight="1">
      <c r="A3372" s="261" t="s">
        <v>8</v>
      </c>
      <c r="C3372" s="271" t="s">
        <v>3418</v>
      </c>
      <c r="D3372" s="497"/>
      <c r="E3372" s="499">
        <v>25000</v>
      </c>
      <c r="F3372" s="263"/>
      <c r="G3372" s="275"/>
    </row>
    <row r="3373" spans="1:7" ht="17.45" customHeight="1">
      <c r="A3373" s="261" t="s">
        <v>8</v>
      </c>
      <c r="C3373" s="271" t="s">
        <v>3419</v>
      </c>
      <c r="D3373" s="497"/>
      <c r="E3373" s="499">
        <v>2000</v>
      </c>
      <c r="F3373" s="263"/>
      <c r="G3373" s="275"/>
    </row>
    <row r="3374" spans="1:7" ht="17.45" customHeight="1">
      <c r="A3374" s="261" t="s">
        <v>8</v>
      </c>
      <c r="C3374" s="271" t="s">
        <v>3420</v>
      </c>
      <c r="D3374" s="497"/>
      <c r="E3374" s="499">
        <v>1100</v>
      </c>
      <c r="F3374" s="263"/>
      <c r="G3374" s="275"/>
    </row>
    <row r="3375" spans="1:7" ht="17.45" customHeight="1">
      <c r="A3375" s="261" t="s">
        <v>8</v>
      </c>
      <c r="C3375" s="271" t="s">
        <v>3421</v>
      </c>
      <c r="D3375" s="497"/>
      <c r="E3375" s="499">
        <v>3000</v>
      </c>
      <c r="F3375" s="263"/>
      <c r="G3375" s="275"/>
    </row>
    <row r="3376" spans="1:7" ht="17.45" customHeight="1">
      <c r="A3376" s="261" t="s">
        <v>8</v>
      </c>
      <c r="C3376" s="271" t="s">
        <v>3422</v>
      </c>
      <c r="D3376" s="497"/>
      <c r="E3376" s="499">
        <v>18000</v>
      </c>
      <c r="F3376" s="263"/>
      <c r="G3376" s="275"/>
    </row>
    <row r="3377" spans="1:7" ht="17.45" customHeight="1">
      <c r="A3377" s="261" t="s">
        <v>8</v>
      </c>
      <c r="C3377" s="271" t="s">
        <v>3423</v>
      </c>
      <c r="D3377" s="497"/>
      <c r="E3377" s="499">
        <v>12420</v>
      </c>
      <c r="F3377" s="263"/>
      <c r="G3377" s="275"/>
    </row>
    <row r="3378" spans="1:7" ht="17.45" customHeight="1">
      <c r="A3378" s="261" t="s">
        <v>8</v>
      </c>
      <c r="C3378" s="271" t="s">
        <v>3424</v>
      </c>
      <c r="D3378" s="497"/>
      <c r="E3378" s="499">
        <v>30620</v>
      </c>
      <c r="F3378" s="263"/>
      <c r="G3378" s="275"/>
    </row>
    <row r="3379" spans="1:7" ht="17.45" customHeight="1">
      <c r="A3379" s="261" t="s">
        <v>8</v>
      </c>
      <c r="C3379" s="271" t="s">
        <v>3436</v>
      </c>
      <c r="D3379" s="497"/>
      <c r="E3379" s="499">
        <v>52000</v>
      </c>
      <c r="F3379" s="263"/>
      <c r="G3379" s="275"/>
    </row>
    <row r="3380" spans="1:7" ht="17.45" customHeight="1">
      <c r="A3380" s="261" t="s">
        <v>8</v>
      </c>
      <c r="C3380" s="271" t="s">
        <v>3437</v>
      </c>
      <c r="D3380" s="497"/>
      <c r="E3380" s="499">
        <v>1000</v>
      </c>
      <c r="F3380" s="263"/>
      <c r="G3380" s="275"/>
    </row>
    <row r="3381" spans="1:7" ht="17.45" customHeight="1" thickBot="1">
      <c r="A3381" s="261" t="s">
        <v>8</v>
      </c>
      <c r="C3381" s="276" t="s">
        <v>1300</v>
      </c>
      <c r="D3381" s="502">
        <f>SUM(D3285:D3380)-SUM(E3285:E3380)</f>
        <v>-6591266</v>
      </c>
      <c r="E3381" s="502">
        <f>SUM(E3285:E3380)-SUM(F3285:F3380)</f>
        <v>13135303</v>
      </c>
      <c r="F3381" s="277"/>
      <c r="G3381" s="283"/>
    </row>
    <row r="3383" spans="1:7" ht="12.75" thickBot="1"/>
    <row r="3384" spans="1:7" ht="17.45" customHeight="1">
      <c r="A3384" s="261" t="s">
        <v>8</v>
      </c>
      <c r="B3384" s="256" t="s">
        <v>3438</v>
      </c>
      <c r="C3384" s="268" t="s">
        <v>1268</v>
      </c>
      <c r="D3384" s="501">
        <v>7832817</v>
      </c>
      <c r="E3384" s="501"/>
      <c r="F3384" s="269"/>
      <c r="G3384" s="270"/>
    </row>
    <row r="3385" spans="1:7" ht="17.45" customHeight="1">
      <c r="A3385" s="261" t="s">
        <v>8</v>
      </c>
      <c r="B3385" s="257"/>
      <c r="C3385" s="271" t="s">
        <v>2722</v>
      </c>
      <c r="D3385" s="497"/>
      <c r="E3385" s="497"/>
      <c r="F3385" s="263"/>
      <c r="G3385" s="272"/>
    </row>
    <row r="3386" spans="1:7" ht="17.45" customHeight="1">
      <c r="A3386" s="261" t="s">
        <v>8</v>
      </c>
      <c r="B3386" s="257"/>
      <c r="C3386" s="271" t="s">
        <v>3047</v>
      </c>
      <c r="D3386" s="497"/>
      <c r="E3386" s="497"/>
      <c r="F3386" s="263"/>
      <c r="G3386" s="272"/>
    </row>
    <row r="3387" spans="1:7" ht="17.45" customHeight="1">
      <c r="A3387" s="261" t="s">
        <v>8</v>
      </c>
      <c r="B3387" s="257"/>
      <c r="C3387" s="271" t="s">
        <v>1269</v>
      </c>
      <c r="D3387" s="497"/>
      <c r="E3387" s="499">
        <v>422000</v>
      </c>
      <c r="F3387" s="263"/>
      <c r="G3387" s="272" t="s">
        <v>3331</v>
      </c>
    </row>
    <row r="3388" spans="1:7" ht="17.45" customHeight="1">
      <c r="A3388" s="261" t="s">
        <v>8</v>
      </c>
      <c r="C3388" s="271" t="s">
        <v>1270</v>
      </c>
      <c r="D3388" s="497"/>
      <c r="E3388" s="499">
        <v>968000</v>
      </c>
      <c r="F3388" s="263"/>
      <c r="G3388" s="273" t="s">
        <v>2740</v>
      </c>
    </row>
    <row r="3389" spans="1:7" ht="17.45" customHeight="1">
      <c r="A3389" s="261" t="s">
        <v>8</v>
      </c>
      <c r="C3389" s="271" t="s">
        <v>1670</v>
      </c>
      <c r="D3389" s="497"/>
      <c r="E3389" s="497"/>
      <c r="F3389" s="263"/>
      <c r="G3389" s="274"/>
    </row>
    <row r="3390" spans="1:7" ht="17.45" customHeight="1">
      <c r="A3390" s="261" t="s">
        <v>8</v>
      </c>
      <c r="C3390" s="271" t="s">
        <v>1672</v>
      </c>
      <c r="D3390" s="497"/>
      <c r="E3390" s="499">
        <v>72240</v>
      </c>
      <c r="F3390" s="263"/>
      <c r="G3390" s="273" t="s">
        <v>2732</v>
      </c>
    </row>
    <row r="3391" spans="1:7" ht="17.45" customHeight="1">
      <c r="A3391" s="261" t="s">
        <v>8</v>
      </c>
      <c r="C3391" s="271" t="s">
        <v>1673</v>
      </c>
      <c r="D3391" s="497"/>
      <c r="E3391" s="497"/>
      <c r="F3391" s="263"/>
      <c r="G3391" s="274"/>
    </row>
    <row r="3392" spans="1:7" ht="17.45" customHeight="1">
      <c r="A3392" s="261" t="s">
        <v>8</v>
      </c>
      <c r="C3392" s="271" t="s">
        <v>1332</v>
      </c>
      <c r="D3392" s="497"/>
      <c r="E3392" s="499">
        <v>34650</v>
      </c>
      <c r="F3392" s="263"/>
      <c r="G3392" s="275"/>
    </row>
    <row r="3393" spans="1:7" ht="17.45" customHeight="1">
      <c r="A3393" s="261" t="s">
        <v>8</v>
      </c>
      <c r="C3393" s="271" t="s">
        <v>1271</v>
      </c>
      <c r="D3393" s="497"/>
      <c r="E3393" s="497"/>
      <c r="F3393" s="263"/>
      <c r="G3393" s="274"/>
    </row>
    <row r="3394" spans="1:7" ht="17.45" customHeight="1">
      <c r="A3394" s="261" t="s">
        <v>8</v>
      </c>
      <c r="C3394" s="271" t="s">
        <v>1272</v>
      </c>
      <c r="D3394" s="497"/>
      <c r="E3394" s="497"/>
      <c r="F3394" s="263"/>
      <c r="G3394" s="273"/>
    </row>
    <row r="3395" spans="1:7" ht="17.45" customHeight="1">
      <c r="A3395" s="261" t="s">
        <v>8</v>
      </c>
      <c r="C3395" s="271" t="s">
        <v>3009</v>
      </c>
      <c r="D3395" s="497"/>
      <c r="E3395" s="497"/>
      <c r="F3395" s="263"/>
      <c r="G3395" s="273" t="s">
        <v>2732</v>
      </c>
    </row>
    <row r="3396" spans="1:7" ht="17.45" customHeight="1">
      <c r="A3396" s="261" t="s">
        <v>8</v>
      </c>
      <c r="C3396" s="271" t="s">
        <v>3010</v>
      </c>
      <c r="D3396" s="497"/>
      <c r="E3396" s="499">
        <v>900</v>
      </c>
      <c r="F3396" s="263"/>
      <c r="G3396" s="273"/>
    </row>
    <row r="3397" spans="1:7" ht="17.45" customHeight="1">
      <c r="A3397" s="261" t="s">
        <v>8</v>
      </c>
      <c r="C3397" s="271" t="s">
        <v>1273</v>
      </c>
      <c r="D3397" s="497"/>
      <c r="E3397" s="499">
        <v>29920</v>
      </c>
      <c r="F3397" s="263"/>
      <c r="G3397" s="273" t="s">
        <v>2732</v>
      </c>
    </row>
    <row r="3398" spans="1:7" ht="17.45" customHeight="1">
      <c r="A3398" s="261" t="s">
        <v>8</v>
      </c>
      <c r="C3398" s="271" t="s">
        <v>1274</v>
      </c>
      <c r="D3398" s="497"/>
      <c r="E3398" s="499">
        <v>3757</v>
      </c>
      <c r="F3398" s="263"/>
      <c r="G3398" s="273"/>
    </row>
    <row r="3399" spans="1:7" ht="17.45" customHeight="1">
      <c r="A3399" s="261" t="s">
        <v>8</v>
      </c>
      <c r="C3399" s="271" t="s">
        <v>2168</v>
      </c>
      <c r="D3399" s="497"/>
      <c r="E3399" s="499">
        <v>18816</v>
      </c>
      <c r="F3399" s="263"/>
      <c r="G3399" s="273" t="s">
        <v>2732</v>
      </c>
    </row>
    <row r="3400" spans="1:7" ht="17.45" customHeight="1">
      <c r="A3400" s="261" t="s">
        <v>8</v>
      </c>
      <c r="C3400" s="271" t="s">
        <v>1517</v>
      </c>
      <c r="D3400" s="497"/>
      <c r="E3400" s="497"/>
      <c r="F3400" s="263"/>
      <c r="G3400" s="273" t="s">
        <v>2732</v>
      </c>
    </row>
    <row r="3401" spans="1:7" ht="17.45" customHeight="1">
      <c r="A3401" s="261" t="s">
        <v>8</v>
      </c>
      <c r="C3401" s="271" t="s">
        <v>1276</v>
      </c>
      <c r="D3401" s="497"/>
      <c r="E3401" s="499">
        <v>287660</v>
      </c>
      <c r="F3401" s="263"/>
      <c r="G3401" s="273" t="s">
        <v>2732</v>
      </c>
    </row>
    <row r="3402" spans="1:7" ht="17.45" customHeight="1">
      <c r="A3402" s="261" t="s">
        <v>8</v>
      </c>
      <c r="C3402" s="271" t="s">
        <v>1277</v>
      </c>
      <c r="D3402" s="497"/>
      <c r="E3402" s="499">
        <v>43920</v>
      </c>
      <c r="F3402" s="263"/>
      <c r="G3402" s="273" t="s">
        <v>2732</v>
      </c>
    </row>
    <row r="3403" spans="1:7" ht="17.45" customHeight="1">
      <c r="A3403" s="261" t="s">
        <v>8</v>
      </c>
      <c r="C3403" s="271" t="s">
        <v>1278</v>
      </c>
      <c r="D3403" s="497"/>
      <c r="E3403" s="499">
        <v>200000</v>
      </c>
      <c r="F3403" s="263"/>
      <c r="G3403" s="273"/>
    </row>
    <row r="3404" spans="1:7" ht="17.45" customHeight="1">
      <c r="A3404" s="261" t="s">
        <v>8</v>
      </c>
      <c r="C3404" s="285" t="s">
        <v>1413</v>
      </c>
      <c r="D3404" s="506"/>
      <c r="E3404" s="507">
        <f>1500000</f>
        <v>1500000</v>
      </c>
      <c r="F3404" s="286"/>
      <c r="G3404" s="287"/>
    </row>
    <row r="3405" spans="1:7" ht="17.25" customHeight="1">
      <c r="A3405" s="261" t="s">
        <v>8</v>
      </c>
      <c r="C3405" s="338" t="s">
        <v>2661</v>
      </c>
      <c r="D3405" s="497"/>
      <c r="E3405" s="497"/>
      <c r="F3405" s="263"/>
      <c r="G3405" s="275"/>
    </row>
    <row r="3406" spans="1:7" ht="17.45" customHeight="1">
      <c r="A3406" s="261" t="s">
        <v>8</v>
      </c>
      <c r="C3406" s="339" t="s">
        <v>3248</v>
      </c>
      <c r="D3406" s="506"/>
      <c r="E3406" s="507">
        <v>1000000</v>
      </c>
      <c r="F3406" s="286"/>
      <c r="G3406" s="290"/>
    </row>
    <row r="3407" spans="1:7" ht="17.45" customHeight="1">
      <c r="A3407" s="261" t="s">
        <v>8</v>
      </c>
      <c r="C3407" s="339" t="s">
        <v>2647</v>
      </c>
      <c r="D3407" s="506"/>
      <c r="E3407" s="506"/>
      <c r="F3407" s="286"/>
      <c r="G3407" s="290"/>
    </row>
    <row r="3408" spans="1:7" ht="17.45" customHeight="1" thickBot="1">
      <c r="A3408" s="261" t="s">
        <v>8</v>
      </c>
      <c r="C3408" s="285" t="s">
        <v>1942</v>
      </c>
      <c r="D3408" s="506"/>
      <c r="E3408" s="507">
        <v>20000</v>
      </c>
      <c r="F3408" s="286"/>
      <c r="G3408" s="290"/>
    </row>
    <row r="3409" spans="1:7" ht="17.45" customHeight="1">
      <c r="A3409" s="261" t="s">
        <v>8</v>
      </c>
      <c r="C3409" s="268" t="s">
        <v>1280</v>
      </c>
      <c r="D3409" s="501"/>
      <c r="E3409" s="500">
        <v>50000</v>
      </c>
      <c r="F3409" s="269"/>
      <c r="G3409" s="288"/>
    </row>
    <row r="3410" spans="1:7" ht="17.45" customHeight="1">
      <c r="A3410" s="261" t="s">
        <v>8</v>
      </c>
      <c r="C3410" s="271" t="s">
        <v>1549</v>
      </c>
      <c r="D3410" s="497"/>
      <c r="E3410" s="497"/>
      <c r="F3410" s="263"/>
      <c r="G3410" s="275"/>
    </row>
    <row r="3411" spans="1:7" ht="17.45" customHeight="1">
      <c r="A3411" s="261" t="s">
        <v>8</v>
      </c>
      <c r="C3411" s="271" t="s">
        <v>1819</v>
      </c>
      <c r="D3411" s="497"/>
      <c r="E3411" s="497"/>
      <c r="F3411" s="263"/>
      <c r="G3411" s="275"/>
    </row>
    <row r="3412" spans="1:7" ht="17.45" customHeight="1">
      <c r="A3412" s="261" t="s">
        <v>8</v>
      </c>
      <c r="C3412" s="271" t="s">
        <v>391</v>
      </c>
      <c r="D3412" s="497"/>
      <c r="E3412" s="497"/>
      <c r="F3412" s="263"/>
      <c r="G3412" s="275"/>
    </row>
    <row r="3413" spans="1:7" ht="17.45" customHeight="1">
      <c r="A3413" s="261" t="s">
        <v>8</v>
      </c>
      <c r="C3413" s="271" t="s">
        <v>1934</v>
      </c>
      <c r="D3413" s="497"/>
      <c r="E3413" s="497"/>
      <c r="F3413" s="263"/>
      <c r="G3413" s="275"/>
    </row>
    <row r="3414" spans="1:7" ht="17.25" customHeight="1">
      <c r="A3414" s="261" t="s">
        <v>8</v>
      </c>
      <c r="C3414" s="271" t="s">
        <v>2202</v>
      </c>
      <c r="D3414" s="497"/>
      <c r="E3414" s="497"/>
      <c r="F3414" s="263"/>
      <c r="G3414" s="275"/>
    </row>
    <row r="3415" spans="1:7" ht="17.45" customHeight="1">
      <c r="A3415" s="261" t="s">
        <v>8</v>
      </c>
      <c r="C3415" s="271" t="s">
        <v>2654</v>
      </c>
      <c r="D3415" s="497"/>
      <c r="E3415" s="497"/>
      <c r="F3415" s="263"/>
      <c r="G3415" s="275"/>
    </row>
    <row r="3416" spans="1:7" ht="17.45" customHeight="1">
      <c r="A3416" s="261" t="s">
        <v>8</v>
      </c>
      <c r="C3416" s="271" t="s">
        <v>2097</v>
      </c>
      <c r="D3416" s="497"/>
      <c r="E3416" s="497"/>
      <c r="F3416" s="263"/>
      <c r="G3416" s="275"/>
    </row>
    <row r="3417" spans="1:7" ht="17.45" customHeight="1">
      <c r="A3417" s="261" t="s">
        <v>8</v>
      </c>
      <c r="C3417" s="271" t="s">
        <v>1687</v>
      </c>
      <c r="D3417" s="497"/>
      <c r="E3417" s="497"/>
      <c r="F3417" s="263"/>
      <c r="G3417" s="275"/>
    </row>
    <row r="3418" spans="1:7" ht="17.45" customHeight="1">
      <c r="A3418" s="261" t="s">
        <v>8</v>
      </c>
      <c r="C3418" s="271" t="s">
        <v>1688</v>
      </c>
      <c r="D3418" s="497"/>
      <c r="E3418" s="497"/>
      <c r="F3418" s="263"/>
      <c r="G3418" s="275"/>
    </row>
    <row r="3419" spans="1:7" ht="17.45" customHeight="1">
      <c r="A3419" s="261" t="s">
        <v>8</v>
      </c>
      <c r="C3419" s="271" t="s">
        <v>1602</v>
      </c>
      <c r="D3419" s="497"/>
      <c r="E3419" s="497"/>
      <c r="F3419" s="263"/>
      <c r="G3419" s="275"/>
    </row>
    <row r="3420" spans="1:7" ht="17.45" customHeight="1">
      <c r="A3420" s="261" t="s">
        <v>8</v>
      </c>
      <c r="C3420" s="271" t="s">
        <v>1596</v>
      </c>
      <c r="D3420" s="497"/>
      <c r="E3420" s="497"/>
      <c r="F3420" s="263"/>
      <c r="G3420" s="275"/>
    </row>
    <row r="3421" spans="1:7" ht="17.45" customHeight="1">
      <c r="A3421" s="261" t="s">
        <v>8</v>
      </c>
      <c r="C3421" s="271" t="s">
        <v>1595</v>
      </c>
      <c r="D3421" s="497"/>
      <c r="E3421" s="497"/>
      <c r="F3421" s="263"/>
      <c r="G3421" s="275"/>
    </row>
    <row r="3422" spans="1:7" ht="17.45" customHeight="1">
      <c r="A3422" s="261" t="s">
        <v>8</v>
      </c>
      <c r="C3422" s="271" t="s">
        <v>2822</v>
      </c>
      <c r="D3422" s="497"/>
      <c r="E3422" s="499">
        <f>3200</f>
        <v>3200</v>
      </c>
      <c r="F3422" s="263"/>
      <c r="G3422" s="275"/>
    </row>
    <row r="3423" spans="1:7" ht="17.45" customHeight="1">
      <c r="A3423" s="261" t="s">
        <v>8</v>
      </c>
      <c r="C3423" s="271" t="s">
        <v>2821</v>
      </c>
      <c r="D3423" s="497"/>
      <c r="E3423" s="516">
        <v>9000</v>
      </c>
      <c r="F3423" s="263"/>
      <c r="G3423" s="273" t="s">
        <v>3373</v>
      </c>
    </row>
    <row r="3424" spans="1:7" ht="17.45" customHeight="1">
      <c r="A3424" s="261" t="s">
        <v>8</v>
      </c>
      <c r="C3424" s="271" t="s">
        <v>1689</v>
      </c>
      <c r="D3424" s="497"/>
      <c r="E3424" s="497"/>
      <c r="F3424" s="263"/>
      <c r="G3424" s="275"/>
    </row>
    <row r="3425" spans="1:7" ht="17.45" customHeight="1">
      <c r="A3425" s="261" t="s">
        <v>8</v>
      </c>
      <c r="C3425" s="271" t="s">
        <v>1569</v>
      </c>
      <c r="D3425" s="497"/>
      <c r="E3425" s="497"/>
      <c r="F3425" s="263"/>
      <c r="G3425" s="275"/>
    </row>
    <row r="3426" spans="1:7" ht="17.45" customHeight="1">
      <c r="A3426" s="261" t="s">
        <v>8</v>
      </c>
      <c r="C3426" s="271" t="s">
        <v>1618</v>
      </c>
      <c r="D3426" s="497"/>
      <c r="E3426" s="499">
        <f>3150+29880+47660+8460</f>
        <v>89150</v>
      </c>
      <c r="F3426" s="263"/>
      <c r="G3426" s="275"/>
    </row>
    <row r="3427" spans="1:7" ht="17.45" customHeight="1">
      <c r="A3427" s="261" t="s">
        <v>8</v>
      </c>
      <c r="C3427" s="271" t="s">
        <v>2810</v>
      </c>
      <c r="D3427" s="497"/>
      <c r="E3427" s="497"/>
      <c r="F3427" s="263"/>
      <c r="G3427" s="275"/>
    </row>
    <row r="3428" spans="1:7" ht="17.45" customHeight="1" thickBot="1">
      <c r="A3428" s="261" t="s">
        <v>8</v>
      </c>
      <c r="C3428" s="276" t="s">
        <v>2699</v>
      </c>
      <c r="D3428" s="502"/>
      <c r="E3428" s="503">
        <f>32000+27500+22000+23000+20800+13000+21000+12900</f>
        <v>172200</v>
      </c>
      <c r="F3428" s="277"/>
      <c r="G3428" s="282"/>
    </row>
    <row r="3429" spans="1:7" ht="17.45" customHeight="1">
      <c r="A3429" s="261" t="s">
        <v>8</v>
      </c>
      <c r="C3429" s="279" t="s">
        <v>3442</v>
      </c>
      <c r="D3429" s="504"/>
      <c r="E3429" s="505">
        <v>12500</v>
      </c>
      <c r="F3429" s="280"/>
      <c r="G3429" s="281"/>
    </row>
    <row r="3430" spans="1:7" ht="17.45" customHeight="1">
      <c r="A3430" s="261" t="s">
        <v>8</v>
      </c>
      <c r="C3430" s="284" t="s">
        <v>3443</v>
      </c>
      <c r="D3430" s="497"/>
      <c r="E3430" s="499">
        <f>129200+121100-129200+6500</f>
        <v>127600</v>
      </c>
      <c r="F3430" s="263"/>
      <c r="G3430" s="275"/>
    </row>
    <row r="3431" spans="1:7" ht="17.45" customHeight="1">
      <c r="A3431" s="261" t="s">
        <v>8</v>
      </c>
      <c r="C3431" s="271" t="s">
        <v>3444</v>
      </c>
      <c r="D3431" s="497"/>
      <c r="E3431" s="499">
        <f>130200+130200-130200+1200</f>
        <v>131400</v>
      </c>
      <c r="F3431" s="263"/>
      <c r="G3431" s="275"/>
    </row>
    <row r="3432" spans="1:7" ht="17.45" customHeight="1">
      <c r="A3432" s="261" t="s">
        <v>8</v>
      </c>
      <c r="C3432" s="271" t="s">
        <v>2654</v>
      </c>
      <c r="D3432" s="497"/>
      <c r="E3432" s="499">
        <v>60000</v>
      </c>
      <c r="F3432" s="263"/>
      <c r="G3432" s="275"/>
    </row>
    <row r="3433" spans="1:7" ht="17.45" customHeight="1">
      <c r="A3433" s="261" t="s">
        <v>8</v>
      </c>
      <c r="C3433" s="271" t="s">
        <v>3445</v>
      </c>
      <c r="D3433" s="497"/>
      <c r="E3433" s="499">
        <f>63650-63650</f>
        <v>0</v>
      </c>
      <c r="F3433" s="263"/>
      <c r="G3433" s="275"/>
    </row>
    <row r="3434" spans="1:7" ht="17.45" customHeight="1">
      <c r="A3434" s="261" t="s">
        <v>8</v>
      </c>
      <c r="C3434" s="271" t="s">
        <v>3446</v>
      </c>
      <c r="D3434" s="497"/>
      <c r="E3434" s="499">
        <v>300000</v>
      </c>
      <c r="F3434" s="263"/>
      <c r="G3434" s="275"/>
    </row>
    <row r="3435" spans="1:7" ht="17.45" customHeight="1">
      <c r="A3435" s="261" t="s">
        <v>8</v>
      </c>
      <c r="C3435" s="271" t="s">
        <v>3479</v>
      </c>
      <c r="D3435" s="497"/>
      <c r="E3435" s="499">
        <v>12000</v>
      </c>
      <c r="F3435" s="263"/>
      <c r="G3435" s="275"/>
    </row>
    <row r="3436" spans="1:7" ht="17.45" customHeight="1">
      <c r="A3436" s="261" t="s">
        <v>8</v>
      </c>
      <c r="C3436" s="271" t="s">
        <v>3480</v>
      </c>
      <c r="D3436" s="497"/>
      <c r="E3436" s="499">
        <v>50000</v>
      </c>
      <c r="F3436" s="263"/>
      <c r="G3436" s="275"/>
    </row>
    <row r="3437" spans="1:7" ht="17.45" customHeight="1">
      <c r="A3437" s="261" t="s">
        <v>8</v>
      </c>
      <c r="C3437" s="284" t="s">
        <v>3481</v>
      </c>
      <c r="D3437" s="497"/>
      <c r="E3437" s="499">
        <f>6600+12500+15800</f>
        <v>34900</v>
      </c>
      <c r="F3437" s="263"/>
      <c r="G3437" s="275"/>
    </row>
    <row r="3438" spans="1:7" ht="17.45" customHeight="1">
      <c r="A3438" s="261" t="s">
        <v>8</v>
      </c>
      <c r="C3438" s="271" t="s">
        <v>3482</v>
      </c>
      <c r="D3438" s="497"/>
      <c r="E3438" s="499">
        <v>2500</v>
      </c>
      <c r="F3438" s="263"/>
      <c r="G3438" s="275"/>
    </row>
    <row r="3439" spans="1:7" ht="17.45" customHeight="1">
      <c r="A3439" s="261" t="s">
        <v>8</v>
      </c>
      <c r="C3439" s="271" t="s">
        <v>3483</v>
      </c>
      <c r="D3439" s="497"/>
      <c r="E3439" s="499">
        <v>-188100</v>
      </c>
      <c r="F3439" s="263"/>
      <c r="G3439" s="275"/>
    </row>
    <row r="3440" spans="1:7" ht="17.45" customHeight="1">
      <c r="A3440" s="261" t="s">
        <v>8</v>
      </c>
      <c r="C3440" s="271" t="s">
        <v>3484</v>
      </c>
      <c r="D3440" s="497"/>
      <c r="E3440" s="499">
        <f>11200+12700</f>
        <v>23900</v>
      </c>
      <c r="F3440" s="263"/>
      <c r="G3440" s="275"/>
    </row>
    <row r="3441" spans="1:7" ht="17.45" customHeight="1">
      <c r="A3441" s="261" t="s">
        <v>8</v>
      </c>
      <c r="C3441" s="284" t="s">
        <v>3485</v>
      </c>
      <c r="D3441" s="497"/>
      <c r="E3441" s="499">
        <f>104200+104200</f>
        <v>208400</v>
      </c>
      <c r="F3441" s="263"/>
      <c r="G3441" s="275"/>
    </row>
    <row r="3442" spans="1:7" ht="17.45" customHeight="1">
      <c r="A3442" s="261" t="s">
        <v>8</v>
      </c>
      <c r="C3442" s="271" t="s">
        <v>3486</v>
      </c>
      <c r="D3442" s="497"/>
      <c r="E3442" s="499">
        <v>300000</v>
      </c>
      <c r="F3442" s="263"/>
      <c r="G3442" s="275"/>
    </row>
    <row r="3443" spans="1:7" ht="17.45" customHeight="1">
      <c r="A3443" s="261" t="s">
        <v>8</v>
      </c>
      <c r="C3443" s="271" t="s">
        <v>3487</v>
      </c>
      <c r="D3443" s="497"/>
      <c r="E3443" s="499">
        <v>8300</v>
      </c>
      <c r="F3443" s="263"/>
      <c r="G3443" s="275"/>
    </row>
    <row r="3444" spans="1:7" ht="17.45" customHeight="1">
      <c r="A3444" s="261" t="s">
        <v>8</v>
      </c>
      <c r="C3444" s="271" t="s">
        <v>3488</v>
      </c>
      <c r="D3444" s="497"/>
      <c r="E3444" s="499">
        <v>49000</v>
      </c>
      <c r="F3444" s="263"/>
      <c r="G3444" s="275"/>
    </row>
    <row r="3445" spans="1:7" ht="17.45" customHeight="1">
      <c r="A3445" s="261" t="s">
        <v>8</v>
      </c>
      <c r="C3445" s="271" t="s">
        <v>1981</v>
      </c>
      <c r="D3445" s="497"/>
      <c r="E3445" s="499">
        <f>-7080+13500</f>
        <v>6420</v>
      </c>
      <c r="F3445" s="263"/>
      <c r="G3445" s="275"/>
    </row>
    <row r="3446" spans="1:7" ht="17.45" customHeight="1">
      <c r="A3446" s="261" t="s">
        <v>8</v>
      </c>
      <c r="C3446" s="271" t="s">
        <v>3489</v>
      </c>
      <c r="D3446" s="497"/>
      <c r="E3446" s="499">
        <v>38000</v>
      </c>
      <c r="F3446" s="263"/>
      <c r="G3446" s="275"/>
    </row>
    <row r="3447" spans="1:7" ht="17.45" customHeight="1">
      <c r="A3447" s="261" t="s">
        <v>8</v>
      </c>
      <c r="C3447" s="271" t="s">
        <v>3490</v>
      </c>
      <c r="D3447" s="497"/>
      <c r="E3447" s="499">
        <v>26400</v>
      </c>
      <c r="F3447" s="263"/>
      <c r="G3447" s="275"/>
    </row>
    <row r="3448" spans="1:7" ht="17.45" customHeight="1">
      <c r="A3448" s="261" t="s">
        <v>8</v>
      </c>
      <c r="C3448" s="271" t="s">
        <v>3491</v>
      </c>
      <c r="D3448" s="497"/>
      <c r="E3448" s="499">
        <v>5900</v>
      </c>
      <c r="F3448" s="263"/>
      <c r="G3448" s="275"/>
    </row>
    <row r="3449" spans="1:7" ht="17.45" customHeight="1">
      <c r="A3449" s="261" t="s">
        <v>8</v>
      </c>
      <c r="C3449" s="271" t="s">
        <v>3492</v>
      </c>
      <c r="D3449" s="497"/>
      <c r="E3449" s="499">
        <v>22000</v>
      </c>
      <c r="F3449" s="263"/>
      <c r="G3449" s="275"/>
    </row>
    <row r="3450" spans="1:7" ht="17.45" customHeight="1">
      <c r="A3450" s="261" t="s">
        <v>8</v>
      </c>
      <c r="C3450" s="271" t="s">
        <v>3493</v>
      </c>
      <c r="D3450" s="497"/>
      <c r="E3450" s="499">
        <v>40000</v>
      </c>
      <c r="F3450" s="263"/>
      <c r="G3450" s="275"/>
    </row>
    <row r="3451" spans="1:7" ht="17.45" customHeight="1">
      <c r="A3451" s="261" t="s">
        <v>8</v>
      </c>
      <c r="C3451" s="271" t="s">
        <v>3494</v>
      </c>
      <c r="D3451" s="497"/>
      <c r="E3451" s="499">
        <v>29500</v>
      </c>
      <c r="F3451" s="263"/>
      <c r="G3451" s="275" t="s">
        <v>3495</v>
      </c>
    </row>
    <row r="3452" spans="1:7" ht="17.45" customHeight="1">
      <c r="A3452" s="261" t="s">
        <v>8</v>
      </c>
      <c r="C3452" s="271" t="s">
        <v>3495</v>
      </c>
      <c r="D3452" s="497"/>
      <c r="E3452" s="499">
        <f>8128+4434+288740+103745-30131</f>
        <v>374916</v>
      </c>
      <c r="F3452" s="263"/>
      <c r="G3452" s="275" t="s">
        <v>3495</v>
      </c>
    </row>
    <row r="3453" spans="1:7" ht="17.45" customHeight="1">
      <c r="A3453" s="261" t="s">
        <v>8</v>
      </c>
      <c r="C3453" s="271" t="s">
        <v>3496</v>
      </c>
      <c r="D3453" s="497"/>
      <c r="E3453" s="499">
        <v>117850</v>
      </c>
      <c r="F3453" s="263"/>
      <c r="G3453" s="275"/>
    </row>
    <row r="3454" spans="1:7" ht="17.45" customHeight="1">
      <c r="A3454" s="261" t="s">
        <v>8</v>
      </c>
      <c r="C3454" s="271" t="s">
        <v>3497</v>
      </c>
      <c r="D3454" s="497"/>
      <c r="E3454" s="499">
        <v>6000</v>
      </c>
      <c r="F3454" s="263"/>
      <c r="G3454" s="275"/>
    </row>
    <row r="3455" spans="1:7" ht="17.45" customHeight="1">
      <c r="A3455" s="261" t="s">
        <v>8</v>
      </c>
      <c r="C3455" s="271" t="s">
        <v>1583</v>
      </c>
      <c r="D3455" s="497"/>
      <c r="E3455" s="499">
        <v>189200</v>
      </c>
      <c r="F3455" s="263"/>
      <c r="G3455" s="275"/>
    </row>
    <row r="3456" spans="1:7" ht="17.45" customHeight="1">
      <c r="A3456" s="261" t="s">
        <v>8</v>
      </c>
      <c r="C3456" s="271" t="s">
        <v>3498</v>
      </c>
      <c r="D3456" s="497"/>
      <c r="E3456" s="499">
        <v>7300</v>
      </c>
      <c r="F3456" s="263"/>
      <c r="G3456" s="275"/>
    </row>
    <row r="3457" spans="1:7" ht="17.45" customHeight="1">
      <c r="A3457" s="261" t="s">
        <v>8</v>
      </c>
      <c r="C3457" s="271" t="s">
        <v>3499</v>
      </c>
      <c r="D3457" s="497"/>
      <c r="E3457" s="499">
        <v>15900</v>
      </c>
      <c r="F3457" s="263"/>
      <c r="G3457" s="275"/>
    </row>
    <row r="3458" spans="1:7" ht="17.45" customHeight="1">
      <c r="A3458" s="261" t="s">
        <v>8</v>
      </c>
      <c r="C3458" s="271" t="s">
        <v>3500</v>
      </c>
      <c r="D3458" s="497"/>
      <c r="E3458" s="499">
        <v>1100</v>
      </c>
      <c r="F3458" s="263"/>
      <c r="G3458" s="275"/>
    </row>
    <row r="3459" spans="1:7" ht="17.45" customHeight="1">
      <c r="A3459" s="261" t="s">
        <v>8</v>
      </c>
      <c r="C3459" s="271" t="s">
        <v>3501</v>
      </c>
      <c r="D3459" s="497"/>
      <c r="E3459" s="499">
        <v>1500</v>
      </c>
      <c r="F3459" s="263"/>
      <c r="G3459" s="275"/>
    </row>
    <row r="3460" spans="1:7" ht="17.45" customHeight="1">
      <c r="A3460" s="261" t="s">
        <v>8</v>
      </c>
      <c r="C3460" s="271" t="s">
        <v>3502</v>
      </c>
      <c r="D3460" s="497"/>
      <c r="E3460" s="499">
        <v>200000</v>
      </c>
      <c r="F3460" s="263"/>
      <c r="G3460" s="275"/>
    </row>
    <row r="3461" spans="1:7" ht="17.45" customHeight="1">
      <c r="A3461" s="261" t="s">
        <v>8</v>
      </c>
      <c r="C3461" s="271" t="s">
        <v>3503</v>
      </c>
      <c r="D3461" s="497"/>
      <c r="E3461" s="499">
        <v>200000</v>
      </c>
      <c r="F3461" s="263"/>
      <c r="G3461" s="275"/>
    </row>
    <row r="3462" spans="1:7" ht="17.45" customHeight="1">
      <c r="A3462" s="261" t="s">
        <v>8</v>
      </c>
      <c r="C3462" s="271" t="s">
        <v>3504</v>
      </c>
      <c r="D3462" s="497"/>
      <c r="E3462" s="499">
        <v>200000</v>
      </c>
      <c r="F3462" s="263"/>
      <c r="G3462" s="275"/>
    </row>
    <row r="3463" spans="1:7" ht="17.45" customHeight="1">
      <c r="A3463" s="261" t="s">
        <v>8</v>
      </c>
      <c r="C3463" s="271" t="s">
        <v>3505</v>
      </c>
      <c r="D3463" s="497"/>
      <c r="E3463" s="499">
        <v>50000</v>
      </c>
      <c r="F3463" s="263"/>
      <c r="G3463" s="275"/>
    </row>
    <row r="3464" spans="1:7" ht="17.45" customHeight="1">
      <c r="A3464" s="261" t="s">
        <v>8</v>
      </c>
      <c r="C3464" s="271" t="s">
        <v>3506</v>
      </c>
      <c r="D3464" s="497"/>
      <c r="E3464" s="499">
        <v>1500</v>
      </c>
      <c r="F3464" s="263"/>
      <c r="G3464" s="275"/>
    </row>
    <row r="3465" spans="1:7" ht="17.45" customHeight="1">
      <c r="A3465" s="261" t="s">
        <v>8</v>
      </c>
      <c r="C3465" s="271" t="s">
        <v>3507</v>
      </c>
      <c r="D3465" s="497"/>
      <c r="E3465" s="499">
        <v>121440</v>
      </c>
      <c r="F3465" s="263"/>
      <c r="G3465" s="275"/>
    </row>
    <row r="3466" spans="1:7" ht="17.45" customHeight="1">
      <c r="A3466" s="261" t="s">
        <v>8</v>
      </c>
      <c r="C3466" s="271" t="s">
        <v>3508</v>
      </c>
      <c r="D3466" s="497"/>
      <c r="E3466" s="499">
        <v>3000</v>
      </c>
      <c r="F3466" s="263"/>
      <c r="G3466" s="275"/>
    </row>
    <row r="3467" spans="1:7" ht="17.45" customHeight="1">
      <c r="A3467" s="261" t="s">
        <v>8</v>
      </c>
      <c r="C3467" s="271" t="s">
        <v>3509</v>
      </c>
      <c r="D3467" s="497"/>
      <c r="E3467" s="499">
        <v>18000</v>
      </c>
      <c r="F3467" s="263"/>
      <c r="G3467" s="275"/>
    </row>
    <row r="3468" spans="1:7" ht="17.45" customHeight="1">
      <c r="A3468" s="261" t="s">
        <v>8</v>
      </c>
      <c r="C3468" s="271" t="s">
        <v>3527</v>
      </c>
      <c r="D3468" s="497"/>
      <c r="E3468" s="499">
        <v>14800</v>
      </c>
      <c r="F3468" s="263"/>
      <c r="G3468" s="275"/>
    </row>
    <row r="3469" spans="1:7" ht="17.45" customHeight="1">
      <c r="A3469" s="261" t="s">
        <v>8</v>
      </c>
      <c r="C3469" s="271" t="s">
        <v>3528</v>
      </c>
      <c r="D3469" s="497"/>
      <c r="E3469" s="499">
        <v>500</v>
      </c>
      <c r="F3469" s="263"/>
      <c r="G3469" s="275"/>
    </row>
    <row r="3470" spans="1:7" ht="17.45" customHeight="1">
      <c r="A3470" s="261" t="s">
        <v>8</v>
      </c>
      <c r="C3470" s="271" t="s">
        <v>2968</v>
      </c>
      <c r="D3470" s="497"/>
      <c r="E3470" s="499">
        <v>26000</v>
      </c>
      <c r="F3470" s="263"/>
      <c r="G3470" s="275"/>
    </row>
    <row r="3471" spans="1:7" ht="17.45" customHeight="1">
      <c r="A3471" s="261" t="s">
        <v>8</v>
      </c>
      <c r="C3471" s="271" t="s">
        <v>3533</v>
      </c>
      <c r="D3471" s="497"/>
      <c r="E3471" s="499">
        <v>47000</v>
      </c>
      <c r="F3471" s="263"/>
      <c r="G3471" s="275"/>
    </row>
    <row r="3472" spans="1:7" ht="17.45" customHeight="1" thickBot="1">
      <c r="A3472" s="261" t="s">
        <v>8</v>
      </c>
      <c r="C3472" s="276" t="s">
        <v>1300</v>
      </c>
      <c r="D3472" s="502">
        <f>SUM(D3384:D3471)-SUM(E3384:E3471)</f>
        <v>10778</v>
      </c>
      <c r="E3472" s="502">
        <f>SUM(E3384:E3471)-SUM(F3384:F3471)</f>
        <v>7822039</v>
      </c>
      <c r="F3472" s="277"/>
      <c r="G3472" s="283"/>
    </row>
    <row r="3474" spans="1:7" ht="12.75" thickBot="1"/>
    <row r="3475" spans="1:7" ht="17.45" customHeight="1">
      <c r="A3475" s="261" t="s">
        <v>8</v>
      </c>
      <c r="B3475" s="256" t="s">
        <v>3530</v>
      </c>
      <c r="C3475" s="268" t="s">
        <v>1268</v>
      </c>
      <c r="D3475" s="500">
        <v>9381807</v>
      </c>
      <c r="E3475" s="501"/>
      <c r="F3475" s="269"/>
      <c r="G3475" s="270"/>
    </row>
    <row r="3476" spans="1:7" ht="17.45" customHeight="1">
      <c r="A3476" s="261" t="s">
        <v>8</v>
      </c>
      <c r="B3476" s="257"/>
      <c r="C3476" s="271" t="s">
        <v>2722</v>
      </c>
      <c r="D3476" s="497"/>
      <c r="E3476" s="497"/>
      <c r="F3476" s="263"/>
      <c r="G3476" s="272"/>
    </row>
    <row r="3477" spans="1:7" ht="17.45" customHeight="1">
      <c r="A3477" s="261" t="s">
        <v>8</v>
      </c>
      <c r="B3477" s="257"/>
      <c r="C3477" s="271" t="s">
        <v>3047</v>
      </c>
      <c r="D3477" s="497"/>
      <c r="E3477" s="497"/>
      <c r="F3477" s="263"/>
      <c r="G3477" s="272"/>
    </row>
    <row r="3478" spans="1:7" ht="17.45" customHeight="1">
      <c r="A3478" s="261" t="s">
        <v>8</v>
      </c>
      <c r="B3478" s="257"/>
      <c r="C3478" s="271" t="s">
        <v>1269</v>
      </c>
      <c r="D3478" s="497"/>
      <c r="E3478" s="499">
        <v>362000</v>
      </c>
      <c r="F3478" s="263"/>
      <c r="G3478" s="272" t="s">
        <v>3531</v>
      </c>
    </row>
    <row r="3479" spans="1:7" ht="17.45" customHeight="1">
      <c r="A3479" s="261" t="s">
        <v>8</v>
      </c>
      <c r="C3479" s="271" t="s">
        <v>1270</v>
      </c>
      <c r="D3479" s="497"/>
      <c r="E3479" s="499">
        <v>879000</v>
      </c>
      <c r="F3479" s="263"/>
      <c r="G3479" s="273" t="s">
        <v>3532</v>
      </c>
    </row>
    <row r="3480" spans="1:7" ht="17.45" customHeight="1">
      <c r="A3480" s="261" t="s">
        <v>8</v>
      </c>
      <c r="C3480" s="271" t="s">
        <v>1670</v>
      </c>
      <c r="D3480" s="497"/>
      <c r="E3480" s="497"/>
      <c r="F3480" s="263"/>
      <c r="G3480" s="274"/>
    </row>
    <row r="3481" spans="1:7" ht="17.45" customHeight="1">
      <c r="A3481" s="261" t="s">
        <v>8</v>
      </c>
      <c r="C3481" s="271" t="s">
        <v>1672</v>
      </c>
      <c r="D3481" s="497"/>
      <c r="E3481" s="499">
        <v>72200</v>
      </c>
      <c r="F3481" s="263"/>
      <c r="G3481" s="273" t="s">
        <v>2732</v>
      </c>
    </row>
    <row r="3482" spans="1:7" ht="17.45" customHeight="1">
      <c r="A3482" s="261" t="s">
        <v>8</v>
      </c>
      <c r="C3482" s="271" t="s">
        <v>1673</v>
      </c>
      <c r="D3482" s="497"/>
      <c r="E3482" s="497"/>
      <c r="F3482" s="263"/>
      <c r="G3482" s="274"/>
    </row>
    <row r="3483" spans="1:7" ht="17.45" customHeight="1">
      <c r="A3483" s="261" t="s">
        <v>8</v>
      </c>
      <c r="C3483" s="271" t="s">
        <v>1332</v>
      </c>
      <c r="D3483" s="497"/>
      <c r="E3483" s="499">
        <v>34650</v>
      </c>
      <c r="F3483" s="263"/>
      <c r="G3483" s="275"/>
    </row>
    <row r="3484" spans="1:7" ht="17.45" customHeight="1">
      <c r="A3484" s="261" t="s">
        <v>8</v>
      </c>
      <c r="C3484" s="271" t="s">
        <v>1271</v>
      </c>
      <c r="D3484" s="497"/>
      <c r="E3484" s="497"/>
      <c r="F3484" s="263"/>
      <c r="G3484" s="274"/>
    </row>
    <row r="3485" spans="1:7" ht="17.45" customHeight="1">
      <c r="A3485" s="261" t="s">
        <v>8</v>
      </c>
      <c r="C3485" s="271" t="s">
        <v>1272</v>
      </c>
      <c r="D3485" s="497"/>
      <c r="E3485" s="497"/>
      <c r="F3485" s="263"/>
      <c r="G3485" s="273"/>
    </row>
    <row r="3486" spans="1:7" ht="17.45" customHeight="1">
      <c r="A3486" s="261" t="s">
        <v>8</v>
      </c>
      <c r="C3486" s="271" t="s">
        <v>3009</v>
      </c>
      <c r="D3486" s="497"/>
      <c r="E3486" s="499">
        <f>20763*2</f>
        <v>41526</v>
      </c>
      <c r="F3486" s="263"/>
      <c r="G3486" s="273" t="s">
        <v>2732</v>
      </c>
    </row>
    <row r="3487" spans="1:7" ht="17.45" customHeight="1">
      <c r="A3487" s="261" t="s">
        <v>8</v>
      </c>
      <c r="C3487" s="271" t="s">
        <v>3010</v>
      </c>
      <c r="D3487" s="497"/>
      <c r="E3487" s="499">
        <v>900</v>
      </c>
      <c r="F3487" s="263"/>
      <c r="G3487" s="273"/>
    </row>
    <row r="3488" spans="1:7" ht="17.45" customHeight="1">
      <c r="A3488" s="261" t="s">
        <v>8</v>
      </c>
      <c r="C3488" s="271" t="s">
        <v>1273</v>
      </c>
      <c r="D3488" s="497"/>
      <c r="E3488" s="499">
        <v>29920</v>
      </c>
      <c r="F3488" s="263"/>
      <c r="G3488" s="273" t="s">
        <v>2732</v>
      </c>
    </row>
    <row r="3489" spans="1:7" ht="17.45" customHeight="1">
      <c r="A3489" s="261" t="s">
        <v>8</v>
      </c>
      <c r="C3489" s="271" t="s">
        <v>1274</v>
      </c>
      <c r="D3489" s="497"/>
      <c r="E3489" s="499">
        <v>3757</v>
      </c>
      <c r="F3489" s="263"/>
      <c r="G3489" s="273"/>
    </row>
    <row r="3490" spans="1:7" ht="17.45" customHeight="1">
      <c r="A3490" s="261" t="s">
        <v>8</v>
      </c>
      <c r="C3490" s="271" t="s">
        <v>2168</v>
      </c>
      <c r="D3490" s="497"/>
      <c r="E3490" s="499">
        <v>18816</v>
      </c>
      <c r="F3490" s="263"/>
      <c r="G3490" s="273" t="s">
        <v>2732</v>
      </c>
    </row>
    <row r="3491" spans="1:7" ht="17.45" customHeight="1">
      <c r="A3491" s="261" t="s">
        <v>8</v>
      </c>
      <c r="C3491" s="271" t="s">
        <v>1517</v>
      </c>
      <c r="D3491" s="497"/>
      <c r="E3491" s="499">
        <f>23230*2</f>
        <v>46460</v>
      </c>
      <c r="F3491" s="263"/>
      <c r="G3491" s="273" t="s">
        <v>2732</v>
      </c>
    </row>
    <row r="3492" spans="1:7" ht="17.45" customHeight="1">
      <c r="A3492" s="261" t="s">
        <v>8</v>
      </c>
      <c r="C3492" s="271" t="s">
        <v>1276</v>
      </c>
      <c r="D3492" s="497"/>
      <c r="E3492" s="499">
        <v>264370</v>
      </c>
      <c r="F3492" s="263"/>
      <c r="G3492" s="273" t="s">
        <v>2732</v>
      </c>
    </row>
    <row r="3493" spans="1:7" ht="17.45" customHeight="1">
      <c r="A3493" s="261" t="s">
        <v>8</v>
      </c>
      <c r="C3493" s="271" t="s">
        <v>1277</v>
      </c>
      <c r="D3493" s="497"/>
      <c r="E3493" s="499">
        <v>78180</v>
      </c>
      <c r="F3493" s="263"/>
      <c r="G3493" s="273" t="s">
        <v>2732</v>
      </c>
    </row>
    <row r="3494" spans="1:7" ht="17.45" customHeight="1">
      <c r="A3494" s="261" t="s">
        <v>8</v>
      </c>
      <c r="C3494" s="271" t="s">
        <v>1278</v>
      </c>
      <c r="D3494" s="497"/>
      <c r="E3494" s="499">
        <v>200000</v>
      </c>
      <c r="F3494" s="263"/>
      <c r="G3494" s="273"/>
    </row>
    <row r="3495" spans="1:7" ht="17.45" customHeight="1">
      <c r="A3495" s="261" t="s">
        <v>8</v>
      </c>
      <c r="C3495" s="285" t="s">
        <v>1413</v>
      </c>
      <c r="D3495" s="506"/>
      <c r="E3495" s="507">
        <f>1500000</f>
        <v>1500000</v>
      </c>
      <c r="F3495" s="286"/>
      <c r="G3495" s="287"/>
    </row>
    <row r="3496" spans="1:7" ht="17.25" customHeight="1">
      <c r="A3496" s="261" t="s">
        <v>8</v>
      </c>
      <c r="C3496" s="338" t="s">
        <v>2661</v>
      </c>
      <c r="D3496" s="497"/>
      <c r="E3496" s="497"/>
      <c r="F3496" s="263"/>
      <c r="G3496" s="275"/>
    </row>
    <row r="3497" spans="1:7" ht="17.45" customHeight="1">
      <c r="A3497" s="261" t="s">
        <v>8</v>
      </c>
      <c r="C3497" s="339" t="s">
        <v>3248</v>
      </c>
      <c r="D3497" s="506"/>
      <c r="E3497" s="507">
        <v>3000000</v>
      </c>
      <c r="F3497" s="286"/>
      <c r="G3497" s="290"/>
    </row>
    <row r="3498" spans="1:7" ht="17.45" customHeight="1">
      <c r="A3498" s="261" t="s">
        <v>8</v>
      </c>
      <c r="C3498" s="339" t="s">
        <v>2647</v>
      </c>
      <c r="D3498" s="506"/>
      <c r="E3498" s="506"/>
      <c r="F3498" s="286"/>
      <c r="G3498" s="290"/>
    </row>
    <row r="3499" spans="1:7" ht="17.45" customHeight="1" thickBot="1">
      <c r="A3499" s="261" t="s">
        <v>8</v>
      </c>
      <c r="C3499" s="285" t="s">
        <v>1942</v>
      </c>
      <c r="D3499" s="506"/>
      <c r="E3499" s="507">
        <v>20000</v>
      </c>
      <c r="F3499" s="286"/>
      <c r="G3499" s="290"/>
    </row>
    <row r="3500" spans="1:7" ht="17.45" customHeight="1">
      <c r="A3500" s="261" t="s">
        <v>8</v>
      </c>
      <c r="C3500" s="268" t="s">
        <v>1280</v>
      </c>
      <c r="D3500" s="501"/>
      <c r="E3500" s="500">
        <f>50000*2</f>
        <v>100000</v>
      </c>
      <c r="F3500" s="269"/>
      <c r="G3500" s="288"/>
    </row>
    <row r="3501" spans="1:7" ht="17.45" customHeight="1">
      <c r="A3501" s="261" t="s">
        <v>8</v>
      </c>
      <c r="C3501" s="271" t="s">
        <v>1549</v>
      </c>
      <c r="D3501" s="497"/>
      <c r="E3501" s="497"/>
      <c r="F3501" s="263"/>
      <c r="G3501" s="275"/>
    </row>
    <row r="3502" spans="1:7" ht="17.45" customHeight="1">
      <c r="A3502" s="261" t="s">
        <v>8</v>
      </c>
      <c r="C3502" s="271" t="s">
        <v>1819</v>
      </c>
      <c r="D3502" s="497"/>
      <c r="E3502" s="497"/>
      <c r="F3502" s="263"/>
      <c r="G3502" s="275"/>
    </row>
    <row r="3503" spans="1:7" ht="17.45" customHeight="1">
      <c r="A3503" s="261" t="s">
        <v>8</v>
      </c>
      <c r="C3503" s="271" t="s">
        <v>391</v>
      </c>
      <c r="D3503" s="497"/>
      <c r="E3503" s="497"/>
      <c r="F3503" s="263"/>
      <c r="G3503" s="275"/>
    </row>
    <row r="3504" spans="1:7" ht="17.45" customHeight="1">
      <c r="A3504" s="261" t="s">
        <v>8</v>
      </c>
      <c r="C3504" s="271" t="s">
        <v>1934</v>
      </c>
      <c r="D3504" s="497"/>
      <c r="E3504" s="497"/>
      <c r="F3504" s="263"/>
      <c r="G3504" s="275"/>
    </row>
    <row r="3505" spans="1:7" ht="17.25" customHeight="1">
      <c r="A3505" s="261" t="s">
        <v>8</v>
      </c>
      <c r="C3505" s="271" t="s">
        <v>2202</v>
      </c>
      <c r="D3505" s="497"/>
      <c r="E3505" s="497"/>
      <c r="F3505" s="263"/>
      <c r="G3505" s="275"/>
    </row>
    <row r="3506" spans="1:7" ht="17.45" customHeight="1">
      <c r="A3506" s="261" t="s">
        <v>8</v>
      </c>
      <c r="C3506" s="271" t="s">
        <v>2654</v>
      </c>
      <c r="D3506" s="497"/>
      <c r="E3506" s="497"/>
      <c r="F3506" s="263"/>
      <c r="G3506" s="275"/>
    </row>
    <row r="3507" spans="1:7" ht="17.45" customHeight="1">
      <c r="A3507" s="261" t="s">
        <v>8</v>
      </c>
      <c r="C3507" s="271" t="s">
        <v>2097</v>
      </c>
      <c r="D3507" s="497"/>
      <c r="E3507" s="497"/>
      <c r="F3507" s="263"/>
      <c r="G3507" s="275"/>
    </row>
    <row r="3508" spans="1:7" ht="17.45" customHeight="1">
      <c r="A3508" s="261" t="s">
        <v>8</v>
      </c>
      <c r="C3508" s="271" t="s">
        <v>1687</v>
      </c>
      <c r="D3508" s="497"/>
      <c r="E3508" s="497"/>
      <c r="F3508" s="263"/>
      <c r="G3508" s="275"/>
    </row>
    <row r="3509" spans="1:7" ht="17.45" customHeight="1">
      <c r="A3509" s="261" t="s">
        <v>8</v>
      </c>
      <c r="C3509" s="271" t="s">
        <v>1688</v>
      </c>
      <c r="D3509" s="497"/>
      <c r="E3509" s="499">
        <f>55000</f>
        <v>55000</v>
      </c>
      <c r="F3509" s="263"/>
      <c r="G3509" s="275"/>
    </row>
    <row r="3510" spans="1:7" ht="17.45" customHeight="1">
      <c r="A3510" s="261" t="s">
        <v>8</v>
      </c>
      <c r="C3510" s="271" t="s">
        <v>1602</v>
      </c>
      <c r="D3510" s="497"/>
      <c r="E3510" s="497"/>
      <c r="F3510" s="263"/>
      <c r="G3510" s="275"/>
    </row>
    <row r="3511" spans="1:7" ht="17.45" customHeight="1">
      <c r="A3511" s="261" t="s">
        <v>8</v>
      </c>
      <c r="C3511" s="271" t="s">
        <v>1596</v>
      </c>
      <c r="D3511" s="497"/>
      <c r="E3511" s="499">
        <f>4000+3500</f>
        <v>7500</v>
      </c>
      <c r="F3511" s="263"/>
      <c r="G3511" s="275"/>
    </row>
    <row r="3512" spans="1:7" ht="17.45" customHeight="1">
      <c r="A3512" s="261" t="s">
        <v>8</v>
      </c>
      <c r="C3512" s="271" t="s">
        <v>1595</v>
      </c>
      <c r="D3512" s="497"/>
      <c r="E3512" s="499">
        <f>4000+3200</f>
        <v>7200</v>
      </c>
      <c r="F3512" s="263"/>
      <c r="G3512" s="275"/>
    </row>
    <row r="3513" spans="1:7" ht="17.45" customHeight="1">
      <c r="A3513" s="261" t="s">
        <v>8</v>
      </c>
      <c r="C3513" s="271" t="s">
        <v>2822</v>
      </c>
      <c r="D3513" s="497"/>
      <c r="E3513" s="499">
        <f>5400+1900+1800+13600</f>
        <v>22700</v>
      </c>
      <c r="F3513" s="263"/>
      <c r="G3513" s="275"/>
    </row>
    <row r="3514" spans="1:7" ht="17.45" customHeight="1">
      <c r="A3514" s="261" t="s">
        <v>8</v>
      </c>
      <c r="C3514" s="271" t="s">
        <v>2821</v>
      </c>
      <c r="D3514" s="497"/>
      <c r="F3514" s="263"/>
      <c r="G3514" s="273" t="s">
        <v>3373</v>
      </c>
    </row>
    <row r="3515" spans="1:7" ht="17.45" customHeight="1">
      <c r="A3515" s="261" t="s">
        <v>8</v>
      </c>
      <c r="C3515" s="271" t="s">
        <v>1689</v>
      </c>
      <c r="D3515" s="497"/>
      <c r="E3515" s="497"/>
      <c r="F3515" s="263"/>
      <c r="G3515" s="275"/>
    </row>
    <row r="3516" spans="1:7" ht="17.45" customHeight="1">
      <c r="A3516" s="261" t="s">
        <v>8</v>
      </c>
      <c r="C3516" s="271" t="s">
        <v>1569</v>
      </c>
      <c r="D3516" s="497"/>
      <c r="E3516" s="499">
        <v>81300</v>
      </c>
      <c r="F3516" s="263"/>
      <c r="G3516" s="275"/>
    </row>
    <row r="3517" spans="1:7" ht="17.45" customHeight="1">
      <c r="A3517" s="261" t="s">
        <v>8</v>
      </c>
      <c r="C3517" s="271" t="s">
        <v>1618</v>
      </c>
      <c r="D3517" s="497"/>
      <c r="E3517" s="499">
        <f>5580+8460+9860+6330+19550+19980+2780</f>
        <v>72540</v>
      </c>
      <c r="F3517" s="263"/>
      <c r="G3517" s="275"/>
    </row>
    <row r="3518" spans="1:7" ht="17.45" customHeight="1">
      <c r="A3518" s="261" t="s">
        <v>8</v>
      </c>
      <c r="C3518" s="271" t="s">
        <v>2810</v>
      </c>
      <c r="D3518" s="497"/>
      <c r="E3518" s="499">
        <f>66300+56300</f>
        <v>122600</v>
      </c>
      <c r="F3518" s="263"/>
      <c r="G3518" s="275"/>
    </row>
    <row r="3519" spans="1:7" ht="17.45" customHeight="1" thickBot="1">
      <c r="A3519" s="261" t="s">
        <v>8</v>
      </c>
      <c r="C3519" s="276" t="s">
        <v>2699</v>
      </c>
      <c r="D3519" s="502"/>
      <c r="E3519" s="503">
        <f>23800+27500+8500+24000+20200</f>
        <v>104000</v>
      </c>
      <c r="F3519" s="277"/>
      <c r="G3519" s="282"/>
    </row>
    <row r="3520" spans="1:7" ht="17.45" customHeight="1">
      <c r="A3520" s="261" t="s">
        <v>8</v>
      </c>
      <c r="C3520" s="279" t="s">
        <v>3534</v>
      </c>
      <c r="D3520" s="504"/>
      <c r="E3520" s="505">
        <v>18000</v>
      </c>
      <c r="F3520" s="280"/>
      <c r="G3520" s="273" t="s">
        <v>2732</v>
      </c>
    </row>
    <row r="3521" spans="1:7" ht="17.45" customHeight="1">
      <c r="A3521" s="261" t="s">
        <v>8</v>
      </c>
      <c r="C3521" s="284" t="s">
        <v>3535</v>
      </c>
      <c r="D3521" s="497"/>
      <c r="E3521" s="499">
        <f>13100+12600+13500</f>
        <v>39200</v>
      </c>
      <c r="F3521" s="263"/>
      <c r="G3521" s="275"/>
    </row>
    <row r="3522" spans="1:7" ht="17.45" customHeight="1">
      <c r="A3522" s="261" t="s">
        <v>8</v>
      </c>
      <c r="C3522" s="271" t="s">
        <v>3536</v>
      </c>
      <c r="D3522" s="497"/>
      <c r="E3522" s="499">
        <f>-208400+1600</f>
        <v>-206800</v>
      </c>
      <c r="F3522" s="263"/>
      <c r="G3522" s="275"/>
    </row>
    <row r="3523" spans="1:7" ht="17.45" customHeight="1">
      <c r="A3523" s="261" t="s">
        <v>8</v>
      </c>
      <c r="C3523" s="271" t="s">
        <v>3537</v>
      </c>
      <c r="D3523" s="497"/>
      <c r="E3523" s="499">
        <f>570000-496000</f>
        <v>74000</v>
      </c>
      <c r="F3523" s="263"/>
      <c r="G3523" s="275"/>
    </row>
    <row r="3524" spans="1:7" ht="17.45" customHeight="1">
      <c r="A3524" s="261" t="s">
        <v>8</v>
      </c>
      <c r="C3524" s="271" t="s">
        <v>3538</v>
      </c>
      <c r="D3524" s="497"/>
      <c r="E3524" s="499">
        <v>30000</v>
      </c>
      <c r="F3524" s="263"/>
      <c r="G3524" s="275"/>
    </row>
    <row r="3525" spans="1:7" ht="17.45" customHeight="1">
      <c r="A3525" s="261" t="s">
        <v>8</v>
      </c>
      <c r="C3525" s="271" t="s">
        <v>3539</v>
      </c>
      <c r="D3525" s="497"/>
      <c r="E3525" s="499">
        <v>7600</v>
      </c>
      <c r="F3525" s="263"/>
      <c r="G3525" s="275"/>
    </row>
    <row r="3526" spans="1:7" ht="17.45" customHeight="1">
      <c r="A3526" s="261" t="s">
        <v>8</v>
      </c>
      <c r="C3526" s="271" t="s">
        <v>3540</v>
      </c>
      <c r="D3526" s="497"/>
      <c r="E3526" s="499">
        <v>6000</v>
      </c>
      <c r="F3526" s="263"/>
      <c r="G3526" s="275"/>
    </row>
    <row r="3527" spans="1:7" ht="17.45" customHeight="1">
      <c r="A3527" s="261" t="s">
        <v>8</v>
      </c>
      <c r="C3527" s="271" t="s">
        <v>3541</v>
      </c>
      <c r="D3527" s="497"/>
      <c r="E3527" s="499">
        <v>25500</v>
      </c>
      <c r="F3527" s="263"/>
      <c r="G3527" s="275"/>
    </row>
    <row r="3528" spans="1:7" ht="17.45" customHeight="1">
      <c r="A3528" s="261" t="s">
        <v>8</v>
      </c>
      <c r="C3528" s="284" t="s">
        <v>3542</v>
      </c>
      <c r="D3528" s="497"/>
      <c r="E3528" s="499">
        <v>13700</v>
      </c>
      <c r="F3528" s="263"/>
      <c r="G3528" s="275"/>
    </row>
    <row r="3529" spans="1:7" ht="17.45" customHeight="1">
      <c r="A3529" s="261" t="s">
        <v>8</v>
      </c>
      <c r="C3529" s="271" t="s">
        <v>3543</v>
      </c>
      <c r="D3529" s="497"/>
      <c r="E3529" s="499">
        <v>1000</v>
      </c>
      <c r="F3529" s="263"/>
      <c r="G3529" s="275"/>
    </row>
    <row r="3530" spans="1:7" ht="17.45" customHeight="1">
      <c r="A3530" s="261" t="s">
        <v>8</v>
      </c>
      <c r="C3530" s="271" t="s">
        <v>3544</v>
      </c>
      <c r="D3530" s="497"/>
      <c r="E3530" s="499">
        <v>14400</v>
      </c>
      <c r="F3530" s="263"/>
      <c r="G3530" s="275"/>
    </row>
    <row r="3531" spans="1:7" ht="17.45" customHeight="1">
      <c r="A3531" s="261" t="s">
        <v>8</v>
      </c>
      <c r="C3531" s="271" t="s">
        <v>3545</v>
      </c>
      <c r="D3531" s="499">
        <v>221780</v>
      </c>
      <c r="E3531" s="497"/>
      <c r="F3531" s="263"/>
      <c r="G3531" s="275"/>
    </row>
    <row r="3532" spans="1:7" ht="17.45" customHeight="1">
      <c r="A3532" s="261" t="s">
        <v>8</v>
      </c>
      <c r="C3532" s="271" t="s">
        <v>3546</v>
      </c>
      <c r="D3532" s="499">
        <v>16400</v>
      </c>
      <c r="E3532" s="497"/>
      <c r="F3532" s="263"/>
      <c r="G3532" s="275"/>
    </row>
    <row r="3533" spans="1:7" ht="17.45" customHeight="1">
      <c r="A3533" s="261" t="s">
        <v>8</v>
      </c>
      <c r="C3533" s="284" t="s">
        <v>3547</v>
      </c>
      <c r="D3533" s="497"/>
      <c r="E3533" s="499">
        <v>38000</v>
      </c>
      <c r="F3533" s="263"/>
      <c r="G3533" s="275"/>
    </row>
    <row r="3534" spans="1:7" ht="17.45" customHeight="1">
      <c r="A3534" s="261" t="s">
        <v>8</v>
      </c>
      <c r="C3534" s="271" t="s">
        <v>3548</v>
      </c>
      <c r="D3534" s="499">
        <v>40309</v>
      </c>
      <c r="E3534" s="497"/>
      <c r="F3534" s="263"/>
      <c r="G3534" s="275"/>
    </row>
    <row r="3535" spans="1:7" ht="17.45" customHeight="1">
      <c r="A3535" s="261" t="s">
        <v>8</v>
      </c>
      <c r="C3535" s="271" t="s">
        <v>3549</v>
      </c>
      <c r="D3535" s="499">
        <f>74991+61949</f>
        <v>136940</v>
      </c>
      <c r="E3535" s="497"/>
      <c r="F3535" s="263"/>
      <c r="G3535" s="275"/>
    </row>
    <row r="3536" spans="1:7" ht="17.45" customHeight="1">
      <c r="A3536" s="261" t="s">
        <v>8</v>
      </c>
      <c r="C3536" s="271" t="s">
        <v>3550</v>
      </c>
      <c r="D3536" s="497"/>
      <c r="E3536" s="499">
        <f>4000-4000</f>
        <v>0</v>
      </c>
      <c r="F3536" s="263"/>
      <c r="G3536" s="275"/>
    </row>
    <row r="3537" spans="1:7" ht="17.45" customHeight="1">
      <c r="A3537" s="261" t="s">
        <v>8</v>
      </c>
      <c r="C3537" s="271" t="s">
        <v>3551</v>
      </c>
      <c r="D3537" s="497"/>
      <c r="E3537" s="499">
        <v>18500</v>
      </c>
      <c r="F3537" s="263"/>
      <c r="G3537" s="275"/>
    </row>
    <row r="3538" spans="1:7" ht="17.45" customHeight="1">
      <c r="A3538" s="261" t="s">
        <v>8</v>
      </c>
      <c r="C3538" s="271" t="s">
        <v>3552</v>
      </c>
      <c r="D3538" s="497"/>
      <c r="E3538" s="499">
        <v>200000</v>
      </c>
      <c r="F3538" s="263"/>
      <c r="G3538" s="275"/>
    </row>
    <row r="3539" spans="1:7" ht="17.45" customHeight="1">
      <c r="A3539" s="261" t="s">
        <v>8</v>
      </c>
      <c r="C3539" s="271" t="s">
        <v>3553</v>
      </c>
      <c r="D3539" s="497"/>
      <c r="E3539" s="499">
        <v>4700</v>
      </c>
      <c r="F3539" s="263"/>
      <c r="G3539" s="275"/>
    </row>
    <row r="3540" spans="1:7" ht="17.45" customHeight="1">
      <c r="A3540" s="261" t="s">
        <v>8</v>
      </c>
      <c r="C3540" s="271" t="s">
        <v>3554</v>
      </c>
      <c r="D3540" s="497"/>
      <c r="E3540" s="499">
        <v>2900</v>
      </c>
      <c r="F3540" s="263"/>
      <c r="G3540" s="275"/>
    </row>
    <row r="3541" spans="1:7" ht="17.45" customHeight="1">
      <c r="A3541" s="261" t="s">
        <v>8</v>
      </c>
      <c r="C3541" s="271" t="s">
        <v>3555</v>
      </c>
      <c r="D3541" s="499">
        <v>672</v>
      </c>
      <c r="E3541" s="497"/>
      <c r="F3541" s="263"/>
      <c r="G3541" s="275"/>
    </row>
    <row r="3542" spans="1:7" ht="17.45" customHeight="1">
      <c r="A3542" s="261" t="s">
        <v>8</v>
      </c>
      <c r="C3542" s="271" t="s">
        <v>3556</v>
      </c>
      <c r="D3542" s="497"/>
      <c r="E3542" s="499">
        <v>1000</v>
      </c>
      <c r="F3542" s="263"/>
      <c r="G3542" s="275"/>
    </row>
    <row r="3543" spans="1:7" ht="17.45" customHeight="1">
      <c r="A3543" s="261" t="s">
        <v>8</v>
      </c>
      <c r="C3543" s="271" t="s">
        <v>3557</v>
      </c>
      <c r="D3543" s="497"/>
      <c r="E3543" s="499">
        <v>8000</v>
      </c>
      <c r="F3543" s="263"/>
      <c r="G3543" s="275"/>
    </row>
    <row r="3544" spans="1:7" ht="17.45" customHeight="1">
      <c r="A3544" s="261" t="s">
        <v>8</v>
      </c>
      <c r="C3544" s="271" t="s">
        <v>3558</v>
      </c>
      <c r="D3544" s="497"/>
      <c r="E3544" s="499">
        <v>518400</v>
      </c>
      <c r="F3544" s="263"/>
      <c r="G3544" s="275"/>
    </row>
    <row r="3545" spans="1:7" ht="17.45" customHeight="1" thickBot="1">
      <c r="A3545" s="261" t="s">
        <v>8</v>
      </c>
      <c r="C3545" s="276" t="s">
        <v>1300</v>
      </c>
      <c r="D3545" s="502">
        <f>SUM(D3475:D3544)-SUM(E3475:E3544)</f>
        <v>1859189</v>
      </c>
      <c r="E3545" s="502">
        <f>SUM(E3475:E3544)-SUM(F3475:F3544)</f>
        <v>7938719</v>
      </c>
      <c r="F3545" s="277"/>
      <c r="G3545" s="283"/>
    </row>
    <row r="3547" spans="1:7" ht="12.75" thickBot="1"/>
    <row r="3548" spans="1:7" ht="17.45" customHeight="1">
      <c r="A3548" s="261" t="s">
        <v>8</v>
      </c>
      <c r="B3548" s="256" t="s">
        <v>3559</v>
      </c>
      <c r="C3548" s="268" t="s">
        <v>1268</v>
      </c>
      <c r="D3548" s="500">
        <v>6725227</v>
      </c>
      <c r="E3548" s="501"/>
      <c r="F3548" s="269"/>
      <c r="G3548" s="270"/>
    </row>
    <row r="3549" spans="1:7" ht="17.45" customHeight="1">
      <c r="A3549" s="261" t="s">
        <v>8</v>
      </c>
      <c r="B3549" s="257"/>
      <c r="C3549" s="271" t="s">
        <v>2722</v>
      </c>
      <c r="D3549" s="497"/>
      <c r="E3549" s="497"/>
      <c r="F3549" s="263"/>
      <c r="G3549" s="272"/>
    </row>
    <row r="3550" spans="1:7" ht="17.45" customHeight="1">
      <c r="A3550" s="261" t="s">
        <v>8</v>
      </c>
      <c r="B3550" s="257"/>
      <c r="C3550" s="271" t="s">
        <v>3047</v>
      </c>
      <c r="D3550" s="497"/>
      <c r="E3550" s="497"/>
      <c r="F3550" s="263"/>
      <c r="G3550" s="272"/>
    </row>
    <row r="3551" spans="1:7" ht="17.45" customHeight="1">
      <c r="A3551" s="261" t="s">
        <v>8</v>
      </c>
      <c r="B3551" s="257"/>
      <c r="C3551" s="271" t="s">
        <v>1269</v>
      </c>
      <c r="D3551" s="497"/>
      <c r="E3551" s="499">
        <v>401000</v>
      </c>
      <c r="F3551" s="263"/>
      <c r="G3551" s="272" t="s">
        <v>3589</v>
      </c>
    </row>
    <row r="3552" spans="1:7" ht="17.45" customHeight="1">
      <c r="A3552" s="261" t="s">
        <v>8</v>
      </c>
      <c r="C3552" s="271" t="s">
        <v>1270</v>
      </c>
      <c r="D3552" s="497"/>
      <c r="E3552" s="499">
        <v>830000</v>
      </c>
      <c r="F3552" s="263"/>
      <c r="G3552" s="273" t="s">
        <v>3532</v>
      </c>
    </row>
    <row r="3553" spans="1:7" ht="17.45" customHeight="1">
      <c r="A3553" s="261" t="s">
        <v>8</v>
      </c>
      <c r="C3553" s="271" t="s">
        <v>1670</v>
      </c>
      <c r="D3553" s="497"/>
      <c r="E3553" s="497"/>
      <c r="F3553" s="263"/>
      <c r="G3553" s="274"/>
    </row>
    <row r="3554" spans="1:7" ht="17.45" customHeight="1">
      <c r="A3554" s="261" t="s">
        <v>8</v>
      </c>
      <c r="C3554" s="271" t="s">
        <v>1672</v>
      </c>
      <c r="D3554" s="497"/>
      <c r="E3554" s="499">
        <v>72200</v>
      </c>
      <c r="F3554" s="263"/>
      <c r="G3554" s="273" t="s">
        <v>2732</v>
      </c>
    </row>
    <row r="3555" spans="1:7" ht="17.45" customHeight="1">
      <c r="A3555" s="261" t="s">
        <v>8</v>
      </c>
      <c r="C3555" s="271" t="s">
        <v>1673</v>
      </c>
      <c r="D3555" s="497"/>
      <c r="E3555" s="497"/>
      <c r="F3555" s="263"/>
      <c r="G3555" s="274"/>
    </row>
    <row r="3556" spans="1:7" ht="17.45" customHeight="1">
      <c r="A3556" s="261" t="s">
        <v>8</v>
      </c>
      <c r="C3556" s="271" t="s">
        <v>1332</v>
      </c>
      <c r="D3556" s="497"/>
      <c r="E3556" s="499">
        <v>34650</v>
      </c>
      <c r="F3556" s="263"/>
      <c r="G3556" s="275"/>
    </row>
    <row r="3557" spans="1:7" ht="17.45" customHeight="1">
      <c r="A3557" s="261" t="s">
        <v>8</v>
      </c>
      <c r="C3557" s="271" t="s">
        <v>1271</v>
      </c>
      <c r="D3557" s="497"/>
      <c r="E3557" s="497"/>
      <c r="F3557" s="263"/>
      <c r="G3557" s="274"/>
    </row>
    <row r="3558" spans="1:7" ht="17.45" customHeight="1">
      <c r="A3558" s="261" t="s">
        <v>8</v>
      </c>
      <c r="C3558" s="271" t="s">
        <v>1272</v>
      </c>
      <c r="D3558" s="497"/>
      <c r="E3558" s="497"/>
      <c r="F3558" s="263"/>
      <c r="G3558" s="273"/>
    </row>
    <row r="3559" spans="1:7" ht="17.45" customHeight="1">
      <c r="A3559" s="261" t="s">
        <v>8</v>
      </c>
      <c r="C3559" s="271" t="s">
        <v>3009</v>
      </c>
      <c r="D3559" s="497"/>
      <c r="E3559" s="499">
        <v>21136</v>
      </c>
      <c r="F3559" s="263"/>
      <c r="G3559" s="273" t="s">
        <v>2732</v>
      </c>
    </row>
    <row r="3560" spans="1:7" ht="17.45" customHeight="1">
      <c r="A3560" s="261" t="s">
        <v>8</v>
      </c>
      <c r="C3560" s="271" t="s">
        <v>3010</v>
      </c>
      <c r="D3560" s="497"/>
      <c r="E3560" s="499">
        <v>900</v>
      </c>
      <c r="F3560" s="263"/>
      <c r="G3560" s="273"/>
    </row>
    <row r="3561" spans="1:7" ht="17.45" customHeight="1">
      <c r="A3561" s="261" t="s">
        <v>8</v>
      </c>
      <c r="C3561" s="271" t="s">
        <v>1273</v>
      </c>
      <c r="D3561" s="497"/>
      <c r="E3561" s="499">
        <v>29920</v>
      </c>
      <c r="F3561" s="263"/>
      <c r="G3561" s="273" t="s">
        <v>2732</v>
      </c>
    </row>
    <row r="3562" spans="1:7" ht="17.45" customHeight="1">
      <c r="A3562" s="261" t="s">
        <v>8</v>
      </c>
      <c r="C3562" s="271" t="s">
        <v>1274</v>
      </c>
      <c r="D3562" s="497"/>
      <c r="E3562" s="499">
        <v>3757</v>
      </c>
      <c r="F3562" s="263"/>
      <c r="G3562" s="273"/>
    </row>
    <row r="3563" spans="1:7" ht="17.45" customHeight="1">
      <c r="A3563" s="261" t="s">
        <v>8</v>
      </c>
      <c r="C3563" s="271" t="s">
        <v>2168</v>
      </c>
      <c r="D3563" s="497"/>
      <c r="E3563" s="499">
        <v>18816</v>
      </c>
      <c r="F3563" s="263"/>
      <c r="G3563" s="273" t="s">
        <v>2732</v>
      </c>
    </row>
    <row r="3564" spans="1:7" ht="17.45" customHeight="1">
      <c r="A3564" s="261" t="s">
        <v>8</v>
      </c>
      <c r="C3564" s="271" t="s">
        <v>1517</v>
      </c>
      <c r="D3564" s="497"/>
      <c r="E3564" s="499">
        <f>23230</f>
        <v>23230</v>
      </c>
      <c r="F3564" s="263"/>
      <c r="G3564" s="273" t="s">
        <v>2732</v>
      </c>
    </row>
    <row r="3565" spans="1:7" ht="17.45" customHeight="1">
      <c r="A3565" s="261" t="s">
        <v>8</v>
      </c>
      <c r="C3565" s="271" t="s">
        <v>1276</v>
      </c>
      <c r="D3565" s="497"/>
      <c r="E3565" s="499">
        <v>308070</v>
      </c>
      <c r="F3565" s="263"/>
      <c r="G3565" s="273" t="s">
        <v>2732</v>
      </c>
    </row>
    <row r="3566" spans="1:7" ht="17.45" customHeight="1">
      <c r="A3566" s="261" t="s">
        <v>8</v>
      </c>
      <c r="C3566" s="271" t="s">
        <v>1277</v>
      </c>
      <c r="D3566" s="497"/>
      <c r="E3566" s="499">
        <v>88610</v>
      </c>
      <c r="F3566" s="263"/>
      <c r="G3566" s="273" t="s">
        <v>2732</v>
      </c>
    </row>
    <row r="3567" spans="1:7" ht="17.45" customHeight="1">
      <c r="A3567" s="261" t="s">
        <v>8</v>
      </c>
      <c r="C3567" s="271" t="s">
        <v>1278</v>
      </c>
      <c r="D3567" s="497"/>
      <c r="E3567" s="499">
        <v>200000</v>
      </c>
      <c r="F3567" s="263"/>
      <c r="G3567" s="273"/>
    </row>
    <row r="3568" spans="1:7" ht="17.45" customHeight="1">
      <c r="A3568" s="261" t="s">
        <v>8</v>
      </c>
      <c r="C3568" s="285" t="s">
        <v>1413</v>
      </c>
      <c r="D3568" s="506"/>
      <c r="E3568" s="507">
        <f>1500000</f>
        <v>1500000</v>
      </c>
      <c r="F3568" s="286"/>
      <c r="G3568" s="287"/>
    </row>
    <row r="3569" spans="1:7" ht="17.25" customHeight="1">
      <c r="A3569" s="261" t="s">
        <v>8</v>
      </c>
      <c r="C3569" s="338" t="s">
        <v>2661</v>
      </c>
      <c r="D3569" s="497"/>
      <c r="E3569" s="497"/>
      <c r="F3569" s="263"/>
      <c r="G3569" s="275"/>
    </row>
    <row r="3570" spans="1:7" ht="17.45" customHeight="1">
      <c r="A3570" s="261" t="s">
        <v>8</v>
      </c>
      <c r="C3570" s="339" t="s">
        <v>3248</v>
      </c>
      <c r="D3570" s="506"/>
      <c r="E3570" s="506"/>
      <c r="F3570" s="286"/>
      <c r="G3570" s="290"/>
    </row>
    <row r="3571" spans="1:7" ht="17.45" customHeight="1">
      <c r="A3571" s="261" t="s">
        <v>8</v>
      </c>
      <c r="C3571" s="339" t="s">
        <v>2647</v>
      </c>
      <c r="D3571" s="506"/>
      <c r="E3571" s="506"/>
      <c r="F3571" s="286"/>
      <c r="G3571" s="290"/>
    </row>
    <row r="3572" spans="1:7" ht="17.45" customHeight="1" thickBot="1">
      <c r="A3572" s="261" t="s">
        <v>8</v>
      </c>
      <c r="C3572" s="285" t="s">
        <v>1942</v>
      </c>
      <c r="D3572" s="506"/>
      <c r="E3572" s="507">
        <v>20000</v>
      </c>
      <c r="F3572" s="286"/>
      <c r="G3572" s="290"/>
    </row>
    <row r="3573" spans="1:7" ht="17.45" customHeight="1">
      <c r="A3573" s="261" t="s">
        <v>8</v>
      </c>
      <c r="C3573" s="268" t="s">
        <v>1280</v>
      </c>
      <c r="D3573" s="501"/>
      <c r="E3573" s="500">
        <f>81000</f>
        <v>81000</v>
      </c>
      <c r="F3573" s="269"/>
      <c r="G3573" s="288"/>
    </row>
    <row r="3574" spans="1:7" ht="17.45" customHeight="1">
      <c r="A3574" s="261" t="s">
        <v>8</v>
      </c>
      <c r="C3574" s="271" t="s">
        <v>1549</v>
      </c>
      <c r="D3574" s="497"/>
      <c r="E3574" s="497"/>
      <c r="F3574" s="263"/>
      <c r="G3574" s="275"/>
    </row>
    <row r="3575" spans="1:7" ht="17.45" customHeight="1">
      <c r="A3575" s="261" t="s">
        <v>8</v>
      </c>
      <c r="C3575" s="271" t="s">
        <v>1819</v>
      </c>
      <c r="D3575" s="497"/>
      <c r="E3575" s="497"/>
      <c r="F3575" s="263"/>
      <c r="G3575" s="275"/>
    </row>
    <row r="3576" spans="1:7" ht="17.45" customHeight="1">
      <c r="A3576" s="261" t="s">
        <v>8</v>
      </c>
      <c r="C3576" s="271" t="s">
        <v>391</v>
      </c>
      <c r="D3576" s="497"/>
      <c r="E3576" s="497"/>
      <c r="F3576" s="263"/>
      <c r="G3576" s="275"/>
    </row>
    <row r="3577" spans="1:7" ht="17.45" customHeight="1">
      <c r="A3577" s="261" t="s">
        <v>8</v>
      </c>
      <c r="C3577" s="271" t="s">
        <v>1934</v>
      </c>
      <c r="D3577" s="497"/>
      <c r="E3577" s="497"/>
      <c r="F3577" s="263"/>
      <c r="G3577" s="275"/>
    </row>
    <row r="3578" spans="1:7" ht="17.25" customHeight="1">
      <c r="A3578" s="261" t="s">
        <v>8</v>
      </c>
      <c r="C3578" s="271" t="s">
        <v>2202</v>
      </c>
      <c r="D3578" s="497"/>
      <c r="E3578" s="497"/>
      <c r="F3578" s="263"/>
      <c r="G3578" s="275"/>
    </row>
    <row r="3579" spans="1:7" ht="17.45" customHeight="1">
      <c r="A3579" s="261" t="s">
        <v>8</v>
      </c>
      <c r="C3579" s="271" t="s">
        <v>2654</v>
      </c>
      <c r="D3579" s="497"/>
      <c r="E3579" s="497"/>
      <c r="F3579" s="263"/>
      <c r="G3579" s="275"/>
    </row>
    <row r="3580" spans="1:7" ht="17.45" customHeight="1">
      <c r="A3580" s="261" t="s">
        <v>8</v>
      </c>
      <c r="C3580" s="271" t="s">
        <v>2097</v>
      </c>
      <c r="D3580" s="497"/>
      <c r="E3580" s="497"/>
      <c r="F3580" s="263"/>
      <c r="G3580" s="275"/>
    </row>
    <row r="3581" spans="1:7" ht="17.45" customHeight="1">
      <c r="A3581" s="261" t="s">
        <v>8</v>
      </c>
      <c r="C3581" s="271" t="s">
        <v>1687</v>
      </c>
      <c r="D3581" s="497"/>
      <c r="E3581" s="497"/>
      <c r="F3581" s="263"/>
      <c r="G3581" s="275"/>
    </row>
    <row r="3582" spans="1:7" ht="17.45" customHeight="1">
      <c r="A3582" s="261" t="s">
        <v>8</v>
      </c>
      <c r="C3582" s="271" t="s">
        <v>1688</v>
      </c>
      <c r="D3582" s="497"/>
      <c r="E3582" s="499">
        <v>55000</v>
      </c>
      <c r="F3582" s="263"/>
      <c r="G3582" s="275"/>
    </row>
    <row r="3583" spans="1:7" ht="17.45" customHeight="1">
      <c r="A3583" s="261" t="s">
        <v>8</v>
      </c>
      <c r="C3583" s="271" t="s">
        <v>1602</v>
      </c>
      <c r="D3583" s="497"/>
      <c r="E3583" s="497"/>
      <c r="F3583" s="263"/>
      <c r="G3583" s="275"/>
    </row>
    <row r="3584" spans="1:7" ht="17.45" customHeight="1">
      <c r="A3584" s="261" t="s">
        <v>8</v>
      </c>
      <c r="C3584" s="271" t="s">
        <v>1596</v>
      </c>
      <c r="D3584" s="497"/>
      <c r="E3584" s="497"/>
      <c r="F3584" s="263"/>
      <c r="G3584" s="275"/>
    </row>
    <row r="3585" spans="1:7" ht="17.45" customHeight="1">
      <c r="A3585" s="261" t="s">
        <v>8</v>
      </c>
      <c r="C3585" s="271" t="s">
        <v>1595</v>
      </c>
      <c r="D3585" s="497"/>
      <c r="E3585" s="497"/>
      <c r="F3585" s="263"/>
      <c r="G3585" s="275"/>
    </row>
    <row r="3586" spans="1:7" ht="17.45" customHeight="1">
      <c r="A3586" s="261" t="s">
        <v>8</v>
      </c>
      <c r="C3586" s="271" t="s">
        <v>2822</v>
      </c>
      <c r="D3586" s="497"/>
      <c r="E3586" s="499">
        <f>4800+6000</f>
        <v>10800</v>
      </c>
      <c r="F3586" s="263"/>
      <c r="G3586" s="275"/>
    </row>
    <row r="3587" spans="1:7" ht="17.45" customHeight="1">
      <c r="A3587" s="261" t="s">
        <v>8</v>
      </c>
      <c r="C3587" s="271" t="s">
        <v>2821</v>
      </c>
      <c r="D3587" s="497"/>
      <c r="F3587" s="263"/>
      <c r="G3587" s="273" t="s">
        <v>3373</v>
      </c>
    </row>
    <row r="3588" spans="1:7" ht="17.45" customHeight="1">
      <c r="A3588" s="261" t="s">
        <v>8</v>
      </c>
      <c r="C3588" s="271" t="s">
        <v>1689</v>
      </c>
      <c r="D3588" s="497"/>
      <c r="E3588" s="497"/>
      <c r="F3588" s="263"/>
      <c r="G3588" s="275"/>
    </row>
    <row r="3589" spans="1:7" ht="17.45" customHeight="1">
      <c r="A3589" s="261" t="s">
        <v>8</v>
      </c>
      <c r="C3589" s="271" t="s">
        <v>1569</v>
      </c>
      <c r="D3589" s="497"/>
      <c r="E3589" s="499">
        <f>93340</f>
        <v>93340</v>
      </c>
      <c r="F3589" s="263"/>
      <c r="G3589" s="275"/>
    </row>
    <row r="3590" spans="1:7" ht="17.45" customHeight="1">
      <c r="A3590" s="261" t="s">
        <v>8</v>
      </c>
      <c r="C3590" s="271" t="s">
        <v>1618</v>
      </c>
      <c r="D3590" s="497"/>
      <c r="E3590" s="499">
        <f>2000+5280+9560+8680+5760+7560</f>
        <v>38840</v>
      </c>
      <c r="F3590" s="263"/>
      <c r="G3590" s="275"/>
    </row>
    <row r="3591" spans="1:7" ht="17.45" customHeight="1">
      <c r="A3591" s="261" t="s">
        <v>8</v>
      </c>
      <c r="C3591" s="271" t="s">
        <v>2810</v>
      </c>
      <c r="D3591" s="497"/>
      <c r="E3591" s="499">
        <f>38900</f>
        <v>38900</v>
      </c>
      <c r="F3591" s="263"/>
      <c r="G3591" s="275"/>
    </row>
    <row r="3592" spans="1:7" ht="17.45" customHeight="1" thickBot="1">
      <c r="A3592" s="261" t="s">
        <v>8</v>
      </c>
      <c r="C3592" s="276" t="s">
        <v>2699</v>
      </c>
      <c r="D3592" s="502"/>
      <c r="E3592" s="503">
        <f>8300+7000+23000+20000</f>
        <v>58300</v>
      </c>
      <c r="F3592" s="277"/>
      <c r="G3592" s="282"/>
    </row>
    <row r="3593" spans="1:7" ht="17.45" customHeight="1">
      <c r="A3593" s="261" t="s">
        <v>8</v>
      </c>
      <c r="C3593" s="279" t="s">
        <v>3560</v>
      </c>
      <c r="D3593" s="504"/>
      <c r="E3593" s="505">
        <v>9000</v>
      </c>
      <c r="F3593" s="280"/>
      <c r="G3593" s="273" t="s">
        <v>3561</v>
      </c>
    </row>
    <row r="3594" spans="1:7" ht="17.45" customHeight="1">
      <c r="A3594" s="261" t="s">
        <v>8</v>
      </c>
      <c r="C3594" s="284" t="s">
        <v>3562</v>
      </c>
      <c r="D3594" s="497"/>
      <c r="E3594" s="499">
        <v>24700</v>
      </c>
      <c r="F3594" s="263"/>
      <c r="G3594" s="275"/>
    </row>
    <row r="3595" spans="1:7" ht="17.45" customHeight="1">
      <c r="A3595" s="261" t="s">
        <v>8</v>
      </c>
      <c r="C3595" s="271" t="s">
        <v>3563</v>
      </c>
      <c r="D3595" s="497"/>
      <c r="E3595" s="499">
        <v>300000</v>
      </c>
      <c r="F3595" s="263"/>
      <c r="G3595" s="275"/>
    </row>
    <row r="3596" spans="1:7" ht="17.45" customHeight="1">
      <c r="A3596" s="261" t="s">
        <v>8</v>
      </c>
      <c r="C3596" s="271" t="s">
        <v>3564</v>
      </c>
      <c r="D3596" s="497"/>
      <c r="E3596" s="499">
        <f>59400*4</f>
        <v>237600</v>
      </c>
      <c r="F3596" s="263"/>
      <c r="G3596" s="275"/>
    </row>
    <row r="3597" spans="1:7" ht="17.45" customHeight="1">
      <c r="A3597" s="261" t="s">
        <v>8</v>
      </c>
      <c r="C3597" s="271" t="s">
        <v>3565</v>
      </c>
      <c r="D3597" s="497"/>
      <c r="E3597" s="499">
        <v>7700</v>
      </c>
      <c r="F3597" s="263"/>
      <c r="G3597" s="275"/>
    </row>
    <row r="3598" spans="1:7" ht="17.45" customHeight="1">
      <c r="A3598" s="261" t="s">
        <v>8</v>
      </c>
      <c r="C3598" s="271" t="s">
        <v>3566</v>
      </c>
      <c r="D3598" s="497"/>
      <c r="E3598" s="499">
        <v>7200</v>
      </c>
      <c r="F3598" s="263"/>
      <c r="G3598" s="275"/>
    </row>
    <row r="3599" spans="1:7" ht="17.45" customHeight="1">
      <c r="A3599" s="261" t="s">
        <v>8</v>
      </c>
      <c r="C3599" s="271" t="s">
        <v>3567</v>
      </c>
      <c r="D3599" s="497"/>
      <c r="E3599" s="499">
        <v>6000</v>
      </c>
      <c r="F3599" s="263"/>
      <c r="G3599" s="275"/>
    </row>
    <row r="3600" spans="1:7" ht="17.45" customHeight="1">
      <c r="A3600" s="261" t="s">
        <v>8</v>
      </c>
      <c r="C3600" s="271" t="s">
        <v>3568</v>
      </c>
      <c r="D3600" s="497"/>
      <c r="E3600" s="499">
        <v>4800</v>
      </c>
      <c r="F3600" s="263"/>
      <c r="G3600" s="275"/>
    </row>
    <row r="3601" spans="1:7" ht="17.45" customHeight="1">
      <c r="A3601" s="261" t="s">
        <v>8</v>
      </c>
      <c r="C3601" s="284" t="s">
        <v>3569</v>
      </c>
      <c r="D3601" s="497"/>
      <c r="E3601" s="499">
        <v>11000</v>
      </c>
      <c r="F3601" s="263"/>
      <c r="G3601" s="275"/>
    </row>
    <row r="3602" spans="1:7" ht="17.45" customHeight="1">
      <c r="A3602" s="261" t="s">
        <v>8</v>
      </c>
      <c r="C3602" s="271" t="s">
        <v>3570</v>
      </c>
      <c r="D3602" s="497"/>
      <c r="E3602" s="499">
        <f>9900+9900+9900</f>
        <v>29700</v>
      </c>
      <c r="F3602" s="263"/>
      <c r="G3602" s="275"/>
    </row>
    <row r="3603" spans="1:7" ht="17.45" customHeight="1">
      <c r="A3603" s="261" t="s">
        <v>8</v>
      </c>
      <c r="C3603" s="271" t="s">
        <v>3571</v>
      </c>
      <c r="D3603" s="497"/>
      <c r="E3603" s="499">
        <v>50000</v>
      </c>
      <c r="F3603" s="263"/>
      <c r="G3603" s="275"/>
    </row>
    <row r="3604" spans="1:7" ht="17.45" customHeight="1">
      <c r="A3604" s="261" t="s">
        <v>8</v>
      </c>
      <c r="C3604" s="271" t="s">
        <v>3572</v>
      </c>
      <c r="D3604" s="497"/>
      <c r="E3604" s="499">
        <v>3500</v>
      </c>
      <c r="F3604" s="263"/>
      <c r="G3604" s="275"/>
    </row>
    <row r="3605" spans="1:7" ht="17.45" customHeight="1">
      <c r="A3605" s="261" t="s">
        <v>8</v>
      </c>
      <c r="C3605" s="271" t="s">
        <v>3573</v>
      </c>
      <c r="D3605" s="497"/>
      <c r="E3605" s="499">
        <v>4700</v>
      </c>
      <c r="F3605" s="263"/>
      <c r="G3605" s="275"/>
    </row>
    <row r="3606" spans="1:7" ht="17.45" customHeight="1">
      <c r="A3606" s="261" t="s">
        <v>8</v>
      </c>
      <c r="C3606" s="284" t="s">
        <v>3574</v>
      </c>
      <c r="D3606" s="497"/>
      <c r="E3606" s="499">
        <v>6000</v>
      </c>
      <c r="F3606" s="263"/>
      <c r="G3606" s="275"/>
    </row>
    <row r="3607" spans="1:7" ht="17.45" customHeight="1">
      <c r="A3607" s="261" t="s">
        <v>8</v>
      </c>
      <c r="C3607" s="271" t="s">
        <v>3575</v>
      </c>
      <c r="D3607" s="497"/>
      <c r="E3607" s="499">
        <v>47290</v>
      </c>
      <c r="F3607" s="263"/>
      <c r="G3607" s="275"/>
    </row>
    <row r="3608" spans="1:7" ht="17.45" customHeight="1">
      <c r="A3608" s="261" t="s">
        <v>8</v>
      </c>
      <c r="C3608" s="271" t="s">
        <v>3576</v>
      </c>
      <c r="D3608" s="497"/>
      <c r="E3608" s="499">
        <v>42100</v>
      </c>
      <c r="F3608" s="263"/>
      <c r="G3608" s="275"/>
    </row>
    <row r="3609" spans="1:7" ht="17.45" customHeight="1">
      <c r="A3609" s="261" t="s">
        <v>8</v>
      </c>
      <c r="C3609" s="271" t="s">
        <v>3577</v>
      </c>
      <c r="D3609" s="497"/>
      <c r="E3609" s="499">
        <v>4000</v>
      </c>
      <c r="F3609" s="263"/>
      <c r="G3609" s="275"/>
    </row>
    <row r="3610" spans="1:7" ht="17.45" customHeight="1">
      <c r="A3610" s="261" t="s">
        <v>8</v>
      </c>
      <c r="C3610" s="271" t="s">
        <v>3578</v>
      </c>
      <c r="D3610" s="497"/>
      <c r="E3610" s="499">
        <v>6900</v>
      </c>
      <c r="F3610" s="263"/>
      <c r="G3610" s="275"/>
    </row>
    <row r="3611" spans="1:7" ht="17.45" customHeight="1">
      <c r="A3611" s="261" t="s">
        <v>8</v>
      </c>
      <c r="C3611" s="271" t="s">
        <v>3579</v>
      </c>
      <c r="D3611" s="497"/>
      <c r="E3611" s="499">
        <v>5000</v>
      </c>
      <c r="F3611" s="263"/>
      <c r="G3611" s="275"/>
    </row>
    <row r="3612" spans="1:7" ht="17.45" customHeight="1">
      <c r="A3612" s="261" t="s">
        <v>8</v>
      </c>
      <c r="C3612" s="271" t="s">
        <v>3580</v>
      </c>
      <c r="D3612" s="497"/>
      <c r="E3612" s="499">
        <v>11880</v>
      </c>
      <c r="F3612" s="263"/>
      <c r="G3612" s="275"/>
    </row>
    <row r="3613" spans="1:7" ht="17.45" customHeight="1">
      <c r="A3613" s="261" t="s">
        <v>8</v>
      </c>
      <c r="C3613" s="271" t="s">
        <v>3581</v>
      </c>
      <c r="D3613" s="497"/>
      <c r="E3613" s="499">
        <f>10400+10900</f>
        <v>21300</v>
      </c>
      <c r="F3613" s="263"/>
      <c r="G3613" s="275" t="s">
        <v>3583</v>
      </c>
    </row>
    <row r="3614" spans="1:7" ht="17.45" customHeight="1">
      <c r="A3614" s="261" t="s">
        <v>8</v>
      </c>
      <c r="C3614" s="271" t="s">
        <v>3582</v>
      </c>
      <c r="D3614" s="497"/>
      <c r="E3614" s="499">
        <v>50000</v>
      </c>
      <c r="F3614" s="263"/>
      <c r="G3614" s="275" t="s">
        <v>3583</v>
      </c>
    </row>
    <row r="3615" spans="1:7" ht="17.45" customHeight="1">
      <c r="A3615" s="261" t="s">
        <v>8</v>
      </c>
      <c r="C3615" s="271" t="s">
        <v>3584</v>
      </c>
      <c r="D3615" s="497"/>
      <c r="E3615" s="499">
        <v>10800</v>
      </c>
      <c r="F3615" s="263"/>
      <c r="G3615" s="275" t="s">
        <v>3583</v>
      </c>
    </row>
    <row r="3616" spans="1:7" ht="17.45" customHeight="1">
      <c r="A3616" s="261" t="s">
        <v>8</v>
      </c>
      <c r="C3616" s="271" t="s">
        <v>3585</v>
      </c>
      <c r="D3616" s="497"/>
      <c r="E3616" s="499">
        <v>30000</v>
      </c>
      <c r="F3616" s="263"/>
      <c r="G3616" s="275"/>
    </row>
    <row r="3617" spans="1:7" ht="17.45" customHeight="1">
      <c r="A3617" s="261" t="s">
        <v>8</v>
      </c>
      <c r="C3617" s="271" t="s">
        <v>3586</v>
      </c>
      <c r="D3617" s="497"/>
      <c r="E3617" s="499">
        <v>28000</v>
      </c>
      <c r="F3617" s="263"/>
      <c r="G3617" s="275"/>
    </row>
    <row r="3618" spans="1:7" ht="17.45" customHeight="1">
      <c r="A3618" s="261" t="s">
        <v>8</v>
      </c>
      <c r="C3618" s="271" t="s">
        <v>3587</v>
      </c>
      <c r="D3618" s="497"/>
      <c r="E3618" s="499">
        <v>6900</v>
      </c>
      <c r="F3618" s="263"/>
      <c r="G3618" s="275"/>
    </row>
    <row r="3619" spans="1:7" ht="17.25" customHeight="1" thickBot="1">
      <c r="A3619" s="261" t="s">
        <v>8</v>
      </c>
      <c r="C3619" s="276" t="s">
        <v>1300</v>
      </c>
      <c r="D3619" s="502">
        <f>SUM(D3548:D3618)-SUM(E3548:E3618)</f>
        <v>1830688</v>
      </c>
      <c r="E3619" s="502">
        <f>SUM(E3548:E3618)-SUM(F3548:F3618)</f>
        <v>4894539</v>
      </c>
      <c r="F3619" s="277"/>
      <c r="G3619" s="283"/>
    </row>
    <row r="3621" spans="1:7" ht="12.75" thickBot="1"/>
    <row r="3622" spans="1:7" ht="17.45" customHeight="1">
      <c r="A3622" s="261" t="s">
        <v>8</v>
      </c>
      <c r="B3622" s="256" t="s">
        <v>3588</v>
      </c>
      <c r="C3622" s="268" t="s">
        <v>1268</v>
      </c>
      <c r="D3622" s="500">
        <v>6689092</v>
      </c>
      <c r="E3622" s="501"/>
      <c r="F3622" s="269"/>
      <c r="G3622" s="270"/>
    </row>
    <row r="3623" spans="1:7" ht="17.45" customHeight="1">
      <c r="A3623" s="261" t="s">
        <v>8</v>
      </c>
      <c r="B3623" s="257"/>
      <c r="C3623" s="271" t="s">
        <v>1953</v>
      </c>
      <c r="D3623" s="499">
        <v>4752569</v>
      </c>
      <c r="E3623" s="497"/>
      <c r="F3623" s="263"/>
      <c r="G3623" s="272"/>
    </row>
    <row r="3624" spans="1:7" ht="17.45" customHeight="1">
      <c r="A3624" s="261" t="s">
        <v>8</v>
      </c>
      <c r="B3624" s="257"/>
      <c r="C3624" s="271" t="s">
        <v>2722</v>
      </c>
      <c r="D3624" s="497"/>
      <c r="E3624" s="497"/>
      <c r="F3624" s="263"/>
      <c r="G3624" s="272"/>
    </row>
    <row r="3625" spans="1:7" ht="17.45" customHeight="1">
      <c r="A3625" s="261" t="s">
        <v>8</v>
      </c>
      <c r="B3625" s="257"/>
      <c r="C3625" s="271" t="s">
        <v>3047</v>
      </c>
      <c r="D3625" s="497"/>
      <c r="E3625" s="497"/>
      <c r="F3625" s="263"/>
      <c r="G3625" s="272"/>
    </row>
    <row r="3626" spans="1:7" ht="17.45" customHeight="1">
      <c r="A3626" s="261" t="s">
        <v>8</v>
      </c>
      <c r="B3626" s="257"/>
      <c r="C3626" s="271" t="s">
        <v>1269</v>
      </c>
      <c r="D3626" s="497"/>
      <c r="E3626" s="499">
        <f>370000+1200</f>
        <v>371200</v>
      </c>
      <c r="F3626" s="263"/>
      <c r="G3626" s="272" t="s">
        <v>3603</v>
      </c>
    </row>
    <row r="3627" spans="1:7" ht="17.45" customHeight="1">
      <c r="A3627" s="261" t="s">
        <v>8</v>
      </c>
      <c r="C3627" s="271" t="s">
        <v>1270</v>
      </c>
      <c r="D3627" s="497"/>
      <c r="E3627" s="499">
        <f>833000+588000</f>
        <v>1421000</v>
      </c>
      <c r="F3627" s="263"/>
      <c r="G3627" s="273" t="s">
        <v>3532</v>
      </c>
    </row>
    <row r="3628" spans="1:7" ht="17.45" customHeight="1">
      <c r="A3628" s="261" t="s">
        <v>8</v>
      </c>
      <c r="C3628" s="271" t="s">
        <v>1670</v>
      </c>
      <c r="D3628" s="497"/>
      <c r="E3628" s="497"/>
      <c r="F3628" s="263"/>
      <c r="G3628" s="274"/>
    </row>
    <row r="3629" spans="1:7" ht="17.45" customHeight="1">
      <c r="A3629" s="261" t="s">
        <v>8</v>
      </c>
      <c r="C3629" s="271" t="s">
        <v>1672</v>
      </c>
      <c r="D3629" s="497"/>
      <c r="E3629" s="499">
        <v>73180</v>
      </c>
      <c r="F3629" s="263"/>
      <c r="G3629" s="273" t="s">
        <v>2732</v>
      </c>
    </row>
    <row r="3630" spans="1:7" ht="17.45" customHeight="1">
      <c r="A3630" s="261" t="s">
        <v>8</v>
      </c>
      <c r="C3630" s="271" t="s">
        <v>1673</v>
      </c>
      <c r="D3630" s="497"/>
      <c r="E3630" s="497"/>
      <c r="F3630" s="263"/>
      <c r="G3630" s="274"/>
    </row>
    <row r="3631" spans="1:7" ht="17.45" customHeight="1">
      <c r="A3631" s="261" t="s">
        <v>8</v>
      </c>
      <c r="C3631" s="271" t="s">
        <v>1332</v>
      </c>
      <c r="D3631" s="497"/>
      <c r="E3631" s="499">
        <v>34650</v>
      </c>
      <c r="F3631" s="263"/>
      <c r="G3631" s="275"/>
    </row>
    <row r="3632" spans="1:7" ht="17.45" customHeight="1">
      <c r="A3632" s="261" t="s">
        <v>8</v>
      </c>
      <c r="C3632" s="271" t="s">
        <v>1271</v>
      </c>
      <c r="D3632" s="497"/>
      <c r="E3632" s="497"/>
      <c r="F3632" s="263"/>
      <c r="G3632" s="274"/>
    </row>
    <row r="3633" spans="1:7" ht="17.45" customHeight="1">
      <c r="A3633" s="261" t="s">
        <v>8</v>
      </c>
      <c r="C3633" s="271" t="s">
        <v>1272</v>
      </c>
      <c r="D3633" s="497"/>
      <c r="E3633" s="497"/>
      <c r="F3633" s="263"/>
      <c r="G3633" s="273"/>
    </row>
    <row r="3634" spans="1:7" ht="17.45" customHeight="1">
      <c r="A3634" s="261" t="s">
        <v>8</v>
      </c>
      <c r="C3634" s="271" t="s">
        <v>3009</v>
      </c>
      <c r="D3634" s="497"/>
      <c r="E3634" s="499">
        <v>21136</v>
      </c>
      <c r="F3634" s="263"/>
      <c r="G3634" s="273" t="s">
        <v>2732</v>
      </c>
    </row>
    <row r="3635" spans="1:7" ht="17.45" customHeight="1">
      <c r="A3635" s="261" t="s">
        <v>8</v>
      </c>
      <c r="C3635" s="271" t="s">
        <v>3010</v>
      </c>
      <c r="D3635" s="497"/>
      <c r="E3635" s="499">
        <v>900</v>
      </c>
      <c r="F3635" s="263"/>
      <c r="G3635" s="273"/>
    </row>
    <row r="3636" spans="1:7" ht="17.45" customHeight="1">
      <c r="A3636" s="261" t="s">
        <v>8</v>
      </c>
      <c r="C3636" s="271" t="s">
        <v>1273</v>
      </c>
      <c r="D3636" s="497"/>
      <c r="E3636" s="499">
        <v>29920</v>
      </c>
      <c r="F3636" s="263"/>
      <c r="G3636" s="273" t="s">
        <v>2732</v>
      </c>
    </row>
    <row r="3637" spans="1:7" ht="17.45" customHeight="1">
      <c r="A3637" s="261" t="s">
        <v>8</v>
      </c>
      <c r="C3637" s="271" t="s">
        <v>1274</v>
      </c>
      <c r="D3637" s="497"/>
      <c r="E3637" s="499">
        <v>3757</v>
      </c>
      <c r="F3637" s="263"/>
      <c r="G3637" s="273"/>
    </row>
    <row r="3638" spans="1:7" ht="17.45" customHeight="1">
      <c r="A3638" s="261" t="s">
        <v>8</v>
      </c>
      <c r="C3638" s="271" t="s">
        <v>2168</v>
      </c>
      <c r="D3638" s="497"/>
      <c r="E3638" s="499">
        <v>18816</v>
      </c>
      <c r="F3638" s="263"/>
      <c r="G3638" s="273" t="s">
        <v>2732</v>
      </c>
    </row>
    <row r="3639" spans="1:7" ht="17.45" customHeight="1">
      <c r="A3639" s="261" t="s">
        <v>8</v>
      </c>
      <c r="C3639" s="271" t="s">
        <v>1517</v>
      </c>
      <c r="D3639" s="497"/>
      <c r="E3639" s="499">
        <f>23230</f>
        <v>23230</v>
      </c>
      <c r="F3639" s="263"/>
      <c r="G3639" s="273" t="s">
        <v>2732</v>
      </c>
    </row>
    <row r="3640" spans="1:7" ht="17.45" customHeight="1">
      <c r="A3640" s="261" t="s">
        <v>8</v>
      </c>
      <c r="C3640" s="271" t="s">
        <v>1276</v>
      </c>
      <c r="D3640" s="497"/>
      <c r="E3640" s="499">
        <v>492150</v>
      </c>
      <c r="F3640" s="263"/>
      <c r="G3640" s="273" t="s">
        <v>2732</v>
      </c>
    </row>
    <row r="3641" spans="1:7" ht="17.45" customHeight="1">
      <c r="A3641" s="261" t="s">
        <v>8</v>
      </c>
      <c r="C3641" s="271" t="s">
        <v>1277</v>
      </c>
      <c r="D3641" s="497"/>
      <c r="E3641" s="499">
        <v>57480</v>
      </c>
      <c r="F3641" s="263"/>
      <c r="G3641" s="273" t="s">
        <v>2732</v>
      </c>
    </row>
    <row r="3642" spans="1:7" ht="17.45" customHeight="1">
      <c r="A3642" s="261" t="s">
        <v>8</v>
      </c>
      <c r="C3642" s="271" t="s">
        <v>1278</v>
      </c>
      <c r="D3642" s="497"/>
      <c r="E3642" s="499">
        <v>200000</v>
      </c>
      <c r="F3642" s="263"/>
      <c r="G3642" s="273"/>
    </row>
    <row r="3643" spans="1:7" ht="17.45" customHeight="1">
      <c r="A3643" s="261" t="s">
        <v>8</v>
      </c>
      <c r="C3643" s="285" t="s">
        <v>1413</v>
      </c>
      <c r="D3643" s="506"/>
      <c r="E3643" s="507">
        <v>1800000</v>
      </c>
      <c r="F3643" s="286"/>
      <c r="G3643" s="287"/>
    </row>
    <row r="3644" spans="1:7" ht="17.25" customHeight="1">
      <c r="A3644" s="261" t="s">
        <v>8</v>
      </c>
      <c r="C3644" s="338" t="s">
        <v>2661</v>
      </c>
      <c r="D3644" s="497"/>
      <c r="E3644" s="497"/>
      <c r="F3644" s="263"/>
      <c r="G3644" s="275"/>
    </row>
    <row r="3645" spans="1:7" ht="17.45" customHeight="1">
      <c r="A3645" s="261" t="s">
        <v>8</v>
      </c>
      <c r="C3645" s="339" t="s">
        <v>3248</v>
      </c>
      <c r="D3645" s="506"/>
      <c r="E3645" s="507">
        <v>5000000</v>
      </c>
      <c r="F3645" s="286"/>
      <c r="G3645" s="290"/>
    </row>
    <row r="3646" spans="1:7" ht="17.45" customHeight="1">
      <c r="A3646" s="261" t="s">
        <v>8</v>
      </c>
      <c r="C3646" s="339" t="s">
        <v>2647</v>
      </c>
      <c r="D3646" s="506"/>
      <c r="E3646" s="506"/>
      <c r="F3646" s="286"/>
      <c r="G3646" s="290"/>
    </row>
    <row r="3647" spans="1:7" ht="17.45" customHeight="1" thickBot="1">
      <c r="A3647" s="261" t="s">
        <v>8</v>
      </c>
      <c r="C3647" s="285" t="s">
        <v>1942</v>
      </c>
      <c r="D3647" s="506"/>
      <c r="E3647" s="507">
        <v>20000</v>
      </c>
      <c r="F3647" s="286"/>
      <c r="G3647" s="290"/>
    </row>
    <row r="3648" spans="1:7" ht="17.45" customHeight="1">
      <c r="A3648" s="261" t="s">
        <v>8</v>
      </c>
      <c r="C3648" s="268" t="s">
        <v>1280</v>
      </c>
      <c r="D3648" s="501"/>
      <c r="E3648" s="500">
        <f>90000</f>
        <v>90000</v>
      </c>
      <c r="F3648" s="269"/>
      <c r="G3648" s="288"/>
    </row>
    <row r="3649" spans="1:7" ht="17.45" customHeight="1">
      <c r="A3649" s="261" t="s">
        <v>8</v>
      </c>
      <c r="C3649" s="271" t="s">
        <v>1549</v>
      </c>
      <c r="D3649" s="497"/>
      <c r="E3649" s="497"/>
      <c r="F3649" s="263"/>
      <c r="G3649" s="275"/>
    </row>
    <row r="3650" spans="1:7" ht="17.45" customHeight="1">
      <c r="A3650" s="261" t="s">
        <v>8</v>
      </c>
      <c r="C3650" s="271" t="s">
        <v>1819</v>
      </c>
      <c r="D3650" s="497"/>
      <c r="E3650" s="497"/>
      <c r="F3650" s="263"/>
      <c r="G3650" s="275"/>
    </row>
    <row r="3651" spans="1:7" ht="17.45" customHeight="1">
      <c r="A3651" s="261" t="s">
        <v>8</v>
      </c>
      <c r="C3651" s="271" t="s">
        <v>391</v>
      </c>
      <c r="D3651" s="497"/>
      <c r="E3651" s="497"/>
      <c r="F3651" s="263"/>
      <c r="G3651" s="275"/>
    </row>
    <row r="3652" spans="1:7" ht="17.45" customHeight="1">
      <c r="A3652" s="261" t="s">
        <v>8</v>
      </c>
      <c r="C3652" s="271" t="s">
        <v>1934</v>
      </c>
      <c r="D3652" s="497"/>
      <c r="E3652" s="497"/>
      <c r="F3652" s="263"/>
      <c r="G3652" s="275"/>
    </row>
    <row r="3653" spans="1:7" ht="17.25" customHeight="1">
      <c r="A3653" s="261" t="s">
        <v>8</v>
      </c>
      <c r="C3653" s="271" t="s">
        <v>2202</v>
      </c>
      <c r="D3653" s="497"/>
      <c r="E3653" s="497"/>
      <c r="F3653" s="263"/>
      <c r="G3653" s="275"/>
    </row>
    <row r="3654" spans="1:7" ht="17.45" customHeight="1">
      <c r="A3654" s="261" t="s">
        <v>8</v>
      </c>
      <c r="C3654" s="271" t="s">
        <v>2654</v>
      </c>
      <c r="D3654" s="497"/>
      <c r="E3654" s="497"/>
      <c r="F3654" s="263"/>
      <c r="G3654" s="275"/>
    </row>
    <row r="3655" spans="1:7" ht="17.45" customHeight="1">
      <c r="A3655" s="261" t="s">
        <v>8</v>
      </c>
      <c r="C3655" s="271" t="s">
        <v>2097</v>
      </c>
      <c r="D3655" s="497"/>
      <c r="E3655" s="497"/>
      <c r="F3655" s="263"/>
      <c r="G3655" s="275"/>
    </row>
    <row r="3656" spans="1:7" ht="17.45" customHeight="1">
      <c r="A3656" s="261" t="s">
        <v>8</v>
      </c>
      <c r="C3656" s="271" t="s">
        <v>1687</v>
      </c>
      <c r="D3656" s="497"/>
      <c r="E3656" s="497"/>
      <c r="F3656" s="263"/>
      <c r="G3656" s="275"/>
    </row>
    <row r="3657" spans="1:7" ht="17.45" customHeight="1">
      <c r="A3657" s="261" t="s">
        <v>8</v>
      </c>
      <c r="C3657" s="271" t="s">
        <v>1688</v>
      </c>
      <c r="D3657" s="497"/>
      <c r="E3657" s="499">
        <v>55000</v>
      </c>
      <c r="F3657" s="263"/>
      <c r="G3657" s="275"/>
    </row>
    <row r="3658" spans="1:7" ht="17.45" customHeight="1">
      <c r="A3658" s="261" t="s">
        <v>8</v>
      </c>
      <c r="C3658" s="271" t="s">
        <v>1602</v>
      </c>
      <c r="D3658" s="497"/>
      <c r="E3658" s="497"/>
      <c r="F3658" s="263"/>
      <c r="G3658" s="275"/>
    </row>
    <row r="3659" spans="1:7" ht="17.45" customHeight="1">
      <c r="A3659" s="261" t="s">
        <v>8</v>
      </c>
      <c r="C3659" s="271" t="s">
        <v>1596</v>
      </c>
      <c r="D3659" s="497"/>
      <c r="E3659" s="497"/>
      <c r="F3659" s="263"/>
      <c r="G3659" s="275"/>
    </row>
    <row r="3660" spans="1:7" ht="17.45" customHeight="1">
      <c r="A3660" s="261" t="s">
        <v>8</v>
      </c>
      <c r="C3660" s="271" t="s">
        <v>1595</v>
      </c>
      <c r="D3660" s="497"/>
      <c r="E3660" s="497"/>
      <c r="F3660" s="263"/>
      <c r="G3660" s="275"/>
    </row>
    <row r="3661" spans="1:7" ht="17.45" customHeight="1">
      <c r="A3661" s="261" t="s">
        <v>8</v>
      </c>
      <c r="C3661" s="271" t="s">
        <v>2822</v>
      </c>
      <c r="D3661" s="497"/>
      <c r="E3661" s="499">
        <f>3600+8000</f>
        <v>11600</v>
      </c>
      <c r="F3661" s="263"/>
      <c r="G3661" s="275"/>
    </row>
    <row r="3662" spans="1:7" ht="17.45" customHeight="1">
      <c r="A3662" s="261" t="s">
        <v>8</v>
      </c>
      <c r="C3662" s="271" t="s">
        <v>2821</v>
      </c>
      <c r="D3662" s="497"/>
      <c r="F3662" s="263"/>
      <c r="G3662" s="273" t="s">
        <v>3373</v>
      </c>
    </row>
    <row r="3663" spans="1:7" ht="17.45" customHeight="1">
      <c r="A3663" s="261" t="s">
        <v>8</v>
      </c>
      <c r="C3663" s="271" t="s">
        <v>1689</v>
      </c>
      <c r="D3663" s="497"/>
      <c r="E3663" s="497"/>
      <c r="F3663" s="263"/>
      <c r="G3663" s="275"/>
    </row>
    <row r="3664" spans="1:7" ht="17.45" customHeight="1">
      <c r="A3664" s="261" t="s">
        <v>8</v>
      </c>
      <c r="C3664" s="271" t="s">
        <v>1569</v>
      </c>
      <c r="D3664" s="497"/>
      <c r="E3664" s="499">
        <f>128850+156170</f>
        <v>285020</v>
      </c>
      <c r="F3664" s="263"/>
      <c r="G3664" s="275"/>
    </row>
    <row r="3665" spans="1:7" ht="17.45" customHeight="1">
      <c r="A3665" s="261" t="s">
        <v>8</v>
      </c>
      <c r="C3665" s="271" t="s">
        <v>1618</v>
      </c>
      <c r="D3665" s="497"/>
      <c r="E3665" s="499">
        <f>5280+5880+10260+21240+5760+5760+5680</f>
        <v>59860</v>
      </c>
      <c r="F3665" s="263"/>
      <c r="G3665" s="275"/>
    </row>
    <row r="3666" spans="1:7" ht="17.45" customHeight="1">
      <c r="A3666" s="261" t="s">
        <v>8</v>
      </c>
      <c r="C3666" s="271" t="s">
        <v>2810</v>
      </c>
      <c r="D3666" s="497"/>
      <c r="E3666" s="499">
        <f>43000</f>
        <v>43000</v>
      </c>
      <c r="F3666" s="263"/>
      <c r="G3666" s="275"/>
    </row>
    <row r="3667" spans="1:7" ht="17.45" customHeight="1" thickBot="1">
      <c r="A3667" s="261" t="s">
        <v>8</v>
      </c>
      <c r="C3667" s="276" t="s">
        <v>2699</v>
      </c>
      <c r="D3667" s="502"/>
      <c r="E3667" s="503">
        <f>25300</f>
        <v>25300</v>
      </c>
      <c r="F3667" s="277"/>
      <c r="G3667" s="282"/>
    </row>
    <row r="3668" spans="1:7" ht="17.45" customHeight="1">
      <c r="A3668" s="261" t="s">
        <v>8</v>
      </c>
      <c r="C3668" s="279" t="s">
        <v>3590</v>
      </c>
      <c r="D3668" s="504"/>
      <c r="E3668" s="505">
        <v>8000</v>
      </c>
      <c r="F3668" s="280"/>
      <c r="G3668" s="273"/>
    </row>
    <row r="3669" spans="1:7" ht="17.45" customHeight="1">
      <c r="A3669" s="261" t="s">
        <v>8</v>
      </c>
      <c r="C3669" s="284" t="s">
        <v>3591</v>
      </c>
      <c r="D3669" s="497"/>
      <c r="E3669" s="499">
        <f>3700</f>
        <v>3700</v>
      </c>
      <c r="F3669" s="263"/>
      <c r="G3669" s="275"/>
    </row>
    <row r="3670" spans="1:7" ht="17.45" customHeight="1">
      <c r="A3670" s="261" t="s">
        <v>8</v>
      </c>
      <c r="C3670" s="271" t="s">
        <v>3592</v>
      </c>
      <c r="D3670" s="497"/>
      <c r="E3670" s="499">
        <f>11400</f>
        <v>11400</v>
      </c>
      <c r="F3670" s="263"/>
      <c r="G3670" s="275"/>
    </row>
    <row r="3671" spans="1:7" ht="17.45" customHeight="1">
      <c r="A3671" s="261" t="s">
        <v>8</v>
      </c>
      <c r="C3671" s="271" t="s">
        <v>3593</v>
      </c>
      <c r="D3671" s="497"/>
      <c r="E3671" s="499">
        <v>10800</v>
      </c>
      <c r="F3671" s="263"/>
      <c r="G3671" s="275"/>
    </row>
    <row r="3672" spans="1:7" ht="17.45" customHeight="1">
      <c r="A3672" s="261" t="s">
        <v>8</v>
      </c>
      <c r="C3672" s="271" t="s">
        <v>3594</v>
      </c>
      <c r="D3672" s="497"/>
      <c r="E3672" s="499">
        <f>34000+21000</f>
        <v>55000</v>
      </c>
      <c r="F3672" s="263"/>
      <c r="G3672" s="275"/>
    </row>
    <row r="3673" spans="1:7" ht="17.45" customHeight="1">
      <c r="A3673" s="261" t="s">
        <v>8</v>
      </c>
      <c r="C3673" s="271" t="s">
        <v>3595</v>
      </c>
      <c r="D3673" s="497"/>
      <c r="E3673" s="499">
        <v>16700</v>
      </c>
      <c r="F3673" s="263"/>
      <c r="G3673" s="275"/>
    </row>
    <row r="3674" spans="1:7" ht="17.45" customHeight="1">
      <c r="A3674" s="261" t="s">
        <v>8</v>
      </c>
      <c r="C3674" s="271" t="s">
        <v>3597</v>
      </c>
      <c r="D3674" s="497"/>
      <c r="E3674" s="499">
        <v>3300</v>
      </c>
      <c r="F3674" s="263"/>
      <c r="G3674" s="275"/>
    </row>
    <row r="3675" spans="1:7" ht="17.45" customHeight="1">
      <c r="A3675" s="261" t="s">
        <v>8</v>
      </c>
      <c r="C3675" s="271" t="s">
        <v>3598</v>
      </c>
      <c r="D3675" s="499">
        <v>30000</v>
      </c>
      <c r="E3675" s="497"/>
      <c r="F3675" s="263"/>
      <c r="G3675" s="275"/>
    </row>
    <row r="3676" spans="1:7" ht="17.45" customHeight="1">
      <c r="A3676" s="261" t="s">
        <v>8</v>
      </c>
      <c r="C3676" s="284" t="s">
        <v>3599</v>
      </c>
      <c r="D3676" s="497"/>
      <c r="E3676" s="499">
        <v>3200</v>
      </c>
      <c r="F3676" s="263"/>
      <c r="G3676" s="275"/>
    </row>
    <row r="3677" spans="1:7" ht="17.45" customHeight="1">
      <c r="A3677" s="261" t="s">
        <v>8</v>
      </c>
      <c r="C3677" s="271" t="s">
        <v>3600</v>
      </c>
      <c r="D3677" s="497"/>
      <c r="E3677" s="499">
        <f>9900+9900</f>
        <v>19800</v>
      </c>
      <c r="F3677" s="263"/>
      <c r="G3677" s="275"/>
    </row>
    <row r="3678" spans="1:7" ht="17.45" customHeight="1">
      <c r="A3678" s="261" t="s">
        <v>8</v>
      </c>
      <c r="C3678" s="271" t="s">
        <v>3601</v>
      </c>
      <c r="D3678" s="497"/>
      <c r="E3678" s="499">
        <v>14560</v>
      </c>
      <c r="F3678" s="263"/>
      <c r="G3678" s="275"/>
    </row>
    <row r="3679" spans="1:7" ht="17.45" customHeight="1">
      <c r="A3679" s="261" t="s">
        <v>8</v>
      </c>
      <c r="C3679" s="271" t="s">
        <v>3602</v>
      </c>
      <c r="D3679" s="497"/>
      <c r="E3679" s="499">
        <v>12200</v>
      </c>
      <c r="F3679" s="263"/>
      <c r="G3679" s="275"/>
    </row>
    <row r="3680" spans="1:7" ht="17.45" customHeight="1">
      <c r="A3680" s="261" t="s">
        <v>8</v>
      </c>
      <c r="C3680" s="271" t="s">
        <v>3604</v>
      </c>
      <c r="D3680" s="497"/>
      <c r="E3680" s="499">
        <v>38000</v>
      </c>
      <c r="F3680" s="263"/>
      <c r="G3680" s="275"/>
    </row>
    <row r="3681" spans="1:7" ht="17.45" customHeight="1">
      <c r="A3681" s="261" t="s">
        <v>8</v>
      </c>
      <c r="C3681" s="284" t="s">
        <v>3605</v>
      </c>
      <c r="D3681" s="497"/>
      <c r="E3681" s="499">
        <v>400000</v>
      </c>
      <c r="F3681" s="263"/>
      <c r="G3681" s="275"/>
    </row>
    <row r="3682" spans="1:7" ht="17.45" customHeight="1">
      <c r="A3682" s="261" t="s">
        <v>8</v>
      </c>
      <c r="C3682" s="271" t="s">
        <v>3606</v>
      </c>
      <c r="D3682" s="497"/>
      <c r="E3682" s="499">
        <v>50000</v>
      </c>
      <c r="F3682" s="263"/>
      <c r="G3682" s="275"/>
    </row>
    <row r="3683" spans="1:7" ht="17.45" customHeight="1">
      <c r="A3683" s="261" t="s">
        <v>8</v>
      </c>
      <c r="C3683" s="271" t="s">
        <v>3607</v>
      </c>
      <c r="D3683" s="497"/>
      <c r="E3683" s="499">
        <v>24555</v>
      </c>
      <c r="F3683" s="263"/>
      <c r="G3683" s="275"/>
    </row>
    <row r="3684" spans="1:7" ht="17.45" customHeight="1">
      <c r="A3684" s="261" t="s">
        <v>8</v>
      </c>
      <c r="C3684" s="271" t="s">
        <v>3608</v>
      </c>
      <c r="D3684" s="497"/>
      <c r="E3684" s="499">
        <v>10200</v>
      </c>
      <c r="F3684" s="263"/>
      <c r="G3684" s="275"/>
    </row>
    <row r="3685" spans="1:7" ht="17.45" customHeight="1">
      <c r="A3685" s="261" t="s">
        <v>8</v>
      </c>
      <c r="C3685" s="271" t="s">
        <v>3609</v>
      </c>
      <c r="D3685" s="497"/>
      <c r="E3685" s="499">
        <v>1000</v>
      </c>
      <c r="F3685" s="263"/>
      <c r="G3685" s="275"/>
    </row>
    <row r="3686" spans="1:7" ht="17.45" customHeight="1">
      <c r="A3686" s="261" t="s">
        <v>8</v>
      </c>
      <c r="C3686" s="271" t="s">
        <v>3610</v>
      </c>
      <c r="D3686" s="497"/>
      <c r="E3686" s="499">
        <v>27000</v>
      </c>
      <c r="F3686" s="263"/>
      <c r="G3686" s="275"/>
    </row>
    <row r="3687" spans="1:7" ht="17.45" customHeight="1">
      <c r="A3687" s="261" t="s">
        <v>8</v>
      </c>
      <c r="C3687" s="271" t="s">
        <v>3611</v>
      </c>
      <c r="D3687" s="497"/>
      <c r="E3687" s="499">
        <f>15620+14010</f>
        <v>29630</v>
      </c>
      <c r="F3687" s="263"/>
      <c r="G3687" s="275"/>
    </row>
    <row r="3688" spans="1:7" ht="17.45" customHeight="1">
      <c r="A3688" s="261" t="s">
        <v>8</v>
      </c>
      <c r="C3688" s="271" t="s">
        <v>3612</v>
      </c>
      <c r="D3688" s="497"/>
      <c r="E3688" s="499">
        <v>1500</v>
      </c>
      <c r="F3688" s="263"/>
      <c r="G3688" s="275"/>
    </row>
    <row r="3689" spans="1:7" ht="17.45" customHeight="1">
      <c r="A3689" s="261" t="s">
        <v>8</v>
      </c>
      <c r="C3689" s="271" t="s">
        <v>3613</v>
      </c>
      <c r="D3689" s="497"/>
      <c r="E3689" s="499">
        <v>16500</v>
      </c>
      <c r="F3689" s="263"/>
      <c r="G3689" s="275"/>
    </row>
    <row r="3690" spans="1:7" ht="17.45" customHeight="1">
      <c r="A3690" s="261" t="s">
        <v>8</v>
      </c>
      <c r="C3690" s="271" t="s">
        <v>3614</v>
      </c>
      <c r="D3690" s="497"/>
      <c r="E3690" s="499">
        <v>2200</v>
      </c>
      <c r="F3690" s="263"/>
      <c r="G3690" s="275"/>
    </row>
    <row r="3691" spans="1:7" ht="17.45" customHeight="1">
      <c r="A3691" s="261" t="s">
        <v>8</v>
      </c>
      <c r="C3691" s="271" t="s">
        <v>3615</v>
      </c>
      <c r="D3691" s="497"/>
      <c r="E3691" s="499">
        <v>100000</v>
      </c>
      <c r="F3691" s="263"/>
      <c r="G3691" s="275"/>
    </row>
    <row r="3692" spans="1:7" ht="17.45" customHeight="1" thickBot="1">
      <c r="A3692" s="261" t="s">
        <v>8</v>
      </c>
      <c r="C3692" s="276" t="s">
        <v>1300</v>
      </c>
      <c r="D3692" s="502">
        <f>SUM(D3622:D3691)-SUM(E3622:E3691)</f>
        <v>475217</v>
      </c>
      <c r="E3692" s="502">
        <f>SUM(E3622:E3691)-SUM(F3622:F3691)</f>
        <v>10996444</v>
      </c>
      <c r="F3692" s="277"/>
      <c r="G3692" s="283"/>
    </row>
    <row r="3694" spans="1:7" ht="12.75" thickBot="1"/>
    <row r="3695" spans="1:7" ht="17.45" customHeight="1">
      <c r="A3695" s="261" t="s">
        <v>8</v>
      </c>
      <c r="B3695" s="256" t="s">
        <v>3616</v>
      </c>
      <c r="C3695" s="268" t="s">
        <v>1268</v>
      </c>
      <c r="D3695" s="500">
        <v>8261378</v>
      </c>
      <c r="E3695" s="501"/>
      <c r="F3695" s="269"/>
      <c r="G3695" s="270"/>
    </row>
    <row r="3696" spans="1:7" ht="17.45" customHeight="1">
      <c r="A3696" s="261" t="s">
        <v>8</v>
      </c>
      <c r="B3696" s="257"/>
      <c r="C3696" s="271" t="s">
        <v>1953</v>
      </c>
      <c r="D3696" s="497"/>
      <c r="E3696" s="497"/>
      <c r="F3696" s="263"/>
      <c r="G3696" s="272"/>
    </row>
    <row r="3697" spans="1:7" ht="17.45" customHeight="1">
      <c r="A3697" s="261" t="s">
        <v>8</v>
      </c>
      <c r="B3697" s="257"/>
      <c r="C3697" s="271" t="s">
        <v>2722</v>
      </c>
      <c r="D3697" s="497"/>
      <c r="E3697" s="497"/>
      <c r="F3697" s="263"/>
      <c r="G3697" s="272"/>
    </row>
    <row r="3698" spans="1:7" ht="17.45" customHeight="1">
      <c r="A3698" s="261" t="s">
        <v>8</v>
      </c>
      <c r="B3698" s="257"/>
      <c r="C3698" s="271" t="s">
        <v>3047</v>
      </c>
      <c r="D3698" s="497"/>
      <c r="E3698" s="497"/>
      <c r="F3698" s="263"/>
      <c r="G3698" s="272"/>
    </row>
    <row r="3699" spans="1:7" ht="17.45" customHeight="1">
      <c r="A3699" s="261" t="s">
        <v>8</v>
      </c>
      <c r="B3699" s="257"/>
      <c r="C3699" s="271" t="s">
        <v>1269</v>
      </c>
      <c r="D3699" s="497"/>
      <c r="E3699" s="499">
        <v>346000</v>
      </c>
      <c r="F3699" s="263"/>
      <c r="G3699" s="272" t="s">
        <v>3603</v>
      </c>
    </row>
    <row r="3700" spans="1:7" ht="17.45" customHeight="1">
      <c r="A3700" s="261" t="s">
        <v>8</v>
      </c>
      <c r="C3700" s="271" t="s">
        <v>1270</v>
      </c>
      <c r="D3700" s="497"/>
      <c r="E3700" s="499">
        <v>1059000</v>
      </c>
      <c r="F3700" s="263"/>
      <c r="G3700" s="273" t="s">
        <v>3532</v>
      </c>
    </row>
    <row r="3701" spans="1:7" ht="17.45" customHeight="1">
      <c r="A3701" s="261" t="s">
        <v>8</v>
      </c>
      <c r="C3701" s="271" t="s">
        <v>1670</v>
      </c>
      <c r="D3701" s="497"/>
      <c r="E3701" s="497"/>
      <c r="F3701" s="263"/>
      <c r="G3701" s="274"/>
    </row>
    <row r="3702" spans="1:7" ht="17.45" customHeight="1">
      <c r="A3702" s="261" t="s">
        <v>8</v>
      </c>
      <c r="C3702" s="271" t="s">
        <v>1672</v>
      </c>
      <c r="D3702" s="497"/>
      <c r="E3702" s="499">
        <v>73300</v>
      </c>
      <c r="F3702" s="263"/>
      <c r="G3702" s="273" t="s">
        <v>2732</v>
      </c>
    </row>
    <row r="3703" spans="1:7" ht="17.45" customHeight="1">
      <c r="A3703" s="261" t="s">
        <v>8</v>
      </c>
      <c r="C3703" s="271" t="s">
        <v>1673</v>
      </c>
      <c r="D3703" s="497"/>
      <c r="E3703" s="497"/>
      <c r="F3703" s="263"/>
      <c r="G3703" s="274"/>
    </row>
    <row r="3704" spans="1:7" ht="17.45" customHeight="1">
      <c r="A3704" s="261" t="s">
        <v>8</v>
      </c>
      <c r="C3704" s="271" t="s">
        <v>1332</v>
      </c>
      <c r="D3704" s="497"/>
      <c r="E3704" s="499">
        <v>34650</v>
      </c>
      <c r="F3704" s="263"/>
      <c r="G3704" s="275"/>
    </row>
    <row r="3705" spans="1:7" ht="17.45" customHeight="1">
      <c r="A3705" s="261" t="s">
        <v>8</v>
      </c>
      <c r="C3705" s="271" t="s">
        <v>1271</v>
      </c>
      <c r="D3705" s="497"/>
      <c r="E3705" s="497"/>
      <c r="F3705" s="263"/>
      <c r="G3705" s="274"/>
    </row>
    <row r="3706" spans="1:7" ht="17.45" customHeight="1">
      <c r="A3706" s="261" t="s">
        <v>8</v>
      </c>
      <c r="C3706" s="271" t="s">
        <v>1272</v>
      </c>
      <c r="D3706" s="497"/>
      <c r="E3706" s="497"/>
      <c r="F3706" s="263"/>
      <c r="G3706" s="273"/>
    </row>
    <row r="3707" spans="1:7" ht="17.45" customHeight="1">
      <c r="A3707" s="261" t="s">
        <v>8</v>
      </c>
      <c r="C3707" s="271" t="s">
        <v>3009</v>
      </c>
      <c r="D3707" s="497"/>
      <c r="E3707" s="499">
        <v>21136</v>
      </c>
      <c r="F3707" s="263"/>
      <c r="G3707" s="273" t="s">
        <v>2732</v>
      </c>
    </row>
    <row r="3708" spans="1:7" ht="17.45" customHeight="1">
      <c r="A3708" s="261" t="s">
        <v>8</v>
      </c>
      <c r="C3708" s="271" t="s">
        <v>3010</v>
      </c>
      <c r="D3708" s="497"/>
      <c r="E3708" s="499">
        <v>900</v>
      </c>
      <c r="F3708" s="263"/>
      <c r="G3708" s="273"/>
    </row>
    <row r="3709" spans="1:7" ht="17.45" customHeight="1">
      <c r="A3709" s="261" t="s">
        <v>8</v>
      </c>
      <c r="C3709" s="271" t="s">
        <v>1273</v>
      </c>
      <c r="D3709" s="497"/>
      <c r="E3709" s="499">
        <v>29920</v>
      </c>
      <c r="F3709" s="263"/>
      <c r="G3709" s="273" t="s">
        <v>2732</v>
      </c>
    </row>
    <row r="3710" spans="1:7" ht="17.45" customHeight="1">
      <c r="A3710" s="261" t="s">
        <v>8</v>
      </c>
      <c r="C3710" s="271" t="s">
        <v>1274</v>
      </c>
      <c r="D3710" s="497"/>
      <c r="E3710" s="497">
        <v>3757</v>
      </c>
      <c r="F3710" s="263"/>
      <c r="G3710" s="273"/>
    </row>
    <row r="3711" spans="1:7" ht="17.45" customHeight="1">
      <c r="A3711" s="261" t="s">
        <v>8</v>
      </c>
      <c r="C3711" s="271" t="s">
        <v>2168</v>
      </c>
      <c r="D3711" s="497"/>
      <c r="E3711" s="499">
        <v>18816</v>
      </c>
      <c r="F3711" s="263"/>
      <c r="G3711" s="273" t="s">
        <v>2732</v>
      </c>
    </row>
    <row r="3712" spans="1:7" ht="17.45" customHeight="1">
      <c r="A3712" s="261" t="s">
        <v>8</v>
      </c>
      <c r="C3712" s="271" t="s">
        <v>1517</v>
      </c>
      <c r="D3712" s="497"/>
      <c r="E3712" s="499">
        <f>23230</f>
        <v>23230</v>
      </c>
      <c r="F3712" s="263"/>
      <c r="G3712" s="273" t="s">
        <v>2732</v>
      </c>
    </row>
    <row r="3713" spans="1:7" ht="17.45" customHeight="1">
      <c r="A3713" s="261" t="s">
        <v>8</v>
      </c>
      <c r="C3713" s="271" t="s">
        <v>1276</v>
      </c>
      <c r="D3713" s="497"/>
      <c r="E3713" s="499">
        <v>301550</v>
      </c>
      <c r="F3713" s="263"/>
      <c r="G3713" s="273" t="s">
        <v>2732</v>
      </c>
    </row>
    <row r="3714" spans="1:7" ht="17.45" customHeight="1">
      <c r="A3714" s="261" t="s">
        <v>8</v>
      </c>
      <c r="C3714" s="271" t="s">
        <v>1277</v>
      </c>
      <c r="D3714" s="497"/>
      <c r="E3714" s="499">
        <v>54450</v>
      </c>
      <c r="F3714" s="263"/>
      <c r="G3714" s="273" t="s">
        <v>2732</v>
      </c>
    </row>
    <row r="3715" spans="1:7" ht="17.45" customHeight="1">
      <c r="A3715" s="261" t="s">
        <v>8</v>
      </c>
      <c r="C3715" s="271" t="s">
        <v>1278</v>
      </c>
      <c r="D3715" s="497"/>
      <c r="E3715" s="499">
        <v>200000</v>
      </c>
      <c r="F3715" s="263"/>
      <c r="G3715" s="273"/>
    </row>
    <row r="3716" spans="1:7" ht="17.45" customHeight="1">
      <c r="A3716" s="261" t="s">
        <v>8</v>
      </c>
      <c r="C3716" s="285" t="s">
        <v>1413</v>
      </c>
      <c r="D3716" s="506"/>
      <c r="E3716" s="507">
        <v>1800000</v>
      </c>
      <c r="F3716" s="286"/>
      <c r="G3716" s="287"/>
    </row>
    <row r="3717" spans="1:7" ht="17.25" customHeight="1">
      <c r="A3717" s="261" t="s">
        <v>8</v>
      </c>
      <c r="C3717" s="338" t="s">
        <v>2661</v>
      </c>
      <c r="D3717" s="497"/>
      <c r="E3717" s="497"/>
      <c r="F3717" s="263"/>
      <c r="G3717" s="275"/>
    </row>
    <row r="3718" spans="1:7" ht="17.45" customHeight="1">
      <c r="A3718" s="261" t="s">
        <v>8</v>
      </c>
      <c r="C3718" s="339" t="s">
        <v>3248</v>
      </c>
      <c r="D3718" s="506"/>
      <c r="E3718" s="507">
        <v>3000000</v>
      </c>
      <c r="F3718" s="286"/>
      <c r="G3718" s="290"/>
    </row>
    <row r="3719" spans="1:7" ht="17.45" customHeight="1">
      <c r="A3719" s="261" t="s">
        <v>8</v>
      </c>
      <c r="C3719" s="339" t="s">
        <v>2647</v>
      </c>
      <c r="D3719" s="506"/>
      <c r="E3719" s="506"/>
      <c r="F3719" s="286"/>
      <c r="G3719" s="290"/>
    </row>
    <row r="3720" spans="1:7" ht="17.45" customHeight="1" thickBot="1">
      <c r="A3720" s="261" t="s">
        <v>8</v>
      </c>
      <c r="C3720" s="285" t="s">
        <v>1942</v>
      </c>
      <c r="D3720" s="506"/>
      <c r="E3720" s="506">
        <v>20000</v>
      </c>
      <c r="F3720" s="286"/>
      <c r="G3720" s="290"/>
    </row>
    <row r="3721" spans="1:7" ht="17.45" customHeight="1">
      <c r="A3721" s="261" t="s">
        <v>8</v>
      </c>
      <c r="C3721" s="268" t="s">
        <v>1280</v>
      </c>
      <c r="D3721" s="501"/>
      <c r="E3721" s="501"/>
      <c r="F3721" s="269"/>
      <c r="G3721" s="288"/>
    </row>
    <row r="3722" spans="1:7" ht="17.45" customHeight="1">
      <c r="A3722" s="261" t="s">
        <v>8</v>
      </c>
      <c r="C3722" s="271" t="s">
        <v>1549</v>
      </c>
      <c r="D3722" s="497"/>
      <c r="E3722" s="497"/>
      <c r="F3722" s="263"/>
      <c r="G3722" s="275"/>
    </row>
    <row r="3723" spans="1:7" ht="17.45" customHeight="1">
      <c r="A3723" s="261" t="s">
        <v>8</v>
      </c>
      <c r="C3723" s="271" t="s">
        <v>1819</v>
      </c>
      <c r="D3723" s="497"/>
      <c r="E3723" s="497"/>
      <c r="F3723" s="263"/>
      <c r="G3723" s="275"/>
    </row>
    <row r="3724" spans="1:7" ht="17.45" customHeight="1">
      <c r="A3724" s="261" t="s">
        <v>8</v>
      </c>
      <c r="C3724" s="271" t="s">
        <v>391</v>
      </c>
      <c r="D3724" s="497"/>
      <c r="E3724" s="497"/>
      <c r="F3724" s="263"/>
      <c r="G3724" s="275"/>
    </row>
    <row r="3725" spans="1:7" ht="17.45" customHeight="1">
      <c r="A3725" s="261" t="s">
        <v>8</v>
      </c>
      <c r="C3725" s="271" t="s">
        <v>1934</v>
      </c>
      <c r="D3725" s="497"/>
      <c r="E3725" s="497"/>
      <c r="F3725" s="263"/>
      <c r="G3725" s="275"/>
    </row>
    <row r="3726" spans="1:7" ht="17.25" customHeight="1">
      <c r="A3726" s="261" t="s">
        <v>8</v>
      </c>
      <c r="C3726" s="271" t="s">
        <v>2202</v>
      </c>
      <c r="D3726" s="497"/>
      <c r="E3726" s="497"/>
      <c r="F3726" s="263"/>
      <c r="G3726" s="275"/>
    </row>
    <row r="3727" spans="1:7" ht="17.45" customHeight="1">
      <c r="A3727" s="261" t="s">
        <v>8</v>
      </c>
      <c r="C3727" s="271" t="s">
        <v>2654</v>
      </c>
      <c r="D3727" s="497"/>
      <c r="E3727" s="497"/>
      <c r="F3727" s="263"/>
      <c r="G3727" s="275"/>
    </row>
    <row r="3728" spans="1:7" ht="17.45" customHeight="1">
      <c r="A3728" s="261" t="s">
        <v>8</v>
      </c>
      <c r="C3728" s="271" t="s">
        <v>2097</v>
      </c>
      <c r="D3728" s="497"/>
      <c r="E3728" s="497"/>
      <c r="F3728" s="263"/>
      <c r="G3728" s="275"/>
    </row>
    <row r="3729" spans="1:7" ht="17.45" customHeight="1">
      <c r="A3729" s="261" t="s">
        <v>8</v>
      </c>
      <c r="C3729" s="271" t="s">
        <v>1687</v>
      </c>
      <c r="D3729" s="497"/>
      <c r="E3729" s="497"/>
      <c r="F3729" s="263"/>
      <c r="G3729" s="275"/>
    </row>
    <row r="3730" spans="1:7" ht="17.45" customHeight="1">
      <c r="A3730" s="261" t="s">
        <v>8</v>
      </c>
      <c r="C3730" s="271" t="s">
        <v>1688</v>
      </c>
      <c r="D3730" s="497"/>
      <c r="E3730" s="497"/>
      <c r="F3730" s="263"/>
      <c r="G3730" s="275"/>
    </row>
    <row r="3731" spans="1:7" ht="17.45" customHeight="1">
      <c r="A3731" s="261" t="s">
        <v>8</v>
      </c>
      <c r="C3731" s="271" t="s">
        <v>1602</v>
      </c>
      <c r="D3731" s="497"/>
      <c r="E3731" s="497"/>
      <c r="F3731" s="263"/>
      <c r="G3731" s="275"/>
    </row>
    <row r="3732" spans="1:7" ht="17.45" customHeight="1">
      <c r="A3732" s="261" t="s">
        <v>8</v>
      </c>
      <c r="C3732" s="271" t="s">
        <v>1596</v>
      </c>
      <c r="D3732" s="497"/>
      <c r="E3732" s="499">
        <f>3500</f>
        <v>3500</v>
      </c>
      <c r="F3732" s="263"/>
      <c r="G3732" s="275"/>
    </row>
    <row r="3733" spans="1:7" ht="17.45" customHeight="1">
      <c r="A3733" s="261" t="s">
        <v>8</v>
      </c>
      <c r="C3733" s="271" t="s">
        <v>1595</v>
      </c>
      <c r="D3733" s="497"/>
      <c r="E3733" s="499">
        <f>3500</f>
        <v>3500</v>
      </c>
      <c r="F3733" s="263"/>
      <c r="G3733" s="275"/>
    </row>
    <row r="3734" spans="1:7" ht="17.45" customHeight="1">
      <c r="A3734" s="261" t="s">
        <v>8</v>
      </c>
      <c r="C3734" s="271" t="s">
        <v>2822</v>
      </c>
      <c r="D3734" s="497"/>
      <c r="E3734" s="497"/>
      <c r="F3734" s="263"/>
      <c r="G3734" s="275"/>
    </row>
    <row r="3735" spans="1:7" ht="17.45" customHeight="1">
      <c r="A3735" s="261" t="s">
        <v>8</v>
      </c>
      <c r="C3735" s="271" t="s">
        <v>2821</v>
      </c>
      <c r="D3735" s="497"/>
      <c r="F3735" s="263"/>
      <c r="G3735" s="273" t="s">
        <v>3373</v>
      </c>
    </row>
    <row r="3736" spans="1:7" ht="17.45" customHeight="1">
      <c r="A3736" s="261" t="s">
        <v>8</v>
      </c>
      <c r="C3736" s="271" t="s">
        <v>1689</v>
      </c>
      <c r="D3736" s="497"/>
      <c r="E3736" s="497"/>
      <c r="F3736" s="263"/>
      <c r="G3736" s="275"/>
    </row>
    <row r="3737" spans="1:7" ht="17.45" customHeight="1">
      <c r="A3737" s="261" t="s">
        <v>8</v>
      </c>
      <c r="C3737" s="271" t="s">
        <v>1569</v>
      </c>
      <c r="D3737" s="497"/>
      <c r="E3737" s="499">
        <f>64780</f>
        <v>64780</v>
      </c>
      <c r="F3737" s="263"/>
      <c r="G3737" s="275"/>
    </row>
    <row r="3738" spans="1:7" ht="17.45" customHeight="1">
      <c r="A3738" s="261" t="s">
        <v>8</v>
      </c>
      <c r="C3738" s="271" t="s">
        <v>1618</v>
      </c>
      <c r="D3738" s="497"/>
      <c r="E3738" s="499">
        <f>11440</f>
        <v>11440</v>
      </c>
      <c r="F3738" s="263"/>
      <c r="G3738" s="275"/>
    </row>
    <row r="3739" spans="1:7" ht="17.45" customHeight="1">
      <c r="A3739" s="261" t="s">
        <v>8</v>
      </c>
      <c r="C3739" s="271" t="s">
        <v>2810</v>
      </c>
      <c r="D3739" s="497"/>
      <c r="E3739" s="497"/>
      <c r="F3739" s="263"/>
      <c r="G3739" s="275"/>
    </row>
    <row r="3740" spans="1:7" ht="17.45" customHeight="1" thickBot="1">
      <c r="A3740" s="261" t="s">
        <v>8</v>
      </c>
      <c r="C3740" s="276" t="s">
        <v>2699</v>
      </c>
      <c r="D3740" s="502"/>
      <c r="E3740" s="503">
        <f>11200</f>
        <v>11200</v>
      </c>
      <c r="F3740" s="277"/>
      <c r="G3740" s="282"/>
    </row>
    <row r="3741" spans="1:7" ht="17.45" customHeight="1">
      <c r="A3741" s="261" t="s">
        <v>8</v>
      </c>
      <c r="C3741" s="279" t="s">
        <v>3617</v>
      </c>
      <c r="D3741" s="504"/>
      <c r="E3741" s="505">
        <v>30000</v>
      </c>
      <c r="F3741" s="280"/>
      <c r="G3741" s="273"/>
    </row>
    <row r="3742" spans="1:7" ht="17.45" customHeight="1">
      <c r="A3742" s="261" t="s">
        <v>8</v>
      </c>
      <c r="C3742" s="284" t="s">
        <v>3618</v>
      </c>
      <c r="D3742" s="497"/>
      <c r="E3742" s="499">
        <v>15000</v>
      </c>
      <c r="F3742" s="263"/>
      <c r="G3742" s="275"/>
    </row>
    <row r="3743" spans="1:7" ht="17.45" customHeight="1">
      <c r="A3743" s="261" t="s">
        <v>8</v>
      </c>
      <c r="C3743" s="271" t="s">
        <v>3619</v>
      </c>
      <c r="D3743" s="497"/>
      <c r="E3743" s="499">
        <v>4000</v>
      </c>
      <c r="F3743" s="263"/>
      <c r="G3743" s="275"/>
    </row>
    <row r="3744" spans="1:7" ht="17.45" customHeight="1">
      <c r="A3744" s="261" t="s">
        <v>8</v>
      </c>
      <c r="C3744" s="271" t="s">
        <v>3620</v>
      </c>
      <c r="D3744" s="497"/>
      <c r="E3744" s="499">
        <v>13500</v>
      </c>
      <c r="F3744" s="263"/>
      <c r="G3744" s="275"/>
    </row>
    <row r="3745" spans="1:7" ht="17.45" customHeight="1">
      <c r="A3745" s="261" t="s">
        <v>8</v>
      </c>
      <c r="C3745" s="271" t="s">
        <v>3621</v>
      </c>
      <c r="D3745" s="497"/>
      <c r="E3745" s="499">
        <f>8000+6540</f>
        <v>14540</v>
      </c>
      <c r="F3745" s="263"/>
      <c r="G3745" s="275"/>
    </row>
    <row r="3746" spans="1:7" ht="17.45" customHeight="1">
      <c r="A3746" s="261" t="s">
        <v>8</v>
      </c>
      <c r="C3746" s="271" t="s">
        <v>3622</v>
      </c>
      <c r="D3746" s="497"/>
      <c r="E3746" s="499">
        <v>28500</v>
      </c>
      <c r="F3746" s="263"/>
      <c r="G3746" s="275"/>
    </row>
    <row r="3747" spans="1:7" ht="17.45" customHeight="1">
      <c r="A3747" s="261" t="s">
        <v>8</v>
      </c>
      <c r="C3747" s="271" t="s">
        <v>3623</v>
      </c>
      <c r="D3747" s="497"/>
      <c r="E3747" s="499">
        <v>13100</v>
      </c>
      <c r="F3747" s="263"/>
      <c r="G3747" s="275"/>
    </row>
    <row r="3748" spans="1:7" ht="17.45" customHeight="1">
      <c r="A3748" s="261" t="s">
        <v>8</v>
      </c>
      <c r="C3748" s="271" t="s">
        <v>3624</v>
      </c>
      <c r="D3748" s="497"/>
      <c r="E3748" s="499">
        <v>1400</v>
      </c>
      <c r="F3748" s="263"/>
      <c r="G3748" s="275"/>
    </row>
    <row r="3749" spans="1:7" ht="17.45" customHeight="1">
      <c r="A3749" s="261" t="s">
        <v>8</v>
      </c>
      <c r="C3749" s="284" t="s">
        <v>3625</v>
      </c>
      <c r="D3749" s="497"/>
      <c r="E3749" s="499">
        <f>10700+13300</f>
        <v>24000</v>
      </c>
      <c r="F3749" s="263"/>
      <c r="G3749" s="275"/>
    </row>
    <row r="3750" spans="1:7" ht="17.45" customHeight="1">
      <c r="A3750" s="261" t="s">
        <v>8</v>
      </c>
      <c r="C3750" s="271" t="s">
        <v>3626</v>
      </c>
      <c r="D3750" s="497"/>
      <c r="E3750" s="499">
        <v>1500</v>
      </c>
      <c r="F3750" s="263"/>
      <c r="G3750" s="275"/>
    </row>
    <row r="3751" spans="1:7" ht="17.45" customHeight="1">
      <c r="A3751" s="261" t="s">
        <v>8</v>
      </c>
      <c r="C3751" s="271" t="s">
        <v>3627</v>
      </c>
      <c r="D3751" s="497"/>
      <c r="E3751" s="499">
        <v>3750</v>
      </c>
      <c r="F3751" s="263"/>
      <c r="G3751" s="275"/>
    </row>
    <row r="3752" spans="1:7" ht="17.45" customHeight="1">
      <c r="A3752" s="261" t="s">
        <v>8</v>
      </c>
      <c r="C3752" s="271" t="s">
        <v>3628</v>
      </c>
      <c r="D3752" s="497"/>
      <c r="E3752" s="499">
        <v>34600</v>
      </c>
      <c r="F3752" s="263"/>
      <c r="G3752" s="275"/>
    </row>
    <row r="3753" spans="1:7" ht="17.45" customHeight="1">
      <c r="A3753" s="261" t="s">
        <v>8</v>
      </c>
      <c r="C3753" s="271" t="s">
        <v>3629</v>
      </c>
      <c r="D3753" s="497"/>
      <c r="E3753" s="499">
        <f>104200+48900</f>
        <v>153100</v>
      </c>
      <c r="F3753" s="263"/>
      <c r="G3753" s="275"/>
    </row>
    <row r="3754" spans="1:7" ht="17.45" customHeight="1">
      <c r="A3754" s="261" t="s">
        <v>8</v>
      </c>
      <c r="C3754" s="284" t="s">
        <v>3630</v>
      </c>
      <c r="D3754" s="497"/>
      <c r="E3754" s="499">
        <v>1300</v>
      </c>
      <c r="F3754" s="263"/>
      <c r="G3754" s="275"/>
    </row>
    <row r="3755" spans="1:7" ht="17.45" customHeight="1">
      <c r="A3755" s="261" t="s">
        <v>8</v>
      </c>
      <c r="C3755" s="271" t="s">
        <v>3631</v>
      </c>
      <c r="D3755" s="497"/>
      <c r="E3755" s="499">
        <v>1800</v>
      </c>
      <c r="F3755" s="263"/>
      <c r="G3755" s="275"/>
    </row>
    <row r="3756" spans="1:7" ht="17.45" customHeight="1">
      <c r="A3756" s="261" t="s">
        <v>8</v>
      </c>
      <c r="C3756" s="271"/>
      <c r="D3756" s="497"/>
      <c r="E3756" s="497"/>
      <c r="F3756" s="263"/>
      <c r="G3756" s="275"/>
    </row>
    <row r="3757" spans="1:7" ht="17.45" customHeight="1">
      <c r="A3757" s="261" t="s">
        <v>8</v>
      </c>
      <c r="C3757" s="271"/>
      <c r="D3757" s="497"/>
      <c r="E3757" s="497"/>
      <c r="F3757" s="263"/>
      <c r="G3757" s="275"/>
    </row>
    <row r="3758" spans="1:7" ht="17.45" customHeight="1">
      <c r="A3758" s="261" t="s">
        <v>8</v>
      </c>
      <c r="C3758" s="271"/>
      <c r="D3758" s="497"/>
      <c r="E3758" s="497"/>
      <c r="F3758" s="263"/>
      <c r="G3758" s="275"/>
    </row>
    <row r="3759" spans="1:7" ht="17.45" customHeight="1">
      <c r="A3759" s="261" t="s">
        <v>8</v>
      </c>
      <c r="C3759" s="271"/>
      <c r="D3759" s="497"/>
      <c r="E3759" s="497"/>
      <c r="F3759" s="263"/>
      <c r="G3759" s="275"/>
    </row>
    <row r="3760" spans="1:7" ht="17.45" customHeight="1">
      <c r="A3760" s="261" t="s">
        <v>8</v>
      </c>
      <c r="C3760" s="271"/>
      <c r="D3760" s="497"/>
      <c r="E3760" s="497"/>
      <c r="F3760" s="263"/>
      <c r="G3760" s="275"/>
    </row>
    <row r="3761" spans="1:7" ht="17.45" customHeight="1">
      <c r="A3761" s="261" t="s">
        <v>8</v>
      </c>
      <c r="C3761" s="271"/>
      <c r="D3761" s="497"/>
      <c r="E3761" s="497"/>
      <c r="F3761" s="263"/>
      <c r="G3761" s="275"/>
    </row>
    <row r="3762" spans="1:7" ht="17.45" customHeight="1">
      <c r="A3762" s="261" t="s">
        <v>8</v>
      </c>
      <c r="C3762" s="271"/>
      <c r="D3762" s="497"/>
      <c r="E3762" s="497"/>
      <c r="F3762" s="263"/>
      <c r="G3762" s="275"/>
    </row>
    <row r="3763" spans="1:7" ht="17.45" customHeight="1">
      <c r="A3763" s="261" t="s">
        <v>8</v>
      </c>
      <c r="C3763" s="271"/>
      <c r="D3763" s="497"/>
      <c r="E3763" s="497"/>
      <c r="F3763" s="263"/>
      <c r="G3763" s="275"/>
    </row>
    <row r="3764" spans="1:7" ht="17.45" customHeight="1">
      <c r="A3764" s="261" t="s">
        <v>8</v>
      </c>
      <c r="C3764" s="271"/>
      <c r="D3764" s="497"/>
      <c r="E3764" s="497"/>
      <c r="F3764" s="263"/>
      <c r="G3764" s="275"/>
    </row>
    <row r="3765" spans="1:7" ht="17.45" customHeight="1">
      <c r="A3765" s="261" t="s">
        <v>8</v>
      </c>
      <c r="C3765" s="271"/>
      <c r="D3765" s="497"/>
      <c r="E3765" s="497"/>
      <c r="F3765" s="263"/>
      <c r="G3765" s="275"/>
    </row>
    <row r="3766" spans="1:7" ht="17.45" customHeight="1">
      <c r="A3766" s="261" t="s">
        <v>8</v>
      </c>
      <c r="C3766" s="271"/>
      <c r="D3766" s="497"/>
      <c r="E3766" s="497"/>
      <c r="F3766" s="263"/>
      <c r="G3766" s="275"/>
    </row>
    <row r="3767" spans="1:7" ht="17.45" customHeight="1">
      <c r="A3767" s="261" t="s">
        <v>8</v>
      </c>
      <c r="C3767" s="271"/>
      <c r="D3767" s="497"/>
      <c r="E3767" s="497"/>
      <c r="F3767" s="263"/>
      <c r="G3767" s="275"/>
    </row>
    <row r="3768" spans="1:7" ht="17.45" customHeight="1">
      <c r="A3768" s="261" t="s">
        <v>8</v>
      </c>
      <c r="C3768" s="271"/>
      <c r="D3768" s="497"/>
      <c r="E3768" s="497"/>
      <c r="F3768" s="263"/>
      <c r="G3768" s="275"/>
    </row>
    <row r="3769" spans="1:7" ht="17.45" customHeight="1">
      <c r="A3769" s="261" t="s">
        <v>8</v>
      </c>
      <c r="C3769" s="271"/>
      <c r="D3769" s="497"/>
      <c r="E3769" s="497"/>
      <c r="F3769" s="263"/>
      <c r="G3769" s="275"/>
    </row>
    <row r="3770" spans="1:7" ht="17.45" customHeight="1">
      <c r="A3770" s="261" t="s">
        <v>8</v>
      </c>
      <c r="C3770" s="271"/>
      <c r="D3770" s="497"/>
      <c r="E3770" s="497"/>
      <c r="F3770" s="263"/>
      <c r="G3770" s="275"/>
    </row>
    <row r="3771" spans="1:7" ht="17.45" customHeight="1">
      <c r="A3771" s="261" t="s">
        <v>8</v>
      </c>
      <c r="C3771" s="271"/>
      <c r="D3771" s="497"/>
      <c r="E3771" s="497"/>
      <c r="F3771" s="263"/>
      <c r="G3771" s="275"/>
    </row>
    <row r="3772" spans="1:7" ht="17.45" customHeight="1">
      <c r="A3772" s="261" t="s">
        <v>8</v>
      </c>
      <c r="C3772" s="271"/>
      <c r="D3772" s="497"/>
      <c r="E3772" s="497"/>
      <c r="F3772" s="263"/>
      <c r="G3772" s="275"/>
    </row>
    <row r="3773" spans="1:7" ht="17.45" customHeight="1">
      <c r="A3773" s="261" t="s">
        <v>8</v>
      </c>
      <c r="C3773" s="271"/>
      <c r="D3773" s="497"/>
      <c r="E3773" s="497"/>
      <c r="F3773" s="263"/>
      <c r="G3773" s="275"/>
    </row>
    <row r="3774" spans="1:7" ht="17.45" customHeight="1">
      <c r="A3774" s="261" t="s">
        <v>8</v>
      </c>
      <c r="C3774" s="271"/>
      <c r="D3774" s="497"/>
      <c r="E3774" s="497"/>
      <c r="F3774" s="263"/>
      <c r="G3774" s="275"/>
    </row>
    <row r="3775" spans="1:7" ht="17.45" customHeight="1">
      <c r="A3775" s="261" t="s">
        <v>8</v>
      </c>
      <c r="C3775" s="271"/>
      <c r="D3775" s="497"/>
      <c r="E3775" s="497"/>
      <c r="F3775" s="263"/>
      <c r="G3775" s="275"/>
    </row>
    <row r="3776" spans="1:7" ht="17.45" customHeight="1">
      <c r="A3776" s="261" t="s">
        <v>8</v>
      </c>
      <c r="C3776" s="271"/>
      <c r="D3776" s="497"/>
      <c r="E3776" s="497"/>
      <c r="F3776" s="263"/>
      <c r="G3776" s="275"/>
    </row>
    <row r="3777" spans="1:7" ht="17.45" customHeight="1">
      <c r="A3777" s="261" t="s">
        <v>8</v>
      </c>
      <c r="C3777" s="271"/>
      <c r="D3777" s="497"/>
      <c r="E3777" s="497"/>
      <c r="F3777" s="263"/>
      <c r="G3777" s="275"/>
    </row>
    <row r="3778" spans="1:7" ht="17.45" customHeight="1">
      <c r="A3778" s="261" t="s">
        <v>8</v>
      </c>
      <c r="C3778" s="271"/>
      <c r="D3778" s="497"/>
      <c r="E3778" s="497"/>
      <c r="F3778" s="263"/>
      <c r="G3778" s="275"/>
    </row>
    <row r="3779" spans="1:7" ht="17.45" customHeight="1">
      <c r="A3779" s="261" t="s">
        <v>8</v>
      </c>
      <c r="C3779" s="271"/>
      <c r="D3779" s="497"/>
      <c r="E3779" s="497"/>
      <c r="F3779" s="263"/>
      <c r="G3779" s="275"/>
    </row>
    <row r="3780" spans="1:7" ht="17.45" customHeight="1">
      <c r="A3780" s="261" t="s">
        <v>8</v>
      </c>
      <c r="C3780" s="271"/>
      <c r="D3780" s="497"/>
      <c r="E3780" s="497"/>
      <c r="F3780" s="263"/>
      <c r="G3780" s="275"/>
    </row>
    <row r="3781" spans="1:7" ht="17.45" customHeight="1">
      <c r="A3781" s="261" t="s">
        <v>8</v>
      </c>
      <c r="C3781" s="271"/>
      <c r="D3781" s="497"/>
      <c r="E3781" s="497"/>
      <c r="F3781" s="263"/>
      <c r="G3781" s="275"/>
    </row>
    <row r="3782" spans="1:7" ht="17.45" customHeight="1">
      <c r="A3782" s="261" t="s">
        <v>8</v>
      </c>
      <c r="C3782" s="271"/>
      <c r="D3782" s="497"/>
      <c r="E3782" s="497"/>
      <c r="F3782" s="263"/>
      <c r="G3782" s="275"/>
    </row>
    <row r="3783" spans="1:7" ht="17.45" customHeight="1">
      <c r="A3783" s="261" t="s">
        <v>8</v>
      </c>
      <c r="C3783" s="271"/>
      <c r="D3783" s="497"/>
      <c r="E3783" s="497"/>
      <c r="F3783" s="263"/>
      <c r="G3783" s="275"/>
    </row>
    <row r="3784" spans="1:7" ht="17.45" customHeight="1">
      <c r="A3784" s="261" t="s">
        <v>8</v>
      </c>
      <c r="C3784" s="271"/>
      <c r="D3784" s="497"/>
      <c r="E3784" s="497"/>
      <c r="F3784" s="263"/>
      <c r="G3784" s="275"/>
    </row>
    <row r="3785" spans="1:7" ht="17.45" customHeight="1">
      <c r="A3785" s="261" t="s">
        <v>8</v>
      </c>
      <c r="C3785" s="271"/>
      <c r="D3785" s="497"/>
      <c r="E3785" s="497"/>
      <c r="F3785" s="263"/>
      <c r="G3785" s="275"/>
    </row>
    <row r="3786" spans="1:7" ht="17.45" customHeight="1">
      <c r="A3786" s="261" t="s">
        <v>8</v>
      </c>
      <c r="C3786" s="271"/>
      <c r="D3786" s="497"/>
      <c r="E3786" s="497"/>
      <c r="F3786" s="263"/>
      <c r="G3786" s="275"/>
    </row>
    <row r="3787" spans="1:7" ht="17.45" customHeight="1">
      <c r="A3787" s="261" t="s">
        <v>8</v>
      </c>
      <c r="C3787" s="271"/>
      <c r="D3787" s="497"/>
      <c r="E3787" s="497"/>
      <c r="F3787" s="263"/>
      <c r="G3787" s="275"/>
    </row>
    <row r="3788" spans="1:7" ht="17.45" customHeight="1">
      <c r="A3788" s="261" t="s">
        <v>8</v>
      </c>
      <c r="C3788" s="271"/>
      <c r="D3788" s="497"/>
      <c r="E3788" s="497"/>
      <c r="F3788" s="263"/>
      <c r="G3788" s="275"/>
    </row>
    <row r="3789" spans="1:7" ht="17.45" customHeight="1">
      <c r="A3789" s="261" t="s">
        <v>8</v>
      </c>
      <c r="C3789" s="271"/>
      <c r="D3789" s="497"/>
      <c r="E3789" s="497"/>
      <c r="F3789" s="263"/>
      <c r="G3789" s="275"/>
    </row>
    <row r="3790" spans="1:7" ht="17.45" customHeight="1">
      <c r="A3790" s="261" t="s">
        <v>8</v>
      </c>
      <c r="C3790" s="271"/>
      <c r="D3790" s="497"/>
      <c r="E3790" s="497"/>
      <c r="F3790" s="263"/>
      <c r="G3790" s="275"/>
    </row>
    <row r="3791" spans="1:7" ht="17.45" customHeight="1">
      <c r="A3791" s="261" t="s">
        <v>8</v>
      </c>
      <c r="C3791" s="271"/>
      <c r="D3791" s="497"/>
      <c r="E3791" s="497"/>
      <c r="F3791" s="263"/>
      <c r="G3791" s="275"/>
    </row>
    <row r="3792" spans="1:7" ht="17.45" customHeight="1" thickBot="1">
      <c r="A3792" s="261" t="s">
        <v>8</v>
      </c>
      <c r="C3792" s="276" t="s">
        <v>1300</v>
      </c>
      <c r="D3792" s="502">
        <f>SUM(D3695:D3791)-SUM(E3695:E3791)</f>
        <v>840159</v>
      </c>
      <c r="E3792" s="502">
        <f>SUM(E3695:E3791)-SUM(F3695:F3791)</f>
        <v>7421219</v>
      </c>
      <c r="F3792" s="277"/>
      <c r="G3792" s="283"/>
    </row>
  </sheetData>
  <autoFilter ref="A1:H1" xr:uid="{00000000-0001-0000-0400-000000000000}"/>
  <phoneticPr fontId="5" type="noConversion"/>
  <pageMargins left="0.7" right="0.7" top="0.75" bottom="0.75" header="0.3" footer="0.3"/>
  <pageSetup paperSize="9" orientation="portrait" horizontalDpi="300" r:id="rId1"/>
  <headerFooter>
    <oddHeader>&amp;R&amp;"Aptos"&amp;13&amp;K000000 [ RESTRICTED ]&amp;1#_x000D_</oddHeader>
    <oddFooter>&amp;R_x000D_&amp;1#&amp;"Aptos"&amp;5&amp;K000000 [Secure Minds, Secure Finds] 본 문서는 현대건설㈜의 정보자산이므로 무단 전제 및 복제할 수 없으며, 이를 위반할 시에는 당사 사규 및 관련 법규에 의해 제지를 받을 수 있습니다.</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1C831A-7561-4A49-9E88-869D918F3DA0}">
  <dimension ref="C2:H40"/>
  <sheetViews>
    <sheetView zoomScaleNormal="100" workbookViewId="0">
      <selection activeCell="F9" sqref="F9"/>
    </sheetView>
  </sheetViews>
  <sheetFormatPr defaultRowHeight="17.25" customHeight="1"/>
  <cols>
    <col min="1" max="2" width="9" style="255"/>
    <col min="3" max="3" width="12.875" style="255" bestFit="1" customWidth="1"/>
    <col min="4" max="4" width="14.25" style="26" customWidth="1"/>
    <col min="5" max="5" width="14.25" style="293" customWidth="1"/>
    <col min="6" max="6" width="20.5" style="26" customWidth="1"/>
    <col min="7" max="7" width="15.5" style="26" bestFit="1" customWidth="1"/>
    <col min="8" max="8" width="18.875" style="255" customWidth="1"/>
    <col min="9" max="16384" width="9" style="255"/>
  </cols>
  <sheetData>
    <row r="2" spans="4:7" ht="17.25" customHeight="1">
      <c r="D2" s="293" t="s">
        <v>67</v>
      </c>
      <c r="E2" s="293">
        <f>SUM(E3:E30)</f>
        <v>58000000</v>
      </c>
      <c r="F2" s="26" t="s">
        <v>3428</v>
      </c>
      <c r="G2" s="26" t="s">
        <v>3429</v>
      </c>
    </row>
    <row r="3" spans="4:7" ht="17.25" customHeight="1">
      <c r="D3" s="257">
        <v>46174</v>
      </c>
      <c r="E3" s="293">
        <v>3000000</v>
      </c>
      <c r="F3" s="26" t="s">
        <v>3426</v>
      </c>
      <c r="G3" s="26" t="s">
        <v>3430</v>
      </c>
    </row>
    <row r="4" spans="4:7" ht="17.25" customHeight="1">
      <c r="D4" s="257">
        <v>46146</v>
      </c>
      <c r="E4" s="293">
        <v>5000000</v>
      </c>
      <c r="F4" s="26" t="s">
        <v>3426</v>
      </c>
      <c r="G4" s="26" t="s">
        <v>3633</v>
      </c>
    </row>
    <row r="5" spans="4:7" ht="17.25" customHeight="1">
      <c r="D5" s="257">
        <v>46078</v>
      </c>
      <c r="E5" s="293">
        <v>3000000</v>
      </c>
      <c r="F5" s="26" t="s">
        <v>3426</v>
      </c>
      <c r="G5" s="26" t="s">
        <v>3430</v>
      </c>
    </row>
    <row r="6" spans="4:7" ht="17.25" customHeight="1">
      <c r="D6" s="257">
        <v>46049</v>
      </c>
      <c r="E6" s="293">
        <v>1000000</v>
      </c>
      <c r="F6" s="26" t="s">
        <v>3426</v>
      </c>
      <c r="G6" s="26" t="s">
        <v>3430</v>
      </c>
    </row>
    <row r="7" spans="4:7" ht="17.25" customHeight="1">
      <c r="D7" s="257">
        <v>46038</v>
      </c>
      <c r="E7" s="293">
        <v>1000000</v>
      </c>
      <c r="F7" s="26" t="s">
        <v>3425</v>
      </c>
      <c r="G7" s="26" t="s">
        <v>3430</v>
      </c>
    </row>
    <row r="8" spans="4:7" ht="17.25" customHeight="1">
      <c r="D8" s="257">
        <v>46027</v>
      </c>
      <c r="E8" s="293">
        <v>5000000</v>
      </c>
      <c r="F8" s="26" t="s">
        <v>3426</v>
      </c>
      <c r="G8" s="26" t="s">
        <v>3430</v>
      </c>
    </row>
    <row r="9" spans="4:7" ht="17.25" customHeight="1">
      <c r="D9" s="257">
        <v>45960</v>
      </c>
      <c r="E9" s="293">
        <v>5000000</v>
      </c>
      <c r="F9" s="26" t="s">
        <v>3427</v>
      </c>
      <c r="G9" s="26" t="s">
        <v>3430</v>
      </c>
    </row>
    <row r="10" spans="4:7" ht="17.25" customHeight="1">
      <c r="D10" s="257">
        <v>45958</v>
      </c>
      <c r="E10" s="293">
        <v>5000000</v>
      </c>
      <c r="F10" s="26" t="s">
        <v>3427</v>
      </c>
      <c r="G10" s="26" t="s">
        <v>3430</v>
      </c>
    </row>
    <row r="11" spans="4:7" ht="17.25" customHeight="1">
      <c r="D11" s="257">
        <v>45944</v>
      </c>
      <c r="E11" s="293">
        <v>3000000</v>
      </c>
      <c r="F11" s="26" t="s">
        <v>3425</v>
      </c>
      <c r="G11" s="26" t="s">
        <v>3430</v>
      </c>
    </row>
    <row r="12" spans="4:7" ht="17.25" customHeight="1">
      <c r="D12" s="257">
        <v>45944</v>
      </c>
      <c r="E12" s="293">
        <v>2000000</v>
      </c>
      <c r="F12" s="26" t="s">
        <v>3425</v>
      </c>
      <c r="G12" s="26" t="s">
        <v>3440</v>
      </c>
    </row>
    <row r="13" spans="4:7" ht="17.25" customHeight="1">
      <c r="D13" s="257">
        <v>45833</v>
      </c>
      <c r="E13" s="293">
        <v>5000000</v>
      </c>
      <c r="F13" s="26" t="s">
        <v>3425</v>
      </c>
      <c r="G13" s="26" t="s">
        <v>3440</v>
      </c>
    </row>
    <row r="14" spans="4:7" ht="17.25" customHeight="1">
      <c r="D14" s="257">
        <v>44354</v>
      </c>
      <c r="E14" s="293">
        <v>1000000</v>
      </c>
      <c r="F14" s="26" t="s">
        <v>3425</v>
      </c>
      <c r="G14" s="26" t="s">
        <v>3441</v>
      </c>
    </row>
    <row r="15" spans="4:7" ht="17.25" customHeight="1">
      <c r="D15" s="257">
        <v>44340</v>
      </c>
      <c r="E15" s="293">
        <v>1000000</v>
      </c>
      <c r="F15" s="26" t="s">
        <v>3425</v>
      </c>
      <c r="G15" s="26" t="s">
        <v>3441</v>
      </c>
    </row>
    <row r="16" spans="4:7" ht="17.25" customHeight="1">
      <c r="D16" s="257">
        <v>44306</v>
      </c>
      <c r="E16" s="293">
        <v>1000000</v>
      </c>
      <c r="F16" s="26" t="s">
        <v>3425</v>
      </c>
      <c r="G16" s="26" t="s">
        <v>3441</v>
      </c>
    </row>
    <row r="17" spans="3:8" ht="17.25" customHeight="1">
      <c r="C17" s="495"/>
      <c r="D17" s="257">
        <v>44302</v>
      </c>
      <c r="E17" s="293">
        <v>1000000</v>
      </c>
      <c r="F17" s="26" t="s">
        <v>3425</v>
      </c>
      <c r="G17" s="26" t="s">
        <v>3441</v>
      </c>
    </row>
    <row r="18" spans="3:8" ht="17.25" customHeight="1">
      <c r="C18" s="495"/>
      <c r="D18" s="257">
        <v>44300</v>
      </c>
      <c r="E18" s="293">
        <v>500000</v>
      </c>
      <c r="F18" s="26" t="s">
        <v>3425</v>
      </c>
      <c r="G18" s="26" t="s">
        <v>3441</v>
      </c>
    </row>
    <row r="19" spans="3:8" ht="17.25" customHeight="1">
      <c r="C19" s="495"/>
      <c r="D19" s="257">
        <v>44281</v>
      </c>
      <c r="E19" s="293">
        <v>300000</v>
      </c>
      <c r="F19" s="26" t="s">
        <v>3425</v>
      </c>
    </row>
    <row r="20" spans="3:8" ht="17.25" customHeight="1">
      <c r="C20" s="494"/>
      <c r="D20" s="257">
        <v>44273</v>
      </c>
      <c r="E20" s="293">
        <v>200000</v>
      </c>
      <c r="F20" s="26" t="s">
        <v>3425</v>
      </c>
      <c r="H20" s="255" t="s">
        <v>3434</v>
      </c>
    </row>
    <row r="21" spans="3:8" ht="17.25" customHeight="1">
      <c r="C21" s="494"/>
      <c r="D21" s="257">
        <v>44233</v>
      </c>
      <c r="E21" s="293">
        <v>1000000</v>
      </c>
      <c r="F21" s="26" t="s">
        <v>3425</v>
      </c>
      <c r="H21" s="255" t="s">
        <v>3433</v>
      </c>
    </row>
    <row r="22" spans="3:8" ht="17.25" customHeight="1">
      <c r="C22" s="494"/>
      <c r="D22" s="257">
        <v>44224</v>
      </c>
      <c r="E22" s="293">
        <v>500000</v>
      </c>
      <c r="F22" s="26" t="s">
        <v>3425</v>
      </c>
    </row>
    <row r="23" spans="3:8" ht="17.25" customHeight="1">
      <c r="D23" s="257">
        <v>44223</v>
      </c>
      <c r="E23" s="293">
        <v>497000</v>
      </c>
      <c r="F23" s="26" t="s">
        <v>3425</v>
      </c>
    </row>
    <row r="24" spans="3:8" ht="17.25" customHeight="1">
      <c r="D24" s="257">
        <v>44218</v>
      </c>
      <c r="E24" s="293">
        <v>3000</v>
      </c>
      <c r="F24" s="26" t="s">
        <v>3425</v>
      </c>
    </row>
    <row r="25" spans="3:8" ht="17.25" customHeight="1">
      <c r="D25" s="257">
        <v>44218</v>
      </c>
      <c r="E25" s="293">
        <v>1000000</v>
      </c>
      <c r="F25" s="26" t="s">
        <v>3425</v>
      </c>
      <c r="G25" s="26" t="s">
        <v>3432</v>
      </c>
    </row>
    <row r="26" spans="3:8" ht="17.25" customHeight="1">
      <c r="D26" s="257">
        <v>44174</v>
      </c>
      <c r="E26" s="293">
        <v>3000000</v>
      </c>
      <c r="F26" s="26" t="s">
        <v>3425</v>
      </c>
      <c r="G26" s="26" t="s">
        <v>3431</v>
      </c>
    </row>
    <row r="27" spans="3:8" ht="17.25" customHeight="1">
      <c r="D27" s="257">
        <v>44172</v>
      </c>
      <c r="E27" s="293">
        <v>1000000</v>
      </c>
      <c r="F27" s="26" t="s">
        <v>3425</v>
      </c>
      <c r="G27" s="26" t="s">
        <v>3432</v>
      </c>
    </row>
    <row r="28" spans="3:8" ht="17.25" customHeight="1">
      <c r="D28" s="257">
        <v>44169</v>
      </c>
      <c r="E28" s="293">
        <v>1000000</v>
      </c>
      <c r="F28" s="26" t="s">
        <v>3425</v>
      </c>
      <c r="G28" s="26" t="s">
        <v>3432</v>
      </c>
    </row>
    <row r="29" spans="3:8" ht="17.25" customHeight="1">
      <c r="D29" s="257">
        <v>44168</v>
      </c>
      <c r="E29" s="293">
        <v>2000000</v>
      </c>
      <c r="F29" s="26" t="s">
        <v>3425</v>
      </c>
      <c r="G29" s="26" t="s">
        <v>3432</v>
      </c>
    </row>
    <row r="30" spans="3:8" ht="17.25" customHeight="1">
      <c r="D30" s="257">
        <v>44166</v>
      </c>
      <c r="E30" s="293">
        <v>5000000</v>
      </c>
      <c r="F30" s="26" t="s">
        <v>3425</v>
      </c>
      <c r="G30" s="26" t="s">
        <v>3432</v>
      </c>
    </row>
    <row r="31" spans="3:8" ht="17.25" customHeight="1">
      <c r="D31" s="257"/>
    </row>
    <row r="32" spans="3:8" ht="17.25" customHeight="1">
      <c r="D32" s="257"/>
    </row>
    <row r="33" spans="4:4" ht="17.25" customHeight="1">
      <c r="D33" s="257"/>
    </row>
    <row r="34" spans="4:4" ht="17.25" customHeight="1">
      <c r="D34" s="257"/>
    </row>
    <row r="35" spans="4:4" ht="17.25" customHeight="1">
      <c r="D35" s="257"/>
    </row>
    <row r="36" spans="4:4" ht="17.25" customHeight="1">
      <c r="D36" s="257"/>
    </row>
    <row r="37" spans="4:4" ht="17.25" customHeight="1">
      <c r="D37" s="257"/>
    </row>
    <row r="38" spans="4:4" ht="17.25" customHeight="1">
      <c r="D38" s="257"/>
    </row>
    <row r="39" spans="4:4" ht="17.25" customHeight="1">
      <c r="D39" s="257"/>
    </row>
    <row r="40" spans="4:4" ht="17.25" customHeight="1">
      <c r="D40" s="257"/>
    </row>
  </sheetData>
  <phoneticPr fontId="5" type="noConversion"/>
  <pageMargins left="0.7" right="0.7" top="0.75" bottom="0.75" header="0.3" footer="0.3"/>
  <pageSetup paperSize="9" orientation="portrait" r:id="rId1"/>
  <headerFooter>
    <oddHeader>&amp;R&amp;"Aptos"&amp;13&amp;K000000 [ RESTRICTED ]&amp;1#_x000D_</oddHeader>
    <oddFooter>&amp;R_x000D_&amp;1#&amp;"Aptos"&amp;5&amp;K000000 [Secure Minds, Secure Finds] 본 문서는 현대건설㈜의 정보자산이므로 무단 전제 및 복제할 수 없으며, 이를 위반할 시에는 당사 사규 및 관련 법규에 의해 제지를 받을 수 있습니다.</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DBB073-3A1C-46CE-ACE7-022B7D7E2C37}">
  <dimension ref="A1:BB289"/>
  <sheetViews>
    <sheetView zoomScale="70" zoomScaleNormal="70" workbookViewId="0">
      <pane ySplit="3" topLeftCell="A74" activePane="bottomLeft" state="frozen"/>
      <selection activeCell="E8" sqref="E8"/>
      <selection pane="bottomLeft" activeCell="F69" sqref="F69"/>
    </sheetView>
  </sheetViews>
  <sheetFormatPr defaultColWidth="9" defaultRowHeight="14.25" outlineLevelRow="1"/>
  <cols>
    <col min="1" max="2" width="20.75" style="3" customWidth="1"/>
    <col min="3" max="3" width="15.25" style="3" customWidth="1"/>
    <col min="4" max="4" width="11.75" style="5" customWidth="1" collapsed="1"/>
    <col min="5" max="5" width="8.375" style="5" customWidth="1"/>
    <col min="6" max="6" width="11.75" style="5" customWidth="1" collapsed="1"/>
    <col min="7" max="7" width="8.375" style="5" customWidth="1"/>
    <col min="8" max="8" width="11.75" style="5" customWidth="1"/>
    <col min="9" max="9" width="8.375" style="5" customWidth="1"/>
    <col min="10" max="10" width="11.75" style="331" customWidth="1"/>
    <col min="11" max="11" width="8.375" style="331" customWidth="1"/>
    <col min="12" max="54" width="9" style="331"/>
    <col min="55" max="16384" width="9" style="326"/>
  </cols>
  <sheetData>
    <row r="1" spans="1:29" ht="20.25" customHeight="1">
      <c r="A1" s="320">
        <v>45772</v>
      </c>
      <c r="B1" s="320"/>
      <c r="C1" s="204"/>
      <c r="D1" s="218"/>
      <c r="E1" s="218"/>
      <c r="F1" s="218"/>
      <c r="G1" s="218"/>
      <c r="H1" s="218"/>
      <c r="I1" s="218"/>
    </row>
    <row r="2" spans="1:29" ht="20.25" customHeight="1">
      <c r="A2" s="204"/>
      <c r="B2" s="204"/>
      <c r="C2" s="204"/>
      <c r="D2" s="218"/>
      <c r="E2" s="218"/>
      <c r="F2" s="218"/>
      <c r="G2" s="218"/>
      <c r="H2" s="218"/>
      <c r="I2" s="218"/>
    </row>
    <row r="3" spans="1:29" ht="20.25" customHeight="1">
      <c r="A3" s="59" t="s">
        <v>279</v>
      </c>
      <c r="B3" s="59" t="s">
        <v>280</v>
      </c>
      <c r="C3" s="59" t="s">
        <v>281</v>
      </c>
      <c r="D3" s="189" t="s">
        <v>2875</v>
      </c>
      <c r="E3" s="198" t="s">
        <v>2400</v>
      </c>
      <c r="F3" s="189" t="s">
        <v>2876</v>
      </c>
      <c r="G3" s="198" t="s">
        <v>2400</v>
      </c>
      <c r="H3" s="189" t="s">
        <v>2877</v>
      </c>
      <c r="I3" s="198" t="s">
        <v>2400</v>
      </c>
      <c r="J3" s="189" t="s">
        <v>2878</v>
      </c>
      <c r="K3" s="198" t="s">
        <v>2400</v>
      </c>
    </row>
    <row r="4" spans="1:29" ht="20.25" customHeight="1">
      <c r="A4" s="648" t="s">
        <v>301</v>
      </c>
      <c r="B4" s="191"/>
      <c r="C4" s="327" t="s">
        <v>2596</v>
      </c>
      <c r="D4" s="193">
        <v>59959046</v>
      </c>
      <c r="E4" s="196">
        <v>0.99999999999999989</v>
      </c>
      <c r="F4" s="193">
        <v>85718180</v>
      </c>
      <c r="G4" s="196">
        <v>1</v>
      </c>
      <c r="H4" s="193">
        <v>80158602</v>
      </c>
      <c r="I4" s="196">
        <v>0.99999999999999989</v>
      </c>
      <c r="J4" s="193">
        <v>28419910</v>
      </c>
      <c r="K4" s="196">
        <v>0.99999999999999989</v>
      </c>
    </row>
    <row r="5" spans="1:29" ht="20.25" customHeight="1">
      <c r="A5" s="649"/>
      <c r="B5" s="640" t="s">
        <v>2597</v>
      </c>
      <c r="C5" s="641"/>
      <c r="D5" s="190">
        <v>54906327</v>
      </c>
      <c r="E5" s="197">
        <v>0.91573049711297938</v>
      </c>
      <c r="F5" s="190">
        <v>68978995</v>
      </c>
      <c r="G5" s="197">
        <v>0.80471838062824008</v>
      </c>
      <c r="H5" s="190">
        <v>73228148</v>
      </c>
      <c r="I5" s="197">
        <v>0.91354073265898528</v>
      </c>
      <c r="J5" s="190">
        <v>26632983</v>
      </c>
      <c r="K5" s="197">
        <v>0.93712411474913182</v>
      </c>
    </row>
    <row r="6" spans="1:29" ht="20.25" customHeight="1">
      <c r="A6" s="650"/>
      <c r="B6" s="640" t="s">
        <v>2598</v>
      </c>
      <c r="C6" s="641"/>
      <c r="D6" s="190">
        <v>0</v>
      </c>
      <c r="E6" s="197">
        <v>0</v>
      </c>
      <c r="F6" s="190">
        <v>3712987</v>
      </c>
      <c r="G6" s="197">
        <v>4.3316213666692409E-2</v>
      </c>
      <c r="H6" s="190">
        <v>1645849</v>
      </c>
      <c r="I6" s="197">
        <v>2.0532406490821782E-2</v>
      </c>
      <c r="J6" s="190">
        <v>0</v>
      </c>
      <c r="K6" s="197">
        <v>0</v>
      </c>
    </row>
    <row r="7" spans="1:29" ht="20.25" customHeight="1">
      <c r="A7" s="650"/>
      <c r="B7" s="640" t="s">
        <v>2599</v>
      </c>
      <c r="C7" s="641"/>
      <c r="D7" s="190">
        <v>0</v>
      </c>
      <c r="E7" s="197">
        <v>0</v>
      </c>
      <c r="F7" s="190">
        <v>309000</v>
      </c>
      <c r="G7" s="197">
        <v>3.6048362202743922E-3</v>
      </c>
      <c r="H7" s="190">
        <v>0</v>
      </c>
      <c r="I7" s="197">
        <v>0</v>
      </c>
      <c r="J7" s="190">
        <v>0</v>
      </c>
      <c r="K7" s="197">
        <v>0</v>
      </c>
      <c r="R7" s="345"/>
      <c r="S7" s="345"/>
      <c r="T7" s="345"/>
      <c r="U7" s="345"/>
      <c r="V7" s="345"/>
      <c r="W7" s="345"/>
      <c r="X7" s="345"/>
      <c r="Y7" s="345"/>
      <c r="Z7" s="345"/>
      <c r="AA7" s="345"/>
      <c r="AB7" s="345"/>
      <c r="AC7" s="345"/>
    </row>
    <row r="8" spans="1:29" ht="20.25" customHeight="1">
      <c r="A8" s="649"/>
      <c r="B8" s="640" t="s">
        <v>42</v>
      </c>
      <c r="C8" s="641"/>
      <c r="D8" s="190">
        <v>573670</v>
      </c>
      <c r="E8" s="197">
        <v>9.5676972578916612E-3</v>
      </c>
      <c r="F8" s="190">
        <v>577720</v>
      </c>
      <c r="G8" s="197">
        <v>6.7397604568832422E-3</v>
      </c>
      <c r="H8" s="190">
        <v>1413340</v>
      </c>
      <c r="I8" s="197">
        <v>1.7631794526556239E-2</v>
      </c>
      <c r="J8" s="190">
        <v>-230270</v>
      </c>
      <c r="K8" s="197">
        <v>-8.1024183398188104E-3</v>
      </c>
      <c r="R8" s="345"/>
      <c r="S8" s="345"/>
      <c r="T8" s="345"/>
      <c r="U8" s="345"/>
      <c r="V8" s="345"/>
      <c r="W8" s="345"/>
      <c r="X8" s="345"/>
      <c r="Y8" s="345"/>
      <c r="Z8" s="345"/>
      <c r="AA8" s="345"/>
      <c r="AB8" s="345"/>
      <c r="AC8" s="345"/>
    </row>
    <row r="9" spans="1:29" ht="20.25" customHeight="1">
      <c r="A9" s="650"/>
      <c r="B9" s="647" t="s">
        <v>2880</v>
      </c>
      <c r="C9" s="641"/>
      <c r="D9" s="190">
        <v>0</v>
      </c>
      <c r="E9" s="197">
        <v>0</v>
      </c>
      <c r="F9" s="190">
        <v>0</v>
      </c>
      <c r="G9" s="197">
        <v>0</v>
      </c>
      <c r="H9" s="190">
        <v>0</v>
      </c>
      <c r="I9" s="197">
        <v>0</v>
      </c>
      <c r="J9" s="190">
        <v>230270</v>
      </c>
      <c r="K9" s="197">
        <v>8.1024183398188104E-3</v>
      </c>
      <c r="R9" s="345"/>
      <c r="S9" s="345"/>
      <c r="T9" s="345"/>
      <c r="U9" s="345"/>
      <c r="V9" s="345"/>
      <c r="W9" s="345"/>
      <c r="X9" s="345"/>
      <c r="Y9" s="345"/>
      <c r="Z9" s="345"/>
      <c r="AA9" s="345"/>
      <c r="AB9" s="345"/>
      <c r="AC9" s="345"/>
    </row>
    <row r="10" spans="1:29" ht="20.25" customHeight="1">
      <c r="A10" s="649"/>
      <c r="B10" s="665" t="s">
        <v>2815</v>
      </c>
      <c r="C10" s="641"/>
      <c r="D10" s="190">
        <v>3289</v>
      </c>
      <c r="E10" s="197">
        <v>5.485410825248954E-5</v>
      </c>
      <c r="F10" s="190">
        <v>4986</v>
      </c>
      <c r="G10" s="197">
        <v>5.8167357263068346E-5</v>
      </c>
      <c r="H10" s="190">
        <v>6975</v>
      </c>
      <c r="I10" s="197">
        <v>8.7014990605749343E-5</v>
      </c>
      <c r="J10" s="190">
        <v>111843</v>
      </c>
      <c r="K10" s="197">
        <v>3.9353748833124381E-3</v>
      </c>
      <c r="R10" s="345"/>
      <c r="S10" s="345"/>
      <c r="T10" s="345"/>
      <c r="U10" s="345"/>
      <c r="V10" s="345"/>
      <c r="W10" s="345"/>
      <c r="X10" s="345"/>
      <c r="Y10" s="345"/>
      <c r="Z10" s="345"/>
      <c r="AA10" s="345"/>
      <c r="AB10" s="345"/>
      <c r="AC10" s="345"/>
    </row>
    <row r="11" spans="1:29" ht="20.25" customHeight="1">
      <c r="A11" s="650"/>
      <c r="B11" s="640" t="s">
        <v>2782</v>
      </c>
      <c r="C11" s="641"/>
      <c r="D11" s="190">
        <v>0</v>
      </c>
      <c r="E11" s="197">
        <v>0</v>
      </c>
      <c r="F11" s="190">
        <v>0</v>
      </c>
      <c r="G11" s="197">
        <v>0</v>
      </c>
      <c r="H11" s="190">
        <v>111500</v>
      </c>
      <c r="I11" s="197">
        <v>1.3909923229449535E-3</v>
      </c>
      <c r="J11" s="190">
        <v>0</v>
      </c>
      <c r="K11" s="197">
        <v>0</v>
      </c>
      <c r="R11" s="345"/>
      <c r="S11" s="345"/>
      <c r="T11" s="345"/>
      <c r="U11" s="345"/>
      <c r="V11" s="345"/>
      <c r="W11" s="345"/>
      <c r="X11" s="345"/>
      <c r="Y11" s="345"/>
      <c r="Z11" s="345"/>
      <c r="AA11" s="345"/>
      <c r="AB11" s="345"/>
      <c r="AC11" s="345"/>
    </row>
    <row r="12" spans="1:29" ht="20.25" customHeight="1">
      <c r="A12" s="650"/>
      <c r="B12" s="647" t="s">
        <v>2881</v>
      </c>
      <c r="C12" s="641"/>
      <c r="D12" s="190">
        <v>0</v>
      </c>
      <c r="E12" s="197">
        <v>0</v>
      </c>
      <c r="F12" s="190">
        <v>0</v>
      </c>
      <c r="G12" s="197">
        <v>0</v>
      </c>
      <c r="H12" s="190">
        <v>0</v>
      </c>
      <c r="I12" s="197">
        <v>0</v>
      </c>
      <c r="J12" s="190">
        <v>1995000</v>
      </c>
      <c r="K12" s="197">
        <v>7.0197266634553029E-2</v>
      </c>
      <c r="R12" s="345"/>
      <c r="S12" s="345"/>
      <c r="T12" s="345"/>
      <c r="U12" s="345"/>
      <c r="V12" s="345"/>
      <c r="W12" s="345"/>
      <c r="X12" s="345"/>
      <c r="Y12" s="345"/>
      <c r="Z12" s="345"/>
      <c r="AA12" s="345"/>
      <c r="AB12" s="345"/>
      <c r="AC12" s="345"/>
    </row>
    <row r="13" spans="1:29" ht="20.25" customHeight="1">
      <c r="A13" s="650"/>
      <c r="B13" s="640" t="s">
        <v>2784</v>
      </c>
      <c r="C13" s="641"/>
      <c r="D13" s="190">
        <v>0</v>
      </c>
      <c r="E13" s="197">
        <v>0</v>
      </c>
      <c r="F13" s="190">
        <v>0</v>
      </c>
      <c r="G13" s="197">
        <v>0</v>
      </c>
      <c r="H13" s="190">
        <v>2462349</v>
      </c>
      <c r="I13" s="197">
        <v>3.0718462380369359E-2</v>
      </c>
      <c r="J13" s="190">
        <v>-3319915.9999999981</v>
      </c>
      <c r="K13" s="197">
        <v>-0.11681655571745295</v>
      </c>
      <c r="R13" s="345"/>
      <c r="S13" s="345"/>
      <c r="T13" s="345"/>
      <c r="U13" s="345"/>
      <c r="V13" s="345"/>
      <c r="W13" s="345"/>
      <c r="X13" s="345"/>
      <c r="Y13" s="345"/>
      <c r="Z13" s="345"/>
      <c r="AA13" s="345"/>
      <c r="AB13" s="345"/>
      <c r="AC13" s="345"/>
    </row>
    <row r="14" spans="1:29" ht="20.25" customHeight="1">
      <c r="A14" s="650"/>
      <c r="B14" s="640" t="s">
        <v>2600</v>
      </c>
      <c r="C14" s="641"/>
      <c r="D14" s="190">
        <v>0</v>
      </c>
      <c r="E14" s="197">
        <v>0</v>
      </c>
      <c r="F14" s="190">
        <v>10530000</v>
      </c>
      <c r="G14" s="197">
        <v>0.12284441876857395</v>
      </c>
      <c r="H14" s="190">
        <v>0</v>
      </c>
      <c r="I14" s="197">
        <v>0</v>
      </c>
      <c r="J14" s="190">
        <v>0</v>
      </c>
      <c r="K14" s="197">
        <v>0</v>
      </c>
      <c r="R14" s="345"/>
      <c r="S14" s="345"/>
      <c r="T14" s="345"/>
      <c r="U14" s="345"/>
      <c r="V14" s="345"/>
      <c r="W14" s="345"/>
      <c r="X14" s="345"/>
      <c r="Y14" s="345"/>
      <c r="Z14" s="345"/>
      <c r="AA14" s="345"/>
      <c r="AB14" s="345"/>
      <c r="AC14" s="345"/>
    </row>
    <row r="15" spans="1:29" ht="20.25" customHeight="1">
      <c r="A15" s="650"/>
      <c r="B15" s="651" t="s">
        <v>2785</v>
      </c>
      <c r="C15" s="652"/>
      <c r="D15" s="190">
        <v>0</v>
      </c>
      <c r="E15" s="197">
        <v>0</v>
      </c>
      <c r="F15" s="190">
        <v>0</v>
      </c>
      <c r="G15" s="197">
        <v>0</v>
      </c>
      <c r="H15" s="190">
        <v>0</v>
      </c>
      <c r="I15" s="197">
        <v>0</v>
      </c>
      <c r="J15" s="190">
        <v>3000000</v>
      </c>
      <c r="K15" s="197">
        <v>0.10555979945045568</v>
      </c>
      <c r="R15" s="345"/>
      <c r="S15" s="345"/>
      <c r="T15" s="345"/>
      <c r="U15" s="345"/>
      <c r="V15" s="345"/>
      <c r="W15" s="345"/>
      <c r="X15" s="345"/>
      <c r="Y15" s="345"/>
      <c r="Z15" s="345"/>
      <c r="AA15" s="345"/>
      <c r="AB15" s="345"/>
      <c r="AC15" s="345"/>
    </row>
    <row r="16" spans="1:29" ht="20.25" customHeight="1">
      <c r="A16" s="649"/>
      <c r="B16" s="640" t="s">
        <v>2601</v>
      </c>
      <c r="C16" s="641"/>
      <c r="D16" s="190">
        <v>270500</v>
      </c>
      <c r="E16" s="197">
        <v>4.5114126732436668E-3</v>
      </c>
      <c r="F16" s="190">
        <v>276100</v>
      </c>
      <c r="G16" s="197">
        <v>3.2210203249765684E-3</v>
      </c>
      <c r="H16" s="190">
        <v>0</v>
      </c>
      <c r="I16" s="197">
        <v>0</v>
      </c>
      <c r="J16" s="190">
        <v>0</v>
      </c>
      <c r="K16" s="197">
        <v>0</v>
      </c>
      <c r="R16" s="345"/>
      <c r="S16" s="345"/>
      <c r="T16" s="345"/>
      <c r="U16" s="345"/>
      <c r="V16" s="345"/>
      <c r="W16" s="345"/>
      <c r="X16" s="345"/>
      <c r="Y16" s="345"/>
      <c r="Z16" s="345"/>
      <c r="AA16" s="345"/>
      <c r="AB16" s="345"/>
      <c r="AC16" s="345"/>
    </row>
    <row r="17" spans="1:29" ht="20.25" customHeight="1">
      <c r="A17" s="649"/>
      <c r="B17" s="640" t="s">
        <v>302</v>
      </c>
      <c r="C17" s="641"/>
      <c r="D17" s="190">
        <v>300000</v>
      </c>
      <c r="E17" s="197">
        <v>5.0034151644107209E-3</v>
      </c>
      <c r="F17" s="190">
        <v>0</v>
      </c>
      <c r="G17" s="197">
        <v>0</v>
      </c>
      <c r="H17" s="190">
        <v>0</v>
      </c>
      <c r="I17" s="197">
        <v>0</v>
      </c>
      <c r="J17" s="190">
        <v>0</v>
      </c>
      <c r="K17" s="197">
        <v>0</v>
      </c>
      <c r="R17" s="345"/>
      <c r="S17" s="345"/>
      <c r="T17" s="345"/>
      <c r="U17" s="345"/>
      <c r="V17" s="345"/>
      <c r="W17" s="345"/>
      <c r="X17" s="345"/>
      <c r="Y17" s="345"/>
      <c r="Z17" s="345"/>
      <c r="AA17" s="345"/>
      <c r="AB17" s="345"/>
      <c r="AC17" s="345"/>
    </row>
    <row r="18" spans="1:29" ht="20.25" customHeight="1">
      <c r="A18" s="650"/>
      <c r="B18" s="640" t="s">
        <v>2602</v>
      </c>
      <c r="C18" s="641"/>
      <c r="D18" s="190">
        <v>0</v>
      </c>
      <c r="E18" s="197">
        <v>0</v>
      </c>
      <c r="F18" s="190">
        <v>122800</v>
      </c>
      <c r="G18" s="197">
        <v>1.4326015788016031E-3</v>
      </c>
      <c r="H18" s="190">
        <v>995341</v>
      </c>
      <c r="I18" s="197">
        <v>1.2417145199213928E-2</v>
      </c>
      <c r="J18" s="190">
        <v>0</v>
      </c>
      <c r="K18" s="197">
        <v>0</v>
      </c>
      <c r="R18" s="345"/>
      <c r="S18" s="345"/>
      <c r="T18" s="345"/>
      <c r="U18" s="345"/>
      <c r="V18" s="345"/>
      <c r="W18" s="345"/>
      <c r="X18" s="345"/>
      <c r="Y18" s="345"/>
      <c r="Z18" s="345"/>
      <c r="AA18" s="345"/>
      <c r="AB18" s="345"/>
      <c r="AC18" s="345"/>
    </row>
    <row r="19" spans="1:29" ht="20.25" customHeight="1">
      <c r="A19" s="650"/>
      <c r="B19" s="640" t="s">
        <v>2603</v>
      </c>
      <c r="C19" s="641"/>
      <c r="D19" s="190">
        <v>0</v>
      </c>
      <c r="E19" s="197">
        <v>0</v>
      </c>
      <c r="F19" s="190">
        <v>1205592</v>
      </c>
      <c r="G19" s="197">
        <v>1.4064600998294645E-2</v>
      </c>
      <c r="H19" s="190">
        <v>295100</v>
      </c>
      <c r="I19" s="197">
        <v>3.6814514305027425E-3</v>
      </c>
      <c r="J19" s="190">
        <v>0</v>
      </c>
      <c r="K19" s="197">
        <v>0</v>
      </c>
    </row>
    <row r="20" spans="1:29" ht="20.25" customHeight="1">
      <c r="A20" s="649"/>
      <c r="B20" s="640" t="s">
        <v>2882</v>
      </c>
      <c r="C20" s="641"/>
      <c r="D20" s="190">
        <v>3905260</v>
      </c>
      <c r="E20" s="197">
        <v>6.5132123683222048E-2</v>
      </c>
      <c r="F20" s="190">
        <v>0</v>
      </c>
      <c r="G20" s="197">
        <v>0</v>
      </c>
      <c r="H20" s="190">
        <v>0</v>
      </c>
      <c r="I20" s="197">
        <v>0</v>
      </c>
      <c r="J20" s="190">
        <v>0</v>
      </c>
      <c r="K20" s="197">
        <v>0</v>
      </c>
    </row>
    <row r="21" spans="1:29" ht="20.25" customHeight="1">
      <c r="A21" s="662" t="s">
        <v>304</v>
      </c>
      <c r="B21" s="195"/>
      <c r="C21" s="63" t="s">
        <v>305</v>
      </c>
      <c r="D21" s="193">
        <v>48702662</v>
      </c>
      <c r="E21" s="196">
        <v>0.87784182828993307</v>
      </c>
      <c r="F21" s="193">
        <v>63370547</v>
      </c>
      <c r="G21" s="196">
        <v>0.86126209456644121</v>
      </c>
      <c r="H21" s="193">
        <v>53271229</v>
      </c>
      <c r="I21" s="196">
        <v>0.69829713678431327</v>
      </c>
      <c r="J21" s="193">
        <v>11437027</v>
      </c>
      <c r="K21" s="196">
        <v>0.43317620427870424</v>
      </c>
    </row>
    <row r="22" spans="1:29" ht="20.25" customHeight="1">
      <c r="A22" s="662"/>
      <c r="B22" s="635" t="s">
        <v>306</v>
      </c>
      <c r="C22" s="65" t="s">
        <v>307</v>
      </c>
      <c r="D22" s="190">
        <v>4546100</v>
      </c>
      <c r="E22" s="196">
        <v>8.1941244517370823E-2</v>
      </c>
      <c r="F22" s="190">
        <v>5174957</v>
      </c>
      <c r="G22" s="196">
        <v>7.0332268160968645E-2</v>
      </c>
      <c r="H22" s="190">
        <v>5115500</v>
      </c>
      <c r="I22" s="196">
        <v>6.7055689727379006E-2</v>
      </c>
      <c r="J22" s="190">
        <v>1596400</v>
      </c>
      <c r="K22" s="196">
        <v>6.0463483430661082E-2</v>
      </c>
    </row>
    <row r="23" spans="1:29" ht="20.25" hidden="1" customHeight="1" outlineLevel="1">
      <c r="A23" s="662"/>
      <c r="B23" s="636"/>
      <c r="C23" s="30" t="s">
        <v>308</v>
      </c>
      <c r="D23" s="190">
        <v>4542100</v>
      </c>
      <c r="E23" s="197">
        <v>8.1869146460119668E-2</v>
      </c>
      <c r="F23" s="190">
        <v>5131027</v>
      </c>
      <c r="G23" s="197">
        <v>6.9735220390269997E-2</v>
      </c>
      <c r="H23" s="190">
        <v>5115500</v>
      </c>
      <c r="I23" s="197">
        <v>6.7055689727379006E-2</v>
      </c>
      <c r="J23" s="190">
        <v>1596400</v>
      </c>
      <c r="K23" s="197">
        <v>6.0463483430661082E-2</v>
      </c>
    </row>
    <row r="24" spans="1:29" ht="20.25" hidden="1" customHeight="1" outlineLevel="1">
      <c r="A24" s="663"/>
      <c r="B24" s="637"/>
      <c r="C24" s="30" t="s">
        <v>2604</v>
      </c>
      <c r="D24" s="190">
        <v>4000</v>
      </c>
      <c r="E24" s="197">
        <v>7.2098057251156669E-5</v>
      </c>
      <c r="F24" s="190">
        <v>43930</v>
      </c>
      <c r="G24" s="197">
        <v>5.9704777069864593E-4</v>
      </c>
      <c r="H24" s="190">
        <v>0</v>
      </c>
      <c r="I24" s="197">
        <v>0</v>
      </c>
      <c r="J24" s="190">
        <v>0</v>
      </c>
      <c r="K24" s="197">
        <v>0</v>
      </c>
    </row>
    <row r="25" spans="1:29" ht="20.25" customHeight="1" collapsed="1">
      <c r="A25" s="662"/>
      <c r="B25" s="645" t="s">
        <v>309</v>
      </c>
      <c r="C25" s="65" t="s">
        <v>307</v>
      </c>
      <c r="D25" s="190">
        <v>7082600</v>
      </c>
      <c r="E25" s="196">
        <v>0.12766042507176054</v>
      </c>
      <c r="F25" s="190">
        <v>10087000</v>
      </c>
      <c r="G25" s="196">
        <v>0.13709130123007604</v>
      </c>
      <c r="H25" s="190">
        <v>10034000</v>
      </c>
      <c r="I25" s="196">
        <v>0.13152903738139399</v>
      </c>
      <c r="J25" s="190">
        <v>3300000</v>
      </c>
      <c r="K25" s="196">
        <v>0.1249871556760095</v>
      </c>
    </row>
    <row r="26" spans="1:29" ht="20.25" hidden="1" customHeight="1" outlineLevel="1">
      <c r="A26" s="663"/>
      <c r="B26" s="636"/>
      <c r="C26" s="30" t="s">
        <v>310</v>
      </c>
      <c r="D26" s="190">
        <v>7082600</v>
      </c>
      <c r="E26" s="197">
        <v>0.12766042507176054</v>
      </c>
      <c r="F26" s="190">
        <v>9287000</v>
      </c>
      <c r="G26" s="197">
        <v>0.12621858972179203</v>
      </c>
      <c r="H26" s="190">
        <v>9634000</v>
      </c>
      <c r="I26" s="197">
        <v>0.12628570322227922</v>
      </c>
      <c r="J26" s="190">
        <v>3300000</v>
      </c>
      <c r="K26" s="197">
        <v>0.1249871556760095</v>
      </c>
    </row>
    <row r="27" spans="1:29" ht="20.25" hidden="1" customHeight="1" outlineLevel="1">
      <c r="A27" s="662"/>
      <c r="B27" s="646"/>
      <c r="C27" s="30" t="s">
        <v>2605</v>
      </c>
      <c r="D27" s="190">
        <v>0</v>
      </c>
      <c r="E27" s="197">
        <v>0</v>
      </c>
      <c r="F27" s="190">
        <v>800000</v>
      </c>
      <c r="G27" s="197">
        <v>1.0872711508284014E-2</v>
      </c>
      <c r="H27" s="190">
        <v>400000</v>
      </c>
      <c r="I27" s="197">
        <v>5.2433341591147688E-3</v>
      </c>
      <c r="J27" s="190">
        <v>0</v>
      </c>
      <c r="K27" s="197">
        <v>0</v>
      </c>
    </row>
    <row r="28" spans="1:29" ht="20.25" customHeight="1" collapsed="1">
      <c r="A28" s="662"/>
      <c r="B28" s="645" t="s">
        <v>311</v>
      </c>
      <c r="C28" s="65" t="s">
        <v>307</v>
      </c>
      <c r="D28" s="190">
        <v>2628892</v>
      </c>
      <c r="E28" s="196">
        <v>4.7384501480776942E-2</v>
      </c>
      <c r="F28" s="190">
        <v>2372877</v>
      </c>
      <c r="G28" s="196">
        <v>3.2249508832053062E-2</v>
      </c>
      <c r="H28" s="190">
        <v>1872782</v>
      </c>
      <c r="I28" s="196">
        <v>2.4549054582938188E-2</v>
      </c>
      <c r="J28" s="190">
        <v>123697</v>
      </c>
      <c r="K28" s="196">
        <v>4.6850109683804087E-3</v>
      </c>
    </row>
    <row r="29" spans="1:29" ht="20.25" hidden="1" customHeight="1" outlineLevel="1">
      <c r="A29" s="662"/>
      <c r="B29" s="653"/>
      <c r="C29" s="30" t="s">
        <v>312</v>
      </c>
      <c r="D29" s="190">
        <v>89920</v>
      </c>
      <c r="E29" s="197">
        <v>1.6207643270060017E-3</v>
      </c>
      <c r="F29" s="190">
        <v>83960</v>
      </c>
      <c r="G29" s="197">
        <v>1.1410910727944073E-3</v>
      </c>
      <c r="H29" s="190">
        <v>88620</v>
      </c>
      <c r="I29" s="197">
        <v>1.161660682951877E-3</v>
      </c>
      <c r="J29" s="190">
        <v>-900</v>
      </c>
      <c r="K29" s="197">
        <v>-3.4087406093457141E-5</v>
      </c>
    </row>
    <row r="30" spans="1:29" ht="20.25" hidden="1" customHeight="1" outlineLevel="1">
      <c r="A30" s="662"/>
      <c r="B30" s="653"/>
      <c r="C30" s="30" t="s">
        <v>313</v>
      </c>
      <c r="D30" s="190">
        <v>251760</v>
      </c>
      <c r="E30" s="197">
        <v>4.5378517233878E-3</v>
      </c>
      <c r="F30" s="190">
        <v>323280</v>
      </c>
      <c r="G30" s="197">
        <v>4.39366272049757E-3</v>
      </c>
      <c r="H30" s="190">
        <v>359040</v>
      </c>
      <c r="I30" s="197">
        <v>4.7064167412214164E-3</v>
      </c>
      <c r="J30" s="190">
        <v>59840</v>
      </c>
      <c r="K30" s="197">
        <v>2.2664337562583055E-3</v>
      </c>
    </row>
    <row r="31" spans="1:29" ht="20.25" hidden="1" customHeight="1" outlineLevel="1">
      <c r="A31" s="662"/>
      <c r="B31" s="653"/>
      <c r="C31" s="30" t="s">
        <v>314</v>
      </c>
      <c r="D31" s="190">
        <v>222600</v>
      </c>
      <c r="E31" s="197">
        <v>4.0122568860268687E-3</v>
      </c>
      <c r="F31" s="190">
        <v>177135</v>
      </c>
      <c r="G31" s="197">
        <v>2.4074221912748612E-3</v>
      </c>
      <c r="H31" s="190">
        <v>112860</v>
      </c>
      <c r="I31" s="197">
        <v>1.4794067329942321E-3</v>
      </c>
      <c r="J31" s="190">
        <v>9405</v>
      </c>
      <c r="K31" s="197">
        <v>3.5621339367662708E-4</v>
      </c>
    </row>
    <row r="32" spans="1:29" ht="20.25" hidden="1" customHeight="1" outlineLevel="1">
      <c r="A32" s="662"/>
      <c r="B32" s="653"/>
      <c r="C32" s="30" t="s">
        <v>315</v>
      </c>
      <c r="D32" s="190">
        <v>317400</v>
      </c>
      <c r="E32" s="197">
        <v>5.7209808428792816E-3</v>
      </c>
      <c r="F32" s="190">
        <v>317400</v>
      </c>
      <c r="G32" s="197">
        <v>4.3137482909116828E-3</v>
      </c>
      <c r="H32" s="190">
        <v>264500</v>
      </c>
      <c r="I32" s="197">
        <v>3.4671547127146408E-3</v>
      </c>
      <c r="J32" s="190">
        <v>0</v>
      </c>
      <c r="K32" s="197">
        <v>0</v>
      </c>
    </row>
    <row r="33" spans="1:11" ht="20.25" hidden="1" customHeight="1" outlineLevel="1">
      <c r="A33" s="662"/>
      <c r="B33" s="653"/>
      <c r="C33" s="30" t="s">
        <v>316</v>
      </c>
      <c r="D33" s="190">
        <v>107322</v>
      </c>
      <c r="E33" s="197">
        <v>1.9344269250771589E-3</v>
      </c>
      <c r="F33" s="190">
        <v>504552</v>
      </c>
      <c r="G33" s="197">
        <v>6.8573104211596446E-3</v>
      </c>
      <c r="H33" s="190">
        <v>481322</v>
      </c>
      <c r="I33" s="197">
        <v>6.309330210333597E-3</v>
      </c>
      <c r="J33" s="190">
        <v>107322</v>
      </c>
      <c r="K33" s="197">
        <v>4.0648095519577859E-3</v>
      </c>
    </row>
    <row r="34" spans="1:11" ht="20.25" hidden="1" customHeight="1" outlineLevel="1">
      <c r="A34" s="662"/>
      <c r="B34" s="646"/>
      <c r="C34" s="30" t="s">
        <v>317</v>
      </c>
      <c r="D34" s="190">
        <v>1639890</v>
      </c>
      <c r="E34" s="197">
        <v>2.9558220776399826E-2</v>
      </c>
      <c r="F34" s="190">
        <v>966550</v>
      </c>
      <c r="G34" s="197">
        <v>1.3136274135414893E-2</v>
      </c>
      <c r="H34" s="190">
        <v>566440</v>
      </c>
      <c r="I34" s="197">
        <v>7.4250855027224241E-3</v>
      </c>
      <c r="J34" s="190">
        <v>-51970</v>
      </c>
      <c r="K34" s="197">
        <v>-1.9683583274188528E-3</v>
      </c>
    </row>
    <row r="35" spans="1:11" ht="20.25" customHeight="1" collapsed="1">
      <c r="A35" s="662"/>
      <c r="B35" s="645" t="s">
        <v>2606</v>
      </c>
      <c r="C35" s="65" t="s">
        <v>307</v>
      </c>
      <c r="D35" s="190">
        <v>6009540</v>
      </c>
      <c r="E35" s="196">
        <v>0.108319039743279</v>
      </c>
      <c r="F35" s="190">
        <v>6077960</v>
      </c>
      <c r="G35" s="196">
        <v>8.2604882048612396E-2</v>
      </c>
      <c r="H35" s="190">
        <v>5549260</v>
      </c>
      <c r="I35" s="196">
        <v>7.2741561289523068E-2</v>
      </c>
      <c r="J35" s="190">
        <v>934250</v>
      </c>
      <c r="K35" s="196">
        <v>3.5384621269791472E-2</v>
      </c>
    </row>
    <row r="36" spans="1:11" ht="20.25" hidden="1" customHeight="1" outlineLevel="1">
      <c r="A36" s="662"/>
      <c r="B36" s="653"/>
      <c r="C36" s="30" t="s">
        <v>318</v>
      </c>
      <c r="D36" s="190">
        <v>3152640</v>
      </c>
      <c r="E36" s="197">
        <v>5.6824804803071637E-2</v>
      </c>
      <c r="F36" s="190">
        <v>3499690</v>
      </c>
      <c r="G36" s="197">
        <v>4.7563899673033101E-2</v>
      </c>
      <c r="H36" s="190">
        <v>3579710</v>
      </c>
      <c r="I36" s="197">
        <v>4.6924039306811827E-2</v>
      </c>
      <c r="J36" s="190">
        <v>507540</v>
      </c>
      <c r="K36" s="197">
        <v>1.9223024542970261E-2</v>
      </c>
    </row>
    <row r="37" spans="1:11" ht="20.25" hidden="1" customHeight="1" outlineLevel="1">
      <c r="A37" s="662"/>
      <c r="B37" s="653"/>
      <c r="C37" s="30" t="s">
        <v>319</v>
      </c>
      <c r="D37" s="190">
        <v>368000</v>
      </c>
      <c r="E37" s="197">
        <v>6.6330212671064127E-3</v>
      </c>
      <c r="F37" s="190">
        <v>337920</v>
      </c>
      <c r="G37" s="197">
        <v>4.5926333410991676E-3</v>
      </c>
      <c r="H37" s="190">
        <v>349720</v>
      </c>
      <c r="I37" s="197">
        <v>4.5842470553140429E-3</v>
      </c>
      <c r="J37" s="190">
        <v>68160</v>
      </c>
      <c r="K37" s="197">
        <v>2.5815528881444872E-3</v>
      </c>
    </row>
    <row r="38" spans="1:11" ht="20.25" hidden="1" customHeight="1" outlineLevel="1">
      <c r="A38" s="663"/>
      <c r="B38" s="653"/>
      <c r="C38" s="30" t="s">
        <v>320</v>
      </c>
      <c r="D38" s="190">
        <v>468930</v>
      </c>
      <c r="E38" s="197">
        <v>8.452235496696223E-3</v>
      </c>
      <c r="F38" s="190">
        <v>512910</v>
      </c>
      <c r="G38" s="197">
        <v>6.970903074642442E-3</v>
      </c>
      <c r="H38" s="190">
        <v>502610</v>
      </c>
      <c r="I38" s="197">
        <v>6.5883804542816848E-3</v>
      </c>
      <c r="J38" s="190">
        <v>103950</v>
      </c>
      <c r="K38" s="197">
        <v>3.937095403794299E-3</v>
      </c>
    </row>
    <row r="39" spans="1:11" ht="20.25" hidden="1" customHeight="1" outlineLevel="1">
      <c r="A39" s="663"/>
      <c r="B39" s="653"/>
      <c r="C39" s="30" t="s">
        <v>2607</v>
      </c>
      <c r="D39" s="190">
        <v>1028050</v>
      </c>
      <c r="E39" s="197">
        <v>1.8530101939262904E-2</v>
      </c>
      <c r="F39" s="190">
        <v>992760</v>
      </c>
      <c r="G39" s="197">
        <v>1.3492491346205048E-2</v>
      </c>
      <c r="H39" s="190">
        <v>883130</v>
      </c>
      <c r="I39" s="197">
        <v>1.1576364239847564E-2</v>
      </c>
      <c r="J39" s="190">
        <v>254600</v>
      </c>
      <c r="K39" s="197">
        <v>9.6429484348824306E-3</v>
      </c>
    </row>
    <row r="40" spans="1:11" ht="20.25" hidden="1" customHeight="1" outlineLevel="1">
      <c r="A40" s="663"/>
      <c r="B40" s="653"/>
      <c r="C40" s="30" t="s">
        <v>2608</v>
      </c>
      <c r="D40" s="190">
        <v>679800</v>
      </c>
      <c r="E40" s="197">
        <v>1.2253064829834076E-2</v>
      </c>
      <c r="F40" s="190">
        <v>396550</v>
      </c>
      <c r="G40" s="197">
        <v>5.3894671857625323E-3</v>
      </c>
      <c r="H40" s="190">
        <v>0</v>
      </c>
      <c r="I40" s="197">
        <v>0</v>
      </c>
      <c r="J40" s="190">
        <v>0</v>
      </c>
      <c r="K40" s="197">
        <v>0</v>
      </c>
    </row>
    <row r="41" spans="1:11" ht="20.25" hidden="1" customHeight="1" outlineLevel="1">
      <c r="A41" s="662"/>
      <c r="B41" s="646"/>
      <c r="C41" s="30" t="s">
        <v>2609</v>
      </c>
      <c r="D41" s="190">
        <v>312120</v>
      </c>
      <c r="E41" s="197">
        <v>5.6258114073077549E-3</v>
      </c>
      <c r="F41" s="190">
        <v>338130</v>
      </c>
      <c r="G41" s="197">
        <v>4.5954874278700923E-3</v>
      </c>
      <c r="H41" s="190">
        <v>234090</v>
      </c>
      <c r="I41" s="197">
        <v>3.0685302332679409E-3</v>
      </c>
      <c r="J41" s="190">
        <v>0</v>
      </c>
      <c r="K41" s="197">
        <v>0</v>
      </c>
    </row>
    <row r="42" spans="1:11" ht="20.25" customHeight="1" collapsed="1">
      <c r="A42" s="662"/>
      <c r="B42" s="645" t="s">
        <v>2610</v>
      </c>
      <c r="C42" s="65" t="s">
        <v>307</v>
      </c>
      <c r="D42" s="190">
        <v>15000</v>
      </c>
      <c r="E42" s="196">
        <v>2.7036771469183749E-4</v>
      </c>
      <c r="F42" s="190">
        <v>15000</v>
      </c>
      <c r="G42" s="196">
        <v>2.0386334078032527E-4</v>
      </c>
      <c r="H42" s="190">
        <v>0</v>
      </c>
      <c r="I42" s="196">
        <v>0</v>
      </c>
      <c r="J42" s="190">
        <v>18000</v>
      </c>
      <c r="K42" s="196">
        <v>6.8174812186914274E-4</v>
      </c>
    </row>
    <row r="43" spans="1:11" ht="20.25" hidden="1" customHeight="1" outlineLevel="1">
      <c r="A43" s="662"/>
      <c r="B43" s="646"/>
      <c r="C43" s="30" t="s">
        <v>321</v>
      </c>
      <c r="D43" s="190">
        <v>15000</v>
      </c>
      <c r="E43" s="197">
        <v>2.7036771469183749E-4</v>
      </c>
      <c r="F43" s="190">
        <v>15000</v>
      </c>
      <c r="G43" s="197">
        <v>2.0386334078032527E-4</v>
      </c>
      <c r="H43" s="190">
        <v>0</v>
      </c>
      <c r="I43" s="197">
        <v>0</v>
      </c>
      <c r="J43" s="190">
        <v>18000</v>
      </c>
      <c r="K43" s="197">
        <v>6.8174812186914274E-4</v>
      </c>
    </row>
    <row r="44" spans="1:11" ht="20.25" customHeight="1" collapsed="1">
      <c r="A44" s="662"/>
      <c r="B44" s="645" t="s">
        <v>322</v>
      </c>
      <c r="C44" s="65" t="s">
        <v>307</v>
      </c>
      <c r="D44" s="190">
        <v>7371923</v>
      </c>
      <c r="E44" s="196">
        <v>0.13287533162627965</v>
      </c>
      <c r="F44" s="190">
        <v>6074950</v>
      </c>
      <c r="G44" s="196">
        <v>8.2563973471562468E-2</v>
      </c>
      <c r="H44" s="190">
        <v>2816980</v>
      </c>
      <c r="I44" s="196">
        <v>3.692591864885781E-2</v>
      </c>
      <c r="J44" s="190">
        <v>120000</v>
      </c>
      <c r="K44" s="196">
        <v>4.5449874791276181E-3</v>
      </c>
    </row>
    <row r="45" spans="1:11" ht="20.25" hidden="1" customHeight="1" outlineLevel="1">
      <c r="A45" s="662"/>
      <c r="B45" s="636"/>
      <c r="C45" s="30" t="s">
        <v>323</v>
      </c>
      <c r="D45" s="190">
        <v>3354900</v>
      </c>
      <c r="E45" s="197">
        <v>6.0470443067976373E-2</v>
      </c>
      <c r="F45" s="190">
        <v>2154370</v>
      </c>
      <c r="G45" s="197">
        <v>2.9279804365127289E-2</v>
      </c>
      <c r="H45" s="190">
        <v>2232420</v>
      </c>
      <c r="I45" s="197">
        <v>2.9263310108727483E-2</v>
      </c>
      <c r="J45" s="190">
        <v>0</v>
      </c>
      <c r="K45" s="197">
        <v>0</v>
      </c>
    </row>
    <row r="46" spans="1:11" ht="20.25" hidden="1" customHeight="1" outlineLevel="1">
      <c r="A46" s="663"/>
      <c r="B46" s="636"/>
      <c r="C46" s="30" t="s">
        <v>2611</v>
      </c>
      <c r="D46" s="190">
        <v>0</v>
      </c>
      <c r="E46" s="197">
        <v>0</v>
      </c>
      <c r="F46" s="190">
        <v>3681280</v>
      </c>
      <c r="G46" s="197">
        <v>5.0031869276519716E-2</v>
      </c>
      <c r="H46" s="190">
        <v>0</v>
      </c>
      <c r="I46" s="197">
        <v>0</v>
      </c>
      <c r="J46" s="190">
        <v>0</v>
      </c>
      <c r="K46" s="197">
        <v>0</v>
      </c>
    </row>
    <row r="47" spans="1:11" ht="20.25" hidden="1" customHeight="1" outlineLevel="1">
      <c r="A47" s="662"/>
      <c r="B47" s="636"/>
      <c r="C47" s="30" t="s">
        <v>324</v>
      </c>
      <c r="D47" s="190">
        <v>5750</v>
      </c>
      <c r="E47" s="197">
        <v>1.036409572985377E-4</v>
      </c>
      <c r="F47" s="190">
        <v>5200</v>
      </c>
      <c r="G47" s="197">
        <v>7.0672624803846089E-5</v>
      </c>
      <c r="H47" s="190">
        <v>5200</v>
      </c>
      <c r="I47" s="197">
        <v>6.8163344068491991E-5</v>
      </c>
      <c r="J47" s="190">
        <v>0</v>
      </c>
      <c r="K47" s="197">
        <v>0</v>
      </c>
    </row>
    <row r="48" spans="1:11" ht="20.25" hidden="1" customHeight="1" outlineLevel="1">
      <c r="A48" s="662"/>
      <c r="B48" s="636"/>
      <c r="C48" s="30" t="s">
        <v>325</v>
      </c>
      <c r="D48" s="190">
        <v>354864</v>
      </c>
      <c r="E48" s="197">
        <v>6.396251247093615E-3</v>
      </c>
      <c r="F48" s="190">
        <v>634510</v>
      </c>
      <c r="G48" s="197">
        <v>8.6235552239016123E-3</v>
      </c>
      <c r="H48" s="190">
        <v>547360</v>
      </c>
      <c r="I48" s="197">
        <v>7.1749784633326494E-3</v>
      </c>
      <c r="J48" s="190">
        <v>0</v>
      </c>
      <c r="K48" s="197">
        <v>0</v>
      </c>
    </row>
    <row r="49" spans="1:11" ht="20.25" hidden="1" customHeight="1" outlineLevel="1">
      <c r="A49" s="662"/>
      <c r="B49" s="636"/>
      <c r="C49" s="30" t="s">
        <v>303</v>
      </c>
      <c r="D49" s="190">
        <v>3584409</v>
      </c>
      <c r="E49" s="197">
        <v>6.4607231323390302E-2</v>
      </c>
      <c r="F49" s="190">
        <v>-400410</v>
      </c>
      <c r="G49" s="197">
        <v>-5.4419280187900029E-3</v>
      </c>
      <c r="H49" s="190">
        <v>0</v>
      </c>
      <c r="I49" s="197">
        <v>0</v>
      </c>
      <c r="J49" s="190">
        <v>0</v>
      </c>
      <c r="K49" s="197">
        <v>0</v>
      </c>
    </row>
    <row r="50" spans="1:11" ht="20.25" hidden="1" customHeight="1" outlineLevel="1">
      <c r="A50" s="662"/>
      <c r="B50" s="637"/>
      <c r="C50" s="30" t="s">
        <v>326</v>
      </c>
      <c r="D50" s="190">
        <v>72000</v>
      </c>
      <c r="E50" s="197">
        <v>1.29776503052082E-3</v>
      </c>
      <c r="F50" s="190">
        <v>0</v>
      </c>
      <c r="G50" s="197">
        <v>0</v>
      </c>
      <c r="H50" s="190">
        <v>32000</v>
      </c>
      <c r="I50" s="197">
        <v>4.1946673272918154E-4</v>
      </c>
      <c r="J50" s="190">
        <v>120000</v>
      </c>
      <c r="K50" s="197">
        <v>4.5449874791276181E-3</v>
      </c>
    </row>
    <row r="51" spans="1:11" ht="20.25" customHeight="1" collapsed="1">
      <c r="A51" s="662"/>
      <c r="B51" s="645" t="s">
        <v>327</v>
      </c>
      <c r="C51" s="65" t="s">
        <v>307</v>
      </c>
      <c r="D51" s="190">
        <v>5368200</v>
      </c>
      <c r="E51" s="196">
        <v>9.6759197733914795E-2</v>
      </c>
      <c r="F51" s="190">
        <v>4125450</v>
      </c>
      <c r="G51" s="196">
        <v>5.6068534614812857E-2</v>
      </c>
      <c r="H51" s="190">
        <v>1754705</v>
      </c>
      <c r="I51" s="196">
        <v>2.3001261664173701E-2</v>
      </c>
      <c r="J51" s="190">
        <v>839080</v>
      </c>
      <c r="K51" s="196">
        <v>3.1780067449886679E-2</v>
      </c>
    </row>
    <row r="52" spans="1:11" ht="20.25" hidden="1" customHeight="1" outlineLevel="1">
      <c r="A52" s="662"/>
      <c r="B52" s="653"/>
      <c r="C52" s="30" t="s">
        <v>328</v>
      </c>
      <c r="D52" s="190">
        <v>3594500</v>
      </c>
      <c r="E52" s="197">
        <v>6.4789116697320653E-2</v>
      </c>
      <c r="F52" s="190">
        <v>2738450</v>
      </c>
      <c r="G52" s="197">
        <v>3.7217971037325451E-2</v>
      </c>
      <c r="H52" s="190">
        <v>1586705</v>
      </c>
      <c r="I52" s="197">
        <v>2.0799061317345498E-2</v>
      </c>
      <c r="J52" s="190">
        <v>388100</v>
      </c>
      <c r="K52" s="197">
        <v>1.4699247005411906E-2</v>
      </c>
    </row>
    <row r="53" spans="1:11" ht="20.25" hidden="1" customHeight="1" outlineLevel="1">
      <c r="A53" s="662"/>
      <c r="B53" s="653"/>
      <c r="C53" s="30" t="s">
        <v>329</v>
      </c>
      <c r="D53" s="190">
        <v>295000</v>
      </c>
      <c r="E53" s="197">
        <v>5.3172317222728036E-3</v>
      </c>
      <c r="F53" s="190">
        <v>1387000</v>
      </c>
      <c r="G53" s="197">
        <v>1.8850563577487409E-2</v>
      </c>
      <c r="H53" s="190">
        <v>114000</v>
      </c>
      <c r="I53" s="197">
        <v>1.4943502353477092E-3</v>
      </c>
      <c r="J53" s="190">
        <v>450980</v>
      </c>
      <c r="K53" s="197">
        <v>1.7080820444474776E-2</v>
      </c>
    </row>
    <row r="54" spans="1:11" ht="20.25" hidden="1" customHeight="1" outlineLevel="1">
      <c r="A54" s="662"/>
      <c r="B54" s="653"/>
      <c r="C54" s="30" t="s">
        <v>330</v>
      </c>
      <c r="D54" s="190">
        <v>1350000</v>
      </c>
      <c r="E54" s="197">
        <v>2.4333094322265374E-2</v>
      </c>
      <c r="F54" s="190">
        <v>0</v>
      </c>
      <c r="G54" s="197">
        <v>0</v>
      </c>
      <c r="H54" s="190">
        <v>0</v>
      </c>
      <c r="I54" s="197">
        <v>0</v>
      </c>
      <c r="J54" s="190">
        <v>0</v>
      </c>
      <c r="K54" s="197">
        <v>0</v>
      </c>
    </row>
    <row r="55" spans="1:11" ht="20.25" hidden="1" customHeight="1" outlineLevel="1">
      <c r="A55" s="662"/>
      <c r="B55" s="653"/>
      <c r="C55" s="30" t="s">
        <v>331</v>
      </c>
      <c r="D55" s="190">
        <v>54000</v>
      </c>
      <c r="E55" s="197">
        <v>9.7332377289061501E-4</v>
      </c>
      <c r="F55" s="190">
        <v>0</v>
      </c>
      <c r="G55" s="197">
        <v>0</v>
      </c>
      <c r="H55" s="190">
        <v>54000</v>
      </c>
      <c r="I55" s="197">
        <v>7.0785011148049378E-4</v>
      </c>
      <c r="J55" s="190">
        <v>0</v>
      </c>
      <c r="K55" s="197">
        <v>0</v>
      </c>
    </row>
    <row r="56" spans="1:11" ht="20.25" hidden="1" customHeight="1" outlineLevel="1">
      <c r="A56" s="662"/>
      <c r="B56" s="646"/>
      <c r="C56" s="30" t="s">
        <v>332</v>
      </c>
      <c r="D56" s="190">
        <v>74700</v>
      </c>
      <c r="E56" s="197">
        <v>1.3464312191653507E-3</v>
      </c>
      <c r="F56" s="190">
        <v>0</v>
      </c>
      <c r="G56" s="197">
        <v>0</v>
      </c>
      <c r="H56" s="190">
        <v>0</v>
      </c>
      <c r="I56" s="197">
        <v>0</v>
      </c>
      <c r="J56" s="190">
        <v>0</v>
      </c>
      <c r="K56" s="197">
        <v>0</v>
      </c>
    </row>
    <row r="57" spans="1:11" ht="20.25" customHeight="1" collapsed="1">
      <c r="A57" s="662"/>
      <c r="B57" s="645" t="s">
        <v>333</v>
      </c>
      <c r="C57" s="65" t="s">
        <v>307</v>
      </c>
      <c r="D57" s="190">
        <v>1938478</v>
      </c>
      <c r="E57" s="196">
        <v>3.4940124456026914E-2</v>
      </c>
      <c r="F57" s="190">
        <v>1406910</v>
      </c>
      <c r="G57" s="196">
        <v>1.9121158185149825E-2</v>
      </c>
      <c r="H57" s="190">
        <v>1946340</v>
      </c>
      <c r="I57" s="196">
        <v>2.55132775181286E-2</v>
      </c>
      <c r="J57" s="190">
        <v>509581</v>
      </c>
      <c r="K57" s="196">
        <v>1.9300327205011094E-2</v>
      </c>
    </row>
    <row r="58" spans="1:11" ht="20.25" hidden="1" customHeight="1" outlineLevel="1">
      <c r="A58" s="662"/>
      <c r="B58" s="653"/>
      <c r="C58" s="30" t="s">
        <v>334</v>
      </c>
      <c r="D58" s="190">
        <v>209480</v>
      </c>
      <c r="E58" s="197">
        <v>3.7757752582430744E-3</v>
      </c>
      <c r="F58" s="190">
        <v>0</v>
      </c>
      <c r="G58" s="197">
        <v>0</v>
      </c>
      <c r="H58" s="190">
        <v>0</v>
      </c>
      <c r="I58" s="197">
        <v>0</v>
      </c>
      <c r="J58" s="190">
        <v>0</v>
      </c>
      <c r="K58" s="197">
        <v>0</v>
      </c>
    </row>
    <row r="59" spans="1:11" ht="20.25" hidden="1" customHeight="1" outlineLevel="1">
      <c r="A59" s="662"/>
      <c r="B59" s="653"/>
      <c r="C59" s="30" t="s">
        <v>2612</v>
      </c>
      <c r="D59" s="190">
        <v>452480</v>
      </c>
      <c r="E59" s="197">
        <v>8.1557322362508424E-3</v>
      </c>
      <c r="F59" s="190">
        <v>777380</v>
      </c>
      <c r="G59" s="197">
        <v>1.0565285590387283E-2</v>
      </c>
      <c r="H59" s="190">
        <v>255270</v>
      </c>
      <c r="I59" s="197">
        <v>3.3461647769930675E-3</v>
      </c>
      <c r="J59" s="190">
        <v>48290</v>
      </c>
      <c r="K59" s="197">
        <v>1.8289787113922725E-3</v>
      </c>
    </row>
    <row r="60" spans="1:11" ht="20.25" hidden="1" customHeight="1" outlineLevel="1">
      <c r="A60" s="662"/>
      <c r="B60" s="653"/>
      <c r="C60" s="30" t="s">
        <v>2613</v>
      </c>
      <c r="D60" s="190">
        <v>0</v>
      </c>
      <c r="E60" s="197">
        <v>0</v>
      </c>
      <c r="F60" s="190">
        <v>151430</v>
      </c>
      <c r="G60" s="197">
        <v>2.0580683796243104E-3</v>
      </c>
      <c r="H60" s="190">
        <v>59150</v>
      </c>
      <c r="I60" s="197">
        <v>7.7535803877909644E-4</v>
      </c>
      <c r="J60" s="190">
        <v>0</v>
      </c>
      <c r="K60" s="197">
        <v>0</v>
      </c>
    </row>
    <row r="61" spans="1:11" ht="20.25" hidden="1" customHeight="1" outlineLevel="1">
      <c r="A61" s="662"/>
      <c r="B61" s="653"/>
      <c r="C61" s="30" t="s">
        <v>335</v>
      </c>
      <c r="D61" s="190">
        <v>806828</v>
      </c>
      <c r="E61" s="197">
        <v>1.4542682833959058E-2</v>
      </c>
      <c r="F61" s="190">
        <v>341400</v>
      </c>
      <c r="G61" s="197">
        <v>4.6399296361602027E-3</v>
      </c>
      <c r="H61" s="190">
        <v>1153250</v>
      </c>
      <c r="I61" s="197">
        <v>1.5117187797497768E-2</v>
      </c>
      <c r="J61" s="190">
        <v>281211</v>
      </c>
      <c r="K61" s="197">
        <v>1.065083728327464E-2</v>
      </c>
    </row>
    <row r="62" spans="1:11" ht="20.25" hidden="1" customHeight="1" outlineLevel="1">
      <c r="A62" s="662"/>
      <c r="B62" s="653"/>
      <c r="C62" s="30" t="s">
        <v>336</v>
      </c>
      <c r="D62" s="190">
        <v>56500</v>
      </c>
      <c r="E62" s="197">
        <v>1.018385058672588E-3</v>
      </c>
      <c r="F62" s="190">
        <v>0</v>
      </c>
      <c r="G62" s="197">
        <v>0</v>
      </c>
      <c r="H62" s="190">
        <v>0</v>
      </c>
      <c r="I62" s="197">
        <v>0</v>
      </c>
      <c r="J62" s="190">
        <v>0</v>
      </c>
      <c r="K62" s="197">
        <v>0</v>
      </c>
    </row>
    <row r="63" spans="1:11" ht="20.25" hidden="1" customHeight="1" outlineLevel="1">
      <c r="A63" s="662"/>
      <c r="B63" s="653"/>
      <c r="C63" s="30" t="s">
        <v>337</v>
      </c>
      <c r="D63" s="190">
        <v>272680</v>
      </c>
      <c r="E63" s="197">
        <v>4.9149245628113498E-3</v>
      </c>
      <c r="F63" s="190">
        <v>0</v>
      </c>
      <c r="G63" s="197">
        <v>0</v>
      </c>
      <c r="H63" s="190">
        <v>0</v>
      </c>
      <c r="I63" s="197">
        <v>0</v>
      </c>
      <c r="J63" s="190">
        <v>0</v>
      </c>
      <c r="K63" s="197">
        <v>0</v>
      </c>
    </row>
    <row r="64" spans="1:11" ht="20.25" hidden="1" customHeight="1" outlineLevel="1">
      <c r="A64" s="662"/>
      <c r="B64" s="653"/>
      <c r="C64" s="30" t="s">
        <v>338</v>
      </c>
      <c r="D64" s="190">
        <v>41410</v>
      </c>
      <c r="E64" s="197">
        <v>7.4639513769259936E-4</v>
      </c>
      <c r="F64" s="190">
        <v>0</v>
      </c>
      <c r="G64" s="197">
        <v>0</v>
      </c>
      <c r="H64" s="190">
        <v>51780</v>
      </c>
      <c r="I64" s="197">
        <v>6.7874960689740687E-4</v>
      </c>
      <c r="J64" s="190">
        <v>45920</v>
      </c>
      <c r="K64" s="197">
        <v>1.739215208679502E-3</v>
      </c>
    </row>
    <row r="65" spans="1:11" ht="20.25" hidden="1" customHeight="1" outlineLevel="1">
      <c r="A65" s="662"/>
      <c r="B65" s="653"/>
      <c r="C65" s="30" t="s">
        <v>339</v>
      </c>
      <c r="D65" s="190">
        <v>0</v>
      </c>
      <c r="E65" s="197">
        <v>0</v>
      </c>
      <c r="F65" s="190">
        <v>28600</v>
      </c>
      <c r="G65" s="197">
        <v>3.886994364211535E-4</v>
      </c>
      <c r="H65" s="190">
        <v>199460</v>
      </c>
      <c r="I65" s="197">
        <v>2.6145885784425796E-3</v>
      </c>
      <c r="J65" s="190">
        <v>52760</v>
      </c>
      <c r="K65" s="197">
        <v>1.9982794949897761E-3</v>
      </c>
    </row>
    <row r="66" spans="1:11" ht="20.25" hidden="1" customHeight="1" outlineLevel="1">
      <c r="A66" s="662"/>
      <c r="B66" s="653"/>
      <c r="C66" s="30" t="s">
        <v>340</v>
      </c>
      <c r="D66" s="190">
        <v>0</v>
      </c>
      <c r="E66" s="197">
        <v>0</v>
      </c>
      <c r="F66" s="190">
        <v>56800</v>
      </c>
      <c r="G66" s="197">
        <v>7.7196251708816499E-4</v>
      </c>
      <c r="H66" s="190">
        <v>0</v>
      </c>
      <c r="I66" s="197">
        <v>0</v>
      </c>
      <c r="J66" s="190">
        <v>34000</v>
      </c>
      <c r="K66" s="197">
        <v>1.2877464524194918E-3</v>
      </c>
    </row>
    <row r="67" spans="1:11" ht="20.25" hidden="1" customHeight="1" outlineLevel="1">
      <c r="A67" s="663"/>
      <c r="B67" s="653"/>
      <c r="C67" s="30" t="s">
        <v>341</v>
      </c>
      <c r="D67" s="190">
        <v>99100</v>
      </c>
      <c r="E67" s="197">
        <v>1.7862293683974064E-3</v>
      </c>
      <c r="F67" s="190">
        <v>51300</v>
      </c>
      <c r="G67" s="197">
        <v>6.9721262546871242E-4</v>
      </c>
      <c r="H67" s="190">
        <v>94250</v>
      </c>
      <c r="I67" s="197">
        <v>1.2354606112414174E-3</v>
      </c>
      <c r="J67" s="190">
        <v>47400</v>
      </c>
      <c r="K67" s="197">
        <v>1.7952700542554093E-3</v>
      </c>
    </row>
    <row r="68" spans="1:11" ht="20.25" hidden="1" customHeight="1" outlineLevel="1">
      <c r="A68" s="662"/>
      <c r="B68" s="646"/>
      <c r="C68" s="30" t="s">
        <v>2614</v>
      </c>
      <c r="D68" s="190">
        <v>0</v>
      </c>
      <c r="E68" s="197">
        <v>0</v>
      </c>
      <c r="F68" s="190">
        <v>0</v>
      </c>
      <c r="G68" s="197">
        <v>0</v>
      </c>
      <c r="H68" s="190">
        <v>133180</v>
      </c>
      <c r="I68" s="197">
        <v>1.7457681082772623E-3</v>
      </c>
      <c r="J68" s="190">
        <v>0</v>
      </c>
      <c r="K68" s="197">
        <v>0</v>
      </c>
    </row>
    <row r="69" spans="1:11" ht="20.25" customHeight="1" collapsed="1">
      <c r="A69" s="662"/>
      <c r="B69" s="645" t="s">
        <v>342</v>
      </c>
      <c r="C69" s="65" t="s">
        <v>307</v>
      </c>
      <c r="D69" s="190">
        <v>3294510</v>
      </c>
      <c r="E69" s="196">
        <v>5.9381942648627034E-2</v>
      </c>
      <c r="F69" s="190">
        <v>1941857</v>
      </c>
      <c r="G69" s="196">
        <v>2.639156368917734E-2</v>
      </c>
      <c r="H69" s="190">
        <v>2419477</v>
      </c>
      <c r="I69" s="196">
        <v>3.1715316003231311E-2</v>
      </c>
      <c r="J69" s="190">
        <v>893580</v>
      </c>
      <c r="K69" s="196">
        <v>3.3844249263323814E-2</v>
      </c>
    </row>
    <row r="70" spans="1:11" ht="20.25" hidden="1" customHeight="1" outlineLevel="1">
      <c r="A70" s="662"/>
      <c r="B70" s="636"/>
      <c r="C70" s="30" t="s">
        <v>343</v>
      </c>
      <c r="D70" s="190">
        <v>490100</v>
      </c>
      <c r="E70" s="197">
        <v>8.8338144646979699E-3</v>
      </c>
      <c r="F70" s="190">
        <v>99400</v>
      </c>
      <c r="G70" s="197">
        <v>1.3509344049042887E-3</v>
      </c>
      <c r="H70" s="190">
        <v>152400</v>
      </c>
      <c r="I70" s="197">
        <v>1.9977103146227269E-3</v>
      </c>
      <c r="J70" s="190">
        <v>187400</v>
      </c>
      <c r="K70" s="197">
        <v>7.0977554465709641E-3</v>
      </c>
    </row>
    <row r="71" spans="1:11" ht="20.25" hidden="1" customHeight="1" outlineLevel="1">
      <c r="A71" s="662"/>
      <c r="B71" s="636"/>
      <c r="C71" s="30" t="s">
        <v>344</v>
      </c>
      <c r="D71" s="190">
        <v>267900</v>
      </c>
      <c r="E71" s="197">
        <v>4.8287673843962174E-3</v>
      </c>
      <c r="F71" s="190">
        <v>326360</v>
      </c>
      <c r="G71" s="197">
        <v>4.4355226598044636E-3</v>
      </c>
      <c r="H71" s="190">
        <v>226400</v>
      </c>
      <c r="I71" s="197">
        <v>2.9677271340589591E-3</v>
      </c>
      <c r="J71" s="190">
        <v>19100</v>
      </c>
      <c r="K71" s="197">
        <v>7.2341050709447921E-4</v>
      </c>
    </row>
    <row r="72" spans="1:11" ht="20.25" hidden="1" customHeight="1" outlineLevel="1">
      <c r="A72" s="663"/>
      <c r="B72" s="636"/>
      <c r="C72" s="30" t="s">
        <v>2615</v>
      </c>
      <c r="D72" s="190">
        <v>0</v>
      </c>
      <c r="E72" s="197">
        <v>0</v>
      </c>
      <c r="F72" s="190">
        <v>25550</v>
      </c>
      <c r="G72" s="197">
        <v>3.4724722379582071E-4</v>
      </c>
      <c r="H72" s="190">
        <v>27000</v>
      </c>
      <c r="I72" s="197">
        <v>3.5392505574024689E-4</v>
      </c>
      <c r="J72" s="190">
        <v>0</v>
      </c>
      <c r="K72" s="197">
        <v>0</v>
      </c>
    </row>
    <row r="73" spans="1:11" ht="20.25" hidden="1" customHeight="1" outlineLevel="1">
      <c r="A73" s="662"/>
      <c r="B73" s="637"/>
      <c r="C73" s="30" t="s">
        <v>345</v>
      </c>
      <c r="D73" s="190">
        <v>2536510</v>
      </c>
      <c r="E73" s="197">
        <v>4.571936079953285E-2</v>
      </c>
      <c r="F73" s="190">
        <v>1490547</v>
      </c>
      <c r="G73" s="197">
        <v>2.0257859400672765E-2</v>
      </c>
      <c r="H73" s="190">
        <v>2013677</v>
      </c>
      <c r="I73" s="197">
        <v>2.6395953498809376E-2</v>
      </c>
      <c r="J73" s="190">
        <v>687080</v>
      </c>
      <c r="K73" s="197">
        <v>2.6023083309658367E-2</v>
      </c>
    </row>
    <row r="74" spans="1:11" ht="20.25" customHeight="1" collapsed="1">
      <c r="A74" s="662"/>
      <c r="B74" s="645" t="s">
        <v>346</v>
      </c>
      <c r="C74" s="65" t="s">
        <v>307</v>
      </c>
      <c r="D74" s="190">
        <v>595792</v>
      </c>
      <c r="E74" s="196">
        <v>1.0738861431445281E-2</v>
      </c>
      <c r="F74" s="190">
        <v>1061585</v>
      </c>
      <c r="G74" s="196">
        <v>1.4427884308152106E-2</v>
      </c>
      <c r="H74" s="190">
        <v>1776400</v>
      </c>
      <c r="I74" s="196">
        <v>2.3285647000628684E-2</v>
      </c>
      <c r="J74" s="190">
        <v>69020</v>
      </c>
      <c r="K74" s="196">
        <v>2.6141252984115682E-3</v>
      </c>
    </row>
    <row r="75" spans="1:11" ht="20.25" hidden="1" customHeight="1" outlineLevel="1">
      <c r="A75" s="662"/>
      <c r="B75" s="653"/>
      <c r="C75" s="30" t="s">
        <v>347</v>
      </c>
      <c r="D75" s="190">
        <v>42000</v>
      </c>
      <c r="E75" s="197">
        <v>7.5702960113714494E-4</v>
      </c>
      <c r="F75" s="190">
        <v>0</v>
      </c>
      <c r="G75" s="197">
        <v>0</v>
      </c>
      <c r="H75" s="190">
        <v>0</v>
      </c>
      <c r="I75" s="197">
        <v>0</v>
      </c>
      <c r="J75" s="190">
        <v>0</v>
      </c>
      <c r="K75" s="197">
        <v>0</v>
      </c>
    </row>
    <row r="76" spans="1:11" ht="20.25" hidden="1" customHeight="1" outlineLevel="1">
      <c r="A76" s="663"/>
      <c r="B76" s="653"/>
      <c r="C76" s="30" t="s">
        <v>2616</v>
      </c>
      <c r="D76" s="190">
        <v>0</v>
      </c>
      <c r="E76" s="197">
        <v>0</v>
      </c>
      <c r="F76" s="190">
        <v>0</v>
      </c>
      <c r="G76" s="197">
        <v>0</v>
      </c>
      <c r="H76" s="190">
        <v>100000</v>
      </c>
      <c r="I76" s="197">
        <v>1.3108335397786922E-3</v>
      </c>
      <c r="J76" s="190">
        <v>0</v>
      </c>
      <c r="K76" s="197">
        <v>0</v>
      </c>
    </row>
    <row r="77" spans="1:11" ht="20.25" hidden="1" customHeight="1" outlineLevel="1">
      <c r="A77" s="663"/>
      <c r="B77" s="653"/>
      <c r="C77" s="30" t="s">
        <v>2786</v>
      </c>
      <c r="D77" s="190">
        <v>0</v>
      </c>
      <c r="E77" s="197">
        <v>0</v>
      </c>
      <c r="F77" s="190">
        <v>0</v>
      </c>
      <c r="G77" s="197">
        <v>0</v>
      </c>
      <c r="H77" s="190">
        <v>840000</v>
      </c>
      <c r="I77" s="197">
        <v>1.1011001734141015E-2</v>
      </c>
      <c r="J77" s="190">
        <v>-100000</v>
      </c>
      <c r="K77" s="197">
        <v>-3.7874895659396821E-3</v>
      </c>
    </row>
    <row r="78" spans="1:11" ht="20.25" hidden="1" customHeight="1" outlineLevel="1">
      <c r="A78" s="663"/>
      <c r="B78" s="653"/>
      <c r="C78" s="30" t="s">
        <v>2617</v>
      </c>
      <c r="D78" s="190">
        <v>0</v>
      </c>
      <c r="E78" s="197">
        <v>0</v>
      </c>
      <c r="F78" s="190">
        <v>210000</v>
      </c>
      <c r="G78" s="197">
        <v>2.8540867709245538E-3</v>
      </c>
      <c r="H78" s="190">
        <v>230000</v>
      </c>
      <c r="I78" s="197">
        <v>3.0149171414909923E-3</v>
      </c>
      <c r="J78" s="190">
        <v>0</v>
      </c>
      <c r="K78" s="197">
        <v>0</v>
      </c>
    </row>
    <row r="79" spans="1:11" ht="20.25" hidden="1" customHeight="1" outlineLevel="1">
      <c r="A79" s="662"/>
      <c r="B79" s="653"/>
      <c r="C79" s="30" t="s">
        <v>348</v>
      </c>
      <c r="D79" s="190">
        <v>204662</v>
      </c>
      <c r="E79" s="197">
        <v>3.6889331482840562E-3</v>
      </c>
      <c r="F79" s="190">
        <v>197065</v>
      </c>
      <c r="G79" s="197">
        <v>2.6782886167249866E-3</v>
      </c>
      <c r="H79" s="190">
        <v>177150</v>
      </c>
      <c r="I79" s="197">
        <v>2.3221416157179534E-3</v>
      </c>
      <c r="J79" s="190">
        <v>0</v>
      </c>
      <c r="K79" s="197">
        <v>0</v>
      </c>
    </row>
    <row r="80" spans="1:11" ht="20.25" hidden="1" customHeight="1" outlineLevel="1">
      <c r="A80" s="662"/>
      <c r="B80" s="646"/>
      <c r="C80" s="30" t="s">
        <v>2618</v>
      </c>
      <c r="D80" s="190">
        <v>349130</v>
      </c>
      <c r="E80" s="197">
        <v>6.2928986820240812E-3</v>
      </c>
      <c r="F80" s="190">
        <v>654520</v>
      </c>
      <c r="G80" s="197">
        <v>8.8955089205025664E-3</v>
      </c>
      <c r="H80" s="190">
        <v>429250</v>
      </c>
      <c r="I80" s="197">
        <v>5.6267529695000363E-3</v>
      </c>
      <c r="J80" s="190">
        <v>169020</v>
      </c>
      <c r="K80" s="197">
        <v>6.4016148643512502E-3</v>
      </c>
    </row>
    <row r="81" spans="1:11" ht="20.25" customHeight="1" collapsed="1">
      <c r="A81" s="662"/>
      <c r="B81" s="645" t="s">
        <v>349</v>
      </c>
      <c r="C81" s="65" t="s">
        <v>307</v>
      </c>
      <c r="D81" s="190">
        <v>507000</v>
      </c>
      <c r="E81" s="196">
        <v>9.1384287565841067E-3</v>
      </c>
      <c r="F81" s="190">
        <v>790000</v>
      </c>
      <c r="G81" s="196">
        <v>1.0736802614430463E-2</v>
      </c>
      <c r="H81" s="190">
        <v>731000</v>
      </c>
      <c r="I81" s="196">
        <v>9.5821931757822405E-3</v>
      </c>
      <c r="J81" s="190">
        <v>185000</v>
      </c>
      <c r="K81" s="196">
        <v>7.0068556969884116E-3</v>
      </c>
    </row>
    <row r="82" spans="1:11" ht="20.25" hidden="1" customHeight="1" outlineLevel="1">
      <c r="A82" s="662"/>
      <c r="B82" s="637"/>
      <c r="C82" s="30" t="s">
        <v>350</v>
      </c>
      <c r="D82" s="190">
        <v>507000</v>
      </c>
      <c r="E82" s="197">
        <v>9.1384287565841067E-3</v>
      </c>
      <c r="F82" s="190">
        <v>790000</v>
      </c>
      <c r="G82" s="197">
        <v>1.0736802614430463E-2</v>
      </c>
      <c r="H82" s="190">
        <v>731000</v>
      </c>
      <c r="I82" s="197">
        <v>9.5821931757822405E-3</v>
      </c>
      <c r="J82" s="190">
        <v>185000</v>
      </c>
      <c r="K82" s="197">
        <v>7.0068556969884116E-3</v>
      </c>
    </row>
    <row r="83" spans="1:11" ht="20.25" customHeight="1" collapsed="1">
      <c r="A83" s="662"/>
      <c r="B83" s="645" t="s">
        <v>351</v>
      </c>
      <c r="C83" s="65" t="s">
        <v>307</v>
      </c>
      <c r="D83" s="190">
        <v>433670</v>
      </c>
      <c r="E83" s="196">
        <v>7.8166911220272778E-3</v>
      </c>
      <c r="F83" s="190">
        <v>1117135</v>
      </c>
      <c r="G83" s="196">
        <v>1.5182858213508576E-2</v>
      </c>
      <c r="H83" s="190">
        <v>439448</v>
      </c>
      <c r="I83" s="196">
        <v>5.7604317738866673E-3</v>
      </c>
      <c r="J83" s="190">
        <v>396919</v>
      </c>
      <c r="K83" s="196">
        <v>1.5033265710232127E-2</v>
      </c>
    </row>
    <row r="84" spans="1:11" ht="20.25" hidden="1" customHeight="1" outlineLevel="1">
      <c r="A84" s="662"/>
      <c r="B84" s="636"/>
      <c r="C84" s="30" t="s">
        <v>352</v>
      </c>
      <c r="D84" s="190">
        <v>184670</v>
      </c>
      <c r="E84" s="197">
        <v>3.3285870581427754E-3</v>
      </c>
      <c r="F84" s="190">
        <v>286135</v>
      </c>
      <c r="G84" s="197">
        <v>3.8888291342785578E-3</v>
      </c>
      <c r="H84" s="190">
        <v>132800</v>
      </c>
      <c r="I84" s="197">
        <v>1.7407869408261032E-3</v>
      </c>
      <c r="J84" s="190">
        <v>247800</v>
      </c>
      <c r="K84" s="197">
        <v>9.3853991443985322E-3</v>
      </c>
    </row>
    <row r="85" spans="1:11" ht="20.25" hidden="1" customHeight="1" outlineLevel="1">
      <c r="A85" s="662"/>
      <c r="B85" s="637"/>
      <c r="C85" s="30" t="s">
        <v>1928</v>
      </c>
      <c r="D85" s="190">
        <v>249000</v>
      </c>
      <c r="E85" s="197">
        <v>4.4881040638845024E-3</v>
      </c>
      <c r="F85" s="190">
        <v>831000</v>
      </c>
      <c r="G85" s="197">
        <v>1.1294029079230019E-2</v>
      </c>
      <c r="H85" s="190">
        <v>306648</v>
      </c>
      <c r="I85" s="197">
        <v>4.0196448330605643E-3</v>
      </c>
      <c r="J85" s="190">
        <v>149119</v>
      </c>
      <c r="K85" s="197">
        <v>5.647866565833594E-3</v>
      </c>
    </row>
    <row r="86" spans="1:11" ht="20.25" customHeight="1" collapsed="1">
      <c r="A86" s="662"/>
      <c r="B86" s="645" t="s">
        <v>353</v>
      </c>
      <c r="C86" s="65" t="s">
        <v>307</v>
      </c>
      <c r="D86" s="190">
        <v>498400</v>
      </c>
      <c r="E86" s="196">
        <v>8.9834179334941193E-3</v>
      </c>
      <c r="F86" s="190">
        <v>230200</v>
      </c>
      <c r="G86" s="196">
        <v>3.1286227365087248E-3</v>
      </c>
      <c r="H86" s="190">
        <v>1428220</v>
      </c>
      <c r="I86" s="196">
        <v>1.8721586781827237E-2</v>
      </c>
      <c r="J86" s="190">
        <v>232800</v>
      </c>
      <c r="K86" s="196">
        <v>8.8172757095075806E-3</v>
      </c>
    </row>
    <row r="87" spans="1:11" ht="20.25" hidden="1" customHeight="1" outlineLevel="1">
      <c r="A87" s="662"/>
      <c r="B87" s="636"/>
      <c r="C87" s="30" t="s">
        <v>354</v>
      </c>
      <c r="D87" s="190">
        <v>220000</v>
      </c>
      <c r="E87" s="197">
        <v>3.9653931488136162E-3</v>
      </c>
      <c r="F87" s="190">
        <v>0</v>
      </c>
      <c r="G87" s="197">
        <v>0</v>
      </c>
      <c r="H87" s="190">
        <v>130000</v>
      </c>
      <c r="I87" s="197">
        <v>1.7040836017122999E-3</v>
      </c>
      <c r="J87" s="190">
        <v>0</v>
      </c>
      <c r="K87" s="197">
        <v>0</v>
      </c>
    </row>
    <row r="88" spans="1:11" ht="20.25" hidden="1" customHeight="1" outlineLevel="1">
      <c r="A88" s="662"/>
      <c r="B88" s="637"/>
      <c r="C88" s="30" t="s">
        <v>2440</v>
      </c>
      <c r="D88" s="190">
        <v>278400</v>
      </c>
      <c r="E88" s="197">
        <v>5.018024784680504E-3</v>
      </c>
      <c r="F88" s="190">
        <v>230200</v>
      </c>
      <c r="G88" s="197">
        <v>3.1286227365087248E-3</v>
      </c>
      <c r="H88" s="190">
        <v>1298220</v>
      </c>
      <c r="I88" s="197">
        <v>1.7017503180114937E-2</v>
      </c>
      <c r="J88" s="190">
        <v>232800</v>
      </c>
      <c r="K88" s="197">
        <v>8.8172757095075806E-3</v>
      </c>
    </row>
    <row r="89" spans="1:11" ht="20.25" customHeight="1" collapsed="1">
      <c r="A89" s="662"/>
      <c r="B89" s="645" t="s">
        <v>355</v>
      </c>
      <c r="C89" s="65" t="s">
        <v>307</v>
      </c>
      <c r="D89" s="190">
        <v>311530</v>
      </c>
      <c r="E89" s="196">
        <v>5.6151769438632093E-3</v>
      </c>
      <c r="F89" s="190">
        <v>63300</v>
      </c>
      <c r="G89" s="196">
        <v>8.6030329809297259E-4</v>
      </c>
      <c r="H89" s="190">
        <v>0</v>
      </c>
      <c r="I89" s="196">
        <v>0</v>
      </c>
      <c r="J89" s="190">
        <v>0</v>
      </c>
      <c r="K89" s="196">
        <v>0</v>
      </c>
    </row>
    <row r="90" spans="1:11" ht="20.25" hidden="1" customHeight="1" outlineLevel="1">
      <c r="A90" s="662"/>
      <c r="B90" s="637"/>
      <c r="C90" s="30" t="s">
        <v>356</v>
      </c>
      <c r="D90" s="190">
        <v>311530</v>
      </c>
      <c r="E90" s="197">
        <v>5.6151769438632093E-3</v>
      </c>
      <c r="F90" s="190">
        <v>63300</v>
      </c>
      <c r="G90" s="197">
        <v>8.6030329809297259E-4</v>
      </c>
      <c r="H90" s="190">
        <v>0</v>
      </c>
      <c r="I90" s="197">
        <v>0</v>
      </c>
      <c r="J90" s="190">
        <v>0</v>
      </c>
      <c r="K90" s="197">
        <v>0</v>
      </c>
    </row>
    <row r="91" spans="1:11" ht="20.25" customHeight="1" collapsed="1">
      <c r="A91" s="662"/>
      <c r="B91" s="645" t="s">
        <v>2619</v>
      </c>
      <c r="C91" s="65" t="s">
        <v>307</v>
      </c>
      <c r="D91" s="190">
        <v>248300</v>
      </c>
      <c r="E91" s="196">
        <v>4.47548690386555E-3</v>
      </c>
      <c r="F91" s="190">
        <v>299820</v>
      </c>
      <c r="G91" s="196">
        <v>4.0748204555171412E-3</v>
      </c>
      <c r="H91" s="190">
        <v>1463250</v>
      </c>
      <c r="I91" s="196">
        <v>1.9180771770811712E-2</v>
      </c>
      <c r="J91" s="190">
        <v>126300</v>
      </c>
      <c r="K91" s="196">
        <v>4.7835993217818177E-3</v>
      </c>
    </row>
    <row r="92" spans="1:11" ht="20.25" hidden="1" customHeight="1" outlineLevel="1">
      <c r="A92" s="662"/>
      <c r="B92" s="653"/>
      <c r="C92" s="30" t="s">
        <v>357</v>
      </c>
      <c r="D92" s="190">
        <v>35000</v>
      </c>
      <c r="E92" s="197">
        <v>6.3085800094762076E-4</v>
      </c>
      <c r="F92" s="190">
        <v>0</v>
      </c>
      <c r="G92" s="197">
        <v>0</v>
      </c>
      <c r="H92" s="190">
        <v>0</v>
      </c>
      <c r="I92" s="197">
        <v>0</v>
      </c>
      <c r="J92" s="190">
        <v>0</v>
      </c>
      <c r="K92" s="197">
        <v>0</v>
      </c>
    </row>
    <row r="93" spans="1:11" ht="20.25" hidden="1" customHeight="1" outlineLevel="1">
      <c r="A93" s="662"/>
      <c r="B93" s="653"/>
      <c r="C93" s="30" t="s">
        <v>358</v>
      </c>
      <c r="D93" s="190">
        <v>21000</v>
      </c>
      <c r="E93" s="197">
        <v>3.7851480056857247E-4</v>
      </c>
      <c r="F93" s="190">
        <v>0</v>
      </c>
      <c r="G93" s="197">
        <v>0</v>
      </c>
      <c r="H93" s="190">
        <v>0</v>
      </c>
      <c r="I93" s="197">
        <v>0</v>
      </c>
      <c r="J93" s="190">
        <v>0</v>
      </c>
      <c r="K93" s="197">
        <v>0</v>
      </c>
    </row>
    <row r="94" spans="1:11" ht="20.25" hidden="1" customHeight="1" outlineLevel="1">
      <c r="A94" s="662"/>
      <c r="B94" s="653"/>
      <c r="C94" s="30" t="s">
        <v>359</v>
      </c>
      <c r="D94" s="190">
        <v>13900</v>
      </c>
      <c r="E94" s="197">
        <v>2.5054074894776941E-4</v>
      </c>
      <c r="F94" s="190">
        <v>0</v>
      </c>
      <c r="G94" s="197">
        <v>0</v>
      </c>
      <c r="H94" s="190">
        <v>0</v>
      </c>
      <c r="I94" s="197">
        <v>0</v>
      </c>
      <c r="J94" s="190">
        <v>0</v>
      </c>
      <c r="K94" s="197">
        <v>0</v>
      </c>
    </row>
    <row r="95" spans="1:11" ht="20.25" hidden="1" customHeight="1" outlineLevel="1">
      <c r="A95" s="662"/>
      <c r="B95" s="653"/>
      <c r="C95" s="30" t="s">
        <v>360</v>
      </c>
      <c r="D95" s="190">
        <v>125400</v>
      </c>
      <c r="E95" s="197">
        <v>2.2602740948237613E-3</v>
      </c>
      <c r="F95" s="190">
        <v>0</v>
      </c>
      <c r="G95" s="197">
        <v>0</v>
      </c>
      <c r="H95" s="190">
        <v>70750</v>
      </c>
      <c r="I95" s="197">
        <v>9.2741472939342478E-4</v>
      </c>
      <c r="J95" s="190">
        <v>0</v>
      </c>
      <c r="K95" s="197">
        <v>0</v>
      </c>
    </row>
    <row r="96" spans="1:11" ht="20.25" hidden="1" customHeight="1" outlineLevel="1">
      <c r="A96" s="662"/>
      <c r="B96" s="653"/>
      <c r="C96" s="30" t="s">
        <v>361</v>
      </c>
      <c r="D96" s="190">
        <v>31000</v>
      </c>
      <c r="E96" s="197">
        <v>5.5875994369646411E-4</v>
      </c>
      <c r="F96" s="190">
        <v>86200</v>
      </c>
      <c r="G96" s="197">
        <v>1.1715346650176025E-3</v>
      </c>
      <c r="H96" s="190">
        <v>0</v>
      </c>
      <c r="I96" s="197">
        <v>0</v>
      </c>
      <c r="J96" s="190">
        <v>21000</v>
      </c>
      <c r="K96" s="197">
        <v>7.9537280884733321E-4</v>
      </c>
    </row>
    <row r="97" spans="1:11" ht="20.25" hidden="1" customHeight="1" outlineLevel="1">
      <c r="A97" s="663"/>
      <c r="B97" s="653"/>
      <c r="C97" s="30" t="s">
        <v>2787</v>
      </c>
      <c r="D97" s="190">
        <v>22000</v>
      </c>
      <c r="E97" s="197">
        <v>3.9653931488136166E-4</v>
      </c>
      <c r="F97" s="190">
        <v>28000</v>
      </c>
      <c r="G97" s="197">
        <v>3.8054490278994048E-4</v>
      </c>
      <c r="H97" s="190">
        <v>34000</v>
      </c>
      <c r="I97" s="197">
        <v>4.4568340352475538E-4</v>
      </c>
      <c r="J97" s="190">
        <v>0</v>
      </c>
      <c r="K97" s="197">
        <v>0</v>
      </c>
    </row>
    <row r="98" spans="1:11" ht="20.25" hidden="1" customHeight="1" outlineLevel="1">
      <c r="A98" s="663"/>
      <c r="B98" s="653"/>
      <c r="C98" s="30" t="s">
        <v>2620</v>
      </c>
      <c r="D98" s="190">
        <v>0</v>
      </c>
      <c r="E98" s="197">
        <v>0</v>
      </c>
      <c r="F98" s="190">
        <v>43000</v>
      </c>
      <c r="G98" s="197">
        <v>5.8440824357026576E-4</v>
      </c>
      <c r="H98" s="190">
        <v>0</v>
      </c>
      <c r="I98" s="197">
        <v>0</v>
      </c>
      <c r="J98" s="190">
        <v>0</v>
      </c>
      <c r="K98" s="197">
        <v>0</v>
      </c>
    </row>
    <row r="99" spans="1:11" ht="20.25" hidden="1" customHeight="1" outlineLevel="1">
      <c r="A99" s="663"/>
      <c r="B99" s="653"/>
      <c r="C99" s="30" t="s">
        <v>2621</v>
      </c>
      <c r="D99" s="190">
        <v>0</v>
      </c>
      <c r="E99" s="197">
        <v>0</v>
      </c>
      <c r="F99" s="190">
        <v>0</v>
      </c>
      <c r="G99" s="197">
        <v>0</v>
      </c>
      <c r="H99" s="190">
        <v>1254500</v>
      </c>
      <c r="I99" s="197">
        <v>1.6444406756523693E-2</v>
      </c>
      <c r="J99" s="190">
        <v>0</v>
      </c>
      <c r="K99" s="197">
        <v>0</v>
      </c>
    </row>
    <row r="100" spans="1:11" ht="20.25" hidden="1" customHeight="1" outlineLevel="1">
      <c r="A100" s="662"/>
      <c r="B100" s="646"/>
      <c r="C100" s="30" t="s">
        <v>380</v>
      </c>
      <c r="D100" s="190">
        <v>0</v>
      </c>
      <c r="E100" s="197">
        <v>0</v>
      </c>
      <c r="F100" s="190">
        <v>142620</v>
      </c>
      <c r="G100" s="197">
        <v>1.9383326441393327E-3</v>
      </c>
      <c r="H100" s="190">
        <v>104000</v>
      </c>
      <c r="I100" s="197">
        <v>1.3632668813698399E-3</v>
      </c>
      <c r="J100" s="190">
        <v>105300</v>
      </c>
      <c r="K100" s="197">
        <v>3.9882265129344849E-3</v>
      </c>
    </row>
    <row r="101" spans="1:11" ht="20.25" customHeight="1" collapsed="1">
      <c r="A101" s="662"/>
      <c r="B101" s="645" t="s">
        <v>362</v>
      </c>
      <c r="C101" s="65" t="s">
        <v>307</v>
      </c>
      <c r="D101" s="190">
        <v>441800</v>
      </c>
      <c r="E101" s="196">
        <v>7.9632304233902534E-3</v>
      </c>
      <c r="F101" s="190">
        <v>814300</v>
      </c>
      <c r="G101" s="196">
        <v>1.1067061226494592E-2</v>
      </c>
      <c r="H101" s="190">
        <v>504300</v>
      </c>
      <c r="I101" s="196">
        <v>6.6105335411039447E-3</v>
      </c>
      <c r="J101" s="190">
        <v>-2200</v>
      </c>
      <c r="K101" s="196">
        <v>-8.3324770450673004E-5</v>
      </c>
    </row>
    <row r="102" spans="1:11" ht="20.25" hidden="1" customHeight="1" outlineLevel="1">
      <c r="A102" s="662"/>
      <c r="B102" s="636"/>
      <c r="C102" s="30" t="s">
        <v>363</v>
      </c>
      <c r="D102" s="190">
        <v>258700</v>
      </c>
      <c r="E102" s="197">
        <v>4.6629418527185575E-3</v>
      </c>
      <c r="F102" s="190">
        <v>10000</v>
      </c>
      <c r="G102" s="197">
        <v>1.3590889385355016E-4</v>
      </c>
      <c r="H102" s="190">
        <v>0</v>
      </c>
      <c r="I102" s="197">
        <v>0</v>
      </c>
      <c r="J102" s="190">
        <v>0</v>
      </c>
      <c r="K102" s="197">
        <v>0</v>
      </c>
    </row>
    <row r="103" spans="1:11" ht="20.25" hidden="1" customHeight="1" outlineLevel="1">
      <c r="A103" s="663"/>
      <c r="B103" s="636"/>
      <c r="C103" s="30" t="s">
        <v>364</v>
      </c>
      <c r="D103" s="190">
        <v>183100</v>
      </c>
      <c r="E103" s="197">
        <v>3.3002885706716963E-3</v>
      </c>
      <c r="F103" s="190">
        <v>786700</v>
      </c>
      <c r="G103" s="197">
        <v>1.0691952679458792E-2</v>
      </c>
      <c r="H103" s="190">
        <v>412000</v>
      </c>
      <c r="I103" s="197">
        <v>5.4006341838882116E-3</v>
      </c>
      <c r="J103" s="190">
        <v>-2200</v>
      </c>
      <c r="K103" s="197">
        <v>-8.3324770450673004E-5</v>
      </c>
    </row>
    <row r="104" spans="1:11" ht="20.25" hidden="1" customHeight="1" outlineLevel="1">
      <c r="A104" s="663"/>
      <c r="B104" s="636"/>
      <c r="C104" s="30" t="s">
        <v>2622</v>
      </c>
      <c r="D104" s="190">
        <v>0</v>
      </c>
      <c r="E104" s="197">
        <v>0</v>
      </c>
      <c r="F104" s="190">
        <v>8200</v>
      </c>
      <c r="G104" s="197">
        <v>1.1144529295991115E-4</v>
      </c>
      <c r="H104" s="190">
        <v>47600</v>
      </c>
      <c r="I104" s="197">
        <v>6.2395676493465755E-4</v>
      </c>
      <c r="J104" s="190">
        <v>0</v>
      </c>
      <c r="K104" s="197">
        <v>0</v>
      </c>
    </row>
    <row r="105" spans="1:11" ht="20.25" hidden="1" customHeight="1" outlineLevel="1">
      <c r="A105" s="662"/>
      <c r="B105" s="637"/>
      <c r="C105" s="30" t="s">
        <v>2623</v>
      </c>
      <c r="D105" s="190">
        <v>0</v>
      </c>
      <c r="E105" s="197">
        <v>0</v>
      </c>
      <c r="F105" s="190">
        <v>9400</v>
      </c>
      <c r="G105" s="197">
        <v>1.2775436022233717E-4</v>
      </c>
      <c r="H105" s="190">
        <v>44700</v>
      </c>
      <c r="I105" s="197">
        <v>5.8594259228107542E-4</v>
      </c>
      <c r="J105" s="190">
        <v>0</v>
      </c>
      <c r="K105" s="197">
        <v>0</v>
      </c>
    </row>
    <row r="106" spans="1:11" ht="20.25" customHeight="1" collapsed="1">
      <c r="A106" s="662"/>
      <c r="B106" s="645" t="s">
        <v>365</v>
      </c>
      <c r="C106" s="65" t="s">
        <v>307</v>
      </c>
      <c r="D106" s="190">
        <v>270500</v>
      </c>
      <c r="E106" s="196">
        <v>4.8756311216094691E-3</v>
      </c>
      <c r="F106" s="190">
        <v>913384</v>
      </c>
      <c r="G106" s="196">
        <v>1.2413700910353107E-2</v>
      </c>
      <c r="H106" s="190">
        <v>909726</v>
      </c>
      <c r="I106" s="196">
        <v>1.1924993528087105E-2</v>
      </c>
      <c r="J106" s="190">
        <v>0</v>
      </c>
      <c r="K106" s="196">
        <v>0</v>
      </c>
    </row>
    <row r="107" spans="1:11" ht="20.25" hidden="1" customHeight="1" outlineLevel="1">
      <c r="A107" s="662"/>
      <c r="B107" s="646"/>
      <c r="C107" s="30" t="s">
        <v>2601</v>
      </c>
      <c r="D107" s="190">
        <v>270500</v>
      </c>
      <c r="E107" s="197">
        <v>4.8756311216094691E-3</v>
      </c>
      <c r="F107" s="190">
        <v>913384</v>
      </c>
      <c r="G107" s="197">
        <v>1.2413700910353107E-2</v>
      </c>
      <c r="H107" s="190">
        <v>909726</v>
      </c>
      <c r="I107" s="197">
        <v>1.1924993528087105E-2</v>
      </c>
      <c r="J107" s="190">
        <v>0</v>
      </c>
      <c r="K107" s="197">
        <v>0</v>
      </c>
    </row>
    <row r="108" spans="1:11" ht="20.25" customHeight="1" collapsed="1">
      <c r="A108" s="663"/>
      <c r="B108" s="645" t="s">
        <v>2102</v>
      </c>
      <c r="C108" s="65" t="s">
        <v>307</v>
      </c>
      <c r="D108" s="190">
        <v>460000</v>
      </c>
      <c r="E108" s="196">
        <v>8.2912765838830168E-3</v>
      </c>
      <c r="F108" s="190">
        <v>3789000</v>
      </c>
      <c r="G108" s="196">
        <v>5.1495879881110165E-2</v>
      </c>
      <c r="H108" s="190">
        <v>3106300</v>
      </c>
      <c r="I108" s="196">
        <v>4.0718422246145518E-2</v>
      </c>
      <c r="J108" s="190">
        <v>180000</v>
      </c>
      <c r="K108" s="196">
        <v>6.817481218691428E-3</v>
      </c>
    </row>
    <row r="109" spans="1:11" ht="20.25" hidden="1" customHeight="1" outlineLevel="1">
      <c r="A109" s="663"/>
      <c r="B109" s="636"/>
      <c r="C109" s="30" t="s">
        <v>366</v>
      </c>
      <c r="D109" s="190">
        <v>40000</v>
      </c>
      <c r="E109" s="197">
        <v>7.2098057251156666E-4</v>
      </c>
      <c r="F109" s="190">
        <v>0</v>
      </c>
      <c r="G109" s="197">
        <v>0</v>
      </c>
      <c r="H109" s="190">
        <v>0</v>
      </c>
      <c r="I109" s="197">
        <v>0</v>
      </c>
      <c r="J109" s="190">
        <v>0</v>
      </c>
      <c r="K109" s="197">
        <v>0</v>
      </c>
    </row>
    <row r="110" spans="1:11" ht="20.25" hidden="1" customHeight="1" outlineLevel="1">
      <c r="A110" s="663"/>
      <c r="B110" s="636"/>
      <c r="C110" s="30" t="s">
        <v>367</v>
      </c>
      <c r="D110" s="190">
        <v>420000</v>
      </c>
      <c r="E110" s="197">
        <v>7.5702960113714496E-3</v>
      </c>
      <c r="F110" s="190">
        <v>939000</v>
      </c>
      <c r="G110" s="197">
        <v>1.2761845132848362E-2</v>
      </c>
      <c r="H110" s="190">
        <v>38000</v>
      </c>
      <c r="I110" s="197">
        <v>4.9811674511590306E-4</v>
      </c>
      <c r="J110" s="190">
        <v>0</v>
      </c>
      <c r="K110" s="197">
        <v>0</v>
      </c>
    </row>
    <row r="111" spans="1:11" ht="20.25" hidden="1" customHeight="1" outlineLevel="1">
      <c r="A111" s="663"/>
      <c r="B111" s="636"/>
      <c r="C111" s="30" t="s">
        <v>2624</v>
      </c>
      <c r="D111" s="190">
        <v>0</v>
      </c>
      <c r="E111" s="197">
        <v>0</v>
      </c>
      <c r="F111" s="190">
        <v>0</v>
      </c>
      <c r="G111" s="197">
        <v>0</v>
      </c>
      <c r="H111" s="190">
        <v>1000000</v>
      </c>
      <c r="I111" s="197">
        <v>1.3108335397786922E-2</v>
      </c>
      <c r="J111" s="190">
        <v>0</v>
      </c>
      <c r="K111" s="197">
        <v>0</v>
      </c>
    </row>
    <row r="112" spans="1:11" ht="20.25" hidden="1" customHeight="1" outlineLevel="1">
      <c r="A112" s="663"/>
      <c r="B112" s="636"/>
      <c r="C112" s="30" t="s">
        <v>2625</v>
      </c>
      <c r="D112" s="190">
        <v>0</v>
      </c>
      <c r="E112" s="197">
        <v>0</v>
      </c>
      <c r="F112" s="190">
        <v>2850000</v>
      </c>
      <c r="G112" s="197">
        <v>3.87340347482618E-2</v>
      </c>
      <c r="H112" s="190">
        <v>1800000</v>
      </c>
      <c r="I112" s="197">
        <v>2.3595003716016461E-2</v>
      </c>
      <c r="J112" s="190">
        <v>0</v>
      </c>
      <c r="K112" s="197">
        <v>0</v>
      </c>
    </row>
    <row r="113" spans="1:11" ht="20.25" hidden="1" customHeight="1" outlineLevel="1">
      <c r="A113" s="663"/>
      <c r="B113" s="636"/>
      <c r="C113" s="30" t="s">
        <v>2626</v>
      </c>
      <c r="D113" s="190">
        <v>0</v>
      </c>
      <c r="E113" s="197">
        <v>0</v>
      </c>
      <c r="F113" s="190">
        <v>0</v>
      </c>
      <c r="G113" s="197">
        <v>0</v>
      </c>
      <c r="H113" s="190">
        <v>240000</v>
      </c>
      <c r="I113" s="197">
        <v>3.1460004954688612E-3</v>
      </c>
      <c r="J113" s="190">
        <v>180000</v>
      </c>
      <c r="K113" s="197">
        <v>6.817481218691428E-3</v>
      </c>
    </row>
    <row r="114" spans="1:11" ht="20.25" hidden="1" customHeight="1" outlineLevel="1">
      <c r="A114" s="663"/>
      <c r="B114" s="636"/>
      <c r="C114" s="30" t="s">
        <v>2627</v>
      </c>
      <c r="D114" s="190">
        <v>0</v>
      </c>
      <c r="E114" s="197">
        <v>0</v>
      </c>
      <c r="F114" s="190">
        <v>0</v>
      </c>
      <c r="G114" s="197">
        <v>0</v>
      </c>
      <c r="H114" s="190">
        <v>28300</v>
      </c>
      <c r="I114" s="197">
        <v>3.7096589175736989E-4</v>
      </c>
      <c r="J114" s="190">
        <v>0</v>
      </c>
      <c r="K114" s="197">
        <v>0</v>
      </c>
    </row>
    <row r="115" spans="1:11" ht="20.25" customHeight="1" collapsed="1">
      <c r="A115" s="662"/>
      <c r="B115" s="645" t="s">
        <v>2103</v>
      </c>
      <c r="C115" s="65" t="s">
        <v>307</v>
      </c>
      <c r="D115" s="190">
        <v>552110</v>
      </c>
      <c r="E115" s="196">
        <v>9.951514597234026E-3</v>
      </c>
      <c r="F115" s="190">
        <v>1630120</v>
      </c>
      <c r="G115" s="196">
        <v>2.2154780604854922E-2</v>
      </c>
      <c r="H115" s="190">
        <v>861746</v>
      </c>
      <c r="I115" s="196">
        <v>1.129605559570129E-2</v>
      </c>
      <c r="J115" s="190">
        <v>0</v>
      </c>
      <c r="K115" s="196">
        <v>0</v>
      </c>
    </row>
    <row r="116" spans="1:11" ht="20.25" hidden="1" customHeight="1" outlineLevel="1">
      <c r="A116" s="662"/>
      <c r="B116" s="636"/>
      <c r="C116" s="30" t="s">
        <v>368</v>
      </c>
      <c r="D116" s="190">
        <v>532110</v>
      </c>
      <c r="E116" s="197">
        <v>9.5910243109782432E-3</v>
      </c>
      <c r="F116" s="190">
        <v>430120</v>
      </c>
      <c r="G116" s="197">
        <v>5.8457133424289001E-3</v>
      </c>
      <c r="H116" s="190">
        <v>478726</v>
      </c>
      <c r="I116" s="197">
        <v>6.2753009716409423E-3</v>
      </c>
      <c r="J116" s="190">
        <v>0</v>
      </c>
      <c r="K116" s="197">
        <v>0</v>
      </c>
    </row>
    <row r="117" spans="1:11" ht="20.25" hidden="1" customHeight="1" outlineLevel="1">
      <c r="A117" s="663"/>
      <c r="B117" s="636"/>
      <c r="C117" s="30" t="s">
        <v>2010</v>
      </c>
      <c r="D117" s="190">
        <v>0</v>
      </c>
      <c r="E117" s="197">
        <v>0</v>
      </c>
      <c r="F117" s="190">
        <v>0</v>
      </c>
      <c r="G117" s="197">
        <v>0</v>
      </c>
      <c r="H117" s="190">
        <v>224220</v>
      </c>
      <c r="I117" s="197">
        <v>2.9391509628917839E-3</v>
      </c>
      <c r="J117" s="190">
        <v>0</v>
      </c>
      <c r="K117" s="197">
        <v>0</v>
      </c>
    </row>
    <row r="118" spans="1:11" ht="20.25" hidden="1" customHeight="1" outlineLevel="1">
      <c r="A118" s="663"/>
      <c r="B118" s="636"/>
      <c r="C118" s="30" t="s">
        <v>369</v>
      </c>
      <c r="D118" s="190">
        <v>20000</v>
      </c>
      <c r="E118" s="197">
        <v>3.6049028625578333E-4</v>
      </c>
      <c r="F118" s="190">
        <v>0</v>
      </c>
      <c r="G118" s="197">
        <v>0</v>
      </c>
      <c r="H118" s="190">
        <v>40000</v>
      </c>
      <c r="I118" s="197">
        <v>5.243334159114769E-4</v>
      </c>
      <c r="J118" s="190">
        <v>0</v>
      </c>
      <c r="K118" s="197">
        <v>0</v>
      </c>
    </row>
    <row r="119" spans="1:11" ht="20.25" hidden="1" customHeight="1" outlineLevel="1">
      <c r="A119" s="663"/>
      <c r="B119" s="636"/>
      <c r="C119" s="30" t="s">
        <v>2628</v>
      </c>
      <c r="D119" s="190">
        <v>0</v>
      </c>
      <c r="E119" s="197">
        <v>0</v>
      </c>
      <c r="F119" s="190">
        <v>1200000</v>
      </c>
      <c r="G119" s="197">
        <v>1.6309067262426022E-2</v>
      </c>
      <c r="H119" s="190">
        <v>0</v>
      </c>
      <c r="I119" s="197">
        <v>0</v>
      </c>
      <c r="J119" s="190">
        <v>0</v>
      </c>
      <c r="K119" s="197">
        <v>0</v>
      </c>
    </row>
    <row r="120" spans="1:11" ht="20.25" hidden="1" customHeight="1" outlineLevel="1">
      <c r="A120" s="662"/>
      <c r="B120" s="637"/>
      <c r="C120" s="30" t="s">
        <v>2629</v>
      </c>
      <c r="D120" s="190">
        <v>0</v>
      </c>
      <c r="E120" s="197">
        <v>0</v>
      </c>
      <c r="F120" s="190">
        <v>0</v>
      </c>
      <c r="G120" s="197">
        <v>0</v>
      </c>
      <c r="H120" s="190">
        <v>118800</v>
      </c>
      <c r="I120" s="197">
        <v>1.5572702452570865E-3</v>
      </c>
      <c r="J120" s="190">
        <v>0</v>
      </c>
      <c r="K120" s="197">
        <v>0</v>
      </c>
    </row>
    <row r="121" spans="1:11" ht="20.25" customHeight="1" collapsed="1">
      <c r="A121" s="662"/>
      <c r="B121" s="645" t="s">
        <v>370</v>
      </c>
      <c r="C121" s="65" t="s">
        <v>307</v>
      </c>
      <c r="D121" s="190">
        <v>5106000</v>
      </c>
      <c r="E121" s="196">
        <v>9.2033170081101484E-2</v>
      </c>
      <c r="F121" s="190">
        <v>6371900</v>
      </c>
      <c r="G121" s="196">
        <v>8.6599788074543632E-2</v>
      </c>
      <c r="H121" s="190">
        <v>6719883</v>
      </c>
      <c r="I121" s="196">
        <v>8.8086480197886577E-2</v>
      </c>
      <c r="J121" s="190">
        <v>1654200</v>
      </c>
      <c r="K121" s="196">
        <v>6.2652652399774217E-2</v>
      </c>
    </row>
    <row r="122" spans="1:11" ht="20.25" hidden="1" customHeight="1" outlineLevel="1">
      <c r="A122" s="662"/>
      <c r="B122" s="636"/>
      <c r="C122" s="30" t="s">
        <v>371</v>
      </c>
      <c r="D122" s="190">
        <v>4706000</v>
      </c>
      <c r="E122" s="197">
        <v>8.4823364355985822E-2</v>
      </c>
      <c r="F122" s="190">
        <v>6171900</v>
      </c>
      <c r="G122" s="197">
        <v>8.3881610197472631E-2</v>
      </c>
      <c r="H122" s="190">
        <v>6119883</v>
      </c>
      <c r="I122" s="197">
        <v>8.0221478959214429E-2</v>
      </c>
      <c r="J122" s="190">
        <v>1654200</v>
      </c>
      <c r="K122" s="197">
        <v>6.2652652399774217E-2</v>
      </c>
    </row>
    <row r="123" spans="1:11" ht="20.25" hidden="1" customHeight="1" outlineLevel="1">
      <c r="A123" s="662"/>
      <c r="B123" s="637"/>
      <c r="C123" s="30" t="s">
        <v>372</v>
      </c>
      <c r="D123" s="190">
        <v>400000</v>
      </c>
      <c r="E123" s="197">
        <v>7.2098057251156668E-3</v>
      </c>
      <c r="F123" s="190">
        <v>200000</v>
      </c>
      <c r="G123" s="197">
        <v>2.7181778770710035E-3</v>
      </c>
      <c r="H123" s="190">
        <v>600000</v>
      </c>
      <c r="I123" s="197">
        <v>7.8650012386721532E-3</v>
      </c>
      <c r="J123" s="190">
        <v>0</v>
      </c>
      <c r="K123" s="197">
        <v>0</v>
      </c>
    </row>
    <row r="124" spans="1:11" ht="20.25" customHeight="1" collapsed="1">
      <c r="A124" s="662"/>
      <c r="B124" s="645" t="s">
        <v>373</v>
      </c>
      <c r="C124" s="65" t="s">
        <v>307</v>
      </c>
      <c r="D124" s="190">
        <v>727667</v>
      </c>
      <c r="E124" s="196">
        <v>1.3115844256444355E-2</v>
      </c>
      <c r="F124" s="190">
        <v>850000</v>
      </c>
      <c r="G124" s="196">
        <v>1.1552255977551764E-2</v>
      </c>
      <c r="H124" s="190">
        <v>900000</v>
      </c>
      <c r="I124" s="196">
        <v>1.1797501858008231E-2</v>
      </c>
      <c r="J124" s="190">
        <v>200000</v>
      </c>
      <c r="K124" s="196">
        <v>7.5749791318793641E-3</v>
      </c>
    </row>
    <row r="125" spans="1:11" ht="20.25" hidden="1" customHeight="1" outlineLevel="1">
      <c r="A125" s="662"/>
      <c r="B125" s="636"/>
      <c r="C125" s="30" t="s">
        <v>374</v>
      </c>
      <c r="D125" s="190">
        <v>550000</v>
      </c>
      <c r="E125" s="197">
        <v>9.9134828720340417E-3</v>
      </c>
      <c r="F125" s="190">
        <v>850000</v>
      </c>
      <c r="G125" s="197">
        <v>1.1552255977551764E-2</v>
      </c>
      <c r="H125" s="190">
        <v>900000</v>
      </c>
      <c r="I125" s="197">
        <v>1.1797501858008231E-2</v>
      </c>
      <c r="J125" s="190">
        <v>200000</v>
      </c>
      <c r="K125" s="197">
        <v>7.5749791318793641E-3</v>
      </c>
    </row>
    <row r="126" spans="1:11" ht="20.25" hidden="1" customHeight="1" outlineLevel="1">
      <c r="A126" s="662"/>
      <c r="B126" s="637"/>
      <c r="C126" s="30" t="s">
        <v>375</v>
      </c>
      <c r="D126" s="190">
        <v>177667</v>
      </c>
      <c r="E126" s="197">
        <v>3.202361384410313E-3</v>
      </c>
      <c r="F126" s="190">
        <v>0</v>
      </c>
      <c r="G126" s="197">
        <v>0</v>
      </c>
      <c r="H126" s="190">
        <v>0</v>
      </c>
      <c r="I126" s="197">
        <v>0</v>
      </c>
      <c r="J126" s="190">
        <v>0</v>
      </c>
      <c r="K126" s="197">
        <v>0</v>
      </c>
    </row>
    <row r="127" spans="1:11" ht="20.25" customHeight="1" collapsed="1">
      <c r="A127" s="663"/>
      <c r="B127" s="645" t="s">
        <v>2630</v>
      </c>
      <c r="C127" s="65" t="s">
        <v>307</v>
      </c>
      <c r="D127" s="190">
        <v>0</v>
      </c>
      <c r="E127" s="196">
        <v>0</v>
      </c>
      <c r="F127" s="190">
        <v>1234072</v>
      </c>
      <c r="G127" s="196">
        <v>1.6772136045563837E-2</v>
      </c>
      <c r="H127" s="190">
        <v>1344492</v>
      </c>
      <c r="I127" s="196">
        <v>1.7624052075641335E-2</v>
      </c>
      <c r="J127" s="190">
        <v>0</v>
      </c>
      <c r="K127" s="196">
        <v>0</v>
      </c>
    </row>
    <row r="128" spans="1:11" ht="20.25" hidden="1" customHeight="1" outlineLevel="1">
      <c r="A128" s="663"/>
      <c r="B128" s="636"/>
      <c r="C128" s="30" t="s">
        <v>2631</v>
      </c>
      <c r="D128" s="190">
        <v>0</v>
      </c>
      <c r="E128" s="197">
        <v>0</v>
      </c>
      <c r="F128" s="190">
        <v>1150072</v>
      </c>
      <c r="G128" s="197">
        <v>1.5630501337194017E-2</v>
      </c>
      <c r="H128" s="190">
        <v>1344492</v>
      </c>
      <c r="I128" s="197">
        <v>1.7624052075641335E-2</v>
      </c>
      <c r="J128" s="190">
        <v>0</v>
      </c>
      <c r="K128" s="197">
        <v>0</v>
      </c>
    </row>
    <row r="129" spans="1:11" ht="20.25" hidden="1" customHeight="1" outlineLevel="1">
      <c r="A129" s="663"/>
      <c r="B129" s="646"/>
      <c r="C129" s="30" t="s">
        <v>2632</v>
      </c>
      <c r="D129" s="190">
        <v>0</v>
      </c>
      <c r="E129" s="197">
        <v>0</v>
      </c>
      <c r="F129" s="190">
        <v>84000</v>
      </c>
      <c r="G129" s="197">
        <v>1.1416347083698214E-3</v>
      </c>
      <c r="H129" s="190">
        <v>0</v>
      </c>
      <c r="I129" s="197">
        <v>0</v>
      </c>
      <c r="J129" s="190">
        <v>0</v>
      </c>
      <c r="K129" s="197">
        <v>0</v>
      </c>
    </row>
    <row r="130" spans="1:11" ht="20.25" customHeight="1" collapsed="1">
      <c r="A130" s="662"/>
      <c r="B130" s="645" t="s">
        <v>376</v>
      </c>
      <c r="C130" s="65" t="s">
        <v>307</v>
      </c>
      <c r="D130" s="190">
        <v>294650</v>
      </c>
      <c r="E130" s="196">
        <v>5.3109231422633282E-3</v>
      </c>
      <c r="F130" s="190">
        <v>6928770</v>
      </c>
      <c r="G130" s="196">
        <v>9.4168146646566281E-2</v>
      </c>
      <c r="H130" s="190">
        <v>1577420</v>
      </c>
      <c r="I130" s="196">
        <v>2.0677350423177043E-2</v>
      </c>
      <c r="J130" s="190">
        <v>60400</v>
      </c>
      <c r="K130" s="196">
        <v>2.2876436978275677E-3</v>
      </c>
    </row>
    <row r="131" spans="1:11" ht="20.25" hidden="1" customHeight="1" outlineLevel="1">
      <c r="A131" s="662"/>
      <c r="B131" s="636"/>
      <c r="C131" s="30" t="s">
        <v>377</v>
      </c>
      <c r="D131" s="190">
        <v>0</v>
      </c>
      <c r="E131" s="197">
        <v>0</v>
      </c>
      <c r="F131" s="190">
        <v>0</v>
      </c>
      <c r="G131" s="197">
        <v>0</v>
      </c>
      <c r="H131" s="190">
        <v>0</v>
      </c>
      <c r="I131" s="197">
        <v>0</v>
      </c>
      <c r="J131" s="190">
        <v>0</v>
      </c>
      <c r="K131" s="197">
        <v>0</v>
      </c>
    </row>
    <row r="132" spans="1:11" ht="20.25" hidden="1" customHeight="1" outlineLevel="1">
      <c r="A132" s="662"/>
      <c r="B132" s="636"/>
      <c r="C132" s="30" t="s">
        <v>378</v>
      </c>
      <c r="D132" s="190">
        <v>83000</v>
      </c>
      <c r="E132" s="197">
        <v>1.4960346879615007E-3</v>
      </c>
      <c r="F132" s="190">
        <v>0</v>
      </c>
      <c r="G132" s="197">
        <v>0</v>
      </c>
      <c r="H132" s="190">
        <v>0</v>
      </c>
      <c r="I132" s="197">
        <v>0</v>
      </c>
      <c r="J132" s="190">
        <v>0</v>
      </c>
      <c r="K132" s="197">
        <v>0</v>
      </c>
    </row>
    <row r="133" spans="1:11" ht="20.25" hidden="1" customHeight="1" outlineLevel="1">
      <c r="A133" s="662"/>
      <c r="B133" s="636"/>
      <c r="C133" s="30" t="s">
        <v>2633</v>
      </c>
      <c r="D133" s="190">
        <v>21000</v>
      </c>
      <c r="E133" s="197">
        <v>3.7851480056857247E-4</v>
      </c>
      <c r="F133" s="190">
        <v>44000</v>
      </c>
      <c r="G133" s="197">
        <v>5.9799913295562079E-4</v>
      </c>
      <c r="H133" s="190">
        <v>650000</v>
      </c>
      <c r="I133" s="197">
        <v>8.5204180085614988E-3</v>
      </c>
      <c r="J133" s="190">
        <v>0</v>
      </c>
      <c r="K133" s="197">
        <v>0</v>
      </c>
    </row>
    <row r="134" spans="1:11" ht="20.25" hidden="1" customHeight="1" outlineLevel="1">
      <c r="A134" s="662"/>
      <c r="B134" s="636"/>
      <c r="C134" s="30" t="s">
        <v>379</v>
      </c>
      <c r="D134" s="190">
        <v>180000</v>
      </c>
      <c r="E134" s="197">
        <v>3.2444125763020498E-3</v>
      </c>
      <c r="F134" s="190">
        <v>0</v>
      </c>
      <c r="G134" s="197">
        <v>0</v>
      </c>
      <c r="H134" s="190">
        <v>364000</v>
      </c>
      <c r="I134" s="197">
        <v>4.7714340847944394E-3</v>
      </c>
      <c r="J134" s="190">
        <v>0</v>
      </c>
      <c r="K134" s="197">
        <v>0</v>
      </c>
    </row>
    <row r="135" spans="1:11" ht="20.25" hidden="1" customHeight="1" outlineLevel="1">
      <c r="A135" s="663"/>
      <c r="B135" s="636"/>
      <c r="C135" s="30" t="s">
        <v>2634</v>
      </c>
      <c r="D135" s="190">
        <v>0</v>
      </c>
      <c r="E135" s="197">
        <v>0</v>
      </c>
      <c r="F135" s="190">
        <v>20000</v>
      </c>
      <c r="G135" s="197">
        <v>2.7181778770710033E-4</v>
      </c>
      <c r="H135" s="190">
        <v>240000</v>
      </c>
      <c r="I135" s="197">
        <v>3.1460004954688612E-3</v>
      </c>
      <c r="J135" s="190">
        <v>60000</v>
      </c>
      <c r="K135" s="197">
        <v>2.2724937395638091E-3</v>
      </c>
    </row>
    <row r="136" spans="1:11" ht="20.25" hidden="1" customHeight="1" outlineLevel="1">
      <c r="A136" s="662"/>
      <c r="B136" s="637"/>
      <c r="C136" s="30" t="s">
        <v>380</v>
      </c>
      <c r="D136" s="190">
        <v>10650</v>
      </c>
      <c r="E136" s="197">
        <v>1.9196107743120461E-4</v>
      </c>
      <c r="F136" s="190">
        <v>6864770</v>
      </c>
      <c r="G136" s="197">
        <v>9.3298329725903559E-2</v>
      </c>
      <c r="H136" s="190">
        <v>323420</v>
      </c>
      <c r="I136" s="197">
        <v>4.2394978343522462E-3</v>
      </c>
      <c r="J136" s="190">
        <v>400</v>
      </c>
      <c r="K136" s="197">
        <v>1.5149958263758729E-5</v>
      </c>
    </row>
    <row r="137" spans="1:11" ht="20.25" customHeight="1" collapsed="1">
      <c r="A137" s="638" t="s">
        <v>381</v>
      </c>
      <c r="B137" s="67"/>
      <c r="C137" s="328" t="s">
        <v>2635</v>
      </c>
      <c r="D137" s="193">
        <v>11225415</v>
      </c>
      <c r="E137" s="196">
        <v>0.20233265333449821</v>
      </c>
      <c r="F137" s="193">
        <v>17845888</v>
      </c>
      <c r="G137" s="196">
        <v>0.24254148979143447</v>
      </c>
      <c r="H137" s="193">
        <v>18592896</v>
      </c>
      <c r="I137" s="196">
        <v>0.24372191678417088</v>
      </c>
      <c r="J137" s="193">
        <v>8200000</v>
      </c>
      <c r="K137" s="196">
        <v>0.31057414440705394</v>
      </c>
    </row>
    <row r="138" spans="1:11" ht="20.25" customHeight="1">
      <c r="A138" s="639"/>
      <c r="B138" s="640" t="s">
        <v>2879</v>
      </c>
      <c r="C138" s="641"/>
      <c r="D138" s="190">
        <v>11225415</v>
      </c>
      <c r="E138" s="197">
        <v>0.20233265333449821</v>
      </c>
      <c r="F138" s="190">
        <v>17845888</v>
      </c>
      <c r="G138" s="197">
        <v>0.24254148979143447</v>
      </c>
      <c r="H138" s="190">
        <v>18592896</v>
      </c>
      <c r="I138" s="197">
        <v>0.24372191678417088</v>
      </c>
      <c r="J138" s="190">
        <v>8200000</v>
      </c>
      <c r="K138" s="197">
        <v>0.31057414440705394</v>
      </c>
    </row>
    <row r="139" spans="1:11" ht="20.25" customHeight="1">
      <c r="A139" s="659" t="s">
        <v>2788</v>
      </c>
      <c r="B139" s="332"/>
      <c r="C139" s="346" t="s">
        <v>2789</v>
      </c>
      <c r="D139" s="193">
        <v>0</v>
      </c>
      <c r="E139" s="196">
        <v>0</v>
      </c>
      <c r="F139" s="193">
        <v>0</v>
      </c>
      <c r="G139" s="196">
        <v>0</v>
      </c>
      <c r="H139" s="193">
        <v>5000000</v>
      </c>
      <c r="I139" s="196">
        <v>6.5541676988934608E-2</v>
      </c>
      <c r="J139" s="193">
        <v>5000000</v>
      </c>
      <c r="K139" s="196">
        <v>0.18937447829698409</v>
      </c>
    </row>
    <row r="140" spans="1:11" ht="20.25" customHeight="1">
      <c r="A140" s="661"/>
      <c r="B140" s="640" t="s">
        <v>2790</v>
      </c>
      <c r="C140" s="641"/>
      <c r="D140" s="190">
        <v>0</v>
      </c>
      <c r="E140" s="197">
        <v>0</v>
      </c>
      <c r="F140" s="190">
        <v>0</v>
      </c>
      <c r="G140" s="197">
        <v>0</v>
      </c>
      <c r="H140" s="190">
        <v>5000000</v>
      </c>
      <c r="I140" s="197">
        <v>6.5541676988934608E-2</v>
      </c>
      <c r="J140" s="190">
        <v>5000000</v>
      </c>
      <c r="K140" s="197">
        <v>0.18937447829698409</v>
      </c>
    </row>
    <row r="141" spans="1:11" ht="20.25" customHeight="1">
      <c r="A141" s="657" t="s">
        <v>2791</v>
      </c>
      <c r="B141" s="335"/>
      <c r="C141" s="347" t="s">
        <v>2792</v>
      </c>
      <c r="D141" s="193">
        <v>0</v>
      </c>
      <c r="E141" s="196">
        <v>0</v>
      </c>
      <c r="F141" s="193">
        <v>0</v>
      </c>
      <c r="G141" s="196">
        <v>0</v>
      </c>
      <c r="H141" s="193">
        <v>2000200</v>
      </c>
      <c r="I141" s="196">
        <v>2.6219292462653403E-2</v>
      </c>
      <c r="J141" s="193">
        <v>0</v>
      </c>
      <c r="K141" s="196">
        <v>0</v>
      </c>
    </row>
    <row r="142" spans="1:11" ht="20.25" customHeight="1">
      <c r="A142" s="658"/>
      <c r="B142" s="640" t="s">
        <v>2793</v>
      </c>
      <c r="C142" s="641"/>
      <c r="D142" s="190">
        <v>0</v>
      </c>
      <c r="E142" s="197">
        <v>0</v>
      </c>
      <c r="F142" s="190">
        <v>0</v>
      </c>
      <c r="G142" s="197">
        <v>0</v>
      </c>
      <c r="H142" s="190">
        <v>2000200</v>
      </c>
      <c r="I142" s="197">
        <v>2.6219292462653403E-2</v>
      </c>
      <c r="J142" s="190">
        <v>0</v>
      </c>
      <c r="K142" s="197">
        <v>0</v>
      </c>
    </row>
    <row r="143" spans="1:11">
      <c r="A143" s="204"/>
      <c r="B143" s="204"/>
      <c r="C143" s="204"/>
      <c r="D143" s="218"/>
      <c r="E143" s="218"/>
      <c r="F143" s="218"/>
      <c r="G143" s="218"/>
      <c r="H143" s="218"/>
      <c r="I143" s="218"/>
    </row>
    <row r="144" spans="1:11">
      <c r="A144" s="204"/>
      <c r="B144" s="204"/>
      <c r="C144" s="204"/>
      <c r="D144" s="218"/>
      <c r="E144" s="218"/>
      <c r="F144" s="218"/>
      <c r="G144" s="218"/>
      <c r="H144" s="218"/>
      <c r="I144" s="218"/>
    </row>
    <row r="145" spans="1:9">
      <c r="A145" s="204"/>
      <c r="B145" s="204"/>
      <c r="C145" s="204"/>
      <c r="D145" s="218"/>
      <c r="E145" s="218"/>
      <c r="F145" s="218"/>
      <c r="G145" s="218"/>
      <c r="H145" s="218"/>
      <c r="I145" s="218"/>
    </row>
    <row r="146" spans="1:9">
      <c r="A146" s="204"/>
      <c r="B146" s="204"/>
      <c r="C146" s="204"/>
      <c r="D146" s="218"/>
      <c r="E146" s="218"/>
      <c r="F146" s="218"/>
      <c r="G146" s="218"/>
      <c r="H146" s="218"/>
      <c r="I146" s="218"/>
    </row>
    <row r="147" spans="1:9" s="331" customFormat="1">
      <c r="A147" s="204"/>
      <c r="B147" s="204"/>
      <c r="C147" s="204"/>
      <c r="D147" s="218"/>
      <c r="E147" s="218"/>
      <c r="F147" s="218"/>
      <c r="G147" s="218"/>
      <c r="H147" s="218"/>
      <c r="I147" s="218"/>
    </row>
    <row r="148" spans="1:9" s="331" customFormat="1">
      <c r="A148" s="204"/>
      <c r="B148" s="204"/>
      <c r="C148" s="204"/>
      <c r="D148" s="218"/>
      <c r="E148" s="218"/>
      <c r="F148" s="218"/>
      <c r="G148" s="218"/>
      <c r="H148" s="218"/>
      <c r="I148" s="218"/>
    </row>
    <row r="149" spans="1:9" s="331" customFormat="1">
      <c r="A149" s="204"/>
      <c r="B149" s="204"/>
      <c r="C149" s="204"/>
      <c r="D149" s="218"/>
      <c r="E149" s="218"/>
      <c r="F149" s="218"/>
      <c r="G149" s="218"/>
      <c r="H149" s="218"/>
      <c r="I149" s="218"/>
    </row>
    <row r="150" spans="1:9" s="331" customFormat="1">
      <c r="A150" s="204"/>
      <c r="B150" s="204"/>
      <c r="C150" s="204"/>
      <c r="D150" s="218"/>
      <c r="E150" s="218"/>
      <c r="F150" s="218"/>
      <c r="G150" s="218"/>
      <c r="H150" s="218"/>
      <c r="I150" s="218"/>
    </row>
    <row r="151" spans="1:9" s="331" customFormat="1">
      <c r="A151" s="204"/>
      <c r="B151" s="204"/>
      <c r="C151" s="204"/>
      <c r="D151" s="218"/>
      <c r="E151" s="218"/>
      <c r="F151" s="218"/>
      <c r="G151" s="218"/>
      <c r="H151" s="218"/>
      <c r="I151" s="218"/>
    </row>
    <row r="152" spans="1:9" s="331" customFormat="1">
      <c r="A152" s="204"/>
      <c r="B152" s="204"/>
      <c r="C152" s="204"/>
      <c r="D152" s="218"/>
      <c r="E152" s="218"/>
      <c r="F152" s="218"/>
      <c r="G152" s="218"/>
      <c r="H152" s="218"/>
      <c r="I152" s="218"/>
    </row>
    <row r="153" spans="1:9" s="331" customFormat="1">
      <c r="A153" s="204"/>
      <c r="B153" s="204"/>
      <c r="C153" s="204"/>
      <c r="D153" s="218"/>
      <c r="E153" s="218"/>
      <c r="F153" s="218"/>
      <c r="G153" s="218"/>
      <c r="H153" s="218"/>
      <c r="I153" s="218"/>
    </row>
    <row r="154" spans="1:9" s="331" customFormat="1">
      <c r="A154" s="204"/>
      <c r="B154" s="204"/>
      <c r="C154" s="204"/>
      <c r="D154" s="218"/>
      <c r="E154" s="218"/>
      <c r="F154" s="218"/>
      <c r="G154" s="218"/>
      <c r="H154" s="218"/>
      <c r="I154" s="218"/>
    </row>
    <row r="155" spans="1:9" s="331" customFormat="1">
      <c r="A155" s="204"/>
      <c r="B155" s="204"/>
      <c r="C155" s="204"/>
      <c r="D155" s="218"/>
      <c r="E155" s="218"/>
      <c r="F155" s="218"/>
      <c r="G155" s="218"/>
      <c r="H155" s="218"/>
      <c r="I155" s="218"/>
    </row>
    <row r="156" spans="1:9" s="331" customFormat="1">
      <c r="A156" s="204"/>
      <c r="B156" s="204"/>
      <c r="C156" s="204"/>
      <c r="D156" s="218"/>
      <c r="E156" s="218"/>
      <c r="F156" s="218"/>
      <c r="G156" s="218"/>
      <c r="H156" s="218"/>
      <c r="I156" s="218"/>
    </row>
    <row r="157" spans="1:9" s="331" customFormat="1">
      <c r="A157" s="204"/>
      <c r="B157" s="204"/>
      <c r="C157" s="204"/>
      <c r="D157" s="218"/>
      <c r="E157" s="218"/>
      <c r="F157" s="218"/>
      <c r="G157" s="218"/>
      <c r="H157" s="218"/>
      <c r="I157" s="218"/>
    </row>
    <row r="158" spans="1:9" s="331" customFormat="1">
      <c r="A158" s="204"/>
      <c r="B158" s="204"/>
      <c r="C158" s="204"/>
      <c r="D158" s="218"/>
      <c r="E158" s="218"/>
      <c r="F158" s="218"/>
      <c r="G158" s="218"/>
      <c r="H158" s="218"/>
      <c r="I158" s="218"/>
    </row>
    <row r="159" spans="1:9" s="331" customFormat="1">
      <c r="A159" s="204"/>
      <c r="B159" s="204"/>
      <c r="C159" s="204"/>
      <c r="D159" s="218"/>
      <c r="E159" s="218"/>
      <c r="F159" s="218"/>
      <c r="G159" s="218"/>
      <c r="H159" s="218"/>
      <c r="I159" s="218"/>
    </row>
    <row r="160" spans="1:9" s="331" customFormat="1">
      <c r="A160" s="204"/>
      <c r="B160" s="204"/>
      <c r="C160" s="204"/>
      <c r="D160" s="218"/>
      <c r="E160" s="218"/>
      <c r="F160" s="218"/>
      <c r="G160" s="218"/>
      <c r="H160" s="218"/>
      <c r="I160" s="218"/>
    </row>
    <row r="161" spans="1:9" s="331" customFormat="1">
      <c r="A161" s="204"/>
      <c r="B161" s="204"/>
      <c r="C161" s="204"/>
      <c r="D161" s="218"/>
      <c r="E161" s="218"/>
      <c r="F161" s="218"/>
      <c r="G161" s="218"/>
      <c r="H161" s="218"/>
      <c r="I161" s="218"/>
    </row>
    <row r="162" spans="1:9" s="331" customFormat="1">
      <c r="A162" s="204"/>
      <c r="B162" s="204"/>
      <c r="C162" s="204"/>
      <c r="D162" s="218"/>
      <c r="E162" s="218"/>
      <c r="F162" s="218"/>
      <c r="G162" s="218"/>
      <c r="H162" s="218"/>
      <c r="I162" s="218"/>
    </row>
    <row r="163" spans="1:9" s="331" customFormat="1">
      <c r="A163" s="204"/>
      <c r="B163" s="204"/>
      <c r="C163" s="204"/>
      <c r="D163" s="218"/>
      <c r="E163" s="218"/>
      <c r="F163" s="218"/>
      <c r="G163" s="218"/>
      <c r="H163" s="218"/>
      <c r="I163" s="218"/>
    </row>
    <row r="164" spans="1:9" s="331" customFormat="1">
      <c r="A164" s="204"/>
      <c r="B164" s="204"/>
      <c r="C164" s="204"/>
      <c r="D164" s="218"/>
      <c r="E164" s="218"/>
      <c r="F164" s="218"/>
      <c r="G164" s="218"/>
      <c r="H164" s="218"/>
      <c r="I164" s="218"/>
    </row>
    <row r="165" spans="1:9" s="331" customFormat="1">
      <c r="A165" s="204"/>
      <c r="B165" s="204"/>
      <c r="C165" s="204"/>
      <c r="D165" s="218"/>
      <c r="E165" s="218"/>
      <c r="F165" s="218"/>
      <c r="G165" s="218"/>
      <c r="H165" s="218"/>
      <c r="I165" s="218"/>
    </row>
    <row r="166" spans="1:9" s="331" customFormat="1">
      <c r="A166" s="204"/>
      <c r="B166" s="204"/>
      <c r="C166" s="204"/>
      <c r="D166" s="218"/>
      <c r="E166" s="218"/>
      <c r="F166" s="218"/>
      <c r="G166" s="218"/>
      <c r="H166" s="218"/>
      <c r="I166" s="218"/>
    </row>
    <row r="167" spans="1:9" s="331" customFormat="1">
      <c r="A167" s="204"/>
      <c r="B167" s="204"/>
      <c r="C167" s="204"/>
      <c r="D167" s="218"/>
      <c r="E167" s="218"/>
      <c r="F167" s="218"/>
      <c r="G167" s="218"/>
      <c r="H167" s="218"/>
      <c r="I167" s="218"/>
    </row>
    <row r="168" spans="1:9" s="331" customFormat="1">
      <c r="A168" s="204"/>
      <c r="B168" s="204"/>
      <c r="C168" s="204"/>
      <c r="D168" s="218"/>
      <c r="E168" s="218"/>
      <c r="F168" s="218"/>
      <c r="G168" s="218"/>
      <c r="H168" s="218"/>
      <c r="I168" s="218"/>
    </row>
    <row r="169" spans="1:9" s="331" customFormat="1">
      <c r="A169" s="204"/>
      <c r="B169" s="204"/>
      <c r="C169" s="204"/>
      <c r="D169" s="218"/>
      <c r="E169" s="218"/>
      <c r="F169" s="218"/>
      <c r="G169" s="218"/>
      <c r="H169" s="218"/>
      <c r="I169" s="218"/>
    </row>
    <row r="170" spans="1:9" s="331" customFormat="1">
      <c r="A170" s="204"/>
      <c r="B170" s="204"/>
      <c r="C170" s="204"/>
      <c r="D170" s="218"/>
      <c r="E170" s="218"/>
      <c r="F170" s="218"/>
      <c r="G170" s="218"/>
      <c r="H170" s="218"/>
      <c r="I170" s="218"/>
    </row>
    <row r="171" spans="1:9" s="331" customFormat="1">
      <c r="A171" s="204"/>
      <c r="B171" s="204"/>
      <c r="C171" s="204"/>
      <c r="D171" s="218"/>
      <c r="E171" s="218"/>
      <c r="F171" s="218"/>
      <c r="G171" s="218"/>
      <c r="H171" s="218"/>
      <c r="I171" s="218"/>
    </row>
    <row r="172" spans="1:9" s="331" customFormat="1">
      <c r="A172" s="204"/>
      <c r="B172" s="204"/>
      <c r="C172" s="204"/>
      <c r="D172" s="218"/>
      <c r="E172" s="218"/>
      <c r="F172" s="218"/>
      <c r="G172" s="218"/>
      <c r="H172" s="218"/>
      <c r="I172" s="218"/>
    </row>
    <row r="173" spans="1:9" s="331" customFormat="1">
      <c r="A173" s="204"/>
      <c r="B173" s="204"/>
      <c r="C173" s="204"/>
      <c r="D173" s="218"/>
      <c r="E173" s="218"/>
      <c r="F173" s="218"/>
      <c r="G173" s="218"/>
      <c r="H173" s="218"/>
      <c r="I173" s="218"/>
    </row>
    <row r="174" spans="1:9" s="331" customFormat="1">
      <c r="A174" s="204"/>
      <c r="B174" s="204"/>
      <c r="C174" s="204"/>
      <c r="D174" s="218"/>
      <c r="E174" s="218"/>
      <c r="F174" s="218"/>
      <c r="G174" s="218"/>
      <c r="H174" s="218"/>
      <c r="I174" s="218"/>
    </row>
    <row r="175" spans="1:9" s="331" customFormat="1">
      <c r="A175" s="204"/>
      <c r="B175" s="204"/>
      <c r="C175" s="204"/>
      <c r="D175" s="218"/>
      <c r="E175" s="218"/>
      <c r="F175" s="218"/>
      <c r="G175" s="218"/>
      <c r="H175" s="218"/>
      <c r="I175" s="218"/>
    </row>
    <row r="176" spans="1:9" s="331" customFormat="1">
      <c r="A176" s="204"/>
      <c r="B176" s="204"/>
      <c r="C176" s="204"/>
      <c r="D176" s="218"/>
      <c r="E176" s="218"/>
      <c r="F176" s="218"/>
      <c r="G176" s="218"/>
      <c r="H176" s="218"/>
      <c r="I176" s="218"/>
    </row>
    <row r="177" spans="1:9" s="331" customFormat="1">
      <c r="A177" s="204"/>
      <c r="B177" s="204"/>
      <c r="C177" s="204"/>
      <c r="D177" s="218"/>
      <c r="E177" s="218"/>
      <c r="F177" s="218"/>
      <c r="G177" s="218"/>
      <c r="H177" s="218"/>
      <c r="I177" s="218"/>
    </row>
    <row r="178" spans="1:9" s="331" customFormat="1">
      <c r="A178" s="204"/>
      <c r="B178" s="204"/>
      <c r="C178" s="204"/>
      <c r="D178" s="218"/>
      <c r="E178" s="218"/>
      <c r="F178" s="218"/>
      <c r="G178" s="218"/>
      <c r="H178" s="218"/>
      <c r="I178" s="218"/>
    </row>
    <row r="179" spans="1:9" s="331" customFormat="1">
      <c r="A179" s="204"/>
      <c r="B179" s="204"/>
      <c r="C179" s="204"/>
      <c r="D179" s="218"/>
      <c r="E179" s="218"/>
      <c r="F179" s="218"/>
      <c r="G179" s="218"/>
      <c r="H179" s="218"/>
      <c r="I179" s="218"/>
    </row>
    <row r="180" spans="1:9" s="331" customFormat="1">
      <c r="A180" s="204"/>
      <c r="B180" s="204"/>
      <c r="C180" s="204"/>
      <c r="D180" s="218"/>
      <c r="E180" s="218"/>
      <c r="F180" s="218"/>
      <c r="G180" s="218"/>
      <c r="H180" s="218"/>
      <c r="I180" s="218"/>
    </row>
    <row r="181" spans="1:9" s="331" customFormat="1">
      <c r="A181" s="204"/>
      <c r="B181" s="204"/>
      <c r="C181" s="204"/>
      <c r="D181" s="218"/>
      <c r="E181" s="218"/>
      <c r="F181" s="218"/>
      <c r="G181" s="218"/>
      <c r="H181" s="218"/>
      <c r="I181" s="218"/>
    </row>
    <row r="182" spans="1:9" s="331" customFormat="1">
      <c r="A182" s="204"/>
      <c r="B182" s="204"/>
      <c r="C182" s="204"/>
      <c r="D182" s="218"/>
      <c r="E182" s="218"/>
      <c r="F182" s="218"/>
      <c r="G182" s="218"/>
      <c r="H182" s="218"/>
      <c r="I182" s="218"/>
    </row>
    <row r="183" spans="1:9" s="331" customFormat="1">
      <c r="A183" s="204"/>
      <c r="B183" s="204"/>
      <c r="C183" s="204"/>
      <c r="D183" s="218"/>
      <c r="E183" s="218"/>
      <c r="F183" s="218"/>
      <c r="G183" s="218"/>
      <c r="H183" s="218"/>
      <c r="I183" s="218"/>
    </row>
    <row r="184" spans="1:9" s="331" customFormat="1">
      <c r="A184" s="204"/>
      <c r="B184" s="204"/>
      <c r="C184" s="204"/>
      <c r="D184" s="218"/>
      <c r="E184" s="218"/>
      <c r="F184" s="218"/>
      <c r="G184" s="218"/>
      <c r="H184" s="218"/>
      <c r="I184" s="218"/>
    </row>
    <row r="185" spans="1:9" s="331" customFormat="1">
      <c r="A185" s="204"/>
      <c r="B185" s="204"/>
      <c r="C185" s="204"/>
      <c r="D185" s="218"/>
      <c r="E185" s="218"/>
      <c r="F185" s="218"/>
      <c r="G185" s="218"/>
      <c r="H185" s="218"/>
      <c r="I185" s="218"/>
    </row>
    <row r="186" spans="1:9" s="331" customFormat="1">
      <c r="A186" s="204"/>
      <c r="B186" s="204"/>
      <c r="C186" s="204"/>
      <c r="D186" s="218"/>
      <c r="E186" s="218"/>
      <c r="F186" s="218"/>
      <c r="G186" s="218"/>
      <c r="H186" s="218"/>
      <c r="I186" s="218"/>
    </row>
    <row r="187" spans="1:9" s="331" customFormat="1">
      <c r="A187" s="204"/>
      <c r="B187" s="204"/>
      <c r="C187" s="204"/>
      <c r="D187" s="218"/>
      <c r="E187" s="218"/>
      <c r="F187" s="218"/>
      <c r="G187" s="218"/>
      <c r="H187" s="218"/>
      <c r="I187" s="218"/>
    </row>
    <row r="188" spans="1:9" s="331" customFormat="1">
      <c r="A188" s="204"/>
      <c r="B188" s="204"/>
      <c r="C188" s="204"/>
      <c r="D188" s="218"/>
      <c r="E188" s="218"/>
      <c r="F188" s="218"/>
      <c r="G188" s="218"/>
      <c r="H188" s="218"/>
      <c r="I188" s="218"/>
    </row>
    <row r="189" spans="1:9" s="331" customFormat="1">
      <c r="A189" s="204"/>
      <c r="B189" s="204"/>
      <c r="C189" s="204"/>
      <c r="D189" s="218"/>
      <c r="E189" s="218"/>
      <c r="F189" s="218"/>
      <c r="G189" s="218"/>
      <c r="H189" s="218"/>
      <c r="I189" s="218"/>
    </row>
    <row r="190" spans="1:9" s="331" customFormat="1">
      <c r="A190" s="204"/>
      <c r="B190" s="204"/>
      <c r="C190" s="204"/>
      <c r="D190" s="218"/>
      <c r="E190" s="218"/>
      <c r="F190" s="218"/>
      <c r="G190" s="218"/>
      <c r="H190" s="218"/>
      <c r="I190" s="218"/>
    </row>
    <row r="191" spans="1:9" s="331" customFormat="1">
      <c r="A191" s="204"/>
      <c r="B191" s="204"/>
      <c r="C191" s="204"/>
      <c r="D191" s="218"/>
      <c r="E191" s="218"/>
      <c r="F191" s="218"/>
      <c r="G191" s="218"/>
      <c r="H191" s="218"/>
      <c r="I191" s="218"/>
    </row>
    <row r="192" spans="1:9" s="331" customFormat="1">
      <c r="A192" s="204"/>
      <c r="B192" s="204"/>
      <c r="C192" s="204"/>
      <c r="D192" s="218"/>
      <c r="E192" s="218"/>
      <c r="F192" s="218"/>
      <c r="G192" s="218"/>
      <c r="H192" s="218"/>
      <c r="I192" s="218"/>
    </row>
    <row r="193" spans="1:9" s="331" customFormat="1">
      <c r="A193" s="204"/>
      <c r="B193" s="204"/>
      <c r="C193" s="204"/>
      <c r="D193" s="218"/>
      <c r="E193" s="218"/>
      <c r="F193" s="218"/>
      <c r="G193" s="218"/>
      <c r="H193" s="218"/>
      <c r="I193" s="218"/>
    </row>
    <row r="194" spans="1:9" s="331" customFormat="1">
      <c r="A194" s="204"/>
      <c r="B194" s="204"/>
      <c r="C194" s="204"/>
      <c r="D194" s="218"/>
      <c r="E194" s="218"/>
      <c r="F194" s="218"/>
      <c r="G194" s="218"/>
      <c r="H194" s="218"/>
      <c r="I194" s="218"/>
    </row>
    <row r="195" spans="1:9" s="331" customFormat="1">
      <c r="A195" s="204"/>
      <c r="B195" s="204"/>
      <c r="C195" s="204"/>
      <c r="D195" s="218"/>
      <c r="E195" s="218"/>
      <c r="F195" s="218"/>
      <c r="G195" s="218"/>
      <c r="H195" s="218"/>
      <c r="I195" s="218"/>
    </row>
    <row r="196" spans="1:9" s="331" customFormat="1">
      <c r="A196" s="204"/>
      <c r="B196" s="204"/>
      <c r="C196" s="204"/>
      <c r="D196" s="218"/>
      <c r="E196" s="218"/>
      <c r="F196" s="218"/>
      <c r="G196" s="218"/>
      <c r="H196" s="218"/>
      <c r="I196" s="218"/>
    </row>
    <row r="197" spans="1:9" s="331" customFormat="1">
      <c r="A197" s="204"/>
      <c r="B197" s="204"/>
      <c r="C197" s="204"/>
      <c r="D197" s="218"/>
      <c r="E197" s="218"/>
      <c r="F197" s="218"/>
      <c r="G197" s="218"/>
      <c r="H197" s="218"/>
      <c r="I197" s="218"/>
    </row>
    <row r="198" spans="1:9" s="331" customFormat="1">
      <c r="A198" s="204"/>
      <c r="B198" s="204"/>
      <c r="C198" s="204"/>
      <c r="D198" s="218"/>
      <c r="E198" s="218"/>
      <c r="F198" s="218"/>
      <c r="G198" s="218"/>
      <c r="H198" s="218"/>
      <c r="I198" s="218"/>
    </row>
    <row r="199" spans="1:9" s="331" customFormat="1">
      <c r="A199" s="204"/>
      <c r="B199" s="204"/>
      <c r="C199" s="204"/>
      <c r="D199" s="218"/>
      <c r="E199" s="218"/>
      <c r="F199" s="218"/>
      <c r="G199" s="218"/>
      <c r="H199" s="218"/>
      <c r="I199" s="218"/>
    </row>
    <row r="200" spans="1:9" s="331" customFormat="1">
      <c r="A200" s="204"/>
      <c r="B200" s="204"/>
      <c r="C200" s="204"/>
      <c r="D200" s="218"/>
      <c r="E200" s="218"/>
      <c r="F200" s="218"/>
      <c r="G200" s="218"/>
      <c r="H200" s="218"/>
      <c r="I200" s="218"/>
    </row>
    <row r="201" spans="1:9" s="331" customFormat="1">
      <c r="A201" s="204"/>
      <c r="B201" s="204"/>
      <c r="C201" s="204"/>
      <c r="D201" s="218"/>
      <c r="E201" s="218"/>
      <c r="F201" s="218"/>
      <c r="G201" s="218"/>
      <c r="H201" s="218"/>
      <c r="I201" s="218"/>
    </row>
    <row r="202" spans="1:9" s="331" customFormat="1">
      <c r="A202" s="204"/>
      <c r="B202" s="204"/>
      <c r="C202" s="204"/>
      <c r="D202" s="218"/>
      <c r="E202" s="218"/>
      <c r="F202" s="218"/>
      <c r="G202" s="218"/>
      <c r="H202" s="218"/>
      <c r="I202" s="218"/>
    </row>
    <row r="203" spans="1:9" s="331" customFormat="1">
      <c r="A203" s="204"/>
      <c r="B203" s="204"/>
      <c r="C203" s="204"/>
      <c r="D203" s="218"/>
      <c r="E203" s="218"/>
      <c r="F203" s="218"/>
      <c r="G203" s="218"/>
      <c r="H203" s="218"/>
      <c r="I203" s="218"/>
    </row>
    <row r="204" spans="1:9" s="331" customFormat="1">
      <c r="A204" s="204"/>
      <c r="B204" s="204"/>
      <c r="C204" s="204"/>
      <c r="D204" s="218"/>
      <c r="E204" s="218"/>
      <c r="F204" s="218"/>
      <c r="G204" s="218"/>
      <c r="H204" s="218"/>
      <c r="I204" s="218"/>
    </row>
    <row r="205" spans="1:9" s="331" customFormat="1">
      <c r="A205" s="204"/>
      <c r="B205" s="204"/>
      <c r="C205" s="204"/>
      <c r="D205" s="218"/>
      <c r="E205" s="218"/>
      <c r="F205" s="218"/>
      <c r="G205" s="218"/>
      <c r="H205" s="218"/>
      <c r="I205" s="218"/>
    </row>
    <row r="206" spans="1:9" s="331" customFormat="1">
      <c r="A206" s="204"/>
      <c r="B206" s="204"/>
      <c r="C206" s="204"/>
      <c r="D206" s="218"/>
      <c r="E206" s="218"/>
      <c r="F206" s="218"/>
      <c r="G206" s="218"/>
      <c r="H206" s="218"/>
      <c r="I206" s="218"/>
    </row>
    <row r="207" spans="1:9" s="331" customFormat="1">
      <c r="A207" s="204"/>
      <c r="B207" s="204"/>
      <c r="C207" s="204"/>
      <c r="D207" s="218"/>
      <c r="E207" s="218"/>
      <c r="F207" s="218"/>
      <c r="G207" s="218"/>
      <c r="H207" s="218"/>
      <c r="I207" s="218"/>
    </row>
    <row r="208" spans="1:9" s="331" customFormat="1">
      <c r="A208" s="204"/>
      <c r="B208" s="204"/>
      <c r="C208" s="204"/>
      <c r="D208" s="218"/>
      <c r="E208" s="218"/>
      <c r="F208" s="218"/>
      <c r="G208" s="218"/>
      <c r="H208" s="218"/>
      <c r="I208" s="218"/>
    </row>
    <row r="209" spans="1:9" s="331" customFormat="1">
      <c r="A209" s="204"/>
      <c r="B209" s="204"/>
      <c r="C209" s="204"/>
      <c r="D209" s="218"/>
      <c r="E209" s="218"/>
      <c r="F209" s="218"/>
      <c r="G209" s="218"/>
      <c r="H209" s="218"/>
      <c r="I209" s="218"/>
    </row>
    <row r="210" spans="1:9" s="331" customFormat="1">
      <c r="A210" s="204"/>
      <c r="B210" s="204"/>
      <c r="C210" s="204"/>
      <c r="D210" s="218"/>
      <c r="E210" s="218"/>
      <c r="F210" s="218"/>
      <c r="G210" s="218"/>
      <c r="H210" s="218"/>
      <c r="I210" s="218"/>
    </row>
    <row r="211" spans="1:9" s="331" customFormat="1">
      <c r="A211" s="204"/>
      <c r="B211" s="204"/>
      <c r="C211" s="204"/>
      <c r="D211" s="218"/>
      <c r="E211" s="218"/>
      <c r="F211" s="218"/>
      <c r="G211" s="218"/>
      <c r="H211" s="218"/>
      <c r="I211" s="218"/>
    </row>
    <row r="212" spans="1:9" s="331" customFormat="1">
      <c r="A212" s="204"/>
      <c r="B212" s="204"/>
      <c r="C212" s="204"/>
      <c r="D212" s="218"/>
      <c r="E212" s="218"/>
      <c r="F212" s="218"/>
      <c r="G212" s="218"/>
      <c r="H212" s="218"/>
      <c r="I212" s="218"/>
    </row>
    <row r="213" spans="1:9" s="331" customFormat="1">
      <c r="A213" s="204"/>
      <c r="B213" s="204"/>
      <c r="C213" s="204"/>
      <c r="D213" s="218"/>
      <c r="E213" s="218"/>
      <c r="F213" s="218"/>
      <c r="G213" s="218"/>
      <c r="H213" s="218"/>
      <c r="I213" s="218"/>
    </row>
    <row r="214" spans="1:9" s="331" customFormat="1">
      <c r="A214" s="204"/>
      <c r="B214" s="204"/>
      <c r="C214" s="204"/>
      <c r="D214" s="218"/>
      <c r="E214" s="218"/>
      <c r="F214" s="218"/>
      <c r="G214" s="218"/>
      <c r="H214" s="218"/>
      <c r="I214" s="218"/>
    </row>
    <row r="215" spans="1:9" s="331" customFormat="1">
      <c r="A215" s="204"/>
      <c r="B215" s="204"/>
      <c r="C215" s="204"/>
      <c r="D215" s="218"/>
      <c r="E215" s="218"/>
      <c r="F215" s="218"/>
      <c r="G215" s="218"/>
      <c r="H215" s="218"/>
      <c r="I215" s="218"/>
    </row>
    <row r="216" spans="1:9" s="331" customFormat="1">
      <c r="A216" s="204"/>
      <c r="B216" s="204"/>
      <c r="C216" s="204"/>
      <c r="D216" s="218"/>
      <c r="E216" s="218"/>
      <c r="F216" s="218"/>
      <c r="G216" s="218"/>
      <c r="H216" s="218"/>
      <c r="I216" s="218"/>
    </row>
    <row r="217" spans="1:9" s="331" customFormat="1">
      <c r="A217" s="204"/>
      <c r="B217" s="204"/>
      <c r="C217" s="204"/>
      <c r="D217" s="218"/>
      <c r="E217" s="218"/>
      <c r="F217" s="218"/>
      <c r="G217" s="218"/>
      <c r="H217" s="218"/>
      <c r="I217" s="218"/>
    </row>
    <row r="218" spans="1:9" s="331" customFormat="1">
      <c r="A218" s="204"/>
      <c r="B218" s="204"/>
      <c r="C218" s="204"/>
      <c r="D218" s="218"/>
      <c r="E218" s="218"/>
      <c r="F218" s="218"/>
      <c r="G218" s="218"/>
      <c r="H218" s="218"/>
      <c r="I218" s="218"/>
    </row>
    <row r="219" spans="1:9" s="331" customFormat="1">
      <c r="A219" s="204"/>
      <c r="B219" s="204"/>
      <c r="C219" s="204"/>
      <c r="D219" s="218"/>
      <c r="E219" s="218"/>
      <c r="F219" s="218"/>
      <c r="G219" s="218"/>
      <c r="H219" s="218"/>
      <c r="I219" s="218"/>
    </row>
    <row r="220" spans="1:9" s="331" customFormat="1">
      <c r="A220" s="204"/>
      <c r="B220" s="204"/>
      <c r="C220" s="204"/>
      <c r="D220" s="218"/>
      <c r="E220" s="218"/>
      <c r="F220" s="218"/>
      <c r="G220" s="218"/>
      <c r="H220" s="218"/>
      <c r="I220" s="218"/>
    </row>
    <row r="221" spans="1:9" s="331" customFormat="1">
      <c r="A221" s="204"/>
      <c r="B221" s="204"/>
      <c r="C221" s="204"/>
      <c r="D221" s="218"/>
      <c r="E221" s="218"/>
      <c r="F221" s="218"/>
      <c r="G221" s="218"/>
      <c r="H221" s="218"/>
      <c r="I221" s="218"/>
    </row>
    <row r="222" spans="1:9" s="331" customFormat="1">
      <c r="A222" s="204"/>
      <c r="B222" s="204"/>
      <c r="C222" s="204"/>
      <c r="D222" s="218"/>
      <c r="E222" s="218"/>
      <c r="F222" s="218"/>
      <c r="G222" s="218"/>
      <c r="H222" s="218"/>
      <c r="I222" s="218"/>
    </row>
    <row r="223" spans="1:9" s="331" customFormat="1">
      <c r="A223" s="204"/>
      <c r="B223" s="204"/>
      <c r="C223" s="204"/>
      <c r="D223" s="218"/>
      <c r="E223" s="218"/>
      <c r="F223" s="218"/>
      <c r="G223" s="218"/>
      <c r="H223" s="218"/>
      <c r="I223" s="218"/>
    </row>
    <row r="224" spans="1:9" s="331" customFormat="1">
      <c r="A224" s="204"/>
      <c r="B224" s="204"/>
      <c r="C224" s="204"/>
      <c r="D224" s="218"/>
      <c r="E224" s="218"/>
      <c r="F224" s="218"/>
      <c r="G224" s="218"/>
      <c r="H224" s="218"/>
      <c r="I224" s="218"/>
    </row>
    <row r="225" spans="1:9" s="331" customFormat="1">
      <c r="A225" s="204"/>
      <c r="B225" s="204"/>
      <c r="C225" s="204"/>
      <c r="D225" s="218"/>
      <c r="E225" s="218"/>
      <c r="F225" s="218"/>
      <c r="G225" s="218"/>
      <c r="H225" s="218"/>
      <c r="I225" s="218"/>
    </row>
    <row r="226" spans="1:9" s="331" customFormat="1">
      <c r="A226" s="204"/>
      <c r="B226" s="204"/>
      <c r="C226" s="204"/>
      <c r="D226" s="218"/>
      <c r="E226" s="218"/>
      <c r="F226" s="218"/>
      <c r="G226" s="218"/>
      <c r="H226" s="218"/>
      <c r="I226" s="218"/>
    </row>
    <row r="227" spans="1:9" s="331" customFormat="1">
      <c r="A227" s="204"/>
      <c r="B227" s="204"/>
      <c r="C227" s="204"/>
      <c r="D227" s="218"/>
      <c r="E227" s="218"/>
      <c r="F227" s="218"/>
      <c r="G227" s="218"/>
      <c r="H227" s="218"/>
      <c r="I227" s="218"/>
    </row>
    <row r="228" spans="1:9" s="331" customFormat="1">
      <c r="A228" s="204"/>
      <c r="B228" s="204"/>
      <c r="C228" s="204"/>
      <c r="D228" s="218"/>
      <c r="E228" s="218"/>
      <c r="F228" s="218"/>
      <c r="G228" s="218"/>
      <c r="H228" s="218"/>
      <c r="I228" s="218"/>
    </row>
    <row r="229" spans="1:9" s="331" customFormat="1">
      <c r="A229" s="204"/>
      <c r="B229" s="204"/>
      <c r="C229" s="204"/>
      <c r="D229" s="218"/>
      <c r="E229" s="218"/>
      <c r="F229" s="218"/>
      <c r="G229" s="218"/>
      <c r="H229" s="218"/>
      <c r="I229" s="218"/>
    </row>
    <row r="230" spans="1:9" s="331" customFormat="1">
      <c r="A230" s="204"/>
      <c r="B230" s="204"/>
      <c r="C230" s="204"/>
      <c r="D230" s="218"/>
      <c r="E230" s="218"/>
      <c r="F230" s="218"/>
      <c r="G230" s="218"/>
      <c r="H230" s="218"/>
      <c r="I230" s="218"/>
    </row>
    <row r="231" spans="1:9" s="331" customFormat="1">
      <c r="A231" s="204"/>
      <c r="B231" s="204"/>
      <c r="C231" s="204"/>
      <c r="D231" s="218"/>
      <c r="E231" s="218"/>
      <c r="F231" s="218"/>
      <c r="G231" s="218"/>
      <c r="H231" s="218"/>
      <c r="I231" s="218"/>
    </row>
    <row r="232" spans="1:9" s="331" customFormat="1">
      <c r="A232" s="204"/>
      <c r="B232" s="204"/>
      <c r="C232" s="204"/>
      <c r="D232" s="218"/>
      <c r="E232" s="218"/>
      <c r="F232" s="218"/>
      <c r="G232" s="218"/>
      <c r="H232" s="218"/>
      <c r="I232" s="218"/>
    </row>
    <row r="233" spans="1:9" s="331" customFormat="1">
      <c r="A233" s="204"/>
      <c r="B233" s="204"/>
      <c r="C233" s="204"/>
      <c r="D233" s="218"/>
      <c r="E233" s="218"/>
      <c r="F233" s="218"/>
      <c r="G233" s="218"/>
      <c r="H233" s="218"/>
      <c r="I233" s="218"/>
    </row>
    <row r="234" spans="1:9" s="331" customFormat="1">
      <c r="A234" s="204"/>
      <c r="B234" s="204"/>
      <c r="C234" s="204"/>
      <c r="D234" s="218"/>
      <c r="E234" s="218"/>
      <c r="F234" s="218"/>
      <c r="G234" s="218"/>
      <c r="H234" s="218"/>
      <c r="I234" s="218"/>
    </row>
    <row r="235" spans="1:9" s="331" customFormat="1">
      <c r="A235" s="204"/>
      <c r="B235" s="204"/>
      <c r="C235" s="204"/>
      <c r="D235" s="218"/>
      <c r="E235" s="218"/>
      <c r="F235" s="218"/>
      <c r="G235" s="218"/>
      <c r="H235" s="218"/>
      <c r="I235" s="218"/>
    </row>
    <row r="236" spans="1:9" s="331" customFormat="1">
      <c r="A236" s="204"/>
      <c r="B236" s="204"/>
      <c r="C236" s="204"/>
      <c r="D236" s="218"/>
      <c r="E236" s="218"/>
      <c r="F236" s="218"/>
      <c r="G236" s="218"/>
      <c r="H236" s="218"/>
      <c r="I236" s="218"/>
    </row>
    <row r="237" spans="1:9" s="331" customFormat="1">
      <c r="A237" s="204"/>
      <c r="B237" s="204"/>
      <c r="C237" s="204"/>
      <c r="D237" s="218"/>
      <c r="E237" s="218"/>
      <c r="F237" s="218"/>
      <c r="G237" s="218"/>
      <c r="H237" s="218"/>
      <c r="I237" s="218"/>
    </row>
    <row r="238" spans="1:9" s="331" customFormat="1">
      <c r="A238" s="204"/>
      <c r="B238" s="204"/>
      <c r="C238" s="204"/>
      <c r="D238" s="218"/>
      <c r="E238" s="218"/>
      <c r="F238" s="218"/>
      <c r="G238" s="218"/>
      <c r="H238" s="218"/>
      <c r="I238" s="218"/>
    </row>
    <row r="239" spans="1:9" s="331" customFormat="1">
      <c r="A239" s="204"/>
      <c r="B239" s="204"/>
      <c r="C239" s="204"/>
      <c r="D239" s="218"/>
      <c r="E239" s="218"/>
      <c r="F239" s="218"/>
      <c r="G239" s="218"/>
      <c r="H239" s="218"/>
      <c r="I239" s="218"/>
    </row>
    <row r="240" spans="1:9" s="331" customFormat="1">
      <c r="A240" s="204"/>
      <c r="B240" s="204"/>
      <c r="C240" s="204"/>
      <c r="D240" s="218"/>
      <c r="E240" s="218"/>
      <c r="F240" s="218"/>
      <c r="G240" s="218"/>
      <c r="H240" s="218"/>
      <c r="I240" s="218"/>
    </row>
    <row r="241" spans="1:9" s="331" customFormat="1">
      <c r="A241" s="204"/>
      <c r="B241" s="204"/>
      <c r="C241" s="204"/>
      <c r="D241" s="218"/>
      <c r="E241" s="218"/>
      <c r="F241" s="218"/>
      <c r="G241" s="218"/>
      <c r="H241" s="218"/>
      <c r="I241" s="218"/>
    </row>
    <row r="242" spans="1:9" s="331" customFormat="1">
      <c r="A242" s="204"/>
      <c r="B242" s="204"/>
      <c r="C242" s="204"/>
      <c r="D242" s="218"/>
      <c r="E242" s="218"/>
      <c r="F242" s="218"/>
      <c r="G242" s="218"/>
      <c r="H242" s="218"/>
      <c r="I242" s="218"/>
    </row>
    <row r="243" spans="1:9" s="331" customFormat="1">
      <c r="A243" s="204"/>
      <c r="B243" s="204"/>
      <c r="C243" s="204"/>
      <c r="D243" s="218"/>
      <c r="E243" s="218"/>
      <c r="F243" s="218"/>
      <c r="G243" s="218"/>
      <c r="H243" s="218"/>
      <c r="I243" s="218"/>
    </row>
    <row r="244" spans="1:9" s="331" customFormat="1">
      <c r="A244" s="204"/>
      <c r="B244" s="204"/>
      <c r="C244" s="204"/>
      <c r="D244" s="218"/>
      <c r="E244" s="218"/>
      <c r="F244" s="218"/>
      <c r="G244" s="218"/>
      <c r="H244" s="218"/>
      <c r="I244" s="218"/>
    </row>
    <row r="245" spans="1:9" s="331" customFormat="1">
      <c r="A245" s="204"/>
      <c r="B245" s="204"/>
      <c r="C245" s="204"/>
      <c r="D245" s="218"/>
      <c r="E245" s="218"/>
      <c r="F245" s="218"/>
      <c r="G245" s="218"/>
      <c r="H245" s="218"/>
      <c r="I245" s="218"/>
    </row>
    <row r="246" spans="1:9" s="331" customFormat="1">
      <c r="A246" s="204"/>
      <c r="B246" s="204"/>
      <c r="C246" s="204"/>
      <c r="D246" s="218"/>
      <c r="E246" s="218"/>
      <c r="F246" s="218"/>
      <c r="G246" s="218"/>
      <c r="H246" s="218"/>
      <c r="I246" s="218"/>
    </row>
    <row r="247" spans="1:9" s="331" customFormat="1">
      <c r="A247" s="204"/>
      <c r="B247" s="204"/>
      <c r="C247" s="204"/>
      <c r="D247" s="218"/>
      <c r="E247" s="218"/>
      <c r="F247" s="218"/>
      <c r="G247" s="218"/>
      <c r="H247" s="218"/>
      <c r="I247" s="218"/>
    </row>
    <row r="248" spans="1:9" s="331" customFormat="1">
      <c r="A248" s="204"/>
      <c r="B248" s="204"/>
      <c r="C248" s="204"/>
      <c r="D248" s="218"/>
      <c r="E248" s="218"/>
      <c r="F248" s="218"/>
      <c r="G248" s="218"/>
      <c r="H248" s="218"/>
      <c r="I248" s="218"/>
    </row>
    <row r="249" spans="1:9" s="331" customFormat="1">
      <c r="A249" s="204"/>
      <c r="B249" s="204"/>
      <c r="C249" s="204"/>
      <c r="D249" s="218"/>
      <c r="E249" s="218"/>
      <c r="F249" s="218"/>
      <c r="G249" s="218"/>
      <c r="H249" s="218"/>
      <c r="I249" s="218"/>
    </row>
    <row r="250" spans="1:9" s="331" customFormat="1">
      <c r="A250" s="204"/>
      <c r="B250" s="204"/>
      <c r="C250" s="204"/>
      <c r="D250" s="218"/>
      <c r="E250" s="218"/>
      <c r="F250" s="218"/>
      <c r="G250" s="218"/>
      <c r="H250" s="218"/>
      <c r="I250" s="218"/>
    </row>
    <row r="251" spans="1:9" s="331" customFormat="1">
      <c r="A251" s="204"/>
      <c r="B251" s="204"/>
      <c r="C251" s="204"/>
      <c r="D251" s="218"/>
      <c r="E251" s="218"/>
      <c r="F251" s="218"/>
      <c r="G251" s="218"/>
      <c r="H251" s="218"/>
      <c r="I251" s="218"/>
    </row>
    <row r="252" spans="1:9" s="331" customFormat="1">
      <c r="A252" s="204"/>
      <c r="B252" s="204"/>
      <c r="C252" s="204"/>
      <c r="D252" s="218"/>
      <c r="E252" s="218"/>
      <c r="F252" s="218"/>
      <c r="G252" s="218"/>
      <c r="H252" s="218"/>
      <c r="I252" s="218"/>
    </row>
    <row r="253" spans="1:9" s="331" customFormat="1">
      <c r="A253" s="204"/>
      <c r="B253" s="204"/>
      <c r="C253" s="204"/>
      <c r="D253" s="218"/>
      <c r="E253" s="218"/>
      <c r="F253" s="218"/>
      <c r="G253" s="218"/>
      <c r="H253" s="218"/>
      <c r="I253" s="218"/>
    </row>
    <row r="254" spans="1:9" s="331" customFormat="1">
      <c r="A254" s="204"/>
      <c r="B254" s="204"/>
      <c r="C254" s="204"/>
      <c r="D254" s="218"/>
      <c r="E254" s="218"/>
      <c r="F254" s="218"/>
      <c r="G254" s="218"/>
      <c r="H254" s="218"/>
      <c r="I254" s="218"/>
    </row>
    <row r="255" spans="1:9" s="331" customFormat="1">
      <c r="A255" s="204"/>
      <c r="B255" s="204"/>
      <c r="C255" s="204"/>
      <c r="D255" s="218"/>
      <c r="E255" s="218"/>
      <c r="F255" s="218"/>
      <c r="G255" s="218"/>
      <c r="H255" s="218"/>
      <c r="I255" s="218"/>
    </row>
    <row r="256" spans="1:9" s="331" customFormat="1">
      <c r="A256" s="204"/>
      <c r="B256" s="204"/>
      <c r="C256" s="204"/>
      <c r="D256" s="218"/>
      <c r="E256" s="218"/>
      <c r="F256" s="218"/>
      <c r="G256" s="218"/>
      <c r="H256" s="218"/>
      <c r="I256" s="218"/>
    </row>
    <row r="257" spans="1:9" s="331" customFormat="1">
      <c r="A257" s="204"/>
      <c r="B257" s="204"/>
      <c r="C257" s="204"/>
      <c r="D257" s="218"/>
      <c r="E257" s="218"/>
      <c r="F257" s="218"/>
      <c r="G257" s="218"/>
      <c r="H257" s="218"/>
      <c r="I257" s="218"/>
    </row>
    <row r="258" spans="1:9" s="331" customFormat="1">
      <c r="A258" s="204"/>
      <c r="B258" s="204"/>
      <c r="C258" s="204"/>
      <c r="D258" s="218"/>
      <c r="E258" s="218"/>
      <c r="F258" s="218"/>
      <c r="G258" s="218"/>
      <c r="H258" s="218"/>
      <c r="I258" s="218"/>
    </row>
    <row r="259" spans="1:9" s="331" customFormat="1">
      <c r="A259" s="204"/>
      <c r="B259" s="204"/>
      <c r="C259" s="204"/>
      <c r="D259" s="218"/>
      <c r="E259" s="218"/>
      <c r="F259" s="218"/>
      <c r="G259" s="218"/>
      <c r="H259" s="218"/>
      <c r="I259" s="218"/>
    </row>
    <row r="260" spans="1:9" s="331" customFormat="1">
      <c r="A260" s="204"/>
      <c r="B260" s="204"/>
      <c r="C260" s="204"/>
      <c r="D260" s="218"/>
      <c r="E260" s="218"/>
      <c r="F260" s="218"/>
      <c r="G260" s="218"/>
      <c r="H260" s="218"/>
      <c r="I260" s="218"/>
    </row>
    <row r="261" spans="1:9" s="331" customFormat="1">
      <c r="A261" s="204"/>
      <c r="B261" s="204"/>
      <c r="C261" s="204"/>
      <c r="D261" s="218"/>
      <c r="E261" s="218"/>
      <c r="F261" s="218"/>
      <c r="G261" s="218"/>
      <c r="H261" s="218"/>
      <c r="I261" s="218"/>
    </row>
    <row r="262" spans="1:9" s="331" customFormat="1">
      <c r="A262" s="204"/>
      <c r="B262" s="204"/>
      <c r="C262" s="204"/>
      <c r="D262" s="218"/>
      <c r="E262" s="218"/>
      <c r="F262" s="218"/>
      <c r="G262" s="218"/>
      <c r="H262" s="218"/>
      <c r="I262" s="218"/>
    </row>
    <row r="263" spans="1:9" s="331" customFormat="1">
      <c r="A263" s="204"/>
      <c r="B263" s="204"/>
      <c r="C263" s="204"/>
      <c r="D263" s="218"/>
      <c r="E263" s="218"/>
      <c r="F263" s="218"/>
      <c r="G263" s="218"/>
      <c r="H263" s="218"/>
      <c r="I263" s="218"/>
    </row>
    <row r="264" spans="1:9" s="331" customFormat="1">
      <c r="A264" s="204"/>
      <c r="B264" s="204"/>
      <c r="C264" s="204"/>
      <c r="D264" s="218"/>
      <c r="E264" s="218"/>
      <c r="F264" s="218"/>
      <c r="G264" s="218"/>
      <c r="H264" s="218"/>
      <c r="I264" s="218"/>
    </row>
    <row r="265" spans="1:9" s="331" customFormat="1">
      <c r="A265" s="204"/>
      <c r="B265" s="204"/>
      <c r="C265" s="204"/>
      <c r="D265" s="218"/>
      <c r="E265" s="218"/>
      <c r="F265" s="218"/>
      <c r="G265" s="218"/>
      <c r="H265" s="218"/>
      <c r="I265" s="218"/>
    </row>
    <row r="266" spans="1:9" s="331" customFormat="1">
      <c r="A266" s="204"/>
      <c r="B266" s="204"/>
      <c r="C266" s="204"/>
      <c r="D266" s="218"/>
      <c r="E266" s="218"/>
      <c r="F266" s="218"/>
      <c r="G266" s="218"/>
      <c r="H266" s="218"/>
      <c r="I266" s="218"/>
    </row>
    <row r="267" spans="1:9" s="331" customFormat="1">
      <c r="A267" s="204"/>
      <c r="B267" s="204"/>
      <c r="C267" s="204"/>
      <c r="D267" s="218"/>
      <c r="E267" s="218"/>
      <c r="F267" s="218"/>
      <c r="G267" s="218"/>
      <c r="H267" s="218"/>
      <c r="I267" s="218"/>
    </row>
    <row r="268" spans="1:9" s="331" customFormat="1">
      <c r="A268" s="204"/>
      <c r="B268" s="204"/>
      <c r="C268" s="204"/>
      <c r="D268" s="218"/>
      <c r="E268" s="218"/>
      <c r="F268" s="218"/>
      <c r="G268" s="218"/>
      <c r="H268" s="218"/>
      <c r="I268" s="218"/>
    </row>
    <row r="269" spans="1:9" s="331" customFormat="1">
      <c r="A269" s="204"/>
      <c r="B269" s="204"/>
      <c r="C269" s="204"/>
      <c r="D269" s="218"/>
      <c r="E269" s="218"/>
      <c r="F269" s="218"/>
      <c r="G269" s="218"/>
      <c r="H269" s="218"/>
      <c r="I269" s="218"/>
    </row>
    <row r="270" spans="1:9" s="331" customFormat="1">
      <c r="A270" s="204"/>
      <c r="B270" s="204"/>
      <c r="C270" s="204"/>
      <c r="D270" s="218"/>
      <c r="E270" s="218"/>
      <c r="F270" s="218"/>
      <c r="G270" s="218"/>
      <c r="H270" s="218"/>
      <c r="I270" s="218"/>
    </row>
    <row r="271" spans="1:9" s="331" customFormat="1">
      <c r="A271" s="204"/>
      <c r="B271" s="204"/>
      <c r="C271" s="204"/>
      <c r="D271" s="218"/>
      <c r="E271" s="218"/>
      <c r="F271" s="218"/>
      <c r="G271" s="218"/>
      <c r="H271" s="218"/>
      <c r="I271" s="218"/>
    </row>
    <row r="272" spans="1:9" s="331" customFormat="1">
      <c r="A272" s="204"/>
      <c r="B272" s="204"/>
      <c r="C272" s="204"/>
      <c r="D272" s="218"/>
      <c r="E272" s="218"/>
      <c r="F272" s="218"/>
      <c r="G272" s="218"/>
      <c r="H272" s="218"/>
      <c r="I272" s="218"/>
    </row>
    <row r="273" spans="1:9" s="331" customFormat="1">
      <c r="A273" s="204"/>
      <c r="B273" s="204"/>
      <c r="C273" s="204"/>
      <c r="D273" s="218"/>
      <c r="E273" s="218"/>
      <c r="F273" s="218"/>
      <c r="G273" s="218"/>
      <c r="H273" s="218"/>
      <c r="I273" s="218"/>
    </row>
    <row r="274" spans="1:9" s="331" customFormat="1">
      <c r="A274" s="204"/>
      <c r="B274" s="204"/>
      <c r="C274" s="204"/>
      <c r="D274" s="218"/>
      <c r="E274" s="218"/>
      <c r="F274" s="218"/>
      <c r="G274" s="218"/>
      <c r="H274" s="218"/>
      <c r="I274" s="218"/>
    </row>
    <row r="275" spans="1:9" s="331" customFormat="1">
      <c r="A275" s="204"/>
      <c r="B275" s="204"/>
      <c r="C275" s="204"/>
      <c r="D275" s="218"/>
      <c r="E275" s="218"/>
      <c r="F275" s="218"/>
      <c r="G275" s="218"/>
      <c r="H275" s="218"/>
      <c r="I275" s="218"/>
    </row>
    <row r="276" spans="1:9" s="331" customFormat="1">
      <c r="A276" s="204"/>
      <c r="B276" s="204"/>
      <c r="C276" s="204"/>
      <c r="D276" s="218"/>
      <c r="E276" s="218"/>
      <c r="F276" s="218"/>
      <c r="G276" s="218"/>
      <c r="H276" s="218"/>
      <c r="I276" s="218"/>
    </row>
    <row r="277" spans="1:9" s="331" customFormat="1">
      <c r="A277" s="204"/>
      <c r="B277" s="204"/>
      <c r="C277" s="204"/>
      <c r="D277" s="218"/>
      <c r="E277" s="218"/>
      <c r="F277" s="218"/>
      <c r="G277" s="218"/>
      <c r="H277" s="218"/>
      <c r="I277" s="218"/>
    </row>
    <row r="278" spans="1:9" s="331" customFormat="1">
      <c r="A278" s="204"/>
      <c r="B278" s="204"/>
      <c r="C278" s="204"/>
      <c r="D278" s="218"/>
      <c r="E278" s="218"/>
      <c r="F278" s="218"/>
      <c r="G278" s="218"/>
      <c r="H278" s="218"/>
      <c r="I278" s="218"/>
    </row>
    <row r="279" spans="1:9" s="331" customFormat="1">
      <c r="A279" s="204"/>
      <c r="B279" s="204"/>
      <c r="C279" s="204"/>
      <c r="D279" s="218"/>
      <c r="E279" s="218"/>
      <c r="F279" s="218"/>
      <c r="G279" s="218"/>
      <c r="H279" s="218"/>
      <c r="I279" s="218"/>
    </row>
    <row r="280" spans="1:9" s="331" customFormat="1">
      <c r="A280" s="204"/>
      <c r="B280" s="204"/>
      <c r="C280" s="204"/>
      <c r="D280" s="218"/>
      <c r="E280" s="218"/>
      <c r="F280" s="218"/>
      <c r="G280" s="218"/>
      <c r="H280" s="218"/>
      <c r="I280" s="218"/>
    </row>
    <row r="281" spans="1:9" s="331" customFormat="1">
      <c r="A281" s="204"/>
      <c r="B281" s="204"/>
      <c r="C281" s="204"/>
      <c r="D281" s="218"/>
      <c r="E281" s="218"/>
      <c r="F281" s="218"/>
      <c r="G281" s="218"/>
      <c r="H281" s="218"/>
      <c r="I281" s="218"/>
    </row>
    <row r="282" spans="1:9" s="331" customFormat="1">
      <c r="A282" s="204"/>
      <c r="B282" s="204"/>
      <c r="C282" s="204"/>
      <c r="D282" s="218"/>
      <c r="E282" s="218"/>
      <c r="F282" s="218"/>
      <c r="G282" s="218"/>
      <c r="H282" s="218"/>
      <c r="I282" s="218"/>
    </row>
    <row r="283" spans="1:9" s="331" customFormat="1">
      <c r="A283" s="204"/>
      <c r="B283" s="204"/>
      <c r="C283" s="204"/>
      <c r="D283" s="218"/>
      <c r="E283" s="218"/>
      <c r="F283" s="218"/>
      <c r="G283" s="218"/>
      <c r="H283" s="218"/>
      <c r="I283" s="218"/>
    </row>
    <row r="284" spans="1:9" s="331" customFormat="1">
      <c r="A284" s="204"/>
      <c r="B284" s="204"/>
      <c r="C284" s="204"/>
      <c r="D284" s="218"/>
      <c r="E284" s="218"/>
      <c r="F284" s="218"/>
      <c r="G284" s="218"/>
      <c r="H284" s="218"/>
      <c r="I284" s="218"/>
    </row>
    <row r="285" spans="1:9" s="331" customFormat="1">
      <c r="A285" s="204"/>
      <c r="B285" s="204"/>
      <c r="C285" s="204"/>
      <c r="D285" s="218"/>
      <c r="E285" s="218"/>
      <c r="F285" s="218"/>
      <c r="G285" s="218"/>
      <c r="H285" s="218"/>
      <c r="I285" s="218"/>
    </row>
    <row r="286" spans="1:9" s="331" customFormat="1">
      <c r="A286" s="204"/>
      <c r="B286" s="204"/>
      <c r="C286" s="204"/>
      <c r="D286" s="218"/>
      <c r="E286" s="218"/>
      <c r="F286" s="218"/>
      <c r="G286" s="218"/>
      <c r="H286" s="218"/>
      <c r="I286" s="218"/>
    </row>
    <row r="287" spans="1:9" s="331" customFormat="1">
      <c r="A287" s="204"/>
      <c r="B287" s="204"/>
      <c r="C287" s="204"/>
      <c r="D287" s="218"/>
      <c r="E287" s="218"/>
      <c r="F287" s="218"/>
      <c r="G287" s="218"/>
      <c r="H287" s="218"/>
      <c r="I287" s="218"/>
    </row>
    <row r="288" spans="1:9" s="331" customFormat="1">
      <c r="A288" s="204"/>
      <c r="B288" s="204"/>
      <c r="C288" s="204"/>
      <c r="D288" s="218"/>
      <c r="E288" s="218"/>
      <c r="F288" s="218"/>
      <c r="G288" s="218"/>
      <c r="H288" s="218"/>
      <c r="I288" s="218"/>
    </row>
    <row r="289" spans="1:9" s="331" customFormat="1">
      <c r="A289" s="204"/>
      <c r="B289" s="204"/>
      <c r="C289" s="204"/>
      <c r="D289" s="218"/>
      <c r="E289" s="218"/>
      <c r="F289" s="218"/>
      <c r="G289" s="218"/>
      <c r="H289" s="218"/>
      <c r="I289" s="218"/>
    </row>
  </sheetData>
  <mergeCells count="47">
    <mergeCell ref="B16:C16"/>
    <mergeCell ref="B17:C17"/>
    <mergeCell ref="B5:C5"/>
    <mergeCell ref="B6:C6"/>
    <mergeCell ref="B7:C7"/>
    <mergeCell ref="B8:C8"/>
    <mergeCell ref="B9:C9"/>
    <mergeCell ref="B10:C10"/>
    <mergeCell ref="B11:C11"/>
    <mergeCell ref="B12:C12"/>
    <mergeCell ref="B13:C13"/>
    <mergeCell ref="B14:C14"/>
    <mergeCell ref="B15:C15"/>
    <mergeCell ref="B19:C19"/>
    <mergeCell ref="B124:B126"/>
    <mergeCell ref="B22:B24"/>
    <mergeCell ref="B121:B123"/>
    <mergeCell ref="B91:B100"/>
    <mergeCell ref="B101:B105"/>
    <mergeCell ref="B106:B107"/>
    <mergeCell ref="B108:B114"/>
    <mergeCell ref="B115:B120"/>
    <mergeCell ref="B83:B85"/>
    <mergeCell ref="B86:B88"/>
    <mergeCell ref="B89:B90"/>
    <mergeCell ref="A137:A138"/>
    <mergeCell ref="B138:C138"/>
    <mergeCell ref="A139:A140"/>
    <mergeCell ref="B140:C140"/>
    <mergeCell ref="A141:A142"/>
    <mergeCell ref="B142:C142"/>
    <mergeCell ref="A4:A20"/>
    <mergeCell ref="B20:C20"/>
    <mergeCell ref="A21:A136"/>
    <mergeCell ref="B25:B27"/>
    <mergeCell ref="B28:B34"/>
    <mergeCell ref="B35:B41"/>
    <mergeCell ref="B42:B43"/>
    <mergeCell ref="B44:B50"/>
    <mergeCell ref="B51:B56"/>
    <mergeCell ref="B57:B68"/>
    <mergeCell ref="B69:B73"/>
    <mergeCell ref="B74:B80"/>
    <mergeCell ref="B81:B82"/>
    <mergeCell ref="B127:B129"/>
    <mergeCell ref="B130:B136"/>
    <mergeCell ref="B18:C18"/>
  </mergeCells>
  <phoneticPr fontId="5" type="noConversion"/>
  <pageMargins left="0.7" right="0.7" top="0.75" bottom="0.75" header="0.3" footer="0.3"/>
  <pageSetup paperSize="9" orientation="portrait" r:id="rId1"/>
  <headerFooter>
    <oddHeader>&amp;R&amp;"Aptos"&amp;13&amp;K000000 [ RESTRICTED ]&amp;1#_x000D_</oddHeader>
    <oddFooter>&amp;R_x000D_&amp;1#&amp;"Aptos"&amp;5&amp;K000000 [Secure Minds, Secure Finds] 본 문서는 현대건설㈜의 정보자산이므로 무단 전제 및 복제할 수 없으며, 이를 위반할 시에는 당사 사규 및 관련 법규에 의해 제지를 받을 수 있습니다.</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9CC092-3E27-49F1-BBDD-4F7FDF339BB4}">
  <sheetPr>
    <pageSetUpPr fitToPage="1"/>
  </sheetPr>
  <dimension ref="A1:P23"/>
  <sheetViews>
    <sheetView topLeftCell="C1" zoomScale="85" zoomScaleNormal="85" workbookViewId="0">
      <selection activeCell="J10" sqref="J10"/>
    </sheetView>
  </sheetViews>
  <sheetFormatPr defaultColWidth="8.75" defaultRowHeight="13.5"/>
  <cols>
    <col min="1" max="1" width="8.75" style="479"/>
    <col min="2" max="3" width="14.125" style="479" customWidth="1"/>
    <col min="4" max="4" width="18.625" style="479" customWidth="1"/>
    <col min="5" max="5" width="14.25" style="487" customWidth="1"/>
    <col min="6" max="6" width="18.625" style="479" customWidth="1"/>
    <col min="7" max="7" width="14.25" style="487" customWidth="1"/>
    <col min="8" max="8" width="18.625" style="479" customWidth="1"/>
    <col min="9" max="9" width="8.75" style="479"/>
    <col min="10" max="16" width="18.625" style="479" customWidth="1"/>
    <col min="17" max="20" width="14.375" style="479" customWidth="1"/>
    <col min="21" max="16384" width="8.75" style="479"/>
  </cols>
  <sheetData>
    <row r="1" spans="1:16" ht="24" customHeight="1">
      <c r="A1" s="671" t="s">
        <v>154</v>
      </c>
      <c r="B1" s="672"/>
      <c r="C1" s="673"/>
      <c r="D1" s="666" t="s">
        <v>234</v>
      </c>
      <c r="E1" s="667"/>
      <c r="F1" s="666" t="s">
        <v>1048</v>
      </c>
      <c r="G1" s="667"/>
      <c r="H1" s="668" t="s">
        <v>1061</v>
      </c>
      <c r="J1" s="480" t="s">
        <v>154</v>
      </c>
      <c r="K1" s="480" t="s">
        <v>234</v>
      </c>
      <c r="L1" s="480" t="s">
        <v>1048</v>
      </c>
    </row>
    <row r="2" spans="1:16" ht="24" customHeight="1">
      <c r="A2" s="674"/>
      <c r="B2" s="675"/>
      <c r="C2" s="676"/>
      <c r="D2" s="480" t="s">
        <v>2429</v>
      </c>
      <c r="E2" s="481" t="s">
        <v>153</v>
      </c>
      <c r="F2" s="480" t="s">
        <v>2429</v>
      </c>
      <c r="G2" s="481" t="s">
        <v>153</v>
      </c>
      <c r="H2" s="669"/>
      <c r="J2" s="480" t="s">
        <v>3292</v>
      </c>
      <c r="K2" s="480">
        <f>D3+D4+D9</f>
        <v>73500000</v>
      </c>
      <c r="L2" s="480">
        <f>F3+F4+F5+F6+F7+F8+F9+F13</f>
        <v>190000000</v>
      </c>
    </row>
    <row r="3" spans="1:16" ht="24" customHeight="1">
      <c r="A3" s="670" t="s">
        <v>3266</v>
      </c>
      <c r="B3" s="671" t="s">
        <v>3267</v>
      </c>
      <c r="C3" s="673"/>
      <c r="D3" s="480">
        <v>4500000</v>
      </c>
      <c r="E3" s="481" t="s">
        <v>3264</v>
      </c>
      <c r="F3" s="488">
        <v>20000000</v>
      </c>
      <c r="G3" s="489" t="s">
        <v>506</v>
      </c>
      <c r="H3" s="484">
        <f t="shared" ref="H3:H8" si="0">SUM(D3:F3)</f>
        <v>24500000</v>
      </c>
      <c r="J3" s="480" t="s">
        <v>3293</v>
      </c>
      <c r="K3" s="480">
        <v>173000000</v>
      </c>
      <c r="L3" s="480">
        <v>0</v>
      </c>
      <c r="M3" s="491" t="s">
        <v>3295</v>
      </c>
    </row>
    <row r="4" spans="1:16" ht="24" customHeight="1">
      <c r="A4" s="670"/>
      <c r="B4" s="681"/>
      <c r="C4" s="682"/>
      <c r="D4" s="480">
        <v>1000000</v>
      </c>
      <c r="E4" s="481" t="s">
        <v>3265</v>
      </c>
      <c r="F4" s="488">
        <v>18000000</v>
      </c>
      <c r="G4" s="489" t="s">
        <v>3287</v>
      </c>
      <c r="H4" s="484">
        <f t="shared" si="0"/>
        <v>19000000</v>
      </c>
      <c r="J4" s="480" t="s">
        <v>3278</v>
      </c>
      <c r="K4" s="480">
        <v>80000000</v>
      </c>
      <c r="L4" s="480">
        <v>50000000</v>
      </c>
      <c r="M4" s="491" t="s">
        <v>3295</v>
      </c>
    </row>
    <row r="5" spans="1:16" ht="24" customHeight="1">
      <c r="A5" s="670"/>
      <c r="B5" s="681"/>
      <c r="C5" s="682"/>
      <c r="D5" s="482">
        <v>172632730</v>
      </c>
      <c r="E5" s="483" t="s">
        <v>3293</v>
      </c>
      <c r="F5" s="488">
        <v>7000000</v>
      </c>
      <c r="G5" s="489" t="s">
        <v>3286</v>
      </c>
      <c r="H5" s="484">
        <f t="shared" si="0"/>
        <v>179632730</v>
      </c>
      <c r="J5" s="480" t="s">
        <v>3294</v>
      </c>
      <c r="K5" s="480">
        <v>0</v>
      </c>
      <c r="L5" s="480">
        <v>0</v>
      </c>
      <c r="M5" s="491" t="s">
        <v>3295</v>
      </c>
    </row>
    <row r="6" spans="1:16" ht="24" customHeight="1">
      <c r="A6" s="670"/>
      <c r="B6" s="681"/>
      <c r="C6" s="682"/>
      <c r="D6" s="480">
        <v>0</v>
      </c>
      <c r="E6" s="481" t="s">
        <v>2</v>
      </c>
      <c r="F6" s="488">
        <v>100000000</v>
      </c>
      <c r="G6" s="489" t="s">
        <v>3289</v>
      </c>
      <c r="H6" s="484">
        <f t="shared" si="0"/>
        <v>100000000</v>
      </c>
      <c r="J6" s="490" t="s">
        <v>1061</v>
      </c>
      <c r="K6" s="490">
        <f>SUM(K2:K5)</f>
        <v>326500000</v>
      </c>
      <c r="L6" s="490">
        <f>SUM(L2:L5)</f>
        <v>240000000</v>
      </c>
    </row>
    <row r="7" spans="1:16" ht="24" customHeight="1">
      <c r="A7" s="670"/>
      <c r="B7" s="681"/>
      <c r="C7" s="682"/>
      <c r="D7" s="480">
        <v>0</v>
      </c>
      <c r="E7" s="481" t="s">
        <v>2</v>
      </c>
      <c r="F7" s="488">
        <v>10000000</v>
      </c>
      <c r="G7" s="489" t="s">
        <v>3284</v>
      </c>
      <c r="H7" s="484">
        <f t="shared" si="0"/>
        <v>10000000</v>
      </c>
      <c r="J7" s="490" t="s">
        <v>3642</v>
      </c>
      <c r="K7" s="677">
        <f>K6+L6</f>
        <v>566500000</v>
      </c>
      <c r="L7" s="677"/>
    </row>
    <row r="8" spans="1:16" ht="24" customHeight="1">
      <c r="A8" s="670"/>
      <c r="B8" s="674"/>
      <c r="C8" s="676"/>
      <c r="D8" s="480">
        <v>0</v>
      </c>
      <c r="E8" s="481" t="s">
        <v>2</v>
      </c>
      <c r="F8" s="488">
        <v>10000000</v>
      </c>
      <c r="G8" s="489" t="s">
        <v>3285</v>
      </c>
      <c r="H8" s="484">
        <f t="shared" si="0"/>
        <v>10000000</v>
      </c>
      <c r="J8" s="490" t="s">
        <v>3643</v>
      </c>
      <c r="K8" s="677">
        <v>640000000</v>
      </c>
      <c r="L8" s="677"/>
    </row>
    <row r="9" spans="1:16" ht="24" customHeight="1">
      <c r="A9" s="670"/>
      <c r="B9" s="670" t="s">
        <v>3268</v>
      </c>
      <c r="C9" s="670"/>
      <c r="D9" s="480">
        <v>68000000</v>
      </c>
      <c r="E9" s="481" t="s">
        <v>3248</v>
      </c>
      <c r="F9" s="488">
        <v>16000000</v>
      </c>
      <c r="G9" s="489" t="s">
        <v>3288</v>
      </c>
      <c r="H9" s="484">
        <f t="shared" ref="H9:H23" si="1">SUM(D9:F9)</f>
        <v>84000000</v>
      </c>
    </row>
    <row r="10" spans="1:16" ht="24" customHeight="1">
      <c r="A10" s="670"/>
      <c r="B10" s="670" t="s">
        <v>3269</v>
      </c>
      <c r="C10" s="480" t="s">
        <v>3270</v>
      </c>
      <c r="D10" s="480">
        <v>0</v>
      </c>
      <c r="E10" s="481" t="s">
        <v>2</v>
      </c>
      <c r="F10" s="488">
        <v>0</v>
      </c>
      <c r="G10" s="489" t="s">
        <v>2</v>
      </c>
      <c r="H10" s="484">
        <f t="shared" si="1"/>
        <v>0</v>
      </c>
    </row>
    <row r="11" spans="1:16" ht="24" customHeight="1">
      <c r="A11" s="670"/>
      <c r="B11" s="670"/>
      <c r="C11" s="480" t="s">
        <v>3271</v>
      </c>
      <c r="D11" s="480">
        <v>0</v>
      </c>
      <c r="E11" s="481" t="s">
        <v>2</v>
      </c>
      <c r="F11" s="488">
        <v>0</v>
      </c>
      <c r="G11" s="489" t="s">
        <v>2</v>
      </c>
      <c r="H11" s="484">
        <f t="shared" si="1"/>
        <v>0</v>
      </c>
    </row>
    <row r="12" spans="1:16" ht="24" customHeight="1">
      <c r="A12" s="670"/>
      <c r="B12" s="670"/>
      <c r="C12" s="480" t="s">
        <v>3272</v>
      </c>
      <c r="D12" s="480">
        <v>0</v>
      </c>
      <c r="E12" s="481" t="s">
        <v>2</v>
      </c>
      <c r="F12" s="488">
        <v>0</v>
      </c>
      <c r="G12" s="489" t="s">
        <v>2</v>
      </c>
      <c r="H12" s="484">
        <f t="shared" si="1"/>
        <v>0</v>
      </c>
      <c r="J12" s="811" t="s">
        <v>3634</v>
      </c>
      <c r="K12" s="811" t="s">
        <v>3635</v>
      </c>
      <c r="L12" s="811" t="s">
        <v>3638</v>
      </c>
      <c r="M12" s="811" t="s">
        <v>3636</v>
      </c>
      <c r="N12" s="811" t="s">
        <v>3637</v>
      </c>
      <c r="O12" s="813" t="s">
        <v>3639</v>
      </c>
      <c r="P12" s="813" t="s">
        <v>3640</v>
      </c>
    </row>
    <row r="13" spans="1:16" ht="24" customHeight="1">
      <c r="A13" s="670"/>
      <c r="B13" s="670" t="s">
        <v>3273</v>
      </c>
      <c r="C13" s="670"/>
      <c r="D13" s="480">
        <v>0</v>
      </c>
      <c r="E13" s="481" t="s">
        <v>2</v>
      </c>
      <c r="F13" s="488">
        <v>9000000</v>
      </c>
      <c r="G13" s="489" t="s">
        <v>2647</v>
      </c>
      <c r="H13" s="484">
        <f t="shared" si="1"/>
        <v>9000000</v>
      </c>
      <c r="J13" s="811">
        <v>2700000000</v>
      </c>
      <c r="K13" s="811">
        <f>J13*0.0055</f>
        <v>14850000</v>
      </c>
      <c r="L13" s="811">
        <v>149460000</v>
      </c>
      <c r="M13" s="811">
        <f>L13+K13</f>
        <v>164310000</v>
      </c>
      <c r="N13" s="811">
        <f>J13-M13</f>
        <v>2535690000</v>
      </c>
      <c r="O13" s="811">
        <v>3305600000</v>
      </c>
      <c r="P13" s="813">
        <f>O13-N13</f>
        <v>769910000</v>
      </c>
    </row>
    <row r="14" spans="1:16" ht="24" customHeight="1">
      <c r="A14" s="670"/>
      <c r="B14" s="670" t="s">
        <v>3274</v>
      </c>
      <c r="C14" s="670"/>
      <c r="D14" s="482">
        <v>2740000000</v>
      </c>
      <c r="E14" s="483" t="s">
        <v>3641</v>
      </c>
      <c r="F14" s="488">
        <v>0</v>
      </c>
      <c r="G14" s="489" t="s">
        <v>2</v>
      </c>
      <c r="H14" s="484">
        <f t="shared" si="1"/>
        <v>2740000000</v>
      </c>
      <c r="J14" s="811">
        <v>2750000000</v>
      </c>
      <c r="K14" s="811">
        <f t="shared" ref="K14:K21" si="2">J14*0.0055</f>
        <v>15125000</v>
      </c>
      <c r="L14" s="811">
        <v>156500000</v>
      </c>
      <c r="M14" s="811">
        <f t="shared" ref="M14:M21" si="3">L14+K14</f>
        <v>171625000</v>
      </c>
      <c r="N14" s="811">
        <f t="shared" ref="N14:N21" si="4">J14-M14</f>
        <v>2578375000</v>
      </c>
      <c r="O14" s="811">
        <v>3305600000</v>
      </c>
      <c r="P14" s="813">
        <f t="shared" ref="P14:P21" si="5">O14-N14</f>
        <v>727225000</v>
      </c>
    </row>
    <row r="15" spans="1:16" ht="24" customHeight="1">
      <c r="A15" s="670" t="s">
        <v>3275</v>
      </c>
      <c r="B15" s="670" t="s">
        <v>3276</v>
      </c>
      <c r="C15" s="480" t="s">
        <v>3277</v>
      </c>
      <c r="D15" s="482">
        <v>150000000</v>
      </c>
      <c r="E15" s="483" t="s">
        <v>506</v>
      </c>
      <c r="F15" s="480">
        <v>0</v>
      </c>
      <c r="G15" s="481" t="s">
        <v>2</v>
      </c>
      <c r="H15" s="484">
        <f t="shared" si="1"/>
        <v>150000000</v>
      </c>
      <c r="J15" s="811">
        <v>2800000000</v>
      </c>
      <c r="K15" s="811">
        <f t="shared" si="2"/>
        <v>15400000</v>
      </c>
      <c r="L15" s="811">
        <v>163580000</v>
      </c>
      <c r="M15" s="811">
        <f t="shared" si="3"/>
        <v>178980000</v>
      </c>
      <c r="N15" s="811">
        <f t="shared" si="4"/>
        <v>2621020000</v>
      </c>
      <c r="O15" s="811">
        <v>3305600000</v>
      </c>
      <c r="P15" s="813">
        <f t="shared" si="5"/>
        <v>684580000</v>
      </c>
    </row>
    <row r="16" spans="1:16" ht="24" customHeight="1">
      <c r="A16" s="670"/>
      <c r="B16" s="670"/>
      <c r="C16" s="480" t="s">
        <v>3278</v>
      </c>
      <c r="D16" s="482">
        <v>80000000</v>
      </c>
      <c r="E16" s="483" t="s">
        <v>3290</v>
      </c>
      <c r="F16" s="482">
        <v>50000000</v>
      </c>
      <c r="G16" s="483" t="s">
        <v>3290</v>
      </c>
      <c r="H16" s="484">
        <f t="shared" si="1"/>
        <v>130000000</v>
      </c>
      <c r="J16" s="811">
        <v>2850000000</v>
      </c>
      <c r="K16" s="811">
        <f t="shared" si="2"/>
        <v>15675000</v>
      </c>
      <c r="L16" s="811">
        <v>170680000</v>
      </c>
      <c r="M16" s="811">
        <f t="shared" si="3"/>
        <v>186355000</v>
      </c>
      <c r="N16" s="811">
        <f t="shared" si="4"/>
        <v>2663645000</v>
      </c>
      <c r="O16" s="811">
        <v>3305600000</v>
      </c>
      <c r="P16" s="813">
        <f t="shared" si="5"/>
        <v>641955000</v>
      </c>
    </row>
    <row r="17" spans="1:16" ht="24" customHeight="1">
      <c r="A17" s="670"/>
      <c r="B17" s="670"/>
      <c r="C17" s="480" t="s">
        <v>3279</v>
      </c>
      <c r="D17" s="480">
        <v>0</v>
      </c>
      <c r="E17" s="481" t="s">
        <v>2</v>
      </c>
      <c r="F17" s="480">
        <v>0</v>
      </c>
      <c r="G17" s="481" t="s">
        <v>2</v>
      </c>
      <c r="H17" s="484">
        <f t="shared" si="1"/>
        <v>0</v>
      </c>
      <c r="J17" s="812">
        <v>2900000000</v>
      </c>
      <c r="K17" s="812">
        <f t="shared" si="2"/>
        <v>15950000</v>
      </c>
      <c r="L17" s="812">
        <v>177810000</v>
      </c>
      <c r="M17" s="812">
        <f t="shared" si="3"/>
        <v>193760000</v>
      </c>
      <c r="N17" s="812">
        <f t="shared" si="4"/>
        <v>2706240000</v>
      </c>
      <c r="O17" s="812">
        <v>3305600000</v>
      </c>
      <c r="P17" s="814">
        <f t="shared" si="5"/>
        <v>599360000</v>
      </c>
    </row>
    <row r="18" spans="1:16" ht="24" customHeight="1">
      <c r="A18" s="670"/>
      <c r="B18" s="670" t="s">
        <v>3280</v>
      </c>
      <c r="C18" s="670"/>
      <c r="D18" s="480">
        <v>0</v>
      </c>
      <c r="E18" s="481" t="s">
        <v>2</v>
      </c>
      <c r="F18" s="480">
        <v>0</v>
      </c>
      <c r="G18" s="481" t="s">
        <v>2</v>
      </c>
      <c r="H18" s="484">
        <f t="shared" si="1"/>
        <v>0</v>
      </c>
      <c r="J18" s="812">
        <v>2950000000</v>
      </c>
      <c r="K18" s="812">
        <f t="shared" si="2"/>
        <v>16224999.999999998</v>
      </c>
      <c r="L18" s="812">
        <v>184960000</v>
      </c>
      <c r="M18" s="812">
        <f t="shared" si="3"/>
        <v>201185000</v>
      </c>
      <c r="N18" s="812">
        <f t="shared" si="4"/>
        <v>2748815000</v>
      </c>
      <c r="O18" s="812">
        <v>3305600000</v>
      </c>
      <c r="P18" s="814">
        <f t="shared" si="5"/>
        <v>556785000</v>
      </c>
    </row>
    <row r="19" spans="1:16" ht="24" customHeight="1">
      <c r="A19" s="670"/>
      <c r="B19" s="670" t="s">
        <v>3281</v>
      </c>
      <c r="C19" s="670"/>
      <c r="D19" s="482">
        <v>50000000</v>
      </c>
      <c r="E19" s="483" t="s">
        <v>3291</v>
      </c>
      <c r="F19" s="482">
        <v>50000000</v>
      </c>
      <c r="G19" s="483" t="s">
        <v>3291</v>
      </c>
      <c r="H19" s="484">
        <f t="shared" si="1"/>
        <v>100000000</v>
      </c>
      <c r="J19" s="812">
        <v>3000000000</v>
      </c>
      <c r="K19" s="812">
        <f t="shared" si="2"/>
        <v>16499999.999999998</v>
      </c>
      <c r="L19" s="812">
        <v>182180000</v>
      </c>
      <c r="M19" s="812">
        <f t="shared" si="3"/>
        <v>198680000</v>
      </c>
      <c r="N19" s="812">
        <f t="shared" si="4"/>
        <v>2801320000</v>
      </c>
      <c r="O19" s="812">
        <v>3305600000</v>
      </c>
      <c r="P19" s="814">
        <f t="shared" si="5"/>
        <v>504280000</v>
      </c>
    </row>
    <row r="20" spans="1:16" ht="24" customHeight="1">
      <c r="A20" s="670"/>
      <c r="B20" s="670" t="s">
        <v>3282</v>
      </c>
      <c r="C20" s="480" t="s">
        <v>3270</v>
      </c>
      <c r="D20" s="480">
        <v>0</v>
      </c>
      <c r="E20" s="481" t="s">
        <v>2</v>
      </c>
      <c r="F20" s="480">
        <v>0</v>
      </c>
      <c r="G20" s="481" t="s">
        <v>2</v>
      </c>
      <c r="H20" s="484">
        <f t="shared" si="1"/>
        <v>0</v>
      </c>
      <c r="J20" s="811">
        <v>3050000000</v>
      </c>
      <c r="K20" s="811">
        <f t="shared" si="2"/>
        <v>16774999.999999998</v>
      </c>
      <c r="L20" s="811">
        <v>199740000</v>
      </c>
      <c r="M20" s="811">
        <f t="shared" si="3"/>
        <v>216515000</v>
      </c>
      <c r="N20" s="811">
        <f t="shared" si="4"/>
        <v>2833485000</v>
      </c>
      <c r="O20" s="811">
        <v>3305600000</v>
      </c>
      <c r="P20" s="813">
        <f t="shared" si="5"/>
        <v>472115000</v>
      </c>
    </row>
    <row r="21" spans="1:16" ht="24" customHeight="1">
      <c r="A21" s="670"/>
      <c r="B21" s="670"/>
      <c r="C21" s="480" t="s">
        <v>3271</v>
      </c>
      <c r="D21" s="480">
        <v>0</v>
      </c>
      <c r="E21" s="481" t="s">
        <v>2</v>
      </c>
      <c r="F21" s="480">
        <v>0</v>
      </c>
      <c r="G21" s="481" t="s">
        <v>2</v>
      </c>
      <c r="H21" s="484">
        <f t="shared" ref="H21" si="6">SUM(D21:F21)</f>
        <v>0</v>
      </c>
      <c r="J21" s="811">
        <v>3100000000</v>
      </c>
      <c r="K21" s="811">
        <f t="shared" si="2"/>
        <v>17050000</v>
      </c>
      <c r="L21" s="811">
        <v>207320000</v>
      </c>
      <c r="M21" s="811">
        <f t="shared" si="3"/>
        <v>224370000</v>
      </c>
      <c r="N21" s="811">
        <f t="shared" si="4"/>
        <v>2875630000</v>
      </c>
      <c r="O21" s="811">
        <v>3305600000</v>
      </c>
      <c r="P21" s="813">
        <f t="shared" si="5"/>
        <v>429970000</v>
      </c>
    </row>
    <row r="22" spans="1:16" ht="24" customHeight="1">
      <c r="A22" s="670"/>
      <c r="B22" s="670"/>
      <c r="C22" s="480" t="s">
        <v>3272</v>
      </c>
      <c r="D22" s="480">
        <v>0</v>
      </c>
      <c r="E22" s="481" t="s">
        <v>2</v>
      </c>
      <c r="F22" s="480">
        <v>0</v>
      </c>
      <c r="G22" s="481" t="s">
        <v>2</v>
      </c>
      <c r="H22" s="484">
        <f t="shared" si="1"/>
        <v>0</v>
      </c>
    </row>
    <row r="23" spans="1:16" ht="24" customHeight="1">
      <c r="A23" s="678" t="s">
        <v>1061</v>
      </c>
      <c r="B23" s="679"/>
      <c r="C23" s="680"/>
      <c r="D23" s="484">
        <f>SUM(D3:D22)</f>
        <v>3266132730</v>
      </c>
      <c r="E23" s="485" t="s">
        <v>2</v>
      </c>
      <c r="F23" s="484">
        <f>SUM(F3:F22)</f>
        <v>290000000</v>
      </c>
      <c r="G23" s="485"/>
      <c r="H23" s="486">
        <f t="shared" si="1"/>
        <v>3556132730</v>
      </c>
    </row>
  </sheetData>
  <mergeCells count="18">
    <mergeCell ref="K7:L7"/>
    <mergeCell ref="A23:C23"/>
    <mergeCell ref="A3:A14"/>
    <mergeCell ref="A15:A22"/>
    <mergeCell ref="B10:B12"/>
    <mergeCell ref="B15:B17"/>
    <mergeCell ref="B20:B22"/>
    <mergeCell ref="B18:C18"/>
    <mergeCell ref="B19:C19"/>
    <mergeCell ref="B13:C13"/>
    <mergeCell ref="B14:C14"/>
    <mergeCell ref="B3:C8"/>
    <mergeCell ref="K8:L8"/>
    <mergeCell ref="D1:E1"/>
    <mergeCell ref="F1:G1"/>
    <mergeCell ref="H1:H2"/>
    <mergeCell ref="B9:C9"/>
    <mergeCell ref="A1:C2"/>
  </mergeCells>
  <phoneticPr fontId="5" type="noConversion"/>
  <pageMargins left="0.7" right="0.7" top="0.75" bottom="0.75" header="0.3" footer="0.3"/>
  <pageSetup paperSize="9" scale="83" fitToHeight="0" orientation="landscape" r:id="rId1"/>
  <headerFooter>
    <oddHeader>&amp;R&amp;"Aptos"&amp;13&amp;K000000 [ RESTRICTED ]&amp;1#_x000D_</oddHeader>
    <oddFooter>&amp;R_x000D_&amp;1#&amp;"Aptos"&amp;5&amp;K000000 [Secure Minds, Secure Finds] 본 문서는 현대건설㈜의 정보자산이므로 무단 전제 및 복제할 수 없으며, 이를 위반할 시에는 당사 사규 및 관련 법규에 의해 제지를 받을 수 있습니다.</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6A2CDD-E22C-4B93-93E9-49490E4179CB}">
  <dimension ref="A1:P55"/>
  <sheetViews>
    <sheetView zoomScaleNormal="100" workbookViewId="0">
      <pane ySplit="2" topLeftCell="A3" activePane="bottomLeft" state="frozen"/>
      <selection activeCell="E8" sqref="E8"/>
      <selection pane="bottomLeft" activeCell="D30" sqref="D30"/>
    </sheetView>
  </sheetViews>
  <sheetFormatPr defaultColWidth="9" defaultRowHeight="17.25" customHeight="1"/>
  <cols>
    <col min="1" max="2" width="9" style="220"/>
    <col min="3" max="4" width="16.375" style="220" customWidth="1"/>
    <col min="5" max="5" width="9" style="220"/>
    <col min="6" max="8" width="10.75" style="475" customWidth="1"/>
    <col min="9" max="12" width="12.25" style="475" customWidth="1"/>
    <col min="13" max="13" width="13.125" style="475" bestFit="1" customWidth="1"/>
    <col min="14" max="14" width="13.125" style="475" customWidth="1"/>
    <col min="15" max="16" width="12.125" style="220" customWidth="1"/>
    <col min="17" max="16384" width="9" style="220"/>
  </cols>
  <sheetData>
    <row r="1" spans="1:16" ht="17.25" customHeight="1">
      <c r="A1" s="683" t="s">
        <v>3181</v>
      </c>
      <c r="B1" s="683" t="s">
        <v>3113</v>
      </c>
      <c r="C1" s="683" t="s">
        <v>3103</v>
      </c>
      <c r="D1" s="683"/>
      <c r="E1" s="683" t="s">
        <v>3104</v>
      </c>
      <c r="F1" s="684" t="s">
        <v>3105</v>
      </c>
      <c r="G1" s="684"/>
      <c r="H1" s="684" t="s">
        <v>3193</v>
      </c>
      <c r="I1" s="684" t="s">
        <v>3194</v>
      </c>
      <c r="J1" s="684"/>
      <c r="K1" s="684"/>
      <c r="L1" s="684"/>
      <c r="M1" s="684" t="s">
        <v>3188</v>
      </c>
      <c r="N1" s="684"/>
      <c r="O1" s="683" t="s">
        <v>3106</v>
      </c>
      <c r="P1" s="683" t="s">
        <v>3107</v>
      </c>
    </row>
    <row r="2" spans="1:16" ht="17.25" customHeight="1">
      <c r="A2" s="683"/>
      <c r="B2" s="683"/>
      <c r="C2" s="220" t="s">
        <v>3190</v>
      </c>
      <c r="D2" s="220" t="s">
        <v>3191</v>
      </c>
      <c r="E2" s="683"/>
      <c r="F2" s="220" t="s">
        <v>3190</v>
      </c>
      <c r="G2" s="220" t="s">
        <v>3191</v>
      </c>
      <c r="H2" s="684"/>
      <c r="I2" s="475" t="s">
        <v>3108</v>
      </c>
      <c r="J2" s="475" t="s">
        <v>3120</v>
      </c>
      <c r="K2" s="475" t="s">
        <v>3182</v>
      </c>
      <c r="L2" s="475" t="s">
        <v>3183</v>
      </c>
      <c r="M2" s="475" t="s">
        <v>3189</v>
      </c>
      <c r="N2" s="475" t="s">
        <v>3120</v>
      </c>
      <c r="O2" s="683"/>
      <c r="P2" s="683"/>
    </row>
    <row r="3" spans="1:16" ht="17.25" customHeight="1">
      <c r="A3" s="476">
        <f>ROW()-ROW($A$2)</f>
        <v>1</v>
      </c>
      <c r="B3" s="476" t="s">
        <v>3112</v>
      </c>
      <c r="C3" s="476" t="s">
        <v>3128</v>
      </c>
      <c r="D3" s="476" t="s">
        <v>3110</v>
      </c>
      <c r="E3" s="476" t="s">
        <v>3114</v>
      </c>
      <c r="F3" s="477">
        <v>2100</v>
      </c>
      <c r="G3" s="477">
        <v>5007</v>
      </c>
      <c r="H3" s="477">
        <v>213</v>
      </c>
      <c r="I3" s="477">
        <v>1832</v>
      </c>
      <c r="J3" s="477">
        <v>1358</v>
      </c>
      <c r="K3" s="477">
        <f>IFERROR(ROUNDDOWN(IF(J3="","",J3*0.3),0),"")</f>
        <v>407</v>
      </c>
      <c r="L3" s="477">
        <f>IFERROR(ROUNDDOWN(IF(K3="","",K3*0.25),0),"")</f>
        <v>101</v>
      </c>
      <c r="M3" s="477"/>
      <c r="N3" s="477" t="str">
        <f>IF(M3="","",M3*34)</f>
        <v/>
      </c>
      <c r="O3" s="476"/>
      <c r="P3" s="476"/>
    </row>
    <row r="4" spans="1:16" ht="17.25" customHeight="1">
      <c r="A4" s="476">
        <f>ROW()-ROW($A$2)</f>
        <v>2</v>
      </c>
      <c r="B4" s="476" t="s">
        <v>3112</v>
      </c>
      <c r="C4" s="476" t="s">
        <v>3109</v>
      </c>
      <c r="D4" s="476" t="s">
        <v>3111</v>
      </c>
      <c r="E4" s="476" t="s">
        <v>3114</v>
      </c>
      <c r="F4" s="477">
        <v>1490</v>
      </c>
      <c r="G4" s="477">
        <v>2091</v>
      </c>
      <c r="H4" s="477">
        <v>0</v>
      </c>
      <c r="I4" s="477">
        <v>506</v>
      </c>
      <c r="J4" s="477">
        <v>50</v>
      </c>
      <c r="K4" s="477">
        <f t="shared" ref="K4:K55" si="0">IFERROR(ROUNDDOWN(IF(J4="","",J4*0.3),0),"")</f>
        <v>15</v>
      </c>
      <c r="L4" s="477">
        <f t="shared" ref="L4:L55" si="1">IFERROR(ROUNDDOWN(IF(K4="","",K4*0.25),0),"")</f>
        <v>3</v>
      </c>
      <c r="M4" s="477">
        <v>8484</v>
      </c>
      <c r="N4" s="477">
        <f t="shared" ref="N4:N55" si="2">IF(M4="","",M4*34)</f>
        <v>288456</v>
      </c>
      <c r="O4" s="476"/>
      <c r="P4" s="476"/>
    </row>
    <row r="5" spans="1:16" ht="17.25" customHeight="1">
      <c r="A5" s="220">
        <f t="shared" ref="A5:A55" si="3">ROW()-ROW($A$2)</f>
        <v>3</v>
      </c>
      <c r="B5" s="220" t="s">
        <v>3112</v>
      </c>
      <c r="C5" s="220" t="s">
        <v>3122</v>
      </c>
      <c r="D5" s="220" t="s">
        <v>3187</v>
      </c>
      <c r="E5" s="220" t="s">
        <v>3114</v>
      </c>
      <c r="F5" s="475">
        <v>1260</v>
      </c>
      <c r="G5" s="475">
        <v>1739</v>
      </c>
      <c r="H5" s="475">
        <v>208</v>
      </c>
      <c r="I5" s="475">
        <v>309</v>
      </c>
      <c r="J5" s="475">
        <v>309</v>
      </c>
      <c r="K5" s="475">
        <f t="shared" si="0"/>
        <v>92</v>
      </c>
      <c r="L5" s="475">
        <f t="shared" si="1"/>
        <v>23</v>
      </c>
      <c r="N5" s="475" t="str">
        <f t="shared" si="2"/>
        <v/>
      </c>
    </row>
    <row r="6" spans="1:16" ht="17.25" customHeight="1">
      <c r="A6" s="220">
        <f t="shared" si="3"/>
        <v>4</v>
      </c>
      <c r="B6" s="220" t="s">
        <v>3112</v>
      </c>
      <c r="C6" s="220" t="s">
        <v>3123</v>
      </c>
      <c r="D6" s="220" t="s">
        <v>3187</v>
      </c>
      <c r="E6" s="220" t="s">
        <v>3114</v>
      </c>
      <c r="F6" s="475">
        <v>435</v>
      </c>
      <c r="G6" s="475">
        <v>558</v>
      </c>
      <c r="K6" s="475" t="str">
        <f t="shared" si="0"/>
        <v/>
      </c>
      <c r="L6" s="475" t="str">
        <f t="shared" si="1"/>
        <v/>
      </c>
      <c r="N6" s="475" t="str">
        <f t="shared" si="2"/>
        <v/>
      </c>
    </row>
    <row r="7" spans="1:16" ht="17.25" customHeight="1">
      <c r="A7" s="220">
        <f t="shared" si="3"/>
        <v>5</v>
      </c>
      <c r="B7" s="220" t="s">
        <v>3129</v>
      </c>
      <c r="C7" s="220" t="s">
        <v>3124</v>
      </c>
      <c r="D7" s="220" t="s">
        <v>3184</v>
      </c>
      <c r="E7" s="220" t="s">
        <v>3114</v>
      </c>
      <c r="F7" s="475">
        <v>1572</v>
      </c>
      <c r="G7" s="475">
        <v>2056</v>
      </c>
      <c r="H7" s="475">
        <v>258</v>
      </c>
      <c r="I7" s="475">
        <v>215</v>
      </c>
      <c r="J7" s="475">
        <v>40</v>
      </c>
      <c r="K7" s="475">
        <f t="shared" si="0"/>
        <v>12</v>
      </c>
      <c r="L7" s="475">
        <f t="shared" si="1"/>
        <v>3</v>
      </c>
      <c r="N7" s="475" t="str">
        <f t="shared" si="2"/>
        <v/>
      </c>
    </row>
    <row r="8" spans="1:16" ht="17.25" customHeight="1">
      <c r="A8" s="220">
        <f t="shared" si="3"/>
        <v>6</v>
      </c>
      <c r="B8" s="220" t="s">
        <v>3129</v>
      </c>
      <c r="C8" s="220" t="s">
        <v>3125</v>
      </c>
      <c r="D8" s="220" t="s">
        <v>3185</v>
      </c>
      <c r="E8" s="220" t="s">
        <v>3114</v>
      </c>
      <c r="F8" s="475">
        <v>1212</v>
      </c>
      <c r="G8" s="475">
        <v>1828</v>
      </c>
      <c r="H8" s="475">
        <v>285</v>
      </c>
      <c r="K8" s="475" t="str">
        <f t="shared" si="0"/>
        <v/>
      </c>
      <c r="L8" s="475" t="str">
        <f t="shared" si="1"/>
        <v/>
      </c>
      <c r="N8" s="475" t="str">
        <f t="shared" si="2"/>
        <v/>
      </c>
    </row>
    <row r="9" spans="1:16" ht="17.25" customHeight="1">
      <c r="A9" s="220">
        <f t="shared" si="3"/>
        <v>7</v>
      </c>
      <c r="B9" s="220" t="s">
        <v>3129</v>
      </c>
      <c r="C9" s="220" t="s">
        <v>3121</v>
      </c>
      <c r="D9" s="220" t="s">
        <v>3192</v>
      </c>
      <c r="E9" s="220" t="s">
        <v>3114</v>
      </c>
      <c r="F9" s="475">
        <v>324</v>
      </c>
      <c r="G9" s="475">
        <v>432</v>
      </c>
      <c r="H9" s="475">
        <v>45</v>
      </c>
      <c r="K9" s="475" t="str">
        <f t="shared" si="0"/>
        <v/>
      </c>
      <c r="L9" s="475" t="str">
        <f t="shared" si="1"/>
        <v/>
      </c>
      <c r="N9" s="475" t="str">
        <f t="shared" si="2"/>
        <v/>
      </c>
    </row>
    <row r="10" spans="1:16" ht="17.25" customHeight="1">
      <c r="A10" s="220">
        <f t="shared" si="3"/>
        <v>8</v>
      </c>
      <c r="B10" s="220" t="s">
        <v>3129</v>
      </c>
      <c r="C10" s="220" t="s">
        <v>3126</v>
      </c>
      <c r="D10" s="220" t="s">
        <v>3195</v>
      </c>
      <c r="E10" s="220" t="s">
        <v>3114</v>
      </c>
      <c r="F10" s="475">
        <v>396</v>
      </c>
      <c r="G10" s="475">
        <v>468</v>
      </c>
      <c r="K10" s="475" t="str">
        <f t="shared" si="0"/>
        <v/>
      </c>
      <c r="L10" s="475" t="str">
        <f t="shared" si="1"/>
        <v/>
      </c>
      <c r="N10" s="475" t="str">
        <f t="shared" si="2"/>
        <v/>
      </c>
    </row>
    <row r="11" spans="1:16" ht="17.25" customHeight="1">
      <c r="A11" s="220">
        <f t="shared" si="3"/>
        <v>9</v>
      </c>
      <c r="B11" s="220" t="s">
        <v>3129</v>
      </c>
      <c r="C11" s="220" t="s">
        <v>3127</v>
      </c>
      <c r="D11" s="220" t="s">
        <v>3187</v>
      </c>
      <c r="E11" s="220" t="s">
        <v>3114</v>
      </c>
      <c r="F11" s="475">
        <v>411</v>
      </c>
      <c r="G11" s="475">
        <v>629</v>
      </c>
      <c r="K11" s="475" t="str">
        <f t="shared" si="0"/>
        <v/>
      </c>
      <c r="L11" s="475" t="str">
        <f t="shared" si="1"/>
        <v/>
      </c>
      <c r="N11" s="475" t="str">
        <f t="shared" si="2"/>
        <v/>
      </c>
    </row>
    <row r="12" spans="1:16" ht="17.25" customHeight="1">
      <c r="A12" s="220">
        <f t="shared" si="3"/>
        <v>10</v>
      </c>
      <c r="B12" s="220" t="s">
        <v>3129</v>
      </c>
      <c r="C12" s="220" t="s">
        <v>3134</v>
      </c>
      <c r="D12" s="220" t="s">
        <v>3187</v>
      </c>
      <c r="E12" s="220" t="s">
        <v>3114</v>
      </c>
      <c r="F12" s="475">
        <v>450</v>
      </c>
      <c r="G12" s="475">
        <v>575</v>
      </c>
      <c r="K12" s="475" t="str">
        <f t="shared" si="0"/>
        <v/>
      </c>
      <c r="L12" s="475" t="str">
        <f t="shared" si="1"/>
        <v/>
      </c>
      <c r="N12" s="475" t="str">
        <f t="shared" si="2"/>
        <v/>
      </c>
    </row>
    <row r="13" spans="1:16" ht="17.25" customHeight="1">
      <c r="A13" s="220">
        <f t="shared" si="3"/>
        <v>11</v>
      </c>
      <c r="B13" s="220" t="s">
        <v>3135</v>
      </c>
      <c r="C13" s="220" t="s">
        <v>3136</v>
      </c>
      <c r="D13" s="220" t="s">
        <v>3187</v>
      </c>
      <c r="E13" s="220" t="s">
        <v>3114</v>
      </c>
      <c r="F13" s="475">
        <v>1233</v>
      </c>
      <c r="G13" s="475">
        <v>1634</v>
      </c>
      <c r="K13" s="475" t="str">
        <f t="shared" si="0"/>
        <v/>
      </c>
      <c r="L13" s="475" t="str">
        <f t="shared" si="1"/>
        <v/>
      </c>
      <c r="N13" s="475" t="str">
        <f t="shared" si="2"/>
        <v/>
      </c>
    </row>
    <row r="14" spans="1:16" ht="17.25" customHeight="1">
      <c r="A14" s="220">
        <f t="shared" si="3"/>
        <v>12</v>
      </c>
      <c r="B14" s="220" t="s">
        <v>3135</v>
      </c>
      <c r="C14" s="220" t="s">
        <v>3137</v>
      </c>
      <c r="D14" s="220" t="s">
        <v>3186</v>
      </c>
      <c r="E14" s="220" t="s">
        <v>3114</v>
      </c>
      <c r="F14" s="475">
        <v>1924</v>
      </c>
      <c r="G14" s="475">
        <v>2571</v>
      </c>
      <c r="H14" s="475">
        <v>313</v>
      </c>
      <c r="K14" s="475" t="str">
        <f t="shared" si="0"/>
        <v/>
      </c>
      <c r="L14" s="475" t="str">
        <f t="shared" si="1"/>
        <v/>
      </c>
      <c r="N14" s="475" t="str">
        <f t="shared" si="2"/>
        <v/>
      </c>
    </row>
    <row r="15" spans="1:16" ht="17.25" customHeight="1">
      <c r="A15" s="220">
        <f t="shared" si="3"/>
        <v>13</v>
      </c>
      <c r="B15" s="220" t="s">
        <v>3135</v>
      </c>
      <c r="C15" s="220" t="s">
        <v>3138</v>
      </c>
      <c r="D15" s="220" t="s">
        <v>3187</v>
      </c>
      <c r="E15" s="220" t="s">
        <v>3114</v>
      </c>
      <c r="F15" s="475">
        <v>3934</v>
      </c>
      <c r="G15" s="475">
        <v>5175</v>
      </c>
      <c r="K15" s="475" t="str">
        <f t="shared" si="0"/>
        <v/>
      </c>
      <c r="L15" s="475" t="str">
        <f t="shared" si="1"/>
        <v/>
      </c>
      <c r="N15" s="475" t="str">
        <f t="shared" si="2"/>
        <v/>
      </c>
    </row>
    <row r="16" spans="1:16" ht="17.25" customHeight="1">
      <c r="A16" s="220">
        <f t="shared" si="3"/>
        <v>14</v>
      </c>
      <c r="B16" s="220" t="s">
        <v>3135</v>
      </c>
      <c r="C16" s="220" t="s">
        <v>3139</v>
      </c>
      <c r="D16" s="220" t="s">
        <v>3187</v>
      </c>
      <c r="E16" s="220" t="s">
        <v>3114</v>
      </c>
      <c r="F16" s="475">
        <v>1340</v>
      </c>
      <c r="G16" s="475">
        <v>1790</v>
      </c>
      <c r="K16" s="475" t="str">
        <f t="shared" si="0"/>
        <v/>
      </c>
      <c r="L16" s="475" t="str">
        <f t="shared" si="1"/>
        <v/>
      </c>
      <c r="N16" s="475" t="str">
        <f t="shared" si="2"/>
        <v/>
      </c>
    </row>
    <row r="17" spans="1:14" ht="17.25" customHeight="1">
      <c r="A17" s="220">
        <f t="shared" si="3"/>
        <v>15</v>
      </c>
      <c r="B17" s="220" t="s">
        <v>3135</v>
      </c>
      <c r="C17" s="220" t="s">
        <v>3140</v>
      </c>
      <c r="D17" s="220" t="s">
        <v>3187</v>
      </c>
      <c r="E17" s="220" t="s">
        <v>3114</v>
      </c>
      <c r="F17" s="475">
        <v>1233</v>
      </c>
      <c r="G17" s="475">
        <v>1540</v>
      </c>
      <c r="K17" s="475" t="str">
        <f t="shared" si="0"/>
        <v/>
      </c>
      <c r="L17" s="475" t="str">
        <f t="shared" si="1"/>
        <v/>
      </c>
      <c r="N17" s="475" t="str">
        <f t="shared" si="2"/>
        <v/>
      </c>
    </row>
    <row r="18" spans="1:14" ht="17.25" customHeight="1">
      <c r="A18" s="220">
        <f t="shared" si="3"/>
        <v>16</v>
      </c>
      <c r="B18" s="220" t="s">
        <v>3147</v>
      </c>
      <c r="C18" s="220" t="s">
        <v>3149</v>
      </c>
      <c r="D18" s="220" t="s">
        <v>3187</v>
      </c>
      <c r="E18" s="220" t="s">
        <v>3114</v>
      </c>
      <c r="F18" s="475">
        <v>1584</v>
      </c>
      <c r="G18" s="475">
        <v>2473</v>
      </c>
      <c r="H18" s="475">
        <v>343</v>
      </c>
      <c r="K18" s="475" t="str">
        <f t="shared" si="0"/>
        <v/>
      </c>
      <c r="L18" s="475" t="str">
        <f t="shared" si="1"/>
        <v/>
      </c>
      <c r="N18" s="475" t="str">
        <f t="shared" si="2"/>
        <v/>
      </c>
    </row>
    <row r="19" spans="1:14" ht="17.25" customHeight="1">
      <c r="A19" s="220">
        <f t="shared" si="3"/>
        <v>17</v>
      </c>
      <c r="B19" s="220" t="s">
        <v>3147</v>
      </c>
      <c r="C19" s="220" t="s">
        <v>3150</v>
      </c>
      <c r="D19" s="220" t="s">
        <v>3187</v>
      </c>
      <c r="E19" s="220" t="s">
        <v>3114</v>
      </c>
      <c r="F19" s="475">
        <v>192</v>
      </c>
      <c r="G19" s="475">
        <v>700</v>
      </c>
      <c r="K19" s="475" t="str">
        <f t="shared" si="0"/>
        <v/>
      </c>
      <c r="L19" s="475" t="str">
        <f t="shared" si="1"/>
        <v/>
      </c>
      <c r="N19" s="475" t="str">
        <f t="shared" si="2"/>
        <v/>
      </c>
    </row>
    <row r="20" spans="1:14" ht="17.25" customHeight="1">
      <c r="A20" s="220">
        <f t="shared" si="3"/>
        <v>18</v>
      </c>
      <c r="B20" s="220" t="s">
        <v>3147</v>
      </c>
      <c r="C20" s="220" t="s">
        <v>3151</v>
      </c>
      <c r="D20" s="220" t="s">
        <v>3187</v>
      </c>
      <c r="E20" s="220" t="s">
        <v>3114</v>
      </c>
      <c r="F20" s="475">
        <v>866</v>
      </c>
      <c r="G20" s="475">
        <v>1788</v>
      </c>
      <c r="H20" s="475">
        <v>246</v>
      </c>
      <c r="K20" s="475" t="str">
        <f t="shared" si="0"/>
        <v/>
      </c>
      <c r="L20" s="475" t="str">
        <f t="shared" si="1"/>
        <v/>
      </c>
      <c r="N20" s="475" t="str">
        <f t="shared" si="2"/>
        <v/>
      </c>
    </row>
    <row r="21" spans="1:14" ht="17.25" customHeight="1">
      <c r="A21" s="220">
        <f t="shared" si="3"/>
        <v>19</v>
      </c>
      <c r="B21" s="220" t="s">
        <v>3147</v>
      </c>
      <c r="C21" s="220" t="s">
        <v>3152</v>
      </c>
      <c r="D21" s="220" t="s">
        <v>3187</v>
      </c>
      <c r="E21" s="220" t="s">
        <v>3114</v>
      </c>
      <c r="F21" s="475">
        <v>576</v>
      </c>
      <c r="G21" s="475">
        <v>912</v>
      </c>
      <c r="H21" s="475">
        <v>144</v>
      </c>
      <c r="K21" s="475" t="str">
        <f t="shared" si="0"/>
        <v/>
      </c>
      <c r="L21" s="475" t="str">
        <f t="shared" si="1"/>
        <v/>
      </c>
      <c r="N21" s="475" t="str">
        <f t="shared" si="2"/>
        <v/>
      </c>
    </row>
    <row r="22" spans="1:14" ht="17.25" customHeight="1">
      <c r="A22" s="220">
        <f t="shared" si="3"/>
        <v>20</v>
      </c>
      <c r="B22" s="220" t="s">
        <v>3147</v>
      </c>
      <c r="C22" s="220" t="s">
        <v>3153</v>
      </c>
      <c r="D22" s="220" t="s">
        <v>3216</v>
      </c>
      <c r="E22" s="220" t="s">
        <v>3114</v>
      </c>
      <c r="F22" s="475">
        <v>588</v>
      </c>
      <c r="G22" s="475">
        <v>992</v>
      </c>
      <c r="K22" s="475" t="str">
        <f t="shared" si="0"/>
        <v/>
      </c>
      <c r="L22" s="475" t="str">
        <f t="shared" si="1"/>
        <v/>
      </c>
      <c r="N22" s="475" t="str">
        <f t="shared" si="2"/>
        <v/>
      </c>
    </row>
    <row r="23" spans="1:14" ht="17.25" customHeight="1">
      <c r="A23" s="220">
        <f t="shared" si="3"/>
        <v>21</v>
      </c>
      <c r="B23" s="220" t="s">
        <v>3156</v>
      </c>
      <c r="C23" s="220" t="s">
        <v>3157</v>
      </c>
      <c r="D23" s="220" t="s">
        <v>3196</v>
      </c>
      <c r="E23" s="220" t="s">
        <v>3119</v>
      </c>
      <c r="F23" s="475">
        <v>0</v>
      </c>
      <c r="G23" s="475">
        <v>1540</v>
      </c>
      <c r="H23" s="475">
        <v>262</v>
      </c>
      <c r="I23" s="475">
        <v>393</v>
      </c>
      <c r="K23" s="475" t="str">
        <f t="shared" si="0"/>
        <v/>
      </c>
      <c r="L23" s="475" t="str">
        <f t="shared" si="1"/>
        <v/>
      </c>
      <c r="N23" s="475" t="str">
        <f t="shared" si="2"/>
        <v/>
      </c>
    </row>
    <row r="24" spans="1:14" ht="17.25" customHeight="1">
      <c r="A24" s="220">
        <f t="shared" si="3"/>
        <v>22</v>
      </c>
      <c r="B24" s="220" t="s">
        <v>3156</v>
      </c>
      <c r="C24" s="220" t="s">
        <v>3158</v>
      </c>
      <c r="D24" s="220" t="s">
        <v>3198</v>
      </c>
      <c r="E24" s="220" t="s">
        <v>3119</v>
      </c>
      <c r="F24" s="475">
        <v>0</v>
      </c>
      <c r="G24" s="475">
        <v>1515</v>
      </c>
      <c r="H24" s="475">
        <v>266</v>
      </c>
      <c r="I24" s="475">
        <v>419</v>
      </c>
      <c r="K24" s="475" t="str">
        <f t="shared" si="0"/>
        <v/>
      </c>
      <c r="L24" s="475" t="str">
        <f t="shared" si="1"/>
        <v/>
      </c>
      <c r="N24" s="475" t="str">
        <f t="shared" si="2"/>
        <v/>
      </c>
    </row>
    <row r="25" spans="1:14" ht="17.25" customHeight="1">
      <c r="A25" s="220">
        <f t="shared" si="3"/>
        <v>23</v>
      </c>
      <c r="B25" s="220" t="s">
        <v>3154</v>
      </c>
      <c r="C25" s="220" t="s">
        <v>3155</v>
      </c>
      <c r="D25" s="220" t="s">
        <v>3197</v>
      </c>
      <c r="E25" s="220" t="s">
        <v>3119</v>
      </c>
      <c r="F25" s="475">
        <v>0</v>
      </c>
      <c r="G25" s="475">
        <v>2992</v>
      </c>
      <c r="H25" s="475">
        <v>531</v>
      </c>
      <c r="K25" s="475" t="str">
        <f t="shared" si="0"/>
        <v/>
      </c>
      <c r="L25" s="475" t="str">
        <f t="shared" si="1"/>
        <v/>
      </c>
      <c r="N25" s="475" t="str">
        <f t="shared" si="2"/>
        <v/>
      </c>
    </row>
    <row r="26" spans="1:14" ht="17.25" customHeight="1">
      <c r="A26" s="220">
        <f t="shared" si="3"/>
        <v>24</v>
      </c>
      <c r="B26" s="220" t="s">
        <v>3154</v>
      </c>
      <c r="C26" s="220" t="s">
        <v>3159</v>
      </c>
      <c r="D26" s="220" t="s">
        <v>3199</v>
      </c>
      <c r="E26" s="220" t="s">
        <v>3119</v>
      </c>
      <c r="F26" s="475">
        <v>0</v>
      </c>
      <c r="G26" s="475">
        <v>404</v>
      </c>
      <c r="H26" s="475">
        <v>105</v>
      </c>
      <c r="K26" s="475" t="str">
        <f t="shared" si="0"/>
        <v/>
      </c>
      <c r="L26" s="475" t="str">
        <f t="shared" si="1"/>
        <v/>
      </c>
      <c r="N26" s="475" t="str">
        <f t="shared" si="2"/>
        <v/>
      </c>
    </row>
    <row r="27" spans="1:14" ht="17.25" customHeight="1">
      <c r="A27" s="220">
        <f t="shared" si="3"/>
        <v>25</v>
      </c>
      <c r="B27" s="220" t="s">
        <v>3154</v>
      </c>
      <c r="C27" s="220" t="s">
        <v>3160</v>
      </c>
      <c r="D27" s="220" t="s">
        <v>3200</v>
      </c>
      <c r="E27" s="220" t="s">
        <v>3119</v>
      </c>
      <c r="F27" s="475">
        <v>0</v>
      </c>
      <c r="G27" s="475">
        <v>1012</v>
      </c>
      <c r="H27" s="475">
        <v>174</v>
      </c>
      <c r="K27" s="475" t="str">
        <f t="shared" si="0"/>
        <v/>
      </c>
      <c r="L27" s="475" t="str">
        <f t="shared" si="1"/>
        <v/>
      </c>
      <c r="N27" s="475" t="str">
        <f t="shared" si="2"/>
        <v/>
      </c>
    </row>
    <row r="28" spans="1:14" ht="17.25" customHeight="1">
      <c r="A28" s="220">
        <f t="shared" si="3"/>
        <v>26</v>
      </c>
      <c r="B28" s="220" t="s">
        <v>3154</v>
      </c>
      <c r="C28" s="220" t="s">
        <v>3161</v>
      </c>
      <c r="D28" s="220" t="s">
        <v>3201</v>
      </c>
      <c r="E28" s="220" t="s">
        <v>3119</v>
      </c>
      <c r="F28" s="475">
        <v>0</v>
      </c>
      <c r="G28" s="475">
        <v>842</v>
      </c>
      <c r="H28" s="475">
        <v>149</v>
      </c>
      <c r="K28" s="475" t="str">
        <f t="shared" si="0"/>
        <v/>
      </c>
      <c r="L28" s="475" t="str">
        <f t="shared" si="1"/>
        <v/>
      </c>
      <c r="N28" s="475" t="str">
        <f t="shared" si="2"/>
        <v/>
      </c>
    </row>
    <row r="29" spans="1:14" ht="17.25" customHeight="1">
      <c r="A29" s="220">
        <f t="shared" si="3"/>
        <v>27</v>
      </c>
      <c r="B29" s="220" t="s">
        <v>3154</v>
      </c>
      <c r="C29" s="220" t="s">
        <v>3162</v>
      </c>
      <c r="D29" s="220" t="s">
        <v>3202</v>
      </c>
      <c r="E29" s="220" t="s">
        <v>3119</v>
      </c>
      <c r="F29" s="475">
        <v>0</v>
      </c>
      <c r="G29" s="475">
        <v>623</v>
      </c>
      <c r="H29" s="475">
        <v>108</v>
      </c>
      <c r="K29" s="475" t="str">
        <f t="shared" si="0"/>
        <v/>
      </c>
      <c r="L29" s="475" t="str">
        <f t="shared" si="1"/>
        <v/>
      </c>
      <c r="N29" s="475" t="str">
        <f t="shared" si="2"/>
        <v/>
      </c>
    </row>
    <row r="30" spans="1:14" ht="17.25" customHeight="1">
      <c r="A30" s="220">
        <f t="shared" si="3"/>
        <v>28</v>
      </c>
      <c r="B30" s="220" t="s">
        <v>3154</v>
      </c>
      <c r="C30" s="220" t="s">
        <v>3163</v>
      </c>
      <c r="D30" s="220" t="s">
        <v>3203</v>
      </c>
      <c r="E30" s="220" t="s">
        <v>3119</v>
      </c>
      <c r="F30" s="475">
        <v>0</v>
      </c>
      <c r="G30" s="475">
        <v>1499</v>
      </c>
      <c r="H30" s="475">
        <v>262</v>
      </c>
      <c r="K30" s="475" t="str">
        <f t="shared" si="0"/>
        <v/>
      </c>
      <c r="L30" s="475" t="str">
        <f t="shared" si="1"/>
        <v/>
      </c>
      <c r="N30" s="475" t="str">
        <f t="shared" si="2"/>
        <v/>
      </c>
    </row>
    <row r="31" spans="1:14" ht="17.25" customHeight="1">
      <c r="A31" s="220">
        <f t="shared" si="3"/>
        <v>29</v>
      </c>
      <c r="B31" s="220" t="s">
        <v>3154</v>
      </c>
      <c r="C31" s="220" t="s">
        <v>3164</v>
      </c>
      <c r="D31" s="220" t="s">
        <v>3199</v>
      </c>
      <c r="E31" s="220" t="s">
        <v>3119</v>
      </c>
      <c r="F31" s="475">
        <v>0</v>
      </c>
      <c r="G31" s="475">
        <v>576</v>
      </c>
      <c r="H31" s="475">
        <v>98</v>
      </c>
      <c r="K31" s="475" t="str">
        <f t="shared" si="0"/>
        <v/>
      </c>
      <c r="L31" s="475" t="str">
        <f t="shared" si="1"/>
        <v/>
      </c>
      <c r="N31" s="475" t="str">
        <f t="shared" si="2"/>
        <v/>
      </c>
    </row>
    <row r="32" spans="1:14" ht="17.25" customHeight="1">
      <c r="A32" s="220">
        <f t="shared" si="3"/>
        <v>30</v>
      </c>
      <c r="B32" s="220" t="s">
        <v>3154</v>
      </c>
      <c r="C32" s="220" t="s">
        <v>3165</v>
      </c>
      <c r="D32" s="220" t="s">
        <v>3204</v>
      </c>
      <c r="E32" s="220" t="s">
        <v>3119</v>
      </c>
      <c r="F32" s="475">
        <v>0</v>
      </c>
      <c r="G32" s="475">
        <v>987</v>
      </c>
      <c r="H32" s="475">
        <v>172</v>
      </c>
      <c r="I32" s="475">
        <v>293</v>
      </c>
      <c r="K32" s="475" t="str">
        <f t="shared" si="0"/>
        <v/>
      </c>
      <c r="L32" s="475" t="str">
        <f t="shared" si="1"/>
        <v/>
      </c>
      <c r="N32" s="475" t="str">
        <f t="shared" si="2"/>
        <v/>
      </c>
    </row>
    <row r="33" spans="1:14" ht="17.25" customHeight="1">
      <c r="A33" s="220">
        <f t="shared" si="3"/>
        <v>31</v>
      </c>
      <c r="B33" s="220" t="s">
        <v>3115</v>
      </c>
      <c r="C33" s="220" t="s">
        <v>3116</v>
      </c>
      <c r="D33" s="220" t="s">
        <v>3208</v>
      </c>
      <c r="E33" s="220" t="s">
        <v>3114</v>
      </c>
      <c r="F33" s="475">
        <v>493</v>
      </c>
      <c r="G33" s="475">
        <v>843</v>
      </c>
      <c r="I33" s="475">
        <v>159</v>
      </c>
      <c r="K33" s="475" t="str">
        <f t="shared" si="0"/>
        <v/>
      </c>
      <c r="L33" s="475" t="str">
        <f t="shared" si="1"/>
        <v/>
      </c>
      <c r="N33" s="475" t="str">
        <f t="shared" si="2"/>
        <v/>
      </c>
    </row>
    <row r="34" spans="1:14" ht="17.25" customHeight="1">
      <c r="A34" s="220">
        <f t="shared" si="3"/>
        <v>32</v>
      </c>
      <c r="B34" s="220" t="s">
        <v>3115</v>
      </c>
      <c r="C34" s="220" t="s">
        <v>3130</v>
      </c>
      <c r="D34" s="220" t="s">
        <v>3187</v>
      </c>
      <c r="E34" s="220" t="s">
        <v>3114</v>
      </c>
      <c r="F34" s="475">
        <v>481</v>
      </c>
      <c r="G34" s="475">
        <v>998</v>
      </c>
      <c r="K34" s="475" t="str">
        <f t="shared" si="0"/>
        <v/>
      </c>
      <c r="L34" s="475" t="str">
        <f t="shared" si="1"/>
        <v/>
      </c>
      <c r="N34" s="475" t="str">
        <f t="shared" si="2"/>
        <v/>
      </c>
    </row>
    <row r="35" spans="1:14" ht="17.25" customHeight="1">
      <c r="A35" s="220">
        <f t="shared" si="3"/>
        <v>33</v>
      </c>
      <c r="B35" s="220" t="s">
        <v>3115</v>
      </c>
      <c r="C35" s="220" t="s">
        <v>3131</v>
      </c>
      <c r="D35" s="220" t="s">
        <v>3187</v>
      </c>
      <c r="E35" s="220" t="s">
        <v>3114</v>
      </c>
      <c r="G35" s="475">
        <v>1005</v>
      </c>
      <c r="K35" s="475" t="str">
        <f t="shared" si="0"/>
        <v/>
      </c>
      <c r="L35" s="475" t="str">
        <f t="shared" si="1"/>
        <v/>
      </c>
      <c r="N35" s="475" t="str">
        <f t="shared" si="2"/>
        <v/>
      </c>
    </row>
    <row r="36" spans="1:14" ht="17.25" customHeight="1">
      <c r="A36" s="220">
        <f t="shared" si="3"/>
        <v>34</v>
      </c>
      <c r="B36" s="220" t="s">
        <v>3115</v>
      </c>
      <c r="C36" s="220" t="s">
        <v>3167</v>
      </c>
      <c r="D36" s="220" t="s">
        <v>3205</v>
      </c>
      <c r="E36" s="220" t="s">
        <v>3119</v>
      </c>
      <c r="F36" s="475">
        <v>0</v>
      </c>
      <c r="G36" s="475">
        <v>2369</v>
      </c>
      <c r="H36" s="475">
        <v>379</v>
      </c>
      <c r="I36" s="475">
        <v>547</v>
      </c>
      <c r="J36" s="475">
        <v>34</v>
      </c>
      <c r="K36" s="475">
        <f t="shared" si="0"/>
        <v>10</v>
      </c>
      <c r="L36" s="475">
        <f t="shared" si="1"/>
        <v>2</v>
      </c>
      <c r="N36" s="475" t="str">
        <f t="shared" si="2"/>
        <v/>
      </c>
    </row>
    <row r="37" spans="1:14" ht="17.25" customHeight="1">
      <c r="A37" s="220">
        <f t="shared" si="3"/>
        <v>35</v>
      </c>
      <c r="B37" s="220" t="s">
        <v>3115</v>
      </c>
      <c r="C37" s="220" t="s">
        <v>3168</v>
      </c>
      <c r="D37" s="220" t="s">
        <v>3206</v>
      </c>
      <c r="E37" s="220" t="s">
        <v>3119</v>
      </c>
      <c r="F37" s="475">
        <v>0</v>
      </c>
      <c r="G37" s="475">
        <v>492</v>
      </c>
      <c r="H37" s="475">
        <v>52</v>
      </c>
      <c r="I37" s="475">
        <v>134</v>
      </c>
      <c r="K37" s="475" t="str">
        <f t="shared" si="0"/>
        <v/>
      </c>
      <c r="L37" s="475" t="str">
        <f t="shared" si="1"/>
        <v/>
      </c>
      <c r="N37" s="475" t="str">
        <f t="shared" si="2"/>
        <v/>
      </c>
    </row>
    <row r="38" spans="1:14" ht="17.25" customHeight="1">
      <c r="A38" s="220">
        <f t="shared" si="3"/>
        <v>36</v>
      </c>
      <c r="B38" s="220" t="s">
        <v>3115</v>
      </c>
      <c r="C38" s="220" t="s">
        <v>3169</v>
      </c>
      <c r="D38" s="220" t="s">
        <v>3207</v>
      </c>
      <c r="E38" s="220" t="s">
        <v>3119</v>
      </c>
      <c r="F38" s="475">
        <v>0</v>
      </c>
      <c r="G38" s="475">
        <v>1691</v>
      </c>
      <c r="H38" s="475">
        <v>248</v>
      </c>
      <c r="I38" s="475">
        <v>321</v>
      </c>
      <c r="K38" s="475" t="str">
        <f t="shared" si="0"/>
        <v/>
      </c>
      <c r="L38" s="475" t="str">
        <f t="shared" si="1"/>
        <v/>
      </c>
      <c r="N38" s="475" t="str">
        <f t="shared" si="2"/>
        <v/>
      </c>
    </row>
    <row r="39" spans="1:14" ht="17.25" customHeight="1">
      <c r="A39" s="220">
        <f t="shared" si="3"/>
        <v>37</v>
      </c>
      <c r="B39" s="220" t="s">
        <v>3118</v>
      </c>
      <c r="C39" s="220" t="s">
        <v>3132</v>
      </c>
      <c r="D39" s="220" t="s">
        <v>3187</v>
      </c>
      <c r="E39" s="220" t="s">
        <v>3114</v>
      </c>
      <c r="F39" s="475">
        <v>2390</v>
      </c>
      <c r="G39" s="475">
        <v>2800</v>
      </c>
      <c r="K39" s="475" t="str">
        <f t="shared" si="0"/>
        <v/>
      </c>
      <c r="L39" s="475" t="str">
        <f t="shared" si="1"/>
        <v/>
      </c>
      <c r="N39" s="475" t="str">
        <f t="shared" si="2"/>
        <v/>
      </c>
    </row>
    <row r="40" spans="1:14" ht="17.25" customHeight="1">
      <c r="A40" s="220">
        <f t="shared" si="3"/>
        <v>38</v>
      </c>
      <c r="B40" s="220" t="s">
        <v>3118</v>
      </c>
      <c r="C40" s="220" t="s">
        <v>3133</v>
      </c>
      <c r="D40" s="220" t="s">
        <v>3187</v>
      </c>
      <c r="E40" s="220" t="s">
        <v>3114</v>
      </c>
      <c r="F40" s="475">
        <v>615</v>
      </c>
      <c r="G40" s="475">
        <v>857</v>
      </c>
      <c r="H40" s="475">
        <v>94</v>
      </c>
      <c r="K40" s="475" t="str">
        <f t="shared" si="0"/>
        <v/>
      </c>
      <c r="L40" s="475" t="str">
        <f t="shared" si="1"/>
        <v/>
      </c>
      <c r="N40" s="475" t="str">
        <f t="shared" si="2"/>
        <v/>
      </c>
    </row>
    <row r="41" spans="1:14" ht="17.25" customHeight="1">
      <c r="A41" s="220">
        <f t="shared" si="3"/>
        <v>39</v>
      </c>
      <c r="B41" s="220" t="s">
        <v>3118</v>
      </c>
      <c r="C41" s="220" t="s">
        <v>3117</v>
      </c>
      <c r="D41" s="220" t="s">
        <v>3187</v>
      </c>
      <c r="E41" s="220" t="s">
        <v>3114</v>
      </c>
      <c r="F41" s="475">
        <v>997</v>
      </c>
      <c r="G41" s="475">
        <v>1161</v>
      </c>
      <c r="H41" s="475">
        <v>0</v>
      </c>
      <c r="I41" s="475">
        <v>56</v>
      </c>
      <c r="J41" s="475">
        <v>0</v>
      </c>
      <c r="K41" s="475">
        <f t="shared" si="0"/>
        <v>0</v>
      </c>
      <c r="L41" s="475">
        <f t="shared" si="1"/>
        <v>0</v>
      </c>
      <c r="N41" s="475" t="str">
        <f t="shared" si="2"/>
        <v/>
      </c>
    </row>
    <row r="42" spans="1:14" ht="17.25" customHeight="1">
      <c r="A42" s="220">
        <f t="shared" si="3"/>
        <v>40</v>
      </c>
      <c r="B42" s="220" t="s">
        <v>3141</v>
      </c>
      <c r="C42" s="220" t="s">
        <v>3142</v>
      </c>
      <c r="D42" s="220" t="s">
        <v>3209</v>
      </c>
      <c r="E42" s="220" t="s">
        <v>3114</v>
      </c>
      <c r="F42" s="475">
        <v>3930</v>
      </c>
      <c r="G42" s="475">
        <v>6387</v>
      </c>
      <c r="H42" s="475">
        <v>785</v>
      </c>
      <c r="K42" s="475" t="str">
        <f t="shared" si="0"/>
        <v/>
      </c>
      <c r="L42" s="475" t="str">
        <f t="shared" si="1"/>
        <v/>
      </c>
      <c r="N42" s="475" t="str">
        <f t="shared" si="2"/>
        <v/>
      </c>
    </row>
    <row r="43" spans="1:14" ht="17.25" customHeight="1">
      <c r="A43" s="220">
        <f t="shared" si="3"/>
        <v>41</v>
      </c>
      <c r="B43" s="220" t="s">
        <v>3141</v>
      </c>
      <c r="C43" s="220" t="s">
        <v>3143</v>
      </c>
      <c r="D43" s="220" t="s">
        <v>3210</v>
      </c>
      <c r="E43" s="220" t="s">
        <v>3114</v>
      </c>
      <c r="F43" s="475">
        <v>1842</v>
      </c>
      <c r="G43" s="475">
        <v>2680</v>
      </c>
      <c r="K43" s="475" t="str">
        <f t="shared" si="0"/>
        <v/>
      </c>
      <c r="L43" s="475" t="str">
        <f t="shared" si="1"/>
        <v/>
      </c>
      <c r="N43" s="475" t="str">
        <f t="shared" si="2"/>
        <v/>
      </c>
    </row>
    <row r="44" spans="1:14" ht="17.25" customHeight="1">
      <c r="A44" s="220">
        <f t="shared" si="3"/>
        <v>42</v>
      </c>
      <c r="B44" s="220" t="s">
        <v>3141</v>
      </c>
      <c r="C44" s="220" t="s">
        <v>3144</v>
      </c>
      <c r="D44" s="220" t="s">
        <v>3217</v>
      </c>
      <c r="E44" s="220" t="s">
        <v>3114</v>
      </c>
      <c r="F44" s="475">
        <v>555</v>
      </c>
      <c r="G44" s="475">
        <v>825</v>
      </c>
      <c r="K44" s="475" t="str">
        <f t="shared" si="0"/>
        <v/>
      </c>
      <c r="L44" s="475" t="str">
        <f t="shared" si="1"/>
        <v/>
      </c>
      <c r="N44" s="475" t="str">
        <f t="shared" si="2"/>
        <v/>
      </c>
    </row>
    <row r="45" spans="1:14" ht="17.25" customHeight="1">
      <c r="A45" s="220">
        <f t="shared" si="3"/>
        <v>43</v>
      </c>
      <c r="B45" s="220" t="s">
        <v>3141</v>
      </c>
      <c r="C45" s="220" t="s">
        <v>3145</v>
      </c>
      <c r="D45" s="220" t="s">
        <v>3187</v>
      </c>
      <c r="E45" s="220" t="s">
        <v>3114</v>
      </c>
      <c r="F45" s="475">
        <v>3522</v>
      </c>
      <c r="G45" s="475">
        <v>5165</v>
      </c>
      <c r="K45" s="475" t="str">
        <f t="shared" si="0"/>
        <v/>
      </c>
      <c r="L45" s="475" t="str">
        <f t="shared" si="1"/>
        <v/>
      </c>
      <c r="N45" s="475" t="str">
        <f t="shared" si="2"/>
        <v/>
      </c>
    </row>
    <row r="46" spans="1:14" ht="17.25" customHeight="1">
      <c r="A46" s="220">
        <f t="shared" si="3"/>
        <v>44</v>
      </c>
      <c r="B46" s="220" t="s">
        <v>3146</v>
      </c>
      <c r="C46" s="220" t="s">
        <v>3148</v>
      </c>
      <c r="D46" s="220" t="s">
        <v>3211</v>
      </c>
      <c r="E46" s="220" t="s">
        <v>3114</v>
      </c>
      <c r="F46" s="475">
        <v>660</v>
      </c>
      <c r="G46" s="475">
        <v>1685</v>
      </c>
      <c r="K46" s="475" t="str">
        <f t="shared" si="0"/>
        <v/>
      </c>
      <c r="L46" s="475" t="str">
        <f t="shared" si="1"/>
        <v/>
      </c>
      <c r="N46" s="475" t="str">
        <f t="shared" si="2"/>
        <v/>
      </c>
    </row>
    <row r="47" spans="1:14" ht="17.25" customHeight="1">
      <c r="A47" s="220">
        <f t="shared" si="3"/>
        <v>45</v>
      </c>
      <c r="B47" s="220" t="s">
        <v>3146</v>
      </c>
      <c r="C47" s="220" t="s">
        <v>3180</v>
      </c>
      <c r="D47" s="220" t="s">
        <v>3187</v>
      </c>
      <c r="E47" s="220" t="s">
        <v>3114</v>
      </c>
      <c r="F47" s="475">
        <v>1326</v>
      </c>
      <c r="G47" s="475">
        <v>1903</v>
      </c>
      <c r="H47" s="475">
        <v>257</v>
      </c>
      <c r="K47" s="475" t="str">
        <f t="shared" si="0"/>
        <v/>
      </c>
      <c r="L47" s="475" t="str">
        <f t="shared" si="1"/>
        <v/>
      </c>
      <c r="N47" s="475" t="str">
        <f t="shared" si="2"/>
        <v/>
      </c>
    </row>
    <row r="48" spans="1:14" ht="17.25" customHeight="1">
      <c r="A48" s="220">
        <f t="shared" si="3"/>
        <v>46</v>
      </c>
      <c r="B48" s="220" t="s">
        <v>3170</v>
      </c>
      <c r="C48" s="220" t="s">
        <v>3171</v>
      </c>
      <c r="D48" s="220" t="s">
        <v>3212</v>
      </c>
      <c r="E48" s="220" t="s">
        <v>3119</v>
      </c>
      <c r="F48" s="475">
        <v>0</v>
      </c>
      <c r="G48" s="475">
        <v>1537</v>
      </c>
      <c r="K48" s="475" t="str">
        <f t="shared" si="0"/>
        <v/>
      </c>
      <c r="L48" s="475" t="str">
        <f t="shared" si="1"/>
        <v/>
      </c>
      <c r="N48" s="475" t="str">
        <f t="shared" si="2"/>
        <v/>
      </c>
    </row>
    <row r="49" spans="1:14" ht="17.25" customHeight="1">
      <c r="A49" s="220">
        <f t="shared" si="3"/>
        <v>47</v>
      </c>
      <c r="B49" s="220" t="s">
        <v>3170</v>
      </c>
      <c r="C49" s="220" t="s">
        <v>3172</v>
      </c>
      <c r="D49" s="220" t="s">
        <v>3213</v>
      </c>
      <c r="E49" s="220" t="s">
        <v>3119</v>
      </c>
      <c r="F49" s="475">
        <v>0</v>
      </c>
      <c r="G49" s="475">
        <v>5970</v>
      </c>
      <c r="K49" s="475" t="str">
        <f t="shared" si="0"/>
        <v/>
      </c>
      <c r="L49" s="475" t="str">
        <f t="shared" si="1"/>
        <v/>
      </c>
      <c r="N49" s="475" t="str">
        <f t="shared" si="2"/>
        <v/>
      </c>
    </row>
    <row r="50" spans="1:14" ht="17.25" customHeight="1">
      <c r="A50" s="220">
        <f t="shared" si="3"/>
        <v>48</v>
      </c>
      <c r="B50" s="220" t="s">
        <v>3170</v>
      </c>
      <c r="C50" s="220" t="s">
        <v>3173</v>
      </c>
      <c r="D50" s="220" t="s">
        <v>3214</v>
      </c>
      <c r="E50" s="220" t="s">
        <v>3119</v>
      </c>
      <c r="F50" s="475">
        <v>0</v>
      </c>
      <c r="G50" s="475">
        <v>2360</v>
      </c>
      <c r="K50" s="475" t="str">
        <f t="shared" si="0"/>
        <v/>
      </c>
      <c r="L50" s="475" t="str">
        <f t="shared" si="1"/>
        <v/>
      </c>
      <c r="N50" s="475" t="str">
        <f t="shared" si="2"/>
        <v/>
      </c>
    </row>
    <row r="51" spans="1:14" ht="17.25" customHeight="1">
      <c r="A51" s="220">
        <f t="shared" si="3"/>
        <v>49</v>
      </c>
      <c r="B51" s="220" t="s">
        <v>3170</v>
      </c>
      <c r="C51" s="220" t="s">
        <v>3174</v>
      </c>
      <c r="D51" s="220" t="s">
        <v>3215</v>
      </c>
      <c r="E51" s="220" t="s">
        <v>3119</v>
      </c>
      <c r="F51" s="475">
        <v>0</v>
      </c>
      <c r="G51" s="475">
        <v>2401</v>
      </c>
      <c r="K51" s="475" t="str">
        <f t="shared" si="0"/>
        <v/>
      </c>
      <c r="L51" s="475" t="str">
        <f t="shared" si="1"/>
        <v/>
      </c>
      <c r="N51" s="475" t="str">
        <f t="shared" si="2"/>
        <v/>
      </c>
    </row>
    <row r="52" spans="1:14" ht="17.25" customHeight="1">
      <c r="A52" s="220">
        <f t="shared" si="3"/>
        <v>50</v>
      </c>
      <c r="B52" s="220" t="s">
        <v>3175</v>
      </c>
      <c r="C52" s="220" t="s">
        <v>3176</v>
      </c>
      <c r="D52" s="220" t="s">
        <v>3187</v>
      </c>
      <c r="E52" s="220" t="s">
        <v>3119</v>
      </c>
      <c r="F52" s="475">
        <v>0</v>
      </c>
      <c r="G52" s="475">
        <v>3014</v>
      </c>
      <c r="K52" s="475" t="str">
        <f t="shared" si="0"/>
        <v/>
      </c>
      <c r="L52" s="475" t="str">
        <f t="shared" si="1"/>
        <v/>
      </c>
      <c r="N52" s="475" t="str">
        <f t="shared" si="2"/>
        <v/>
      </c>
    </row>
    <row r="53" spans="1:14" ht="17.25" customHeight="1">
      <c r="A53" s="220">
        <f t="shared" si="3"/>
        <v>51</v>
      </c>
      <c r="B53" s="220" t="s">
        <v>3175</v>
      </c>
      <c r="C53" s="220" t="s">
        <v>3177</v>
      </c>
      <c r="D53" s="220" t="s">
        <v>3187</v>
      </c>
      <c r="E53" s="220" t="s">
        <v>3119</v>
      </c>
      <c r="F53" s="475">
        <v>0</v>
      </c>
      <c r="G53" s="475">
        <v>2609</v>
      </c>
      <c r="K53" s="475" t="str">
        <f t="shared" si="0"/>
        <v/>
      </c>
      <c r="L53" s="475" t="str">
        <f t="shared" si="1"/>
        <v/>
      </c>
      <c r="N53" s="475" t="str">
        <f t="shared" si="2"/>
        <v/>
      </c>
    </row>
    <row r="54" spans="1:14" ht="17.25" customHeight="1">
      <c r="A54" s="220">
        <f t="shared" si="3"/>
        <v>52</v>
      </c>
      <c r="B54" s="220" t="s">
        <v>3175</v>
      </c>
      <c r="C54" s="220" t="s">
        <v>3178</v>
      </c>
      <c r="D54" s="220" t="s">
        <v>3187</v>
      </c>
      <c r="E54" s="220" t="s">
        <v>3119</v>
      </c>
      <c r="F54" s="475">
        <v>0</v>
      </c>
      <c r="G54" s="475">
        <v>2213</v>
      </c>
      <c r="K54" s="475" t="str">
        <f t="shared" si="0"/>
        <v/>
      </c>
      <c r="L54" s="475" t="str">
        <f t="shared" si="1"/>
        <v/>
      </c>
      <c r="N54" s="475" t="str">
        <f t="shared" si="2"/>
        <v/>
      </c>
    </row>
    <row r="55" spans="1:14" ht="17.25" customHeight="1">
      <c r="A55" s="220">
        <f t="shared" si="3"/>
        <v>53</v>
      </c>
      <c r="B55" s="220" t="s">
        <v>3175</v>
      </c>
      <c r="C55" s="220" t="s">
        <v>3179</v>
      </c>
      <c r="D55" s="220" t="s">
        <v>3187</v>
      </c>
      <c r="E55" s="220" t="s">
        <v>3119</v>
      </c>
      <c r="F55" s="475">
        <v>0</v>
      </c>
      <c r="G55" s="475">
        <v>1592</v>
      </c>
      <c r="K55" s="475" t="str">
        <f t="shared" si="0"/>
        <v/>
      </c>
      <c r="L55" s="475" t="str">
        <f t="shared" si="1"/>
        <v/>
      </c>
      <c r="N55" s="475" t="str">
        <f t="shared" si="2"/>
        <v/>
      </c>
    </row>
  </sheetData>
  <autoFilter ref="A2:P55" xr:uid="{B26A2CDD-E22C-4B93-93E9-49490E4179CB}"/>
  <mergeCells count="10">
    <mergeCell ref="P1:P2"/>
    <mergeCell ref="A1:A2"/>
    <mergeCell ref="F1:G1"/>
    <mergeCell ref="I1:L1"/>
    <mergeCell ref="B1:B2"/>
    <mergeCell ref="C1:D1"/>
    <mergeCell ref="E1:E2"/>
    <mergeCell ref="M1:N1"/>
    <mergeCell ref="O1:O2"/>
    <mergeCell ref="H1:H2"/>
  </mergeCells>
  <phoneticPr fontId="5" type="noConversion"/>
  <pageMargins left="0.7" right="0.7" top="0.75" bottom="0.75" header="0.3" footer="0.3"/>
  <headerFooter>
    <oddHeader>&amp;R&amp;"Aptos"&amp;13&amp;K000000 [ RESTRICTED ]&amp;1#_x000D_</oddHeader>
    <oddFooter>&amp;R_x000D_&amp;1#&amp;"Aptos"&amp;5&amp;K000000 [Secure Minds, Secure Finds] 본 문서는 현대건설㈜의 정보자산이므로 무단 전제 및 복제할 수 없으며, 이를 위반할 시에는 당사 사규 및 관련 법규에 의해 제지를 받을 수 있습니다.</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64AC78-6C1B-4F93-AC77-5A69EB54E088}">
  <dimension ref="A1:M50"/>
  <sheetViews>
    <sheetView zoomScaleNormal="100" workbookViewId="0">
      <pane ySplit="2" topLeftCell="A24" activePane="bottomLeft" state="frozen"/>
      <selection activeCell="E8" sqref="E8"/>
      <selection pane="bottomLeft" activeCell="D34" sqref="D34"/>
    </sheetView>
  </sheetViews>
  <sheetFormatPr defaultColWidth="9" defaultRowHeight="19.5" customHeight="1"/>
  <cols>
    <col min="1" max="1" width="11.125" style="26" bestFit="1" customWidth="1"/>
    <col min="2" max="6" width="10" style="26" customWidth="1"/>
    <col min="7" max="7" width="4.75" style="255" customWidth="1"/>
    <col min="8" max="8" width="11.125" style="255" customWidth="1"/>
    <col min="9" max="9" width="9" style="255"/>
    <col min="10" max="10" width="22.875" style="255" customWidth="1"/>
    <col min="11" max="11" width="4.75" style="255" customWidth="1"/>
    <col min="12" max="12" width="9" style="255"/>
    <col min="13" max="13" width="11.125" style="255" customWidth="1"/>
    <col min="14" max="16384" width="9" style="255"/>
  </cols>
  <sheetData>
    <row r="1" spans="1:13" ht="19.5" customHeight="1">
      <c r="A1" s="685" t="s">
        <v>2434</v>
      </c>
      <c r="B1" s="685"/>
      <c r="C1" s="685"/>
      <c r="D1" s="685"/>
      <c r="E1" s="685"/>
      <c r="F1" s="685"/>
      <c r="H1" s="686" t="s">
        <v>2428</v>
      </c>
      <c r="I1" s="686"/>
      <c r="J1" s="686"/>
      <c r="L1" s="323" t="s">
        <v>2401</v>
      </c>
      <c r="M1" s="324">
        <v>2757326</v>
      </c>
    </row>
    <row r="2" spans="1:13" ht="19.5" customHeight="1">
      <c r="A2" s="318" t="s">
        <v>449</v>
      </c>
      <c r="B2" s="318" t="s">
        <v>234</v>
      </c>
      <c r="C2" s="318" t="s">
        <v>756</v>
      </c>
      <c r="D2" s="318" t="s">
        <v>797</v>
      </c>
      <c r="E2" s="318" t="s">
        <v>1718</v>
      </c>
      <c r="F2" s="318" t="s">
        <v>1719</v>
      </c>
      <c r="H2" s="318" t="s">
        <v>492</v>
      </c>
      <c r="I2" s="318" t="s">
        <v>2429</v>
      </c>
      <c r="J2" s="318" t="s">
        <v>2430</v>
      </c>
      <c r="L2" s="323" t="s">
        <v>2433</v>
      </c>
      <c r="M2" s="325">
        <v>46073</v>
      </c>
    </row>
    <row r="3" spans="1:13" ht="19.5" customHeight="1">
      <c r="A3" s="319">
        <v>45292</v>
      </c>
      <c r="B3" s="317">
        <v>45306</v>
      </c>
      <c r="C3" s="317">
        <v>45306</v>
      </c>
      <c r="D3" s="317">
        <v>45306</v>
      </c>
      <c r="E3" s="317">
        <v>45306</v>
      </c>
      <c r="F3" s="317">
        <v>45306</v>
      </c>
      <c r="H3" s="321">
        <v>45345</v>
      </c>
      <c r="I3" s="322">
        <v>9000</v>
      </c>
      <c r="J3" s="318" t="s">
        <v>2431</v>
      </c>
    </row>
    <row r="4" spans="1:13" ht="19.5" customHeight="1">
      <c r="A4" s="319">
        <v>45323</v>
      </c>
      <c r="B4" s="317">
        <v>45337</v>
      </c>
      <c r="C4" s="317">
        <v>45337</v>
      </c>
      <c r="D4" s="317">
        <v>45343</v>
      </c>
      <c r="E4" s="317">
        <v>45337</v>
      </c>
      <c r="F4" s="317">
        <v>45332</v>
      </c>
      <c r="H4" s="321">
        <v>45454</v>
      </c>
      <c r="I4" s="322">
        <v>9000</v>
      </c>
      <c r="J4" s="318" t="s">
        <v>2432</v>
      </c>
    </row>
    <row r="5" spans="1:13" ht="19.5" customHeight="1">
      <c r="A5" s="319">
        <v>45352</v>
      </c>
      <c r="B5" s="317">
        <v>45366</v>
      </c>
      <c r="C5" s="317">
        <v>45372</v>
      </c>
      <c r="D5" s="317">
        <v>45370</v>
      </c>
      <c r="E5" s="317">
        <v>45366</v>
      </c>
      <c r="F5" s="317">
        <v>45359</v>
      </c>
      <c r="H5" s="321">
        <v>45535</v>
      </c>
      <c r="I5" s="322">
        <v>9000</v>
      </c>
      <c r="J5" s="318" t="s">
        <v>2444</v>
      </c>
    </row>
    <row r="6" spans="1:13" ht="19.5" customHeight="1">
      <c r="A6" s="319">
        <v>45383</v>
      </c>
      <c r="B6" s="317">
        <v>45397</v>
      </c>
      <c r="C6" s="317">
        <v>45397</v>
      </c>
      <c r="D6" s="317">
        <v>45397</v>
      </c>
      <c r="E6" s="317">
        <v>45397</v>
      </c>
      <c r="F6" s="317">
        <v>45390</v>
      </c>
      <c r="H6" s="321">
        <v>45621</v>
      </c>
      <c r="I6" s="322">
        <v>9000</v>
      </c>
      <c r="J6" s="318" t="s">
        <v>2667</v>
      </c>
    </row>
    <row r="7" spans="1:13" ht="19.5" customHeight="1">
      <c r="A7" s="319">
        <v>45413</v>
      </c>
      <c r="B7" s="317">
        <v>45428</v>
      </c>
      <c r="C7" s="317">
        <v>45427</v>
      </c>
      <c r="D7" s="317">
        <v>45516</v>
      </c>
      <c r="E7" s="317">
        <v>45428</v>
      </c>
      <c r="F7" s="317">
        <v>45419</v>
      </c>
      <c r="H7" s="321">
        <v>45711</v>
      </c>
      <c r="I7" s="322">
        <v>9000</v>
      </c>
      <c r="J7" s="318" t="s">
        <v>2874</v>
      </c>
    </row>
    <row r="8" spans="1:13" ht="19.5" customHeight="1">
      <c r="A8" s="319">
        <v>45444</v>
      </c>
      <c r="B8" s="317">
        <v>45460</v>
      </c>
      <c r="C8" s="317">
        <v>45471</v>
      </c>
      <c r="D8" s="317">
        <v>45455</v>
      </c>
      <c r="E8" s="317">
        <v>45460</v>
      </c>
      <c r="F8" s="317">
        <v>45452</v>
      </c>
      <c r="H8" s="321"/>
      <c r="I8" s="322"/>
      <c r="J8" s="318"/>
    </row>
    <row r="9" spans="1:13" ht="19.5" customHeight="1">
      <c r="A9" s="319">
        <v>45474</v>
      </c>
      <c r="B9" s="317">
        <v>45488</v>
      </c>
      <c r="C9" s="317">
        <v>45488</v>
      </c>
      <c r="D9" s="317">
        <v>45516</v>
      </c>
      <c r="E9" s="317">
        <v>45488</v>
      </c>
      <c r="F9" s="317">
        <v>45482</v>
      </c>
      <c r="H9" s="321"/>
      <c r="I9" s="322"/>
      <c r="J9" s="318"/>
    </row>
    <row r="10" spans="1:13" ht="19.5" customHeight="1">
      <c r="A10" s="319">
        <v>45505</v>
      </c>
      <c r="B10" s="317">
        <v>45520</v>
      </c>
      <c r="C10" s="317">
        <v>45532</v>
      </c>
      <c r="D10" s="317">
        <v>45516</v>
      </c>
      <c r="E10" s="317">
        <v>45520</v>
      </c>
      <c r="F10" s="317">
        <v>45512</v>
      </c>
      <c r="H10" s="321"/>
      <c r="I10" s="322"/>
      <c r="J10" s="318"/>
    </row>
    <row r="11" spans="1:13" ht="19.5" customHeight="1">
      <c r="A11" s="319">
        <v>45536</v>
      </c>
      <c r="B11" s="317">
        <v>45554</v>
      </c>
      <c r="C11" s="317">
        <v>45562</v>
      </c>
      <c r="D11" s="317">
        <v>45555</v>
      </c>
      <c r="E11" s="317">
        <v>45554</v>
      </c>
      <c r="F11" s="317">
        <v>45543</v>
      </c>
      <c r="H11" s="321"/>
      <c r="I11" s="322"/>
      <c r="J11" s="318"/>
    </row>
    <row r="12" spans="1:13" ht="19.5" customHeight="1">
      <c r="A12" s="319">
        <v>45566</v>
      </c>
      <c r="B12" s="317">
        <v>45580</v>
      </c>
      <c r="C12" s="317">
        <v>45604</v>
      </c>
      <c r="D12" s="317">
        <v>45604</v>
      </c>
      <c r="E12" s="317">
        <v>45580</v>
      </c>
      <c r="F12" s="317">
        <v>45572</v>
      </c>
      <c r="H12" s="321"/>
      <c r="I12" s="322"/>
      <c r="J12" s="318"/>
    </row>
    <row r="13" spans="1:13" ht="19.5" customHeight="1">
      <c r="A13" s="319">
        <v>45597</v>
      </c>
      <c r="B13" s="317">
        <v>45611</v>
      </c>
      <c r="C13" s="317">
        <v>45604</v>
      </c>
      <c r="D13" s="317">
        <v>45604</v>
      </c>
      <c r="E13" s="317">
        <v>45611</v>
      </c>
      <c r="F13" s="317">
        <v>45606</v>
      </c>
      <c r="H13" s="321"/>
      <c r="I13" s="322"/>
      <c r="J13" s="318"/>
    </row>
    <row r="14" spans="1:13" ht="19.5" customHeight="1">
      <c r="A14" s="319">
        <v>45627</v>
      </c>
      <c r="B14" s="317">
        <v>45642</v>
      </c>
      <c r="C14" s="317">
        <v>45657</v>
      </c>
      <c r="D14" s="317">
        <v>45637</v>
      </c>
      <c r="E14" s="317">
        <v>45642</v>
      </c>
      <c r="F14" s="317">
        <v>45635</v>
      </c>
      <c r="H14" s="321"/>
      <c r="I14" s="322"/>
      <c r="J14" s="318"/>
    </row>
    <row r="15" spans="1:13" ht="19.5" customHeight="1">
      <c r="A15" s="319">
        <v>45658</v>
      </c>
      <c r="B15" s="317">
        <v>45672</v>
      </c>
      <c r="C15" s="317">
        <v>45687</v>
      </c>
      <c r="D15" s="317">
        <v>45660</v>
      </c>
      <c r="E15" s="317">
        <v>45672</v>
      </c>
      <c r="F15" s="317">
        <v>45663</v>
      </c>
      <c r="H15" s="321"/>
      <c r="I15" s="322"/>
      <c r="J15" s="318"/>
    </row>
    <row r="16" spans="1:13" ht="19.5" customHeight="1">
      <c r="A16" s="319">
        <v>45689</v>
      </c>
      <c r="B16" s="317">
        <v>45705</v>
      </c>
      <c r="C16" s="317">
        <v>45689</v>
      </c>
      <c r="D16" s="317">
        <v>45693</v>
      </c>
      <c r="E16" s="317">
        <v>45705</v>
      </c>
      <c r="F16" s="317">
        <v>45698</v>
      </c>
      <c r="H16" s="321"/>
      <c r="I16" s="322"/>
      <c r="J16" s="318"/>
    </row>
    <row r="17" spans="1:10" ht="19.5" customHeight="1">
      <c r="A17" s="319">
        <v>45717</v>
      </c>
      <c r="B17" s="317">
        <v>45733</v>
      </c>
      <c r="C17" s="317">
        <v>45733</v>
      </c>
      <c r="D17" s="317">
        <v>45722</v>
      </c>
      <c r="E17" s="317">
        <v>45733</v>
      </c>
      <c r="F17" s="317">
        <v>45725</v>
      </c>
      <c r="H17" s="321"/>
      <c r="I17" s="322"/>
      <c r="J17" s="318"/>
    </row>
    <row r="18" spans="1:10" ht="19.5" customHeight="1">
      <c r="A18" s="319">
        <v>45748</v>
      </c>
      <c r="B18" s="317">
        <v>45762</v>
      </c>
      <c r="C18" s="317">
        <v>45763</v>
      </c>
      <c r="D18" s="317">
        <v>45806</v>
      </c>
      <c r="E18" s="317">
        <v>45762</v>
      </c>
      <c r="F18" s="317">
        <v>45756</v>
      </c>
      <c r="H18" s="321"/>
      <c r="I18" s="322"/>
      <c r="J18" s="318"/>
    </row>
    <row r="19" spans="1:10" ht="19.5" customHeight="1">
      <c r="A19" s="319">
        <v>45778</v>
      </c>
      <c r="B19" s="317">
        <v>45792</v>
      </c>
      <c r="C19" s="317">
        <v>45792</v>
      </c>
      <c r="D19" s="317">
        <v>45806</v>
      </c>
      <c r="E19" s="317">
        <v>45792</v>
      </c>
      <c r="F19" s="317">
        <v>45784</v>
      </c>
      <c r="H19" s="321"/>
      <c r="I19" s="322"/>
      <c r="J19" s="318"/>
    </row>
    <row r="20" spans="1:10" ht="19.5" customHeight="1">
      <c r="A20" s="319">
        <v>45809</v>
      </c>
      <c r="B20" s="317">
        <v>45824</v>
      </c>
      <c r="C20" s="317">
        <v>45824</v>
      </c>
      <c r="D20" s="317">
        <v>45806</v>
      </c>
      <c r="E20" s="317">
        <v>45824</v>
      </c>
      <c r="F20" s="317">
        <v>45816</v>
      </c>
      <c r="H20" s="321"/>
      <c r="I20" s="322"/>
      <c r="J20" s="318"/>
    </row>
    <row r="21" spans="1:10" ht="19.5" customHeight="1">
      <c r="A21" s="319">
        <v>45839</v>
      </c>
      <c r="B21" s="317">
        <v>45853</v>
      </c>
      <c r="C21" s="317">
        <v>45853</v>
      </c>
      <c r="D21" s="317">
        <v>45916</v>
      </c>
      <c r="E21" s="317">
        <v>45853</v>
      </c>
      <c r="F21" s="317">
        <v>45846</v>
      </c>
      <c r="H21" s="321"/>
      <c r="I21" s="322"/>
      <c r="J21" s="318"/>
    </row>
    <row r="22" spans="1:10" ht="19.5" customHeight="1">
      <c r="A22" s="319">
        <v>45870</v>
      </c>
      <c r="B22" s="317">
        <v>45887</v>
      </c>
      <c r="C22" s="317">
        <v>45890</v>
      </c>
      <c r="D22" s="317">
        <v>45916</v>
      </c>
      <c r="E22" s="317">
        <v>45887</v>
      </c>
      <c r="F22" s="317">
        <v>45875</v>
      </c>
      <c r="H22" s="321"/>
      <c r="I22" s="322"/>
      <c r="J22" s="318"/>
    </row>
    <row r="23" spans="1:10" ht="19.5" customHeight="1">
      <c r="A23" s="319">
        <v>45901</v>
      </c>
      <c r="B23" s="317">
        <v>45915</v>
      </c>
      <c r="C23" s="317">
        <v>45916</v>
      </c>
      <c r="D23" s="317">
        <v>45916</v>
      </c>
      <c r="E23" s="317">
        <v>45915</v>
      </c>
      <c r="F23" s="317">
        <v>45905</v>
      </c>
      <c r="H23" s="321"/>
      <c r="I23" s="322"/>
      <c r="J23" s="318"/>
    </row>
    <row r="24" spans="1:10" ht="19.5" customHeight="1">
      <c r="A24" s="319">
        <v>45931</v>
      </c>
      <c r="B24" s="317">
        <v>45945</v>
      </c>
      <c r="C24" s="317">
        <v>45945</v>
      </c>
      <c r="D24" s="317">
        <v>45916</v>
      </c>
      <c r="E24" s="317">
        <v>45945</v>
      </c>
      <c r="F24" s="317">
        <v>45940</v>
      </c>
      <c r="H24" s="321"/>
      <c r="I24" s="322"/>
      <c r="J24" s="318"/>
    </row>
    <row r="25" spans="1:10" ht="19.5" customHeight="1">
      <c r="A25" s="319">
        <v>45962</v>
      </c>
      <c r="B25" s="317">
        <v>45978</v>
      </c>
      <c r="C25" s="317">
        <v>45978</v>
      </c>
      <c r="D25" s="317">
        <v>45945</v>
      </c>
      <c r="E25" s="317">
        <v>45978</v>
      </c>
      <c r="F25" s="317">
        <v>45970</v>
      </c>
      <c r="H25" s="321"/>
      <c r="I25" s="322"/>
      <c r="J25" s="318"/>
    </row>
    <row r="26" spans="1:10" ht="19.5" customHeight="1">
      <c r="A26" s="319">
        <v>45992</v>
      </c>
      <c r="B26" s="317">
        <v>46006</v>
      </c>
      <c r="C26" s="317">
        <v>46006</v>
      </c>
      <c r="D26" s="317">
        <v>45945</v>
      </c>
      <c r="E26" s="317">
        <v>46006</v>
      </c>
      <c r="F26" s="317">
        <v>45999</v>
      </c>
      <c r="H26" s="321"/>
      <c r="I26" s="322"/>
      <c r="J26" s="318"/>
    </row>
    <row r="27" spans="1:10" ht="19.5" customHeight="1">
      <c r="A27" s="319">
        <v>46023</v>
      </c>
      <c r="B27" s="317">
        <v>46037</v>
      </c>
      <c r="C27" s="317">
        <v>46037</v>
      </c>
      <c r="D27" s="317">
        <v>45945</v>
      </c>
      <c r="E27" s="317">
        <v>46037</v>
      </c>
      <c r="F27" s="317">
        <v>46031</v>
      </c>
      <c r="H27" s="321"/>
      <c r="I27" s="322"/>
      <c r="J27" s="318"/>
    </row>
    <row r="28" spans="1:10" ht="19.5" customHeight="1">
      <c r="A28" s="319">
        <v>46054</v>
      </c>
      <c r="B28" s="317">
        <v>46072</v>
      </c>
      <c r="C28" s="317">
        <v>46072</v>
      </c>
      <c r="D28" s="317">
        <v>45945</v>
      </c>
      <c r="E28" s="317">
        <v>46072</v>
      </c>
      <c r="F28" s="317">
        <v>46062</v>
      </c>
      <c r="H28" s="321"/>
      <c r="I28" s="322"/>
      <c r="J28" s="318"/>
    </row>
    <row r="29" spans="1:10" ht="19.5" customHeight="1">
      <c r="A29" s="319">
        <v>46082</v>
      </c>
      <c r="B29" s="317"/>
      <c r="C29" s="317"/>
      <c r="D29" s="317">
        <v>45945</v>
      </c>
      <c r="E29" s="317"/>
      <c r="F29" s="317"/>
      <c r="H29" s="321"/>
      <c r="I29" s="322"/>
      <c r="J29" s="318"/>
    </row>
    <row r="30" spans="1:10" ht="19.5" customHeight="1">
      <c r="A30" s="319">
        <v>46113</v>
      </c>
      <c r="B30" s="317"/>
      <c r="C30" s="317"/>
      <c r="D30" s="317">
        <v>45945</v>
      </c>
      <c r="E30" s="317"/>
      <c r="F30" s="317"/>
      <c r="H30" s="321"/>
      <c r="I30" s="322"/>
      <c r="J30" s="318"/>
    </row>
    <row r="31" spans="1:10" ht="19.5" customHeight="1">
      <c r="A31" s="319">
        <v>46143</v>
      </c>
      <c r="B31" s="317"/>
      <c r="C31" s="317"/>
      <c r="D31" s="317">
        <v>45945</v>
      </c>
      <c r="E31" s="317"/>
      <c r="F31" s="317"/>
      <c r="H31" s="321"/>
      <c r="I31" s="322"/>
      <c r="J31" s="318"/>
    </row>
    <row r="32" spans="1:10" ht="19.5" customHeight="1">
      <c r="A32" s="319">
        <v>46174</v>
      </c>
      <c r="B32" s="317"/>
      <c r="C32" s="317"/>
      <c r="D32" s="317">
        <v>45945</v>
      </c>
      <c r="E32" s="317"/>
      <c r="F32" s="317"/>
      <c r="H32" s="321"/>
      <c r="I32" s="322"/>
      <c r="J32" s="318"/>
    </row>
    <row r="33" spans="1:10" ht="19.5" customHeight="1">
      <c r="A33" s="319">
        <v>46204</v>
      </c>
      <c r="B33" s="317"/>
      <c r="C33" s="317"/>
      <c r="D33" s="317">
        <v>45945</v>
      </c>
      <c r="E33" s="317"/>
      <c r="F33" s="317"/>
      <c r="H33" s="321"/>
      <c r="I33" s="322"/>
      <c r="J33" s="318"/>
    </row>
    <row r="34" spans="1:10" ht="19.5" customHeight="1">
      <c r="A34" s="319">
        <v>46235</v>
      </c>
      <c r="B34" s="317"/>
      <c r="C34" s="317"/>
      <c r="D34" s="317">
        <v>45945</v>
      </c>
      <c r="E34" s="317"/>
      <c r="F34" s="317"/>
      <c r="H34" s="321"/>
      <c r="I34" s="322"/>
      <c r="J34" s="318"/>
    </row>
    <row r="35" spans="1:10" ht="19.5" customHeight="1">
      <c r="A35" s="319">
        <v>46266</v>
      </c>
      <c r="B35" s="317"/>
      <c r="C35" s="317"/>
      <c r="D35" s="317">
        <v>45945</v>
      </c>
      <c r="E35" s="317"/>
      <c r="F35" s="317"/>
      <c r="H35" s="321"/>
      <c r="I35" s="322"/>
      <c r="J35" s="318"/>
    </row>
    <row r="36" spans="1:10" ht="19.5" customHeight="1">
      <c r="A36" s="319">
        <v>46296</v>
      </c>
      <c r="B36" s="317"/>
      <c r="C36" s="317"/>
      <c r="D36" s="317">
        <v>45945</v>
      </c>
      <c r="E36" s="317"/>
      <c r="F36" s="317"/>
      <c r="H36" s="321"/>
      <c r="I36" s="322"/>
      <c r="J36" s="318"/>
    </row>
    <row r="37" spans="1:10" ht="19.5" customHeight="1">
      <c r="A37" s="319">
        <v>46327</v>
      </c>
      <c r="B37" s="317"/>
      <c r="C37" s="317"/>
      <c r="D37" s="317">
        <v>45945</v>
      </c>
      <c r="E37" s="317"/>
      <c r="F37" s="317"/>
      <c r="H37" s="321"/>
      <c r="I37" s="322"/>
      <c r="J37" s="318"/>
    </row>
    <row r="38" spans="1:10" ht="19.5" customHeight="1">
      <c r="A38" s="319">
        <v>46357</v>
      </c>
      <c r="B38" s="317"/>
      <c r="C38" s="317"/>
      <c r="D38" s="317">
        <v>45945</v>
      </c>
      <c r="E38" s="317"/>
      <c r="F38" s="317"/>
      <c r="H38" s="321"/>
      <c r="I38" s="322"/>
      <c r="J38" s="318"/>
    </row>
    <row r="39" spans="1:10" ht="19.5" customHeight="1">
      <c r="A39" s="319">
        <v>46388</v>
      </c>
      <c r="B39" s="317"/>
      <c r="C39" s="317"/>
      <c r="D39" s="317"/>
      <c r="E39" s="317"/>
      <c r="F39" s="317"/>
      <c r="H39" s="321"/>
      <c r="I39" s="322"/>
      <c r="J39" s="318"/>
    </row>
    <row r="40" spans="1:10" ht="19.5" customHeight="1">
      <c r="A40" s="319">
        <v>46419</v>
      </c>
      <c r="B40" s="317"/>
      <c r="C40" s="317"/>
      <c r="D40" s="317"/>
      <c r="E40" s="317"/>
      <c r="F40" s="317"/>
      <c r="H40" s="321"/>
      <c r="I40" s="322"/>
      <c r="J40" s="318"/>
    </row>
    <row r="41" spans="1:10" ht="19.5" customHeight="1">
      <c r="A41" s="319">
        <v>46447</v>
      </c>
      <c r="B41" s="317"/>
      <c r="C41" s="317"/>
      <c r="D41" s="317"/>
      <c r="E41" s="317"/>
      <c r="F41" s="317"/>
      <c r="H41" s="321"/>
      <c r="I41" s="322"/>
      <c r="J41" s="318"/>
    </row>
    <row r="42" spans="1:10" ht="19.5" customHeight="1">
      <c r="A42" s="319">
        <v>46478</v>
      </c>
      <c r="B42" s="317"/>
      <c r="C42" s="317"/>
      <c r="D42" s="317"/>
      <c r="E42" s="317"/>
      <c r="F42" s="317"/>
      <c r="H42" s="321"/>
      <c r="I42" s="322"/>
      <c r="J42" s="318"/>
    </row>
    <row r="43" spans="1:10" ht="19.5" customHeight="1">
      <c r="A43" s="319">
        <v>46508</v>
      </c>
      <c r="B43" s="317"/>
      <c r="C43" s="317"/>
      <c r="D43" s="317"/>
      <c r="E43" s="317"/>
      <c r="F43" s="317"/>
      <c r="H43" s="321"/>
      <c r="I43" s="322"/>
      <c r="J43" s="318"/>
    </row>
    <row r="44" spans="1:10" ht="19.5" customHeight="1">
      <c r="A44" s="319">
        <v>46539</v>
      </c>
      <c r="B44" s="317"/>
      <c r="C44" s="317"/>
      <c r="D44" s="317"/>
      <c r="E44" s="317"/>
      <c r="F44" s="317"/>
      <c r="H44" s="321"/>
      <c r="I44" s="322"/>
      <c r="J44" s="318"/>
    </row>
    <row r="45" spans="1:10" ht="19.5" customHeight="1">
      <c r="A45" s="319">
        <v>46569</v>
      </c>
      <c r="B45" s="317"/>
      <c r="C45" s="317"/>
      <c r="D45" s="317"/>
      <c r="E45" s="317"/>
      <c r="F45" s="317"/>
      <c r="H45" s="321"/>
      <c r="I45" s="322"/>
      <c r="J45" s="318"/>
    </row>
    <row r="46" spans="1:10" ht="19.5" customHeight="1">
      <c r="A46" s="319">
        <v>46600</v>
      </c>
      <c r="B46" s="317"/>
      <c r="C46" s="317"/>
      <c r="D46" s="317"/>
      <c r="E46" s="317"/>
      <c r="F46" s="317"/>
      <c r="H46" s="321"/>
      <c r="I46" s="322"/>
      <c r="J46" s="318"/>
    </row>
    <row r="47" spans="1:10" ht="19.5" customHeight="1">
      <c r="A47" s="319">
        <v>46631</v>
      </c>
      <c r="B47" s="317"/>
      <c r="C47" s="317"/>
      <c r="D47" s="317"/>
      <c r="E47" s="317"/>
      <c r="F47" s="317"/>
      <c r="H47" s="321"/>
      <c r="I47" s="322"/>
      <c r="J47" s="318"/>
    </row>
    <row r="48" spans="1:10" ht="19.5" customHeight="1">
      <c r="A48" s="319">
        <v>46661</v>
      </c>
      <c r="B48" s="317"/>
      <c r="C48" s="317"/>
      <c r="D48" s="317"/>
      <c r="E48" s="317"/>
      <c r="F48" s="317"/>
      <c r="H48" s="321"/>
      <c r="I48" s="322"/>
      <c r="J48" s="318"/>
    </row>
    <row r="49" spans="1:10" ht="19.5" customHeight="1">
      <c r="A49" s="319">
        <v>46692</v>
      </c>
      <c r="B49" s="317"/>
      <c r="C49" s="317"/>
      <c r="D49" s="317"/>
      <c r="E49" s="317"/>
      <c r="F49" s="317"/>
      <c r="H49" s="321"/>
      <c r="I49" s="322"/>
      <c r="J49" s="318"/>
    </row>
    <row r="50" spans="1:10" ht="19.5" customHeight="1">
      <c r="A50" s="319">
        <v>46722</v>
      </c>
      <c r="B50" s="317"/>
      <c r="C50" s="317"/>
      <c r="D50" s="317"/>
      <c r="E50" s="317"/>
      <c r="F50" s="317"/>
      <c r="H50" s="321"/>
      <c r="I50" s="322"/>
      <c r="J50" s="318"/>
    </row>
  </sheetData>
  <mergeCells count="2">
    <mergeCell ref="A1:F1"/>
    <mergeCell ref="H1:J1"/>
  </mergeCells>
  <phoneticPr fontId="5" type="noConversion"/>
  <pageMargins left="0.7" right="0.7" top="0.75" bottom="0.75" header="0.3" footer="0.3"/>
  <pageSetup paperSize="9" orientation="portrait" r:id="rId1"/>
  <headerFooter>
    <oddHeader>&amp;R&amp;"Aptos"&amp;13&amp;K000000 [ RESTRICTED ]&amp;1#_x000D_</oddHeader>
    <oddFooter>&amp;R_x000D_&amp;1#&amp;"Aptos"&amp;5&amp;K000000 [Secure Minds, Secure Finds] 본 문서는 현대건설㈜의 정보자산이므로 무단 전제 및 복제할 수 없으며, 이를 위반할 시에는 당사 사규 및 관련 법규에 의해 제지를 받을 수 있습니다.</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3B7541-8FB5-47D3-AD99-0DA19079E5E2}">
  <dimension ref="A1:J146"/>
  <sheetViews>
    <sheetView zoomScale="70" zoomScaleNormal="70" workbookViewId="0">
      <pane xSplit="2" ySplit="1" topLeftCell="C12" activePane="bottomRight" state="frozen"/>
      <selection activeCell="E8" sqref="E8"/>
      <selection pane="topRight" activeCell="E8" sqref="E8"/>
      <selection pane="bottomLeft" activeCell="E8" sqref="E8"/>
      <selection pane="bottomRight" activeCell="E8" sqref="E8"/>
    </sheetView>
  </sheetViews>
  <sheetFormatPr defaultColWidth="9" defaultRowHeight="12"/>
  <cols>
    <col min="1" max="2" width="9" style="255"/>
    <col min="3" max="5" width="24.75" style="26" customWidth="1"/>
    <col min="6" max="6" width="17.125" style="293" customWidth="1"/>
    <col min="7" max="7" width="24.75" style="26" customWidth="1"/>
    <col min="8" max="9" width="17.125" style="293" customWidth="1"/>
    <col min="10" max="10" width="64" style="26" customWidth="1"/>
    <col min="11" max="16384" width="9" style="255"/>
  </cols>
  <sheetData>
    <row r="1" spans="1:10" ht="18" customHeight="1">
      <c r="A1" s="690" t="s">
        <v>1905</v>
      </c>
      <c r="B1" s="691"/>
      <c r="C1" s="297" t="s">
        <v>234</v>
      </c>
      <c r="D1" s="294" t="s">
        <v>1048</v>
      </c>
      <c r="E1" s="690" t="s">
        <v>2295</v>
      </c>
      <c r="F1" s="691"/>
      <c r="G1" s="690" t="s">
        <v>2296</v>
      </c>
      <c r="H1" s="691"/>
      <c r="I1" s="300" t="s">
        <v>2358</v>
      </c>
      <c r="J1" s="300" t="s">
        <v>153</v>
      </c>
    </row>
    <row r="2" spans="1:10" ht="21.75" customHeight="1">
      <c r="A2" s="687">
        <v>2024</v>
      </c>
      <c r="B2" s="304" t="s">
        <v>2299</v>
      </c>
      <c r="C2" s="305">
        <v>34</v>
      </c>
      <c r="D2" s="305">
        <v>32</v>
      </c>
      <c r="E2" s="309" t="s">
        <v>2323</v>
      </c>
      <c r="F2" s="306" t="s">
        <v>2358</v>
      </c>
      <c r="G2" s="309" t="s">
        <v>2</v>
      </c>
      <c r="H2" s="306" t="s">
        <v>2358</v>
      </c>
      <c r="I2" s="306" t="s">
        <v>1061</v>
      </c>
      <c r="J2" s="304" t="s">
        <v>2328</v>
      </c>
    </row>
    <row r="3" spans="1:10" ht="30.75" customHeight="1">
      <c r="A3" s="688"/>
      <c r="B3" s="295" t="s">
        <v>2291</v>
      </c>
      <c r="C3" s="298"/>
      <c r="D3" s="298"/>
      <c r="E3" s="302"/>
      <c r="F3" s="307">
        <v>7500000</v>
      </c>
      <c r="G3" s="302"/>
      <c r="H3" s="307">
        <v>0</v>
      </c>
      <c r="I3" s="307">
        <f>H3+F3</f>
        <v>7500000</v>
      </c>
      <c r="J3" s="295"/>
    </row>
    <row r="4" spans="1:10" ht="30.75" customHeight="1">
      <c r="A4" s="688"/>
      <c r="B4" s="295" t="s">
        <v>2292</v>
      </c>
      <c r="C4" s="298"/>
      <c r="D4" s="298"/>
      <c r="E4" s="302"/>
      <c r="F4" s="307">
        <v>7500000</v>
      </c>
      <c r="G4" s="302"/>
      <c r="H4" s="307">
        <v>0</v>
      </c>
      <c r="I4" s="307">
        <f t="shared" ref="I4:I6" si="0">H4+F4</f>
        <v>7500000</v>
      </c>
      <c r="J4" s="295"/>
    </row>
    <row r="5" spans="1:10" ht="30.75" customHeight="1">
      <c r="A5" s="688"/>
      <c r="B5" s="295" t="s">
        <v>2293</v>
      </c>
      <c r="C5" s="298"/>
      <c r="D5" s="298"/>
      <c r="E5" s="302"/>
      <c r="F5" s="307">
        <v>7500000</v>
      </c>
      <c r="G5" s="302"/>
      <c r="H5" s="307">
        <v>0</v>
      </c>
      <c r="I5" s="307">
        <f t="shared" si="0"/>
        <v>7500000</v>
      </c>
      <c r="J5" s="295"/>
    </row>
    <row r="6" spans="1:10" ht="30.75" customHeight="1">
      <c r="A6" s="689"/>
      <c r="B6" s="296" t="s">
        <v>2294</v>
      </c>
      <c r="C6" s="299" t="s">
        <v>2302</v>
      </c>
      <c r="D6" s="299"/>
      <c r="E6" s="303"/>
      <c r="F6" s="307">
        <v>7500000</v>
      </c>
      <c r="G6" s="303"/>
      <c r="H6" s="308">
        <v>0</v>
      </c>
      <c r="I6" s="308">
        <f t="shared" si="0"/>
        <v>7500000</v>
      </c>
      <c r="J6" s="296"/>
    </row>
    <row r="7" spans="1:10" ht="21.75" customHeight="1">
      <c r="A7" s="687">
        <v>2025</v>
      </c>
      <c r="B7" s="304" t="s">
        <v>2299</v>
      </c>
      <c r="C7" s="305">
        <v>35</v>
      </c>
      <c r="D7" s="305">
        <v>33</v>
      </c>
      <c r="E7" s="309" t="s">
        <v>2324</v>
      </c>
      <c r="F7" s="306"/>
      <c r="G7" s="309">
        <v>0</v>
      </c>
      <c r="H7" s="306"/>
      <c r="I7" s="306"/>
      <c r="J7" s="304" t="s">
        <v>2329</v>
      </c>
    </row>
    <row r="8" spans="1:10" ht="30.75" customHeight="1">
      <c r="A8" s="688"/>
      <c r="B8" s="295" t="s">
        <v>2291</v>
      </c>
      <c r="C8" s="298"/>
      <c r="D8" s="298"/>
      <c r="E8" s="302"/>
      <c r="F8" s="307">
        <v>7500000</v>
      </c>
      <c r="G8" s="302" t="s">
        <v>2297</v>
      </c>
      <c r="H8" s="307"/>
      <c r="I8" s="307">
        <f>H8+F8</f>
        <v>7500000</v>
      </c>
      <c r="J8" s="295"/>
    </row>
    <row r="9" spans="1:10" ht="30.75" customHeight="1">
      <c r="A9" s="688"/>
      <c r="B9" s="295" t="s">
        <v>2292</v>
      </c>
      <c r="C9" s="298"/>
      <c r="D9" s="298"/>
      <c r="E9" s="302"/>
      <c r="F9" s="307">
        <v>7500000</v>
      </c>
      <c r="G9" s="302"/>
      <c r="H9" s="307"/>
      <c r="I9" s="307">
        <f t="shared" ref="I9:I11" si="1">H9+F9</f>
        <v>7500000</v>
      </c>
      <c r="J9" s="295"/>
    </row>
    <row r="10" spans="1:10" ht="30.75" customHeight="1">
      <c r="A10" s="688"/>
      <c r="B10" s="295" t="s">
        <v>2293</v>
      </c>
      <c r="C10" s="298"/>
      <c r="D10" s="298"/>
      <c r="E10" s="302"/>
      <c r="F10" s="307">
        <v>7500000</v>
      </c>
      <c r="G10" s="302"/>
      <c r="H10" s="307"/>
      <c r="I10" s="307">
        <f t="shared" si="1"/>
        <v>7500000</v>
      </c>
      <c r="J10" s="295"/>
    </row>
    <row r="11" spans="1:10" ht="30.75" customHeight="1">
      <c r="A11" s="689"/>
      <c r="B11" s="296" t="s">
        <v>2294</v>
      </c>
      <c r="C11" s="299" t="s">
        <v>2302</v>
      </c>
      <c r="D11" s="299"/>
      <c r="E11" s="303" t="s">
        <v>2305</v>
      </c>
      <c r="F11" s="307">
        <v>7500000</v>
      </c>
      <c r="G11" s="303"/>
      <c r="H11" s="308"/>
      <c r="I11" s="308">
        <f t="shared" si="1"/>
        <v>7500000</v>
      </c>
      <c r="J11" s="301" t="s">
        <v>2357</v>
      </c>
    </row>
    <row r="12" spans="1:10" ht="21.75" customHeight="1">
      <c r="A12" s="687">
        <v>2026</v>
      </c>
      <c r="B12" s="304" t="s">
        <v>2299</v>
      </c>
      <c r="C12" s="305">
        <v>36</v>
      </c>
      <c r="D12" s="305">
        <v>34</v>
      </c>
      <c r="E12" s="309" t="s">
        <v>2311</v>
      </c>
      <c r="F12" s="306"/>
      <c r="G12" s="309">
        <v>1</v>
      </c>
      <c r="H12" s="306"/>
      <c r="I12" s="306"/>
      <c r="J12" s="304" t="s">
        <v>2330</v>
      </c>
    </row>
    <row r="13" spans="1:10" ht="30.75" customHeight="1">
      <c r="A13" s="688"/>
      <c r="B13" s="295" t="s">
        <v>2291</v>
      </c>
      <c r="C13" s="298"/>
      <c r="D13" s="298"/>
      <c r="E13" s="302" t="s">
        <v>2359</v>
      </c>
      <c r="F13" s="307">
        <v>3750000</v>
      </c>
      <c r="G13" s="302"/>
      <c r="H13" s="307"/>
      <c r="I13" s="307">
        <f>H13+F13</f>
        <v>3750000</v>
      </c>
      <c r="J13" s="295"/>
    </row>
    <row r="14" spans="1:10" ht="30.75" customHeight="1">
      <c r="A14" s="688"/>
      <c r="B14" s="295" t="s">
        <v>2292</v>
      </c>
      <c r="C14" s="298"/>
      <c r="D14" s="298"/>
      <c r="E14" s="302"/>
      <c r="F14" s="307">
        <v>2250000</v>
      </c>
      <c r="G14" s="302"/>
      <c r="H14" s="307"/>
      <c r="I14" s="307">
        <f t="shared" ref="I14:I16" si="2">H14+F14</f>
        <v>2250000</v>
      </c>
      <c r="J14" s="295"/>
    </row>
    <row r="15" spans="1:10" ht="30.75" customHeight="1">
      <c r="A15" s="688"/>
      <c r="B15" s="295" t="s">
        <v>2293</v>
      </c>
      <c r="C15" s="298"/>
      <c r="D15" s="298"/>
      <c r="E15" s="302"/>
      <c r="F15" s="307">
        <v>2750000</v>
      </c>
      <c r="G15" s="302"/>
      <c r="H15" s="307"/>
      <c r="I15" s="307">
        <f t="shared" si="2"/>
        <v>2750000</v>
      </c>
      <c r="J15" s="295"/>
    </row>
    <row r="16" spans="1:10" ht="30.75" customHeight="1">
      <c r="A16" s="689"/>
      <c r="B16" s="296" t="s">
        <v>2294</v>
      </c>
      <c r="C16" s="299" t="s">
        <v>2302</v>
      </c>
      <c r="D16" s="299"/>
      <c r="E16" s="303"/>
      <c r="F16" s="308">
        <v>2250000</v>
      </c>
      <c r="G16" s="303"/>
      <c r="H16" s="308"/>
      <c r="I16" s="308">
        <f t="shared" si="2"/>
        <v>2250000</v>
      </c>
      <c r="J16" s="296"/>
    </row>
    <row r="17" spans="1:10" ht="21.75" customHeight="1">
      <c r="A17" s="687">
        <v>2027</v>
      </c>
      <c r="B17" s="304" t="s">
        <v>2299</v>
      </c>
      <c r="C17" s="305">
        <v>37</v>
      </c>
      <c r="D17" s="305">
        <v>35</v>
      </c>
      <c r="E17" s="309" t="s">
        <v>2312</v>
      </c>
      <c r="F17" s="306"/>
      <c r="G17" s="309" t="s">
        <v>2325</v>
      </c>
      <c r="H17" s="306"/>
      <c r="I17" s="306"/>
      <c r="J17" s="304" t="s">
        <v>2331</v>
      </c>
    </row>
    <row r="18" spans="1:10" ht="30.75" customHeight="1">
      <c r="A18" s="688"/>
      <c r="B18" s="295" t="s">
        <v>2291</v>
      </c>
      <c r="C18" s="298"/>
      <c r="D18" s="298"/>
      <c r="E18" s="302"/>
      <c r="F18" s="307">
        <v>2750000</v>
      </c>
      <c r="G18" s="302"/>
      <c r="H18" s="307"/>
      <c r="I18" s="307">
        <f>H18+F18</f>
        <v>2750000</v>
      </c>
      <c r="J18" s="295"/>
    </row>
    <row r="19" spans="1:10" ht="30.75" customHeight="1">
      <c r="A19" s="688"/>
      <c r="B19" s="295" t="s">
        <v>2292</v>
      </c>
      <c r="C19" s="298"/>
      <c r="D19" s="298"/>
      <c r="E19" s="302"/>
      <c r="F19" s="307">
        <v>2250000</v>
      </c>
      <c r="G19" s="302"/>
      <c r="H19" s="307"/>
      <c r="I19" s="307">
        <f t="shared" ref="I19:I21" si="3">H19+F19</f>
        <v>2250000</v>
      </c>
      <c r="J19" s="295"/>
    </row>
    <row r="20" spans="1:10" ht="30.75" customHeight="1">
      <c r="A20" s="688"/>
      <c r="B20" s="295" t="s">
        <v>2293</v>
      </c>
      <c r="C20" s="298"/>
      <c r="D20" s="298"/>
      <c r="E20" s="302"/>
      <c r="F20" s="307">
        <v>2750000</v>
      </c>
      <c r="G20" s="302"/>
      <c r="H20" s="307"/>
      <c r="I20" s="307">
        <f t="shared" si="3"/>
        <v>2750000</v>
      </c>
      <c r="J20" s="295"/>
    </row>
    <row r="21" spans="1:10" ht="30.75" customHeight="1">
      <c r="A21" s="689"/>
      <c r="B21" s="296" t="s">
        <v>2294</v>
      </c>
      <c r="C21" s="299" t="s">
        <v>2303</v>
      </c>
      <c r="D21" s="299"/>
      <c r="E21" s="303"/>
      <c r="F21" s="307">
        <v>2250000</v>
      </c>
      <c r="G21" s="303"/>
      <c r="H21" s="308"/>
      <c r="I21" s="308">
        <f t="shared" si="3"/>
        <v>2250000</v>
      </c>
      <c r="J21" s="296"/>
    </row>
    <row r="22" spans="1:10" ht="21.75" customHeight="1">
      <c r="A22" s="687">
        <v>2028</v>
      </c>
      <c r="B22" s="304" t="s">
        <v>2299</v>
      </c>
      <c r="C22" s="305">
        <v>38</v>
      </c>
      <c r="D22" s="305">
        <v>36</v>
      </c>
      <c r="E22" s="309" t="s">
        <v>2313</v>
      </c>
      <c r="F22" s="306"/>
      <c r="G22" s="309" t="s">
        <v>2326</v>
      </c>
      <c r="H22" s="306"/>
      <c r="I22" s="306"/>
      <c r="J22" s="304" t="s">
        <v>2332</v>
      </c>
    </row>
    <row r="23" spans="1:10" ht="30.75" customHeight="1">
      <c r="A23" s="688"/>
      <c r="B23" s="295" t="s">
        <v>2291</v>
      </c>
      <c r="C23" s="298"/>
      <c r="D23" s="298"/>
      <c r="E23" s="302"/>
      <c r="F23" s="307">
        <v>2750000</v>
      </c>
      <c r="G23" s="302"/>
      <c r="H23" s="307"/>
      <c r="I23" s="307">
        <f>H23+F23</f>
        <v>2750000</v>
      </c>
      <c r="J23" s="295"/>
    </row>
    <row r="24" spans="1:10" ht="30.75" customHeight="1">
      <c r="A24" s="688"/>
      <c r="B24" s="295" t="s">
        <v>2292</v>
      </c>
      <c r="C24" s="298"/>
      <c r="D24" s="298"/>
      <c r="E24" s="302"/>
      <c r="F24" s="307">
        <v>2250000</v>
      </c>
      <c r="G24" s="302"/>
      <c r="H24" s="307"/>
      <c r="I24" s="307">
        <f t="shared" ref="I24:I26" si="4">H24+F24</f>
        <v>2250000</v>
      </c>
      <c r="J24" s="295"/>
    </row>
    <row r="25" spans="1:10" ht="30.75" customHeight="1">
      <c r="A25" s="688"/>
      <c r="B25" s="295" t="s">
        <v>2293</v>
      </c>
      <c r="C25" s="298"/>
      <c r="D25" s="298"/>
      <c r="E25" s="302"/>
      <c r="F25" s="307">
        <v>2750000</v>
      </c>
      <c r="G25" s="302"/>
      <c r="H25" s="307"/>
      <c r="I25" s="307">
        <f t="shared" si="4"/>
        <v>2750000</v>
      </c>
      <c r="J25" s="295"/>
    </row>
    <row r="26" spans="1:10" ht="30.75" customHeight="1">
      <c r="A26" s="689"/>
      <c r="B26" s="296" t="s">
        <v>2294</v>
      </c>
      <c r="C26" s="299"/>
      <c r="D26" s="299"/>
      <c r="E26" s="303"/>
      <c r="F26" s="307">
        <v>2250000</v>
      </c>
      <c r="G26" s="303"/>
      <c r="H26" s="308"/>
      <c r="I26" s="308">
        <f t="shared" si="4"/>
        <v>2250000</v>
      </c>
      <c r="J26" s="296"/>
    </row>
    <row r="27" spans="1:10" ht="21.75" customHeight="1">
      <c r="A27" s="687">
        <v>2029</v>
      </c>
      <c r="B27" s="304" t="s">
        <v>2299</v>
      </c>
      <c r="C27" s="305">
        <v>39</v>
      </c>
      <c r="D27" s="305">
        <v>37</v>
      </c>
      <c r="E27" s="309" t="s">
        <v>2314</v>
      </c>
      <c r="F27" s="306"/>
      <c r="G27" s="309" t="s">
        <v>2327</v>
      </c>
      <c r="H27" s="306"/>
      <c r="I27" s="306"/>
      <c r="J27" s="304" t="s">
        <v>2333</v>
      </c>
    </row>
    <row r="28" spans="1:10" ht="30.75" customHeight="1">
      <c r="A28" s="688"/>
      <c r="B28" s="295" t="s">
        <v>2291</v>
      </c>
      <c r="C28" s="298"/>
      <c r="D28" s="298"/>
      <c r="E28" s="302"/>
      <c r="F28" s="307">
        <v>2750000</v>
      </c>
      <c r="G28" s="302" t="s">
        <v>2310</v>
      </c>
      <c r="H28" s="307">
        <v>6000000</v>
      </c>
      <c r="I28" s="307">
        <f t="shared" ref="I28:I91" si="5">H28+F28</f>
        <v>8750000</v>
      </c>
      <c r="J28" s="295"/>
    </row>
    <row r="29" spans="1:10" ht="30.75" customHeight="1">
      <c r="A29" s="688"/>
      <c r="B29" s="295" t="s">
        <v>2292</v>
      </c>
      <c r="C29" s="298"/>
      <c r="D29" s="298"/>
      <c r="E29" s="302"/>
      <c r="F29" s="307">
        <v>2250000</v>
      </c>
      <c r="G29" s="302"/>
      <c r="H29" s="307">
        <v>6000000</v>
      </c>
      <c r="I29" s="307">
        <f t="shared" si="5"/>
        <v>8250000</v>
      </c>
      <c r="J29" s="295"/>
    </row>
    <row r="30" spans="1:10" ht="30.75" customHeight="1">
      <c r="A30" s="688"/>
      <c r="B30" s="295" t="s">
        <v>2293</v>
      </c>
      <c r="C30" s="298"/>
      <c r="D30" s="298"/>
      <c r="E30" s="302"/>
      <c r="F30" s="307">
        <v>2750000</v>
      </c>
      <c r="G30" s="302"/>
      <c r="H30" s="307">
        <v>6000000</v>
      </c>
      <c r="I30" s="307">
        <f t="shared" si="5"/>
        <v>8750000</v>
      </c>
      <c r="J30" s="295"/>
    </row>
    <row r="31" spans="1:10" ht="30.75" customHeight="1">
      <c r="A31" s="689"/>
      <c r="B31" s="296" t="s">
        <v>2294</v>
      </c>
      <c r="C31" s="299"/>
      <c r="D31" s="299"/>
      <c r="E31" s="303"/>
      <c r="F31" s="307">
        <v>2250000</v>
      </c>
      <c r="G31" s="303"/>
      <c r="H31" s="307">
        <v>6000000</v>
      </c>
      <c r="I31" s="308">
        <f t="shared" si="5"/>
        <v>8250000</v>
      </c>
      <c r="J31" s="296"/>
    </row>
    <row r="32" spans="1:10" ht="21.75" customHeight="1">
      <c r="A32" s="687">
        <v>2030</v>
      </c>
      <c r="B32" s="304" t="s">
        <v>2299</v>
      </c>
      <c r="C32" s="305">
        <v>40</v>
      </c>
      <c r="D32" s="305">
        <v>38</v>
      </c>
      <c r="E32" s="309" t="s">
        <v>2315</v>
      </c>
      <c r="F32" s="306"/>
      <c r="G32" s="309" t="s">
        <v>2323</v>
      </c>
      <c r="H32" s="306"/>
      <c r="I32" s="306"/>
      <c r="J32" s="304" t="s">
        <v>2334</v>
      </c>
    </row>
    <row r="33" spans="1:10" ht="30.75" customHeight="1">
      <c r="A33" s="688"/>
      <c r="B33" s="295" t="s">
        <v>2291</v>
      </c>
      <c r="C33" s="298"/>
      <c r="D33" s="298"/>
      <c r="E33" s="302"/>
      <c r="F33" s="307">
        <v>2750000</v>
      </c>
      <c r="G33" s="302"/>
      <c r="H33" s="307">
        <v>6000000</v>
      </c>
      <c r="I33" s="307">
        <f t="shared" ref="I33" si="6">H33+F33</f>
        <v>8750000</v>
      </c>
      <c r="J33" s="295"/>
    </row>
    <row r="34" spans="1:10" ht="30.75" customHeight="1">
      <c r="A34" s="688"/>
      <c r="B34" s="295" t="s">
        <v>2292</v>
      </c>
      <c r="C34" s="298"/>
      <c r="D34" s="298"/>
      <c r="E34" s="302"/>
      <c r="F34" s="307">
        <v>2250000</v>
      </c>
      <c r="G34" s="302"/>
      <c r="H34" s="307">
        <v>6000000</v>
      </c>
      <c r="I34" s="307">
        <f t="shared" si="5"/>
        <v>8250000</v>
      </c>
      <c r="J34" s="295"/>
    </row>
    <row r="35" spans="1:10" ht="30.75" customHeight="1">
      <c r="A35" s="688"/>
      <c r="B35" s="295" t="s">
        <v>2293</v>
      </c>
      <c r="C35" s="298"/>
      <c r="D35" s="298"/>
      <c r="E35" s="302"/>
      <c r="F35" s="307">
        <v>2750000</v>
      </c>
      <c r="G35" s="302"/>
      <c r="H35" s="307">
        <v>6000000</v>
      </c>
      <c r="I35" s="307">
        <f t="shared" si="5"/>
        <v>8750000</v>
      </c>
      <c r="J35" s="295"/>
    </row>
    <row r="36" spans="1:10" ht="30.75" customHeight="1">
      <c r="A36" s="689"/>
      <c r="B36" s="296" t="s">
        <v>2294</v>
      </c>
      <c r="C36" s="299" t="s">
        <v>2298</v>
      </c>
      <c r="D36" s="299"/>
      <c r="E36" s="303"/>
      <c r="F36" s="307">
        <v>2250000</v>
      </c>
      <c r="G36" s="303"/>
      <c r="H36" s="307">
        <v>6000000</v>
      </c>
      <c r="I36" s="308">
        <f t="shared" si="5"/>
        <v>8250000</v>
      </c>
      <c r="J36" s="296"/>
    </row>
    <row r="37" spans="1:10" ht="21.75" customHeight="1">
      <c r="A37" s="687">
        <v>2031</v>
      </c>
      <c r="B37" s="304" t="s">
        <v>2299</v>
      </c>
      <c r="C37" s="305">
        <v>41</v>
      </c>
      <c r="D37" s="305">
        <v>39</v>
      </c>
      <c r="E37" s="309" t="s">
        <v>2316</v>
      </c>
      <c r="F37" s="306"/>
      <c r="G37" s="309" t="s">
        <v>2324</v>
      </c>
      <c r="H37" s="306"/>
      <c r="I37" s="306"/>
      <c r="J37" s="304" t="s">
        <v>2335</v>
      </c>
    </row>
    <row r="38" spans="1:10" ht="30.75" customHeight="1">
      <c r="A38" s="688"/>
      <c r="B38" s="295" t="s">
        <v>2291</v>
      </c>
      <c r="C38" s="298"/>
      <c r="D38" s="298"/>
      <c r="E38" s="302"/>
      <c r="F38" s="307">
        <v>2750000</v>
      </c>
      <c r="G38" s="302"/>
      <c r="H38" s="307">
        <v>6000000</v>
      </c>
      <c r="I38" s="307">
        <f t="shared" ref="I38" si="7">H38+F38</f>
        <v>8750000</v>
      </c>
      <c r="J38" s="295"/>
    </row>
    <row r="39" spans="1:10" ht="30.75" customHeight="1">
      <c r="A39" s="688"/>
      <c r="B39" s="295" t="s">
        <v>2292</v>
      </c>
      <c r="C39" s="298"/>
      <c r="D39" s="298"/>
      <c r="E39" s="302"/>
      <c r="F39" s="307">
        <v>2250000</v>
      </c>
      <c r="G39" s="302"/>
      <c r="H39" s="307">
        <v>6000000</v>
      </c>
      <c r="I39" s="307">
        <f t="shared" si="5"/>
        <v>8250000</v>
      </c>
      <c r="J39" s="295"/>
    </row>
    <row r="40" spans="1:10" ht="30.75" customHeight="1">
      <c r="A40" s="688"/>
      <c r="B40" s="295" t="s">
        <v>2293</v>
      </c>
      <c r="C40" s="298"/>
      <c r="D40" s="298"/>
      <c r="E40" s="302"/>
      <c r="F40" s="307">
        <v>2750000</v>
      </c>
      <c r="G40" s="302"/>
      <c r="H40" s="307">
        <v>6000000</v>
      </c>
      <c r="I40" s="307">
        <f t="shared" si="5"/>
        <v>8750000</v>
      </c>
      <c r="J40" s="295"/>
    </row>
    <row r="41" spans="1:10" ht="30.75" customHeight="1">
      <c r="A41" s="689"/>
      <c r="B41" s="296" t="s">
        <v>2294</v>
      </c>
      <c r="C41" s="299" t="s">
        <v>2298</v>
      </c>
      <c r="D41" s="299"/>
      <c r="E41" s="303" t="s">
        <v>2309</v>
      </c>
      <c r="F41" s="307">
        <v>2250000</v>
      </c>
      <c r="G41" s="303" t="s">
        <v>2305</v>
      </c>
      <c r="H41" s="307">
        <v>6000000</v>
      </c>
      <c r="I41" s="308">
        <f t="shared" si="5"/>
        <v>8250000</v>
      </c>
      <c r="J41" s="296"/>
    </row>
    <row r="42" spans="1:10" ht="21.75" customHeight="1">
      <c r="A42" s="687">
        <v>2032</v>
      </c>
      <c r="B42" s="304" t="s">
        <v>2299</v>
      </c>
      <c r="C42" s="305">
        <v>42</v>
      </c>
      <c r="D42" s="305">
        <v>40</v>
      </c>
      <c r="E42" s="309" t="s">
        <v>2317</v>
      </c>
      <c r="F42" s="306"/>
      <c r="G42" s="309" t="s">
        <v>2311</v>
      </c>
      <c r="H42" s="306"/>
      <c r="I42" s="306"/>
      <c r="J42" s="304" t="s">
        <v>2336</v>
      </c>
    </row>
    <row r="43" spans="1:10" ht="30.75" customHeight="1">
      <c r="A43" s="688"/>
      <c r="B43" s="295" t="s">
        <v>2291</v>
      </c>
      <c r="C43" s="298"/>
      <c r="D43" s="298"/>
      <c r="E43" s="302" t="s">
        <v>2304</v>
      </c>
      <c r="F43" s="307">
        <v>4500000</v>
      </c>
      <c r="G43" s="302" t="s">
        <v>2359</v>
      </c>
      <c r="H43" s="307">
        <v>3750000</v>
      </c>
      <c r="I43" s="307">
        <f t="shared" ref="I43" si="8">H43+F43</f>
        <v>8250000</v>
      </c>
      <c r="J43" s="295"/>
    </row>
    <row r="44" spans="1:10" ht="30.75" customHeight="1">
      <c r="A44" s="688"/>
      <c r="B44" s="295" t="s">
        <v>2292</v>
      </c>
      <c r="C44" s="298"/>
      <c r="D44" s="298"/>
      <c r="E44" s="302"/>
      <c r="F44" s="307">
        <v>4500000</v>
      </c>
      <c r="G44" s="302"/>
      <c r="H44" s="307">
        <v>2250000</v>
      </c>
      <c r="I44" s="307">
        <f t="shared" si="5"/>
        <v>6750000</v>
      </c>
      <c r="J44" s="295"/>
    </row>
    <row r="45" spans="1:10" ht="30.75" customHeight="1">
      <c r="A45" s="688"/>
      <c r="B45" s="295" t="s">
        <v>2293</v>
      </c>
      <c r="C45" s="298"/>
      <c r="D45" s="298"/>
      <c r="E45" s="302"/>
      <c r="F45" s="307">
        <v>4500000</v>
      </c>
      <c r="G45" s="302"/>
      <c r="H45" s="307">
        <v>2750000</v>
      </c>
      <c r="I45" s="307">
        <f t="shared" si="5"/>
        <v>7250000</v>
      </c>
      <c r="J45" s="295"/>
    </row>
    <row r="46" spans="1:10" ht="30.75" customHeight="1">
      <c r="A46" s="689"/>
      <c r="B46" s="296" t="s">
        <v>2294</v>
      </c>
      <c r="C46" s="299" t="s">
        <v>2298</v>
      </c>
      <c r="D46" s="299"/>
      <c r="E46" s="303"/>
      <c r="F46" s="307">
        <v>4500000</v>
      </c>
      <c r="G46" s="303"/>
      <c r="H46" s="308">
        <v>2250000</v>
      </c>
      <c r="I46" s="308">
        <f t="shared" si="5"/>
        <v>6750000</v>
      </c>
      <c r="J46" s="296"/>
    </row>
    <row r="47" spans="1:10" ht="21.75" customHeight="1">
      <c r="A47" s="687">
        <v>2033</v>
      </c>
      <c r="B47" s="304" t="s">
        <v>2299</v>
      </c>
      <c r="C47" s="305">
        <v>43</v>
      </c>
      <c r="D47" s="305">
        <v>41</v>
      </c>
      <c r="E47" s="309" t="s">
        <v>2318</v>
      </c>
      <c r="F47" s="306"/>
      <c r="G47" s="309" t="s">
        <v>2312</v>
      </c>
      <c r="H47" s="306"/>
      <c r="I47" s="306"/>
      <c r="J47" s="304" t="s">
        <v>2337</v>
      </c>
    </row>
    <row r="48" spans="1:10" ht="30.75" customHeight="1">
      <c r="A48" s="688"/>
      <c r="B48" s="295" t="s">
        <v>2291</v>
      </c>
      <c r="C48" s="298"/>
      <c r="D48" s="298"/>
      <c r="E48" s="302"/>
      <c r="F48" s="307">
        <v>4500000</v>
      </c>
      <c r="G48" s="302"/>
      <c r="H48" s="307">
        <v>2750000</v>
      </c>
      <c r="I48" s="307">
        <f t="shared" ref="I48" si="9">H48+F48</f>
        <v>7250000</v>
      </c>
      <c r="J48" s="295"/>
    </row>
    <row r="49" spans="1:10" ht="30.75" customHeight="1">
      <c r="A49" s="688"/>
      <c r="B49" s="295" t="s">
        <v>2292</v>
      </c>
      <c r="C49" s="298"/>
      <c r="D49" s="298"/>
      <c r="E49" s="302"/>
      <c r="F49" s="307">
        <v>4500000</v>
      </c>
      <c r="G49" s="302"/>
      <c r="H49" s="307">
        <v>2250000</v>
      </c>
      <c r="I49" s="307">
        <f t="shared" si="5"/>
        <v>6750000</v>
      </c>
      <c r="J49" s="295"/>
    </row>
    <row r="50" spans="1:10" ht="30.75" customHeight="1">
      <c r="A50" s="688"/>
      <c r="B50" s="295" t="s">
        <v>2293</v>
      </c>
      <c r="C50" s="298"/>
      <c r="D50" s="298"/>
      <c r="E50" s="302"/>
      <c r="F50" s="307">
        <v>4500000</v>
      </c>
      <c r="G50" s="302"/>
      <c r="H50" s="307">
        <v>2750000</v>
      </c>
      <c r="I50" s="307">
        <f t="shared" si="5"/>
        <v>7250000</v>
      </c>
      <c r="J50" s="295"/>
    </row>
    <row r="51" spans="1:10" ht="30.75" customHeight="1">
      <c r="A51" s="689"/>
      <c r="B51" s="296" t="s">
        <v>2294</v>
      </c>
      <c r="C51" s="299" t="s">
        <v>2298</v>
      </c>
      <c r="D51" s="299"/>
      <c r="E51" s="303"/>
      <c r="F51" s="307">
        <v>4500000</v>
      </c>
      <c r="G51" s="303"/>
      <c r="H51" s="307">
        <v>2250000</v>
      </c>
      <c r="I51" s="308">
        <f t="shared" si="5"/>
        <v>6750000</v>
      </c>
      <c r="J51" s="296"/>
    </row>
    <row r="52" spans="1:10" ht="21.75" customHeight="1">
      <c r="A52" s="687">
        <v>2034</v>
      </c>
      <c r="B52" s="304" t="s">
        <v>2299</v>
      </c>
      <c r="C52" s="305">
        <v>44</v>
      </c>
      <c r="D52" s="305">
        <v>42</v>
      </c>
      <c r="E52" s="309" t="s">
        <v>2319</v>
      </c>
      <c r="F52" s="306"/>
      <c r="G52" s="309" t="s">
        <v>2313</v>
      </c>
      <c r="H52" s="306"/>
      <c r="I52" s="306"/>
      <c r="J52" s="304" t="s">
        <v>2338</v>
      </c>
    </row>
    <row r="53" spans="1:10" ht="30.75" customHeight="1">
      <c r="A53" s="688"/>
      <c r="B53" s="295" t="s">
        <v>2291</v>
      </c>
      <c r="C53" s="298"/>
      <c r="D53" s="298"/>
      <c r="E53" s="302"/>
      <c r="F53" s="307">
        <v>4500000</v>
      </c>
      <c r="G53" s="302"/>
      <c r="H53" s="307">
        <v>2750000</v>
      </c>
      <c r="I53" s="307">
        <f t="shared" ref="I53" si="10">H53+F53</f>
        <v>7250000</v>
      </c>
      <c r="J53" s="295"/>
    </row>
    <row r="54" spans="1:10" ht="30.75" customHeight="1">
      <c r="A54" s="688"/>
      <c r="B54" s="295" t="s">
        <v>2292</v>
      </c>
      <c r="C54" s="298"/>
      <c r="D54" s="298"/>
      <c r="E54" s="302"/>
      <c r="F54" s="307">
        <v>4500000</v>
      </c>
      <c r="G54" s="302"/>
      <c r="H54" s="307">
        <v>2250000</v>
      </c>
      <c r="I54" s="307">
        <f t="shared" si="5"/>
        <v>6750000</v>
      </c>
      <c r="J54" s="295"/>
    </row>
    <row r="55" spans="1:10" ht="30.75" customHeight="1">
      <c r="A55" s="688"/>
      <c r="B55" s="295" t="s">
        <v>2293</v>
      </c>
      <c r="C55" s="298"/>
      <c r="D55" s="298"/>
      <c r="E55" s="302"/>
      <c r="F55" s="307">
        <v>4500000</v>
      </c>
      <c r="G55" s="302"/>
      <c r="H55" s="307">
        <v>2750000</v>
      </c>
      <c r="I55" s="307">
        <f t="shared" si="5"/>
        <v>7250000</v>
      </c>
      <c r="J55" s="295"/>
    </row>
    <row r="56" spans="1:10" ht="30.75" customHeight="1">
      <c r="A56" s="689"/>
      <c r="B56" s="296" t="s">
        <v>2294</v>
      </c>
      <c r="C56" s="299" t="s">
        <v>2298</v>
      </c>
      <c r="D56" s="299"/>
      <c r="E56" s="303" t="s">
        <v>2308</v>
      </c>
      <c r="F56" s="307">
        <v>4500000</v>
      </c>
      <c r="G56" s="303"/>
      <c r="H56" s="307">
        <v>2250000</v>
      </c>
      <c r="I56" s="308">
        <f t="shared" si="5"/>
        <v>6750000</v>
      </c>
      <c r="J56" s="296"/>
    </row>
    <row r="57" spans="1:10" ht="21.75" customHeight="1">
      <c r="A57" s="687">
        <v>2035</v>
      </c>
      <c r="B57" s="304" t="s">
        <v>2299</v>
      </c>
      <c r="C57" s="305">
        <v>45</v>
      </c>
      <c r="D57" s="305">
        <v>43</v>
      </c>
      <c r="E57" s="309" t="s">
        <v>2320</v>
      </c>
      <c r="F57" s="306"/>
      <c r="G57" s="309" t="s">
        <v>2314</v>
      </c>
      <c r="H57" s="306"/>
      <c r="I57" s="306"/>
      <c r="J57" s="304" t="s">
        <v>2339</v>
      </c>
    </row>
    <row r="58" spans="1:10" ht="30.75" customHeight="1">
      <c r="A58" s="688"/>
      <c r="B58" s="295" t="s">
        <v>2291</v>
      </c>
      <c r="C58" s="298"/>
      <c r="D58" s="298"/>
      <c r="E58" s="302" t="s">
        <v>2307</v>
      </c>
      <c r="F58" s="307">
        <v>6000000</v>
      </c>
      <c r="G58" s="302"/>
      <c r="H58" s="307">
        <v>2750000</v>
      </c>
      <c r="I58" s="307">
        <f t="shared" ref="I58" si="11">H58+F58</f>
        <v>8750000</v>
      </c>
      <c r="J58" s="295"/>
    </row>
    <row r="59" spans="1:10" ht="30.75" customHeight="1">
      <c r="A59" s="688"/>
      <c r="B59" s="295" t="s">
        <v>2292</v>
      </c>
      <c r="C59" s="298"/>
      <c r="D59" s="298"/>
      <c r="E59" s="302"/>
      <c r="F59" s="307">
        <v>6000000</v>
      </c>
      <c r="G59" s="302"/>
      <c r="H59" s="307">
        <v>2250000</v>
      </c>
      <c r="I59" s="307">
        <f t="shared" si="5"/>
        <v>8250000</v>
      </c>
      <c r="J59" s="295"/>
    </row>
    <row r="60" spans="1:10" ht="30.75" customHeight="1">
      <c r="A60" s="688"/>
      <c r="B60" s="295" t="s">
        <v>2293</v>
      </c>
      <c r="C60" s="298"/>
      <c r="D60" s="298"/>
      <c r="E60" s="302"/>
      <c r="F60" s="307">
        <v>6000000</v>
      </c>
      <c r="G60" s="302"/>
      <c r="H60" s="307">
        <v>2750000</v>
      </c>
      <c r="I60" s="307">
        <f t="shared" si="5"/>
        <v>8750000</v>
      </c>
      <c r="J60" s="295"/>
    </row>
    <row r="61" spans="1:10" ht="30.75" customHeight="1">
      <c r="A61" s="689"/>
      <c r="B61" s="296" t="s">
        <v>2294</v>
      </c>
      <c r="C61" s="299"/>
      <c r="D61" s="299"/>
      <c r="E61" s="303"/>
      <c r="F61" s="307">
        <v>6000000</v>
      </c>
      <c r="G61" s="303"/>
      <c r="H61" s="307">
        <v>2250000</v>
      </c>
      <c r="I61" s="308">
        <f t="shared" si="5"/>
        <v>8250000</v>
      </c>
      <c r="J61" s="296"/>
    </row>
    <row r="62" spans="1:10" ht="21.75" customHeight="1">
      <c r="A62" s="687">
        <v>2036</v>
      </c>
      <c r="B62" s="304" t="s">
        <v>2299</v>
      </c>
      <c r="C62" s="305">
        <v>46</v>
      </c>
      <c r="D62" s="305">
        <v>44</v>
      </c>
      <c r="E62" s="309" t="s">
        <v>2321</v>
      </c>
      <c r="F62" s="306"/>
      <c r="G62" s="309" t="s">
        <v>2315</v>
      </c>
      <c r="H62" s="306"/>
      <c r="I62" s="306"/>
      <c r="J62" s="304" t="s">
        <v>2340</v>
      </c>
    </row>
    <row r="63" spans="1:10" ht="30.75" customHeight="1">
      <c r="A63" s="688"/>
      <c r="B63" s="295" t="s">
        <v>2291</v>
      </c>
      <c r="C63" s="298"/>
      <c r="D63" s="298"/>
      <c r="E63" s="302"/>
      <c r="F63" s="307">
        <v>6000000</v>
      </c>
      <c r="G63" s="302"/>
      <c r="H63" s="307">
        <v>2750000</v>
      </c>
      <c r="I63" s="307">
        <f t="shared" ref="I63" si="12">H63+F63</f>
        <v>8750000</v>
      </c>
      <c r="J63" s="295"/>
    </row>
    <row r="64" spans="1:10" ht="30.75" customHeight="1">
      <c r="A64" s="688"/>
      <c r="B64" s="295" t="s">
        <v>2292</v>
      </c>
      <c r="C64" s="298"/>
      <c r="D64" s="298"/>
      <c r="E64" s="302"/>
      <c r="F64" s="307">
        <v>6000000</v>
      </c>
      <c r="G64" s="302"/>
      <c r="H64" s="307">
        <v>2250000</v>
      </c>
      <c r="I64" s="307">
        <f t="shared" si="5"/>
        <v>8250000</v>
      </c>
      <c r="J64" s="295"/>
    </row>
    <row r="65" spans="1:10" ht="30.75" customHeight="1">
      <c r="A65" s="688"/>
      <c r="B65" s="295" t="s">
        <v>2293</v>
      </c>
      <c r="C65" s="298"/>
      <c r="D65" s="298"/>
      <c r="E65" s="302"/>
      <c r="F65" s="307">
        <v>6000000</v>
      </c>
      <c r="G65" s="302"/>
      <c r="H65" s="307">
        <v>2750000</v>
      </c>
      <c r="I65" s="307">
        <f t="shared" si="5"/>
        <v>8750000</v>
      </c>
      <c r="J65" s="295"/>
    </row>
    <row r="66" spans="1:10" ht="30.75" customHeight="1">
      <c r="A66" s="689"/>
      <c r="B66" s="296" t="s">
        <v>2294</v>
      </c>
      <c r="C66" s="299" t="s">
        <v>2301</v>
      </c>
      <c r="D66" s="299"/>
      <c r="E66" s="303"/>
      <c r="F66" s="307">
        <v>6000000</v>
      </c>
      <c r="G66" s="303"/>
      <c r="H66" s="307">
        <v>2250000</v>
      </c>
      <c r="I66" s="308">
        <f t="shared" si="5"/>
        <v>8250000</v>
      </c>
      <c r="J66" s="296"/>
    </row>
    <row r="67" spans="1:10" ht="21.75" customHeight="1">
      <c r="A67" s="687">
        <v>2037</v>
      </c>
      <c r="B67" s="304" t="s">
        <v>2299</v>
      </c>
      <c r="C67" s="305">
        <v>47</v>
      </c>
      <c r="D67" s="305">
        <v>45</v>
      </c>
      <c r="E67" s="309" t="s">
        <v>2322</v>
      </c>
      <c r="F67" s="306"/>
      <c r="G67" s="309" t="s">
        <v>2316</v>
      </c>
      <c r="H67" s="306"/>
      <c r="I67" s="306"/>
      <c r="J67" s="304" t="s">
        <v>2341</v>
      </c>
    </row>
    <row r="68" spans="1:10" ht="30.75" customHeight="1">
      <c r="A68" s="688"/>
      <c r="B68" s="295" t="s">
        <v>2291</v>
      </c>
      <c r="C68" s="298"/>
      <c r="D68" s="298"/>
      <c r="E68" s="302"/>
      <c r="F68" s="307">
        <v>6000000</v>
      </c>
      <c r="G68" s="302"/>
      <c r="H68" s="307">
        <v>2750000</v>
      </c>
      <c r="I68" s="307">
        <f t="shared" ref="I68" si="13">H68+F68</f>
        <v>8750000</v>
      </c>
      <c r="J68" s="295"/>
    </row>
    <row r="69" spans="1:10" ht="30.75" customHeight="1">
      <c r="A69" s="688"/>
      <c r="B69" s="295" t="s">
        <v>2292</v>
      </c>
      <c r="C69" s="298"/>
      <c r="D69" s="298"/>
      <c r="E69" s="302"/>
      <c r="F69" s="307">
        <v>6000000</v>
      </c>
      <c r="G69" s="302"/>
      <c r="H69" s="307">
        <v>2250000</v>
      </c>
      <c r="I69" s="307">
        <f t="shared" si="5"/>
        <v>8250000</v>
      </c>
      <c r="J69" s="295"/>
    </row>
    <row r="70" spans="1:10" ht="30.75" customHeight="1">
      <c r="A70" s="688"/>
      <c r="B70" s="295" t="s">
        <v>2293</v>
      </c>
      <c r="C70" s="298"/>
      <c r="D70" s="298"/>
      <c r="E70" s="302"/>
      <c r="F70" s="307">
        <v>6000000</v>
      </c>
      <c r="G70" s="302"/>
      <c r="H70" s="307">
        <v>2750000</v>
      </c>
      <c r="I70" s="307">
        <f t="shared" si="5"/>
        <v>8750000</v>
      </c>
      <c r="J70" s="295"/>
    </row>
    <row r="71" spans="1:10" ht="30.75" customHeight="1">
      <c r="A71" s="689"/>
      <c r="B71" s="296" t="s">
        <v>2294</v>
      </c>
      <c r="C71" s="299" t="s">
        <v>2301</v>
      </c>
      <c r="D71" s="299"/>
      <c r="E71" s="303" t="s">
        <v>2300</v>
      </c>
      <c r="F71" s="307">
        <v>6000000</v>
      </c>
      <c r="G71" s="303" t="s">
        <v>2309</v>
      </c>
      <c r="H71" s="307">
        <v>2250000</v>
      </c>
      <c r="I71" s="308">
        <f t="shared" si="5"/>
        <v>8250000</v>
      </c>
      <c r="J71" s="296"/>
    </row>
    <row r="72" spans="1:10" ht="21.75" customHeight="1">
      <c r="A72" s="687">
        <v>2038</v>
      </c>
      <c r="B72" s="304" t="s">
        <v>2299</v>
      </c>
      <c r="C72" s="305">
        <v>48</v>
      </c>
      <c r="D72" s="305">
        <v>46</v>
      </c>
      <c r="E72" s="309">
        <v>19</v>
      </c>
      <c r="F72" s="306"/>
      <c r="G72" s="309" t="s">
        <v>2317</v>
      </c>
      <c r="H72" s="306"/>
      <c r="I72" s="306"/>
      <c r="J72" s="304" t="s">
        <v>2342</v>
      </c>
    </row>
    <row r="73" spans="1:10" ht="30.75" customHeight="1">
      <c r="A73" s="688"/>
      <c r="B73" s="295" t="s">
        <v>2291</v>
      </c>
      <c r="C73" s="298"/>
      <c r="D73" s="298"/>
      <c r="E73" s="302" t="s">
        <v>2306</v>
      </c>
      <c r="F73" s="307"/>
      <c r="G73" s="302" t="s">
        <v>2304</v>
      </c>
      <c r="H73" s="307">
        <v>4500000</v>
      </c>
      <c r="I73" s="307">
        <f t="shared" ref="I73" si="14">H73+F73</f>
        <v>4500000</v>
      </c>
      <c r="J73" s="295"/>
    </row>
    <row r="74" spans="1:10" ht="30.75" customHeight="1">
      <c r="A74" s="688"/>
      <c r="B74" s="295" t="s">
        <v>2292</v>
      </c>
      <c r="C74" s="298"/>
      <c r="D74" s="298"/>
      <c r="E74" s="302"/>
      <c r="F74" s="307"/>
      <c r="G74" s="302"/>
      <c r="H74" s="307">
        <v>4500000</v>
      </c>
      <c r="I74" s="307">
        <f t="shared" si="5"/>
        <v>4500000</v>
      </c>
      <c r="J74" s="295"/>
    </row>
    <row r="75" spans="1:10" ht="30.75" customHeight="1">
      <c r="A75" s="688"/>
      <c r="B75" s="295" t="s">
        <v>2293</v>
      </c>
      <c r="C75" s="298"/>
      <c r="D75" s="298"/>
      <c r="E75" s="302"/>
      <c r="F75" s="307"/>
      <c r="G75" s="302"/>
      <c r="H75" s="307">
        <v>4500000</v>
      </c>
      <c r="I75" s="307">
        <f t="shared" si="5"/>
        <v>4500000</v>
      </c>
      <c r="J75" s="295"/>
    </row>
    <row r="76" spans="1:10" ht="30.75" customHeight="1">
      <c r="A76" s="689"/>
      <c r="B76" s="296" t="s">
        <v>2294</v>
      </c>
      <c r="C76" s="299" t="s">
        <v>2301</v>
      </c>
      <c r="D76" s="299"/>
      <c r="E76" s="303"/>
      <c r="F76" s="308"/>
      <c r="G76" s="303"/>
      <c r="H76" s="307">
        <v>4500000</v>
      </c>
      <c r="I76" s="308">
        <f t="shared" si="5"/>
        <v>4500000</v>
      </c>
      <c r="J76" s="296"/>
    </row>
    <row r="77" spans="1:10" ht="21.75" customHeight="1">
      <c r="A77" s="687">
        <v>2039</v>
      </c>
      <c r="B77" s="304" t="s">
        <v>2299</v>
      </c>
      <c r="C77" s="305">
        <v>49</v>
      </c>
      <c r="D77" s="305">
        <v>47</v>
      </c>
      <c r="E77" s="309">
        <v>20</v>
      </c>
      <c r="F77" s="306"/>
      <c r="G77" s="309" t="s">
        <v>2318</v>
      </c>
      <c r="H77" s="306"/>
      <c r="I77" s="306"/>
      <c r="J77" s="304" t="s">
        <v>2343</v>
      </c>
    </row>
    <row r="78" spans="1:10" ht="30.75" customHeight="1">
      <c r="A78" s="688"/>
      <c r="B78" s="295" t="s">
        <v>2291</v>
      </c>
      <c r="C78" s="298"/>
      <c r="D78" s="298"/>
      <c r="E78" s="302"/>
      <c r="F78" s="307"/>
      <c r="G78" s="302"/>
      <c r="H78" s="307">
        <v>4500000</v>
      </c>
      <c r="I78" s="307">
        <f t="shared" ref="I78" si="15">H78+F78</f>
        <v>4500000</v>
      </c>
      <c r="J78" s="295"/>
    </row>
    <row r="79" spans="1:10" ht="30.75" customHeight="1">
      <c r="A79" s="688"/>
      <c r="B79" s="295" t="s">
        <v>2292</v>
      </c>
      <c r="C79" s="298"/>
      <c r="D79" s="298"/>
      <c r="E79" s="302"/>
      <c r="F79" s="307"/>
      <c r="G79" s="302"/>
      <c r="H79" s="307">
        <v>4500000</v>
      </c>
      <c r="I79" s="307">
        <f t="shared" si="5"/>
        <v>4500000</v>
      </c>
      <c r="J79" s="295"/>
    </row>
    <row r="80" spans="1:10" ht="30.75" customHeight="1">
      <c r="A80" s="688"/>
      <c r="B80" s="295" t="s">
        <v>2293</v>
      </c>
      <c r="C80" s="298"/>
      <c r="D80" s="298"/>
      <c r="E80" s="302"/>
      <c r="F80" s="307"/>
      <c r="G80" s="302"/>
      <c r="H80" s="307">
        <v>4500000</v>
      </c>
      <c r="I80" s="307">
        <f t="shared" si="5"/>
        <v>4500000</v>
      </c>
      <c r="J80" s="295"/>
    </row>
    <row r="81" spans="1:10" ht="30.75" customHeight="1">
      <c r="A81" s="689"/>
      <c r="B81" s="296" t="s">
        <v>2294</v>
      </c>
      <c r="C81" s="299" t="s">
        <v>2301</v>
      </c>
      <c r="D81" s="299"/>
      <c r="E81" s="303"/>
      <c r="F81" s="308"/>
      <c r="G81" s="303"/>
      <c r="H81" s="307">
        <v>4500000</v>
      </c>
      <c r="I81" s="308">
        <f t="shared" si="5"/>
        <v>4500000</v>
      </c>
      <c r="J81" s="296"/>
    </row>
    <row r="82" spans="1:10" ht="21.75" customHeight="1">
      <c r="A82" s="687">
        <v>2040</v>
      </c>
      <c r="B82" s="304" t="s">
        <v>2299</v>
      </c>
      <c r="C82" s="305">
        <v>50</v>
      </c>
      <c r="D82" s="305">
        <v>48</v>
      </c>
      <c r="E82" s="309">
        <v>21</v>
      </c>
      <c r="F82" s="306"/>
      <c r="G82" s="309" t="s">
        <v>2319</v>
      </c>
      <c r="H82" s="306"/>
      <c r="I82" s="306"/>
      <c r="J82" s="304" t="s">
        <v>2344</v>
      </c>
    </row>
    <row r="83" spans="1:10" ht="30.75" customHeight="1">
      <c r="A83" s="688"/>
      <c r="B83" s="295" t="s">
        <v>2291</v>
      </c>
      <c r="C83" s="298"/>
      <c r="D83" s="298"/>
      <c r="E83" s="302"/>
      <c r="F83" s="307"/>
      <c r="G83" s="302"/>
      <c r="H83" s="307">
        <v>4500000</v>
      </c>
      <c r="I83" s="307">
        <f t="shared" ref="I83" si="16">H83+F83</f>
        <v>4500000</v>
      </c>
      <c r="J83" s="295"/>
    </row>
    <row r="84" spans="1:10" ht="30.75" customHeight="1">
      <c r="A84" s="688"/>
      <c r="B84" s="295" t="s">
        <v>2292</v>
      </c>
      <c r="C84" s="298"/>
      <c r="D84" s="298"/>
      <c r="E84" s="302"/>
      <c r="F84" s="307"/>
      <c r="G84" s="302"/>
      <c r="H84" s="307">
        <v>4500000</v>
      </c>
      <c r="I84" s="307">
        <f t="shared" si="5"/>
        <v>4500000</v>
      </c>
      <c r="J84" s="295"/>
    </row>
    <row r="85" spans="1:10" ht="30.75" customHeight="1">
      <c r="A85" s="688"/>
      <c r="B85" s="295" t="s">
        <v>2293</v>
      </c>
      <c r="C85" s="298"/>
      <c r="D85" s="298"/>
      <c r="E85" s="302"/>
      <c r="F85" s="307"/>
      <c r="G85" s="302"/>
      <c r="H85" s="307">
        <v>4500000</v>
      </c>
      <c r="I85" s="307">
        <f t="shared" si="5"/>
        <v>4500000</v>
      </c>
      <c r="J85" s="295"/>
    </row>
    <row r="86" spans="1:10" ht="30.75" customHeight="1">
      <c r="A86" s="689"/>
      <c r="B86" s="296" t="s">
        <v>2294</v>
      </c>
      <c r="C86" s="299" t="s">
        <v>2301</v>
      </c>
      <c r="D86" s="299"/>
      <c r="E86" s="303"/>
      <c r="F86" s="308"/>
      <c r="G86" s="303" t="s">
        <v>2308</v>
      </c>
      <c r="H86" s="307">
        <v>4500000</v>
      </c>
      <c r="I86" s="308">
        <f t="shared" si="5"/>
        <v>4500000</v>
      </c>
      <c r="J86" s="296"/>
    </row>
    <row r="87" spans="1:10" ht="21.75" customHeight="1">
      <c r="A87" s="687">
        <v>2041</v>
      </c>
      <c r="B87" s="304" t="s">
        <v>2299</v>
      </c>
      <c r="C87" s="305">
        <v>51</v>
      </c>
      <c r="D87" s="305">
        <v>49</v>
      </c>
      <c r="E87" s="309">
        <v>22</v>
      </c>
      <c r="F87" s="306"/>
      <c r="G87" s="309" t="s">
        <v>2320</v>
      </c>
      <c r="H87" s="306"/>
      <c r="I87" s="306"/>
      <c r="J87" s="304" t="s">
        <v>2345</v>
      </c>
    </row>
    <row r="88" spans="1:10" ht="30.75" customHeight="1">
      <c r="A88" s="688"/>
      <c r="B88" s="295" t="s">
        <v>2291</v>
      </c>
      <c r="C88" s="298"/>
      <c r="D88" s="298"/>
      <c r="E88" s="302"/>
      <c r="F88" s="307"/>
      <c r="G88" s="302" t="s">
        <v>2307</v>
      </c>
      <c r="H88" s="307">
        <v>6000000</v>
      </c>
      <c r="I88" s="307">
        <f t="shared" ref="I88" si="17">H88+F88</f>
        <v>6000000</v>
      </c>
      <c r="J88" s="295"/>
    </row>
    <row r="89" spans="1:10" ht="30.75" customHeight="1">
      <c r="A89" s="688"/>
      <c r="B89" s="295" t="s">
        <v>2292</v>
      </c>
      <c r="C89" s="298"/>
      <c r="D89" s="298"/>
      <c r="E89" s="302"/>
      <c r="F89" s="307"/>
      <c r="G89" s="302"/>
      <c r="H89" s="307">
        <v>6000000</v>
      </c>
      <c r="I89" s="307">
        <f t="shared" si="5"/>
        <v>6000000</v>
      </c>
      <c r="J89" s="295"/>
    </row>
    <row r="90" spans="1:10" ht="30.75" customHeight="1">
      <c r="A90" s="688"/>
      <c r="B90" s="295" t="s">
        <v>2293</v>
      </c>
      <c r="C90" s="298"/>
      <c r="D90" s="298"/>
      <c r="E90" s="302"/>
      <c r="F90" s="307"/>
      <c r="G90" s="302"/>
      <c r="H90" s="307">
        <v>6000000</v>
      </c>
      <c r="I90" s="307">
        <f t="shared" si="5"/>
        <v>6000000</v>
      </c>
      <c r="J90" s="295"/>
    </row>
    <row r="91" spans="1:10" ht="30.75" customHeight="1">
      <c r="A91" s="689"/>
      <c r="B91" s="296" t="s">
        <v>2294</v>
      </c>
      <c r="C91" s="299"/>
      <c r="D91" s="299"/>
      <c r="E91" s="303"/>
      <c r="F91" s="308"/>
      <c r="G91" s="303"/>
      <c r="H91" s="307">
        <v>6000000</v>
      </c>
      <c r="I91" s="308">
        <f t="shared" si="5"/>
        <v>6000000</v>
      </c>
      <c r="J91" s="296"/>
    </row>
    <row r="92" spans="1:10" ht="21.75" customHeight="1">
      <c r="A92" s="687">
        <v>2042</v>
      </c>
      <c r="B92" s="304" t="s">
        <v>2299</v>
      </c>
      <c r="C92" s="305">
        <v>52</v>
      </c>
      <c r="D92" s="305">
        <v>50</v>
      </c>
      <c r="E92" s="309">
        <v>23</v>
      </c>
      <c r="F92" s="306"/>
      <c r="G92" s="309" t="s">
        <v>2321</v>
      </c>
      <c r="H92" s="306"/>
      <c r="I92" s="306"/>
      <c r="J92" s="304" t="s">
        <v>2346</v>
      </c>
    </row>
    <row r="93" spans="1:10" ht="30.75" customHeight="1">
      <c r="A93" s="688"/>
      <c r="B93" s="295" t="s">
        <v>2291</v>
      </c>
      <c r="C93" s="298"/>
      <c r="D93" s="298"/>
      <c r="E93" s="302"/>
      <c r="F93" s="307"/>
      <c r="G93" s="302"/>
      <c r="H93" s="307">
        <v>6000000</v>
      </c>
      <c r="I93" s="307">
        <f t="shared" ref="I93:I146" si="18">H93+F93</f>
        <v>6000000</v>
      </c>
      <c r="J93" s="295"/>
    </row>
    <row r="94" spans="1:10" ht="30.75" customHeight="1">
      <c r="A94" s="688"/>
      <c r="B94" s="295" t="s">
        <v>2292</v>
      </c>
      <c r="C94" s="298"/>
      <c r="D94" s="298"/>
      <c r="E94" s="302"/>
      <c r="F94" s="307"/>
      <c r="G94" s="302"/>
      <c r="H94" s="307">
        <v>6000000</v>
      </c>
      <c r="I94" s="307">
        <f t="shared" si="18"/>
        <v>6000000</v>
      </c>
      <c r="J94" s="295"/>
    </row>
    <row r="95" spans="1:10" ht="30.75" customHeight="1">
      <c r="A95" s="688"/>
      <c r="B95" s="295" t="s">
        <v>2293</v>
      </c>
      <c r="C95" s="298"/>
      <c r="D95" s="298"/>
      <c r="E95" s="302"/>
      <c r="F95" s="307"/>
      <c r="G95" s="302"/>
      <c r="H95" s="307">
        <v>6000000</v>
      </c>
      <c r="I95" s="307">
        <f t="shared" si="18"/>
        <v>6000000</v>
      </c>
      <c r="J95" s="295"/>
    </row>
    <row r="96" spans="1:10" ht="30.75" customHeight="1">
      <c r="A96" s="689"/>
      <c r="B96" s="296" t="s">
        <v>2294</v>
      </c>
      <c r="C96" s="299"/>
      <c r="D96" s="299"/>
      <c r="E96" s="303"/>
      <c r="F96" s="308"/>
      <c r="G96" s="303"/>
      <c r="H96" s="307">
        <v>6000000</v>
      </c>
      <c r="I96" s="308">
        <f t="shared" si="18"/>
        <v>6000000</v>
      </c>
      <c r="J96" s="296"/>
    </row>
    <row r="97" spans="1:10" ht="21.75" customHeight="1">
      <c r="A97" s="687">
        <v>2043</v>
      </c>
      <c r="B97" s="304" t="s">
        <v>2299</v>
      </c>
      <c r="C97" s="305">
        <v>53</v>
      </c>
      <c r="D97" s="305">
        <v>51</v>
      </c>
      <c r="E97" s="309">
        <v>24</v>
      </c>
      <c r="F97" s="306"/>
      <c r="G97" s="309" t="s">
        <v>2322</v>
      </c>
      <c r="H97" s="306"/>
      <c r="I97" s="306"/>
      <c r="J97" s="304" t="s">
        <v>2347</v>
      </c>
    </row>
    <row r="98" spans="1:10" ht="30.75" customHeight="1">
      <c r="A98" s="688"/>
      <c r="B98" s="295" t="s">
        <v>2291</v>
      </c>
      <c r="C98" s="298"/>
      <c r="D98" s="298"/>
      <c r="E98" s="302"/>
      <c r="F98" s="307"/>
      <c r="G98" s="302"/>
      <c r="H98" s="307">
        <v>6000000</v>
      </c>
      <c r="I98" s="307">
        <f t="shared" ref="I98" si="19">H98+F98</f>
        <v>6000000</v>
      </c>
      <c r="J98" s="295"/>
    </row>
    <row r="99" spans="1:10" ht="30.75" customHeight="1">
      <c r="A99" s="688"/>
      <c r="B99" s="295" t="s">
        <v>2292</v>
      </c>
      <c r="C99" s="298"/>
      <c r="D99" s="298"/>
      <c r="E99" s="302"/>
      <c r="F99" s="307"/>
      <c r="G99" s="302"/>
      <c r="H99" s="307">
        <v>6000000</v>
      </c>
      <c r="I99" s="307">
        <f t="shared" si="18"/>
        <v>6000000</v>
      </c>
      <c r="J99" s="295"/>
    </row>
    <row r="100" spans="1:10" ht="30.75" customHeight="1">
      <c r="A100" s="688"/>
      <c r="B100" s="295" t="s">
        <v>2293</v>
      </c>
      <c r="C100" s="298"/>
      <c r="D100" s="298"/>
      <c r="E100" s="302"/>
      <c r="F100" s="307"/>
      <c r="G100" s="302"/>
      <c r="H100" s="307">
        <v>6000000</v>
      </c>
      <c r="I100" s="307">
        <f t="shared" si="18"/>
        <v>6000000</v>
      </c>
      <c r="J100" s="295"/>
    </row>
    <row r="101" spans="1:10" ht="30.75" customHeight="1">
      <c r="A101" s="689"/>
      <c r="B101" s="296" t="s">
        <v>2294</v>
      </c>
      <c r="C101" s="299"/>
      <c r="D101" s="299"/>
      <c r="E101" s="303"/>
      <c r="F101" s="308"/>
      <c r="G101" s="303" t="s">
        <v>2300</v>
      </c>
      <c r="H101" s="307">
        <v>6000000</v>
      </c>
      <c r="I101" s="308">
        <f t="shared" si="18"/>
        <v>6000000</v>
      </c>
      <c r="J101" s="296"/>
    </row>
    <row r="102" spans="1:10" ht="21.75" customHeight="1">
      <c r="A102" s="687">
        <v>2044</v>
      </c>
      <c r="B102" s="304" t="s">
        <v>2299</v>
      </c>
      <c r="C102" s="305">
        <v>54</v>
      </c>
      <c r="D102" s="305">
        <v>52</v>
      </c>
      <c r="E102" s="309">
        <v>25</v>
      </c>
      <c r="F102" s="306"/>
      <c r="G102" s="309">
        <v>19</v>
      </c>
      <c r="H102" s="306"/>
      <c r="I102" s="306"/>
      <c r="J102" s="304" t="s">
        <v>2348</v>
      </c>
    </row>
    <row r="103" spans="1:10" ht="30.75" customHeight="1">
      <c r="A103" s="688"/>
      <c r="B103" s="295" t="s">
        <v>2291</v>
      </c>
      <c r="C103" s="298"/>
      <c r="D103" s="298"/>
      <c r="E103" s="302"/>
      <c r="F103" s="307"/>
      <c r="G103" s="302" t="s">
        <v>2306</v>
      </c>
      <c r="H103" s="307"/>
      <c r="I103" s="307">
        <f t="shared" ref="I103" si="20">H103+F103</f>
        <v>0</v>
      </c>
      <c r="J103" s="295"/>
    </row>
    <row r="104" spans="1:10" ht="30.75" customHeight="1">
      <c r="A104" s="688"/>
      <c r="B104" s="295" t="s">
        <v>2292</v>
      </c>
      <c r="C104" s="298"/>
      <c r="D104" s="298"/>
      <c r="E104" s="302"/>
      <c r="F104" s="307"/>
      <c r="G104" s="302"/>
      <c r="H104" s="307"/>
      <c r="I104" s="307">
        <f t="shared" si="18"/>
        <v>0</v>
      </c>
      <c r="J104" s="295"/>
    </row>
    <row r="105" spans="1:10" ht="30.75" customHeight="1">
      <c r="A105" s="688"/>
      <c r="B105" s="295" t="s">
        <v>2293</v>
      </c>
      <c r="C105" s="298"/>
      <c r="D105" s="298"/>
      <c r="E105" s="302"/>
      <c r="F105" s="307"/>
      <c r="G105" s="302"/>
      <c r="H105" s="307"/>
      <c r="I105" s="307">
        <f t="shared" si="18"/>
        <v>0</v>
      </c>
      <c r="J105" s="295"/>
    </row>
    <row r="106" spans="1:10" ht="30.75" customHeight="1">
      <c r="A106" s="689"/>
      <c r="B106" s="296" t="s">
        <v>2294</v>
      </c>
      <c r="C106" s="299"/>
      <c r="D106" s="299"/>
      <c r="E106" s="303"/>
      <c r="F106" s="308"/>
      <c r="G106" s="303"/>
      <c r="H106" s="308"/>
      <c r="I106" s="308">
        <f t="shared" si="18"/>
        <v>0</v>
      </c>
      <c r="J106" s="296"/>
    </row>
    <row r="107" spans="1:10" ht="21.75" customHeight="1">
      <c r="A107" s="687">
        <v>2045</v>
      </c>
      <c r="B107" s="304" t="s">
        <v>2299</v>
      </c>
      <c r="C107" s="305">
        <v>55</v>
      </c>
      <c r="D107" s="305">
        <v>53</v>
      </c>
      <c r="E107" s="309">
        <v>26</v>
      </c>
      <c r="F107" s="306"/>
      <c r="G107" s="309">
        <v>20</v>
      </c>
      <c r="H107" s="306"/>
      <c r="I107" s="306"/>
      <c r="J107" s="304" t="s">
        <v>2349</v>
      </c>
    </row>
    <row r="108" spans="1:10" ht="30.75" customHeight="1">
      <c r="A108" s="688"/>
      <c r="B108" s="295" t="s">
        <v>2291</v>
      </c>
      <c r="C108" s="298"/>
      <c r="D108" s="298"/>
      <c r="E108" s="302"/>
      <c r="F108" s="307"/>
      <c r="G108" s="302"/>
      <c r="H108" s="307"/>
      <c r="I108" s="307">
        <f t="shared" ref="I108" si="21">H108+F108</f>
        <v>0</v>
      </c>
      <c r="J108" s="295"/>
    </row>
    <row r="109" spans="1:10" ht="30.75" customHeight="1">
      <c r="A109" s="688"/>
      <c r="B109" s="295" t="s">
        <v>2292</v>
      </c>
      <c r="C109" s="298"/>
      <c r="D109" s="298"/>
      <c r="E109" s="302"/>
      <c r="F109" s="307"/>
      <c r="G109" s="302"/>
      <c r="H109" s="307"/>
      <c r="I109" s="307">
        <f t="shared" si="18"/>
        <v>0</v>
      </c>
      <c r="J109" s="295"/>
    </row>
    <row r="110" spans="1:10" ht="30.75" customHeight="1">
      <c r="A110" s="688"/>
      <c r="B110" s="295" t="s">
        <v>2293</v>
      </c>
      <c r="C110" s="298"/>
      <c r="D110" s="298"/>
      <c r="E110" s="302"/>
      <c r="F110" s="307"/>
      <c r="G110" s="302"/>
      <c r="H110" s="307"/>
      <c r="I110" s="307">
        <f t="shared" si="18"/>
        <v>0</v>
      </c>
      <c r="J110" s="295"/>
    </row>
    <row r="111" spans="1:10" ht="30.75" customHeight="1">
      <c r="A111" s="689"/>
      <c r="B111" s="296" t="s">
        <v>2294</v>
      </c>
      <c r="C111" s="299"/>
      <c r="D111" s="299"/>
      <c r="E111" s="303"/>
      <c r="F111" s="308"/>
      <c r="G111" s="303"/>
      <c r="H111" s="308"/>
      <c r="I111" s="308">
        <f t="shared" si="18"/>
        <v>0</v>
      </c>
      <c r="J111" s="296"/>
    </row>
    <row r="112" spans="1:10" ht="21.75" customHeight="1">
      <c r="A112" s="687">
        <v>2046</v>
      </c>
      <c r="B112" s="304" t="s">
        <v>2299</v>
      </c>
      <c r="C112" s="305">
        <v>56</v>
      </c>
      <c r="D112" s="305">
        <v>54</v>
      </c>
      <c r="E112" s="309">
        <v>27</v>
      </c>
      <c r="F112" s="306"/>
      <c r="G112" s="309">
        <v>21</v>
      </c>
      <c r="H112" s="306"/>
      <c r="I112" s="306"/>
      <c r="J112" s="304" t="s">
        <v>2350</v>
      </c>
    </row>
    <row r="113" spans="1:10" ht="30.75" customHeight="1">
      <c r="A113" s="688"/>
      <c r="B113" s="295" t="s">
        <v>2291</v>
      </c>
      <c r="C113" s="298"/>
      <c r="D113" s="298"/>
      <c r="E113" s="302"/>
      <c r="F113" s="307"/>
      <c r="G113" s="302"/>
      <c r="H113" s="307"/>
      <c r="I113" s="307">
        <f t="shared" ref="I113" si="22">H113+F113</f>
        <v>0</v>
      </c>
      <c r="J113" s="295"/>
    </row>
    <row r="114" spans="1:10" ht="30.75" customHeight="1">
      <c r="A114" s="688"/>
      <c r="B114" s="295" t="s">
        <v>2292</v>
      </c>
      <c r="C114" s="298"/>
      <c r="D114" s="298"/>
      <c r="E114" s="302"/>
      <c r="F114" s="307"/>
      <c r="G114" s="302"/>
      <c r="H114" s="307"/>
      <c r="I114" s="307">
        <f t="shared" si="18"/>
        <v>0</v>
      </c>
      <c r="J114" s="295"/>
    </row>
    <row r="115" spans="1:10" ht="30.75" customHeight="1">
      <c r="A115" s="688"/>
      <c r="B115" s="295" t="s">
        <v>2293</v>
      </c>
      <c r="C115" s="298"/>
      <c r="D115" s="298"/>
      <c r="E115" s="302"/>
      <c r="F115" s="307"/>
      <c r="G115" s="302"/>
      <c r="H115" s="307"/>
      <c r="I115" s="307">
        <f t="shared" si="18"/>
        <v>0</v>
      </c>
      <c r="J115" s="295"/>
    </row>
    <row r="116" spans="1:10" ht="30.75" customHeight="1">
      <c r="A116" s="689"/>
      <c r="B116" s="296" t="s">
        <v>2294</v>
      </c>
      <c r="C116" s="299"/>
      <c r="D116" s="299"/>
      <c r="E116" s="303"/>
      <c r="F116" s="308"/>
      <c r="G116" s="303"/>
      <c r="H116" s="308"/>
      <c r="I116" s="308">
        <f t="shared" si="18"/>
        <v>0</v>
      </c>
      <c r="J116" s="296"/>
    </row>
    <row r="117" spans="1:10" ht="21.75" customHeight="1">
      <c r="A117" s="687">
        <v>2047</v>
      </c>
      <c r="B117" s="304" t="s">
        <v>2299</v>
      </c>
      <c r="C117" s="305">
        <v>57</v>
      </c>
      <c r="D117" s="305">
        <v>55</v>
      </c>
      <c r="E117" s="309">
        <v>28</v>
      </c>
      <c r="F117" s="306"/>
      <c r="G117" s="309">
        <v>22</v>
      </c>
      <c r="H117" s="306"/>
      <c r="I117" s="306"/>
      <c r="J117" s="304" t="s">
        <v>2351</v>
      </c>
    </row>
    <row r="118" spans="1:10" ht="30.75" customHeight="1">
      <c r="A118" s="688"/>
      <c r="B118" s="295" t="s">
        <v>2291</v>
      </c>
      <c r="C118" s="298"/>
      <c r="D118" s="298"/>
      <c r="E118" s="302"/>
      <c r="F118" s="307"/>
      <c r="G118" s="302"/>
      <c r="H118" s="307"/>
      <c r="I118" s="307">
        <f t="shared" ref="I118" si="23">H118+F118</f>
        <v>0</v>
      </c>
      <c r="J118" s="295"/>
    </row>
    <row r="119" spans="1:10" ht="30.75" customHeight="1">
      <c r="A119" s="688"/>
      <c r="B119" s="295" t="s">
        <v>2292</v>
      </c>
      <c r="C119" s="298"/>
      <c r="D119" s="298"/>
      <c r="E119" s="302"/>
      <c r="F119" s="307"/>
      <c r="G119" s="302"/>
      <c r="H119" s="307"/>
      <c r="I119" s="307">
        <f t="shared" si="18"/>
        <v>0</v>
      </c>
      <c r="J119" s="295"/>
    </row>
    <row r="120" spans="1:10" ht="30.75" customHeight="1">
      <c r="A120" s="688"/>
      <c r="B120" s="295" t="s">
        <v>2293</v>
      </c>
      <c r="C120" s="298"/>
      <c r="D120" s="298"/>
      <c r="E120" s="302"/>
      <c r="F120" s="307"/>
      <c r="G120" s="302"/>
      <c r="H120" s="307"/>
      <c r="I120" s="307">
        <f t="shared" si="18"/>
        <v>0</v>
      </c>
      <c r="J120" s="295"/>
    </row>
    <row r="121" spans="1:10" ht="30.75" customHeight="1">
      <c r="A121" s="689"/>
      <c r="B121" s="296" t="s">
        <v>2294</v>
      </c>
      <c r="C121" s="299"/>
      <c r="D121" s="299"/>
      <c r="E121" s="303"/>
      <c r="F121" s="308"/>
      <c r="G121" s="303"/>
      <c r="H121" s="308"/>
      <c r="I121" s="308">
        <f t="shared" si="18"/>
        <v>0</v>
      </c>
      <c r="J121" s="296"/>
    </row>
    <row r="122" spans="1:10" ht="21.75" customHeight="1">
      <c r="A122" s="687">
        <v>2048</v>
      </c>
      <c r="B122" s="304" t="s">
        <v>2299</v>
      </c>
      <c r="C122" s="305">
        <v>58</v>
      </c>
      <c r="D122" s="305">
        <v>56</v>
      </c>
      <c r="E122" s="309">
        <v>29</v>
      </c>
      <c r="F122" s="306"/>
      <c r="G122" s="309">
        <v>23</v>
      </c>
      <c r="H122" s="306"/>
      <c r="I122" s="306"/>
      <c r="J122" s="304" t="s">
        <v>2352</v>
      </c>
    </row>
    <row r="123" spans="1:10" ht="30.75" customHeight="1">
      <c r="A123" s="688"/>
      <c r="B123" s="295" t="s">
        <v>2291</v>
      </c>
      <c r="C123" s="298"/>
      <c r="D123" s="298"/>
      <c r="E123" s="302"/>
      <c r="F123" s="307"/>
      <c r="G123" s="302"/>
      <c r="H123" s="307"/>
      <c r="I123" s="307">
        <f t="shared" ref="I123" si="24">H123+F123</f>
        <v>0</v>
      </c>
      <c r="J123" s="295"/>
    </row>
    <row r="124" spans="1:10" ht="30.75" customHeight="1">
      <c r="A124" s="688"/>
      <c r="B124" s="295" t="s">
        <v>2292</v>
      </c>
      <c r="C124" s="298"/>
      <c r="D124" s="298"/>
      <c r="E124" s="302"/>
      <c r="F124" s="307"/>
      <c r="G124" s="302"/>
      <c r="H124" s="307"/>
      <c r="I124" s="307">
        <f t="shared" si="18"/>
        <v>0</v>
      </c>
      <c r="J124" s="295"/>
    </row>
    <row r="125" spans="1:10" ht="30.75" customHeight="1">
      <c r="A125" s="688"/>
      <c r="B125" s="295" t="s">
        <v>2293</v>
      </c>
      <c r="C125" s="298"/>
      <c r="D125" s="298"/>
      <c r="E125" s="302"/>
      <c r="F125" s="307"/>
      <c r="G125" s="302"/>
      <c r="H125" s="307"/>
      <c r="I125" s="307">
        <f t="shared" si="18"/>
        <v>0</v>
      </c>
      <c r="J125" s="295"/>
    </row>
    <row r="126" spans="1:10" ht="30.75" customHeight="1">
      <c r="A126" s="689"/>
      <c r="B126" s="296" t="s">
        <v>2294</v>
      </c>
      <c r="C126" s="299"/>
      <c r="D126" s="299"/>
      <c r="E126" s="303"/>
      <c r="F126" s="308"/>
      <c r="G126" s="303"/>
      <c r="H126" s="308"/>
      <c r="I126" s="308">
        <f t="shared" si="18"/>
        <v>0</v>
      </c>
      <c r="J126" s="296"/>
    </row>
    <row r="127" spans="1:10" ht="21.75" customHeight="1">
      <c r="A127" s="687">
        <v>2049</v>
      </c>
      <c r="B127" s="304" t="s">
        <v>2299</v>
      </c>
      <c r="C127" s="305">
        <v>59</v>
      </c>
      <c r="D127" s="305">
        <v>57</v>
      </c>
      <c r="E127" s="309">
        <v>30</v>
      </c>
      <c r="F127" s="306"/>
      <c r="G127" s="309">
        <v>24</v>
      </c>
      <c r="H127" s="306"/>
      <c r="I127" s="306"/>
      <c r="J127" s="304" t="s">
        <v>2353</v>
      </c>
    </row>
    <row r="128" spans="1:10" ht="30.75" customHeight="1">
      <c r="A128" s="688"/>
      <c r="B128" s="295" t="s">
        <v>2291</v>
      </c>
      <c r="C128" s="298"/>
      <c r="D128" s="298"/>
      <c r="E128" s="302"/>
      <c r="F128" s="307"/>
      <c r="G128" s="302"/>
      <c r="H128" s="307"/>
      <c r="I128" s="307">
        <f t="shared" ref="I128" si="25">H128+F128</f>
        <v>0</v>
      </c>
      <c r="J128" s="295"/>
    </row>
    <row r="129" spans="1:10" ht="30.75" customHeight="1">
      <c r="A129" s="688"/>
      <c r="B129" s="295" t="s">
        <v>2292</v>
      </c>
      <c r="C129" s="298"/>
      <c r="D129" s="298"/>
      <c r="E129" s="302"/>
      <c r="F129" s="307"/>
      <c r="G129" s="302"/>
      <c r="H129" s="307"/>
      <c r="I129" s="307">
        <f t="shared" si="18"/>
        <v>0</v>
      </c>
      <c r="J129" s="295"/>
    </row>
    <row r="130" spans="1:10" ht="30.75" customHeight="1">
      <c r="A130" s="688"/>
      <c r="B130" s="295" t="s">
        <v>2293</v>
      </c>
      <c r="C130" s="298"/>
      <c r="D130" s="298"/>
      <c r="E130" s="302"/>
      <c r="F130" s="307"/>
      <c r="G130" s="302"/>
      <c r="H130" s="307"/>
      <c r="I130" s="307">
        <f t="shared" si="18"/>
        <v>0</v>
      </c>
      <c r="J130" s="295"/>
    </row>
    <row r="131" spans="1:10" ht="30.75" customHeight="1">
      <c r="A131" s="689"/>
      <c r="B131" s="296" t="s">
        <v>2294</v>
      </c>
      <c r="C131" s="299"/>
      <c r="D131" s="299"/>
      <c r="E131" s="303"/>
      <c r="F131" s="308"/>
      <c r="G131" s="303"/>
      <c r="H131" s="308"/>
      <c r="I131" s="308">
        <f t="shared" si="18"/>
        <v>0</v>
      </c>
      <c r="J131" s="296"/>
    </row>
    <row r="132" spans="1:10" ht="21.75" customHeight="1">
      <c r="A132" s="687">
        <v>2050</v>
      </c>
      <c r="B132" s="304" t="s">
        <v>2299</v>
      </c>
      <c r="C132" s="305">
        <v>60</v>
      </c>
      <c r="D132" s="305">
        <v>58</v>
      </c>
      <c r="E132" s="309">
        <v>31</v>
      </c>
      <c r="F132" s="306"/>
      <c r="G132" s="309">
        <v>25</v>
      </c>
      <c r="H132" s="306"/>
      <c r="I132" s="306"/>
      <c r="J132" s="304" t="s">
        <v>2354</v>
      </c>
    </row>
    <row r="133" spans="1:10" ht="30.75" customHeight="1">
      <c r="A133" s="688"/>
      <c r="B133" s="295" t="s">
        <v>2291</v>
      </c>
      <c r="C133" s="298"/>
      <c r="D133" s="298"/>
      <c r="E133" s="302"/>
      <c r="F133" s="307"/>
      <c r="G133" s="302"/>
      <c r="H133" s="307"/>
      <c r="I133" s="307">
        <f t="shared" ref="I133" si="26">H133+F133</f>
        <v>0</v>
      </c>
      <c r="J133" s="295"/>
    </row>
    <row r="134" spans="1:10" ht="30.75" customHeight="1">
      <c r="A134" s="688"/>
      <c r="B134" s="295" t="s">
        <v>2292</v>
      </c>
      <c r="C134" s="298"/>
      <c r="D134" s="298"/>
      <c r="E134" s="302"/>
      <c r="F134" s="307"/>
      <c r="G134" s="302"/>
      <c r="H134" s="307"/>
      <c r="I134" s="307">
        <f t="shared" si="18"/>
        <v>0</v>
      </c>
      <c r="J134" s="295"/>
    </row>
    <row r="135" spans="1:10" ht="30.75" customHeight="1">
      <c r="A135" s="688"/>
      <c r="B135" s="295" t="s">
        <v>2293</v>
      </c>
      <c r="C135" s="298"/>
      <c r="D135" s="298"/>
      <c r="E135" s="302"/>
      <c r="F135" s="307"/>
      <c r="G135" s="302"/>
      <c r="H135" s="307"/>
      <c r="I135" s="307">
        <f t="shared" si="18"/>
        <v>0</v>
      </c>
      <c r="J135" s="295"/>
    </row>
    <row r="136" spans="1:10" ht="30.75" customHeight="1">
      <c r="A136" s="689"/>
      <c r="B136" s="296" t="s">
        <v>2294</v>
      </c>
      <c r="C136" s="299"/>
      <c r="D136" s="299"/>
      <c r="E136" s="303"/>
      <c r="F136" s="308"/>
      <c r="G136" s="303"/>
      <c r="H136" s="308"/>
      <c r="I136" s="308">
        <f t="shared" si="18"/>
        <v>0</v>
      </c>
      <c r="J136" s="296"/>
    </row>
    <row r="137" spans="1:10" ht="21.75" customHeight="1">
      <c r="A137" s="687">
        <v>2051</v>
      </c>
      <c r="B137" s="304" t="s">
        <v>2299</v>
      </c>
      <c r="C137" s="305">
        <v>61</v>
      </c>
      <c r="D137" s="305">
        <v>59</v>
      </c>
      <c r="E137" s="309">
        <v>32</v>
      </c>
      <c r="F137" s="306"/>
      <c r="G137" s="309">
        <v>26</v>
      </c>
      <c r="H137" s="306"/>
      <c r="I137" s="306"/>
      <c r="J137" s="304" t="s">
        <v>2355</v>
      </c>
    </row>
    <row r="138" spans="1:10" ht="30.75" customHeight="1">
      <c r="A138" s="688"/>
      <c r="B138" s="295" t="s">
        <v>2291</v>
      </c>
      <c r="C138" s="298"/>
      <c r="D138" s="298"/>
      <c r="E138" s="302"/>
      <c r="F138" s="307"/>
      <c r="G138" s="302"/>
      <c r="H138" s="307"/>
      <c r="I138" s="307">
        <f t="shared" ref="I138" si="27">H138+F138</f>
        <v>0</v>
      </c>
      <c r="J138" s="295"/>
    </row>
    <row r="139" spans="1:10" ht="30.75" customHeight="1">
      <c r="A139" s="688"/>
      <c r="B139" s="295" t="s">
        <v>2292</v>
      </c>
      <c r="C139" s="298"/>
      <c r="D139" s="298"/>
      <c r="E139" s="302"/>
      <c r="F139" s="307"/>
      <c r="G139" s="302"/>
      <c r="H139" s="307"/>
      <c r="I139" s="307">
        <f t="shared" si="18"/>
        <v>0</v>
      </c>
      <c r="J139" s="295"/>
    </row>
    <row r="140" spans="1:10" ht="30.75" customHeight="1">
      <c r="A140" s="688"/>
      <c r="B140" s="295" t="s">
        <v>2293</v>
      </c>
      <c r="C140" s="298"/>
      <c r="D140" s="298"/>
      <c r="E140" s="302"/>
      <c r="F140" s="307"/>
      <c r="G140" s="302"/>
      <c r="H140" s="307"/>
      <c r="I140" s="307">
        <f t="shared" si="18"/>
        <v>0</v>
      </c>
      <c r="J140" s="295"/>
    </row>
    <row r="141" spans="1:10" ht="30.75" customHeight="1">
      <c r="A141" s="689"/>
      <c r="B141" s="296" t="s">
        <v>2294</v>
      </c>
      <c r="C141" s="299"/>
      <c r="D141" s="299"/>
      <c r="E141" s="303"/>
      <c r="F141" s="308"/>
      <c r="G141" s="303"/>
      <c r="H141" s="308"/>
      <c r="I141" s="308">
        <f t="shared" si="18"/>
        <v>0</v>
      </c>
      <c r="J141" s="296"/>
    </row>
    <row r="142" spans="1:10" ht="21.75" customHeight="1">
      <c r="A142" s="687">
        <v>2052</v>
      </c>
      <c r="B142" s="304" t="s">
        <v>2299</v>
      </c>
      <c r="C142" s="305">
        <v>62</v>
      </c>
      <c r="D142" s="305">
        <v>60</v>
      </c>
      <c r="E142" s="309">
        <v>33</v>
      </c>
      <c r="F142" s="306"/>
      <c r="G142" s="309">
        <v>27</v>
      </c>
      <c r="H142" s="306"/>
      <c r="I142" s="306"/>
      <c r="J142" s="304" t="s">
        <v>2356</v>
      </c>
    </row>
    <row r="143" spans="1:10" ht="30.75" customHeight="1">
      <c r="A143" s="688"/>
      <c r="B143" s="295" t="s">
        <v>2291</v>
      </c>
      <c r="C143" s="298"/>
      <c r="D143" s="298"/>
      <c r="E143" s="302"/>
      <c r="F143" s="307"/>
      <c r="G143" s="302"/>
      <c r="H143" s="307"/>
      <c r="I143" s="307">
        <f t="shared" ref="I143" si="28">H143+F143</f>
        <v>0</v>
      </c>
      <c r="J143" s="295"/>
    </row>
    <row r="144" spans="1:10" ht="30.75" customHeight="1">
      <c r="A144" s="688"/>
      <c r="B144" s="295" t="s">
        <v>2292</v>
      </c>
      <c r="C144" s="298"/>
      <c r="D144" s="298"/>
      <c r="E144" s="302"/>
      <c r="F144" s="307"/>
      <c r="G144" s="302"/>
      <c r="H144" s="307"/>
      <c r="I144" s="307">
        <f t="shared" si="18"/>
        <v>0</v>
      </c>
      <c r="J144" s="295"/>
    </row>
    <row r="145" spans="1:10" ht="30.75" customHeight="1">
      <c r="A145" s="688"/>
      <c r="B145" s="295" t="s">
        <v>2293</v>
      </c>
      <c r="C145" s="298"/>
      <c r="D145" s="298"/>
      <c r="E145" s="302"/>
      <c r="F145" s="307"/>
      <c r="G145" s="302"/>
      <c r="H145" s="307"/>
      <c r="I145" s="307">
        <f t="shared" si="18"/>
        <v>0</v>
      </c>
      <c r="J145" s="295"/>
    </row>
    <row r="146" spans="1:10" ht="30.75" customHeight="1">
      <c r="A146" s="689"/>
      <c r="B146" s="296" t="s">
        <v>2294</v>
      </c>
      <c r="C146" s="299"/>
      <c r="D146" s="299"/>
      <c r="E146" s="303"/>
      <c r="F146" s="308"/>
      <c r="G146" s="303"/>
      <c r="H146" s="308"/>
      <c r="I146" s="308">
        <f t="shared" si="18"/>
        <v>0</v>
      </c>
      <c r="J146" s="296"/>
    </row>
  </sheetData>
  <mergeCells count="32">
    <mergeCell ref="A72:A76"/>
    <mergeCell ref="A22:A26"/>
    <mergeCell ref="A27:A31"/>
    <mergeCell ref="A32:A36"/>
    <mergeCell ref="A37:A41"/>
    <mergeCell ref="A42:A46"/>
    <mergeCell ref="A47:A51"/>
    <mergeCell ref="A52:A56"/>
    <mergeCell ref="A1:B1"/>
    <mergeCell ref="A57:A61"/>
    <mergeCell ref="A62:A66"/>
    <mergeCell ref="A67:A71"/>
    <mergeCell ref="A2:A6"/>
    <mergeCell ref="A7:A11"/>
    <mergeCell ref="A12:A16"/>
    <mergeCell ref="A17:A21"/>
    <mergeCell ref="A137:A141"/>
    <mergeCell ref="A142:A146"/>
    <mergeCell ref="E1:F1"/>
    <mergeCell ref="G1:H1"/>
    <mergeCell ref="A107:A111"/>
    <mergeCell ref="A112:A116"/>
    <mergeCell ref="A117:A121"/>
    <mergeCell ref="A122:A126"/>
    <mergeCell ref="A127:A131"/>
    <mergeCell ref="A132:A136"/>
    <mergeCell ref="A77:A81"/>
    <mergeCell ref="A82:A86"/>
    <mergeCell ref="A87:A91"/>
    <mergeCell ref="A92:A96"/>
    <mergeCell ref="A97:A101"/>
    <mergeCell ref="A102:A106"/>
  </mergeCells>
  <phoneticPr fontId="5" type="noConversion"/>
  <pageMargins left="0.7" right="0.7" top="0.75" bottom="0.75" header="0.3" footer="0.3"/>
  <headerFooter>
    <oddHeader>&amp;R&amp;"Aptos"&amp;13&amp;K000000 [ RESTRICTED ]&amp;1#_x000D_</oddHeader>
    <oddFooter>&amp;R_x000D_&amp;1#&amp;"Aptos"&amp;5&amp;K000000 [Secure Minds, Secure Finds] 본 문서는 현대건설㈜의 정보자산이므로 무단 전제 및 복제할 수 없으며, 이를 위반할 시에는 당사 사규 및 관련 법규에 의해 제지를 받을 수 있습니다.</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8"/>
  <dimension ref="A1:O75"/>
  <sheetViews>
    <sheetView zoomScale="70" zoomScaleNormal="70" zoomScaleSheetLayoutView="55" workbookViewId="0">
      <selection activeCell="E8" sqref="E8"/>
    </sheetView>
  </sheetViews>
  <sheetFormatPr defaultColWidth="8.75" defaultRowHeight="13.5"/>
  <cols>
    <col min="1" max="1" width="8.875" style="3" bestFit="1" customWidth="1"/>
    <col min="2" max="2" width="12.25" style="3" customWidth="1"/>
    <col min="3" max="3" width="13.25" style="12" customWidth="1"/>
    <col min="4" max="4" width="16.875" style="29" customWidth="1"/>
    <col min="5" max="5" width="31.25" style="29" customWidth="1"/>
    <col min="6" max="7" width="12.25" style="29" customWidth="1"/>
    <col min="8" max="11" width="8.75" style="3"/>
    <col min="12" max="12" width="10.125" style="3" customWidth="1"/>
    <col min="13" max="13" width="19.25" style="3" customWidth="1"/>
    <col min="14" max="15" width="14.75" style="3" customWidth="1"/>
    <col min="16" max="16384" width="8.75" style="3"/>
  </cols>
  <sheetData>
    <row r="1" spans="1:15" ht="21" customHeight="1">
      <c r="A1" s="37" t="s">
        <v>223</v>
      </c>
      <c r="B1" s="38">
        <f ca="1">TODAY()</f>
        <v>46175</v>
      </c>
      <c r="C1" s="39"/>
      <c r="D1" s="39"/>
      <c r="E1" s="39"/>
      <c r="F1" s="39"/>
      <c r="G1" s="39"/>
    </row>
    <row r="2" spans="1:15" ht="21" customHeight="1">
      <c r="A2" s="692" t="s">
        <v>214</v>
      </c>
      <c r="B2" s="692"/>
      <c r="C2" s="693">
        <f>SUM(C6:C36)</f>
        <v>52309469</v>
      </c>
      <c r="D2" s="693"/>
      <c r="E2" s="693"/>
      <c r="F2" s="693"/>
      <c r="G2" s="693"/>
    </row>
    <row r="3" spans="1:15" ht="21" customHeight="1">
      <c r="A3" s="692" t="s">
        <v>215</v>
      </c>
      <c r="B3" s="692"/>
      <c r="C3" s="693">
        <f ca="1">SUMIF(B6:B36,"&lt;="&amp;TODAY(),C6:C36)</f>
        <v>52309469</v>
      </c>
      <c r="D3" s="693"/>
      <c r="E3" s="693"/>
      <c r="F3" s="693"/>
      <c r="G3" s="693"/>
    </row>
    <row r="4" spans="1:15" ht="21" customHeight="1">
      <c r="A4" s="692" t="s">
        <v>204</v>
      </c>
      <c r="B4" s="692"/>
      <c r="C4" s="693">
        <f ca="1">SUM(C6:C36)-C3</f>
        <v>0</v>
      </c>
      <c r="D4" s="693"/>
      <c r="E4" s="693"/>
      <c r="F4" s="693"/>
      <c r="G4" s="693"/>
      <c r="L4" s="694" t="s">
        <v>189</v>
      </c>
      <c r="M4" s="694"/>
      <c r="N4" s="696" t="s">
        <v>194</v>
      </c>
      <c r="O4" s="696"/>
    </row>
    <row r="5" spans="1:15" ht="21" customHeight="1">
      <c r="A5" s="30" t="s">
        <v>1</v>
      </c>
      <c r="B5" s="31" t="s">
        <v>216</v>
      </c>
      <c r="C5" s="32" t="s">
        <v>217</v>
      </c>
      <c r="D5" s="33" t="s">
        <v>218</v>
      </c>
      <c r="E5" s="33" t="s">
        <v>219</v>
      </c>
      <c r="F5" s="33" t="s">
        <v>220</v>
      </c>
      <c r="G5" s="33" t="s">
        <v>153</v>
      </c>
      <c r="L5" s="694"/>
      <c r="M5" s="694"/>
      <c r="N5" s="3" t="s">
        <v>195</v>
      </c>
      <c r="O5" s="3" t="s">
        <v>196</v>
      </c>
    </row>
    <row r="6" spans="1:15" ht="21" customHeight="1">
      <c r="A6" s="30">
        <f t="shared" ref="A6:A35" si="0">IF(B6="","",ROW()-5)</f>
        <v>1</v>
      </c>
      <c r="B6" s="34">
        <v>44673</v>
      </c>
      <c r="C6" s="35">
        <v>100000</v>
      </c>
      <c r="D6" s="36" t="s">
        <v>205</v>
      </c>
      <c r="E6" s="36" t="s">
        <v>207</v>
      </c>
      <c r="F6" s="30" t="str">
        <f ca="1">IF(B6&lt;=TODAY(),"O","")</f>
        <v>O</v>
      </c>
      <c r="G6" s="136" t="s">
        <v>1046</v>
      </c>
      <c r="L6" s="694" t="s">
        <v>190</v>
      </c>
      <c r="M6" s="5" t="s">
        <v>182</v>
      </c>
      <c r="N6" s="12">
        <v>55130000</v>
      </c>
      <c r="O6" s="12"/>
    </row>
    <row r="7" spans="1:15" ht="21" customHeight="1">
      <c r="A7" s="30">
        <f t="shared" si="0"/>
        <v>2</v>
      </c>
      <c r="B7" s="34">
        <v>44904</v>
      </c>
      <c r="C7" s="35">
        <v>100000</v>
      </c>
      <c r="D7" s="36" t="s">
        <v>221</v>
      </c>
      <c r="E7" s="36" t="s">
        <v>211</v>
      </c>
      <c r="F7" s="30" t="str">
        <f t="shared" ref="F7:F35" ca="1" si="1">IF(B7&lt;=TODAY(),"O","")</f>
        <v>O</v>
      </c>
      <c r="G7" s="136" t="s">
        <v>1047</v>
      </c>
      <c r="L7" s="694"/>
      <c r="M7" s="5" t="s">
        <v>179</v>
      </c>
      <c r="N7" s="12">
        <v>152000</v>
      </c>
      <c r="O7" s="12"/>
    </row>
    <row r="8" spans="1:15" ht="21" customHeight="1">
      <c r="A8" s="30">
        <f t="shared" si="0"/>
        <v>3</v>
      </c>
      <c r="B8" s="34">
        <v>44939</v>
      </c>
      <c r="C8" s="35">
        <v>1250000</v>
      </c>
      <c r="D8" s="36" t="s">
        <v>221</v>
      </c>
      <c r="E8" s="36" t="s">
        <v>211</v>
      </c>
      <c r="F8" s="30" t="str">
        <f t="shared" ca="1" si="1"/>
        <v>O</v>
      </c>
      <c r="G8" s="136" t="s">
        <v>1047</v>
      </c>
      <c r="L8" s="694"/>
      <c r="M8" s="5" t="s">
        <v>181</v>
      </c>
      <c r="N8" s="12">
        <f>N6*-0.05</f>
        <v>-2756500</v>
      </c>
      <c r="O8" s="12"/>
    </row>
    <row r="9" spans="1:15" ht="21" customHeight="1">
      <c r="A9" s="30">
        <f t="shared" si="0"/>
        <v>4</v>
      </c>
      <c r="B9" s="34">
        <v>44942</v>
      </c>
      <c r="C9" s="35">
        <v>3584409</v>
      </c>
      <c r="D9" s="36" t="s">
        <v>210</v>
      </c>
      <c r="E9" s="36" t="s">
        <v>211</v>
      </c>
      <c r="F9" s="30" t="str">
        <f t="shared" ca="1" si="1"/>
        <v>O</v>
      </c>
      <c r="G9" s="136" t="s">
        <v>1047</v>
      </c>
      <c r="L9" s="694"/>
      <c r="M9" s="5" t="s">
        <v>183</v>
      </c>
      <c r="N9" s="12">
        <v>-300000</v>
      </c>
      <c r="O9" s="8"/>
    </row>
    <row r="10" spans="1:15" ht="21" customHeight="1">
      <c r="A10" s="30">
        <f t="shared" si="0"/>
        <v>5</v>
      </c>
      <c r="B10" s="34">
        <v>44951</v>
      </c>
      <c r="C10" s="35">
        <v>5739844</v>
      </c>
      <c r="D10" s="36" t="s">
        <v>206</v>
      </c>
      <c r="E10" s="36" t="s">
        <v>208</v>
      </c>
      <c r="F10" s="30" t="str">
        <f t="shared" ca="1" si="1"/>
        <v>O</v>
      </c>
      <c r="G10" s="136" t="s">
        <v>1046</v>
      </c>
      <c r="L10" s="694"/>
      <c r="M10" s="5" t="s">
        <v>184</v>
      </c>
      <c r="N10" s="12">
        <v>-955656</v>
      </c>
      <c r="O10" s="8"/>
    </row>
    <row r="11" spans="1:15" ht="21" customHeight="1">
      <c r="A11" s="30">
        <f t="shared" si="0"/>
        <v>6</v>
      </c>
      <c r="B11" s="34">
        <v>44951</v>
      </c>
      <c r="C11" s="35">
        <v>2000</v>
      </c>
      <c r="D11" s="36" t="s">
        <v>209</v>
      </c>
      <c r="E11" s="36" t="s">
        <v>208</v>
      </c>
      <c r="F11" s="30" t="str">
        <f t="shared" ca="1" si="1"/>
        <v>O</v>
      </c>
      <c r="G11" s="136" t="s">
        <v>1046</v>
      </c>
      <c r="L11" s="694"/>
      <c r="M11" s="5" t="s">
        <v>197</v>
      </c>
      <c r="N11" s="12">
        <f>SUM(N6:N10)</f>
        <v>51269844</v>
      </c>
      <c r="O11" s="8"/>
    </row>
    <row r="12" spans="1:15" ht="21" customHeight="1">
      <c r="A12" s="30">
        <f t="shared" si="0"/>
        <v>7</v>
      </c>
      <c r="B12" s="34">
        <v>44981</v>
      </c>
      <c r="C12" s="35">
        <v>-5513000</v>
      </c>
      <c r="D12" s="36" t="s">
        <v>213</v>
      </c>
      <c r="E12" s="36" t="s">
        <v>222</v>
      </c>
      <c r="F12" s="30" t="str">
        <f t="shared" ca="1" si="1"/>
        <v>O</v>
      </c>
      <c r="G12" s="136" t="s">
        <v>1047</v>
      </c>
      <c r="L12" s="5" t="s">
        <v>191</v>
      </c>
      <c r="M12" s="5" t="s">
        <v>185</v>
      </c>
      <c r="N12" s="12">
        <v>2000</v>
      </c>
      <c r="O12" s="12"/>
    </row>
    <row r="13" spans="1:15" ht="21" customHeight="1">
      <c r="A13" s="30">
        <f t="shared" si="0"/>
        <v>8</v>
      </c>
      <c r="B13" s="34">
        <v>44984</v>
      </c>
      <c r="C13" s="35">
        <v>2062383</v>
      </c>
      <c r="D13" s="36" t="s">
        <v>213</v>
      </c>
      <c r="E13" s="36" t="s">
        <v>212</v>
      </c>
      <c r="F13" s="30" t="str">
        <f t="shared" ca="1" si="1"/>
        <v>O</v>
      </c>
      <c r="G13" s="136" t="s">
        <v>1046</v>
      </c>
      <c r="L13" s="694" t="s">
        <v>192</v>
      </c>
      <c r="M13" s="5" t="s">
        <v>186</v>
      </c>
      <c r="N13" s="12">
        <v>3270260</v>
      </c>
      <c r="O13" s="8"/>
    </row>
    <row r="14" spans="1:15" ht="21" customHeight="1">
      <c r="A14" s="30">
        <f t="shared" si="0"/>
        <v>9</v>
      </c>
      <c r="B14" s="34">
        <v>45012</v>
      </c>
      <c r="C14" s="35">
        <v>1956060</v>
      </c>
      <c r="D14" s="36" t="s">
        <v>213</v>
      </c>
      <c r="E14" s="36" t="s">
        <v>212</v>
      </c>
      <c r="F14" s="30" t="str">
        <f t="shared" ca="1" si="1"/>
        <v>O</v>
      </c>
      <c r="G14" s="136" t="s">
        <v>1046</v>
      </c>
      <c r="L14" s="694"/>
      <c r="M14" s="5" t="s">
        <v>198</v>
      </c>
      <c r="N14" s="12">
        <v>1121000</v>
      </c>
      <c r="O14" s="8"/>
    </row>
    <row r="15" spans="1:15" ht="21" customHeight="1">
      <c r="A15" s="30">
        <f t="shared" si="0"/>
        <v>10</v>
      </c>
      <c r="B15" s="34">
        <v>45041</v>
      </c>
      <c r="C15" s="35">
        <v>1956060</v>
      </c>
      <c r="D15" s="36" t="s">
        <v>213</v>
      </c>
      <c r="E15" s="36" t="s">
        <v>212</v>
      </c>
      <c r="F15" s="30" t="str">
        <f t="shared" ca="1" si="1"/>
        <v>O</v>
      </c>
      <c r="G15" s="136" t="s">
        <v>1046</v>
      </c>
      <c r="L15" s="694"/>
      <c r="M15" s="5" t="s">
        <v>199</v>
      </c>
      <c r="N15" s="12">
        <v>2000</v>
      </c>
      <c r="O15" s="8"/>
    </row>
    <row r="16" spans="1:15" ht="21" customHeight="1">
      <c r="A16" s="30">
        <f t="shared" si="0"/>
        <v>11</v>
      </c>
      <c r="B16" s="34">
        <v>45071</v>
      </c>
      <c r="C16" s="35">
        <v>1956060</v>
      </c>
      <c r="D16" s="36" t="s">
        <v>213</v>
      </c>
      <c r="E16" s="36" t="s">
        <v>212</v>
      </c>
      <c r="F16" s="30" t="str">
        <f t="shared" ca="1" si="1"/>
        <v>O</v>
      </c>
      <c r="G16" s="136" t="s">
        <v>1046</v>
      </c>
      <c r="L16" s="694"/>
      <c r="M16" s="5" t="s">
        <v>187</v>
      </c>
      <c r="N16" s="12">
        <v>40000</v>
      </c>
      <c r="O16" s="8"/>
    </row>
    <row r="17" spans="1:15" ht="21" customHeight="1">
      <c r="A17" s="30">
        <f t="shared" si="0"/>
        <v>12</v>
      </c>
      <c r="B17" s="34">
        <v>45103</v>
      </c>
      <c r="C17" s="35">
        <v>1956060</v>
      </c>
      <c r="D17" s="36" t="s">
        <v>213</v>
      </c>
      <c r="E17" s="36" t="s">
        <v>212</v>
      </c>
      <c r="F17" s="30" t="str">
        <f t="shared" ca="1" si="1"/>
        <v>O</v>
      </c>
      <c r="G17" s="136" t="s">
        <v>1046</v>
      </c>
      <c r="L17" s="694"/>
      <c r="M17" s="5" t="s">
        <v>188</v>
      </c>
      <c r="N17" s="12">
        <v>30000</v>
      </c>
      <c r="O17" s="8"/>
    </row>
    <row r="18" spans="1:15" ht="21" customHeight="1">
      <c r="A18" s="30">
        <f t="shared" si="0"/>
        <v>13</v>
      </c>
      <c r="B18" s="34">
        <v>45132</v>
      </c>
      <c r="C18" s="35">
        <v>1956060</v>
      </c>
      <c r="D18" s="36" t="s">
        <v>213</v>
      </c>
      <c r="E18" s="36" t="s">
        <v>212</v>
      </c>
      <c r="F18" s="30" t="str">
        <f t="shared" ca="1" si="1"/>
        <v>O</v>
      </c>
      <c r="G18" s="136" t="s">
        <v>1046</v>
      </c>
      <c r="L18" s="694" t="s">
        <v>193</v>
      </c>
      <c r="M18" s="694"/>
      <c r="N18" s="12">
        <f>SUM(N11:N17)</f>
        <v>55735104</v>
      </c>
      <c r="O18" s="8"/>
    </row>
    <row r="19" spans="1:15" ht="21" customHeight="1">
      <c r="A19" s="30">
        <f t="shared" si="0"/>
        <v>14</v>
      </c>
      <c r="B19" s="34">
        <v>45163</v>
      </c>
      <c r="C19" s="35">
        <v>1956060</v>
      </c>
      <c r="D19" s="36" t="s">
        <v>213</v>
      </c>
      <c r="E19" s="36" t="s">
        <v>212</v>
      </c>
      <c r="F19" s="30" t="str">
        <f t="shared" ca="1" si="1"/>
        <v>O</v>
      </c>
      <c r="G19" s="136" t="s">
        <v>1046</v>
      </c>
      <c r="L19" s="694" t="s">
        <v>180</v>
      </c>
      <c r="M19" s="694"/>
      <c r="N19" s="12">
        <f>N6*-0.1</f>
        <v>-5513000</v>
      </c>
      <c r="O19" s="8"/>
    </row>
    <row r="20" spans="1:15" ht="21" customHeight="1">
      <c r="A20" s="30">
        <f t="shared" si="0"/>
        <v>15</v>
      </c>
      <c r="B20" s="34">
        <v>45194</v>
      </c>
      <c r="C20" s="35">
        <v>1956060</v>
      </c>
      <c r="D20" s="36" t="s">
        <v>213</v>
      </c>
      <c r="E20" s="36" t="s">
        <v>212</v>
      </c>
      <c r="F20" s="30" t="str">
        <f t="shared" ca="1" si="1"/>
        <v>O</v>
      </c>
      <c r="G20" s="136" t="s">
        <v>1046</v>
      </c>
      <c r="L20" s="695" t="s">
        <v>200</v>
      </c>
      <c r="M20" s="695"/>
      <c r="N20" s="12">
        <v>-1430000</v>
      </c>
      <c r="O20" s="8"/>
    </row>
    <row r="21" spans="1:15" ht="21" customHeight="1">
      <c r="A21" s="30">
        <f t="shared" si="0"/>
        <v>16</v>
      </c>
      <c r="B21" s="34">
        <v>45224</v>
      </c>
      <c r="C21" s="35">
        <v>1956060</v>
      </c>
      <c r="D21" s="36" t="s">
        <v>213</v>
      </c>
      <c r="E21" s="36" t="s">
        <v>212</v>
      </c>
      <c r="F21" s="30" t="str">
        <f t="shared" ca="1" si="1"/>
        <v>O</v>
      </c>
      <c r="G21" s="136" t="s">
        <v>1046</v>
      </c>
    </row>
    <row r="22" spans="1:15" ht="21" customHeight="1">
      <c r="A22" s="30">
        <f t="shared" si="0"/>
        <v>17</v>
      </c>
      <c r="B22" s="34">
        <v>45257</v>
      </c>
      <c r="C22" s="35">
        <v>1956060</v>
      </c>
      <c r="D22" s="36" t="s">
        <v>213</v>
      </c>
      <c r="E22" s="36" t="s">
        <v>212</v>
      </c>
      <c r="F22" s="30" t="str">
        <f t="shared" ca="1" si="1"/>
        <v>O</v>
      </c>
      <c r="G22" s="136" t="s">
        <v>1046</v>
      </c>
    </row>
    <row r="23" spans="1:15" ht="21" customHeight="1">
      <c r="A23" s="30">
        <f t="shared" si="0"/>
        <v>18</v>
      </c>
      <c r="B23" s="34">
        <v>45286</v>
      </c>
      <c r="C23" s="35">
        <v>1956060</v>
      </c>
      <c r="D23" s="36" t="s">
        <v>213</v>
      </c>
      <c r="E23" s="36" t="s">
        <v>212</v>
      </c>
      <c r="F23" s="30" t="str">
        <f t="shared" ca="1" si="1"/>
        <v>O</v>
      </c>
      <c r="G23" s="136" t="s">
        <v>1046</v>
      </c>
    </row>
    <row r="24" spans="1:15" ht="21" customHeight="1">
      <c r="A24" s="30">
        <f t="shared" si="0"/>
        <v>19</v>
      </c>
      <c r="B24" s="34">
        <v>45316</v>
      </c>
      <c r="C24" s="35">
        <v>1956060</v>
      </c>
      <c r="D24" s="36" t="s">
        <v>213</v>
      </c>
      <c r="E24" s="36" t="s">
        <v>212</v>
      </c>
      <c r="F24" s="30" t="str">
        <f t="shared" ca="1" si="1"/>
        <v>O</v>
      </c>
      <c r="G24" s="136" t="s">
        <v>1046</v>
      </c>
    </row>
    <row r="25" spans="1:15" ht="21" customHeight="1">
      <c r="A25" s="30">
        <f t="shared" si="0"/>
        <v>20</v>
      </c>
      <c r="B25" s="34">
        <v>45348</v>
      </c>
      <c r="C25" s="35">
        <v>1956060</v>
      </c>
      <c r="D25" s="36" t="s">
        <v>213</v>
      </c>
      <c r="E25" s="36" t="s">
        <v>212</v>
      </c>
      <c r="F25" s="30" t="str">
        <f t="shared" ca="1" si="1"/>
        <v>O</v>
      </c>
      <c r="G25" s="136" t="s">
        <v>1046</v>
      </c>
    </row>
    <row r="26" spans="1:15" ht="21" customHeight="1">
      <c r="A26" s="30">
        <f t="shared" si="0"/>
        <v>21</v>
      </c>
      <c r="B26" s="34">
        <v>45376</v>
      </c>
      <c r="C26" s="35">
        <v>1956060</v>
      </c>
      <c r="D26" s="36" t="s">
        <v>213</v>
      </c>
      <c r="E26" s="36" t="s">
        <v>212</v>
      </c>
      <c r="F26" s="30" t="str">
        <f t="shared" ca="1" si="1"/>
        <v>O</v>
      </c>
      <c r="G26" s="136" t="s">
        <v>1046</v>
      </c>
    </row>
    <row r="27" spans="1:15" ht="21" customHeight="1">
      <c r="A27" s="30">
        <f t="shared" si="0"/>
        <v>22</v>
      </c>
      <c r="B27" s="34">
        <v>45407</v>
      </c>
      <c r="C27" s="35">
        <v>1956060</v>
      </c>
      <c r="D27" s="36" t="s">
        <v>213</v>
      </c>
      <c r="E27" s="36" t="s">
        <v>212</v>
      </c>
      <c r="F27" s="30" t="str">
        <f t="shared" ca="1" si="1"/>
        <v>O</v>
      </c>
      <c r="G27" s="136" t="s">
        <v>1046</v>
      </c>
    </row>
    <row r="28" spans="1:15" ht="21" customHeight="1">
      <c r="A28" s="30">
        <f t="shared" si="0"/>
        <v>23</v>
      </c>
      <c r="B28" s="34">
        <v>45439</v>
      </c>
      <c r="C28" s="35">
        <v>1956060</v>
      </c>
      <c r="D28" s="36" t="s">
        <v>213</v>
      </c>
      <c r="E28" s="36" t="s">
        <v>212</v>
      </c>
      <c r="F28" s="30" t="str">
        <f t="shared" ca="1" si="1"/>
        <v>O</v>
      </c>
      <c r="G28" s="136" t="s">
        <v>1046</v>
      </c>
    </row>
    <row r="29" spans="1:15" ht="21" customHeight="1">
      <c r="A29" s="30">
        <f t="shared" si="0"/>
        <v>24</v>
      </c>
      <c r="B29" s="34">
        <v>45468</v>
      </c>
      <c r="C29" s="35">
        <v>1956060</v>
      </c>
      <c r="D29" s="36" t="s">
        <v>213</v>
      </c>
      <c r="E29" s="36" t="s">
        <v>212</v>
      </c>
      <c r="F29" s="30" t="str">
        <f t="shared" ca="1" si="1"/>
        <v>O</v>
      </c>
      <c r="G29" s="136" t="s">
        <v>1046</v>
      </c>
    </row>
    <row r="30" spans="1:15" ht="21" customHeight="1">
      <c r="A30" s="30">
        <f t="shared" si="0"/>
        <v>25</v>
      </c>
      <c r="B30" s="34">
        <v>45498</v>
      </c>
      <c r="C30" s="35">
        <v>1956060</v>
      </c>
      <c r="D30" s="36" t="s">
        <v>213</v>
      </c>
      <c r="E30" s="36" t="s">
        <v>212</v>
      </c>
      <c r="F30" s="30" t="str">
        <f t="shared" ca="1" si="1"/>
        <v>O</v>
      </c>
      <c r="G30" s="136" t="s">
        <v>1046</v>
      </c>
    </row>
    <row r="31" spans="1:15" ht="21" customHeight="1">
      <c r="A31" s="30">
        <f t="shared" si="0"/>
        <v>26</v>
      </c>
      <c r="B31" s="34">
        <v>45530</v>
      </c>
      <c r="C31" s="35">
        <v>1956060</v>
      </c>
      <c r="D31" s="36" t="s">
        <v>213</v>
      </c>
      <c r="E31" s="36" t="s">
        <v>212</v>
      </c>
      <c r="F31" s="30" t="str">
        <f t="shared" ca="1" si="1"/>
        <v>O</v>
      </c>
      <c r="G31" s="136" t="s">
        <v>1046</v>
      </c>
    </row>
    <row r="32" spans="1:15" ht="21" customHeight="1">
      <c r="A32" s="30">
        <f t="shared" si="0"/>
        <v>27</v>
      </c>
      <c r="B32" s="34">
        <v>45560</v>
      </c>
      <c r="C32" s="35">
        <v>1956060</v>
      </c>
      <c r="D32" s="36" t="s">
        <v>213</v>
      </c>
      <c r="E32" s="36" t="s">
        <v>212</v>
      </c>
      <c r="F32" s="30" t="str">
        <f t="shared" ca="1" si="1"/>
        <v>O</v>
      </c>
      <c r="G32" s="136" t="s">
        <v>1046</v>
      </c>
    </row>
    <row r="33" spans="1:7" ht="21" customHeight="1">
      <c r="A33" s="30">
        <f t="shared" si="0"/>
        <v>28</v>
      </c>
      <c r="B33" s="34">
        <v>45590</v>
      </c>
      <c r="C33" s="35">
        <v>1956060</v>
      </c>
      <c r="D33" s="36" t="s">
        <v>213</v>
      </c>
      <c r="E33" s="36" t="s">
        <v>212</v>
      </c>
      <c r="F33" s="30" t="str">
        <f t="shared" ca="1" si="1"/>
        <v>O</v>
      </c>
      <c r="G33" s="136" t="s">
        <v>1046</v>
      </c>
    </row>
    <row r="34" spans="1:7" ht="21" customHeight="1">
      <c r="A34" s="30">
        <f t="shared" si="0"/>
        <v>29</v>
      </c>
      <c r="B34" s="34">
        <v>45621</v>
      </c>
      <c r="C34" s="35">
        <v>1956060</v>
      </c>
      <c r="D34" s="36" t="s">
        <v>213</v>
      </c>
      <c r="E34" s="36" t="s">
        <v>212</v>
      </c>
      <c r="F34" s="30" t="str">
        <f t="shared" ca="1" si="1"/>
        <v>O</v>
      </c>
      <c r="G34" s="136" t="s">
        <v>1046</v>
      </c>
    </row>
    <row r="35" spans="1:7" ht="21" customHeight="1">
      <c r="A35" s="30">
        <f t="shared" si="0"/>
        <v>30</v>
      </c>
      <c r="B35" s="34">
        <v>45652</v>
      </c>
      <c r="C35" s="35">
        <v>1956060</v>
      </c>
      <c r="D35" s="36" t="s">
        <v>213</v>
      </c>
      <c r="E35" s="36" t="s">
        <v>212</v>
      </c>
      <c r="F35" s="30" t="str">
        <f t="shared" ca="1" si="1"/>
        <v>O</v>
      </c>
      <c r="G35" s="136" t="s">
        <v>1046</v>
      </c>
    </row>
    <row r="36" spans="1:7" ht="21" customHeight="1">
      <c r="A36" s="30">
        <f t="shared" ref="A36" si="2">IF(B36="","",ROW()-5)</f>
        <v>31</v>
      </c>
      <c r="B36" s="34">
        <v>45684</v>
      </c>
      <c r="C36" s="35">
        <v>1950513</v>
      </c>
      <c r="D36" s="36" t="s">
        <v>213</v>
      </c>
      <c r="E36" s="36" t="s">
        <v>212</v>
      </c>
      <c r="F36" s="30" t="str">
        <f t="shared" ref="F36" ca="1" si="3">IF(B36&lt;=TODAY(),"O","")</f>
        <v>O</v>
      </c>
      <c r="G36" s="136" t="s">
        <v>1046</v>
      </c>
    </row>
    <row r="37" spans="1:7" ht="21.6" customHeight="1">
      <c r="A37" s="3" t="str">
        <f t="shared" ref="A37:A75" si="4">IF(B37="","",ROW()-3)</f>
        <v/>
      </c>
      <c r="B37" s="2"/>
    </row>
    <row r="38" spans="1:7" ht="21.6" customHeight="1">
      <c r="A38" s="3" t="str">
        <f t="shared" si="4"/>
        <v/>
      </c>
      <c r="B38" s="2"/>
    </row>
    <row r="39" spans="1:7" ht="21.6" customHeight="1">
      <c r="A39" s="3" t="str">
        <f t="shared" si="4"/>
        <v/>
      </c>
      <c r="B39" s="2"/>
    </row>
    <row r="40" spans="1:7" ht="21.6" customHeight="1">
      <c r="A40" s="3" t="str">
        <f t="shared" si="4"/>
        <v/>
      </c>
      <c r="B40" s="2"/>
    </row>
    <row r="41" spans="1:7" ht="21.6" customHeight="1">
      <c r="A41" s="3" t="str">
        <f t="shared" si="4"/>
        <v/>
      </c>
      <c r="B41" s="2"/>
    </row>
    <row r="42" spans="1:7" ht="21.6" customHeight="1">
      <c r="A42" s="3" t="str">
        <f t="shared" si="4"/>
        <v/>
      </c>
      <c r="B42" s="2"/>
    </row>
    <row r="43" spans="1:7" ht="21.6" customHeight="1">
      <c r="A43" s="3" t="str">
        <f t="shared" si="4"/>
        <v/>
      </c>
      <c r="B43" s="2"/>
    </row>
    <row r="44" spans="1:7" ht="21.6" customHeight="1">
      <c r="A44" s="3" t="str">
        <f t="shared" si="4"/>
        <v/>
      </c>
      <c r="B44" s="2"/>
    </row>
    <row r="45" spans="1:7" ht="21.6" customHeight="1">
      <c r="A45" s="3" t="str">
        <f t="shared" si="4"/>
        <v/>
      </c>
      <c r="B45" s="2"/>
    </row>
    <row r="46" spans="1:7" ht="21.6" customHeight="1">
      <c r="A46" s="3" t="str">
        <f t="shared" si="4"/>
        <v/>
      </c>
      <c r="B46" s="2"/>
    </row>
    <row r="47" spans="1:7" ht="21.6" customHeight="1">
      <c r="A47" s="3" t="str">
        <f t="shared" si="4"/>
        <v/>
      </c>
      <c r="B47" s="2"/>
    </row>
    <row r="48" spans="1:7" ht="21.6" customHeight="1">
      <c r="A48" s="3" t="str">
        <f t="shared" si="4"/>
        <v/>
      </c>
      <c r="B48" s="2"/>
    </row>
    <row r="49" spans="1:2" ht="21.6" customHeight="1">
      <c r="A49" s="3" t="str">
        <f t="shared" si="4"/>
        <v/>
      </c>
      <c r="B49" s="2"/>
    </row>
    <row r="50" spans="1:2" ht="21.6" customHeight="1">
      <c r="A50" s="3" t="str">
        <f t="shared" si="4"/>
        <v/>
      </c>
      <c r="B50" s="2"/>
    </row>
    <row r="51" spans="1:2" ht="21.6" customHeight="1">
      <c r="A51" s="3" t="str">
        <f t="shared" si="4"/>
        <v/>
      </c>
      <c r="B51" s="2"/>
    </row>
    <row r="52" spans="1:2" ht="21.6" customHeight="1">
      <c r="A52" s="3" t="str">
        <f t="shared" si="4"/>
        <v/>
      </c>
      <c r="B52" s="2"/>
    </row>
    <row r="53" spans="1:2" ht="21.6" customHeight="1">
      <c r="A53" s="3" t="str">
        <f t="shared" si="4"/>
        <v/>
      </c>
      <c r="B53" s="2"/>
    </row>
    <row r="54" spans="1:2" ht="21.6" customHeight="1">
      <c r="A54" s="3" t="str">
        <f t="shared" si="4"/>
        <v/>
      </c>
      <c r="B54" s="2"/>
    </row>
    <row r="55" spans="1:2" ht="21.6" customHeight="1">
      <c r="A55" s="3" t="str">
        <f t="shared" si="4"/>
        <v/>
      </c>
      <c r="B55" s="2"/>
    </row>
    <row r="56" spans="1:2" ht="21.6" customHeight="1">
      <c r="A56" s="3" t="str">
        <f t="shared" si="4"/>
        <v/>
      </c>
      <c r="B56" s="2"/>
    </row>
    <row r="57" spans="1:2" ht="21.6" customHeight="1">
      <c r="A57" s="3" t="str">
        <f t="shared" si="4"/>
        <v/>
      </c>
      <c r="B57" s="2"/>
    </row>
    <row r="58" spans="1:2" ht="21.6" customHeight="1">
      <c r="A58" s="3" t="str">
        <f t="shared" si="4"/>
        <v/>
      </c>
      <c r="B58" s="2"/>
    </row>
    <row r="59" spans="1:2" ht="21.6" customHeight="1">
      <c r="A59" s="3" t="str">
        <f t="shared" si="4"/>
        <v/>
      </c>
      <c r="B59" s="2"/>
    </row>
    <row r="60" spans="1:2" ht="21.6" customHeight="1">
      <c r="A60" s="3" t="str">
        <f t="shared" si="4"/>
        <v/>
      </c>
      <c r="B60" s="2"/>
    </row>
    <row r="61" spans="1:2" ht="21.6" customHeight="1">
      <c r="A61" s="3" t="str">
        <f t="shared" si="4"/>
        <v/>
      </c>
      <c r="B61" s="2"/>
    </row>
    <row r="62" spans="1:2" ht="21.6" customHeight="1">
      <c r="A62" s="3" t="str">
        <f t="shared" si="4"/>
        <v/>
      </c>
      <c r="B62" s="2"/>
    </row>
    <row r="63" spans="1:2" ht="21.6" customHeight="1">
      <c r="A63" s="3" t="str">
        <f t="shared" si="4"/>
        <v/>
      </c>
      <c r="B63" s="2"/>
    </row>
    <row r="64" spans="1:2" ht="21.6" customHeight="1">
      <c r="A64" s="3" t="str">
        <f t="shared" si="4"/>
        <v/>
      </c>
      <c r="B64" s="2"/>
    </row>
    <row r="65" spans="1:2" ht="21.6" customHeight="1">
      <c r="A65" s="3" t="str">
        <f t="shared" si="4"/>
        <v/>
      </c>
      <c r="B65" s="2"/>
    </row>
    <row r="66" spans="1:2" ht="21.6" customHeight="1">
      <c r="A66" s="3" t="str">
        <f t="shared" si="4"/>
        <v/>
      </c>
      <c r="B66" s="2"/>
    </row>
    <row r="67" spans="1:2" ht="21.6" customHeight="1">
      <c r="A67" s="3" t="str">
        <f t="shared" si="4"/>
        <v/>
      </c>
      <c r="B67" s="2"/>
    </row>
    <row r="68" spans="1:2" ht="21.6" customHeight="1">
      <c r="A68" s="3" t="str">
        <f t="shared" si="4"/>
        <v/>
      </c>
      <c r="B68" s="2"/>
    </row>
    <row r="69" spans="1:2" ht="21.6" customHeight="1">
      <c r="A69" s="3" t="str">
        <f t="shared" si="4"/>
        <v/>
      </c>
      <c r="B69" s="2"/>
    </row>
    <row r="70" spans="1:2" ht="21.6" customHeight="1">
      <c r="A70" s="3" t="str">
        <f t="shared" si="4"/>
        <v/>
      </c>
      <c r="B70" s="2"/>
    </row>
    <row r="71" spans="1:2" ht="21.6" customHeight="1">
      <c r="A71" s="3" t="str">
        <f t="shared" si="4"/>
        <v/>
      </c>
      <c r="B71" s="2"/>
    </row>
    <row r="72" spans="1:2" ht="21.6" customHeight="1">
      <c r="A72" s="3" t="str">
        <f t="shared" si="4"/>
        <v/>
      </c>
      <c r="B72" s="2"/>
    </row>
    <row r="73" spans="1:2" ht="21.6" customHeight="1">
      <c r="A73" s="3" t="str">
        <f t="shared" si="4"/>
        <v/>
      </c>
      <c r="B73" s="2"/>
    </row>
    <row r="74" spans="1:2" ht="21.6" customHeight="1">
      <c r="A74" s="3" t="str">
        <f t="shared" si="4"/>
        <v/>
      </c>
      <c r="B74" s="2"/>
    </row>
    <row r="75" spans="1:2" ht="21.6" customHeight="1">
      <c r="A75" s="3" t="str">
        <f t="shared" si="4"/>
        <v/>
      </c>
      <c r="B75" s="2"/>
    </row>
  </sheetData>
  <autoFilter ref="A5:G75" xr:uid="{00000000-0009-0000-0000-000006000000}"/>
  <mergeCells count="13">
    <mergeCell ref="L19:M19"/>
    <mergeCell ref="L20:M20"/>
    <mergeCell ref="L4:M5"/>
    <mergeCell ref="N4:O4"/>
    <mergeCell ref="L6:L11"/>
    <mergeCell ref="L13:L17"/>
    <mergeCell ref="L18:M18"/>
    <mergeCell ref="A2:B2"/>
    <mergeCell ref="A3:B3"/>
    <mergeCell ref="A4:B4"/>
    <mergeCell ref="C2:G2"/>
    <mergeCell ref="C3:G3"/>
    <mergeCell ref="C4:G4"/>
  </mergeCells>
  <phoneticPr fontId="5" type="noConversion"/>
  <pageMargins left="0.7" right="0.7" top="0.75" bottom="0.75" header="0.3" footer="0.3"/>
  <pageSetup paperSize="9" scale="75" orientation="portrait" horizontalDpi="300" r:id="rId1"/>
  <headerFooter>
    <oddHeader>&amp;R&amp;"Aptos"&amp;13&amp;K000000 [ RESTRICTED ]&amp;1#_x000D_</oddHeader>
    <oddFooter>&amp;R_x000D_&amp;1#&amp;"Aptos"&amp;5&amp;K000000 [Secure Minds, Secure Finds] 본 문서는 현대건설㈜의 정보자산이므로 무단 전제 및 복제할 수 없으며, 이를 위반할 시에는 당사 사규 및 관련 법규에 의해 제지를 받을 수 있습니다.</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42"/>
  <dimension ref="A1:AA110"/>
  <sheetViews>
    <sheetView zoomScale="85" zoomScaleNormal="85" workbookViewId="0">
      <pane xSplit="2" ySplit="2" topLeftCell="C3" activePane="bottomRight" state="frozen"/>
      <selection activeCell="E8" sqref="E8"/>
      <selection pane="topRight" activeCell="E8" sqref="E8"/>
      <selection pane="bottomLeft" activeCell="E8" sqref="E8"/>
      <selection pane="bottomRight" activeCell="E8" sqref="E8"/>
    </sheetView>
  </sheetViews>
  <sheetFormatPr defaultColWidth="8.75" defaultRowHeight="12.75" outlineLevelRow="1"/>
  <cols>
    <col min="1" max="1" width="10" style="3" customWidth="1"/>
    <col min="2" max="2" width="5.875" style="3" customWidth="1"/>
    <col min="3" max="12" width="8.75" style="3"/>
    <col min="13" max="13" width="19.25" style="3" customWidth="1"/>
    <col min="14" max="18" width="8.75" style="3"/>
    <col min="19" max="19" width="9.75" style="3" customWidth="1"/>
    <col min="20" max="20" width="15.75" style="3" customWidth="1"/>
    <col min="21" max="22" width="8.75" style="3" customWidth="1"/>
    <col min="23" max="23" width="6.875" style="3" customWidth="1"/>
    <col min="24" max="24" width="10.5" style="3" customWidth="1"/>
    <col min="25" max="25" width="8.5" style="3" customWidth="1"/>
    <col min="26" max="27" width="11.875" style="3" customWidth="1"/>
    <col min="28" max="71" width="8.75" style="3"/>
    <col min="72" max="72" width="10" style="3" customWidth="1"/>
    <col min="73" max="73" width="12.375" style="3" customWidth="1"/>
    <col min="74" max="74" width="23.25" style="3" customWidth="1"/>
    <col min="75" max="76" width="9.75" style="3" customWidth="1"/>
    <col min="77" max="78" width="17.625" style="3" customWidth="1"/>
    <col min="79" max="80" width="13.375" style="3" customWidth="1"/>
    <col min="81" max="84" width="9.75" style="3" customWidth="1"/>
    <col min="85" max="16384" width="8.75" style="3"/>
  </cols>
  <sheetData>
    <row r="1" spans="1:27" ht="18" customHeight="1">
      <c r="A1" s="701" t="s">
        <v>72</v>
      </c>
      <c r="B1" s="701" t="s">
        <v>73</v>
      </c>
      <c r="C1" s="701" t="s">
        <v>86</v>
      </c>
      <c r="D1" s="701" t="s">
        <v>87</v>
      </c>
      <c r="E1" s="701" t="s">
        <v>74</v>
      </c>
      <c r="F1" s="701" t="s">
        <v>75</v>
      </c>
      <c r="G1" s="701"/>
      <c r="H1" s="701"/>
      <c r="I1" s="701"/>
      <c r="J1" s="701"/>
      <c r="K1" s="701"/>
      <c r="L1" s="701" t="s">
        <v>88</v>
      </c>
      <c r="M1" s="701" t="s">
        <v>80</v>
      </c>
      <c r="N1" s="701"/>
      <c r="O1" s="701"/>
      <c r="P1" s="701"/>
      <c r="Q1" s="701"/>
      <c r="R1" s="701"/>
      <c r="S1" s="701" t="s">
        <v>167</v>
      </c>
      <c r="T1" s="701"/>
      <c r="U1" s="701"/>
      <c r="V1" s="701"/>
      <c r="W1" s="701" t="s">
        <v>233</v>
      </c>
      <c r="X1" s="700" t="s">
        <v>235</v>
      </c>
      <c r="Y1" s="697" t="s">
        <v>250</v>
      </c>
      <c r="Z1" s="698"/>
      <c r="AA1" s="699"/>
    </row>
    <row r="2" spans="1:27" ht="18" customHeight="1">
      <c r="A2" s="701"/>
      <c r="B2" s="701"/>
      <c r="C2" s="701"/>
      <c r="D2" s="701"/>
      <c r="E2" s="701"/>
      <c r="F2" s="40" t="s">
        <v>76</v>
      </c>
      <c r="G2" s="40" t="s">
        <v>77</v>
      </c>
      <c r="H2" s="40" t="s">
        <v>83</v>
      </c>
      <c r="I2" s="40" t="s">
        <v>78</v>
      </c>
      <c r="J2" s="40" t="s">
        <v>79</v>
      </c>
      <c r="K2" s="40" t="s">
        <v>117</v>
      </c>
      <c r="L2" s="701"/>
      <c r="M2" s="40" t="s">
        <v>81</v>
      </c>
      <c r="N2" s="40" t="s">
        <v>82</v>
      </c>
      <c r="O2" s="40" t="s">
        <v>83</v>
      </c>
      <c r="P2" s="40" t="s">
        <v>84</v>
      </c>
      <c r="Q2" s="40" t="s">
        <v>85</v>
      </c>
      <c r="R2" s="40" t="s">
        <v>122</v>
      </c>
      <c r="S2" s="40" t="s">
        <v>86</v>
      </c>
      <c r="T2" s="40" t="s">
        <v>81</v>
      </c>
      <c r="U2" s="40" t="s">
        <v>83</v>
      </c>
      <c r="V2" s="40" t="s">
        <v>165</v>
      </c>
      <c r="W2" s="701"/>
      <c r="X2" s="701"/>
      <c r="Y2" s="40" t="s">
        <v>251</v>
      </c>
      <c r="Z2" s="40" t="s">
        <v>252</v>
      </c>
      <c r="AA2" s="40" t="s">
        <v>253</v>
      </c>
    </row>
    <row r="3" spans="1:27" ht="18" customHeight="1">
      <c r="A3" s="701" t="s">
        <v>89</v>
      </c>
      <c r="B3" s="701" t="s">
        <v>224</v>
      </c>
      <c r="C3" s="701" t="s">
        <v>119</v>
      </c>
      <c r="D3" s="701" t="s">
        <v>225</v>
      </c>
      <c r="E3" s="701">
        <v>2022.09</v>
      </c>
      <c r="F3" s="702">
        <v>9</v>
      </c>
      <c r="G3" s="702">
        <v>58.5</v>
      </c>
      <c r="H3" s="703">
        <v>191</v>
      </c>
      <c r="I3" s="702"/>
      <c r="J3" s="701"/>
      <c r="K3" s="701"/>
      <c r="L3" s="44">
        <v>45.5</v>
      </c>
      <c r="M3" s="40" t="s">
        <v>147</v>
      </c>
      <c r="N3" s="40" t="s">
        <v>100</v>
      </c>
      <c r="O3" s="45">
        <v>65</v>
      </c>
      <c r="P3" s="40" t="s">
        <v>226</v>
      </c>
      <c r="Q3" s="40">
        <v>3.1</v>
      </c>
      <c r="R3" s="40" t="s">
        <v>109</v>
      </c>
      <c r="S3" s="40" t="s">
        <v>168</v>
      </c>
      <c r="T3" s="40" t="s">
        <v>228</v>
      </c>
      <c r="U3" s="45">
        <v>50</v>
      </c>
      <c r="V3" s="40">
        <v>60</v>
      </c>
      <c r="W3" s="40" t="s">
        <v>1935</v>
      </c>
      <c r="X3" s="45">
        <v>122</v>
      </c>
      <c r="Y3" s="48">
        <f t="shared" ref="Y3:Y23" ca="1" si="0">IF(Z3="","",IF(AA3="",TODAY()-Z3+1,AA3-Z3+1))</f>
        <v>1211</v>
      </c>
      <c r="Z3" s="50">
        <v>44965</v>
      </c>
      <c r="AA3" s="50"/>
    </row>
    <row r="4" spans="1:27" ht="18" customHeight="1">
      <c r="A4" s="701"/>
      <c r="B4" s="701"/>
      <c r="C4" s="701"/>
      <c r="D4" s="701"/>
      <c r="E4" s="701"/>
      <c r="F4" s="702"/>
      <c r="G4" s="702"/>
      <c r="H4" s="703"/>
      <c r="I4" s="702"/>
      <c r="J4" s="701"/>
      <c r="K4" s="701"/>
      <c r="L4" s="44">
        <v>45.5</v>
      </c>
      <c r="M4" s="40" t="s">
        <v>229</v>
      </c>
      <c r="N4" s="40" t="s">
        <v>230</v>
      </c>
      <c r="O4" s="45">
        <v>66.5</v>
      </c>
      <c r="P4" s="40" t="s">
        <v>227</v>
      </c>
      <c r="Q4" s="40">
        <v>3.8</v>
      </c>
      <c r="R4" s="40" t="s">
        <v>109</v>
      </c>
      <c r="S4" s="40" t="s">
        <v>168</v>
      </c>
      <c r="T4" s="40" t="s">
        <v>231</v>
      </c>
      <c r="U4" s="45">
        <v>46.5</v>
      </c>
      <c r="V4" s="40">
        <v>60</v>
      </c>
      <c r="W4" s="40" t="s">
        <v>1935</v>
      </c>
      <c r="X4" s="45">
        <v>121</v>
      </c>
      <c r="Y4" s="48">
        <f t="shared" ca="1" si="0"/>
        <v>1218</v>
      </c>
      <c r="Z4" s="50">
        <v>44958</v>
      </c>
      <c r="AA4" s="50"/>
    </row>
    <row r="5" spans="1:27" ht="18" hidden="1" customHeight="1" outlineLevel="1">
      <c r="A5" s="701"/>
      <c r="B5" s="43" t="s">
        <v>224</v>
      </c>
      <c r="C5" s="43" t="s">
        <v>162</v>
      </c>
      <c r="D5" s="43" t="s">
        <v>163</v>
      </c>
      <c r="E5" s="43">
        <v>2021.01</v>
      </c>
      <c r="F5" s="42">
        <v>9.5</v>
      </c>
      <c r="G5" s="42">
        <v>59</v>
      </c>
      <c r="H5" s="45"/>
      <c r="I5" s="41"/>
      <c r="J5" s="40"/>
      <c r="K5" s="40"/>
      <c r="L5" s="47">
        <v>45.25</v>
      </c>
      <c r="M5" s="43" t="s">
        <v>146</v>
      </c>
      <c r="N5" s="43" t="s">
        <v>100</v>
      </c>
      <c r="O5" s="56">
        <v>59</v>
      </c>
      <c r="P5" s="43" t="s">
        <v>232</v>
      </c>
      <c r="Q5" s="43">
        <v>3.3</v>
      </c>
      <c r="R5" s="43" t="s">
        <v>109</v>
      </c>
      <c r="S5" s="43" t="s">
        <v>169</v>
      </c>
      <c r="T5" s="43" t="s">
        <v>170</v>
      </c>
      <c r="U5" s="56">
        <v>48</v>
      </c>
      <c r="V5" s="43">
        <v>60</v>
      </c>
      <c r="W5" s="43"/>
      <c r="X5" s="56"/>
      <c r="Y5" s="48">
        <f t="shared" ca="1" si="0"/>
        <v>215</v>
      </c>
      <c r="Z5" s="50">
        <v>44750</v>
      </c>
      <c r="AA5" s="50">
        <v>44964</v>
      </c>
    </row>
    <row r="6" spans="1:27" ht="18" customHeight="1" collapsed="1">
      <c r="A6" s="701" t="s">
        <v>90</v>
      </c>
      <c r="B6" s="40" t="s">
        <v>102</v>
      </c>
      <c r="C6" s="40" t="s">
        <v>119</v>
      </c>
      <c r="D6" s="40" t="s">
        <v>130</v>
      </c>
      <c r="E6" s="40">
        <v>2021.02</v>
      </c>
      <c r="F6" s="41">
        <v>15</v>
      </c>
      <c r="G6" s="41">
        <v>56.5</v>
      </c>
      <c r="H6" s="45"/>
      <c r="I6" s="41"/>
      <c r="J6" s="40"/>
      <c r="K6" s="40"/>
      <c r="L6" s="44">
        <v>43</v>
      </c>
      <c r="M6" s="40" t="s">
        <v>124</v>
      </c>
      <c r="N6" s="40" t="s">
        <v>100</v>
      </c>
      <c r="O6" s="45">
        <v>67</v>
      </c>
      <c r="P6" s="40"/>
      <c r="Q6" s="40">
        <v>3.9</v>
      </c>
      <c r="R6" s="40" t="s">
        <v>109</v>
      </c>
      <c r="S6" s="40" t="s">
        <v>168</v>
      </c>
      <c r="T6" s="40" t="s">
        <v>172</v>
      </c>
      <c r="U6" s="45">
        <v>50</v>
      </c>
      <c r="V6" s="40">
        <v>60</v>
      </c>
      <c r="W6" s="40" t="s">
        <v>4</v>
      </c>
      <c r="X6" s="45"/>
      <c r="Y6" s="48">
        <f t="shared" ca="1" si="0"/>
        <v>1615</v>
      </c>
      <c r="Z6" s="50">
        <v>44561</v>
      </c>
      <c r="AA6" s="50"/>
    </row>
    <row r="7" spans="1:27" ht="18" hidden="1" customHeight="1" outlineLevel="1">
      <c r="A7" s="701"/>
      <c r="B7" s="40" t="s">
        <v>103</v>
      </c>
      <c r="C7" s="40" t="s">
        <v>119</v>
      </c>
      <c r="D7" s="40" t="s">
        <v>130</v>
      </c>
      <c r="E7" s="40">
        <v>2021.02</v>
      </c>
      <c r="F7" s="41">
        <v>18</v>
      </c>
      <c r="G7" s="41">
        <v>57.5</v>
      </c>
      <c r="H7" s="45"/>
      <c r="I7" s="41"/>
      <c r="J7" s="40"/>
      <c r="K7" s="40"/>
      <c r="L7" s="44">
        <v>42</v>
      </c>
      <c r="M7" s="40" t="s">
        <v>124</v>
      </c>
      <c r="N7" s="40" t="s">
        <v>100</v>
      </c>
      <c r="O7" s="45">
        <v>67</v>
      </c>
      <c r="P7" s="40"/>
      <c r="Q7" s="40">
        <v>3.9</v>
      </c>
      <c r="R7" s="40" t="s">
        <v>109</v>
      </c>
      <c r="S7" s="40"/>
      <c r="T7" s="40"/>
      <c r="U7" s="45"/>
      <c r="V7" s="40"/>
      <c r="W7" s="40"/>
      <c r="X7" s="45"/>
      <c r="Y7" s="48" t="str">
        <f t="shared" ca="1" si="0"/>
        <v/>
      </c>
      <c r="Z7" s="50"/>
      <c r="AA7" s="50"/>
    </row>
    <row r="8" spans="1:27" ht="18" customHeight="1" collapsed="1">
      <c r="A8" s="40" t="s">
        <v>91</v>
      </c>
      <c r="B8" s="40" t="s">
        <v>102</v>
      </c>
      <c r="C8" s="40" t="s">
        <v>119</v>
      </c>
      <c r="D8" s="40" t="s">
        <v>131</v>
      </c>
      <c r="E8" s="40">
        <v>2021.02</v>
      </c>
      <c r="F8" s="41">
        <v>18</v>
      </c>
      <c r="G8" s="41">
        <v>57.5</v>
      </c>
      <c r="H8" s="45"/>
      <c r="I8" s="41"/>
      <c r="J8" s="40"/>
      <c r="K8" s="40"/>
      <c r="L8" s="44">
        <v>40.5</v>
      </c>
      <c r="M8" s="40" t="s">
        <v>120</v>
      </c>
      <c r="N8" s="40" t="s">
        <v>100</v>
      </c>
      <c r="O8" s="45">
        <v>78</v>
      </c>
      <c r="P8" s="40"/>
      <c r="Q8" s="40">
        <v>3.1</v>
      </c>
      <c r="R8" s="40" t="s">
        <v>109</v>
      </c>
      <c r="S8" s="40" t="s">
        <v>168</v>
      </c>
      <c r="T8" s="40" t="s">
        <v>172</v>
      </c>
      <c r="U8" s="45">
        <v>50</v>
      </c>
      <c r="V8" s="40">
        <v>60</v>
      </c>
      <c r="W8" s="40" t="s">
        <v>1936</v>
      </c>
      <c r="X8" s="45"/>
      <c r="Y8" s="48">
        <f t="shared" ca="1" si="0"/>
        <v>1635</v>
      </c>
      <c r="Z8" s="50">
        <v>44541</v>
      </c>
      <c r="AA8" s="50"/>
    </row>
    <row r="9" spans="1:27" ht="18" hidden="1" customHeight="1" outlineLevel="1">
      <c r="A9" s="701" t="s">
        <v>92</v>
      </c>
      <c r="B9" s="40"/>
      <c r="C9" s="40"/>
      <c r="D9" s="40"/>
      <c r="E9" s="40"/>
      <c r="F9" s="41"/>
      <c r="G9" s="41"/>
      <c r="H9" s="45"/>
      <c r="I9" s="41"/>
      <c r="J9" s="40"/>
      <c r="K9" s="40"/>
      <c r="L9" s="44"/>
      <c r="M9" s="40"/>
      <c r="N9" s="40"/>
      <c r="O9" s="45"/>
      <c r="P9" s="40"/>
      <c r="Q9" s="40"/>
      <c r="R9" s="40"/>
      <c r="S9" s="40"/>
      <c r="T9" s="40"/>
      <c r="U9" s="45"/>
      <c r="V9" s="40"/>
      <c r="W9" s="40"/>
      <c r="X9" s="45"/>
      <c r="Y9" s="48" t="str">
        <f t="shared" ca="1" si="0"/>
        <v/>
      </c>
      <c r="Z9" s="50"/>
      <c r="AA9" s="50"/>
    </row>
    <row r="10" spans="1:27" ht="18" hidden="1" customHeight="1" outlineLevel="1">
      <c r="A10" s="701"/>
      <c r="B10" s="40"/>
      <c r="C10" s="40"/>
      <c r="D10" s="40"/>
      <c r="E10" s="40"/>
      <c r="F10" s="41"/>
      <c r="G10" s="41"/>
      <c r="H10" s="45"/>
      <c r="I10" s="41"/>
      <c r="J10" s="40"/>
      <c r="K10" s="40"/>
      <c r="L10" s="44"/>
      <c r="M10" s="40"/>
      <c r="N10" s="40"/>
      <c r="O10" s="45"/>
      <c r="P10" s="40"/>
      <c r="Q10" s="40"/>
      <c r="R10" s="40"/>
      <c r="S10" s="40"/>
      <c r="T10" s="40"/>
      <c r="U10" s="45"/>
      <c r="V10" s="40"/>
      <c r="W10" s="40"/>
      <c r="X10" s="45"/>
      <c r="Y10" s="48" t="str">
        <f t="shared" ca="1" si="0"/>
        <v/>
      </c>
      <c r="Z10" s="50"/>
      <c r="AA10" s="50"/>
    </row>
    <row r="11" spans="1:27" ht="18" hidden="1" customHeight="1" outlineLevel="1">
      <c r="A11" s="701"/>
      <c r="B11" s="40"/>
      <c r="C11" s="40"/>
      <c r="D11" s="40"/>
      <c r="E11" s="40"/>
      <c r="F11" s="41"/>
      <c r="G11" s="41"/>
      <c r="H11" s="45"/>
      <c r="I11" s="41"/>
      <c r="J11" s="40"/>
      <c r="K11" s="40"/>
      <c r="L11" s="44"/>
      <c r="M11" s="40"/>
      <c r="N11" s="40"/>
      <c r="O11" s="45"/>
      <c r="P11" s="40"/>
      <c r="Q11" s="40"/>
      <c r="R11" s="40"/>
      <c r="S11" s="40"/>
      <c r="T11" s="40"/>
      <c r="U11" s="45"/>
      <c r="V11" s="40"/>
      <c r="W11" s="40"/>
      <c r="X11" s="45"/>
      <c r="Y11" s="48" t="str">
        <f t="shared" ca="1" si="0"/>
        <v/>
      </c>
      <c r="Z11" s="50"/>
      <c r="AA11" s="50"/>
    </row>
    <row r="12" spans="1:27" ht="18" customHeight="1" collapsed="1">
      <c r="A12" s="701" t="s">
        <v>93</v>
      </c>
      <c r="B12" s="40" t="s">
        <v>94</v>
      </c>
      <c r="C12" s="40" t="s">
        <v>164</v>
      </c>
      <c r="D12" s="40" t="s">
        <v>106</v>
      </c>
      <c r="E12" s="40">
        <v>2021.09</v>
      </c>
      <c r="F12" s="41">
        <v>21</v>
      </c>
      <c r="G12" s="41">
        <v>61</v>
      </c>
      <c r="H12" s="45"/>
      <c r="I12" s="41"/>
      <c r="J12" s="40"/>
      <c r="K12" s="40"/>
      <c r="L12" s="44">
        <v>38.5</v>
      </c>
      <c r="M12" s="40" t="s">
        <v>121</v>
      </c>
      <c r="N12" s="40" t="s">
        <v>10</v>
      </c>
      <c r="O12" s="45">
        <v>103</v>
      </c>
      <c r="P12" s="40" t="s">
        <v>114</v>
      </c>
      <c r="Q12" s="40">
        <v>1.9</v>
      </c>
      <c r="R12" s="40" t="s">
        <v>109</v>
      </c>
      <c r="S12" s="40" t="s">
        <v>168</v>
      </c>
      <c r="T12" s="40" t="s">
        <v>171</v>
      </c>
      <c r="U12" s="45">
        <v>50</v>
      </c>
      <c r="V12" s="40">
        <v>60</v>
      </c>
      <c r="W12" s="40"/>
      <c r="X12" s="45"/>
      <c r="Y12" s="48">
        <f t="shared" ca="1" si="0"/>
        <v>1696</v>
      </c>
      <c r="Z12" s="50">
        <v>44480</v>
      </c>
      <c r="AA12" s="50"/>
    </row>
    <row r="13" spans="1:27" ht="18" customHeight="1">
      <c r="A13" s="701"/>
      <c r="B13" s="40" t="s">
        <v>95</v>
      </c>
      <c r="C13" s="40" t="s">
        <v>164</v>
      </c>
      <c r="D13" s="40" t="s">
        <v>106</v>
      </c>
      <c r="E13" s="40">
        <v>2021.09</v>
      </c>
      <c r="F13" s="41">
        <v>23.5</v>
      </c>
      <c r="G13" s="41">
        <v>61.5</v>
      </c>
      <c r="H13" s="45"/>
      <c r="I13" s="41"/>
      <c r="J13" s="40"/>
      <c r="K13" s="40"/>
      <c r="L13" s="44">
        <v>38</v>
      </c>
      <c r="M13" s="40" t="s">
        <v>121</v>
      </c>
      <c r="N13" s="40" t="s">
        <v>10</v>
      </c>
      <c r="O13" s="45">
        <v>103</v>
      </c>
      <c r="P13" s="40" t="s">
        <v>114</v>
      </c>
      <c r="Q13" s="40">
        <v>1.9</v>
      </c>
      <c r="R13" s="40" t="s">
        <v>109</v>
      </c>
      <c r="S13" s="40" t="s">
        <v>168</v>
      </c>
      <c r="T13" s="40" t="s">
        <v>171</v>
      </c>
      <c r="U13" s="45">
        <v>50</v>
      </c>
      <c r="V13" s="40">
        <v>60</v>
      </c>
      <c r="W13" s="40"/>
      <c r="X13" s="45"/>
      <c r="Y13" s="48">
        <f t="shared" ca="1" si="0"/>
        <v>1696</v>
      </c>
      <c r="Z13" s="50">
        <v>44480</v>
      </c>
      <c r="AA13" s="50"/>
    </row>
    <row r="14" spans="1:27" ht="18" customHeight="1">
      <c r="A14" s="701"/>
      <c r="B14" s="40" t="s">
        <v>96</v>
      </c>
      <c r="C14" s="40" t="s">
        <v>164</v>
      </c>
      <c r="D14" s="40" t="s">
        <v>106</v>
      </c>
      <c r="E14" s="40">
        <v>2021.09</v>
      </c>
      <c r="F14" s="41">
        <v>26.5</v>
      </c>
      <c r="G14" s="41">
        <v>62</v>
      </c>
      <c r="H14" s="45"/>
      <c r="I14" s="41"/>
      <c r="J14" s="40"/>
      <c r="K14" s="40"/>
      <c r="L14" s="44">
        <v>37.5</v>
      </c>
      <c r="M14" s="40" t="s">
        <v>121</v>
      </c>
      <c r="N14" s="40" t="s">
        <v>10</v>
      </c>
      <c r="O14" s="45">
        <v>103</v>
      </c>
      <c r="P14" s="40" t="s">
        <v>114</v>
      </c>
      <c r="Q14" s="40">
        <v>1.9</v>
      </c>
      <c r="R14" s="40" t="s">
        <v>109</v>
      </c>
      <c r="S14" s="40" t="s">
        <v>168</v>
      </c>
      <c r="T14" s="40" t="s">
        <v>171</v>
      </c>
      <c r="U14" s="45">
        <v>50</v>
      </c>
      <c r="V14" s="40">
        <v>60</v>
      </c>
      <c r="W14" s="40"/>
      <c r="X14" s="45"/>
      <c r="Y14" s="48">
        <f t="shared" ca="1" si="0"/>
        <v>1696</v>
      </c>
      <c r="Z14" s="50">
        <v>44480</v>
      </c>
      <c r="AA14" s="50"/>
    </row>
    <row r="15" spans="1:27" ht="18" customHeight="1">
      <c r="A15" s="701"/>
      <c r="B15" s="40" t="s">
        <v>97</v>
      </c>
      <c r="C15" s="40" t="s">
        <v>164</v>
      </c>
      <c r="D15" s="40" t="s">
        <v>106</v>
      </c>
      <c r="E15" s="40">
        <v>2021.09</v>
      </c>
      <c r="F15" s="41">
        <v>30.5</v>
      </c>
      <c r="G15" s="41">
        <v>62.5</v>
      </c>
      <c r="H15" s="45"/>
      <c r="I15" s="41"/>
      <c r="J15" s="40"/>
      <c r="K15" s="40"/>
      <c r="L15" s="44">
        <v>37</v>
      </c>
      <c r="M15" s="40" t="s">
        <v>121</v>
      </c>
      <c r="N15" s="40" t="s">
        <v>10</v>
      </c>
      <c r="O15" s="45">
        <v>103</v>
      </c>
      <c r="P15" s="40" t="s">
        <v>114</v>
      </c>
      <c r="Q15" s="40">
        <v>1.9</v>
      </c>
      <c r="R15" s="40" t="s">
        <v>109</v>
      </c>
      <c r="S15" s="40" t="s">
        <v>168</v>
      </c>
      <c r="T15" s="40" t="s">
        <v>171</v>
      </c>
      <c r="U15" s="45">
        <v>50</v>
      </c>
      <c r="V15" s="40">
        <v>60</v>
      </c>
      <c r="W15" s="40"/>
      <c r="X15" s="45"/>
      <c r="Y15" s="48">
        <f t="shared" ca="1" si="0"/>
        <v>1696</v>
      </c>
      <c r="Z15" s="50">
        <v>44480</v>
      </c>
      <c r="AA15" s="50"/>
    </row>
    <row r="16" spans="1:27" ht="18" customHeight="1">
      <c r="A16" s="701"/>
      <c r="B16" s="40" t="s">
        <v>98</v>
      </c>
      <c r="C16" s="40" t="s">
        <v>164</v>
      </c>
      <c r="D16" s="40" t="s">
        <v>106</v>
      </c>
      <c r="E16" s="40">
        <v>2021.09</v>
      </c>
      <c r="F16" s="41">
        <v>35</v>
      </c>
      <c r="G16" s="41">
        <v>63</v>
      </c>
      <c r="H16" s="45"/>
      <c r="I16" s="41"/>
      <c r="J16" s="40"/>
      <c r="K16" s="40"/>
      <c r="L16" s="44">
        <v>36.5</v>
      </c>
      <c r="M16" s="40" t="s">
        <v>121</v>
      </c>
      <c r="N16" s="40" t="s">
        <v>10</v>
      </c>
      <c r="O16" s="45">
        <v>103</v>
      </c>
      <c r="P16" s="40" t="s">
        <v>114</v>
      </c>
      <c r="Q16" s="40">
        <v>1.9</v>
      </c>
      <c r="R16" s="40" t="s">
        <v>109</v>
      </c>
      <c r="S16" s="40" t="s">
        <v>168</v>
      </c>
      <c r="T16" s="40" t="s">
        <v>171</v>
      </c>
      <c r="U16" s="45">
        <v>50</v>
      </c>
      <c r="V16" s="40">
        <v>60</v>
      </c>
      <c r="W16" s="40"/>
      <c r="X16" s="45"/>
      <c r="Y16" s="48">
        <f t="shared" ca="1" si="0"/>
        <v>1696</v>
      </c>
      <c r="Z16" s="50">
        <v>44480</v>
      </c>
      <c r="AA16" s="50"/>
    </row>
    <row r="17" spans="1:27" ht="18" customHeight="1">
      <c r="A17" s="701"/>
      <c r="B17" s="40" t="s">
        <v>99</v>
      </c>
      <c r="C17" s="40" t="s">
        <v>164</v>
      </c>
      <c r="D17" s="40" t="s">
        <v>106</v>
      </c>
      <c r="E17" s="40">
        <v>2021.09</v>
      </c>
      <c r="F17" s="41">
        <v>40</v>
      </c>
      <c r="G17" s="41">
        <v>63.5</v>
      </c>
      <c r="H17" s="45"/>
      <c r="I17" s="41"/>
      <c r="J17" s="40"/>
      <c r="K17" s="40"/>
      <c r="L17" s="44">
        <v>36</v>
      </c>
      <c r="M17" s="40" t="s">
        <v>121</v>
      </c>
      <c r="N17" s="40" t="s">
        <v>10</v>
      </c>
      <c r="O17" s="45">
        <v>103</v>
      </c>
      <c r="P17" s="40" t="s">
        <v>114</v>
      </c>
      <c r="Q17" s="40">
        <v>1.9</v>
      </c>
      <c r="R17" s="40" t="s">
        <v>109</v>
      </c>
      <c r="S17" s="40" t="s">
        <v>168</v>
      </c>
      <c r="T17" s="40" t="s">
        <v>171</v>
      </c>
      <c r="U17" s="45">
        <v>50</v>
      </c>
      <c r="V17" s="40">
        <v>60</v>
      </c>
      <c r="W17" s="40"/>
      <c r="X17" s="45"/>
      <c r="Y17" s="48">
        <f t="shared" ca="1" si="0"/>
        <v>1696</v>
      </c>
      <c r="Z17" s="50">
        <v>44480</v>
      </c>
      <c r="AA17" s="50"/>
    </row>
    <row r="18" spans="1:27" ht="18" customHeight="1">
      <c r="A18" s="701" t="s">
        <v>71</v>
      </c>
      <c r="B18" s="40" t="s">
        <v>6</v>
      </c>
      <c r="C18" s="40" t="s">
        <v>164</v>
      </c>
      <c r="D18" s="40" t="s">
        <v>106</v>
      </c>
      <c r="E18" s="40">
        <v>2021.09</v>
      </c>
      <c r="F18" s="41">
        <v>45</v>
      </c>
      <c r="G18" s="41">
        <v>64</v>
      </c>
      <c r="H18" s="45"/>
      <c r="I18" s="41"/>
      <c r="J18" s="40"/>
      <c r="K18" s="40"/>
      <c r="L18" s="44">
        <v>35.75</v>
      </c>
      <c r="M18" s="40" t="s">
        <v>121</v>
      </c>
      <c r="N18" s="40" t="s">
        <v>10</v>
      </c>
      <c r="O18" s="45">
        <v>103</v>
      </c>
      <c r="P18" s="40" t="s">
        <v>115</v>
      </c>
      <c r="Q18" s="40">
        <v>1.9</v>
      </c>
      <c r="R18" s="40" t="s">
        <v>109</v>
      </c>
      <c r="S18" s="40" t="s">
        <v>168</v>
      </c>
      <c r="T18" s="40" t="s">
        <v>171</v>
      </c>
      <c r="U18" s="45">
        <v>50</v>
      </c>
      <c r="V18" s="40">
        <v>60</v>
      </c>
      <c r="W18" s="40"/>
      <c r="X18" s="45"/>
      <c r="Y18" s="48">
        <f t="shared" ca="1" si="0"/>
        <v>1696</v>
      </c>
      <c r="Z18" s="50">
        <v>44480</v>
      </c>
      <c r="AA18" s="50"/>
    </row>
    <row r="19" spans="1:27" ht="18" customHeight="1">
      <c r="A19" s="701"/>
      <c r="B19" s="40" t="s">
        <v>22</v>
      </c>
      <c r="C19" s="40" t="s">
        <v>104</v>
      </c>
      <c r="D19" s="40" t="s">
        <v>105</v>
      </c>
      <c r="E19" s="40">
        <v>2021.01</v>
      </c>
      <c r="F19" s="41">
        <v>52</v>
      </c>
      <c r="G19" s="41">
        <v>64</v>
      </c>
      <c r="H19" s="45"/>
      <c r="I19" s="41">
        <v>10</v>
      </c>
      <c r="J19" s="40" t="s">
        <v>110</v>
      </c>
      <c r="K19" s="40"/>
      <c r="L19" s="44">
        <v>35.5</v>
      </c>
      <c r="M19" s="40" t="s">
        <v>112</v>
      </c>
      <c r="N19" s="40" t="s">
        <v>113</v>
      </c>
      <c r="O19" s="45">
        <v>127</v>
      </c>
      <c r="P19" s="40" t="s">
        <v>115</v>
      </c>
      <c r="Q19" s="40">
        <v>1.7</v>
      </c>
      <c r="R19" s="40" t="s">
        <v>123</v>
      </c>
      <c r="S19" s="40" t="s">
        <v>168</v>
      </c>
      <c r="T19" s="40" t="s">
        <v>171</v>
      </c>
      <c r="U19" s="45">
        <v>50</v>
      </c>
      <c r="V19" s="40">
        <v>60</v>
      </c>
      <c r="W19" s="40"/>
      <c r="X19" s="45"/>
      <c r="Y19" s="48">
        <f t="shared" ca="1" si="0"/>
        <v>1686</v>
      </c>
      <c r="Z19" s="50">
        <v>44490</v>
      </c>
      <c r="AA19" s="50"/>
    </row>
    <row r="20" spans="1:27" ht="18" customHeight="1">
      <c r="A20" s="701"/>
      <c r="B20" s="40" t="s">
        <v>100</v>
      </c>
      <c r="C20" s="40" t="s">
        <v>104</v>
      </c>
      <c r="D20" s="40" t="s">
        <v>105</v>
      </c>
      <c r="E20" s="40">
        <v>2021.01</v>
      </c>
      <c r="F20" s="41">
        <v>56</v>
      </c>
      <c r="G20" s="41">
        <v>64</v>
      </c>
      <c r="H20" s="45"/>
      <c r="I20" s="41">
        <v>12</v>
      </c>
      <c r="J20" s="40" t="s">
        <v>111</v>
      </c>
      <c r="K20" s="40"/>
      <c r="L20" s="44">
        <v>35.25</v>
      </c>
      <c r="M20" s="40" t="s">
        <v>112</v>
      </c>
      <c r="N20" s="40" t="s">
        <v>113</v>
      </c>
      <c r="O20" s="45">
        <v>127</v>
      </c>
      <c r="P20" s="40" t="s">
        <v>116</v>
      </c>
      <c r="Q20" s="40">
        <v>1.7</v>
      </c>
      <c r="R20" s="40" t="s">
        <v>123</v>
      </c>
      <c r="S20" s="40" t="s">
        <v>168</v>
      </c>
      <c r="T20" s="40" t="s">
        <v>171</v>
      </c>
      <c r="U20" s="45">
        <v>50</v>
      </c>
      <c r="V20" s="40">
        <v>60</v>
      </c>
      <c r="W20" s="40"/>
      <c r="X20" s="45"/>
      <c r="Y20" s="48">
        <f t="shared" ca="1" si="0"/>
        <v>1686</v>
      </c>
      <c r="Z20" s="50">
        <v>44490</v>
      </c>
      <c r="AA20" s="50"/>
    </row>
    <row r="21" spans="1:27" ht="18" hidden="1" customHeight="1" outlineLevel="1">
      <c r="A21" s="701"/>
      <c r="B21" s="40" t="s">
        <v>243</v>
      </c>
      <c r="C21" s="40"/>
      <c r="D21" s="40"/>
      <c r="E21" s="40"/>
      <c r="F21" s="41"/>
      <c r="G21" s="41"/>
      <c r="H21" s="45"/>
      <c r="I21" s="41"/>
      <c r="J21" s="40"/>
      <c r="K21" s="40"/>
      <c r="L21" s="44"/>
      <c r="M21" s="40"/>
      <c r="N21" s="40"/>
      <c r="O21" s="45"/>
      <c r="P21" s="40"/>
      <c r="Q21" s="40"/>
      <c r="R21" s="40"/>
      <c r="S21" s="40"/>
      <c r="T21" s="40"/>
      <c r="U21" s="45"/>
      <c r="V21" s="40"/>
      <c r="W21" s="40"/>
      <c r="X21" s="45"/>
      <c r="Y21" s="48" t="str">
        <f t="shared" ca="1" si="0"/>
        <v/>
      </c>
      <c r="Z21" s="50"/>
      <c r="AA21" s="50"/>
    </row>
    <row r="22" spans="1:27" ht="18" customHeight="1" collapsed="1">
      <c r="A22" s="705" t="s">
        <v>101</v>
      </c>
      <c r="B22" s="40" t="s">
        <v>2</v>
      </c>
      <c r="C22" s="40" t="s">
        <v>107</v>
      </c>
      <c r="D22" s="40" t="s">
        <v>149</v>
      </c>
      <c r="E22" s="40">
        <v>2021</v>
      </c>
      <c r="F22" s="41">
        <v>3</v>
      </c>
      <c r="G22" s="41">
        <v>70</v>
      </c>
      <c r="H22" s="45"/>
      <c r="I22" s="41"/>
      <c r="J22" s="40"/>
      <c r="K22" s="41">
        <v>43</v>
      </c>
      <c r="L22" s="44">
        <v>34</v>
      </c>
      <c r="M22" s="40"/>
      <c r="N22" s="40"/>
      <c r="O22" s="45"/>
      <c r="P22" s="40"/>
      <c r="Q22" s="40"/>
      <c r="R22" s="40"/>
      <c r="S22" s="40"/>
      <c r="T22" s="40"/>
      <c r="U22" s="45"/>
      <c r="V22" s="40"/>
      <c r="W22" s="40"/>
      <c r="X22" s="45"/>
      <c r="Y22" s="48">
        <f t="shared" ca="1" si="0"/>
        <v>1495</v>
      </c>
      <c r="Z22" s="50">
        <v>44681</v>
      </c>
      <c r="AA22" s="50"/>
    </row>
    <row r="23" spans="1:27" ht="18" hidden="1" customHeight="1" outlineLevel="1">
      <c r="A23" s="706"/>
      <c r="B23" s="43" t="s">
        <v>2</v>
      </c>
      <c r="C23" s="43" t="s">
        <v>107</v>
      </c>
      <c r="D23" s="43" t="s">
        <v>108</v>
      </c>
      <c r="E23" s="43">
        <v>2016</v>
      </c>
      <c r="F23" s="42">
        <v>3</v>
      </c>
      <c r="G23" s="42">
        <v>71</v>
      </c>
      <c r="H23" s="45"/>
      <c r="I23" s="41"/>
      <c r="J23" s="40"/>
      <c r="K23" s="46" t="s">
        <v>118</v>
      </c>
      <c r="L23" s="47">
        <v>34</v>
      </c>
      <c r="M23" s="40"/>
      <c r="N23" s="40"/>
      <c r="O23" s="45"/>
      <c r="P23" s="40"/>
      <c r="Q23" s="40"/>
      <c r="R23" s="40"/>
      <c r="S23" s="40"/>
      <c r="T23" s="40"/>
      <c r="U23" s="45"/>
      <c r="V23" s="40"/>
      <c r="W23" s="40"/>
      <c r="X23" s="45"/>
      <c r="Y23" s="48">
        <f t="shared" ca="1" si="0"/>
        <v>184</v>
      </c>
      <c r="Z23" s="50">
        <v>44497</v>
      </c>
      <c r="AA23" s="50">
        <v>44680</v>
      </c>
    </row>
    <row r="24" spans="1:27" ht="18" customHeight="1" collapsed="1">
      <c r="A24" s="51" t="s">
        <v>8</v>
      </c>
      <c r="B24" s="52"/>
      <c r="C24" s="52"/>
      <c r="D24" s="52"/>
      <c r="E24" s="52"/>
      <c r="F24" s="52"/>
      <c r="G24" s="52"/>
      <c r="H24" s="52"/>
      <c r="I24" s="52"/>
      <c r="J24" s="52"/>
      <c r="K24" s="52"/>
      <c r="L24" s="52"/>
      <c r="M24" s="52"/>
      <c r="N24" s="52"/>
      <c r="O24" s="52"/>
      <c r="P24" s="52"/>
      <c r="Q24" s="52"/>
      <c r="R24" s="52"/>
      <c r="S24" s="52"/>
      <c r="T24" s="52"/>
      <c r="U24" s="52"/>
      <c r="V24" s="52"/>
      <c r="W24" s="52"/>
      <c r="X24" s="52"/>
      <c r="Y24" s="52"/>
      <c r="Z24" s="52"/>
      <c r="AA24" s="52"/>
    </row>
    <row r="25" spans="1:27" ht="18" customHeight="1" collapsed="1">
      <c r="A25" s="704" t="s">
        <v>238</v>
      </c>
      <c r="B25" s="40" t="s">
        <v>256</v>
      </c>
      <c r="C25" s="40" t="s">
        <v>119</v>
      </c>
      <c r="D25" s="40" t="s">
        <v>257</v>
      </c>
      <c r="E25" s="40"/>
      <c r="F25" s="41">
        <v>20</v>
      </c>
      <c r="G25" s="41">
        <v>61</v>
      </c>
      <c r="H25" s="45"/>
      <c r="I25" s="41"/>
      <c r="J25" s="40"/>
      <c r="K25" s="40"/>
      <c r="L25" s="44">
        <v>39.25</v>
      </c>
      <c r="M25" s="40" t="s">
        <v>261</v>
      </c>
      <c r="N25" s="40">
        <v>5.5</v>
      </c>
      <c r="O25" s="45">
        <v>80</v>
      </c>
      <c r="P25" s="40"/>
      <c r="Q25" s="40">
        <v>2.4</v>
      </c>
      <c r="R25" s="40" t="s">
        <v>123</v>
      </c>
      <c r="S25" s="40" t="s">
        <v>168</v>
      </c>
      <c r="T25" s="40" t="s">
        <v>263</v>
      </c>
      <c r="U25" s="45">
        <v>50</v>
      </c>
      <c r="V25" s="40">
        <v>60</v>
      </c>
      <c r="W25" s="40"/>
      <c r="X25" s="45"/>
      <c r="Y25" s="48"/>
      <c r="Z25" s="50"/>
      <c r="AA25" s="50"/>
    </row>
    <row r="26" spans="1:27" ht="18" customHeight="1" collapsed="1">
      <c r="A26" s="704"/>
      <c r="B26" s="40" t="s">
        <v>255</v>
      </c>
      <c r="C26" s="40" t="s">
        <v>119</v>
      </c>
      <c r="D26" s="40" t="s">
        <v>257</v>
      </c>
      <c r="E26" s="40"/>
      <c r="F26" s="41">
        <v>22</v>
      </c>
      <c r="G26" s="41">
        <v>61.5</v>
      </c>
      <c r="H26" s="45"/>
      <c r="I26" s="41"/>
      <c r="J26" s="40"/>
      <c r="K26" s="40"/>
      <c r="L26" s="44">
        <v>38.75</v>
      </c>
      <c r="M26" s="40" t="s">
        <v>261</v>
      </c>
      <c r="N26" s="40">
        <v>5.5</v>
      </c>
      <c r="O26" s="45">
        <v>80</v>
      </c>
      <c r="P26" s="40"/>
      <c r="Q26" s="40">
        <v>2.4</v>
      </c>
      <c r="R26" s="40" t="s">
        <v>123</v>
      </c>
      <c r="S26" s="40" t="s">
        <v>168</v>
      </c>
      <c r="T26" s="40" t="s">
        <v>263</v>
      </c>
      <c r="U26" s="45">
        <v>50</v>
      </c>
      <c r="V26" s="40">
        <v>60</v>
      </c>
      <c r="W26" s="40"/>
      <c r="X26" s="45"/>
      <c r="Y26" s="48"/>
      <c r="Z26" s="50"/>
      <c r="AA26" s="50"/>
    </row>
    <row r="27" spans="1:27" ht="18" customHeight="1" collapsed="1">
      <c r="A27" s="704"/>
      <c r="B27" s="40" t="s">
        <v>256</v>
      </c>
      <c r="C27" s="40" t="s">
        <v>119</v>
      </c>
      <c r="D27" s="40" t="s">
        <v>254</v>
      </c>
      <c r="E27" s="40"/>
      <c r="F27" s="41">
        <v>20</v>
      </c>
      <c r="G27" s="41">
        <v>61</v>
      </c>
      <c r="H27" s="45"/>
      <c r="I27" s="41"/>
      <c r="J27" s="40"/>
      <c r="K27" s="40"/>
      <c r="L27" s="44">
        <v>39.25</v>
      </c>
      <c r="M27" s="40"/>
      <c r="N27" s="40"/>
      <c r="O27" s="45"/>
      <c r="P27" s="40"/>
      <c r="Q27" s="40"/>
      <c r="R27" s="40"/>
      <c r="S27" s="40"/>
      <c r="T27" s="40"/>
      <c r="U27" s="45"/>
      <c r="V27" s="40"/>
      <c r="W27" s="40"/>
      <c r="X27" s="45"/>
      <c r="Y27" s="48"/>
      <c r="Z27" s="50"/>
      <c r="AA27" s="50"/>
    </row>
    <row r="28" spans="1:27" ht="18" customHeight="1" collapsed="1">
      <c r="A28" s="704"/>
      <c r="B28" s="40" t="s">
        <v>255</v>
      </c>
      <c r="C28" s="40" t="s">
        <v>119</v>
      </c>
      <c r="D28" s="40" t="s">
        <v>254</v>
      </c>
      <c r="E28" s="40"/>
      <c r="F28" s="41">
        <v>22</v>
      </c>
      <c r="G28" s="41">
        <v>61.5</v>
      </c>
      <c r="H28" s="45"/>
      <c r="I28" s="41"/>
      <c r="J28" s="40"/>
      <c r="K28" s="40"/>
      <c r="L28" s="44">
        <v>38.75</v>
      </c>
      <c r="M28" s="40"/>
      <c r="N28" s="40"/>
      <c r="O28" s="45"/>
      <c r="P28" s="40"/>
      <c r="Q28" s="40"/>
      <c r="R28" s="40"/>
      <c r="S28" s="40"/>
      <c r="T28" s="40"/>
      <c r="U28" s="45"/>
      <c r="V28" s="40"/>
      <c r="W28" s="40"/>
      <c r="X28" s="45"/>
      <c r="Y28" s="48"/>
      <c r="Z28" s="50"/>
      <c r="AA28" s="50"/>
    </row>
    <row r="29" spans="1:27" ht="18" customHeight="1" collapsed="1">
      <c r="A29" s="704"/>
      <c r="B29" s="53" t="s">
        <v>94</v>
      </c>
      <c r="C29" s="53" t="s">
        <v>119</v>
      </c>
      <c r="D29" s="53" t="s">
        <v>1773</v>
      </c>
      <c r="E29" s="53">
        <v>2023</v>
      </c>
      <c r="F29" s="54">
        <v>22</v>
      </c>
      <c r="G29" s="54">
        <v>61.5</v>
      </c>
      <c r="H29" s="45"/>
      <c r="I29" s="41"/>
      <c r="J29" s="40"/>
      <c r="K29" s="40"/>
      <c r="L29" s="217">
        <v>38.5</v>
      </c>
      <c r="M29" s="40" t="s">
        <v>259</v>
      </c>
      <c r="N29" s="40">
        <v>5.5</v>
      </c>
      <c r="O29" s="45">
        <v>115</v>
      </c>
      <c r="P29" s="40"/>
      <c r="Q29" s="40" t="s">
        <v>260</v>
      </c>
      <c r="R29" s="40" t="s">
        <v>109</v>
      </c>
      <c r="S29" s="40" t="s">
        <v>168</v>
      </c>
      <c r="T29" s="40" t="s">
        <v>263</v>
      </c>
      <c r="U29" s="45">
        <v>50</v>
      </c>
      <c r="V29" s="40">
        <v>60</v>
      </c>
      <c r="W29" s="40"/>
      <c r="X29" s="45"/>
      <c r="Y29" s="48"/>
      <c r="Z29" s="50"/>
      <c r="AA29" s="50"/>
    </row>
    <row r="30" spans="1:27" ht="18" customHeight="1">
      <c r="A30" s="704"/>
      <c r="B30" s="53" t="s">
        <v>95</v>
      </c>
      <c r="C30" s="53" t="s">
        <v>119</v>
      </c>
      <c r="D30" s="53" t="s">
        <v>1773</v>
      </c>
      <c r="E30" s="53">
        <v>2023</v>
      </c>
      <c r="F30" s="54">
        <v>25</v>
      </c>
      <c r="G30" s="54">
        <v>62</v>
      </c>
      <c r="H30" s="45"/>
      <c r="I30" s="41"/>
      <c r="J30" s="40"/>
      <c r="K30" s="40"/>
      <c r="L30" s="217">
        <v>38</v>
      </c>
      <c r="M30" s="40" t="s">
        <v>259</v>
      </c>
      <c r="N30" s="40">
        <v>5.5</v>
      </c>
      <c r="O30" s="45">
        <v>115</v>
      </c>
      <c r="P30" s="40"/>
      <c r="Q30" s="40" t="s">
        <v>260</v>
      </c>
      <c r="R30" s="40" t="s">
        <v>109</v>
      </c>
      <c r="S30" s="40" t="s">
        <v>168</v>
      </c>
      <c r="T30" s="40" t="s">
        <v>263</v>
      </c>
      <c r="U30" s="45">
        <v>50</v>
      </c>
      <c r="V30" s="40">
        <v>60</v>
      </c>
      <c r="W30" s="40"/>
      <c r="X30" s="45"/>
      <c r="Y30" s="48"/>
      <c r="Z30" s="50"/>
      <c r="AA30" s="50"/>
    </row>
    <row r="31" spans="1:27" ht="18" customHeight="1">
      <c r="A31" s="704"/>
      <c r="B31" s="53" t="s">
        <v>96</v>
      </c>
      <c r="C31" s="53" t="s">
        <v>119</v>
      </c>
      <c r="D31" s="53" t="s">
        <v>1773</v>
      </c>
      <c r="E31" s="53">
        <v>2023</v>
      </c>
      <c r="F31" s="54">
        <v>28</v>
      </c>
      <c r="G31" s="54">
        <v>62.5</v>
      </c>
      <c r="H31" s="45"/>
      <c r="I31" s="41"/>
      <c r="J31" s="40"/>
      <c r="K31" s="40"/>
      <c r="L31" s="217">
        <v>37.5</v>
      </c>
      <c r="M31" s="40" t="s">
        <v>259</v>
      </c>
      <c r="N31" s="40">
        <v>5.5</v>
      </c>
      <c r="O31" s="45">
        <v>115</v>
      </c>
      <c r="P31" s="40"/>
      <c r="Q31" s="40" t="s">
        <v>260</v>
      </c>
      <c r="R31" s="40" t="s">
        <v>109</v>
      </c>
      <c r="S31" s="40" t="s">
        <v>168</v>
      </c>
      <c r="T31" s="40" t="s">
        <v>263</v>
      </c>
      <c r="U31" s="45">
        <v>50</v>
      </c>
      <c r="V31" s="40">
        <v>60</v>
      </c>
      <c r="W31" s="40"/>
      <c r="X31" s="45"/>
      <c r="Y31" s="48"/>
      <c r="Z31" s="50"/>
      <c r="AA31" s="50"/>
    </row>
    <row r="32" spans="1:27" ht="18" customHeight="1">
      <c r="A32" s="704"/>
      <c r="B32" s="53" t="s">
        <v>97</v>
      </c>
      <c r="C32" s="53" t="s">
        <v>119</v>
      </c>
      <c r="D32" s="53" t="s">
        <v>1773</v>
      </c>
      <c r="E32" s="53">
        <v>2023</v>
      </c>
      <c r="F32" s="54">
        <v>32</v>
      </c>
      <c r="G32" s="54">
        <v>63</v>
      </c>
      <c r="H32" s="45"/>
      <c r="I32" s="41"/>
      <c r="J32" s="40"/>
      <c r="K32" s="40"/>
      <c r="L32" s="217">
        <v>37</v>
      </c>
      <c r="M32" s="40" t="s">
        <v>259</v>
      </c>
      <c r="N32" s="40">
        <v>5.5</v>
      </c>
      <c r="O32" s="45">
        <v>115</v>
      </c>
      <c r="P32" s="40"/>
      <c r="Q32" s="40" t="s">
        <v>260</v>
      </c>
      <c r="R32" s="40" t="s">
        <v>109</v>
      </c>
      <c r="S32" s="40" t="s">
        <v>168</v>
      </c>
      <c r="T32" s="40" t="s">
        <v>263</v>
      </c>
      <c r="U32" s="45">
        <v>50</v>
      </c>
      <c r="V32" s="40">
        <v>60</v>
      </c>
      <c r="W32" s="40"/>
      <c r="X32" s="45"/>
      <c r="Y32" s="48"/>
      <c r="Z32" s="50"/>
      <c r="AA32" s="50"/>
    </row>
    <row r="33" spans="1:27" ht="18" customHeight="1">
      <c r="A33" s="704"/>
      <c r="B33" s="53" t="s">
        <v>98</v>
      </c>
      <c r="C33" s="53" t="s">
        <v>119</v>
      </c>
      <c r="D33" s="53" t="s">
        <v>1773</v>
      </c>
      <c r="E33" s="53">
        <v>2023</v>
      </c>
      <c r="F33" s="54">
        <v>36</v>
      </c>
      <c r="G33" s="54">
        <v>63.5</v>
      </c>
      <c r="H33" s="45"/>
      <c r="I33" s="41"/>
      <c r="J33" s="40"/>
      <c r="K33" s="40"/>
      <c r="L33" s="217">
        <v>36.5</v>
      </c>
      <c r="M33" s="40" t="s">
        <v>259</v>
      </c>
      <c r="N33" s="40">
        <v>5.5</v>
      </c>
      <c r="O33" s="45">
        <v>115</v>
      </c>
      <c r="P33" s="40"/>
      <c r="Q33" s="40" t="s">
        <v>260</v>
      </c>
      <c r="R33" s="40" t="s">
        <v>109</v>
      </c>
      <c r="S33" s="40" t="s">
        <v>168</v>
      </c>
      <c r="T33" s="40" t="s">
        <v>263</v>
      </c>
      <c r="U33" s="45">
        <v>50</v>
      </c>
      <c r="V33" s="40">
        <v>60</v>
      </c>
      <c r="W33" s="40"/>
      <c r="X33" s="45"/>
      <c r="Y33" s="48"/>
      <c r="Z33" s="50"/>
      <c r="AA33" s="50"/>
    </row>
    <row r="34" spans="1:27" ht="18" customHeight="1">
      <c r="A34" s="704"/>
      <c r="B34" s="53" t="s">
        <v>99</v>
      </c>
      <c r="C34" s="53" t="s">
        <v>119</v>
      </c>
      <c r="D34" s="53" t="s">
        <v>1773</v>
      </c>
      <c r="E34" s="53">
        <v>2023</v>
      </c>
      <c r="F34" s="54">
        <v>40</v>
      </c>
      <c r="G34" s="54">
        <v>64</v>
      </c>
      <c r="H34" s="45"/>
      <c r="I34" s="41"/>
      <c r="J34" s="40"/>
      <c r="K34" s="40"/>
      <c r="L34" s="217">
        <v>36</v>
      </c>
      <c r="M34" s="40" t="s">
        <v>259</v>
      </c>
      <c r="N34" s="40">
        <v>5.5</v>
      </c>
      <c r="O34" s="45">
        <v>115</v>
      </c>
      <c r="P34" s="40"/>
      <c r="Q34" s="40" t="s">
        <v>260</v>
      </c>
      <c r="R34" s="40" t="s">
        <v>109</v>
      </c>
      <c r="S34" s="40" t="s">
        <v>168</v>
      </c>
      <c r="T34" s="40" t="s">
        <v>263</v>
      </c>
      <c r="U34" s="45">
        <v>50</v>
      </c>
      <c r="V34" s="40">
        <v>60</v>
      </c>
      <c r="W34" s="40"/>
      <c r="X34" s="45"/>
      <c r="Y34" s="48"/>
      <c r="Z34" s="50"/>
      <c r="AA34" s="50"/>
    </row>
    <row r="35" spans="1:27" ht="18" customHeight="1">
      <c r="A35" s="704"/>
      <c r="B35" s="53" t="s">
        <v>6</v>
      </c>
      <c r="C35" s="53" t="s">
        <v>119</v>
      </c>
      <c r="D35" s="53" t="s">
        <v>1773</v>
      </c>
      <c r="E35" s="53">
        <v>2023</v>
      </c>
      <c r="F35" s="54">
        <v>44</v>
      </c>
      <c r="G35" s="54">
        <v>64</v>
      </c>
      <c r="H35" s="45"/>
      <c r="I35" s="41"/>
      <c r="J35" s="40"/>
      <c r="K35" s="40"/>
      <c r="L35" s="217">
        <v>35.75</v>
      </c>
      <c r="M35" s="40" t="s">
        <v>259</v>
      </c>
      <c r="N35" s="40">
        <v>5.5</v>
      </c>
      <c r="O35" s="45">
        <v>115</v>
      </c>
      <c r="P35" s="40"/>
      <c r="Q35" s="40" t="s">
        <v>260</v>
      </c>
      <c r="R35" s="40" t="s">
        <v>109</v>
      </c>
      <c r="S35" s="40" t="s">
        <v>168</v>
      </c>
      <c r="T35" s="40" t="s">
        <v>263</v>
      </c>
      <c r="U35" s="45">
        <v>50</v>
      </c>
      <c r="V35" s="40">
        <v>60</v>
      </c>
      <c r="W35" s="40"/>
      <c r="X35" s="45"/>
      <c r="Y35" s="48"/>
      <c r="Z35" s="50"/>
      <c r="AA35" s="50"/>
    </row>
    <row r="36" spans="1:27" ht="18" customHeight="1" collapsed="1">
      <c r="A36" s="704"/>
      <c r="B36" s="40" t="s">
        <v>22</v>
      </c>
      <c r="C36" s="40" t="s">
        <v>119</v>
      </c>
      <c r="D36" s="40" t="s">
        <v>236</v>
      </c>
      <c r="E36" s="40"/>
      <c r="F36" s="41">
        <v>48</v>
      </c>
      <c r="G36" s="41">
        <v>64</v>
      </c>
      <c r="H36" s="45"/>
      <c r="I36" s="41"/>
      <c r="J36" s="40"/>
      <c r="K36" s="40"/>
      <c r="L36" s="44">
        <v>35.5</v>
      </c>
      <c r="M36" s="40" t="s">
        <v>259</v>
      </c>
      <c r="N36" s="40">
        <v>5.5</v>
      </c>
      <c r="O36" s="45">
        <v>115</v>
      </c>
      <c r="P36" s="40"/>
      <c r="Q36" s="40" t="s">
        <v>260</v>
      </c>
      <c r="R36" s="40" t="s">
        <v>109</v>
      </c>
      <c r="S36" s="40" t="s">
        <v>168</v>
      </c>
      <c r="T36" s="40" t="s">
        <v>263</v>
      </c>
      <c r="U36" s="45">
        <v>50</v>
      </c>
      <c r="V36" s="40">
        <v>60</v>
      </c>
      <c r="W36" s="40"/>
      <c r="X36" s="45"/>
      <c r="Y36" s="48"/>
      <c r="Z36" s="50"/>
      <c r="AA36" s="50"/>
    </row>
    <row r="37" spans="1:27" ht="18" customHeight="1">
      <c r="A37" s="704"/>
      <c r="B37" s="40" t="s">
        <v>6</v>
      </c>
      <c r="C37" s="40" t="s">
        <v>119</v>
      </c>
      <c r="D37" s="40" t="s">
        <v>240</v>
      </c>
      <c r="E37" s="40"/>
      <c r="F37" s="41" t="s">
        <v>241</v>
      </c>
      <c r="G37" s="41">
        <v>64</v>
      </c>
      <c r="H37" s="45">
        <v>46</v>
      </c>
      <c r="I37" s="49" t="s">
        <v>247</v>
      </c>
      <c r="J37" s="40"/>
      <c r="K37" s="40"/>
      <c r="L37" s="44">
        <v>35.75</v>
      </c>
      <c r="M37" s="40"/>
      <c r="N37" s="40"/>
      <c r="O37" s="45"/>
      <c r="P37" s="40"/>
      <c r="Q37" s="40"/>
      <c r="R37" s="40"/>
      <c r="S37" s="40"/>
      <c r="T37" s="40"/>
      <c r="U37" s="45"/>
      <c r="V37" s="40"/>
      <c r="W37" s="40"/>
      <c r="X37" s="45"/>
      <c r="Y37" s="48"/>
      <c r="Z37" s="50"/>
      <c r="AA37" s="50"/>
    </row>
    <row r="38" spans="1:27" ht="18" customHeight="1" collapsed="1">
      <c r="A38" s="704"/>
      <c r="B38" s="40" t="s">
        <v>22</v>
      </c>
      <c r="C38" s="40" t="s">
        <v>119</v>
      </c>
      <c r="D38" s="40" t="s">
        <v>240</v>
      </c>
      <c r="E38" s="40"/>
      <c r="F38" s="41" t="s">
        <v>242</v>
      </c>
      <c r="G38" s="41">
        <v>64</v>
      </c>
      <c r="H38" s="45">
        <v>50</v>
      </c>
      <c r="I38" s="49" t="s">
        <v>246</v>
      </c>
      <c r="J38" s="40"/>
      <c r="K38" s="40"/>
      <c r="L38" s="44">
        <v>35.5</v>
      </c>
      <c r="M38" s="40"/>
      <c r="N38" s="40"/>
      <c r="O38" s="45"/>
      <c r="P38" s="40"/>
      <c r="Q38" s="40"/>
      <c r="R38" s="40"/>
      <c r="S38" s="40"/>
      <c r="T38" s="40"/>
      <c r="U38" s="45"/>
      <c r="V38" s="40"/>
      <c r="W38" s="40"/>
      <c r="X38" s="45"/>
      <c r="Y38" s="48"/>
      <c r="Z38" s="50"/>
      <c r="AA38" s="50"/>
    </row>
    <row r="39" spans="1:27" ht="18" customHeight="1" collapsed="1">
      <c r="A39" s="704"/>
      <c r="B39" s="40" t="s">
        <v>100</v>
      </c>
      <c r="C39" s="40" t="s">
        <v>119</v>
      </c>
      <c r="D39" s="40" t="s">
        <v>240</v>
      </c>
      <c r="E39" s="40"/>
      <c r="F39" s="41" t="s">
        <v>244</v>
      </c>
      <c r="G39" s="41">
        <v>64</v>
      </c>
      <c r="H39" s="45">
        <v>54</v>
      </c>
      <c r="I39" s="41" t="s">
        <v>248</v>
      </c>
      <c r="J39" s="40"/>
      <c r="K39" s="40"/>
      <c r="L39" s="44">
        <v>35.25</v>
      </c>
      <c r="M39" s="40"/>
      <c r="N39" s="40"/>
      <c r="O39" s="45"/>
      <c r="P39" s="40"/>
      <c r="Q39" s="40"/>
      <c r="R39" s="40"/>
      <c r="S39" s="40"/>
      <c r="T39" s="40"/>
      <c r="U39" s="45"/>
      <c r="V39" s="40"/>
      <c r="W39" s="40"/>
      <c r="X39" s="45"/>
      <c r="Y39" s="48"/>
      <c r="Z39" s="50"/>
      <c r="AA39" s="50"/>
    </row>
    <row r="40" spans="1:27" ht="18" customHeight="1">
      <c r="A40" s="704"/>
      <c r="B40" s="40" t="s">
        <v>243</v>
      </c>
      <c r="C40" s="40" t="s">
        <v>119</v>
      </c>
      <c r="D40" s="40" t="s">
        <v>240</v>
      </c>
      <c r="E40" s="40"/>
      <c r="F40" s="41" t="s">
        <v>245</v>
      </c>
      <c r="G40" s="41">
        <v>64</v>
      </c>
      <c r="H40" s="45">
        <v>60</v>
      </c>
      <c r="I40" s="41" t="s">
        <v>249</v>
      </c>
      <c r="J40" s="40"/>
      <c r="K40" s="40"/>
      <c r="L40" s="44">
        <v>35</v>
      </c>
      <c r="M40" s="40"/>
      <c r="N40" s="40"/>
      <c r="O40" s="45"/>
      <c r="P40" s="40"/>
      <c r="Q40" s="40"/>
      <c r="R40" s="40"/>
      <c r="S40" s="40"/>
      <c r="T40" s="40"/>
      <c r="U40" s="45"/>
      <c r="V40" s="40"/>
      <c r="W40" s="40"/>
      <c r="X40" s="45"/>
      <c r="Y40" s="48"/>
      <c r="Z40" s="50"/>
      <c r="AA40" s="50"/>
    </row>
    <row r="41" spans="1:27" ht="18" customHeight="1">
      <c r="A41" s="25" t="s">
        <v>8</v>
      </c>
    </row>
    <row r="42" spans="1:27" ht="18" customHeight="1" collapsed="1">
      <c r="A42" s="704" t="s">
        <v>239</v>
      </c>
      <c r="B42" s="40" t="s">
        <v>256</v>
      </c>
      <c r="C42" s="40" t="s">
        <v>119</v>
      </c>
      <c r="D42" s="40" t="s">
        <v>257</v>
      </c>
      <c r="E42" s="40"/>
      <c r="F42" s="41">
        <v>20</v>
      </c>
      <c r="G42" s="41">
        <v>61</v>
      </c>
      <c r="H42" s="45"/>
      <c r="I42" s="41"/>
      <c r="J42" s="40"/>
      <c r="K42" s="40"/>
      <c r="L42" s="44">
        <v>39.25</v>
      </c>
      <c r="M42" s="40" t="s">
        <v>258</v>
      </c>
      <c r="N42" s="40">
        <v>5.5</v>
      </c>
      <c r="O42" s="45">
        <v>80</v>
      </c>
      <c r="P42" s="40"/>
      <c r="Q42" s="40">
        <v>2.4</v>
      </c>
      <c r="R42" s="40" t="s">
        <v>123</v>
      </c>
      <c r="S42" s="40" t="s">
        <v>168</v>
      </c>
      <c r="T42" s="40" t="s">
        <v>263</v>
      </c>
      <c r="U42" s="45">
        <v>50</v>
      </c>
      <c r="V42" s="40">
        <v>60</v>
      </c>
      <c r="W42" s="40"/>
      <c r="X42" s="45"/>
      <c r="Y42" s="48"/>
      <c r="Z42" s="50"/>
      <c r="AA42" s="50"/>
    </row>
    <row r="43" spans="1:27" ht="18" customHeight="1" collapsed="1">
      <c r="A43" s="704"/>
      <c r="B43" s="40" t="s">
        <v>255</v>
      </c>
      <c r="C43" s="40" t="s">
        <v>119</v>
      </c>
      <c r="D43" s="40" t="s">
        <v>257</v>
      </c>
      <c r="E43" s="40"/>
      <c r="F43" s="41">
        <v>22</v>
      </c>
      <c r="G43" s="41">
        <v>61.5</v>
      </c>
      <c r="H43" s="45"/>
      <c r="I43" s="41"/>
      <c r="J43" s="40"/>
      <c r="K43" s="40"/>
      <c r="L43" s="44">
        <v>38.75</v>
      </c>
      <c r="M43" s="40" t="s">
        <v>258</v>
      </c>
      <c r="N43" s="40">
        <v>5.5</v>
      </c>
      <c r="O43" s="45">
        <v>80</v>
      </c>
      <c r="P43" s="40"/>
      <c r="Q43" s="40">
        <v>2.4</v>
      </c>
      <c r="R43" s="40" t="s">
        <v>123</v>
      </c>
      <c r="S43" s="40" t="s">
        <v>168</v>
      </c>
      <c r="T43" s="40" t="s">
        <v>263</v>
      </c>
      <c r="U43" s="45">
        <v>50</v>
      </c>
      <c r="V43" s="40">
        <v>60</v>
      </c>
      <c r="W43" s="40"/>
      <c r="X43" s="45"/>
      <c r="Y43" s="48"/>
      <c r="Z43" s="50"/>
      <c r="AA43" s="50"/>
    </row>
    <row r="44" spans="1:27" ht="18" customHeight="1" collapsed="1">
      <c r="A44" s="704"/>
      <c r="B44" s="40" t="s">
        <v>256</v>
      </c>
      <c r="C44" s="40" t="s">
        <v>119</v>
      </c>
      <c r="D44" s="40" t="s">
        <v>254</v>
      </c>
      <c r="E44" s="40"/>
      <c r="F44" s="41">
        <v>20</v>
      </c>
      <c r="G44" s="41">
        <v>61</v>
      </c>
      <c r="H44" s="45"/>
      <c r="I44" s="41"/>
      <c r="J44" s="40"/>
      <c r="K44" s="40"/>
      <c r="L44" s="44">
        <v>39.25</v>
      </c>
      <c r="M44" s="40"/>
      <c r="N44" s="40"/>
      <c r="O44" s="45"/>
      <c r="P44" s="40"/>
      <c r="Q44" s="40"/>
      <c r="R44" s="40"/>
      <c r="S44" s="40"/>
      <c r="T44" s="40"/>
      <c r="U44" s="45"/>
      <c r="V44" s="40"/>
      <c r="W44" s="40"/>
      <c r="X44" s="45"/>
      <c r="Y44" s="48"/>
      <c r="Z44" s="50"/>
      <c r="AA44" s="50"/>
    </row>
    <row r="45" spans="1:27" ht="18" customHeight="1" collapsed="1">
      <c r="A45" s="704"/>
      <c r="B45" s="40" t="s">
        <v>255</v>
      </c>
      <c r="C45" s="40" t="s">
        <v>119</v>
      </c>
      <c r="D45" s="40" t="s">
        <v>254</v>
      </c>
      <c r="E45" s="40"/>
      <c r="F45" s="41">
        <v>22</v>
      </c>
      <c r="G45" s="41">
        <v>61.5</v>
      </c>
      <c r="H45" s="45"/>
      <c r="I45" s="41"/>
      <c r="J45" s="40"/>
      <c r="K45" s="40"/>
      <c r="L45" s="44">
        <v>38.75</v>
      </c>
      <c r="M45" s="40"/>
      <c r="N45" s="40"/>
      <c r="O45" s="45"/>
      <c r="P45" s="40"/>
      <c r="Q45" s="40"/>
      <c r="R45" s="40"/>
      <c r="S45" s="40"/>
      <c r="T45" s="40"/>
      <c r="U45" s="45"/>
      <c r="V45" s="40"/>
      <c r="W45" s="40"/>
      <c r="X45" s="45"/>
      <c r="Y45" s="48"/>
      <c r="Z45" s="50"/>
      <c r="AA45" s="50"/>
    </row>
    <row r="46" spans="1:27" ht="18" customHeight="1" collapsed="1">
      <c r="A46" s="704"/>
      <c r="B46" s="40" t="s">
        <v>94</v>
      </c>
      <c r="C46" s="40" t="s">
        <v>119</v>
      </c>
      <c r="D46" s="40" t="s">
        <v>237</v>
      </c>
      <c r="E46" s="40"/>
      <c r="F46" s="41">
        <v>24</v>
      </c>
      <c r="G46" s="41">
        <v>61.5</v>
      </c>
      <c r="H46" s="45"/>
      <c r="I46" s="41"/>
      <c r="J46" s="40"/>
      <c r="K46" s="40"/>
      <c r="L46" s="44">
        <v>38.5</v>
      </c>
      <c r="M46" s="40" t="s">
        <v>262</v>
      </c>
      <c r="N46" s="40" t="s">
        <v>113</v>
      </c>
      <c r="O46" s="45">
        <v>118</v>
      </c>
      <c r="P46" s="40"/>
      <c r="Q46" s="40" t="s">
        <v>260</v>
      </c>
      <c r="R46" s="40" t="s">
        <v>123</v>
      </c>
      <c r="S46" s="40" t="s">
        <v>168</v>
      </c>
      <c r="T46" s="40" t="s">
        <v>263</v>
      </c>
      <c r="U46" s="45">
        <v>50</v>
      </c>
      <c r="V46" s="40">
        <v>60</v>
      </c>
      <c r="W46" s="40"/>
      <c r="X46" s="45"/>
      <c r="Y46" s="48"/>
      <c r="Z46" s="50"/>
      <c r="AA46" s="50"/>
    </row>
    <row r="47" spans="1:27" ht="18" customHeight="1">
      <c r="A47" s="704"/>
      <c r="B47" s="53" t="s">
        <v>95</v>
      </c>
      <c r="C47" s="53" t="s">
        <v>119</v>
      </c>
      <c r="D47" s="53" t="s">
        <v>237</v>
      </c>
      <c r="E47" s="53">
        <v>2023</v>
      </c>
      <c r="F47" s="54">
        <v>27</v>
      </c>
      <c r="G47" s="54">
        <v>62</v>
      </c>
      <c r="H47" s="45"/>
      <c r="I47" s="41"/>
      <c r="J47" s="40"/>
      <c r="K47" s="40"/>
      <c r="L47" s="217">
        <v>38</v>
      </c>
      <c r="M47" s="40" t="s">
        <v>262</v>
      </c>
      <c r="N47" s="40" t="s">
        <v>113</v>
      </c>
      <c r="O47" s="45">
        <v>118</v>
      </c>
      <c r="P47" s="40"/>
      <c r="Q47" s="40" t="s">
        <v>260</v>
      </c>
      <c r="R47" s="40" t="s">
        <v>123</v>
      </c>
      <c r="S47" s="40" t="s">
        <v>168</v>
      </c>
      <c r="T47" s="40" t="s">
        <v>263</v>
      </c>
      <c r="U47" s="45">
        <v>50</v>
      </c>
      <c r="V47" s="40">
        <v>60</v>
      </c>
      <c r="W47" s="40"/>
      <c r="X47" s="45"/>
      <c r="Y47" s="48"/>
      <c r="Z47" s="50"/>
      <c r="AA47" s="50"/>
    </row>
    <row r="48" spans="1:27" ht="18" customHeight="1">
      <c r="A48" s="704"/>
      <c r="B48" s="53" t="s">
        <v>96</v>
      </c>
      <c r="C48" s="53" t="s">
        <v>119</v>
      </c>
      <c r="D48" s="53" t="s">
        <v>237</v>
      </c>
      <c r="E48" s="53">
        <v>2023</v>
      </c>
      <c r="F48" s="54">
        <v>30</v>
      </c>
      <c r="G48" s="54">
        <v>62.5</v>
      </c>
      <c r="H48" s="45"/>
      <c r="I48" s="41"/>
      <c r="J48" s="40"/>
      <c r="K48" s="40"/>
      <c r="L48" s="217">
        <v>37.5</v>
      </c>
      <c r="M48" s="40" t="s">
        <v>262</v>
      </c>
      <c r="N48" s="40" t="s">
        <v>113</v>
      </c>
      <c r="O48" s="45">
        <v>118</v>
      </c>
      <c r="P48" s="40"/>
      <c r="Q48" s="40" t="s">
        <v>260</v>
      </c>
      <c r="R48" s="40" t="s">
        <v>123</v>
      </c>
      <c r="S48" s="40" t="s">
        <v>168</v>
      </c>
      <c r="T48" s="40" t="s">
        <v>263</v>
      </c>
      <c r="U48" s="45">
        <v>50</v>
      </c>
      <c r="V48" s="40">
        <v>60</v>
      </c>
      <c r="W48" s="40"/>
      <c r="X48" s="45"/>
      <c r="Y48" s="48"/>
      <c r="Z48" s="50"/>
      <c r="AA48" s="50"/>
    </row>
    <row r="49" spans="1:27" ht="18" customHeight="1">
      <c r="A49" s="704"/>
      <c r="B49" s="53" t="s">
        <v>97</v>
      </c>
      <c r="C49" s="53" t="s">
        <v>119</v>
      </c>
      <c r="D49" s="53" t="s">
        <v>237</v>
      </c>
      <c r="E49" s="53">
        <v>2023</v>
      </c>
      <c r="F49" s="54">
        <v>34</v>
      </c>
      <c r="G49" s="54">
        <v>63</v>
      </c>
      <c r="H49" s="45"/>
      <c r="I49" s="41"/>
      <c r="J49" s="40"/>
      <c r="K49" s="40"/>
      <c r="L49" s="217">
        <v>37</v>
      </c>
      <c r="M49" s="40" t="s">
        <v>262</v>
      </c>
      <c r="N49" s="40" t="s">
        <v>113</v>
      </c>
      <c r="O49" s="45">
        <v>118</v>
      </c>
      <c r="P49" s="40"/>
      <c r="Q49" s="40" t="s">
        <v>260</v>
      </c>
      <c r="R49" s="40" t="s">
        <v>123</v>
      </c>
      <c r="S49" s="40" t="s">
        <v>168</v>
      </c>
      <c r="T49" s="40" t="s">
        <v>263</v>
      </c>
      <c r="U49" s="45">
        <v>50</v>
      </c>
      <c r="V49" s="40">
        <v>60</v>
      </c>
      <c r="W49" s="40"/>
      <c r="X49" s="45"/>
      <c r="Y49" s="48"/>
      <c r="Z49" s="50"/>
      <c r="AA49" s="50"/>
    </row>
    <row r="50" spans="1:27" ht="18" customHeight="1">
      <c r="A50" s="704"/>
      <c r="B50" s="53" t="s">
        <v>98</v>
      </c>
      <c r="C50" s="53" t="s">
        <v>119</v>
      </c>
      <c r="D50" s="53" t="s">
        <v>237</v>
      </c>
      <c r="E50" s="53">
        <v>2023</v>
      </c>
      <c r="F50" s="54">
        <v>38</v>
      </c>
      <c r="G50" s="54">
        <v>63.5</v>
      </c>
      <c r="H50" s="45"/>
      <c r="I50" s="41"/>
      <c r="J50" s="40"/>
      <c r="K50" s="40"/>
      <c r="L50" s="217">
        <v>36.5</v>
      </c>
      <c r="M50" s="40" t="s">
        <v>262</v>
      </c>
      <c r="N50" s="40" t="s">
        <v>113</v>
      </c>
      <c r="O50" s="45">
        <v>118</v>
      </c>
      <c r="P50" s="40"/>
      <c r="Q50" s="40" t="s">
        <v>260</v>
      </c>
      <c r="R50" s="40" t="s">
        <v>123</v>
      </c>
      <c r="S50" s="40" t="s">
        <v>168</v>
      </c>
      <c r="T50" s="40" t="s">
        <v>263</v>
      </c>
      <c r="U50" s="45">
        <v>50</v>
      </c>
      <c r="V50" s="40">
        <v>60</v>
      </c>
      <c r="W50" s="40"/>
      <c r="X50" s="45"/>
      <c r="Y50" s="48"/>
      <c r="Z50" s="50"/>
      <c r="AA50" s="50"/>
    </row>
    <row r="51" spans="1:27" ht="18" customHeight="1">
      <c r="A51" s="704"/>
      <c r="B51" s="53" t="s">
        <v>99</v>
      </c>
      <c r="C51" s="53" t="s">
        <v>119</v>
      </c>
      <c r="D51" s="53" t="s">
        <v>237</v>
      </c>
      <c r="E51" s="53">
        <v>2023</v>
      </c>
      <c r="F51" s="54">
        <v>42</v>
      </c>
      <c r="G51" s="54">
        <v>64</v>
      </c>
      <c r="H51" s="45"/>
      <c r="I51" s="41"/>
      <c r="J51" s="40"/>
      <c r="K51" s="40"/>
      <c r="L51" s="217">
        <v>36</v>
      </c>
      <c r="M51" s="40" t="s">
        <v>262</v>
      </c>
      <c r="N51" s="40" t="s">
        <v>113</v>
      </c>
      <c r="O51" s="45">
        <v>118</v>
      </c>
      <c r="P51" s="40"/>
      <c r="Q51" s="40" t="s">
        <v>260</v>
      </c>
      <c r="R51" s="40" t="s">
        <v>123</v>
      </c>
      <c r="S51" s="40" t="s">
        <v>168</v>
      </c>
      <c r="T51" s="40" t="s">
        <v>263</v>
      </c>
      <c r="U51" s="45">
        <v>50</v>
      </c>
      <c r="V51" s="40">
        <v>60</v>
      </c>
      <c r="W51" s="40"/>
      <c r="X51" s="45"/>
      <c r="Y51" s="48"/>
      <c r="Z51" s="50"/>
      <c r="AA51" s="50"/>
    </row>
    <row r="52" spans="1:27" ht="18" customHeight="1">
      <c r="A52" s="704"/>
      <c r="B52" s="40" t="s">
        <v>6</v>
      </c>
      <c r="C52" s="40" t="s">
        <v>119</v>
      </c>
      <c r="D52" s="40" t="s">
        <v>237</v>
      </c>
      <c r="E52" s="40"/>
      <c r="F52" s="41">
        <v>46</v>
      </c>
      <c r="G52" s="41">
        <v>64</v>
      </c>
      <c r="H52" s="45"/>
      <c r="I52" s="41"/>
      <c r="J52" s="40"/>
      <c r="K52" s="40"/>
      <c r="L52" s="44">
        <v>35.75</v>
      </c>
      <c r="M52" s="40" t="s">
        <v>262</v>
      </c>
      <c r="N52" s="40" t="s">
        <v>113</v>
      </c>
      <c r="O52" s="45">
        <v>118</v>
      </c>
      <c r="P52" s="40"/>
      <c r="Q52" s="40" t="s">
        <v>260</v>
      </c>
      <c r="R52" s="40" t="s">
        <v>123</v>
      </c>
      <c r="S52" s="40" t="s">
        <v>168</v>
      </c>
      <c r="T52" s="40" t="s">
        <v>263</v>
      </c>
      <c r="U52" s="45">
        <v>50</v>
      </c>
      <c r="V52" s="40">
        <v>60</v>
      </c>
      <c r="W52" s="40"/>
      <c r="X52" s="45"/>
      <c r="Y52" s="48"/>
      <c r="Z52" s="50"/>
      <c r="AA52" s="50"/>
    </row>
    <row r="53" spans="1:27" ht="18" customHeight="1" collapsed="1">
      <c r="A53" s="704"/>
      <c r="B53" s="40" t="s">
        <v>22</v>
      </c>
      <c r="C53" s="40" t="s">
        <v>119</v>
      </c>
      <c r="D53" s="40" t="s">
        <v>237</v>
      </c>
      <c r="E53" s="40"/>
      <c r="F53" s="41">
        <v>50</v>
      </c>
      <c r="G53" s="41">
        <v>64</v>
      </c>
      <c r="H53" s="45"/>
      <c r="I53" s="41"/>
      <c r="J53" s="40"/>
      <c r="K53" s="40"/>
      <c r="L53" s="44">
        <v>35.5</v>
      </c>
      <c r="M53" s="40" t="s">
        <v>262</v>
      </c>
      <c r="N53" s="40" t="s">
        <v>113</v>
      </c>
      <c r="O53" s="45">
        <v>118</v>
      </c>
      <c r="P53" s="40"/>
      <c r="Q53" s="40" t="s">
        <v>260</v>
      </c>
      <c r="R53" s="40" t="s">
        <v>123</v>
      </c>
      <c r="S53" s="40" t="s">
        <v>168</v>
      </c>
      <c r="T53" s="40" t="s">
        <v>263</v>
      </c>
      <c r="U53" s="45">
        <v>50</v>
      </c>
      <c r="V53" s="40">
        <v>60</v>
      </c>
      <c r="W53" s="40"/>
      <c r="X53" s="45"/>
      <c r="Y53" s="48"/>
      <c r="Z53" s="50"/>
      <c r="AA53" s="50"/>
    </row>
    <row r="54" spans="1:27" ht="18" customHeight="1">
      <c r="A54" s="704"/>
      <c r="B54" s="40" t="s">
        <v>6</v>
      </c>
      <c r="C54" s="40" t="s">
        <v>119</v>
      </c>
      <c r="D54" s="40" t="s">
        <v>240</v>
      </c>
      <c r="E54" s="40"/>
      <c r="F54" s="41" t="s">
        <v>241</v>
      </c>
      <c r="G54" s="41">
        <v>64</v>
      </c>
      <c r="H54" s="45"/>
      <c r="I54" s="49" t="s">
        <v>247</v>
      </c>
      <c r="J54" s="40"/>
      <c r="K54" s="40"/>
      <c r="L54" s="44">
        <v>35.75</v>
      </c>
      <c r="M54" s="40"/>
      <c r="N54" s="40"/>
      <c r="O54" s="45"/>
      <c r="P54" s="40"/>
      <c r="Q54" s="40"/>
      <c r="R54" s="40"/>
      <c r="S54" s="40"/>
      <c r="T54" s="40"/>
      <c r="U54" s="45"/>
      <c r="V54" s="40"/>
      <c r="W54" s="40"/>
      <c r="X54" s="45"/>
      <c r="Y54" s="48"/>
      <c r="Z54" s="50"/>
      <c r="AA54" s="50"/>
    </row>
    <row r="55" spans="1:27" ht="18" customHeight="1" collapsed="1">
      <c r="A55" s="704"/>
      <c r="B55" s="40" t="s">
        <v>22</v>
      </c>
      <c r="C55" s="40" t="s">
        <v>119</v>
      </c>
      <c r="D55" s="40" t="s">
        <v>240</v>
      </c>
      <c r="E55" s="40"/>
      <c r="F55" s="41" t="s">
        <v>242</v>
      </c>
      <c r="G55" s="41">
        <v>64</v>
      </c>
      <c r="H55" s="45"/>
      <c r="I55" s="49" t="s">
        <v>246</v>
      </c>
      <c r="J55" s="40"/>
      <c r="K55" s="40"/>
      <c r="L55" s="44">
        <v>35.5</v>
      </c>
      <c r="M55" s="40"/>
      <c r="N55" s="40"/>
      <c r="O55" s="45"/>
      <c r="P55" s="40"/>
      <c r="Q55" s="40"/>
      <c r="R55" s="40"/>
      <c r="S55" s="40"/>
      <c r="T55" s="40"/>
      <c r="U55" s="45"/>
      <c r="V55" s="40"/>
      <c r="W55" s="40"/>
      <c r="X55" s="45"/>
      <c r="Y55" s="48"/>
      <c r="Z55" s="50"/>
      <c r="AA55" s="50"/>
    </row>
    <row r="56" spans="1:27" ht="18" customHeight="1" collapsed="1">
      <c r="A56" s="704"/>
      <c r="B56" s="40" t="s">
        <v>100</v>
      </c>
      <c r="C56" s="40" t="s">
        <v>119</v>
      </c>
      <c r="D56" s="40" t="s">
        <v>240</v>
      </c>
      <c r="E56" s="40"/>
      <c r="F56" s="41" t="s">
        <v>244</v>
      </c>
      <c r="G56" s="41">
        <v>64</v>
      </c>
      <c r="H56" s="45"/>
      <c r="I56" s="41" t="s">
        <v>248</v>
      </c>
      <c r="J56" s="40"/>
      <c r="K56" s="40"/>
      <c r="L56" s="44">
        <v>35.25</v>
      </c>
      <c r="M56" s="40"/>
      <c r="N56" s="40"/>
      <c r="O56" s="45"/>
      <c r="P56" s="40"/>
      <c r="Q56" s="40"/>
      <c r="R56" s="40"/>
      <c r="S56" s="40"/>
      <c r="T56" s="40"/>
      <c r="U56" s="45"/>
      <c r="V56" s="40"/>
      <c r="W56" s="40"/>
      <c r="X56" s="45"/>
      <c r="Y56" s="48"/>
      <c r="Z56" s="50"/>
      <c r="AA56" s="50"/>
    </row>
    <row r="57" spans="1:27" ht="18" customHeight="1">
      <c r="A57" s="704"/>
      <c r="B57" s="40" t="s">
        <v>243</v>
      </c>
      <c r="C57" s="40" t="s">
        <v>119</v>
      </c>
      <c r="D57" s="40" t="s">
        <v>240</v>
      </c>
      <c r="E57" s="40"/>
      <c r="F57" s="41" t="s">
        <v>245</v>
      </c>
      <c r="G57" s="41">
        <v>64</v>
      </c>
      <c r="H57" s="45"/>
      <c r="I57" s="41" t="s">
        <v>249</v>
      </c>
      <c r="J57" s="40"/>
      <c r="K57" s="40"/>
      <c r="L57" s="44">
        <v>35</v>
      </c>
      <c r="M57" s="40"/>
      <c r="N57" s="40"/>
      <c r="O57" s="45"/>
      <c r="P57" s="40"/>
      <c r="Q57" s="40"/>
      <c r="R57" s="40"/>
      <c r="S57" s="40"/>
      <c r="T57" s="40"/>
      <c r="U57" s="45"/>
      <c r="V57" s="40"/>
      <c r="W57" s="40"/>
      <c r="X57" s="45"/>
      <c r="Y57" s="48"/>
      <c r="Z57" s="50"/>
      <c r="AA57" s="50"/>
    </row>
    <row r="58" spans="1:27" ht="18" customHeight="1">
      <c r="A58" s="25" t="s">
        <v>8</v>
      </c>
    </row>
    <row r="59" spans="1:27" ht="18.600000000000001" customHeight="1">
      <c r="A59" s="25" t="s">
        <v>8</v>
      </c>
      <c r="E59" s="3">
        <v>46</v>
      </c>
      <c r="F59" s="3" t="s">
        <v>269</v>
      </c>
      <c r="G59" s="3">
        <v>56</v>
      </c>
      <c r="H59" s="3">
        <v>60</v>
      </c>
    </row>
    <row r="60" spans="1:27" ht="18.600000000000001" customHeight="1">
      <c r="A60" s="25" t="s">
        <v>8</v>
      </c>
    </row>
    <row r="61" spans="1:27" ht="18.600000000000001" customHeight="1">
      <c r="A61" s="25" t="s">
        <v>8</v>
      </c>
      <c r="E61" s="3">
        <v>44</v>
      </c>
      <c r="F61" s="3" t="s">
        <v>264</v>
      </c>
      <c r="G61" s="3" t="s">
        <v>265</v>
      </c>
      <c r="H61" s="3" t="s">
        <v>268</v>
      </c>
    </row>
    <row r="62" spans="1:27" ht="18.600000000000001" customHeight="1">
      <c r="A62" s="25" t="s">
        <v>8</v>
      </c>
      <c r="E62" s="3">
        <v>44</v>
      </c>
      <c r="F62" s="3" t="s">
        <v>264</v>
      </c>
      <c r="G62" s="3" t="s">
        <v>265</v>
      </c>
      <c r="H62" s="3" t="s">
        <v>267</v>
      </c>
    </row>
    <row r="63" spans="1:27" ht="18.600000000000001" customHeight="1">
      <c r="A63" s="25" t="s">
        <v>8</v>
      </c>
      <c r="E63" s="3" t="s">
        <v>266</v>
      </c>
      <c r="F63" s="3" t="s">
        <v>264</v>
      </c>
      <c r="G63" s="3" t="s">
        <v>265</v>
      </c>
      <c r="H63" s="3" t="s">
        <v>267</v>
      </c>
    </row>
    <row r="64" spans="1:27" ht="18.600000000000001" customHeight="1">
      <c r="A64" s="25" t="s">
        <v>8</v>
      </c>
      <c r="E64" s="3" t="s">
        <v>266</v>
      </c>
      <c r="F64" s="3" t="s">
        <v>264</v>
      </c>
      <c r="G64" s="3" t="s">
        <v>265</v>
      </c>
      <c r="H64" s="3" t="s">
        <v>268</v>
      </c>
    </row>
    <row r="65" spans="1:12" ht="18.600000000000001" customHeight="1">
      <c r="A65" s="25" t="s">
        <v>8</v>
      </c>
    </row>
    <row r="66" spans="1:12" ht="18.600000000000001" customHeight="1">
      <c r="A66" s="25" t="s">
        <v>8</v>
      </c>
      <c r="C66" s="3">
        <v>36</v>
      </c>
      <c r="D66" s="3">
        <v>40</v>
      </c>
      <c r="E66" s="3">
        <v>44</v>
      </c>
      <c r="F66" s="3">
        <v>50</v>
      </c>
      <c r="G66" s="3">
        <v>56</v>
      </c>
      <c r="H66" s="3">
        <v>60</v>
      </c>
    </row>
    <row r="67" spans="1:12" ht="18.600000000000001" customHeight="1">
      <c r="A67" s="25" t="s">
        <v>8</v>
      </c>
      <c r="C67" s="3">
        <v>38</v>
      </c>
      <c r="D67" s="3">
        <v>42</v>
      </c>
      <c r="E67" s="3">
        <v>46</v>
      </c>
      <c r="F67" s="55" t="s">
        <v>270</v>
      </c>
      <c r="G67" s="3">
        <v>56</v>
      </c>
      <c r="H67" s="3">
        <v>60</v>
      </c>
    </row>
    <row r="68" spans="1:12" ht="18.600000000000001" customHeight="1">
      <c r="A68" s="25" t="s">
        <v>8</v>
      </c>
    </row>
    <row r="69" spans="1:12" ht="18.600000000000001" customHeight="1">
      <c r="A69" s="25" t="s">
        <v>8</v>
      </c>
    </row>
    <row r="70" spans="1:12" ht="18.600000000000001" customHeight="1">
      <c r="A70" s="25" t="s">
        <v>8</v>
      </c>
      <c r="C70" s="5"/>
      <c r="D70" s="5" t="s">
        <v>274</v>
      </c>
      <c r="E70" s="5"/>
      <c r="F70" s="5"/>
      <c r="G70" s="5"/>
      <c r="H70" s="5" t="s">
        <v>271</v>
      </c>
      <c r="I70" s="5"/>
      <c r="J70" s="5" t="s">
        <v>9</v>
      </c>
      <c r="K70" s="5"/>
      <c r="L70" s="5" t="s">
        <v>272</v>
      </c>
    </row>
    <row r="71" spans="1:12" ht="18.600000000000001" customHeight="1">
      <c r="A71" s="25" t="s">
        <v>8</v>
      </c>
      <c r="C71" s="5" t="s">
        <v>236</v>
      </c>
      <c r="D71" s="5"/>
      <c r="E71" s="5"/>
      <c r="F71" s="5"/>
      <c r="G71" s="5" t="s">
        <v>275</v>
      </c>
      <c r="H71" s="5"/>
      <c r="I71" s="5"/>
      <c r="J71" s="5" t="s">
        <v>9</v>
      </c>
      <c r="K71" s="5"/>
      <c r="L71" s="5" t="s">
        <v>272</v>
      </c>
    </row>
    <row r="72" spans="1:12" ht="18.600000000000001" customHeight="1">
      <c r="A72" s="25" t="s">
        <v>8</v>
      </c>
    </row>
    <row r="73" spans="1:12" ht="18.600000000000001" customHeight="1">
      <c r="A73" s="25" t="s">
        <v>8</v>
      </c>
    </row>
    <row r="74" spans="1:12" ht="18.600000000000001" customHeight="1">
      <c r="A74" s="25" t="s">
        <v>8</v>
      </c>
    </row>
    <row r="75" spans="1:12" ht="18.600000000000001" customHeight="1">
      <c r="A75" s="25" t="s">
        <v>8</v>
      </c>
    </row>
    <row r="76" spans="1:12" ht="18.600000000000001" customHeight="1">
      <c r="A76" s="25" t="s">
        <v>8</v>
      </c>
    </row>
    <row r="77" spans="1:12" ht="18.600000000000001" customHeight="1">
      <c r="A77" s="25" t="s">
        <v>8</v>
      </c>
    </row>
    <row r="78" spans="1:12" ht="18.600000000000001" customHeight="1">
      <c r="A78" s="25" t="s">
        <v>8</v>
      </c>
    </row>
    <row r="79" spans="1:12" ht="18.600000000000001" customHeight="1">
      <c r="A79" s="25" t="s">
        <v>8</v>
      </c>
    </row>
    <row r="80" spans="1:12" ht="18.600000000000001" customHeight="1">
      <c r="A80" s="25" t="s">
        <v>8</v>
      </c>
    </row>
    <row r="81" spans="1:1" ht="18.600000000000001" customHeight="1">
      <c r="A81" s="25" t="s">
        <v>8</v>
      </c>
    </row>
    <row r="82" spans="1:1" ht="18.600000000000001" customHeight="1">
      <c r="A82" s="25" t="s">
        <v>8</v>
      </c>
    </row>
    <row r="83" spans="1:1" ht="18.600000000000001" customHeight="1">
      <c r="A83" s="25" t="s">
        <v>8</v>
      </c>
    </row>
    <row r="84" spans="1:1" ht="18.600000000000001" customHeight="1">
      <c r="A84" s="25" t="s">
        <v>8</v>
      </c>
    </row>
    <row r="85" spans="1:1" ht="18.600000000000001" customHeight="1">
      <c r="A85" s="25" t="s">
        <v>8</v>
      </c>
    </row>
    <row r="86" spans="1:1" ht="18.600000000000001" customHeight="1">
      <c r="A86" s="25" t="s">
        <v>8</v>
      </c>
    </row>
    <row r="87" spans="1:1" ht="18.600000000000001" customHeight="1">
      <c r="A87" s="25" t="s">
        <v>8</v>
      </c>
    </row>
    <row r="88" spans="1:1" ht="18.600000000000001" customHeight="1">
      <c r="A88" s="25" t="s">
        <v>8</v>
      </c>
    </row>
    <row r="89" spans="1:1" ht="18.600000000000001" customHeight="1">
      <c r="A89" s="25" t="s">
        <v>8</v>
      </c>
    </row>
    <row r="90" spans="1:1" ht="18.600000000000001" customHeight="1">
      <c r="A90" s="25" t="s">
        <v>8</v>
      </c>
    </row>
    <row r="91" spans="1:1" ht="18.600000000000001" customHeight="1">
      <c r="A91" s="25" t="s">
        <v>8</v>
      </c>
    </row>
    <row r="92" spans="1:1" ht="18.600000000000001" customHeight="1">
      <c r="A92" s="25" t="s">
        <v>8</v>
      </c>
    </row>
    <row r="93" spans="1:1" ht="18.600000000000001" customHeight="1">
      <c r="A93" s="25" t="s">
        <v>8</v>
      </c>
    </row>
    <row r="94" spans="1:1" ht="18.600000000000001" customHeight="1">
      <c r="A94" s="25" t="s">
        <v>8</v>
      </c>
    </row>
    <row r="95" spans="1:1" ht="18.600000000000001" customHeight="1">
      <c r="A95" s="25" t="s">
        <v>8</v>
      </c>
    </row>
    <row r="96" spans="1:1" ht="18.600000000000001" customHeight="1">
      <c r="A96" s="25" t="s">
        <v>8</v>
      </c>
    </row>
    <row r="97" spans="1:1" ht="18.600000000000001" customHeight="1">
      <c r="A97" s="25" t="s">
        <v>8</v>
      </c>
    </row>
    <row r="98" spans="1:1" ht="18.600000000000001" customHeight="1">
      <c r="A98" s="25" t="s">
        <v>8</v>
      </c>
    </row>
    <row r="99" spans="1:1" ht="18.600000000000001" customHeight="1">
      <c r="A99" s="25" t="s">
        <v>8</v>
      </c>
    </row>
    <row r="100" spans="1:1" ht="18.600000000000001" customHeight="1">
      <c r="A100" s="25" t="s">
        <v>8</v>
      </c>
    </row>
    <row r="101" spans="1:1" ht="18.600000000000001" customHeight="1">
      <c r="A101" s="25" t="s">
        <v>8</v>
      </c>
    </row>
    <row r="102" spans="1:1" ht="18.600000000000001" customHeight="1">
      <c r="A102" s="25" t="s">
        <v>8</v>
      </c>
    </row>
    <row r="103" spans="1:1" ht="18.600000000000001" customHeight="1">
      <c r="A103" s="25" t="s">
        <v>8</v>
      </c>
    </row>
    <row r="104" spans="1:1" ht="18.600000000000001" customHeight="1">
      <c r="A104" s="25" t="s">
        <v>8</v>
      </c>
    </row>
    <row r="105" spans="1:1" ht="18.600000000000001" customHeight="1"/>
    <row r="106" spans="1:1" ht="18.600000000000001" customHeight="1"/>
    <row r="107" spans="1:1" ht="18.600000000000001" customHeight="1"/>
    <row r="108" spans="1:1" ht="18.600000000000001" customHeight="1"/>
    <row r="109" spans="1:1" ht="18.600000000000001" customHeight="1"/>
    <row r="110" spans="1:1" ht="18.600000000000001" customHeight="1"/>
  </sheetData>
  <autoFilter ref="A2:AC104" xr:uid="{00000000-0009-0000-0000-000007000000}"/>
  <mergeCells count="30">
    <mergeCell ref="A25:A40"/>
    <mergeCell ref="A42:A57"/>
    <mergeCell ref="A22:A23"/>
    <mergeCell ref="F1:K1"/>
    <mergeCell ref="A1:A2"/>
    <mergeCell ref="B1:B2"/>
    <mergeCell ref="C1:C2"/>
    <mergeCell ref="D1:D2"/>
    <mergeCell ref="A12:A17"/>
    <mergeCell ref="A18:A21"/>
    <mergeCell ref="A3:A5"/>
    <mergeCell ref="B3:B4"/>
    <mergeCell ref="C3:C4"/>
    <mergeCell ref="D3:D4"/>
    <mergeCell ref="E3:E4"/>
    <mergeCell ref="I3:I4"/>
    <mergeCell ref="Y1:AA1"/>
    <mergeCell ref="X1:X2"/>
    <mergeCell ref="A9:A11"/>
    <mergeCell ref="G3:G4"/>
    <mergeCell ref="S1:V1"/>
    <mergeCell ref="M1:R1"/>
    <mergeCell ref="L1:L2"/>
    <mergeCell ref="H3:H4"/>
    <mergeCell ref="W1:W2"/>
    <mergeCell ref="J3:J4"/>
    <mergeCell ref="K3:K4"/>
    <mergeCell ref="F3:F4"/>
    <mergeCell ref="A6:A7"/>
    <mergeCell ref="E1:E2"/>
  </mergeCells>
  <phoneticPr fontId="5" type="noConversion"/>
  <pageMargins left="0.7" right="0.7" top="0.75" bottom="0.75" header="0.3" footer="0.3"/>
  <pageSetup paperSize="9" scale="30" orientation="portrait" horizontalDpi="300" verticalDpi="1200" r:id="rId1"/>
  <headerFooter>
    <oddHeader>&amp;R&amp;"Aptos"&amp;13&amp;K000000 [ RESTRICTED ]&amp;1#_x000D_</oddHeader>
    <oddFooter>&amp;R_x000D_&amp;1#&amp;"Aptos"&amp;5&amp;K000000 [Secure Minds, Secure Finds] 본 문서는 현대건설㈜의 정보자산이므로 무단 전제 및 복제할 수 없으며, 이를 위반할 시에는 당사 사규 및 관련 법규에 의해 제지를 받을 수 있습니다.</oddFoot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43">
    <pageSetUpPr fitToPage="1"/>
  </sheetPr>
  <dimension ref="A1:AS281"/>
  <sheetViews>
    <sheetView zoomScale="85" zoomScaleNormal="85" workbookViewId="0">
      <pane xSplit="8" ySplit="1" topLeftCell="I227" activePane="bottomRight" state="frozen"/>
      <selection activeCell="E8" sqref="E8"/>
      <selection pane="topRight" activeCell="E8" sqref="E8"/>
      <selection pane="bottomLeft" activeCell="E8" sqref="E8"/>
      <selection pane="bottomRight" activeCell="L258" sqref="L258"/>
    </sheetView>
  </sheetViews>
  <sheetFormatPr defaultColWidth="8.75" defaultRowHeight="12"/>
  <cols>
    <col min="1" max="1" width="4.375" style="220" customWidth="1"/>
    <col min="2" max="2" width="10" style="220" customWidth="1"/>
    <col min="3" max="3" width="8.75" style="220"/>
    <col min="4" max="4" width="10" style="220" customWidth="1"/>
    <col min="5" max="5" width="12.75" style="220" customWidth="1"/>
    <col min="6" max="6" width="12.5" style="220" customWidth="1"/>
    <col min="7" max="7" width="8.75" style="220"/>
    <col min="8" max="8" width="8.75" style="220" customWidth="1"/>
    <col min="9" max="26" width="6.875" style="220" customWidth="1"/>
    <col min="27" max="36" width="8.75" style="220"/>
    <col min="37" max="37" width="8.75" style="220" customWidth="1"/>
    <col min="38" max="38" width="8.75" style="220"/>
    <col min="39" max="41" width="8.75" style="220" customWidth="1"/>
    <col min="42" max="42" width="8.75" style="220"/>
    <col min="43" max="44" width="8.75" style="220" customWidth="1"/>
    <col min="45" max="16384" width="8.75" style="220"/>
  </cols>
  <sheetData>
    <row r="1" spans="1:26" ht="14.45" customHeight="1">
      <c r="A1" s="219" t="s">
        <v>133</v>
      </c>
      <c r="B1" s="219" t="s">
        <v>132</v>
      </c>
      <c r="C1" s="219" t="s">
        <v>141</v>
      </c>
      <c r="D1" s="219" t="s">
        <v>134</v>
      </c>
      <c r="E1" s="219" t="s">
        <v>136</v>
      </c>
      <c r="F1" s="219" t="s">
        <v>135</v>
      </c>
      <c r="G1" s="219" t="s">
        <v>140</v>
      </c>
      <c r="H1" s="219" t="s">
        <v>67</v>
      </c>
      <c r="I1" s="219">
        <v>1</v>
      </c>
      <c r="J1" s="219">
        <v>2</v>
      </c>
      <c r="K1" s="219">
        <v>3</v>
      </c>
      <c r="L1" s="219">
        <v>4</v>
      </c>
      <c r="M1" s="219">
        <v>5</v>
      </c>
      <c r="N1" s="219">
        <v>6</v>
      </c>
      <c r="O1" s="219">
        <v>7</v>
      </c>
      <c r="P1" s="219">
        <v>8</v>
      </c>
      <c r="Q1" s="219">
        <v>9</v>
      </c>
      <c r="R1" s="219">
        <v>10</v>
      </c>
      <c r="S1" s="219">
        <v>11</v>
      </c>
      <c r="T1" s="219">
        <v>12</v>
      </c>
      <c r="U1" s="219">
        <v>13</v>
      </c>
      <c r="V1" s="219">
        <v>14</v>
      </c>
      <c r="W1" s="219">
        <v>15</v>
      </c>
      <c r="X1" s="219">
        <v>16</v>
      </c>
      <c r="Y1" s="219">
        <v>17</v>
      </c>
      <c r="Z1" s="219">
        <v>18</v>
      </c>
    </row>
    <row r="2" spans="1:26" ht="14.45" customHeight="1">
      <c r="A2" s="707">
        <v>1</v>
      </c>
      <c r="B2" s="710">
        <v>44596</v>
      </c>
      <c r="C2" s="714">
        <v>0.4145833333333333</v>
      </c>
      <c r="D2" s="727" t="s">
        <v>1837</v>
      </c>
      <c r="E2" s="727" t="s">
        <v>1838</v>
      </c>
      <c r="F2" s="728" t="s">
        <v>1839</v>
      </c>
      <c r="G2" s="221" t="s">
        <v>137</v>
      </c>
      <c r="H2" s="222">
        <f t="shared" ref="H2:H65" si="0">SUM(I2:Z2)</f>
        <v>72</v>
      </c>
      <c r="I2" s="222">
        <v>4</v>
      </c>
      <c r="J2" s="222">
        <v>4</v>
      </c>
      <c r="K2" s="222">
        <v>5</v>
      </c>
      <c r="L2" s="222">
        <v>3</v>
      </c>
      <c r="M2" s="222">
        <v>4</v>
      </c>
      <c r="N2" s="222">
        <v>5</v>
      </c>
      <c r="O2" s="222">
        <v>3</v>
      </c>
      <c r="P2" s="222">
        <v>4</v>
      </c>
      <c r="Q2" s="222">
        <v>4</v>
      </c>
      <c r="R2" s="222">
        <v>4</v>
      </c>
      <c r="S2" s="222">
        <v>4</v>
      </c>
      <c r="T2" s="222">
        <v>5</v>
      </c>
      <c r="U2" s="222">
        <v>4</v>
      </c>
      <c r="V2" s="222">
        <v>3</v>
      </c>
      <c r="W2" s="222">
        <v>4</v>
      </c>
      <c r="X2" s="222">
        <v>4</v>
      </c>
      <c r="Y2" s="222">
        <v>3</v>
      </c>
      <c r="Z2" s="223">
        <v>5</v>
      </c>
    </row>
    <row r="3" spans="1:26" ht="14.45" customHeight="1">
      <c r="A3" s="708"/>
      <c r="B3" s="711"/>
      <c r="C3" s="715"/>
      <c r="D3" s="712"/>
      <c r="E3" s="712"/>
      <c r="F3" s="729"/>
      <c r="G3" s="224" t="s">
        <v>160</v>
      </c>
      <c r="H3" s="225">
        <f t="shared" si="0"/>
        <v>5645</v>
      </c>
      <c r="I3" s="226">
        <v>315</v>
      </c>
      <c r="J3" s="226">
        <v>255</v>
      </c>
      <c r="K3" s="226">
        <v>470</v>
      </c>
      <c r="L3" s="226">
        <v>120</v>
      </c>
      <c r="M3" s="226">
        <v>320</v>
      </c>
      <c r="N3" s="226">
        <v>455</v>
      </c>
      <c r="O3" s="226">
        <v>135</v>
      </c>
      <c r="P3" s="226">
        <v>365</v>
      </c>
      <c r="Q3" s="226">
        <v>300</v>
      </c>
      <c r="R3" s="226">
        <v>295</v>
      </c>
      <c r="S3" s="226">
        <v>325</v>
      </c>
      <c r="T3" s="226">
        <v>450</v>
      </c>
      <c r="U3" s="226">
        <v>310</v>
      </c>
      <c r="V3" s="226">
        <v>185</v>
      </c>
      <c r="W3" s="226">
        <v>305</v>
      </c>
      <c r="X3" s="226">
        <v>375</v>
      </c>
      <c r="Y3" s="226">
        <v>160</v>
      </c>
      <c r="Z3" s="227">
        <v>505</v>
      </c>
    </row>
    <row r="4" spans="1:26" ht="14.45" customHeight="1">
      <c r="A4" s="708"/>
      <c r="B4" s="712"/>
      <c r="C4" s="715"/>
      <c r="D4" s="712"/>
      <c r="E4" s="712"/>
      <c r="F4" s="712"/>
      <c r="G4" s="224" t="s">
        <v>138</v>
      </c>
      <c r="H4" s="228" t="str">
        <f t="shared" ref="H4:H67" si="1">IF(I6="N/A","N/A",IF(COUNTIF(I4:Z4,"Y")/14=0,"N/A",COUNTIF(I4:Z4,"Y")/(COUNTIF(I4:Z4,"Y")+COUNTIF(I4:Z4,"N"))))</f>
        <v>N/A</v>
      </c>
      <c r="I4" s="226" t="s">
        <v>144</v>
      </c>
      <c r="J4" s="226" t="s">
        <v>144</v>
      </c>
      <c r="K4" s="226" t="s">
        <v>144</v>
      </c>
      <c r="L4" s="226" t="s">
        <v>144</v>
      </c>
      <c r="M4" s="226" t="s">
        <v>144</v>
      </c>
      <c r="N4" s="226" t="s">
        <v>144</v>
      </c>
      <c r="O4" s="226" t="s">
        <v>144</v>
      </c>
      <c r="P4" s="226" t="s">
        <v>144</v>
      </c>
      <c r="Q4" s="226" t="s">
        <v>144</v>
      </c>
      <c r="R4" s="226" t="s">
        <v>144</v>
      </c>
      <c r="S4" s="226" t="s">
        <v>144</v>
      </c>
      <c r="T4" s="226" t="s">
        <v>144</v>
      </c>
      <c r="U4" s="226" t="s">
        <v>144</v>
      </c>
      <c r="V4" s="226" t="s">
        <v>144</v>
      </c>
      <c r="W4" s="226" t="s">
        <v>144</v>
      </c>
      <c r="X4" s="226" t="s">
        <v>144</v>
      </c>
      <c r="Y4" s="226" t="s">
        <v>144</v>
      </c>
      <c r="Z4" s="227" t="s">
        <v>144</v>
      </c>
    </row>
    <row r="5" spans="1:26" ht="14.45" customHeight="1">
      <c r="A5" s="708"/>
      <c r="B5" s="712"/>
      <c r="C5" s="715"/>
      <c r="D5" s="712"/>
      <c r="E5" s="712"/>
      <c r="F5" s="712"/>
      <c r="G5" s="224" t="s">
        <v>145</v>
      </c>
      <c r="H5" s="228" t="str">
        <f t="shared" ref="H5" si="2">IFERROR(IF(I6="N/A","N/A",COUNTIF(I5:Z5,"Y")/(COUNTIF(I5:Z5,"Y")+COUNTIF(I5:Z5,"N"))),"N/A")</f>
        <v>N/A</v>
      </c>
      <c r="I5" s="226" t="s">
        <v>144</v>
      </c>
      <c r="J5" s="226" t="s">
        <v>144</v>
      </c>
      <c r="K5" s="226" t="s">
        <v>144</v>
      </c>
      <c r="L5" s="226" t="s">
        <v>144</v>
      </c>
      <c r="M5" s="226" t="s">
        <v>144</v>
      </c>
      <c r="N5" s="226" t="s">
        <v>144</v>
      </c>
      <c r="O5" s="226" t="s">
        <v>144</v>
      </c>
      <c r="P5" s="226" t="s">
        <v>144</v>
      </c>
      <c r="Q5" s="226" t="s">
        <v>144</v>
      </c>
      <c r="R5" s="226" t="s">
        <v>144</v>
      </c>
      <c r="S5" s="226" t="s">
        <v>144</v>
      </c>
      <c r="T5" s="226" t="s">
        <v>144</v>
      </c>
      <c r="U5" s="226" t="s">
        <v>144</v>
      </c>
      <c r="V5" s="226" t="s">
        <v>144</v>
      </c>
      <c r="W5" s="226" t="s">
        <v>144</v>
      </c>
      <c r="X5" s="226" t="s">
        <v>144</v>
      </c>
      <c r="Y5" s="226" t="s">
        <v>144</v>
      </c>
      <c r="Z5" s="227" t="s">
        <v>144</v>
      </c>
    </row>
    <row r="6" spans="1:26" ht="14.45" customHeight="1">
      <c r="A6" s="708"/>
      <c r="B6" s="712"/>
      <c r="C6" s="715"/>
      <c r="D6" s="712"/>
      <c r="E6" s="712"/>
      <c r="F6" s="712"/>
      <c r="G6" s="224" t="s">
        <v>139</v>
      </c>
      <c r="H6" s="226" t="str">
        <f t="shared" ref="H6:H69" si="3">IF(I6="N/A","N/A",SUM(I6:Z6))</f>
        <v>N/A</v>
      </c>
      <c r="I6" s="226" t="s">
        <v>142</v>
      </c>
      <c r="J6" s="226" t="s">
        <v>142</v>
      </c>
      <c r="K6" s="226" t="s">
        <v>142</v>
      </c>
      <c r="L6" s="226" t="s">
        <v>142</v>
      </c>
      <c r="M6" s="226" t="s">
        <v>142</v>
      </c>
      <c r="N6" s="226" t="s">
        <v>142</v>
      </c>
      <c r="O6" s="226" t="s">
        <v>142</v>
      </c>
      <c r="P6" s="226" t="s">
        <v>142</v>
      </c>
      <c r="Q6" s="226" t="s">
        <v>142</v>
      </c>
      <c r="R6" s="226" t="s">
        <v>142</v>
      </c>
      <c r="S6" s="226" t="s">
        <v>142</v>
      </c>
      <c r="T6" s="226" t="s">
        <v>142</v>
      </c>
      <c r="U6" s="226" t="s">
        <v>142</v>
      </c>
      <c r="V6" s="226" t="s">
        <v>142</v>
      </c>
      <c r="W6" s="226" t="s">
        <v>142</v>
      </c>
      <c r="X6" s="226" t="s">
        <v>142</v>
      </c>
      <c r="Y6" s="226" t="s">
        <v>142</v>
      </c>
      <c r="Z6" s="227" t="s">
        <v>142</v>
      </c>
    </row>
    <row r="7" spans="1:26" ht="14.45" customHeight="1">
      <c r="A7" s="708"/>
      <c r="B7" s="712"/>
      <c r="C7" s="715"/>
      <c r="D7" s="712"/>
      <c r="E7" s="712"/>
      <c r="F7" s="712"/>
      <c r="G7" s="224" t="s">
        <v>67</v>
      </c>
      <c r="H7" s="229">
        <f t="shared" ref="H7:H70" si="4">SUM(I7:Z7)</f>
        <v>114</v>
      </c>
      <c r="I7" s="226">
        <f>IF(I8="","",I2+I8)</f>
        <v>6</v>
      </c>
      <c r="J7" s="226">
        <f t="shared" ref="J7" si="5">IF(J8="","",J2+J8)</f>
        <v>7</v>
      </c>
      <c r="K7" s="226">
        <f t="shared" ref="K7" si="6">IF(K8="","",K2+K8)</f>
        <v>9</v>
      </c>
      <c r="L7" s="226">
        <f t="shared" ref="L7" si="7">IF(L8="","",L2+L8)</f>
        <v>5</v>
      </c>
      <c r="M7" s="226">
        <f t="shared" ref="M7" si="8">IF(M8="","",M2+M8)</f>
        <v>6</v>
      </c>
      <c r="N7" s="226">
        <f t="shared" ref="N7" si="9">IF(N8="","",N2+N8)</f>
        <v>10</v>
      </c>
      <c r="O7" s="226">
        <f t="shared" ref="O7" si="10">IF(O8="","",O2+O8)</f>
        <v>4</v>
      </c>
      <c r="P7" s="226">
        <f t="shared" ref="P7" si="11">IF(P8="","",P2+P8)</f>
        <v>6</v>
      </c>
      <c r="Q7" s="226">
        <f t="shared" ref="Q7" si="12">IF(Q8="","",Q2+Q8)</f>
        <v>6</v>
      </c>
      <c r="R7" s="226">
        <f t="shared" ref="R7" si="13">IF(R8="","",R2+R8)</f>
        <v>8</v>
      </c>
      <c r="S7" s="226">
        <f t="shared" ref="S7" si="14">IF(S8="","",S2+S8)</f>
        <v>6</v>
      </c>
      <c r="T7" s="226">
        <f t="shared" ref="T7" si="15">IF(T8="","",T2+T8)</f>
        <v>7</v>
      </c>
      <c r="U7" s="226">
        <f t="shared" ref="U7" si="16">IF(U8="","",U2+U8)</f>
        <v>5</v>
      </c>
      <c r="V7" s="226">
        <f t="shared" ref="V7" si="17">IF(V8="","",V2+V8)</f>
        <v>5</v>
      </c>
      <c r="W7" s="226">
        <f t="shared" ref="W7" si="18">IF(W8="","",W2+W8)</f>
        <v>5</v>
      </c>
      <c r="X7" s="226">
        <f t="shared" ref="X7" si="19">IF(X8="","",X2+X8)</f>
        <v>6</v>
      </c>
      <c r="Y7" s="226">
        <f t="shared" ref="Y7" si="20">IF(Y8="","",Y2+Y8)</f>
        <v>6</v>
      </c>
      <c r="Z7" s="227">
        <f t="shared" ref="Z7" si="21">IF(Z8="","",Z2+Z8)</f>
        <v>7</v>
      </c>
    </row>
    <row r="8" spans="1:26" ht="14.45" customHeight="1">
      <c r="A8" s="709"/>
      <c r="B8" s="713"/>
      <c r="C8" s="716"/>
      <c r="D8" s="713"/>
      <c r="E8" s="713"/>
      <c r="F8" s="713"/>
      <c r="G8" s="230" t="s">
        <v>143</v>
      </c>
      <c r="H8" s="231" t="str">
        <f t="shared" ref="H8:H71" si="22">IF(SUM(I8:Z8)&gt;0,"+"&amp;SUM(I8:Z8),SUM(I8:Z8))</f>
        <v>+42</v>
      </c>
      <c r="I8" s="231">
        <v>2</v>
      </c>
      <c r="J8" s="231">
        <v>3</v>
      </c>
      <c r="K8" s="231">
        <v>4</v>
      </c>
      <c r="L8" s="231">
        <v>2</v>
      </c>
      <c r="M8" s="231">
        <v>2</v>
      </c>
      <c r="N8" s="232">
        <v>5</v>
      </c>
      <c r="O8" s="233">
        <v>1</v>
      </c>
      <c r="P8" s="231">
        <v>2</v>
      </c>
      <c r="Q8" s="231">
        <v>2</v>
      </c>
      <c r="R8" s="232">
        <v>4</v>
      </c>
      <c r="S8" s="231">
        <v>2</v>
      </c>
      <c r="T8" s="231">
        <v>2</v>
      </c>
      <c r="U8" s="233">
        <v>1</v>
      </c>
      <c r="V8" s="231">
        <v>2</v>
      </c>
      <c r="W8" s="233">
        <v>1</v>
      </c>
      <c r="X8" s="231">
        <v>2</v>
      </c>
      <c r="Y8" s="231">
        <v>3</v>
      </c>
      <c r="Z8" s="234">
        <v>2</v>
      </c>
    </row>
    <row r="9" spans="1:26" ht="14.45" customHeight="1">
      <c r="A9" s="707">
        <v>2</v>
      </c>
      <c r="B9" s="710">
        <v>44694</v>
      </c>
      <c r="C9" s="714">
        <v>0.30624999999999997</v>
      </c>
      <c r="D9" s="727" t="s">
        <v>152</v>
      </c>
      <c r="E9" s="727" t="s">
        <v>1840</v>
      </c>
      <c r="F9" s="728" t="s">
        <v>1841</v>
      </c>
      <c r="G9" s="221" t="s">
        <v>137</v>
      </c>
      <c r="H9" s="222">
        <f t="shared" si="0"/>
        <v>72</v>
      </c>
      <c r="I9" s="222">
        <v>4</v>
      </c>
      <c r="J9" s="222">
        <v>5</v>
      </c>
      <c r="K9" s="222">
        <v>4</v>
      </c>
      <c r="L9" s="222">
        <v>4</v>
      </c>
      <c r="M9" s="222">
        <v>3</v>
      </c>
      <c r="N9" s="222">
        <v>4</v>
      </c>
      <c r="O9" s="222">
        <v>4</v>
      </c>
      <c r="P9" s="222">
        <v>3</v>
      </c>
      <c r="Q9" s="222">
        <v>5</v>
      </c>
      <c r="R9" s="222">
        <v>5</v>
      </c>
      <c r="S9" s="222">
        <v>4</v>
      </c>
      <c r="T9" s="222">
        <v>3</v>
      </c>
      <c r="U9" s="222">
        <v>4</v>
      </c>
      <c r="V9" s="222">
        <v>4</v>
      </c>
      <c r="W9" s="222">
        <v>3</v>
      </c>
      <c r="X9" s="222">
        <v>4</v>
      </c>
      <c r="Y9" s="222">
        <v>4</v>
      </c>
      <c r="Z9" s="223">
        <v>5</v>
      </c>
    </row>
    <row r="10" spans="1:26" ht="14.45" customHeight="1">
      <c r="A10" s="708"/>
      <c r="B10" s="711"/>
      <c r="C10" s="715"/>
      <c r="D10" s="712"/>
      <c r="E10" s="712"/>
      <c r="F10" s="729"/>
      <c r="G10" s="224" t="s">
        <v>160</v>
      </c>
      <c r="H10" s="225">
        <f t="shared" si="0"/>
        <v>5299</v>
      </c>
      <c r="I10" s="226">
        <v>330</v>
      </c>
      <c r="J10" s="226">
        <v>403</v>
      </c>
      <c r="K10" s="226">
        <v>307</v>
      </c>
      <c r="L10" s="226">
        <v>308</v>
      </c>
      <c r="M10" s="226">
        <v>131</v>
      </c>
      <c r="N10" s="226">
        <v>292</v>
      </c>
      <c r="O10" s="226">
        <v>336</v>
      </c>
      <c r="P10" s="226">
        <v>119</v>
      </c>
      <c r="Q10" s="226">
        <v>427</v>
      </c>
      <c r="R10" s="226">
        <v>486</v>
      </c>
      <c r="S10" s="226">
        <v>291</v>
      </c>
      <c r="T10" s="226">
        <v>127</v>
      </c>
      <c r="U10" s="226">
        <v>306</v>
      </c>
      <c r="V10" s="226">
        <v>284</v>
      </c>
      <c r="W10" s="226">
        <v>153</v>
      </c>
      <c r="X10" s="226">
        <v>281</v>
      </c>
      <c r="Y10" s="226">
        <v>297</v>
      </c>
      <c r="Z10" s="227">
        <v>421</v>
      </c>
    </row>
    <row r="11" spans="1:26" ht="14.45" customHeight="1">
      <c r="A11" s="708"/>
      <c r="B11" s="712"/>
      <c r="C11" s="715"/>
      <c r="D11" s="712"/>
      <c r="E11" s="712"/>
      <c r="F11" s="712"/>
      <c r="G11" s="224" t="s">
        <v>138</v>
      </c>
      <c r="H11" s="228" t="str">
        <f t="shared" si="1"/>
        <v>N/A</v>
      </c>
      <c r="I11" s="226" t="s">
        <v>7</v>
      </c>
      <c r="J11" s="226" t="s">
        <v>7</v>
      </c>
      <c r="K11" s="226" t="s">
        <v>7</v>
      </c>
      <c r="L11" s="226" t="s">
        <v>7</v>
      </c>
      <c r="M11" s="226" t="s">
        <v>7</v>
      </c>
      <c r="N11" s="226" t="s">
        <v>7</v>
      </c>
      <c r="O11" s="226" t="s">
        <v>7</v>
      </c>
      <c r="P11" s="226" t="s">
        <v>7</v>
      </c>
      <c r="Q11" s="226" t="s">
        <v>7</v>
      </c>
      <c r="R11" s="226" t="s">
        <v>7</v>
      </c>
      <c r="S11" s="226" t="s">
        <v>7</v>
      </c>
      <c r="T11" s="226" t="s">
        <v>7</v>
      </c>
      <c r="U11" s="226" t="s">
        <v>7</v>
      </c>
      <c r="V11" s="226" t="s">
        <v>7</v>
      </c>
      <c r="W11" s="226" t="s">
        <v>7</v>
      </c>
      <c r="X11" s="226" t="s">
        <v>7</v>
      </c>
      <c r="Y11" s="226" t="s">
        <v>7</v>
      </c>
      <c r="Z11" s="227" t="s">
        <v>7</v>
      </c>
    </row>
    <row r="12" spans="1:26" ht="14.45" customHeight="1">
      <c r="A12" s="708"/>
      <c r="B12" s="712"/>
      <c r="C12" s="715"/>
      <c r="D12" s="712"/>
      <c r="E12" s="712"/>
      <c r="F12" s="712"/>
      <c r="G12" s="224" t="s">
        <v>145</v>
      </c>
      <c r="H12" s="228" t="str">
        <f t="shared" ref="H12" si="23">IFERROR(IF(I13="N/A","N/A",COUNTIF(I12:Z12,"Y")/(COUNTIF(I12:Z12,"Y")+COUNTIF(I12:Z12,"N"))),"N/A")</f>
        <v>N/A</v>
      </c>
      <c r="I12" s="226" t="s">
        <v>7</v>
      </c>
      <c r="J12" s="226" t="s">
        <v>7</v>
      </c>
      <c r="K12" s="226" t="s">
        <v>7</v>
      </c>
      <c r="L12" s="226" t="s">
        <v>7</v>
      </c>
      <c r="M12" s="226" t="s">
        <v>7</v>
      </c>
      <c r="N12" s="226" t="s">
        <v>7</v>
      </c>
      <c r="O12" s="226" t="s">
        <v>7</v>
      </c>
      <c r="P12" s="226" t="s">
        <v>7</v>
      </c>
      <c r="Q12" s="226" t="s">
        <v>7</v>
      </c>
      <c r="R12" s="226" t="s">
        <v>7</v>
      </c>
      <c r="S12" s="226" t="s">
        <v>7</v>
      </c>
      <c r="T12" s="226" t="s">
        <v>7</v>
      </c>
      <c r="U12" s="226" t="s">
        <v>7</v>
      </c>
      <c r="V12" s="226" t="s">
        <v>7</v>
      </c>
      <c r="W12" s="226" t="s">
        <v>7</v>
      </c>
      <c r="X12" s="226" t="s">
        <v>7</v>
      </c>
      <c r="Y12" s="226" t="s">
        <v>7</v>
      </c>
      <c r="Z12" s="227" t="s">
        <v>7</v>
      </c>
    </row>
    <row r="13" spans="1:26" ht="14.45" customHeight="1">
      <c r="A13" s="708"/>
      <c r="B13" s="712"/>
      <c r="C13" s="715"/>
      <c r="D13" s="712"/>
      <c r="E13" s="712"/>
      <c r="F13" s="712"/>
      <c r="G13" s="224" t="s">
        <v>139</v>
      </c>
      <c r="H13" s="226" t="str">
        <f t="shared" si="3"/>
        <v>N/A</v>
      </c>
      <c r="I13" s="226" t="s">
        <v>5</v>
      </c>
      <c r="J13" s="226" t="s">
        <v>5</v>
      </c>
      <c r="K13" s="226" t="s">
        <v>5</v>
      </c>
      <c r="L13" s="226" t="s">
        <v>5</v>
      </c>
      <c r="M13" s="226" t="s">
        <v>5</v>
      </c>
      <c r="N13" s="226" t="s">
        <v>5</v>
      </c>
      <c r="O13" s="226" t="s">
        <v>5</v>
      </c>
      <c r="P13" s="226" t="s">
        <v>5</v>
      </c>
      <c r="Q13" s="226" t="s">
        <v>5</v>
      </c>
      <c r="R13" s="226" t="s">
        <v>5</v>
      </c>
      <c r="S13" s="226" t="s">
        <v>5</v>
      </c>
      <c r="T13" s="226" t="s">
        <v>5</v>
      </c>
      <c r="U13" s="226" t="s">
        <v>5</v>
      </c>
      <c r="V13" s="226" t="s">
        <v>5</v>
      </c>
      <c r="W13" s="226" t="s">
        <v>5</v>
      </c>
      <c r="X13" s="226" t="s">
        <v>5</v>
      </c>
      <c r="Y13" s="226" t="s">
        <v>5</v>
      </c>
      <c r="Z13" s="227" t="s">
        <v>5</v>
      </c>
    </row>
    <row r="14" spans="1:26" ht="14.45" customHeight="1">
      <c r="A14" s="708"/>
      <c r="B14" s="712"/>
      <c r="C14" s="715"/>
      <c r="D14" s="712"/>
      <c r="E14" s="712"/>
      <c r="F14" s="712"/>
      <c r="G14" s="224" t="s">
        <v>67</v>
      </c>
      <c r="H14" s="229">
        <f t="shared" si="4"/>
        <v>107</v>
      </c>
      <c r="I14" s="226">
        <f>IF(I15="","",I9+I15)</f>
        <v>8</v>
      </c>
      <c r="J14" s="226">
        <f t="shared" ref="J14" si="24">IF(J15="","",J9+J15)</f>
        <v>5</v>
      </c>
      <c r="K14" s="226">
        <f t="shared" ref="K14" si="25">IF(K15="","",K9+K15)</f>
        <v>6</v>
      </c>
      <c r="L14" s="226">
        <f t="shared" ref="L14" si="26">IF(L15="","",L9+L15)</f>
        <v>6</v>
      </c>
      <c r="M14" s="226">
        <f t="shared" ref="M14" si="27">IF(M15="","",M9+M15)</f>
        <v>5</v>
      </c>
      <c r="N14" s="226">
        <f t="shared" ref="N14" si="28">IF(N15="","",N9+N15)</f>
        <v>6</v>
      </c>
      <c r="O14" s="226">
        <f t="shared" ref="O14" si="29">IF(O15="","",O9+O15)</f>
        <v>6</v>
      </c>
      <c r="P14" s="226">
        <f t="shared" ref="P14" si="30">IF(P15="","",P9+P15)</f>
        <v>5</v>
      </c>
      <c r="Q14" s="226">
        <f t="shared" ref="Q14" si="31">IF(Q15="","",Q9+Q15)</f>
        <v>6</v>
      </c>
      <c r="R14" s="226">
        <f t="shared" ref="R14" si="32">IF(R15="","",R9+R15)</f>
        <v>9</v>
      </c>
      <c r="S14" s="226">
        <f t="shared" ref="S14" si="33">IF(S15="","",S9+S15)</f>
        <v>6</v>
      </c>
      <c r="T14" s="226">
        <f t="shared" ref="T14" si="34">IF(T15="","",T9+T15)</f>
        <v>5</v>
      </c>
      <c r="U14" s="226">
        <f t="shared" ref="U14" si="35">IF(U15="","",U9+U15)</f>
        <v>6</v>
      </c>
      <c r="V14" s="226">
        <f t="shared" ref="V14" si="36">IF(V15="","",V9+V15)</f>
        <v>7</v>
      </c>
      <c r="W14" s="226">
        <f t="shared" ref="W14" si="37">IF(W15="","",W9+W15)</f>
        <v>3</v>
      </c>
      <c r="X14" s="226">
        <f t="shared" ref="X14" si="38">IF(X15="","",X9+X15)</f>
        <v>4</v>
      </c>
      <c r="Y14" s="226">
        <f t="shared" ref="Y14" si="39">IF(Y15="","",Y9+Y15)</f>
        <v>6</v>
      </c>
      <c r="Z14" s="227">
        <f t="shared" ref="Z14" si="40">IF(Z15="","",Z9+Z15)</f>
        <v>8</v>
      </c>
    </row>
    <row r="15" spans="1:26" ht="14.45" customHeight="1">
      <c r="A15" s="709"/>
      <c r="B15" s="713"/>
      <c r="C15" s="716"/>
      <c r="D15" s="713"/>
      <c r="E15" s="713"/>
      <c r="F15" s="713"/>
      <c r="G15" s="230" t="s">
        <v>143</v>
      </c>
      <c r="H15" s="231" t="str">
        <f t="shared" si="22"/>
        <v>+35</v>
      </c>
      <c r="I15" s="232">
        <v>4</v>
      </c>
      <c r="J15" s="235">
        <v>0</v>
      </c>
      <c r="K15" s="231">
        <v>2</v>
      </c>
      <c r="L15" s="231">
        <v>2</v>
      </c>
      <c r="M15" s="231">
        <v>2</v>
      </c>
      <c r="N15" s="231">
        <v>2</v>
      </c>
      <c r="O15" s="231">
        <v>2</v>
      </c>
      <c r="P15" s="231">
        <v>2</v>
      </c>
      <c r="Q15" s="233">
        <v>1</v>
      </c>
      <c r="R15" s="231">
        <v>4</v>
      </c>
      <c r="S15" s="231">
        <v>2</v>
      </c>
      <c r="T15" s="231">
        <v>2</v>
      </c>
      <c r="U15" s="231">
        <v>2</v>
      </c>
      <c r="V15" s="231">
        <v>3</v>
      </c>
      <c r="W15" s="235">
        <v>0</v>
      </c>
      <c r="X15" s="235">
        <v>0</v>
      </c>
      <c r="Y15" s="231">
        <v>2</v>
      </c>
      <c r="Z15" s="234">
        <v>3</v>
      </c>
    </row>
    <row r="16" spans="1:26" ht="14.45" customHeight="1">
      <c r="A16" s="707">
        <v>3</v>
      </c>
      <c r="B16" s="710">
        <v>44730</v>
      </c>
      <c r="C16" s="714">
        <v>0.2951388888888889</v>
      </c>
      <c r="D16" s="727" t="s">
        <v>150</v>
      </c>
      <c r="E16" s="727" t="s">
        <v>1842</v>
      </c>
      <c r="F16" s="728" t="s">
        <v>1843</v>
      </c>
      <c r="G16" s="221" t="s">
        <v>137</v>
      </c>
      <c r="H16" s="222">
        <f t="shared" si="0"/>
        <v>72</v>
      </c>
      <c r="I16" s="222">
        <v>4</v>
      </c>
      <c r="J16" s="222">
        <v>4</v>
      </c>
      <c r="K16" s="222">
        <v>5</v>
      </c>
      <c r="L16" s="222">
        <v>4</v>
      </c>
      <c r="M16" s="222">
        <v>4</v>
      </c>
      <c r="N16" s="222">
        <v>3</v>
      </c>
      <c r="O16" s="222">
        <v>5</v>
      </c>
      <c r="P16" s="222">
        <v>3</v>
      </c>
      <c r="Q16" s="222">
        <v>4</v>
      </c>
      <c r="R16" s="222">
        <v>4</v>
      </c>
      <c r="S16" s="222">
        <v>4</v>
      </c>
      <c r="T16" s="222">
        <v>3</v>
      </c>
      <c r="U16" s="222">
        <v>5</v>
      </c>
      <c r="V16" s="222">
        <v>4</v>
      </c>
      <c r="W16" s="222">
        <v>3</v>
      </c>
      <c r="X16" s="222">
        <v>4</v>
      </c>
      <c r="Y16" s="222">
        <v>5</v>
      </c>
      <c r="Z16" s="223">
        <v>4</v>
      </c>
    </row>
    <row r="17" spans="1:26" ht="14.45" customHeight="1">
      <c r="A17" s="708"/>
      <c r="B17" s="711"/>
      <c r="C17" s="715"/>
      <c r="D17" s="712"/>
      <c r="E17" s="712"/>
      <c r="F17" s="729"/>
      <c r="G17" s="224" t="s">
        <v>160</v>
      </c>
      <c r="H17" s="225">
        <f t="shared" si="0"/>
        <v>5578</v>
      </c>
      <c r="I17" s="226">
        <v>343</v>
      </c>
      <c r="J17" s="226">
        <v>320</v>
      </c>
      <c r="K17" s="226">
        <v>448</v>
      </c>
      <c r="L17" s="226">
        <v>305</v>
      </c>
      <c r="M17" s="226">
        <v>342</v>
      </c>
      <c r="N17" s="226">
        <v>160</v>
      </c>
      <c r="O17" s="226">
        <v>425</v>
      </c>
      <c r="P17" s="226">
        <v>143</v>
      </c>
      <c r="Q17" s="226">
        <v>360</v>
      </c>
      <c r="R17" s="226">
        <v>306</v>
      </c>
      <c r="S17" s="226">
        <v>262</v>
      </c>
      <c r="T17" s="226">
        <v>132</v>
      </c>
      <c r="U17" s="226">
        <v>479</v>
      </c>
      <c r="V17" s="226">
        <v>309</v>
      </c>
      <c r="W17" s="226">
        <v>145</v>
      </c>
      <c r="X17" s="226">
        <v>305</v>
      </c>
      <c r="Y17" s="226">
        <v>465</v>
      </c>
      <c r="Z17" s="227">
        <v>329</v>
      </c>
    </row>
    <row r="18" spans="1:26" ht="14.45" customHeight="1">
      <c r="A18" s="708"/>
      <c r="B18" s="712"/>
      <c r="C18" s="715"/>
      <c r="D18" s="712"/>
      <c r="E18" s="712"/>
      <c r="F18" s="712"/>
      <c r="G18" s="224" t="s">
        <v>138</v>
      </c>
      <c r="H18" s="228" t="str">
        <f t="shared" si="1"/>
        <v>N/A</v>
      </c>
      <c r="I18" s="226" t="s">
        <v>7</v>
      </c>
      <c r="J18" s="226" t="s">
        <v>7</v>
      </c>
      <c r="K18" s="226" t="s">
        <v>7</v>
      </c>
      <c r="L18" s="226" t="s">
        <v>7</v>
      </c>
      <c r="M18" s="226" t="s">
        <v>7</v>
      </c>
      <c r="N18" s="226" t="s">
        <v>7</v>
      </c>
      <c r="O18" s="226" t="s">
        <v>7</v>
      </c>
      <c r="P18" s="226" t="s">
        <v>7</v>
      </c>
      <c r="Q18" s="226" t="s">
        <v>7</v>
      </c>
      <c r="R18" s="226" t="s">
        <v>7</v>
      </c>
      <c r="S18" s="226" t="s">
        <v>7</v>
      </c>
      <c r="T18" s="226" t="s">
        <v>7</v>
      </c>
      <c r="U18" s="226" t="s">
        <v>7</v>
      </c>
      <c r="V18" s="226" t="s">
        <v>7</v>
      </c>
      <c r="W18" s="226" t="s">
        <v>7</v>
      </c>
      <c r="X18" s="226" t="s">
        <v>7</v>
      </c>
      <c r="Y18" s="226" t="s">
        <v>7</v>
      </c>
      <c r="Z18" s="227" t="s">
        <v>7</v>
      </c>
    </row>
    <row r="19" spans="1:26" ht="14.45" customHeight="1">
      <c r="A19" s="708"/>
      <c r="B19" s="712"/>
      <c r="C19" s="715"/>
      <c r="D19" s="712"/>
      <c r="E19" s="712"/>
      <c r="F19" s="712"/>
      <c r="G19" s="224" t="s">
        <v>145</v>
      </c>
      <c r="H19" s="228" t="str">
        <f t="shared" ref="H19" si="41">IFERROR(IF(I20="N/A","N/A",COUNTIF(I19:Z19,"Y")/(COUNTIF(I19:Z19,"Y")+COUNTIF(I19:Z19,"N"))),"N/A")</f>
        <v>N/A</v>
      </c>
      <c r="I19" s="226" t="s">
        <v>7</v>
      </c>
      <c r="J19" s="226" t="s">
        <v>7</v>
      </c>
      <c r="K19" s="226" t="s">
        <v>7</v>
      </c>
      <c r="L19" s="226" t="s">
        <v>7</v>
      </c>
      <c r="M19" s="226" t="s">
        <v>7</v>
      </c>
      <c r="N19" s="226" t="s">
        <v>7</v>
      </c>
      <c r="O19" s="226" t="s">
        <v>7</v>
      </c>
      <c r="P19" s="226" t="s">
        <v>7</v>
      </c>
      <c r="Q19" s="226" t="s">
        <v>7</v>
      </c>
      <c r="R19" s="226" t="s">
        <v>7</v>
      </c>
      <c r="S19" s="226" t="s">
        <v>7</v>
      </c>
      <c r="T19" s="226" t="s">
        <v>7</v>
      </c>
      <c r="U19" s="226" t="s">
        <v>7</v>
      </c>
      <c r="V19" s="226" t="s">
        <v>7</v>
      </c>
      <c r="W19" s="226" t="s">
        <v>7</v>
      </c>
      <c r="X19" s="226" t="s">
        <v>7</v>
      </c>
      <c r="Y19" s="226" t="s">
        <v>7</v>
      </c>
      <c r="Z19" s="227" t="s">
        <v>7</v>
      </c>
    </row>
    <row r="20" spans="1:26" ht="14.45" customHeight="1">
      <c r="A20" s="708"/>
      <c r="B20" s="712"/>
      <c r="C20" s="715"/>
      <c r="D20" s="712"/>
      <c r="E20" s="712"/>
      <c r="F20" s="712"/>
      <c r="G20" s="224" t="s">
        <v>139</v>
      </c>
      <c r="H20" s="226" t="str">
        <f t="shared" si="3"/>
        <v>N/A</v>
      </c>
      <c r="I20" s="226" t="s">
        <v>5</v>
      </c>
      <c r="J20" s="226" t="s">
        <v>5</v>
      </c>
      <c r="K20" s="226" t="s">
        <v>5</v>
      </c>
      <c r="L20" s="226" t="s">
        <v>5</v>
      </c>
      <c r="M20" s="226" t="s">
        <v>5</v>
      </c>
      <c r="N20" s="226" t="s">
        <v>5</v>
      </c>
      <c r="O20" s="226" t="s">
        <v>5</v>
      </c>
      <c r="P20" s="226" t="s">
        <v>5</v>
      </c>
      <c r="Q20" s="226" t="s">
        <v>5</v>
      </c>
      <c r="R20" s="226" t="s">
        <v>5</v>
      </c>
      <c r="S20" s="226" t="s">
        <v>5</v>
      </c>
      <c r="T20" s="226" t="s">
        <v>5</v>
      </c>
      <c r="U20" s="226" t="s">
        <v>5</v>
      </c>
      <c r="V20" s="226" t="s">
        <v>5</v>
      </c>
      <c r="W20" s="226" t="s">
        <v>5</v>
      </c>
      <c r="X20" s="226" t="s">
        <v>5</v>
      </c>
      <c r="Y20" s="226" t="s">
        <v>5</v>
      </c>
      <c r="Z20" s="227" t="s">
        <v>5</v>
      </c>
    </row>
    <row r="21" spans="1:26" ht="14.45" customHeight="1">
      <c r="A21" s="708"/>
      <c r="B21" s="712"/>
      <c r="C21" s="715"/>
      <c r="D21" s="712"/>
      <c r="E21" s="712"/>
      <c r="F21" s="712"/>
      <c r="G21" s="224" t="s">
        <v>67</v>
      </c>
      <c r="H21" s="229">
        <f t="shared" si="4"/>
        <v>108</v>
      </c>
      <c r="I21" s="226">
        <f>IF(I22="","",I16+I22)</f>
        <v>5</v>
      </c>
      <c r="J21" s="226">
        <f t="shared" ref="J21" si="42">IF(J22="","",J16+J22)</f>
        <v>6</v>
      </c>
      <c r="K21" s="226">
        <f t="shared" ref="K21" si="43">IF(K22="","",K16+K22)</f>
        <v>7</v>
      </c>
      <c r="L21" s="226">
        <f t="shared" ref="L21" si="44">IF(L22="","",L16+L22)</f>
        <v>5</v>
      </c>
      <c r="M21" s="226">
        <f t="shared" ref="M21" si="45">IF(M22="","",M16+M22)</f>
        <v>7</v>
      </c>
      <c r="N21" s="226">
        <f t="shared" ref="N21" si="46">IF(N22="","",N16+N22)</f>
        <v>5</v>
      </c>
      <c r="O21" s="226">
        <f t="shared" ref="O21" si="47">IF(O22="","",O16+O22)</f>
        <v>8</v>
      </c>
      <c r="P21" s="226">
        <f t="shared" ref="P21" si="48">IF(P22="","",P16+P22)</f>
        <v>4</v>
      </c>
      <c r="Q21" s="226">
        <f t="shared" ref="Q21" si="49">IF(Q22="","",Q16+Q22)</f>
        <v>6</v>
      </c>
      <c r="R21" s="226">
        <f t="shared" ref="R21" si="50">IF(R22="","",R16+R22)</f>
        <v>8</v>
      </c>
      <c r="S21" s="226">
        <f t="shared" ref="S21" si="51">IF(S22="","",S16+S22)</f>
        <v>7</v>
      </c>
      <c r="T21" s="226">
        <f t="shared" ref="T21" si="52">IF(T22="","",T16+T22)</f>
        <v>6</v>
      </c>
      <c r="U21" s="226">
        <f t="shared" ref="U21" si="53">IF(U22="","",U16+U22)</f>
        <v>7</v>
      </c>
      <c r="V21" s="226">
        <f t="shared" ref="V21" si="54">IF(V22="","",V16+V22)</f>
        <v>6</v>
      </c>
      <c r="W21" s="226">
        <f t="shared" ref="W21" si="55">IF(W22="","",W16+W22)</f>
        <v>5</v>
      </c>
      <c r="X21" s="226">
        <f t="shared" ref="X21" si="56">IF(X22="","",X16+X22)</f>
        <v>5</v>
      </c>
      <c r="Y21" s="226">
        <f t="shared" ref="Y21" si="57">IF(Y22="","",Y16+Y22)</f>
        <v>6</v>
      </c>
      <c r="Z21" s="227">
        <f t="shared" ref="Z21" si="58">IF(Z22="","",Z16+Z22)</f>
        <v>5</v>
      </c>
    </row>
    <row r="22" spans="1:26" ht="14.45" customHeight="1">
      <c r="A22" s="709"/>
      <c r="B22" s="713"/>
      <c r="C22" s="716"/>
      <c r="D22" s="713"/>
      <c r="E22" s="713"/>
      <c r="F22" s="713"/>
      <c r="G22" s="230" t="s">
        <v>143</v>
      </c>
      <c r="H22" s="231" t="str">
        <f t="shared" si="22"/>
        <v>+36</v>
      </c>
      <c r="I22" s="233">
        <v>1</v>
      </c>
      <c r="J22" s="231">
        <v>2</v>
      </c>
      <c r="K22" s="231">
        <v>2</v>
      </c>
      <c r="L22" s="233">
        <v>1</v>
      </c>
      <c r="M22" s="231">
        <v>3</v>
      </c>
      <c r="N22" s="231">
        <v>2</v>
      </c>
      <c r="O22" s="231">
        <v>3</v>
      </c>
      <c r="P22" s="233">
        <v>1</v>
      </c>
      <c r="Q22" s="231">
        <v>2</v>
      </c>
      <c r="R22" s="232">
        <v>4</v>
      </c>
      <c r="S22" s="231">
        <v>3</v>
      </c>
      <c r="T22" s="232">
        <v>3</v>
      </c>
      <c r="U22" s="231">
        <v>2</v>
      </c>
      <c r="V22" s="231">
        <v>2</v>
      </c>
      <c r="W22" s="231">
        <v>2</v>
      </c>
      <c r="X22" s="233">
        <v>1</v>
      </c>
      <c r="Y22" s="233">
        <v>1</v>
      </c>
      <c r="Z22" s="236">
        <v>1</v>
      </c>
    </row>
    <row r="23" spans="1:26" ht="14.45" customHeight="1">
      <c r="A23" s="707">
        <v>4</v>
      </c>
      <c r="B23" s="710">
        <v>44736</v>
      </c>
      <c r="C23" s="714">
        <v>0.2951388888888889</v>
      </c>
      <c r="D23" s="727" t="s">
        <v>158</v>
      </c>
      <c r="E23" s="727" t="s">
        <v>1844</v>
      </c>
      <c r="F23" s="728" t="s">
        <v>1845</v>
      </c>
      <c r="G23" s="221" t="s">
        <v>137</v>
      </c>
      <c r="H23" s="222">
        <f t="shared" si="0"/>
        <v>72</v>
      </c>
      <c r="I23" s="222">
        <v>4</v>
      </c>
      <c r="J23" s="222">
        <v>5</v>
      </c>
      <c r="K23" s="222">
        <v>4</v>
      </c>
      <c r="L23" s="222">
        <v>3</v>
      </c>
      <c r="M23" s="222">
        <v>4</v>
      </c>
      <c r="N23" s="222">
        <v>4</v>
      </c>
      <c r="O23" s="222">
        <v>4</v>
      </c>
      <c r="P23" s="222">
        <v>3</v>
      </c>
      <c r="Q23" s="222">
        <v>5</v>
      </c>
      <c r="R23" s="222">
        <v>5</v>
      </c>
      <c r="S23" s="222">
        <v>4</v>
      </c>
      <c r="T23" s="222">
        <v>4</v>
      </c>
      <c r="U23" s="222">
        <v>3</v>
      </c>
      <c r="V23" s="222">
        <v>4</v>
      </c>
      <c r="W23" s="222">
        <v>5</v>
      </c>
      <c r="X23" s="222">
        <v>4</v>
      </c>
      <c r="Y23" s="222">
        <v>3</v>
      </c>
      <c r="Z23" s="223">
        <v>4</v>
      </c>
    </row>
    <row r="24" spans="1:26" ht="14.45" customHeight="1">
      <c r="A24" s="708"/>
      <c r="B24" s="711"/>
      <c r="C24" s="715"/>
      <c r="D24" s="712"/>
      <c r="E24" s="712"/>
      <c r="F24" s="729"/>
      <c r="G24" s="224" t="s">
        <v>160</v>
      </c>
      <c r="H24" s="225">
        <f t="shared" si="0"/>
        <v>5764</v>
      </c>
      <c r="I24" s="226">
        <v>375</v>
      </c>
      <c r="J24" s="226">
        <v>453</v>
      </c>
      <c r="K24" s="226">
        <v>294</v>
      </c>
      <c r="L24" s="226">
        <v>170</v>
      </c>
      <c r="M24" s="226">
        <v>282</v>
      </c>
      <c r="N24" s="226">
        <v>310</v>
      </c>
      <c r="O24" s="226">
        <v>265</v>
      </c>
      <c r="P24" s="226">
        <v>123</v>
      </c>
      <c r="Q24" s="226">
        <v>491</v>
      </c>
      <c r="R24" s="226">
        <v>505</v>
      </c>
      <c r="S24" s="226">
        <v>362</v>
      </c>
      <c r="T24" s="226">
        <v>326</v>
      </c>
      <c r="U24" s="226">
        <v>143</v>
      </c>
      <c r="V24" s="226">
        <v>328</v>
      </c>
      <c r="W24" s="226">
        <v>547</v>
      </c>
      <c r="X24" s="226">
        <v>315</v>
      </c>
      <c r="Y24" s="226">
        <v>161</v>
      </c>
      <c r="Z24" s="227">
        <v>314</v>
      </c>
    </row>
    <row r="25" spans="1:26" ht="14.45" customHeight="1">
      <c r="A25" s="708"/>
      <c r="B25" s="712"/>
      <c r="C25" s="715"/>
      <c r="D25" s="712"/>
      <c r="E25" s="712"/>
      <c r="F25" s="712"/>
      <c r="G25" s="224" t="s">
        <v>138</v>
      </c>
      <c r="H25" s="228" t="str">
        <f t="shared" si="1"/>
        <v>N/A</v>
      </c>
      <c r="I25" s="226" t="s">
        <v>2</v>
      </c>
      <c r="J25" s="226" t="s">
        <v>2</v>
      </c>
      <c r="K25" s="226" t="s">
        <v>2</v>
      </c>
      <c r="L25" s="226" t="s">
        <v>2</v>
      </c>
      <c r="M25" s="226" t="s">
        <v>2</v>
      </c>
      <c r="N25" s="226" t="s">
        <v>2</v>
      </c>
      <c r="O25" s="226" t="s">
        <v>2</v>
      </c>
      <c r="P25" s="226" t="s">
        <v>2</v>
      </c>
      <c r="Q25" s="226" t="s">
        <v>2</v>
      </c>
      <c r="R25" s="226" t="s">
        <v>2</v>
      </c>
      <c r="S25" s="226" t="s">
        <v>2</v>
      </c>
      <c r="T25" s="226" t="s">
        <v>2</v>
      </c>
      <c r="U25" s="226" t="s">
        <v>2</v>
      </c>
      <c r="V25" s="226" t="s">
        <v>2</v>
      </c>
      <c r="W25" s="226" t="s">
        <v>2</v>
      </c>
      <c r="X25" s="226" t="s">
        <v>2</v>
      </c>
      <c r="Y25" s="226" t="s">
        <v>2</v>
      </c>
      <c r="Z25" s="227" t="s">
        <v>2</v>
      </c>
    </row>
    <row r="26" spans="1:26" ht="14.45" customHeight="1">
      <c r="A26" s="708"/>
      <c r="B26" s="712"/>
      <c r="C26" s="715"/>
      <c r="D26" s="712"/>
      <c r="E26" s="712"/>
      <c r="F26" s="712"/>
      <c r="G26" s="224" t="s">
        <v>145</v>
      </c>
      <c r="H26" s="228" t="str">
        <f t="shared" ref="H26" si="59">IFERROR(IF(I27="N/A","N/A",COUNTIF(I26:Z26,"Y")/(COUNTIF(I26:Z26,"Y")+COUNTIF(I26:Z26,"N"))),"N/A")</f>
        <v>N/A</v>
      </c>
      <c r="I26" s="226" t="s">
        <v>2</v>
      </c>
      <c r="J26" s="226" t="s">
        <v>2</v>
      </c>
      <c r="K26" s="226" t="s">
        <v>2</v>
      </c>
      <c r="L26" s="226" t="s">
        <v>2</v>
      </c>
      <c r="M26" s="226" t="s">
        <v>2</v>
      </c>
      <c r="N26" s="226" t="s">
        <v>2</v>
      </c>
      <c r="O26" s="226" t="s">
        <v>2</v>
      </c>
      <c r="P26" s="226" t="s">
        <v>2</v>
      </c>
      <c r="Q26" s="226" t="s">
        <v>2</v>
      </c>
      <c r="R26" s="226" t="s">
        <v>2</v>
      </c>
      <c r="S26" s="226" t="s">
        <v>2</v>
      </c>
      <c r="T26" s="226" t="s">
        <v>2</v>
      </c>
      <c r="U26" s="226" t="s">
        <v>2</v>
      </c>
      <c r="V26" s="226" t="s">
        <v>2</v>
      </c>
      <c r="W26" s="226" t="s">
        <v>2</v>
      </c>
      <c r="X26" s="226" t="s">
        <v>2</v>
      </c>
      <c r="Y26" s="226" t="s">
        <v>2</v>
      </c>
      <c r="Z26" s="227" t="s">
        <v>2</v>
      </c>
    </row>
    <row r="27" spans="1:26" ht="14.45" customHeight="1">
      <c r="A27" s="708"/>
      <c r="B27" s="712"/>
      <c r="C27" s="715"/>
      <c r="D27" s="712"/>
      <c r="E27" s="712"/>
      <c r="F27" s="712"/>
      <c r="G27" s="224" t="s">
        <v>139</v>
      </c>
      <c r="H27" s="226" t="str">
        <f t="shared" si="3"/>
        <v>N/A</v>
      </c>
      <c r="I27" s="226" t="s">
        <v>3</v>
      </c>
      <c r="J27" s="226" t="s">
        <v>3</v>
      </c>
      <c r="K27" s="226" t="s">
        <v>3</v>
      </c>
      <c r="L27" s="226" t="s">
        <v>3</v>
      </c>
      <c r="M27" s="226" t="s">
        <v>3</v>
      </c>
      <c r="N27" s="226" t="s">
        <v>3</v>
      </c>
      <c r="O27" s="226" t="s">
        <v>3</v>
      </c>
      <c r="P27" s="226" t="s">
        <v>3</v>
      </c>
      <c r="Q27" s="226" t="s">
        <v>3</v>
      </c>
      <c r="R27" s="226" t="s">
        <v>3</v>
      </c>
      <c r="S27" s="226" t="s">
        <v>3</v>
      </c>
      <c r="T27" s="226" t="s">
        <v>3</v>
      </c>
      <c r="U27" s="226" t="s">
        <v>3</v>
      </c>
      <c r="V27" s="226" t="s">
        <v>3</v>
      </c>
      <c r="W27" s="226" t="s">
        <v>3</v>
      </c>
      <c r="X27" s="226" t="s">
        <v>3</v>
      </c>
      <c r="Y27" s="226" t="s">
        <v>3</v>
      </c>
      <c r="Z27" s="227" t="s">
        <v>3</v>
      </c>
    </row>
    <row r="28" spans="1:26" ht="14.45" customHeight="1">
      <c r="A28" s="708"/>
      <c r="B28" s="712"/>
      <c r="C28" s="715"/>
      <c r="D28" s="712"/>
      <c r="E28" s="712"/>
      <c r="F28" s="712"/>
      <c r="G28" s="224" t="s">
        <v>67</v>
      </c>
      <c r="H28" s="229">
        <f t="shared" si="4"/>
        <v>112</v>
      </c>
      <c r="I28" s="226">
        <f>IF(I29="","",I23+I29)</f>
        <v>7</v>
      </c>
      <c r="J28" s="226">
        <f t="shared" ref="J28" si="60">IF(J29="","",J23+J29)</f>
        <v>8</v>
      </c>
      <c r="K28" s="226">
        <f t="shared" ref="K28" si="61">IF(K29="","",K23+K29)</f>
        <v>8</v>
      </c>
      <c r="L28" s="226">
        <f t="shared" ref="L28" si="62">IF(L29="","",L23+L29)</f>
        <v>5</v>
      </c>
      <c r="M28" s="226">
        <f t="shared" ref="M28" si="63">IF(M29="","",M23+M29)</f>
        <v>6</v>
      </c>
      <c r="N28" s="226">
        <f t="shared" ref="N28" si="64">IF(N29="","",N23+N29)</f>
        <v>5</v>
      </c>
      <c r="O28" s="226">
        <f t="shared" ref="O28" si="65">IF(O29="","",O23+O29)</f>
        <v>6</v>
      </c>
      <c r="P28" s="226">
        <f t="shared" ref="P28" si="66">IF(P29="","",P23+P29)</f>
        <v>4</v>
      </c>
      <c r="Q28" s="226">
        <f t="shared" ref="Q28" si="67">IF(Q29="","",Q23+Q29)</f>
        <v>8</v>
      </c>
      <c r="R28" s="226">
        <f t="shared" ref="R28" si="68">IF(R29="","",R23+R29)</f>
        <v>9</v>
      </c>
      <c r="S28" s="226">
        <f t="shared" ref="S28" si="69">IF(S29="","",S23+S29)</f>
        <v>8</v>
      </c>
      <c r="T28" s="226">
        <f t="shared" ref="T28" si="70">IF(T29="","",T23+T29)</f>
        <v>6</v>
      </c>
      <c r="U28" s="226">
        <f t="shared" ref="U28" si="71">IF(U29="","",U23+U29)</f>
        <v>4</v>
      </c>
      <c r="V28" s="226">
        <f t="shared" ref="V28" si="72">IF(V29="","",V23+V29)</f>
        <v>5</v>
      </c>
      <c r="W28" s="226">
        <f t="shared" ref="W28" si="73">IF(W29="","",W23+W29)</f>
        <v>7</v>
      </c>
      <c r="X28" s="226">
        <f t="shared" ref="X28" si="74">IF(X29="","",X23+X29)</f>
        <v>5</v>
      </c>
      <c r="Y28" s="226">
        <f t="shared" ref="Y28" si="75">IF(Y29="","",Y23+Y29)</f>
        <v>4</v>
      </c>
      <c r="Z28" s="227">
        <f t="shared" ref="Z28" si="76">IF(Z29="","",Z23+Z29)</f>
        <v>7</v>
      </c>
    </row>
    <row r="29" spans="1:26" ht="14.45" customHeight="1">
      <c r="A29" s="709"/>
      <c r="B29" s="713"/>
      <c r="C29" s="716"/>
      <c r="D29" s="713"/>
      <c r="E29" s="713"/>
      <c r="F29" s="713"/>
      <c r="G29" s="230" t="s">
        <v>143</v>
      </c>
      <c r="H29" s="231" t="str">
        <f t="shared" si="22"/>
        <v>+40</v>
      </c>
      <c r="I29" s="231">
        <v>3</v>
      </c>
      <c r="J29" s="231">
        <v>3</v>
      </c>
      <c r="K29" s="232">
        <v>4</v>
      </c>
      <c r="L29" s="231">
        <v>2</v>
      </c>
      <c r="M29" s="231">
        <v>2</v>
      </c>
      <c r="N29" s="233">
        <v>1</v>
      </c>
      <c r="O29" s="231">
        <v>2</v>
      </c>
      <c r="P29" s="233">
        <v>1</v>
      </c>
      <c r="Q29" s="231">
        <v>3</v>
      </c>
      <c r="R29" s="231">
        <v>4</v>
      </c>
      <c r="S29" s="232">
        <v>4</v>
      </c>
      <c r="T29" s="231">
        <v>2</v>
      </c>
      <c r="U29" s="233">
        <v>1</v>
      </c>
      <c r="V29" s="233">
        <v>1</v>
      </c>
      <c r="W29" s="231">
        <v>2</v>
      </c>
      <c r="X29" s="233">
        <v>1</v>
      </c>
      <c r="Y29" s="233">
        <v>1</v>
      </c>
      <c r="Z29" s="234">
        <v>3</v>
      </c>
    </row>
    <row r="30" spans="1:26" ht="14.45" customHeight="1">
      <c r="A30" s="707">
        <v>5</v>
      </c>
      <c r="B30" s="710">
        <v>44744</v>
      </c>
      <c r="C30" s="714">
        <v>0.27847222222222223</v>
      </c>
      <c r="D30" s="727" t="s">
        <v>156</v>
      </c>
      <c r="E30" s="727" t="s">
        <v>1846</v>
      </c>
      <c r="F30" s="728" t="s">
        <v>1847</v>
      </c>
      <c r="G30" s="221" t="s">
        <v>137</v>
      </c>
      <c r="H30" s="222">
        <f t="shared" si="0"/>
        <v>72</v>
      </c>
      <c r="I30" s="222">
        <v>4</v>
      </c>
      <c r="J30" s="222">
        <v>4</v>
      </c>
      <c r="K30" s="222">
        <v>5</v>
      </c>
      <c r="L30" s="222">
        <v>3</v>
      </c>
      <c r="M30" s="222">
        <v>4</v>
      </c>
      <c r="N30" s="222">
        <v>5</v>
      </c>
      <c r="O30" s="222">
        <v>3</v>
      </c>
      <c r="P30" s="222">
        <v>4</v>
      </c>
      <c r="Q30" s="222">
        <v>4</v>
      </c>
      <c r="R30" s="222">
        <v>4</v>
      </c>
      <c r="S30" s="222">
        <v>5</v>
      </c>
      <c r="T30" s="222">
        <v>4</v>
      </c>
      <c r="U30" s="222">
        <v>3</v>
      </c>
      <c r="V30" s="222">
        <v>4</v>
      </c>
      <c r="W30" s="222">
        <v>4</v>
      </c>
      <c r="X30" s="222">
        <v>5</v>
      </c>
      <c r="Y30" s="222">
        <v>3</v>
      </c>
      <c r="Z30" s="223">
        <v>4</v>
      </c>
    </row>
    <row r="31" spans="1:26" ht="14.45" customHeight="1">
      <c r="A31" s="708"/>
      <c r="B31" s="711"/>
      <c r="C31" s="715"/>
      <c r="D31" s="712"/>
      <c r="E31" s="712"/>
      <c r="F31" s="729"/>
      <c r="G31" s="224" t="s">
        <v>160</v>
      </c>
      <c r="H31" s="225">
        <f t="shared" si="0"/>
        <v>5820</v>
      </c>
      <c r="I31" s="226">
        <v>340</v>
      </c>
      <c r="J31" s="226">
        <v>323</v>
      </c>
      <c r="K31" s="226">
        <v>498</v>
      </c>
      <c r="L31" s="226">
        <v>120</v>
      </c>
      <c r="M31" s="226">
        <v>301</v>
      </c>
      <c r="N31" s="226">
        <v>442</v>
      </c>
      <c r="O31" s="226">
        <v>167</v>
      </c>
      <c r="P31" s="226">
        <v>356</v>
      </c>
      <c r="Q31" s="226">
        <v>380</v>
      </c>
      <c r="R31" s="226">
        <v>297</v>
      </c>
      <c r="S31" s="226">
        <v>482</v>
      </c>
      <c r="T31" s="226">
        <v>349</v>
      </c>
      <c r="U31" s="226">
        <v>134</v>
      </c>
      <c r="V31" s="226">
        <v>326</v>
      </c>
      <c r="W31" s="226">
        <v>351</v>
      </c>
      <c r="X31" s="226">
        <v>431</v>
      </c>
      <c r="Y31" s="226">
        <v>136</v>
      </c>
      <c r="Z31" s="227">
        <v>387</v>
      </c>
    </row>
    <row r="32" spans="1:26" ht="14.45" customHeight="1">
      <c r="A32" s="708"/>
      <c r="B32" s="712"/>
      <c r="C32" s="715"/>
      <c r="D32" s="712"/>
      <c r="E32" s="712"/>
      <c r="F32" s="712"/>
      <c r="G32" s="224" t="s">
        <v>138</v>
      </c>
      <c r="H32" s="228" t="str">
        <f t="shared" si="1"/>
        <v>N/A</v>
      </c>
      <c r="I32" s="226" t="s">
        <v>2</v>
      </c>
      <c r="J32" s="226" t="s">
        <v>2</v>
      </c>
      <c r="K32" s="226" t="s">
        <v>2</v>
      </c>
      <c r="L32" s="226" t="s">
        <v>2</v>
      </c>
      <c r="M32" s="226" t="s">
        <v>2</v>
      </c>
      <c r="N32" s="226" t="s">
        <v>2</v>
      </c>
      <c r="O32" s="226" t="s">
        <v>2</v>
      </c>
      <c r="P32" s="226" t="s">
        <v>2</v>
      </c>
      <c r="Q32" s="226" t="s">
        <v>2</v>
      </c>
      <c r="R32" s="226" t="s">
        <v>2</v>
      </c>
      <c r="S32" s="226" t="s">
        <v>2</v>
      </c>
      <c r="T32" s="226" t="s">
        <v>2</v>
      </c>
      <c r="U32" s="226" t="s">
        <v>2</v>
      </c>
      <c r="V32" s="226" t="s">
        <v>2</v>
      </c>
      <c r="W32" s="226" t="s">
        <v>2</v>
      </c>
      <c r="X32" s="226" t="s">
        <v>2</v>
      </c>
      <c r="Y32" s="226" t="s">
        <v>2</v>
      </c>
      <c r="Z32" s="227" t="s">
        <v>2</v>
      </c>
    </row>
    <row r="33" spans="1:26" ht="14.45" customHeight="1">
      <c r="A33" s="708"/>
      <c r="B33" s="712"/>
      <c r="C33" s="715"/>
      <c r="D33" s="712"/>
      <c r="E33" s="712"/>
      <c r="F33" s="712"/>
      <c r="G33" s="224" t="s">
        <v>145</v>
      </c>
      <c r="H33" s="228" t="str">
        <f t="shared" ref="H33" si="77">IFERROR(IF(I34="N/A","N/A",COUNTIF(I33:Z33,"Y")/(COUNTIF(I33:Z33,"Y")+COUNTIF(I33:Z33,"N"))),"N/A")</f>
        <v>N/A</v>
      </c>
      <c r="I33" s="226" t="s">
        <v>2</v>
      </c>
      <c r="J33" s="226" t="s">
        <v>2</v>
      </c>
      <c r="K33" s="226" t="s">
        <v>2</v>
      </c>
      <c r="L33" s="226" t="s">
        <v>2</v>
      </c>
      <c r="M33" s="226" t="s">
        <v>2</v>
      </c>
      <c r="N33" s="226" t="s">
        <v>2</v>
      </c>
      <c r="O33" s="226" t="s">
        <v>2</v>
      </c>
      <c r="P33" s="226" t="s">
        <v>2</v>
      </c>
      <c r="Q33" s="226" t="s">
        <v>2</v>
      </c>
      <c r="R33" s="226" t="s">
        <v>2</v>
      </c>
      <c r="S33" s="226" t="s">
        <v>2</v>
      </c>
      <c r="T33" s="226" t="s">
        <v>2</v>
      </c>
      <c r="U33" s="226" t="s">
        <v>2</v>
      </c>
      <c r="V33" s="226" t="s">
        <v>2</v>
      </c>
      <c r="W33" s="226" t="s">
        <v>2</v>
      </c>
      <c r="X33" s="226" t="s">
        <v>2</v>
      </c>
      <c r="Y33" s="226" t="s">
        <v>2</v>
      </c>
      <c r="Z33" s="227" t="s">
        <v>2</v>
      </c>
    </row>
    <row r="34" spans="1:26" ht="14.45" customHeight="1">
      <c r="A34" s="708"/>
      <c r="B34" s="712"/>
      <c r="C34" s="715"/>
      <c r="D34" s="712"/>
      <c r="E34" s="712"/>
      <c r="F34" s="712"/>
      <c r="G34" s="224" t="s">
        <v>139</v>
      </c>
      <c r="H34" s="226" t="str">
        <f t="shared" si="3"/>
        <v>N/A</v>
      </c>
      <c r="I34" s="226" t="s">
        <v>3</v>
      </c>
      <c r="J34" s="226" t="s">
        <v>3</v>
      </c>
      <c r="K34" s="226" t="s">
        <v>3</v>
      </c>
      <c r="L34" s="226" t="s">
        <v>3</v>
      </c>
      <c r="M34" s="226" t="s">
        <v>3</v>
      </c>
      <c r="N34" s="226" t="s">
        <v>3</v>
      </c>
      <c r="O34" s="226" t="s">
        <v>3</v>
      </c>
      <c r="P34" s="226" t="s">
        <v>3</v>
      </c>
      <c r="Q34" s="226" t="s">
        <v>3</v>
      </c>
      <c r="R34" s="226" t="s">
        <v>3</v>
      </c>
      <c r="S34" s="226" t="s">
        <v>3</v>
      </c>
      <c r="T34" s="226" t="s">
        <v>3</v>
      </c>
      <c r="U34" s="226" t="s">
        <v>3</v>
      </c>
      <c r="V34" s="226" t="s">
        <v>3</v>
      </c>
      <c r="W34" s="226" t="s">
        <v>3</v>
      </c>
      <c r="X34" s="226" t="s">
        <v>3</v>
      </c>
      <c r="Y34" s="226" t="s">
        <v>3</v>
      </c>
      <c r="Z34" s="227" t="s">
        <v>3</v>
      </c>
    </row>
    <row r="35" spans="1:26" ht="14.45" customHeight="1">
      <c r="A35" s="708"/>
      <c r="B35" s="712"/>
      <c r="C35" s="715"/>
      <c r="D35" s="712"/>
      <c r="E35" s="712"/>
      <c r="F35" s="712"/>
      <c r="G35" s="224" t="s">
        <v>67</v>
      </c>
      <c r="H35" s="229">
        <f t="shared" si="4"/>
        <v>107</v>
      </c>
      <c r="I35" s="226">
        <f>IF(I36="","",I30+I36)</f>
        <v>4</v>
      </c>
      <c r="J35" s="226">
        <f t="shared" ref="J35" si="78">IF(J36="","",J30+J36)</f>
        <v>7</v>
      </c>
      <c r="K35" s="226">
        <f t="shared" ref="K35" si="79">IF(K36="","",K30+K36)</f>
        <v>9</v>
      </c>
      <c r="L35" s="226">
        <f t="shared" ref="L35" si="80">IF(L36="","",L30+L36)</f>
        <v>4</v>
      </c>
      <c r="M35" s="226">
        <f t="shared" ref="M35" si="81">IF(M36="","",M30+M36)</f>
        <v>4</v>
      </c>
      <c r="N35" s="226">
        <f t="shared" ref="N35" si="82">IF(N36="","",N30+N36)</f>
        <v>7</v>
      </c>
      <c r="O35" s="226">
        <f t="shared" ref="O35" si="83">IF(O36="","",O30+O36)</f>
        <v>5</v>
      </c>
      <c r="P35" s="226">
        <f t="shared" ref="P35" si="84">IF(P36="","",P30+P36)</f>
        <v>7</v>
      </c>
      <c r="Q35" s="226">
        <f t="shared" ref="Q35" si="85">IF(Q36="","",Q30+Q36)</f>
        <v>4</v>
      </c>
      <c r="R35" s="226">
        <f t="shared" ref="R35" si="86">IF(R36="","",R30+R36)</f>
        <v>7</v>
      </c>
      <c r="S35" s="226">
        <f t="shared" ref="S35" si="87">IF(S36="","",S30+S36)</f>
        <v>7</v>
      </c>
      <c r="T35" s="226">
        <f t="shared" ref="T35" si="88">IF(T36="","",T30+T36)</f>
        <v>6</v>
      </c>
      <c r="U35" s="226">
        <f t="shared" ref="U35" si="89">IF(U36="","",U30+U36)</f>
        <v>5</v>
      </c>
      <c r="V35" s="226">
        <f t="shared" ref="V35" si="90">IF(V36="","",V30+V36)</f>
        <v>4</v>
      </c>
      <c r="W35" s="226">
        <f t="shared" ref="W35" si="91">IF(W36="","",W30+W36)</f>
        <v>7</v>
      </c>
      <c r="X35" s="226">
        <f t="shared" ref="X35" si="92">IF(X36="","",X30+X36)</f>
        <v>7</v>
      </c>
      <c r="Y35" s="226">
        <f t="shared" ref="Y35" si="93">IF(Y36="","",Y30+Y36)</f>
        <v>5</v>
      </c>
      <c r="Z35" s="227">
        <f t="shared" ref="Z35" si="94">IF(Z36="","",Z30+Z36)</f>
        <v>8</v>
      </c>
    </row>
    <row r="36" spans="1:26" ht="14.45" customHeight="1">
      <c r="A36" s="709"/>
      <c r="B36" s="713"/>
      <c r="C36" s="716"/>
      <c r="D36" s="713"/>
      <c r="E36" s="713"/>
      <c r="F36" s="713"/>
      <c r="G36" s="230" t="s">
        <v>143</v>
      </c>
      <c r="H36" s="231" t="str">
        <f t="shared" si="22"/>
        <v>+35</v>
      </c>
      <c r="I36" s="237">
        <v>0</v>
      </c>
      <c r="J36" s="231">
        <v>3</v>
      </c>
      <c r="K36" s="231">
        <v>4</v>
      </c>
      <c r="L36" s="233">
        <v>1</v>
      </c>
      <c r="M36" s="235">
        <v>0</v>
      </c>
      <c r="N36" s="231">
        <v>2</v>
      </c>
      <c r="O36" s="231">
        <v>2</v>
      </c>
      <c r="P36" s="231">
        <v>3</v>
      </c>
      <c r="Q36" s="235">
        <v>0</v>
      </c>
      <c r="R36" s="231">
        <v>3</v>
      </c>
      <c r="S36" s="231">
        <v>2</v>
      </c>
      <c r="T36" s="231">
        <v>2</v>
      </c>
      <c r="U36" s="231">
        <v>2</v>
      </c>
      <c r="V36" s="235">
        <v>0</v>
      </c>
      <c r="W36" s="231">
        <v>3</v>
      </c>
      <c r="X36" s="231">
        <v>2</v>
      </c>
      <c r="Y36" s="231">
        <v>2</v>
      </c>
      <c r="Z36" s="238">
        <v>4</v>
      </c>
    </row>
    <row r="37" spans="1:26" ht="14.45" customHeight="1">
      <c r="A37" s="707">
        <v>6</v>
      </c>
      <c r="B37" s="710">
        <v>44772</v>
      </c>
      <c r="C37" s="714">
        <v>0.2638888888888889</v>
      </c>
      <c r="D37" s="727" t="s">
        <v>151</v>
      </c>
      <c r="E37" s="727" t="s">
        <v>161</v>
      </c>
      <c r="F37" s="728" t="s">
        <v>1848</v>
      </c>
      <c r="G37" s="221" t="s">
        <v>137</v>
      </c>
      <c r="H37" s="222">
        <f t="shared" si="0"/>
        <v>72</v>
      </c>
      <c r="I37" s="222">
        <v>4</v>
      </c>
      <c r="J37" s="222">
        <v>5</v>
      </c>
      <c r="K37" s="222">
        <v>3</v>
      </c>
      <c r="L37" s="222">
        <v>4</v>
      </c>
      <c r="M37" s="222">
        <v>4</v>
      </c>
      <c r="N37" s="222">
        <v>5</v>
      </c>
      <c r="O37" s="222">
        <v>3</v>
      </c>
      <c r="P37" s="222">
        <v>4</v>
      </c>
      <c r="Q37" s="222">
        <v>4</v>
      </c>
      <c r="R37" s="222">
        <v>5</v>
      </c>
      <c r="S37" s="222">
        <v>4</v>
      </c>
      <c r="T37" s="222">
        <v>3</v>
      </c>
      <c r="U37" s="222">
        <v>4</v>
      </c>
      <c r="V37" s="222">
        <v>4</v>
      </c>
      <c r="W37" s="222">
        <v>4</v>
      </c>
      <c r="X37" s="222">
        <v>3</v>
      </c>
      <c r="Y37" s="222">
        <v>4</v>
      </c>
      <c r="Z37" s="223">
        <v>5</v>
      </c>
    </row>
    <row r="38" spans="1:26" ht="14.45" customHeight="1">
      <c r="A38" s="708"/>
      <c r="B38" s="711"/>
      <c r="C38" s="715"/>
      <c r="D38" s="712"/>
      <c r="E38" s="712"/>
      <c r="F38" s="729"/>
      <c r="G38" s="224" t="s">
        <v>160</v>
      </c>
      <c r="H38" s="225">
        <f t="shared" si="0"/>
        <v>5761</v>
      </c>
      <c r="I38" s="226">
        <v>347</v>
      </c>
      <c r="J38" s="226">
        <v>453</v>
      </c>
      <c r="K38" s="226">
        <v>173</v>
      </c>
      <c r="L38" s="226">
        <v>333</v>
      </c>
      <c r="M38" s="226">
        <v>294</v>
      </c>
      <c r="N38" s="226">
        <v>470</v>
      </c>
      <c r="O38" s="226">
        <v>148</v>
      </c>
      <c r="P38" s="226">
        <v>381</v>
      </c>
      <c r="Q38" s="226">
        <v>322</v>
      </c>
      <c r="R38" s="226">
        <v>452</v>
      </c>
      <c r="S38" s="226">
        <v>322</v>
      </c>
      <c r="T38" s="226">
        <v>140</v>
      </c>
      <c r="U38" s="226">
        <v>300</v>
      </c>
      <c r="V38" s="226">
        <v>302</v>
      </c>
      <c r="W38" s="226">
        <v>362</v>
      </c>
      <c r="X38" s="226">
        <v>128</v>
      </c>
      <c r="Y38" s="226">
        <v>344</v>
      </c>
      <c r="Z38" s="227">
        <v>490</v>
      </c>
    </row>
    <row r="39" spans="1:26" ht="14.45" customHeight="1">
      <c r="A39" s="708"/>
      <c r="B39" s="712"/>
      <c r="C39" s="715"/>
      <c r="D39" s="712"/>
      <c r="E39" s="712"/>
      <c r="F39" s="712"/>
      <c r="G39" s="224" t="s">
        <v>138</v>
      </c>
      <c r="H39" s="228" t="str">
        <f t="shared" si="1"/>
        <v>N/A</v>
      </c>
      <c r="I39" s="226" t="s">
        <v>2</v>
      </c>
      <c r="J39" s="226" t="s">
        <v>2</v>
      </c>
      <c r="K39" s="226" t="s">
        <v>2</v>
      </c>
      <c r="L39" s="226" t="s">
        <v>2</v>
      </c>
      <c r="M39" s="226" t="s">
        <v>2</v>
      </c>
      <c r="N39" s="226" t="s">
        <v>2</v>
      </c>
      <c r="O39" s="226" t="s">
        <v>2</v>
      </c>
      <c r="P39" s="226" t="s">
        <v>2</v>
      </c>
      <c r="Q39" s="226" t="s">
        <v>2</v>
      </c>
      <c r="R39" s="226" t="s">
        <v>2</v>
      </c>
      <c r="S39" s="226" t="s">
        <v>2</v>
      </c>
      <c r="T39" s="226" t="s">
        <v>2</v>
      </c>
      <c r="U39" s="226" t="s">
        <v>2</v>
      </c>
      <c r="V39" s="226" t="s">
        <v>2</v>
      </c>
      <c r="W39" s="226" t="s">
        <v>2</v>
      </c>
      <c r="X39" s="226" t="s">
        <v>2</v>
      </c>
      <c r="Y39" s="226" t="s">
        <v>2</v>
      </c>
      <c r="Z39" s="227" t="s">
        <v>2</v>
      </c>
    </row>
    <row r="40" spans="1:26" ht="14.45" customHeight="1">
      <c r="A40" s="708"/>
      <c r="B40" s="712"/>
      <c r="C40" s="715"/>
      <c r="D40" s="712"/>
      <c r="E40" s="712"/>
      <c r="F40" s="712"/>
      <c r="G40" s="224" t="s">
        <v>145</v>
      </c>
      <c r="H40" s="228" t="str">
        <f t="shared" ref="H40" si="95">IFERROR(IF(I41="N/A","N/A",COUNTIF(I40:Z40,"Y")/(COUNTIF(I40:Z40,"Y")+COUNTIF(I40:Z40,"N"))),"N/A")</f>
        <v>N/A</v>
      </c>
      <c r="I40" s="226" t="s">
        <v>2</v>
      </c>
      <c r="J40" s="226" t="s">
        <v>2</v>
      </c>
      <c r="K40" s="226" t="s">
        <v>2</v>
      </c>
      <c r="L40" s="226" t="s">
        <v>2</v>
      </c>
      <c r="M40" s="226" t="s">
        <v>2</v>
      </c>
      <c r="N40" s="226" t="s">
        <v>2</v>
      </c>
      <c r="O40" s="226" t="s">
        <v>2</v>
      </c>
      <c r="P40" s="226" t="s">
        <v>2</v>
      </c>
      <c r="Q40" s="226" t="s">
        <v>2</v>
      </c>
      <c r="R40" s="226" t="s">
        <v>2</v>
      </c>
      <c r="S40" s="226" t="s">
        <v>2</v>
      </c>
      <c r="T40" s="226" t="s">
        <v>2</v>
      </c>
      <c r="U40" s="226" t="s">
        <v>2</v>
      </c>
      <c r="V40" s="226" t="s">
        <v>2</v>
      </c>
      <c r="W40" s="226" t="s">
        <v>2</v>
      </c>
      <c r="X40" s="226" t="s">
        <v>2</v>
      </c>
      <c r="Y40" s="226" t="s">
        <v>2</v>
      </c>
      <c r="Z40" s="227" t="s">
        <v>2</v>
      </c>
    </row>
    <row r="41" spans="1:26" ht="14.45" customHeight="1">
      <c r="A41" s="708"/>
      <c r="B41" s="712"/>
      <c r="C41" s="715"/>
      <c r="D41" s="712"/>
      <c r="E41" s="712"/>
      <c r="F41" s="712"/>
      <c r="G41" s="224" t="s">
        <v>139</v>
      </c>
      <c r="H41" s="226" t="str">
        <f t="shared" si="3"/>
        <v>N/A</v>
      </c>
      <c r="I41" s="226" t="s">
        <v>3</v>
      </c>
      <c r="J41" s="226" t="s">
        <v>3</v>
      </c>
      <c r="K41" s="226" t="s">
        <v>3</v>
      </c>
      <c r="L41" s="226" t="s">
        <v>3</v>
      </c>
      <c r="M41" s="226" t="s">
        <v>3</v>
      </c>
      <c r="N41" s="226" t="s">
        <v>3</v>
      </c>
      <c r="O41" s="226" t="s">
        <v>3</v>
      </c>
      <c r="P41" s="226" t="s">
        <v>3</v>
      </c>
      <c r="Q41" s="226" t="s">
        <v>3</v>
      </c>
      <c r="R41" s="226" t="s">
        <v>3</v>
      </c>
      <c r="S41" s="226" t="s">
        <v>3</v>
      </c>
      <c r="T41" s="226" t="s">
        <v>3</v>
      </c>
      <c r="U41" s="226" t="s">
        <v>3</v>
      </c>
      <c r="V41" s="226" t="s">
        <v>3</v>
      </c>
      <c r="W41" s="226" t="s">
        <v>3</v>
      </c>
      <c r="X41" s="226" t="s">
        <v>3</v>
      </c>
      <c r="Y41" s="226" t="s">
        <v>3</v>
      </c>
      <c r="Z41" s="227" t="s">
        <v>3</v>
      </c>
    </row>
    <row r="42" spans="1:26" ht="14.45" customHeight="1">
      <c r="A42" s="708"/>
      <c r="B42" s="712"/>
      <c r="C42" s="715"/>
      <c r="D42" s="712"/>
      <c r="E42" s="712"/>
      <c r="F42" s="712"/>
      <c r="G42" s="224" t="s">
        <v>67</v>
      </c>
      <c r="H42" s="229">
        <f t="shared" si="4"/>
        <v>103</v>
      </c>
      <c r="I42" s="226">
        <f>IF(I43="","",I37+I43)</f>
        <v>4</v>
      </c>
      <c r="J42" s="226">
        <f t="shared" ref="J42" si="96">IF(J43="","",J37+J43)</f>
        <v>8</v>
      </c>
      <c r="K42" s="226">
        <f t="shared" ref="K42" si="97">IF(K43="","",K37+K43)</f>
        <v>5</v>
      </c>
      <c r="L42" s="226">
        <f t="shared" ref="L42" si="98">IF(L43="","",L37+L43)</f>
        <v>7</v>
      </c>
      <c r="M42" s="226">
        <f t="shared" ref="M42" si="99">IF(M43="","",M37+M43)</f>
        <v>6</v>
      </c>
      <c r="N42" s="226">
        <f t="shared" ref="N42" si="100">IF(N43="","",N37+N43)</f>
        <v>6</v>
      </c>
      <c r="O42" s="226">
        <f t="shared" ref="O42" si="101">IF(O43="","",O37+O43)</f>
        <v>5</v>
      </c>
      <c r="P42" s="226">
        <f t="shared" ref="P42" si="102">IF(P43="","",P37+P43)</f>
        <v>6</v>
      </c>
      <c r="Q42" s="226">
        <f t="shared" ref="Q42" si="103">IF(Q43="","",Q37+Q43)</f>
        <v>5</v>
      </c>
      <c r="R42" s="226">
        <f t="shared" ref="R42" si="104">IF(R43="","",R37+R43)</f>
        <v>7</v>
      </c>
      <c r="S42" s="226">
        <f t="shared" ref="S42" si="105">IF(S43="","",S37+S43)</f>
        <v>6</v>
      </c>
      <c r="T42" s="226">
        <f t="shared" ref="T42" si="106">IF(T43="","",T37+T43)</f>
        <v>6</v>
      </c>
      <c r="U42" s="226">
        <f t="shared" ref="U42" si="107">IF(U43="","",U37+U43)</f>
        <v>5</v>
      </c>
      <c r="V42" s="226">
        <f t="shared" ref="V42" si="108">IF(V43="","",V37+V43)</f>
        <v>5</v>
      </c>
      <c r="W42" s="226">
        <f t="shared" ref="W42" si="109">IF(W43="","",W37+W43)</f>
        <v>6</v>
      </c>
      <c r="X42" s="226">
        <f t="shared" ref="X42" si="110">IF(X43="","",X37+X43)</f>
        <v>4</v>
      </c>
      <c r="Y42" s="226">
        <f t="shared" ref="Y42" si="111">IF(Y43="","",Y37+Y43)</f>
        <v>6</v>
      </c>
      <c r="Z42" s="227">
        <f t="shared" ref="Z42" si="112">IF(Z43="","",Z37+Z43)</f>
        <v>6</v>
      </c>
    </row>
    <row r="43" spans="1:26" ht="14.45" customHeight="1">
      <c r="A43" s="709"/>
      <c r="B43" s="713"/>
      <c r="C43" s="716"/>
      <c r="D43" s="713"/>
      <c r="E43" s="713"/>
      <c r="F43" s="713"/>
      <c r="G43" s="230" t="s">
        <v>143</v>
      </c>
      <c r="H43" s="231" t="str">
        <f t="shared" si="22"/>
        <v>+31</v>
      </c>
      <c r="I43" s="237">
        <v>0</v>
      </c>
      <c r="J43" s="231">
        <v>3</v>
      </c>
      <c r="K43" s="231">
        <v>2</v>
      </c>
      <c r="L43" s="231">
        <v>3</v>
      </c>
      <c r="M43" s="231">
        <v>2</v>
      </c>
      <c r="N43" s="233">
        <v>1</v>
      </c>
      <c r="O43" s="231">
        <v>2</v>
      </c>
      <c r="P43" s="231">
        <v>2</v>
      </c>
      <c r="Q43" s="233">
        <v>1</v>
      </c>
      <c r="R43" s="231">
        <v>2</v>
      </c>
      <c r="S43" s="231">
        <v>2</v>
      </c>
      <c r="T43" s="232">
        <v>3</v>
      </c>
      <c r="U43" s="233">
        <v>1</v>
      </c>
      <c r="V43" s="233">
        <v>1</v>
      </c>
      <c r="W43" s="231">
        <v>2</v>
      </c>
      <c r="X43" s="233">
        <v>1</v>
      </c>
      <c r="Y43" s="231">
        <v>2</v>
      </c>
      <c r="Z43" s="236">
        <v>1</v>
      </c>
    </row>
    <row r="44" spans="1:26" ht="14.45" customHeight="1">
      <c r="A44" s="707">
        <v>7</v>
      </c>
      <c r="B44" s="710">
        <v>44778</v>
      </c>
      <c r="C44" s="714">
        <v>0.61944444444444446</v>
      </c>
      <c r="D44" s="727" t="s">
        <v>1849</v>
      </c>
      <c r="E44" s="727" t="s">
        <v>1850</v>
      </c>
      <c r="F44" s="728" t="s">
        <v>1851</v>
      </c>
      <c r="G44" s="221" t="s">
        <v>137</v>
      </c>
      <c r="H44" s="222">
        <f t="shared" si="0"/>
        <v>72</v>
      </c>
      <c r="I44" s="222">
        <v>4</v>
      </c>
      <c r="J44" s="222">
        <v>4</v>
      </c>
      <c r="K44" s="222">
        <v>4</v>
      </c>
      <c r="L44" s="222">
        <v>5</v>
      </c>
      <c r="M44" s="222">
        <v>3</v>
      </c>
      <c r="N44" s="222">
        <v>4</v>
      </c>
      <c r="O44" s="222">
        <v>4</v>
      </c>
      <c r="P44" s="222">
        <v>3</v>
      </c>
      <c r="Q44" s="222">
        <v>5</v>
      </c>
      <c r="R44" s="222">
        <v>4</v>
      </c>
      <c r="S44" s="222">
        <v>4</v>
      </c>
      <c r="T44" s="222">
        <v>3</v>
      </c>
      <c r="U44" s="222">
        <v>5</v>
      </c>
      <c r="V44" s="222">
        <v>4</v>
      </c>
      <c r="W44" s="222">
        <v>3</v>
      </c>
      <c r="X44" s="222">
        <v>5</v>
      </c>
      <c r="Y44" s="222">
        <v>4</v>
      </c>
      <c r="Z44" s="223">
        <v>4</v>
      </c>
    </row>
    <row r="45" spans="1:26" ht="14.45" customHeight="1">
      <c r="A45" s="708"/>
      <c r="B45" s="711"/>
      <c r="C45" s="715"/>
      <c r="D45" s="712"/>
      <c r="E45" s="712"/>
      <c r="F45" s="729"/>
      <c r="G45" s="224" t="s">
        <v>160</v>
      </c>
      <c r="H45" s="225">
        <f t="shared" si="0"/>
        <v>5768</v>
      </c>
      <c r="I45" s="226">
        <v>316</v>
      </c>
      <c r="J45" s="226">
        <v>322</v>
      </c>
      <c r="K45" s="226">
        <v>340</v>
      </c>
      <c r="L45" s="226">
        <v>480</v>
      </c>
      <c r="M45" s="226">
        <v>146</v>
      </c>
      <c r="N45" s="226">
        <v>312</v>
      </c>
      <c r="O45" s="226">
        <v>378</v>
      </c>
      <c r="P45" s="226">
        <v>126</v>
      </c>
      <c r="Q45" s="226">
        <v>460</v>
      </c>
      <c r="R45" s="226">
        <v>346</v>
      </c>
      <c r="S45" s="226">
        <v>334</v>
      </c>
      <c r="T45" s="226">
        <v>161</v>
      </c>
      <c r="U45" s="226">
        <v>472</v>
      </c>
      <c r="V45" s="226">
        <v>283</v>
      </c>
      <c r="W45" s="226">
        <v>127</v>
      </c>
      <c r="X45" s="226">
        <v>479</v>
      </c>
      <c r="Y45" s="226">
        <v>330</v>
      </c>
      <c r="Z45" s="227">
        <v>356</v>
      </c>
    </row>
    <row r="46" spans="1:26" ht="14.45" customHeight="1">
      <c r="A46" s="708"/>
      <c r="B46" s="712"/>
      <c r="C46" s="715"/>
      <c r="D46" s="712"/>
      <c r="E46" s="712"/>
      <c r="F46" s="712"/>
      <c r="G46" s="224" t="s">
        <v>138</v>
      </c>
      <c r="H46" s="228" t="str">
        <f t="shared" si="1"/>
        <v>N/A</v>
      </c>
      <c r="I46" s="226" t="s">
        <v>2</v>
      </c>
      <c r="J46" s="226" t="s">
        <v>2</v>
      </c>
      <c r="K46" s="226" t="s">
        <v>2</v>
      </c>
      <c r="L46" s="226" t="s">
        <v>2</v>
      </c>
      <c r="M46" s="226" t="s">
        <v>2</v>
      </c>
      <c r="N46" s="226" t="s">
        <v>2</v>
      </c>
      <c r="O46" s="226" t="s">
        <v>2</v>
      </c>
      <c r="P46" s="226" t="s">
        <v>2</v>
      </c>
      <c r="Q46" s="226" t="s">
        <v>2</v>
      </c>
      <c r="R46" s="226" t="s">
        <v>2</v>
      </c>
      <c r="S46" s="226" t="s">
        <v>2</v>
      </c>
      <c r="T46" s="226" t="s">
        <v>2</v>
      </c>
      <c r="U46" s="226" t="s">
        <v>2</v>
      </c>
      <c r="V46" s="226" t="s">
        <v>2</v>
      </c>
      <c r="W46" s="226" t="s">
        <v>2</v>
      </c>
      <c r="X46" s="226" t="s">
        <v>2</v>
      </c>
      <c r="Y46" s="226" t="s">
        <v>2</v>
      </c>
      <c r="Z46" s="227" t="s">
        <v>2</v>
      </c>
    </row>
    <row r="47" spans="1:26" ht="14.45" customHeight="1">
      <c r="A47" s="708"/>
      <c r="B47" s="712"/>
      <c r="C47" s="715"/>
      <c r="D47" s="712"/>
      <c r="E47" s="712"/>
      <c r="F47" s="712"/>
      <c r="G47" s="224" t="s">
        <v>145</v>
      </c>
      <c r="H47" s="228" t="str">
        <f t="shared" ref="H47" si="113">IFERROR(IF(I48="N/A","N/A",COUNTIF(I47:Z47,"Y")/(COUNTIF(I47:Z47,"Y")+COUNTIF(I47:Z47,"N"))),"N/A")</f>
        <v>N/A</v>
      </c>
      <c r="I47" s="226" t="s">
        <v>2</v>
      </c>
      <c r="J47" s="226" t="s">
        <v>2</v>
      </c>
      <c r="K47" s="226" t="s">
        <v>2</v>
      </c>
      <c r="L47" s="226" t="s">
        <v>2</v>
      </c>
      <c r="M47" s="226" t="s">
        <v>2</v>
      </c>
      <c r="N47" s="226" t="s">
        <v>2</v>
      </c>
      <c r="O47" s="226" t="s">
        <v>2</v>
      </c>
      <c r="P47" s="226" t="s">
        <v>2</v>
      </c>
      <c r="Q47" s="226" t="s">
        <v>2</v>
      </c>
      <c r="R47" s="226" t="s">
        <v>2</v>
      </c>
      <c r="S47" s="226" t="s">
        <v>2</v>
      </c>
      <c r="T47" s="226" t="s">
        <v>2</v>
      </c>
      <c r="U47" s="226" t="s">
        <v>2</v>
      </c>
      <c r="V47" s="226" t="s">
        <v>2</v>
      </c>
      <c r="W47" s="226" t="s">
        <v>2</v>
      </c>
      <c r="X47" s="226" t="s">
        <v>2</v>
      </c>
      <c r="Y47" s="226" t="s">
        <v>2</v>
      </c>
      <c r="Z47" s="227" t="s">
        <v>2</v>
      </c>
    </row>
    <row r="48" spans="1:26" ht="14.45" customHeight="1">
      <c r="A48" s="708"/>
      <c r="B48" s="712"/>
      <c r="C48" s="715"/>
      <c r="D48" s="712"/>
      <c r="E48" s="712"/>
      <c r="F48" s="712"/>
      <c r="G48" s="224" t="s">
        <v>139</v>
      </c>
      <c r="H48" s="226" t="str">
        <f t="shared" si="3"/>
        <v>N/A</v>
      </c>
      <c r="I48" s="226" t="s">
        <v>3</v>
      </c>
      <c r="J48" s="226" t="s">
        <v>3</v>
      </c>
      <c r="K48" s="226" t="s">
        <v>3</v>
      </c>
      <c r="L48" s="226" t="s">
        <v>3</v>
      </c>
      <c r="M48" s="226" t="s">
        <v>3</v>
      </c>
      <c r="N48" s="226" t="s">
        <v>3</v>
      </c>
      <c r="O48" s="226" t="s">
        <v>3</v>
      </c>
      <c r="P48" s="226" t="s">
        <v>3</v>
      </c>
      <c r="Q48" s="226" t="s">
        <v>3</v>
      </c>
      <c r="R48" s="226" t="s">
        <v>3</v>
      </c>
      <c r="S48" s="226" t="s">
        <v>3</v>
      </c>
      <c r="T48" s="226" t="s">
        <v>3</v>
      </c>
      <c r="U48" s="226" t="s">
        <v>3</v>
      </c>
      <c r="V48" s="226" t="s">
        <v>3</v>
      </c>
      <c r="W48" s="226" t="s">
        <v>3</v>
      </c>
      <c r="X48" s="226" t="s">
        <v>3</v>
      </c>
      <c r="Y48" s="226" t="s">
        <v>3</v>
      </c>
      <c r="Z48" s="227" t="s">
        <v>3</v>
      </c>
    </row>
    <row r="49" spans="1:26" ht="14.45" customHeight="1">
      <c r="A49" s="708"/>
      <c r="B49" s="712"/>
      <c r="C49" s="715"/>
      <c r="D49" s="712"/>
      <c r="E49" s="712"/>
      <c r="F49" s="712"/>
      <c r="G49" s="224" t="s">
        <v>67</v>
      </c>
      <c r="H49" s="229">
        <f t="shared" si="4"/>
        <v>106</v>
      </c>
      <c r="I49" s="226">
        <f>IF(I50="","",I44+I50)</f>
        <v>6</v>
      </c>
      <c r="J49" s="226">
        <f t="shared" ref="J49" si="114">IF(J50="","",J44+J50)</f>
        <v>6</v>
      </c>
      <c r="K49" s="226">
        <f t="shared" ref="K49" si="115">IF(K50="","",K44+K50)</f>
        <v>7</v>
      </c>
      <c r="L49" s="226">
        <f t="shared" ref="L49" si="116">IF(L50="","",L44+L50)</f>
        <v>9</v>
      </c>
      <c r="M49" s="226">
        <f t="shared" ref="M49" si="117">IF(M50="","",M44+M50)</f>
        <v>4</v>
      </c>
      <c r="N49" s="226">
        <f t="shared" ref="N49" si="118">IF(N50="","",N44+N50)</f>
        <v>4</v>
      </c>
      <c r="O49" s="226">
        <f t="shared" ref="O49" si="119">IF(O50="","",O44+O50)</f>
        <v>6</v>
      </c>
      <c r="P49" s="226">
        <f t="shared" ref="P49" si="120">IF(P50="","",P44+P50)</f>
        <v>4</v>
      </c>
      <c r="Q49" s="226">
        <f t="shared" ref="Q49" si="121">IF(Q50="","",Q44+Q50)</f>
        <v>9</v>
      </c>
      <c r="R49" s="226">
        <f t="shared" ref="R49" si="122">IF(R50="","",R44+R50)</f>
        <v>7</v>
      </c>
      <c r="S49" s="226">
        <f t="shared" ref="S49" si="123">IF(S50="","",S44+S50)</f>
        <v>5</v>
      </c>
      <c r="T49" s="226">
        <f t="shared" ref="T49" si="124">IF(T50="","",T44+T50)</f>
        <v>5</v>
      </c>
      <c r="U49" s="226">
        <f t="shared" ref="U49" si="125">IF(U50="","",U44+U50)</f>
        <v>6</v>
      </c>
      <c r="V49" s="226">
        <f t="shared" ref="V49" si="126">IF(V50="","",V44+V50)</f>
        <v>5</v>
      </c>
      <c r="W49" s="226">
        <f t="shared" ref="W49" si="127">IF(W50="","",W44+W50)</f>
        <v>3</v>
      </c>
      <c r="X49" s="226">
        <f t="shared" ref="X49" si="128">IF(X50="","",X44+X50)</f>
        <v>8</v>
      </c>
      <c r="Y49" s="226">
        <f t="shared" ref="Y49" si="129">IF(Y50="","",Y44+Y50)</f>
        <v>5</v>
      </c>
      <c r="Z49" s="227">
        <f t="shared" ref="Z49" si="130">IF(Z50="","",Z44+Z50)</f>
        <v>7</v>
      </c>
    </row>
    <row r="50" spans="1:26" ht="14.45" customHeight="1">
      <c r="A50" s="709"/>
      <c r="B50" s="713"/>
      <c r="C50" s="716"/>
      <c r="D50" s="713"/>
      <c r="E50" s="713"/>
      <c r="F50" s="713"/>
      <c r="G50" s="230" t="s">
        <v>143</v>
      </c>
      <c r="H50" s="231" t="str">
        <f t="shared" si="22"/>
        <v>+34</v>
      </c>
      <c r="I50" s="231">
        <v>2</v>
      </c>
      <c r="J50" s="231">
        <v>2</v>
      </c>
      <c r="K50" s="231">
        <v>3</v>
      </c>
      <c r="L50" s="231">
        <v>4</v>
      </c>
      <c r="M50" s="233">
        <v>1</v>
      </c>
      <c r="N50" s="235">
        <v>0</v>
      </c>
      <c r="O50" s="231">
        <v>2</v>
      </c>
      <c r="P50" s="233">
        <v>1</v>
      </c>
      <c r="Q50" s="231">
        <v>4</v>
      </c>
      <c r="R50" s="231">
        <v>3</v>
      </c>
      <c r="S50" s="233">
        <v>1</v>
      </c>
      <c r="T50" s="231">
        <v>2</v>
      </c>
      <c r="U50" s="233">
        <v>1</v>
      </c>
      <c r="V50" s="233">
        <v>1</v>
      </c>
      <c r="W50" s="235">
        <v>0</v>
      </c>
      <c r="X50" s="231">
        <v>3</v>
      </c>
      <c r="Y50" s="233">
        <v>1</v>
      </c>
      <c r="Z50" s="234">
        <v>3</v>
      </c>
    </row>
    <row r="51" spans="1:26" ht="14.45" customHeight="1">
      <c r="A51" s="707">
        <v>8</v>
      </c>
      <c r="B51" s="710">
        <v>44812</v>
      </c>
      <c r="C51" s="714">
        <v>0.29444444444444445</v>
      </c>
      <c r="D51" s="727" t="s">
        <v>150</v>
      </c>
      <c r="E51" s="727" t="s">
        <v>1842</v>
      </c>
      <c r="F51" s="728" t="s">
        <v>1852</v>
      </c>
      <c r="G51" s="221" t="s">
        <v>137</v>
      </c>
      <c r="H51" s="222">
        <f t="shared" si="0"/>
        <v>72</v>
      </c>
      <c r="I51" s="222">
        <v>4</v>
      </c>
      <c r="J51" s="222">
        <v>4</v>
      </c>
      <c r="K51" s="222">
        <v>5</v>
      </c>
      <c r="L51" s="222">
        <v>4</v>
      </c>
      <c r="M51" s="222">
        <v>4</v>
      </c>
      <c r="N51" s="222">
        <v>3</v>
      </c>
      <c r="O51" s="222">
        <v>5</v>
      </c>
      <c r="P51" s="222">
        <v>3</v>
      </c>
      <c r="Q51" s="222">
        <v>4</v>
      </c>
      <c r="R51" s="222">
        <v>4</v>
      </c>
      <c r="S51" s="222">
        <v>4</v>
      </c>
      <c r="T51" s="222">
        <v>3</v>
      </c>
      <c r="U51" s="222">
        <v>5</v>
      </c>
      <c r="V51" s="222">
        <v>4</v>
      </c>
      <c r="W51" s="222">
        <v>3</v>
      </c>
      <c r="X51" s="222">
        <v>4</v>
      </c>
      <c r="Y51" s="222">
        <v>5</v>
      </c>
      <c r="Z51" s="223">
        <v>4</v>
      </c>
    </row>
    <row r="52" spans="1:26" ht="14.45" customHeight="1">
      <c r="A52" s="708"/>
      <c r="B52" s="711"/>
      <c r="C52" s="715"/>
      <c r="D52" s="712"/>
      <c r="E52" s="712"/>
      <c r="F52" s="729"/>
      <c r="G52" s="224" t="s">
        <v>160</v>
      </c>
      <c r="H52" s="225">
        <f t="shared" si="0"/>
        <v>5578</v>
      </c>
      <c r="I52" s="226">
        <v>343</v>
      </c>
      <c r="J52" s="226">
        <v>320</v>
      </c>
      <c r="K52" s="226">
        <v>448</v>
      </c>
      <c r="L52" s="226">
        <v>305</v>
      </c>
      <c r="M52" s="226">
        <v>342</v>
      </c>
      <c r="N52" s="226">
        <v>160</v>
      </c>
      <c r="O52" s="226">
        <v>425</v>
      </c>
      <c r="P52" s="226">
        <v>143</v>
      </c>
      <c r="Q52" s="226">
        <v>360</v>
      </c>
      <c r="R52" s="226">
        <v>306</v>
      </c>
      <c r="S52" s="226">
        <v>262</v>
      </c>
      <c r="T52" s="226">
        <v>132</v>
      </c>
      <c r="U52" s="226">
        <v>479</v>
      </c>
      <c r="V52" s="226">
        <v>309</v>
      </c>
      <c r="W52" s="226">
        <v>145</v>
      </c>
      <c r="X52" s="226">
        <v>305</v>
      </c>
      <c r="Y52" s="226">
        <v>465</v>
      </c>
      <c r="Z52" s="227">
        <v>329</v>
      </c>
    </row>
    <row r="53" spans="1:26" ht="14.45" customHeight="1">
      <c r="A53" s="708"/>
      <c r="B53" s="712"/>
      <c r="C53" s="715"/>
      <c r="D53" s="712"/>
      <c r="E53" s="712"/>
      <c r="F53" s="712"/>
      <c r="G53" s="224" t="s">
        <v>138</v>
      </c>
      <c r="H53" s="228" t="str">
        <f t="shared" si="1"/>
        <v>N/A</v>
      </c>
      <c r="I53" s="226" t="s">
        <v>2</v>
      </c>
      <c r="J53" s="226" t="s">
        <v>2</v>
      </c>
      <c r="K53" s="226" t="s">
        <v>2</v>
      </c>
      <c r="L53" s="226" t="s">
        <v>2</v>
      </c>
      <c r="M53" s="226" t="s">
        <v>2</v>
      </c>
      <c r="N53" s="226" t="s">
        <v>2</v>
      </c>
      <c r="O53" s="226" t="s">
        <v>2</v>
      </c>
      <c r="P53" s="226" t="s">
        <v>2</v>
      </c>
      <c r="Q53" s="226" t="s">
        <v>2</v>
      </c>
      <c r="R53" s="226" t="s">
        <v>2</v>
      </c>
      <c r="S53" s="226" t="s">
        <v>2</v>
      </c>
      <c r="T53" s="226" t="s">
        <v>2</v>
      </c>
      <c r="U53" s="226" t="s">
        <v>2</v>
      </c>
      <c r="V53" s="226" t="s">
        <v>2</v>
      </c>
      <c r="W53" s="226" t="s">
        <v>2</v>
      </c>
      <c r="X53" s="226" t="s">
        <v>2</v>
      </c>
      <c r="Y53" s="226" t="s">
        <v>2</v>
      </c>
      <c r="Z53" s="227" t="s">
        <v>2</v>
      </c>
    </row>
    <row r="54" spans="1:26" ht="14.45" customHeight="1">
      <c r="A54" s="708"/>
      <c r="B54" s="712"/>
      <c r="C54" s="715"/>
      <c r="D54" s="712"/>
      <c r="E54" s="712"/>
      <c r="F54" s="712"/>
      <c r="G54" s="224" t="s">
        <v>145</v>
      </c>
      <c r="H54" s="228" t="str">
        <f t="shared" ref="H54" si="131">IFERROR(IF(I55="N/A","N/A",COUNTIF(I54:Z54,"Y")/(COUNTIF(I54:Z54,"Y")+COUNTIF(I54:Z54,"N"))),"N/A")</f>
        <v>N/A</v>
      </c>
      <c r="I54" s="226" t="s">
        <v>2</v>
      </c>
      <c r="J54" s="226" t="s">
        <v>2</v>
      </c>
      <c r="K54" s="226" t="s">
        <v>2</v>
      </c>
      <c r="L54" s="226" t="s">
        <v>2</v>
      </c>
      <c r="M54" s="226" t="s">
        <v>2</v>
      </c>
      <c r="N54" s="226" t="s">
        <v>2</v>
      </c>
      <c r="O54" s="226" t="s">
        <v>2</v>
      </c>
      <c r="P54" s="226" t="s">
        <v>2</v>
      </c>
      <c r="Q54" s="226" t="s">
        <v>2</v>
      </c>
      <c r="R54" s="226" t="s">
        <v>2</v>
      </c>
      <c r="S54" s="226" t="s">
        <v>2</v>
      </c>
      <c r="T54" s="226" t="s">
        <v>2</v>
      </c>
      <c r="U54" s="226" t="s">
        <v>2</v>
      </c>
      <c r="V54" s="226" t="s">
        <v>2</v>
      </c>
      <c r="W54" s="226" t="s">
        <v>2</v>
      </c>
      <c r="X54" s="226" t="s">
        <v>2</v>
      </c>
      <c r="Y54" s="226" t="s">
        <v>2</v>
      </c>
      <c r="Z54" s="227" t="s">
        <v>2</v>
      </c>
    </row>
    <row r="55" spans="1:26" ht="14.45" customHeight="1">
      <c r="A55" s="708"/>
      <c r="B55" s="712"/>
      <c r="C55" s="715"/>
      <c r="D55" s="712"/>
      <c r="E55" s="712"/>
      <c r="F55" s="712"/>
      <c r="G55" s="224" t="s">
        <v>139</v>
      </c>
      <c r="H55" s="226" t="str">
        <f t="shared" si="3"/>
        <v>N/A</v>
      </c>
      <c r="I55" s="226" t="s">
        <v>3</v>
      </c>
      <c r="J55" s="226" t="s">
        <v>3</v>
      </c>
      <c r="K55" s="226" t="s">
        <v>3</v>
      </c>
      <c r="L55" s="226" t="s">
        <v>3</v>
      </c>
      <c r="M55" s="226" t="s">
        <v>3</v>
      </c>
      <c r="N55" s="226" t="s">
        <v>3</v>
      </c>
      <c r="O55" s="226" t="s">
        <v>3</v>
      </c>
      <c r="P55" s="226" t="s">
        <v>3</v>
      </c>
      <c r="Q55" s="226" t="s">
        <v>3</v>
      </c>
      <c r="R55" s="226" t="s">
        <v>3</v>
      </c>
      <c r="S55" s="226" t="s">
        <v>3</v>
      </c>
      <c r="T55" s="226" t="s">
        <v>3</v>
      </c>
      <c r="U55" s="226" t="s">
        <v>3</v>
      </c>
      <c r="V55" s="226" t="s">
        <v>3</v>
      </c>
      <c r="W55" s="226" t="s">
        <v>3</v>
      </c>
      <c r="X55" s="226" t="s">
        <v>3</v>
      </c>
      <c r="Y55" s="226" t="s">
        <v>3</v>
      </c>
      <c r="Z55" s="227" t="s">
        <v>3</v>
      </c>
    </row>
    <row r="56" spans="1:26" ht="14.45" customHeight="1">
      <c r="A56" s="708"/>
      <c r="B56" s="712"/>
      <c r="C56" s="715"/>
      <c r="D56" s="712"/>
      <c r="E56" s="712"/>
      <c r="F56" s="712"/>
      <c r="G56" s="224" t="s">
        <v>67</v>
      </c>
      <c r="H56" s="229">
        <f t="shared" si="4"/>
        <v>108</v>
      </c>
      <c r="I56" s="226">
        <f>IF(I57="","",I51+I57)</f>
        <v>6</v>
      </c>
      <c r="J56" s="226">
        <f t="shared" ref="J56" si="132">IF(J57="","",J51+J57)</f>
        <v>6</v>
      </c>
      <c r="K56" s="226">
        <f t="shared" ref="K56" si="133">IF(K57="","",K51+K57)</f>
        <v>8</v>
      </c>
      <c r="L56" s="226">
        <f t="shared" ref="L56" si="134">IF(L57="","",L51+L57)</f>
        <v>7</v>
      </c>
      <c r="M56" s="226">
        <f t="shared" ref="M56" si="135">IF(M57="","",M51+M57)</f>
        <v>8</v>
      </c>
      <c r="N56" s="226">
        <f t="shared" ref="N56" si="136">IF(N57="","",N51+N57)</f>
        <v>4</v>
      </c>
      <c r="O56" s="226">
        <f t="shared" ref="O56" si="137">IF(O57="","",O51+O57)</f>
        <v>7</v>
      </c>
      <c r="P56" s="226">
        <f t="shared" ref="P56" si="138">IF(P57="","",P51+P57)</f>
        <v>6</v>
      </c>
      <c r="Q56" s="226">
        <f t="shared" ref="Q56" si="139">IF(Q57="","",Q51+Q57)</f>
        <v>5</v>
      </c>
      <c r="R56" s="226">
        <f t="shared" ref="R56" si="140">IF(R57="","",R51+R57)</f>
        <v>6</v>
      </c>
      <c r="S56" s="226">
        <f t="shared" ref="S56" si="141">IF(S57="","",S51+S57)</f>
        <v>5</v>
      </c>
      <c r="T56" s="226">
        <f t="shared" ref="T56" si="142">IF(T57="","",T51+T57)</f>
        <v>4</v>
      </c>
      <c r="U56" s="226">
        <f t="shared" ref="U56" si="143">IF(U57="","",U51+U57)</f>
        <v>8</v>
      </c>
      <c r="V56" s="226">
        <f t="shared" ref="V56" si="144">IF(V57="","",V51+V57)</f>
        <v>6</v>
      </c>
      <c r="W56" s="226">
        <f t="shared" ref="W56" si="145">IF(W57="","",W51+W57)</f>
        <v>4</v>
      </c>
      <c r="X56" s="226">
        <f t="shared" ref="X56" si="146">IF(X57="","",X51+X57)</f>
        <v>4</v>
      </c>
      <c r="Y56" s="226">
        <f t="shared" ref="Y56" si="147">IF(Y57="","",Y51+Y57)</f>
        <v>9</v>
      </c>
      <c r="Z56" s="227">
        <f t="shared" ref="Z56" si="148">IF(Z57="","",Z51+Z57)</f>
        <v>5</v>
      </c>
    </row>
    <row r="57" spans="1:26" ht="14.45" customHeight="1">
      <c r="A57" s="709"/>
      <c r="B57" s="713"/>
      <c r="C57" s="716"/>
      <c r="D57" s="713"/>
      <c r="E57" s="713"/>
      <c r="F57" s="713"/>
      <c r="G57" s="230" t="s">
        <v>143</v>
      </c>
      <c r="H57" s="231" t="str">
        <f t="shared" si="22"/>
        <v>+36</v>
      </c>
      <c r="I57" s="231">
        <v>2</v>
      </c>
      <c r="J57" s="231">
        <v>2</v>
      </c>
      <c r="K57" s="231">
        <v>3</v>
      </c>
      <c r="L57" s="231">
        <v>3</v>
      </c>
      <c r="M57" s="232">
        <v>4</v>
      </c>
      <c r="N57" s="233">
        <v>1</v>
      </c>
      <c r="O57" s="231">
        <v>2</v>
      </c>
      <c r="P57" s="232">
        <v>3</v>
      </c>
      <c r="Q57" s="233">
        <v>1</v>
      </c>
      <c r="R57" s="231">
        <v>2</v>
      </c>
      <c r="S57" s="233">
        <v>1</v>
      </c>
      <c r="T57" s="233">
        <v>1</v>
      </c>
      <c r="U57" s="231">
        <v>3</v>
      </c>
      <c r="V57" s="231">
        <v>2</v>
      </c>
      <c r="W57" s="233">
        <v>1</v>
      </c>
      <c r="X57" s="235">
        <v>0</v>
      </c>
      <c r="Y57" s="231">
        <v>4</v>
      </c>
      <c r="Z57" s="236">
        <v>1</v>
      </c>
    </row>
    <row r="58" spans="1:26" ht="14.45" customHeight="1">
      <c r="A58" s="707">
        <v>9</v>
      </c>
      <c r="B58" s="710">
        <v>44842</v>
      </c>
      <c r="C58" s="714">
        <v>0.52083333333333337</v>
      </c>
      <c r="D58" s="727" t="s">
        <v>175</v>
      </c>
      <c r="E58" s="727" t="s">
        <v>174</v>
      </c>
      <c r="F58" s="728" t="s">
        <v>1853</v>
      </c>
      <c r="G58" s="221" t="s">
        <v>137</v>
      </c>
      <c r="H58" s="222">
        <f t="shared" si="0"/>
        <v>72</v>
      </c>
      <c r="I58" s="222">
        <v>5</v>
      </c>
      <c r="J58" s="222">
        <v>4</v>
      </c>
      <c r="K58" s="222">
        <v>4</v>
      </c>
      <c r="L58" s="222">
        <v>3</v>
      </c>
      <c r="M58" s="222">
        <v>4</v>
      </c>
      <c r="N58" s="222">
        <v>4</v>
      </c>
      <c r="O58" s="222">
        <v>4</v>
      </c>
      <c r="P58" s="222">
        <v>3</v>
      </c>
      <c r="Q58" s="222">
        <v>5</v>
      </c>
      <c r="R58" s="222">
        <v>4</v>
      </c>
      <c r="S58" s="222">
        <v>4</v>
      </c>
      <c r="T58" s="222">
        <v>3</v>
      </c>
      <c r="U58" s="222">
        <v>4</v>
      </c>
      <c r="V58" s="222">
        <v>5</v>
      </c>
      <c r="W58" s="222">
        <v>3</v>
      </c>
      <c r="X58" s="222">
        <v>5</v>
      </c>
      <c r="Y58" s="222">
        <v>4</v>
      </c>
      <c r="Z58" s="223">
        <v>4</v>
      </c>
    </row>
    <row r="59" spans="1:26" ht="14.45" customHeight="1">
      <c r="A59" s="708"/>
      <c r="B59" s="711"/>
      <c r="C59" s="715"/>
      <c r="D59" s="712"/>
      <c r="E59" s="712"/>
      <c r="F59" s="729"/>
      <c r="G59" s="224" t="s">
        <v>160</v>
      </c>
      <c r="H59" s="225">
        <f t="shared" si="0"/>
        <v>6031</v>
      </c>
      <c r="I59" s="226">
        <v>519</v>
      </c>
      <c r="J59" s="226">
        <v>356</v>
      </c>
      <c r="K59" s="226">
        <v>388</v>
      </c>
      <c r="L59" s="226">
        <v>138</v>
      </c>
      <c r="M59" s="226">
        <v>309</v>
      </c>
      <c r="N59" s="226">
        <v>388</v>
      </c>
      <c r="O59" s="226">
        <v>317</v>
      </c>
      <c r="P59" s="226">
        <v>161</v>
      </c>
      <c r="Q59" s="226">
        <v>503</v>
      </c>
      <c r="R59" s="226">
        <v>335</v>
      </c>
      <c r="S59" s="226">
        <v>335</v>
      </c>
      <c r="T59" s="226">
        <v>173</v>
      </c>
      <c r="U59" s="226">
        <v>314</v>
      </c>
      <c r="V59" s="226">
        <v>461</v>
      </c>
      <c r="W59" s="226">
        <v>158</v>
      </c>
      <c r="X59" s="226">
        <v>519</v>
      </c>
      <c r="Y59" s="226">
        <v>342</v>
      </c>
      <c r="Z59" s="227">
        <v>315</v>
      </c>
    </row>
    <row r="60" spans="1:26" ht="14.45" customHeight="1">
      <c r="A60" s="708"/>
      <c r="B60" s="712"/>
      <c r="C60" s="715"/>
      <c r="D60" s="712"/>
      <c r="E60" s="712"/>
      <c r="F60" s="712"/>
      <c r="G60" s="224" t="s">
        <v>138</v>
      </c>
      <c r="H60" s="228" t="str">
        <f t="shared" si="1"/>
        <v>N/A</v>
      </c>
      <c r="I60" s="226" t="s">
        <v>2</v>
      </c>
      <c r="J60" s="226" t="s">
        <v>2</v>
      </c>
      <c r="K60" s="226" t="s">
        <v>2</v>
      </c>
      <c r="L60" s="226" t="s">
        <v>2</v>
      </c>
      <c r="M60" s="226" t="s">
        <v>2</v>
      </c>
      <c r="N60" s="226" t="s">
        <v>2</v>
      </c>
      <c r="O60" s="226" t="s">
        <v>2</v>
      </c>
      <c r="P60" s="226" t="s">
        <v>2</v>
      </c>
      <c r="Q60" s="226" t="s">
        <v>2</v>
      </c>
      <c r="R60" s="226" t="s">
        <v>2</v>
      </c>
      <c r="S60" s="226" t="s">
        <v>2</v>
      </c>
      <c r="T60" s="226" t="s">
        <v>2</v>
      </c>
      <c r="U60" s="226" t="s">
        <v>2</v>
      </c>
      <c r="V60" s="226" t="s">
        <v>2</v>
      </c>
      <c r="W60" s="226" t="s">
        <v>2</v>
      </c>
      <c r="X60" s="226" t="s">
        <v>2</v>
      </c>
      <c r="Y60" s="226" t="s">
        <v>2</v>
      </c>
      <c r="Z60" s="227" t="s">
        <v>2</v>
      </c>
    </row>
    <row r="61" spans="1:26" ht="14.45" customHeight="1">
      <c r="A61" s="708"/>
      <c r="B61" s="712"/>
      <c r="C61" s="715"/>
      <c r="D61" s="712"/>
      <c r="E61" s="712"/>
      <c r="F61" s="712"/>
      <c r="G61" s="224" t="s">
        <v>145</v>
      </c>
      <c r="H61" s="228" t="str">
        <f t="shared" ref="H61" si="149">IFERROR(IF(I62="N/A","N/A",COUNTIF(I61:Z61,"Y")/(COUNTIF(I61:Z61,"Y")+COUNTIF(I61:Z61,"N"))),"N/A")</f>
        <v>N/A</v>
      </c>
      <c r="I61" s="226" t="s">
        <v>2</v>
      </c>
      <c r="J61" s="226" t="s">
        <v>2</v>
      </c>
      <c r="K61" s="226" t="s">
        <v>2</v>
      </c>
      <c r="L61" s="226" t="s">
        <v>2</v>
      </c>
      <c r="M61" s="226" t="s">
        <v>2</v>
      </c>
      <c r="N61" s="226" t="s">
        <v>2</v>
      </c>
      <c r="O61" s="226" t="s">
        <v>2</v>
      </c>
      <c r="P61" s="226" t="s">
        <v>2</v>
      </c>
      <c r="Q61" s="226" t="s">
        <v>2</v>
      </c>
      <c r="R61" s="226" t="s">
        <v>2</v>
      </c>
      <c r="S61" s="226" t="s">
        <v>2</v>
      </c>
      <c r="T61" s="226" t="s">
        <v>2</v>
      </c>
      <c r="U61" s="226" t="s">
        <v>2</v>
      </c>
      <c r="V61" s="226" t="s">
        <v>2</v>
      </c>
      <c r="W61" s="226" t="s">
        <v>2</v>
      </c>
      <c r="X61" s="226" t="s">
        <v>2</v>
      </c>
      <c r="Y61" s="226" t="s">
        <v>2</v>
      </c>
      <c r="Z61" s="227" t="s">
        <v>2</v>
      </c>
    </row>
    <row r="62" spans="1:26" ht="14.45" customHeight="1">
      <c r="A62" s="708"/>
      <c r="B62" s="712"/>
      <c r="C62" s="715"/>
      <c r="D62" s="712"/>
      <c r="E62" s="712"/>
      <c r="F62" s="712"/>
      <c r="G62" s="224" t="s">
        <v>139</v>
      </c>
      <c r="H62" s="226" t="str">
        <f t="shared" si="3"/>
        <v>N/A</v>
      </c>
      <c r="I62" s="226" t="s">
        <v>3</v>
      </c>
      <c r="J62" s="226" t="s">
        <v>3</v>
      </c>
      <c r="K62" s="226" t="s">
        <v>3</v>
      </c>
      <c r="L62" s="226" t="s">
        <v>3</v>
      </c>
      <c r="M62" s="226" t="s">
        <v>3</v>
      </c>
      <c r="N62" s="226" t="s">
        <v>3</v>
      </c>
      <c r="O62" s="226" t="s">
        <v>3</v>
      </c>
      <c r="P62" s="226" t="s">
        <v>3</v>
      </c>
      <c r="Q62" s="226" t="s">
        <v>3</v>
      </c>
      <c r="R62" s="226" t="s">
        <v>3</v>
      </c>
      <c r="S62" s="226" t="s">
        <v>3</v>
      </c>
      <c r="T62" s="226" t="s">
        <v>3</v>
      </c>
      <c r="U62" s="226" t="s">
        <v>3</v>
      </c>
      <c r="V62" s="226" t="s">
        <v>3</v>
      </c>
      <c r="W62" s="226" t="s">
        <v>3</v>
      </c>
      <c r="X62" s="226" t="s">
        <v>3</v>
      </c>
      <c r="Y62" s="226" t="s">
        <v>3</v>
      </c>
      <c r="Z62" s="227" t="s">
        <v>3</v>
      </c>
    </row>
    <row r="63" spans="1:26" ht="14.45" customHeight="1">
      <c r="A63" s="708"/>
      <c r="B63" s="712"/>
      <c r="C63" s="715"/>
      <c r="D63" s="712"/>
      <c r="E63" s="712"/>
      <c r="F63" s="712"/>
      <c r="G63" s="224" t="s">
        <v>67</v>
      </c>
      <c r="H63" s="229">
        <f t="shared" si="4"/>
        <v>108</v>
      </c>
      <c r="I63" s="226">
        <f>IF(I64="","",I58+I64)</f>
        <v>8</v>
      </c>
      <c r="J63" s="226">
        <f t="shared" ref="J63" si="150">IF(J64="","",J58+J64)</f>
        <v>7</v>
      </c>
      <c r="K63" s="226">
        <f t="shared" ref="K63" si="151">IF(K64="","",K58+K64)</f>
        <v>6</v>
      </c>
      <c r="L63" s="226">
        <f t="shared" ref="L63" si="152">IF(L64="","",L58+L64)</f>
        <v>3</v>
      </c>
      <c r="M63" s="226">
        <f t="shared" ref="M63" si="153">IF(M64="","",M58+M64)</f>
        <v>5</v>
      </c>
      <c r="N63" s="226">
        <f t="shared" ref="N63" si="154">IF(N64="","",N58+N64)</f>
        <v>7</v>
      </c>
      <c r="O63" s="226">
        <f t="shared" ref="O63" si="155">IF(O64="","",O58+O64)</f>
        <v>6</v>
      </c>
      <c r="P63" s="226">
        <f t="shared" ref="P63" si="156">IF(P64="","",P58+P64)</f>
        <v>5</v>
      </c>
      <c r="Q63" s="226">
        <f t="shared" ref="Q63" si="157">IF(Q64="","",Q58+Q64)</f>
        <v>10</v>
      </c>
      <c r="R63" s="226">
        <f t="shared" ref="R63" si="158">IF(R64="","",R58+R64)</f>
        <v>6</v>
      </c>
      <c r="S63" s="226">
        <f t="shared" ref="S63" si="159">IF(S64="","",S58+S64)</f>
        <v>5</v>
      </c>
      <c r="T63" s="226">
        <f t="shared" ref="T63" si="160">IF(T64="","",T58+T64)</f>
        <v>4</v>
      </c>
      <c r="U63" s="226">
        <f t="shared" ref="U63" si="161">IF(U64="","",U58+U64)</f>
        <v>4</v>
      </c>
      <c r="V63" s="226">
        <f t="shared" ref="V63" si="162">IF(V64="","",V58+V64)</f>
        <v>7</v>
      </c>
      <c r="W63" s="226">
        <f t="shared" ref="W63" si="163">IF(W64="","",W58+W64)</f>
        <v>3</v>
      </c>
      <c r="X63" s="226">
        <f t="shared" ref="X63" si="164">IF(X64="","",X58+X64)</f>
        <v>8</v>
      </c>
      <c r="Y63" s="226">
        <f t="shared" ref="Y63" si="165">IF(Y64="","",Y58+Y64)</f>
        <v>8</v>
      </c>
      <c r="Z63" s="227">
        <f t="shared" ref="Z63" si="166">IF(Z64="","",Z58+Z64)</f>
        <v>6</v>
      </c>
    </row>
    <row r="64" spans="1:26" ht="14.45" customHeight="1">
      <c r="A64" s="709"/>
      <c r="B64" s="713"/>
      <c r="C64" s="716"/>
      <c r="D64" s="713"/>
      <c r="E64" s="713"/>
      <c r="F64" s="713"/>
      <c r="G64" s="230" t="s">
        <v>143</v>
      </c>
      <c r="H64" s="231" t="str">
        <f t="shared" si="22"/>
        <v>+36</v>
      </c>
      <c r="I64" s="231">
        <v>3</v>
      </c>
      <c r="J64" s="231">
        <v>3</v>
      </c>
      <c r="K64" s="231">
        <v>2</v>
      </c>
      <c r="L64" s="235">
        <v>0</v>
      </c>
      <c r="M64" s="233">
        <v>1</v>
      </c>
      <c r="N64" s="231">
        <v>3</v>
      </c>
      <c r="O64" s="231">
        <v>2</v>
      </c>
      <c r="P64" s="231">
        <v>2</v>
      </c>
      <c r="Q64" s="232">
        <v>5</v>
      </c>
      <c r="R64" s="231">
        <v>2</v>
      </c>
      <c r="S64" s="233">
        <v>1</v>
      </c>
      <c r="T64" s="233">
        <v>1</v>
      </c>
      <c r="U64" s="235">
        <v>0</v>
      </c>
      <c r="V64" s="231">
        <v>2</v>
      </c>
      <c r="W64" s="235">
        <v>0</v>
      </c>
      <c r="X64" s="231">
        <v>3</v>
      </c>
      <c r="Y64" s="232">
        <v>4</v>
      </c>
      <c r="Z64" s="234">
        <v>2</v>
      </c>
    </row>
    <row r="65" spans="1:26" ht="14.45" customHeight="1">
      <c r="A65" s="707">
        <v>10</v>
      </c>
      <c r="B65" s="710">
        <v>44863</v>
      </c>
      <c r="C65" s="714">
        <v>0.37222222222222223</v>
      </c>
      <c r="D65" s="727" t="s">
        <v>156</v>
      </c>
      <c r="E65" s="727" t="s">
        <v>1854</v>
      </c>
      <c r="F65" s="728" t="s">
        <v>1855</v>
      </c>
      <c r="G65" s="221" t="s">
        <v>137</v>
      </c>
      <c r="H65" s="222">
        <f t="shared" si="0"/>
        <v>72</v>
      </c>
      <c r="I65" s="222">
        <v>4</v>
      </c>
      <c r="J65" s="222">
        <v>5</v>
      </c>
      <c r="K65" s="222">
        <v>4</v>
      </c>
      <c r="L65" s="222">
        <v>3</v>
      </c>
      <c r="M65" s="222">
        <v>5</v>
      </c>
      <c r="N65" s="222">
        <v>4</v>
      </c>
      <c r="O65" s="222">
        <v>4</v>
      </c>
      <c r="P65" s="222">
        <v>3</v>
      </c>
      <c r="Q65" s="222">
        <v>4</v>
      </c>
      <c r="R65" s="222">
        <v>4</v>
      </c>
      <c r="S65" s="222">
        <v>4</v>
      </c>
      <c r="T65" s="222">
        <v>5</v>
      </c>
      <c r="U65" s="222">
        <v>3</v>
      </c>
      <c r="V65" s="222">
        <v>4</v>
      </c>
      <c r="W65" s="222">
        <v>5</v>
      </c>
      <c r="X65" s="222">
        <v>3</v>
      </c>
      <c r="Y65" s="222">
        <v>4</v>
      </c>
      <c r="Z65" s="223">
        <v>4</v>
      </c>
    </row>
    <row r="66" spans="1:26" ht="14.45" customHeight="1">
      <c r="A66" s="708"/>
      <c r="B66" s="711"/>
      <c r="C66" s="715"/>
      <c r="D66" s="712"/>
      <c r="E66" s="712"/>
      <c r="F66" s="729"/>
      <c r="G66" s="224" t="s">
        <v>160</v>
      </c>
      <c r="H66" s="225">
        <f t="shared" ref="H66:H122" si="167">SUM(I66:Z66)</f>
        <v>5824</v>
      </c>
      <c r="I66" s="226">
        <v>327</v>
      </c>
      <c r="J66" s="226">
        <v>467</v>
      </c>
      <c r="K66" s="226">
        <v>308</v>
      </c>
      <c r="L66" s="226">
        <v>136</v>
      </c>
      <c r="M66" s="226">
        <v>483</v>
      </c>
      <c r="N66" s="226">
        <v>347</v>
      </c>
      <c r="O66" s="226">
        <v>314</v>
      </c>
      <c r="P66" s="226">
        <v>140</v>
      </c>
      <c r="Q66" s="226">
        <v>375</v>
      </c>
      <c r="R66" s="226">
        <v>340</v>
      </c>
      <c r="S66" s="226">
        <v>323</v>
      </c>
      <c r="T66" s="226">
        <v>498</v>
      </c>
      <c r="U66" s="226">
        <v>120</v>
      </c>
      <c r="V66" s="226">
        <v>301</v>
      </c>
      <c r="W66" s="226">
        <v>442</v>
      </c>
      <c r="X66" s="226">
        <v>167</v>
      </c>
      <c r="Y66" s="226">
        <v>356</v>
      </c>
      <c r="Z66" s="227">
        <v>380</v>
      </c>
    </row>
    <row r="67" spans="1:26" ht="14.45" customHeight="1">
      <c r="A67" s="708"/>
      <c r="B67" s="712"/>
      <c r="C67" s="715"/>
      <c r="D67" s="712"/>
      <c r="E67" s="712"/>
      <c r="F67" s="712"/>
      <c r="G67" s="224" t="s">
        <v>138</v>
      </c>
      <c r="H67" s="228" t="str">
        <f t="shared" si="1"/>
        <v>N/A</v>
      </c>
      <c r="I67" s="226" t="s">
        <v>2</v>
      </c>
      <c r="J67" s="226" t="s">
        <v>2</v>
      </c>
      <c r="K67" s="226" t="s">
        <v>2</v>
      </c>
      <c r="L67" s="226" t="s">
        <v>2</v>
      </c>
      <c r="M67" s="226" t="s">
        <v>2</v>
      </c>
      <c r="N67" s="226" t="s">
        <v>2</v>
      </c>
      <c r="O67" s="226" t="s">
        <v>2</v>
      </c>
      <c r="P67" s="226" t="s">
        <v>2</v>
      </c>
      <c r="Q67" s="226" t="s">
        <v>2</v>
      </c>
      <c r="R67" s="226" t="s">
        <v>2</v>
      </c>
      <c r="S67" s="226" t="s">
        <v>2</v>
      </c>
      <c r="T67" s="226" t="s">
        <v>2</v>
      </c>
      <c r="U67" s="226" t="s">
        <v>2</v>
      </c>
      <c r="V67" s="226" t="s">
        <v>2</v>
      </c>
      <c r="W67" s="226" t="s">
        <v>2</v>
      </c>
      <c r="X67" s="226" t="s">
        <v>2</v>
      </c>
      <c r="Y67" s="226" t="s">
        <v>2</v>
      </c>
      <c r="Z67" s="227" t="s">
        <v>2</v>
      </c>
    </row>
    <row r="68" spans="1:26" ht="14.45" customHeight="1">
      <c r="A68" s="708"/>
      <c r="B68" s="712"/>
      <c r="C68" s="715"/>
      <c r="D68" s="712"/>
      <c r="E68" s="712"/>
      <c r="F68" s="712"/>
      <c r="G68" s="224" t="s">
        <v>145</v>
      </c>
      <c r="H68" s="228" t="str">
        <f t="shared" ref="H68" si="168">IFERROR(IF(I69="N/A","N/A",COUNTIF(I68:Z68,"Y")/(COUNTIF(I68:Z68,"Y")+COUNTIF(I68:Z68,"N"))),"N/A")</f>
        <v>N/A</v>
      </c>
      <c r="I68" s="226" t="s">
        <v>2</v>
      </c>
      <c r="J68" s="226" t="s">
        <v>2</v>
      </c>
      <c r="K68" s="226" t="s">
        <v>2</v>
      </c>
      <c r="L68" s="226" t="s">
        <v>2</v>
      </c>
      <c r="M68" s="226" t="s">
        <v>2</v>
      </c>
      <c r="N68" s="226" t="s">
        <v>2</v>
      </c>
      <c r="O68" s="226" t="s">
        <v>2</v>
      </c>
      <c r="P68" s="226" t="s">
        <v>2</v>
      </c>
      <c r="Q68" s="226" t="s">
        <v>2</v>
      </c>
      <c r="R68" s="226" t="s">
        <v>2</v>
      </c>
      <c r="S68" s="226" t="s">
        <v>2</v>
      </c>
      <c r="T68" s="226" t="s">
        <v>2</v>
      </c>
      <c r="U68" s="226" t="s">
        <v>2</v>
      </c>
      <c r="V68" s="226" t="s">
        <v>2</v>
      </c>
      <c r="W68" s="226" t="s">
        <v>2</v>
      </c>
      <c r="X68" s="226" t="s">
        <v>2</v>
      </c>
      <c r="Y68" s="226" t="s">
        <v>2</v>
      </c>
      <c r="Z68" s="227" t="s">
        <v>2</v>
      </c>
    </row>
    <row r="69" spans="1:26" ht="14.45" customHeight="1">
      <c r="A69" s="708"/>
      <c r="B69" s="712"/>
      <c r="C69" s="715"/>
      <c r="D69" s="712"/>
      <c r="E69" s="712"/>
      <c r="F69" s="712"/>
      <c r="G69" s="224" t="s">
        <v>139</v>
      </c>
      <c r="H69" s="226" t="str">
        <f t="shared" si="3"/>
        <v>N/A</v>
      </c>
      <c r="I69" s="226" t="s">
        <v>3</v>
      </c>
      <c r="J69" s="226" t="s">
        <v>3</v>
      </c>
      <c r="K69" s="226" t="s">
        <v>3</v>
      </c>
      <c r="L69" s="226" t="s">
        <v>3</v>
      </c>
      <c r="M69" s="226" t="s">
        <v>3</v>
      </c>
      <c r="N69" s="226" t="s">
        <v>3</v>
      </c>
      <c r="O69" s="226" t="s">
        <v>3</v>
      </c>
      <c r="P69" s="226" t="s">
        <v>3</v>
      </c>
      <c r="Q69" s="226" t="s">
        <v>3</v>
      </c>
      <c r="R69" s="226" t="s">
        <v>3</v>
      </c>
      <c r="S69" s="226" t="s">
        <v>3</v>
      </c>
      <c r="T69" s="226" t="s">
        <v>3</v>
      </c>
      <c r="U69" s="226" t="s">
        <v>3</v>
      </c>
      <c r="V69" s="226" t="s">
        <v>3</v>
      </c>
      <c r="W69" s="226" t="s">
        <v>3</v>
      </c>
      <c r="X69" s="226" t="s">
        <v>3</v>
      </c>
      <c r="Y69" s="226" t="s">
        <v>3</v>
      </c>
      <c r="Z69" s="227" t="s">
        <v>3</v>
      </c>
    </row>
    <row r="70" spans="1:26" ht="14.45" customHeight="1">
      <c r="A70" s="708"/>
      <c r="B70" s="712"/>
      <c r="C70" s="715"/>
      <c r="D70" s="712"/>
      <c r="E70" s="712"/>
      <c r="F70" s="712"/>
      <c r="G70" s="224" t="s">
        <v>67</v>
      </c>
      <c r="H70" s="229">
        <f t="shared" si="4"/>
        <v>101</v>
      </c>
      <c r="I70" s="226">
        <f>IF(I71="","",I65+I71)</f>
        <v>5</v>
      </c>
      <c r="J70" s="226">
        <f t="shared" ref="J70" si="169">IF(J71="","",J65+J71)</f>
        <v>6</v>
      </c>
      <c r="K70" s="226">
        <f t="shared" ref="K70" si="170">IF(K71="","",K65+K71)</f>
        <v>6</v>
      </c>
      <c r="L70" s="226">
        <f t="shared" ref="L70" si="171">IF(L71="","",L65+L71)</f>
        <v>4</v>
      </c>
      <c r="M70" s="226">
        <f t="shared" ref="M70" si="172">IF(M71="","",M65+M71)</f>
        <v>8</v>
      </c>
      <c r="N70" s="226">
        <f t="shared" ref="N70" si="173">IF(N71="","",N65+N71)</f>
        <v>5</v>
      </c>
      <c r="O70" s="226">
        <f t="shared" ref="O70" si="174">IF(O71="","",O65+O71)</f>
        <v>4</v>
      </c>
      <c r="P70" s="226">
        <f t="shared" ref="P70" si="175">IF(P71="","",P65+P71)</f>
        <v>4</v>
      </c>
      <c r="Q70" s="226">
        <f t="shared" ref="Q70" si="176">IF(Q71="","",Q65+Q71)</f>
        <v>7</v>
      </c>
      <c r="R70" s="226">
        <f t="shared" ref="R70" si="177">IF(R71="","",R65+R71)</f>
        <v>5</v>
      </c>
      <c r="S70" s="226">
        <f t="shared" ref="S70" si="178">IF(S71="","",S65+S71)</f>
        <v>5</v>
      </c>
      <c r="T70" s="226">
        <f t="shared" ref="T70" si="179">IF(T71="","",T65+T71)</f>
        <v>6</v>
      </c>
      <c r="U70" s="226">
        <f t="shared" ref="U70" si="180">IF(U71="","",U65+U71)</f>
        <v>5</v>
      </c>
      <c r="V70" s="226">
        <f t="shared" ref="V70" si="181">IF(V71="","",V65+V71)</f>
        <v>5</v>
      </c>
      <c r="W70" s="226">
        <f t="shared" ref="W70" si="182">IF(W71="","",W65+W71)</f>
        <v>6</v>
      </c>
      <c r="X70" s="226">
        <f t="shared" ref="X70" si="183">IF(X71="","",X65+X71)</f>
        <v>6</v>
      </c>
      <c r="Y70" s="226">
        <f t="shared" ref="Y70" si="184">IF(Y71="","",Y65+Y71)</f>
        <v>6</v>
      </c>
      <c r="Z70" s="227">
        <f t="shared" ref="Z70" si="185">IF(Z71="","",Z65+Z71)</f>
        <v>8</v>
      </c>
    </row>
    <row r="71" spans="1:26" ht="14.45" customHeight="1">
      <c r="A71" s="709"/>
      <c r="B71" s="713"/>
      <c r="C71" s="716"/>
      <c r="D71" s="713"/>
      <c r="E71" s="713"/>
      <c r="F71" s="713"/>
      <c r="G71" s="230" t="s">
        <v>143</v>
      </c>
      <c r="H71" s="231" t="str">
        <f t="shared" si="22"/>
        <v>+29</v>
      </c>
      <c r="I71" s="233">
        <v>1</v>
      </c>
      <c r="J71" s="233">
        <v>1</v>
      </c>
      <c r="K71" s="231">
        <v>2</v>
      </c>
      <c r="L71" s="233">
        <v>1</v>
      </c>
      <c r="M71" s="231">
        <v>3</v>
      </c>
      <c r="N71" s="233">
        <v>1</v>
      </c>
      <c r="O71" s="235">
        <v>0</v>
      </c>
      <c r="P71" s="233">
        <v>1</v>
      </c>
      <c r="Q71" s="231">
        <v>3</v>
      </c>
      <c r="R71" s="233">
        <v>1</v>
      </c>
      <c r="S71" s="233">
        <v>1</v>
      </c>
      <c r="T71" s="233">
        <v>1</v>
      </c>
      <c r="U71" s="231">
        <v>2</v>
      </c>
      <c r="V71" s="233">
        <v>1</v>
      </c>
      <c r="W71" s="233">
        <v>1</v>
      </c>
      <c r="X71" s="232">
        <v>3</v>
      </c>
      <c r="Y71" s="231">
        <v>2</v>
      </c>
      <c r="Z71" s="238">
        <v>4</v>
      </c>
    </row>
    <row r="72" spans="1:26" ht="14.45" customHeight="1">
      <c r="A72" s="707">
        <v>11</v>
      </c>
      <c r="B72" s="710">
        <v>44884</v>
      </c>
      <c r="C72" s="714">
        <v>0.35555555555555557</v>
      </c>
      <c r="D72" s="727" t="s">
        <v>178</v>
      </c>
      <c r="E72" s="727" t="s">
        <v>1856</v>
      </c>
      <c r="F72" s="728" t="s">
        <v>1857</v>
      </c>
      <c r="G72" s="221" t="s">
        <v>137</v>
      </c>
      <c r="H72" s="222">
        <f t="shared" si="167"/>
        <v>72</v>
      </c>
      <c r="I72" s="222">
        <v>4</v>
      </c>
      <c r="J72" s="222">
        <v>4</v>
      </c>
      <c r="K72" s="222">
        <v>3</v>
      </c>
      <c r="L72" s="222">
        <v>4</v>
      </c>
      <c r="M72" s="222">
        <v>4</v>
      </c>
      <c r="N72" s="222">
        <v>5</v>
      </c>
      <c r="O72" s="222">
        <v>3</v>
      </c>
      <c r="P72" s="222">
        <v>4</v>
      </c>
      <c r="Q72" s="222">
        <v>5</v>
      </c>
      <c r="R72" s="222">
        <v>5</v>
      </c>
      <c r="S72" s="222">
        <v>4</v>
      </c>
      <c r="T72" s="222">
        <v>3</v>
      </c>
      <c r="U72" s="222">
        <v>4</v>
      </c>
      <c r="V72" s="222">
        <v>5</v>
      </c>
      <c r="W72" s="222">
        <v>3</v>
      </c>
      <c r="X72" s="222">
        <v>4</v>
      </c>
      <c r="Y72" s="222">
        <v>3</v>
      </c>
      <c r="Z72" s="223">
        <v>5</v>
      </c>
    </row>
    <row r="73" spans="1:26" ht="14.45" customHeight="1">
      <c r="A73" s="708"/>
      <c r="B73" s="711"/>
      <c r="C73" s="715"/>
      <c r="D73" s="712"/>
      <c r="E73" s="712"/>
      <c r="F73" s="729"/>
      <c r="G73" s="224" t="s">
        <v>160</v>
      </c>
      <c r="H73" s="225">
        <f t="shared" si="167"/>
        <v>5860</v>
      </c>
      <c r="I73" s="226">
        <v>338</v>
      </c>
      <c r="J73" s="226">
        <v>350</v>
      </c>
      <c r="K73" s="226">
        <v>140</v>
      </c>
      <c r="L73" s="226">
        <v>372</v>
      </c>
      <c r="M73" s="226">
        <v>295</v>
      </c>
      <c r="N73" s="226">
        <v>480</v>
      </c>
      <c r="O73" s="226">
        <v>110</v>
      </c>
      <c r="P73" s="226">
        <v>323</v>
      </c>
      <c r="Q73" s="226">
        <v>485</v>
      </c>
      <c r="R73" s="226">
        <v>450</v>
      </c>
      <c r="S73" s="226">
        <v>335</v>
      </c>
      <c r="T73" s="226">
        <v>135</v>
      </c>
      <c r="U73" s="226">
        <v>382</v>
      </c>
      <c r="V73" s="226">
        <v>463</v>
      </c>
      <c r="W73" s="226">
        <v>170</v>
      </c>
      <c r="X73" s="226">
        <v>347</v>
      </c>
      <c r="Y73" s="226">
        <v>180</v>
      </c>
      <c r="Z73" s="227">
        <v>505</v>
      </c>
    </row>
    <row r="74" spans="1:26" ht="14.45" customHeight="1">
      <c r="A74" s="708"/>
      <c r="B74" s="712"/>
      <c r="C74" s="715"/>
      <c r="D74" s="712"/>
      <c r="E74" s="712"/>
      <c r="F74" s="712"/>
      <c r="G74" s="224" t="s">
        <v>138</v>
      </c>
      <c r="H74" s="228" t="str">
        <f t="shared" ref="H74:H123" si="186">IF(I76="N/A","N/A",IF(COUNTIF(I74:Z74,"Y")/14=0,"N/A",COUNTIF(I74:Z74,"Y")/(COUNTIF(I74:Z74,"Y")+COUNTIF(I74:Z74,"N"))))</f>
        <v>N/A</v>
      </c>
      <c r="I74" s="226" t="s">
        <v>2</v>
      </c>
      <c r="J74" s="226" t="s">
        <v>2</v>
      </c>
      <c r="K74" s="226" t="s">
        <v>2</v>
      </c>
      <c r="L74" s="226" t="s">
        <v>2</v>
      </c>
      <c r="M74" s="226" t="s">
        <v>2</v>
      </c>
      <c r="N74" s="226" t="s">
        <v>2</v>
      </c>
      <c r="O74" s="226" t="s">
        <v>2</v>
      </c>
      <c r="P74" s="226" t="s">
        <v>2</v>
      </c>
      <c r="Q74" s="226" t="s">
        <v>2</v>
      </c>
      <c r="R74" s="226" t="s">
        <v>2</v>
      </c>
      <c r="S74" s="226" t="s">
        <v>2</v>
      </c>
      <c r="T74" s="226" t="s">
        <v>2</v>
      </c>
      <c r="U74" s="226" t="s">
        <v>2</v>
      </c>
      <c r="V74" s="226" t="s">
        <v>2</v>
      </c>
      <c r="W74" s="226" t="s">
        <v>2</v>
      </c>
      <c r="X74" s="226" t="s">
        <v>2</v>
      </c>
      <c r="Y74" s="226" t="s">
        <v>2</v>
      </c>
      <c r="Z74" s="227" t="s">
        <v>2</v>
      </c>
    </row>
    <row r="75" spans="1:26" ht="14.45" customHeight="1">
      <c r="A75" s="708"/>
      <c r="B75" s="712"/>
      <c r="C75" s="715"/>
      <c r="D75" s="712"/>
      <c r="E75" s="712"/>
      <c r="F75" s="712"/>
      <c r="G75" s="224" t="s">
        <v>145</v>
      </c>
      <c r="H75" s="228" t="str">
        <f t="shared" ref="H75" si="187">IFERROR(IF(I76="N/A","N/A",COUNTIF(I75:Z75,"Y")/(COUNTIF(I75:Z75,"Y")+COUNTIF(I75:Z75,"N"))),"N/A")</f>
        <v>N/A</v>
      </c>
      <c r="I75" s="226" t="s">
        <v>2</v>
      </c>
      <c r="J75" s="226" t="s">
        <v>2</v>
      </c>
      <c r="K75" s="226" t="s">
        <v>2</v>
      </c>
      <c r="L75" s="226" t="s">
        <v>2</v>
      </c>
      <c r="M75" s="226" t="s">
        <v>2</v>
      </c>
      <c r="N75" s="226" t="s">
        <v>2</v>
      </c>
      <c r="O75" s="226" t="s">
        <v>2</v>
      </c>
      <c r="P75" s="226" t="s">
        <v>2</v>
      </c>
      <c r="Q75" s="226" t="s">
        <v>2</v>
      </c>
      <c r="R75" s="226" t="s">
        <v>2</v>
      </c>
      <c r="S75" s="226" t="s">
        <v>2</v>
      </c>
      <c r="T75" s="226" t="s">
        <v>2</v>
      </c>
      <c r="U75" s="226" t="s">
        <v>2</v>
      </c>
      <c r="V75" s="226" t="s">
        <v>2</v>
      </c>
      <c r="W75" s="226" t="s">
        <v>2</v>
      </c>
      <c r="X75" s="226" t="s">
        <v>2</v>
      </c>
      <c r="Y75" s="226" t="s">
        <v>2</v>
      </c>
      <c r="Z75" s="227" t="s">
        <v>2</v>
      </c>
    </row>
    <row r="76" spans="1:26" ht="14.45" customHeight="1">
      <c r="A76" s="708"/>
      <c r="B76" s="712"/>
      <c r="C76" s="715"/>
      <c r="D76" s="712"/>
      <c r="E76" s="712"/>
      <c r="F76" s="712"/>
      <c r="G76" s="224" t="s">
        <v>139</v>
      </c>
      <c r="H76" s="226" t="str">
        <f t="shared" ref="H76:H125" si="188">IF(I76="N/A","N/A",SUM(I76:Z76))</f>
        <v>N/A</v>
      </c>
      <c r="I76" s="226" t="s">
        <v>3</v>
      </c>
      <c r="J76" s="226" t="s">
        <v>3</v>
      </c>
      <c r="K76" s="226" t="s">
        <v>3</v>
      </c>
      <c r="L76" s="226" t="s">
        <v>3</v>
      </c>
      <c r="M76" s="226" t="s">
        <v>3</v>
      </c>
      <c r="N76" s="226" t="s">
        <v>3</v>
      </c>
      <c r="O76" s="226" t="s">
        <v>3</v>
      </c>
      <c r="P76" s="226" t="s">
        <v>3</v>
      </c>
      <c r="Q76" s="226" t="s">
        <v>3</v>
      </c>
      <c r="R76" s="226" t="s">
        <v>3</v>
      </c>
      <c r="S76" s="226" t="s">
        <v>3</v>
      </c>
      <c r="T76" s="226" t="s">
        <v>3</v>
      </c>
      <c r="U76" s="226" t="s">
        <v>3</v>
      </c>
      <c r="V76" s="226" t="s">
        <v>3</v>
      </c>
      <c r="W76" s="226" t="s">
        <v>3</v>
      </c>
      <c r="X76" s="226" t="s">
        <v>3</v>
      </c>
      <c r="Y76" s="226" t="s">
        <v>3</v>
      </c>
      <c r="Z76" s="227" t="s">
        <v>3</v>
      </c>
    </row>
    <row r="77" spans="1:26" ht="14.45" customHeight="1">
      <c r="A77" s="708"/>
      <c r="B77" s="712"/>
      <c r="C77" s="715"/>
      <c r="D77" s="712"/>
      <c r="E77" s="712"/>
      <c r="F77" s="712"/>
      <c r="G77" s="224" t="s">
        <v>67</v>
      </c>
      <c r="H77" s="229">
        <f t="shared" ref="H77:H126" si="189">SUM(I77:Z77)</f>
        <v>108</v>
      </c>
      <c r="I77" s="226">
        <f>IF(I78="","",I72+I78)</f>
        <v>7</v>
      </c>
      <c r="J77" s="226">
        <f t="shared" ref="J77" si="190">IF(J78="","",J72+J78)</f>
        <v>5</v>
      </c>
      <c r="K77" s="226">
        <f t="shared" ref="K77" si="191">IF(K78="","",K72+K78)</f>
        <v>5</v>
      </c>
      <c r="L77" s="226">
        <f t="shared" ref="L77" si="192">IF(L78="","",L72+L78)</f>
        <v>5</v>
      </c>
      <c r="M77" s="226">
        <f t="shared" ref="M77" si="193">IF(M78="","",M72+M78)</f>
        <v>6</v>
      </c>
      <c r="N77" s="226">
        <f t="shared" ref="N77" si="194">IF(N78="","",N72+N78)</f>
        <v>5</v>
      </c>
      <c r="O77" s="226">
        <f t="shared" ref="O77" si="195">IF(O78="","",O72+O78)</f>
        <v>6</v>
      </c>
      <c r="P77" s="226">
        <f t="shared" ref="P77" si="196">IF(P78="","",P72+P78)</f>
        <v>6</v>
      </c>
      <c r="Q77" s="226">
        <f t="shared" ref="Q77" si="197">IF(Q78="","",Q72+Q78)</f>
        <v>8</v>
      </c>
      <c r="R77" s="226">
        <f t="shared" ref="R77" si="198">IF(R78="","",R72+R78)</f>
        <v>6</v>
      </c>
      <c r="S77" s="226">
        <f t="shared" ref="S77" si="199">IF(S78="","",S72+S78)</f>
        <v>6</v>
      </c>
      <c r="T77" s="226">
        <f t="shared" ref="T77" si="200">IF(T78="","",T72+T78)</f>
        <v>5</v>
      </c>
      <c r="U77" s="226">
        <f t="shared" ref="U77" si="201">IF(U78="","",U72+U78)</f>
        <v>6</v>
      </c>
      <c r="V77" s="226">
        <f t="shared" ref="V77" si="202">IF(V78="","",V72+V78)</f>
        <v>8</v>
      </c>
      <c r="W77" s="226">
        <f t="shared" ref="W77" si="203">IF(W78="","",W72+W78)</f>
        <v>6</v>
      </c>
      <c r="X77" s="226">
        <f t="shared" ref="X77" si="204">IF(X78="","",X72+X78)</f>
        <v>5</v>
      </c>
      <c r="Y77" s="226">
        <f t="shared" ref="Y77" si="205">IF(Y78="","",Y72+Y78)</f>
        <v>3</v>
      </c>
      <c r="Z77" s="227">
        <f t="shared" ref="Z77" si="206">IF(Z78="","",Z72+Z78)</f>
        <v>10</v>
      </c>
    </row>
    <row r="78" spans="1:26" ht="14.45" customHeight="1">
      <c r="A78" s="709"/>
      <c r="B78" s="713"/>
      <c r="C78" s="716"/>
      <c r="D78" s="713"/>
      <c r="E78" s="713"/>
      <c r="F78" s="713"/>
      <c r="G78" s="230" t="s">
        <v>143</v>
      </c>
      <c r="H78" s="231" t="str">
        <f t="shared" ref="H78:H127" si="207">IF(SUM(I78:Z78)&gt;0,"+"&amp;SUM(I78:Z78),SUM(I78:Z78))</f>
        <v>+36</v>
      </c>
      <c r="I78" s="231">
        <v>3</v>
      </c>
      <c r="J78" s="233">
        <v>1</v>
      </c>
      <c r="K78" s="231">
        <v>2</v>
      </c>
      <c r="L78" s="233">
        <v>1</v>
      </c>
      <c r="M78" s="231">
        <v>2</v>
      </c>
      <c r="N78" s="235">
        <v>0</v>
      </c>
      <c r="O78" s="231">
        <v>3</v>
      </c>
      <c r="P78" s="231">
        <v>2</v>
      </c>
      <c r="Q78" s="231">
        <v>3</v>
      </c>
      <c r="R78" s="233">
        <v>1</v>
      </c>
      <c r="S78" s="231">
        <v>2</v>
      </c>
      <c r="T78" s="231">
        <v>2</v>
      </c>
      <c r="U78" s="231">
        <v>2</v>
      </c>
      <c r="V78" s="231">
        <v>3</v>
      </c>
      <c r="W78" s="231">
        <v>3</v>
      </c>
      <c r="X78" s="233">
        <v>1</v>
      </c>
      <c r="Y78" s="235">
        <v>0</v>
      </c>
      <c r="Z78" s="238">
        <v>5</v>
      </c>
    </row>
    <row r="79" spans="1:26" ht="14.45" customHeight="1">
      <c r="A79" s="707">
        <v>12</v>
      </c>
      <c r="B79" s="710">
        <v>44940</v>
      </c>
      <c r="C79" s="714">
        <v>0.40416666666666662</v>
      </c>
      <c r="D79" s="727" t="s">
        <v>157</v>
      </c>
      <c r="E79" s="727" t="s">
        <v>1858</v>
      </c>
      <c r="F79" s="728" t="s">
        <v>1859</v>
      </c>
      <c r="G79" s="221" t="s">
        <v>137</v>
      </c>
      <c r="H79" s="222">
        <f t="shared" si="167"/>
        <v>72</v>
      </c>
      <c r="I79" s="222">
        <v>5</v>
      </c>
      <c r="J79" s="222">
        <v>4</v>
      </c>
      <c r="K79" s="222">
        <v>4</v>
      </c>
      <c r="L79" s="222">
        <v>3</v>
      </c>
      <c r="M79" s="222">
        <v>4</v>
      </c>
      <c r="N79" s="222">
        <v>4</v>
      </c>
      <c r="O79" s="222">
        <v>4</v>
      </c>
      <c r="P79" s="222">
        <v>3</v>
      </c>
      <c r="Q79" s="222">
        <v>5</v>
      </c>
      <c r="R79" s="222">
        <v>5</v>
      </c>
      <c r="S79" s="222">
        <v>4</v>
      </c>
      <c r="T79" s="222">
        <v>4</v>
      </c>
      <c r="U79" s="222">
        <v>4</v>
      </c>
      <c r="V79" s="222">
        <v>3</v>
      </c>
      <c r="W79" s="222">
        <v>5</v>
      </c>
      <c r="X79" s="222">
        <v>4</v>
      </c>
      <c r="Y79" s="222">
        <v>3</v>
      </c>
      <c r="Z79" s="223">
        <v>4</v>
      </c>
    </row>
    <row r="80" spans="1:26" ht="14.45" customHeight="1">
      <c r="A80" s="708"/>
      <c r="B80" s="711"/>
      <c r="C80" s="715"/>
      <c r="D80" s="712"/>
      <c r="E80" s="712"/>
      <c r="F80" s="729"/>
      <c r="G80" s="224" t="s">
        <v>160</v>
      </c>
      <c r="H80" s="225">
        <f t="shared" si="167"/>
        <v>5786</v>
      </c>
      <c r="I80" s="226">
        <v>468</v>
      </c>
      <c r="J80" s="226">
        <v>374</v>
      </c>
      <c r="K80" s="226">
        <v>338</v>
      </c>
      <c r="L80" s="226">
        <v>162</v>
      </c>
      <c r="M80" s="226">
        <v>317</v>
      </c>
      <c r="N80" s="226">
        <v>301</v>
      </c>
      <c r="O80" s="226">
        <v>260</v>
      </c>
      <c r="P80" s="226">
        <v>128</v>
      </c>
      <c r="Q80" s="226">
        <v>455</v>
      </c>
      <c r="R80" s="226">
        <v>503</v>
      </c>
      <c r="S80" s="226">
        <v>330</v>
      </c>
      <c r="T80" s="226">
        <v>363</v>
      </c>
      <c r="U80" s="226">
        <v>335</v>
      </c>
      <c r="V80" s="226">
        <v>175</v>
      </c>
      <c r="W80" s="226">
        <v>495</v>
      </c>
      <c r="X80" s="226">
        <v>302</v>
      </c>
      <c r="Y80" s="226">
        <v>123</v>
      </c>
      <c r="Z80" s="227">
        <v>357</v>
      </c>
    </row>
    <row r="81" spans="1:26" ht="14.45" customHeight="1">
      <c r="A81" s="708"/>
      <c r="B81" s="712"/>
      <c r="C81" s="715"/>
      <c r="D81" s="712"/>
      <c r="E81" s="712"/>
      <c r="F81" s="712"/>
      <c r="G81" s="224" t="s">
        <v>138</v>
      </c>
      <c r="H81" s="228" t="str">
        <f t="shared" si="186"/>
        <v>N/A</v>
      </c>
      <c r="I81" s="226" t="s">
        <v>2</v>
      </c>
      <c r="J81" s="226" t="s">
        <v>2</v>
      </c>
      <c r="K81" s="226" t="s">
        <v>2</v>
      </c>
      <c r="L81" s="226" t="s">
        <v>2</v>
      </c>
      <c r="M81" s="226" t="s">
        <v>2</v>
      </c>
      <c r="N81" s="226" t="s">
        <v>2</v>
      </c>
      <c r="O81" s="226" t="s">
        <v>2</v>
      </c>
      <c r="P81" s="226" t="s">
        <v>2</v>
      </c>
      <c r="Q81" s="226" t="s">
        <v>2</v>
      </c>
      <c r="R81" s="226" t="s">
        <v>2</v>
      </c>
      <c r="S81" s="226" t="s">
        <v>2</v>
      </c>
      <c r="T81" s="226" t="s">
        <v>2</v>
      </c>
      <c r="U81" s="226" t="s">
        <v>2</v>
      </c>
      <c r="V81" s="226" t="s">
        <v>2</v>
      </c>
      <c r="W81" s="226" t="s">
        <v>2</v>
      </c>
      <c r="X81" s="226" t="s">
        <v>2</v>
      </c>
      <c r="Y81" s="226" t="s">
        <v>2</v>
      </c>
      <c r="Z81" s="227" t="s">
        <v>2</v>
      </c>
    </row>
    <row r="82" spans="1:26" ht="14.45" customHeight="1">
      <c r="A82" s="708"/>
      <c r="B82" s="712"/>
      <c r="C82" s="715"/>
      <c r="D82" s="712"/>
      <c r="E82" s="712"/>
      <c r="F82" s="712"/>
      <c r="G82" s="224" t="s">
        <v>145</v>
      </c>
      <c r="H82" s="228" t="str">
        <f t="shared" ref="H82" si="208">IFERROR(IF(I83="N/A","N/A",COUNTIF(I82:Z82,"Y")/(COUNTIF(I82:Z82,"Y")+COUNTIF(I82:Z82,"N"))),"N/A")</f>
        <v>N/A</v>
      </c>
      <c r="I82" s="226" t="s">
        <v>2</v>
      </c>
      <c r="J82" s="226" t="s">
        <v>2</v>
      </c>
      <c r="K82" s="226" t="s">
        <v>2</v>
      </c>
      <c r="L82" s="226" t="s">
        <v>2</v>
      </c>
      <c r="M82" s="226" t="s">
        <v>2</v>
      </c>
      <c r="N82" s="226" t="s">
        <v>2</v>
      </c>
      <c r="O82" s="226" t="s">
        <v>2</v>
      </c>
      <c r="P82" s="226" t="s">
        <v>2</v>
      </c>
      <c r="Q82" s="226" t="s">
        <v>2</v>
      </c>
      <c r="R82" s="226" t="s">
        <v>2</v>
      </c>
      <c r="S82" s="226" t="s">
        <v>2</v>
      </c>
      <c r="T82" s="226" t="s">
        <v>2</v>
      </c>
      <c r="U82" s="226" t="s">
        <v>2</v>
      </c>
      <c r="V82" s="226" t="s">
        <v>2</v>
      </c>
      <c r="W82" s="226" t="s">
        <v>2</v>
      </c>
      <c r="X82" s="226" t="s">
        <v>2</v>
      </c>
      <c r="Y82" s="226" t="s">
        <v>2</v>
      </c>
      <c r="Z82" s="227" t="s">
        <v>2</v>
      </c>
    </row>
    <row r="83" spans="1:26" ht="14.45" customHeight="1">
      <c r="A83" s="708"/>
      <c r="B83" s="712"/>
      <c r="C83" s="715"/>
      <c r="D83" s="712"/>
      <c r="E83" s="712"/>
      <c r="F83" s="712"/>
      <c r="G83" s="224" t="s">
        <v>139</v>
      </c>
      <c r="H83" s="226" t="str">
        <f t="shared" si="188"/>
        <v>N/A</v>
      </c>
      <c r="I83" s="226" t="s">
        <v>3</v>
      </c>
      <c r="J83" s="226" t="s">
        <v>3</v>
      </c>
      <c r="K83" s="226" t="s">
        <v>3</v>
      </c>
      <c r="L83" s="226" t="s">
        <v>3</v>
      </c>
      <c r="M83" s="226" t="s">
        <v>3</v>
      </c>
      <c r="N83" s="226" t="s">
        <v>3</v>
      </c>
      <c r="O83" s="226" t="s">
        <v>3</v>
      </c>
      <c r="P83" s="226" t="s">
        <v>3</v>
      </c>
      <c r="Q83" s="226" t="s">
        <v>3</v>
      </c>
      <c r="R83" s="226" t="s">
        <v>3</v>
      </c>
      <c r="S83" s="226" t="s">
        <v>3</v>
      </c>
      <c r="T83" s="226" t="s">
        <v>3</v>
      </c>
      <c r="U83" s="226" t="s">
        <v>3</v>
      </c>
      <c r="V83" s="226" t="s">
        <v>3</v>
      </c>
      <c r="W83" s="226" t="s">
        <v>3</v>
      </c>
      <c r="X83" s="226" t="s">
        <v>3</v>
      </c>
      <c r="Y83" s="226" t="s">
        <v>3</v>
      </c>
      <c r="Z83" s="227" t="s">
        <v>3</v>
      </c>
    </row>
    <row r="84" spans="1:26" ht="14.45" customHeight="1">
      <c r="A84" s="708"/>
      <c r="B84" s="712"/>
      <c r="C84" s="715"/>
      <c r="D84" s="712"/>
      <c r="E84" s="712"/>
      <c r="F84" s="712"/>
      <c r="G84" s="224" t="s">
        <v>67</v>
      </c>
      <c r="H84" s="229">
        <f t="shared" si="189"/>
        <v>101</v>
      </c>
      <c r="I84" s="226">
        <f>IF(I85="","",I79+I85)</f>
        <v>7</v>
      </c>
      <c r="J84" s="226">
        <f t="shared" ref="J84" si="209">IF(J85="","",J79+J85)</f>
        <v>5</v>
      </c>
      <c r="K84" s="226">
        <f t="shared" ref="K84" si="210">IF(K85="","",K79+K85)</f>
        <v>6</v>
      </c>
      <c r="L84" s="226">
        <f t="shared" ref="L84" si="211">IF(L85="","",L79+L85)</f>
        <v>3</v>
      </c>
      <c r="M84" s="226">
        <f t="shared" ref="M84" si="212">IF(M85="","",M79+M85)</f>
        <v>4</v>
      </c>
      <c r="N84" s="226">
        <f t="shared" ref="N84" si="213">IF(N85="","",N79+N85)</f>
        <v>6</v>
      </c>
      <c r="O84" s="226">
        <f t="shared" ref="O84" si="214">IF(O85="","",O79+O85)</f>
        <v>5</v>
      </c>
      <c r="P84" s="226">
        <f t="shared" ref="P84" si="215">IF(P85="","",P79+P85)</f>
        <v>5</v>
      </c>
      <c r="Q84" s="226">
        <f t="shared" ref="Q84" si="216">IF(Q85="","",Q79+Q85)</f>
        <v>7</v>
      </c>
      <c r="R84" s="226">
        <f t="shared" ref="R84" si="217">IF(R85="","",R79+R85)</f>
        <v>7</v>
      </c>
      <c r="S84" s="226">
        <f t="shared" ref="S84" si="218">IF(S85="","",S79+S85)</f>
        <v>5</v>
      </c>
      <c r="T84" s="226">
        <f t="shared" ref="T84" si="219">IF(T85="","",T79+T85)</f>
        <v>6</v>
      </c>
      <c r="U84" s="226">
        <f t="shared" ref="U84" si="220">IF(U85="","",U79+U85)</f>
        <v>7</v>
      </c>
      <c r="V84" s="226">
        <f t="shared" ref="V84" si="221">IF(V85="","",V79+V85)</f>
        <v>5</v>
      </c>
      <c r="W84" s="226">
        <f t="shared" ref="W84" si="222">IF(W85="","",W79+W85)</f>
        <v>6</v>
      </c>
      <c r="X84" s="226">
        <f t="shared" ref="X84" si="223">IF(X85="","",X79+X85)</f>
        <v>6</v>
      </c>
      <c r="Y84" s="226">
        <f t="shared" ref="Y84" si="224">IF(Y85="","",Y79+Y85)</f>
        <v>5</v>
      </c>
      <c r="Z84" s="227">
        <f t="shared" ref="Z84" si="225">IF(Z85="","",Z79+Z85)</f>
        <v>6</v>
      </c>
    </row>
    <row r="85" spans="1:26" ht="14.45" customHeight="1">
      <c r="A85" s="709"/>
      <c r="B85" s="713"/>
      <c r="C85" s="716"/>
      <c r="D85" s="713"/>
      <c r="E85" s="713"/>
      <c r="F85" s="713"/>
      <c r="G85" s="230" t="s">
        <v>143</v>
      </c>
      <c r="H85" s="231" t="str">
        <f t="shared" si="207"/>
        <v>+29</v>
      </c>
      <c r="I85" s="231">
        <v>2</v>
      </c>
      <c r="J85" s="233">
        <v>1</v>
      </c>
      <c r="K85" s="231">
        <v>2</v>
      </c>
      <c r="L85" s="235">
        <v>0</v>
      </c>
      <c r="M85" s="235">
        <v>0</v>
      </c>
      <c r="N85" s="231">
        <v>2</v>
      </c>
      <c r="O85" s="233">
        <v>1</v>
      </c>
      <c r="P85" s="231">
        <v>2</v>
      </c>
      <c r="Q85" s="231">
        <v>2</v>
      </c>
      <c r="R85" s="231">
        <v>2</v>
      </c>
      <c r="S85" s="233">
        <v>1</v>
      </c>
      <c r="T85" s="231">
        <v>2</v>
      </c>
      <c r="U85" s="231">
        <v>3</v>
      </c>
      <c r="V85" s="231">
        <v>2</v>
      </c>
      <c r="W85" s="233">
        <v>1</v>
      </c>
      <c r="X85" s="231">
        <v>2</v>
      </c>
      <c r="Y85" s="231">
        <v>2</v>
      </c>
      <c r="Z85" s="234">
        <v>2</v>
      </c>
    </row>
    <row r="86" spans="1:26" ht="14.45" customHeight="1">
      <c r="A86" s="707">
        <v>13</v>
      </c>
      <c r="B86" s="710">
        <v>44968</v>
      </c>
      <c r="C86" s="714">
        <v>0.39930555555555558</v>
      </c>
      <c r="D86" s="739" t="s">
        <v>157</v>
      </c>
      <c r="E86" s="728" t="s">
        <v>1860</v>
      </c>
      <c r="F86" s="728" t="s">
        <v>1861</v>
      </c>
      <c r="G86" s="221" t="s">
        <v>137</v>
      </c>
      <c r="H86" s="222">
        <f t="shared" si="167"/>
        <v>72</v>
      </c>
      <c r="I86" s="222">
        <v>5</v>
      </c>
      <c r="J86" s="222">
        <v>3</v>
      </c>
      <c r="K86" s="222">
        <v>3</v>
      </c>
      <c r="L86" s="222">
        <v>4</v>
      </c>
      <c r="M86" s="222">
        <v>4</v>
      </c>
      <c r="N86" s="222">
        <v>4</v>
      </c>
      <c r="O86" s="222">
        <v>5</v>
      </c>
      <c r="P86" s="222">
        <v>4</v>
      </c>
      <c r="Q86" s="222">
        <v>4</v>
      </c>
      <c r="R86" s="222">
        <v>5</v>
      </c>
      <c r="S86" s="222">
        <v>4</v>
      </c>
      <c r="T86" s="222">
        <v>4</v>
      </c>
      <c r="U86" s="222">
        <v>3</v>
      </c>
      <c r="V86" s="222">
        <v>4</v>
      </c>
      <c r="W86" s="222">
        <v>4</v>
      </c>
      <c r="X86" s="222">
        <v>4</v>
      </c>
      <c r="Y86" s="222">
        <v>3</v>
      </c>
      <c r="Z86" s="223">
        <v>5</v>
      </c>
    </row>
    <row r="87" spans="1:26" ht="14.45" customHeight="1">
      <c r="A87" s="708"/>
      <c r="B87" s="711"/>
      <c r="C87" s="715"/>
      <c r="D87" s="740"/>
      <c r="E87" s="729"/>
      <c r="F87" s="729"/>
      <c r="G87" s="224" t="s">
        <v>160</v>
      </c>
      <c r="H87" s="225">
        <f t="shared" si="167"/>
        <v>5632</v>
      </c>
      <c r="I87" s="226">
        <v>449</v>
      </c>
      <c r="J87" s="226">
        <v>133</v>
      </c>
      <c r="K87" s="226">
        <v>134</v>
      </c>
      <c r="L87" s="226">
        <v>311</v>
      </c>
      <c r="M87" s="226">
        <v>288</v>
      </c>
      <c r="N87" s="226">
        <v>324</v>
      </c>
      <c r="O87" s="226">
        <v>503</v>
      </c>
      <c r="P87" s="226">
        <v>330</v>
      </c>
      <c r="Q87" s="226">
        <v>357</v>
      </c>
      <c r="R87" s="226">
        <v>468</v>
      </c>
      <c r="S87" s="226">
        <v>374</v>
      </c>
      <c r="T87" s="226">
        <v>338</v>
      </c>
      <c r="U87" s="226">
        <v>162</v>
      </c>
      <c r="V87" s="226">
        <v>317</v>
      </c>
      <c r="W87" s="226">
        <v>301</v>
      </c>
      <c r="X87" s="226">
        <v>260</v>
      </c>
      <c r="Y87" s="226">
        <v>128</v>
      </c>
      <c r="Z87" s="227">
        <v>455</v>
      </c>
    </row>
    <row r="88" spans="1:26" ht="14.45" customHeight="1">
      <c r="A88" s="708"/>
      <c r="B88" s="712"/>
      <c r="C88" s="715"/>
      <c r="D88" s="740"/>
      <c r="E88" s="729"/>
      <c r="F88" s="712"/>
      <c r="G88" s="224" t="s">
        <v>138</v>
      </c>
      <c r="H88" s="228" t="str">
        <f t="shared" si="186"/>
        <v>N/A</v>
      </c>
      <c r="I88" s="226" t="s">
        <v>2</v>
      </c>
      <c r="J88" s="226" t="s">
        <v>2</v>
      </c>
      <c r="K88" s="226" t="s">
        <v>2</v>
      </c>
      <c r="L88" s="226" t="s">
        <v>2</v>
      </c>
      <c r="M88" s="226" t="s">
        <v>2</v>
      </c>
      <c r="N88" s="226" t="s">
        <v>2</v>
      </c>
      <c r="O88" s="226" t="s">
        <v>2</v>
      </c>
      <c r="P88" s="226" t="s">
        <v>2</v>
      </c>
      <c r="Q88" s="226" t="s">
        <v>2</v>
      </c>
      <c r="R88" s="226" t="s">
        <v>2</v>
      </c>
      <c r="S88" s="226" t="s">
        <v>2</v>
      </c>
      <c r="T88" s="226" t="s">
        <v>2</v>
      </c>
      <c r="U88" s="226" t="s">
        <v>2</v>
      </c>
      <c r="V88" s="226" t="s">
        <v>2</v>
      </c>
      <c r="W88" s="226" t="s">
        <v>2</v>
      </c>
      <c r="X88" s="226" t="s">
        <v>2</v>
      </c>
      <c r="Y88" s="226" t="s">
        <v>2</v>
      </c>
      <c r="Z88" s="227" t="s">
        <v>2</v>
      </c>
    </row>
    <row r="89" spans="1:26" ht="14.45" customHeight="1">
      <c r="A89" s="708"/>
      <c r="B89" s="712"/>
      <c r="C89" s="715"/>
      <c r="D89" s="740"/>
      <c r="E89" s="729"/>
      <c r="F89" s="712"/>
      <c r="G89" s="224" t="s">
        <v>145</v>
      </c>
      <c r="H89" s="228" t="str">
        <f t="shared" ref="H89" si="226">IFERROR(IF(I90="N/A","N/A",COUNTIF(I89:Z89,"Y")/(COUNTIF(I89:Z89,"Y")+COUNTIF(I89:Z89,"N"))),"N/A")</f>
        <v>N/A</v>
      </c>
      <c r="I89" s="226" t="s">
        <v>2</v>
      </c>
      <c r="J89" s="226" t="s">
        <v>2</v>
      </c>
      <c r="K89" s="226" t="s">
        <v>2</v>
      </c>
      <c r="L89" s="226" t="s">
        <v>2</v>
      </c>
      <c r="M89" s="226" t="s">
        <v>2</v>
      </c>
      <c r="N89" s="226" t="s">
        <v>2</v>
      </c>
      <c r="O89" s="226" t="s">
        <v>2</v>
      </c>
      <c r="P89" s="226" t="s">
        <v>2</v>
      </c>
      <c r="Q89" s="226" t="s">
        <v>2</v>
      </c>
      <c r="R89" s="226" t="s">
        <v>2</v>
      </c>
      <c r="S89" s="226" t="s">
        <v>2</v>
      </c>
      <c r="T89" s="226" t="s">
        <v>2</v>
      </c>
      <c r="U89" s="226" t="s">
        <v>2</v>
      </c>
      <c r="V89" s="226" t="s">
        <v>2</v>
      </c>
      <c r="W89" s="226" t="s">
        <v>2</v>
      </c>
      <c r="X89" s="226" t="s">
        <v>2</v>
      </c>
      <c r="Y89" s="226" t="s">
        <v>2</v>
      </c>
      <c r="Z89" s="227" t="s">
        <v>2</v>
      </c>
    </row>
    <row r="90" spans="1:26" ht="14.45" customHeight="1">
      <c r="A90" s="708"/>
      <c r="B90" s="712"/>
      <c r="C90" s="715"/>
      <c r="D90" s="740"/>
      <c r="E90" s="729"/>
      <c r="F90" s="712"/>
      <c r="G90" s="224" t="s">
        <v>139</v>
      </c>
      <c r="H90" s="226" t="str">
        <f t="shared" si="188"/>
        <v>N/A</v>
      </c>
      <c r="I90" s="226" t="s">
        <v>3</v>
      </c>
      <c r="J90" s="226" t="s">
        <v>3</v>
      </c>
      <c r="K90" s="226" t="s">
        <v>3</v>
      </c>
      <c r="L90" s="226" t="s">
        <v>3</v>
      </c>
      <c r="M90" s="226" t="s">
        <v>3</v>
      </c>
      <c r="N90" s="226" t="s">
        <v>3</v>
      </c>
      <c r="O90" s="226" t="s">
        <v>3</v>
      </c>
      <c r="P90" s="226" t="s">
        <v>3</v>
      </c>
      <c r="Q90" s="226" t="s">
        <v>3</v>
      </c>
      <c r="R90" s="226" t="s">
        <v>3</v>
      </c>
      <c r="S90" s="226" t="s">
        <v>3</v>
      </c>
      <c r="T90" s="226" t="s">
        <v>3</v>
      </c>
      <c r="U90" s="226" t="s">
        <v>3</v>
      </c>
      <c r="V90" s="226" t="s">
        <v>3</v>
      </c>
      <c r="W90" s="226" t="s">
        <v>3</v>
      </c>
      <c r="X90" s="226" t="s">
        <v>3</v>
      </c>
      <c r="Y90" s="226" t="s">
        <v>3</v>
      </c>
      <c r="Z90" s="227" t="s">
        <v>3</v>
      </c>
    </row>
    <row r="91" spans="1:26" ht="14.45" customHeight="1">
      <c r="A91" s="708"/>
      <c r="B91" s="712"/>
      <c r="C91" s="715"/>
      <c r="D91" s="740"/>
      <c r="E91" s="729"/>
      <c r="F91" s="712"/>
      <c r="G91" s="224" t="s">
        <v>67</v>
      </c>
      <c r="H91" s="229">
        <f t="shared" si="189"/>
        <v>98</v>
      </c>
      <c r="I91" s="226">
        <f>IF(I92="","",I86+I92)</f>
        <v>5</v>
      </c>
      <c r="J91" s="226">
        <f t="shared" ref="J91" si="227">IF(J92="","",J86+J92)</f>
        <v>4</v>
      </c>
      <c r="K91" s="226">
        <f t="shared" ref="K91" si="228">IF(K92="","",K86+K92)</f>
        <v>5</v>
      </c>
      <c r="L91" s="226">
        <f t="shared" ref="L91" si="229">IF(L92="","",L86+L92)</f>
        <v>5</v>
      </c>
      <c r="M91" s="226">
        <f t="shared" ref="M91" si="230">IF(M92="","",M86+M92)</f>
        <v>6</v>
      </c>
      <c r="N91" s="226">
        <f t="shared" ref="N91" si="231">IF(N92="","",N86+N92)</f>
        <v>7</v>
      </c>
      <c r="O91" s="226">
        <f t="shared" ref="O91" si="232">IF(O92="","",O86+O92)</f>
        <v>9</v>
      </c>
      <c r="P91" s="226">
        <f t="shared" ref="P91" si="233">IF(P92="","",P86+P92)</f>
        <v>4</v>
      </c>
      <c r="Q91" s="226">
        <f t="shared" ref="Q91" si="234">IF(Q92="","",Q86+Q92)</f>
        <v>6</v>
      </c>
      <c r="R91" s="226">
        <f t="shared" ref="R91" si="235">IF(R92="","",R86+R92)</f>
        <v>5</v>
      </c>
      <c r="S91" s="226">
        <f t="shared" ref="S91" si="236">IF(S92="","",S86+S92)</f>
        <v>5</v>
      </c>
      <c r="T91" s="226">
        <f t="shared" ref="T91" si="237">IF(T92="","",T86+T92)</f>
        <v>5</v>
      </c>
      <c r="U91" s="226">
        <f t="shared" ref="U91" si="238">IF(U92="","",U86+U92)</f>
        <v>3</v>
      </c>
      <c r="V91" s="226">
        <f t="shared" ref="V91" si="239">IF(V92="","",V86+V92)</f>
        <v>7</v>
      </c>
      <c r="W91" s="226">
        <f t="shared" ref="W91" si="240">IF(W92="","",W86+W92)</f>
        <v>6</v>
      </c>
      <c r="X91" s="226">
        <f t="shared" ref="X91" si="241">IF(X92="","",X86+X92)</f>
        <v>6</v>
      </c>
      <c r="Y91" s="226">
        <f t="shared" ref="Y91" si="242">IF(Y92="","",Y86+Y92)</f>
        <v>6</v>
      </c>
      <c r="Z91" s="227">
        <f t="shared" ref="Z91" si="243">IF(Z92="","",Z86+Z92)</f>
        <v>4</v>
      </c>
    </row>
    <row r="92" spans="1:26" ht="14.45" customHeight="1">
      <c r="A92" s="709"/>
      <c r="B92" s="713"/>
      <c r="C92" s="716"/>
      <c r="D92" s="741"/>
      <c r="E92" s="742"/>
      <c r="F92" s="713"/>
      <c r="G92" s="230" t="s">
        <v>143</v>
      </c>
      <c r="H92" s="231" t="str">
        <f t="shared" si="207"/>
        <v>+26</v>
      </c>
      <c r="I92" s="235">
        <v>0</v>
      </c>
      <c r="J92" s="233">
        <v>1</v>
      </c>
      <c r="K92" s="231">
        <v>2</v>
      </c>
      <c r="L92" s="233">
        <v>1</v>
      </c>
      <c r="M92" s="231">
        <v>2</v>
      </c>
      <c r="N92" s="231">
        <v>3</v>
      </c>
      <c r="O92" s="231">
        <v>4</v>
      </c>
      <c r="P92" s="235">
        <v>0</v>
      </c>
      <c r="Q92" s="231">
        <v>2</v>
      </c>
      <c r="R92" s="235">
        <v>0</v>
      </c>
      <c r="S92" s="233">
        <v>1</v>
      </c>
      <c r="T92" s="233">
        <v>1</v>
      </c>
      <c r="U92" s="235">
        <v>0</v>
      </c>
      <c r="V92" s="231">
        <v>3</v>
      </c>
      <c r="W92" s="231">
        <v>2</v>
      </c>
      <c r="X92" s="231">
        <v>2</v>
      </c>
      <c r="Y92" s="232">
        <v>3</v>
      </c>
      <c r="Z92" s="239">
        <v>-1</v>
      </c>
    </row>
    <row r="93" spans="1:26" ht="14.45" customHeight="1">
      <c r="A93" s="707">
        <v>14</v>
      </c>
      <c r="B93" s="710">
        <v>45002</v>
      </c>
      <c r="C93" s="714">
        <v>0.58333333333333337</v>
      </c>
      <c r="D93" s="727" t="s">
        <v>276</v>
      </c>
      <c r="E93" s="727" t="s">
        <v>277</v>
      </c>
      <c r="F93" s="728" t="s">
        <v>1862</v>
      </c>
      <c r="G93" s="221" t="s">
        <v>137</v>
      </c>
      <c r="H93" s="222">
        <f t="shared" ref="H93:H94" si="244">SUM(I93:Z93)</f>
        <v>72</v>
      </c>
      <c r="I93" s="222">
        <v>5</v>
      </c>
      <c r="J93" s="222">
        <v>4</v>
      </c>
      <c r="K93" s="222">
        <v>4</v>
      </c>
      <c r="L93" s="222">
        <v>3</v>
      </c>
      <c r="M93" s="222">
        <v>4</v>
      </c>
      <c r="N93" s="222">
        <v>4</v>
      </c>
      <c r="O93" s="222">
        <v>3</v>
      </c>
      <c r="P93" s="222">
        <v>4</v>
      </c>
      <c r="Q93" s="222">
        <v>5</v>
      </c>
      <c r="R93" s="222">
        <v>4</v>
      </c>
      <c r="S93" s="222">
        <v>3</v>
      </c>
      <c r="T93" s="222">
        <v>4</v>
      </c>
      <c r="U93" s="222">
        <v>5</v>
      </c>
      <c r="V93" s="222">
        <v>4</v>
      </c>
      <c r="W93" s="222">
        <v>5</v>
      </c>
      <c r="X93" s="222">
        <v>3</v>
      </c>
      <c r="Y93" s="222">
        <v>4</v>
      </c>
      <c r="Z93" s="223">
        <v>4</v>
      </c>
    </row>
    <row r="94" spans="1:26" ht="14.45" customHeight="1">
      <c r="A94" s="708"/>
      <c r="B94" s="711"/>
      <c r="C94" s="715"/>
      <c r="D94" s="712"/>
      <c r="E94" s="712"/>
      <c r="F94" s="729"/>
      <c r="G94" s="224" t="s">
        <v>160</v>
      </c>
      <c r="H94" s="225">
        <f t="shared" si="244"/>
        <v>6177.6864000000023</v>
      </c>
      <c r="I94" s="226">
        <v>533.09519999999998</v>
      </c>
      <c r="J94" s="226">
        <v>369.41759999999999</v>
      </c>
      <c r="K94" s="226">
        <v>361.18799999999999</v>
      </c>
      <c r="L94" s="226">
        <v>137.16</v>
      </c>
      <c r="M94" s="226">
        <v>400.50720000000001</v>
      </c>
      <c r="N94" s="226">
        <v>312.72480000000002</v>
      </c>
      <c r="O94" s="226">
        <v>155.44800000000001</v>
      </c>
      <c r="P94" s="226">
        <v>310.89600000000002</v>
      </c>
      <c r="Q94" s="226">
        <v>520.29359999999997</v>
      </c>
      <c r="R94" s="226">
        <v>357.53039999999999</v>
      </c>
      <c r="S94" s="226">
        <v>146.304</v>
      </c>
      <c r="T94" s="226">
        <v>328.26959999999997</v>
      </c>
      <c r="U94" s="226">
        <v>463.60079999999999</v>
      </c>
      <c r="V94" s="226">
        <v>323.69760000000002</v>
      </c>
      <c r="W94" s="226">
        <v>517.55039999999997</v>
      </c>
      <c r="X94" s="226">
        <v>160.02000000000001</v>
      </c>
      <c r="Y94" s="226">
        <v>405.07920000000001</v>
      </c>
      <c r="Z94" s="227">
        <v>374.904</v>
      </c>
    </row>
    <row r="95" spans="1:26" ht="14.45" customHeight="1">
      <c r="A95" s="708"/>
      <c r="B95" s="712"/>
      <c r="C95" s="715"/>
      <c r="D95" s="712"/>
      <c r="E95" s="712"/>
      <c r="F95" s="712"/>
      <c r="G95" s="224" t="s">
        <v>138</v>
      </c>
      <c r="H95" s="228" t="str">
        <f t="shared" ref="H95" si="245">IF(I97="N/A","N/A",IF(COUNTIF(I95:Z95,"Y")/14=0,"N/A",COUNTIF(I95:Z95,"Y")/(COUNTIF(I95:Z95,"Y")+COUNTIF(I95:Z95,"N"))))</f>
        <v>N/A</v>
      </c>
      <c r="I95" s="226" t="s">
        <v>2</v>
      </c>
      <c r="J95" s="226" t="s">
        <v>2</v>
      </c>
      <c r="K95" s="226" t="s">
        <v>2</v>
      </c>
      <c r="L95" s="226" t="s">
        <v>2</v>
      </c>
      <c r="M95" s="226" t="s">
        <v>2</v>
      </c>
      <c r="N95" s="226" t="s">
        <v>2</v>
      </c>
      <c r="O95" s="226" t="s">
        <v>2</v>
      </c>
      <c r="P95" s="226" t="s">
        <v>2</v>
      </c>
      <c r="Q95" s="226" t="s">
        <v>2</v>
      </c>
      <c r="R95" s="226" t="s">
        <v>2</v>
      </c>
      <c r="S95" s="226" t="s">
        <v>2</v>
      </c>
      <c r="T95" s="226" t="s">
        <v>2</v>
      </c>
      <c r="U95" s="226" t="s">
        <v>2</v>
      </c>
      <c r="V95" s="226" t="s">
        <v>2</v>
      </c>
      <c r="W95" s="226" t="s">
        <v>2</v>
      </c>
      <c r="X95" s="226" t="s">
        <v>2</v>
      </c>
      <c r="Y95" s="226" t="s">
        <v>2</v>
      </c>
      <c r="Z95" s="227" t="s">
        <v>2</v>
      </c>
    </row>
    <row r="96" spans="1:26" ht="14.45" customHeight="1">
      <c r="A96" s="708"/>
      <c r="B96" s="712"/>
      <c r="C96" s="715"/>
      <c r="D96" s="712"/>
      <c r="E96" s="712"/>
      <c r="F96" s="712"/>
      <c r="G96" s="224" t="s">
        <v>145</v>
      </c>
      <c r="H96" s="228">
        <f>IFERROR(IF(I97="N/A","N/A",COUNTIF(I96:Z96,"Y")/(COUNTIF(I96:Z96,"Y")+COUNTIF(I96:Z96,"N"))),"N/A")</f>
        <v>0</v>
      </c>
      <c r="I96" s="226" t="s">
        <v>1616</v>
      </c>
      <c r="J96" s="226" t="s">
        <v>1615</v>
      </c>
      <c r="K96" s="226" t="s">
        <v>1615</v>
      </c>
      <c r="L96" s="226" t="s">
        <v>1615</v>
      </c>
      <c r="M96" s="226" t="s">
        <v>1615</v>
      </c>
      <c r="N96" s="226" t="s">
        <v>1615</v>
      </c>
      <c r="O96" s="226" t="s">
        <v>1615</v>
      </c>
      <c r="P96" s="226" t="s">
        <v>1615</v>
      </c>
      <c r="Q96" s="226" t="s">
        <v>1615</v>
      </c>
      <c r="R96" s="226" t="s">
        <v>1615</v>
      </c>
      <c r="S96" s="226" t="s">
        <v>1615</v>
      </c>
      <c r="T96" s="226" t="s">
        <v>1615</v>
      </c>
      <c r="U96" s="226" t="s">
        <v>1615</v>
      </c>
      <c r="V96" s="226" t="s">
        <v>1615</v>
      </c>
      <c r="W96" s="226" t="s">
        <v>1615</v>
      </c>
      <c r="X96" s="226" t="s">
        <v>1615</v>
      </c>
      <c r="Y96" s="226" t="s">
        <v>1615</v>
      </c>
      <c r="Z96" s="227" t="s">
        <v>1615</v>
      </c>
    </row>
    <row r="97" spans="1:26" ht="14.45" customHeight="1">
      <c r="A97" s="708"/>
      <c r="B97" s="712"/>
      <c r="C97" s="715"/>
      <c r="D97" s="712"/>
      <c r="E97" s="712"/>
      <c r="F97" s="712"/>
      <c r="G97" s="224" t="s">
        <v>139</v>
      </c>
      <c r="H97" s="226">
        <f t="shared" ref="H97" si="246">IF(I97="N/A","N/A",SUM(I97:Z97))</f>
        <v>45</v>
      </c>
      <c r="I97" s="226">
        <v>3</v>
      </c>
      <c r="J97" s="226">
        <v>5</v>
      </c>
      <c r="K97" s="226">
        <v>2</v>
      </c>
      <c r="L97" s="226">
        <v>5</v>
      </c>
      <c r="M97" s="226">
        <v>3</v>
      </c>
      <c r="N97" s="226">
        <v>1</v>
      </c>
      <c r="O97" s="226">
        <v>2</v>
      </c>
      <c r="P97" s="226">
        <v>3</v>
      </c>
      <c r="Q97" s="226">
        <v>2</v>
      </c>
      <c r="R97" s="226">
        <v>2</v>
      </c>
      <c r="S97" s="226">
        <v>3</v>
      </c>
      <c r="T97" s="226">
        <v>2</v>
      </c>
      <c r="U97" s="226">
        <v>2</v>
      </c>
      <c r="V97" s="226">
        <v>1</v>
      </c>
      <c r="W97" s="226">
        <v>2</v>
      </c>
      <c r="X97" s="226">
        <v>1</v>
      </c>
      <c r="Y97" s="226">
        <v>3</v>
      </c>
      <c r="Z97" s="227">
        <v>3</v>
      </c>
    </row>
    <row r="98" spans="1:26" ht="14.45" customHeight="1">
      <c r="A98" s="708"/>
      <c r="B98" s="712"/>
      <c r="C98" s="715"/>
      <c r="D98" s="712"/>
      <c r="E98" s="712"/>
      <c r="F98" s="712"/>
      <c r="G98" s="224" t="s">
        <v>67</v>
      </c>
      <c r="H98" s="229">
        <f t="shared" ref="H98" si="247">SUM(I98:Z98)</f>
        <v>130</v>
      </c>
      <c r="I98" s="226">
        <f>IF(I99="","",I93+I99)</f>
        <v>10</v>
      </c>
      <c r="J98" s="226">
        <f t="shared" ref="J98" si="248">IF(J99="","",J93+J99)</f>
        <v>9</v>
      </c>
      <c r="K98" s="226">
        <f t="shared" ref="K98" si="249">IF(K99="","",K93+K99)</f>
        <v>6</v>
      </c>
      <c r="L98" s="226">
        <f t="shared" ref="L98" si="250">IF(L99="","",L93+L99)</f>
        <v>7</v>
      </c>
      <c r="M98" s="226">
        <f t="shared" ref="M98" si="251">IF(M99="","",M93+M99)</f>
        <v>10</v>
      </c>
      <c r="N98" s="226">
        <f t="shared" ref="N98" si="252">IF(N99="","",N93+N99)</f>
        <v>9</v>
      </c>
      <c r="O98" s="226">
        <f t="shared" ref="O98" si="253">IF(O99="","",O93+O99)</f>
        <v>6</v>
      </c>
      <c r="P98" s="226">
        <f t="shared" ref="P98" si="254">IF(P99="","",P93+P99)</f>
        <v>6</v>
      </c>
      <c r="Q98" s="226">
        <f t="shared" ref="Q98" si="255">IF(Q99="","",Q93+Q99)</f>
        <v>8</v>
      </c>
      <c r="R98" s="226">
        <f t="shared" ref="R98" si="256">IF(R99="","",R93+R99)</f>
        <v>8</v>
      </c>
      <c r="S98" s="226">
        <f t="shared" ref="S98" si="257">IF(S99="","",S93+S99)</f>
        <v>5</v>
      </c>
      <c r="T98" s="226">
        <f t="shared" ref="T98" si="258">IF(T99="","",T93+T99)</f>
        <v>6</v>
      </c>
      <c r="U98" s="226">
        <f t="shared" ref="U98" si="259">IF(U99="","",U93+U99)</f>
        <v>7</v>
      </c>
      <c r="V98" s="226">
        <f t="shared" ref="V98" si="260">IF(V99="","",V93+V99)</f>
        <v>5</v>
      </c>
      <c r="W98" s="226">
        <f t="shared" ref="W98" si="261">IF(W99="","",W93+W99)</f>
        <v>12</v>
      </c>
      <c r="X98" s="226">
        <f t="shared" ref="X98" si="262">IF(X99="","",X93+X99)</f>
        <v>4</v>
      </c>
      <c r="Y98" s="226">
        <f t="shared" ref="Y98" si="263">IF(Y99="","",Y93+Y99)</f>
        <v>6</v>
      </c>
      <c r="Z98" s="227">
        <f t="shared" ref="Z98" si="264">IF(Z99="","",Z93+Z99)</f>
        <v>6</v>
      </c>
    </row>
    <row r="99" spans="1:26" ht="14.45" customHeight="1">
      <c r="A99" s="709"/>
      <c r="B99" s="713"/>
      <c r="C99" s="716"/>
      <c r="D99" s="713"/>
      <c r="E99" s="713"/>
      <c r="F99" s="713"/>
      <c r="G99" s="230" t="s">
        <v>143</v>
      </c>
      <c r="H99" s="231" t="str">
        <f t="shared" ref="H99" si="265">IF(SUM(I99:Z99)&gt;0,"+"&amp;SUM(I99:Z99),SUM(I99:Z99))</f>
        <v>+58</v>
      </c>
      <c r="I99" s="232">
        <v>5</v>
      </c>
      <c r="J99" s="232">
        <v>5</v>
      </c>
      <c r="K99" s="231">
        <v>2</v>
      </c>
      <c r="L99" s="232">
        <v>4</v>
      </c>
      <c r="M99" s="232">
        <v>6</v>
      </c>
      <c r="N99" s="232">
        <v>5</v>
      </c>
      <c r="O99" s="232">
        <v>3</v>
      </c>
      <c r="P99" s="231">
        <v>2</v>
      </c>
      <c r="Q99" s="231">
        <v>3</v>
      </c>
      <c r="R99" s="232">
        <v>4</v>
      </c>
      <c r="S99" s="231">
        <v>2</v>
      </c>
      <c r="T99" s="231">
        <v>2</v>
      </c>
      <c r="U99" s="231">
        <v>2</v>
      </c>
      <c r="V99" s="233">
        <v>1</v>
      </c>
      <c r="W99" s="232">
        <v>7</v>
      </c>
      <c r="X99" s="233">
        <v>1</v>
      </c>
      <c r="Y99" s="231">
        <v>2</v>
      </c>
      <c r="Z99" s="234">
        <v>2</v>
      </c>
    </row>
    <row r="100" spans="1:26" ht="14.45" customHeight="1">
      <c r="A100" s="707">
        <v>15</v>
      </c>
      <c r="B100" s="710">
        <v>45003</v>
      </c>
      <c r="C100" s="714">
        <v>0.625</v>
      </c>
      <c r="D100" s="727" t="s">
        <v>278</v>
      </c>
      <c r="E100" s="727" t="s">
        <v>277</v>
      </c>
      <c r="F100" s="728" t="s">
        <v>1863</v>
      </c>
      <c r="G100" s="221" t="s">
        <v>137</v>
      </c>
      <c r="H100" s="222">
        <f t="shared" si="167"/>
        <v>72</v>
      </c>
      <c r="I100" s="222">
        <v>4</v>
      </c>
      <c r="J100" s="222">
        <v>5</v>
      </c>
      <c r="K100" s="222">
        <v>4</v>
      </c>
      <c r="L100" s="222">
        <v>4</v>
      </c>
      <c r="M100" s="222">
        <v>5</v>
      </c>
      <c r="N100" s="222">
        <v>3</v>
      </c>
      <c r="O100" s="222">
        <v>4</v>
      </c>
      <c r="P100" s="222">
        <v>3</v>
      </c>
      <c r="Q100" s="222">
        <v>4</v>
      </c>
      <c r="R100" s="222">
        <v>4</v>
      </c>
      <c r="S100" s="222">
        <v>4</v>
      </c>
      <c r="T100" s="222">
        <v>5</v>
      </c>
      <c r="U100" s="222">
        <v>4</v>
      </c>
      <c r="V100" s="222">
        <v>3</v>
      </c>
      <c r="W100" s="222">
        <v>5</v>
      </c>
      <c r="X100" s="222">
        <v>4</v>
      </c>
      <c r="Y100" s="222">
        <v>3</v>
      </c>
      <c r="Z100" s="223">
        <v>4</v>
      </c>
    </row>
    <row r="101" spans="1:26" ht="14.45" customHeight="1">
      <c r="A101" s="708"/>
      <c r="B101" s="711"/>
      <c r="C101" s="715"/>
      <c r="D101" s="712"/>
      <c r="E101" s="712"/>
      <c r="F101" s="729"/>
      <c r="G101" s="224" t="s">
        <v>160</v>
      </c>
      <c r="H101" s="225">
        <f t="shared" si="167"/>
        <v>6233.4647999999997</v>
      </c>
      <c r="I101" s="226">
        <v>353.87279999999998</v>
      </c>
      <c r="J101" s="226">
        <v>552.29759999999999</v>
      </c>
      <c r="K101" s="226">
        <v>378.5616</v>
      </c>
      <c r="L101" s="226">
        <v>384.9624</v>
      </c>
      <c r="M101" s="226">
        <v>507.49200000000002</v>
      </c>
      <c r="N101" s="226">
        <v>132.58799999999999</v>
      </c>
      <c r="O101" s="226">
        <v>348.38639999999998</v>
      </c>
      <c r="P101" s="226">
        <v>124.3584</v>
      </c>
      <c r="Q101" s="226">
        <v>364.84559999999999</v>
      </c>
      <c r="R101" s="226">
        <v>330.09839999999997</v>
      </c>
      <c r="S101" s="226">
        <v>350.21519999999998</v>
      </c>
      <c r="T101" s="226">
        <v>510.23520000000002</v>
      </c>
      <c r="U101" s="226">
        <v>377.6472</v>
      </c>
      <c r="V101" s="226">
        <v>149.9616</v>
      </c>
      <c r="W101" s="226">
        <v>520.29359999999997</v>
      </c>
      <c r="X101" s="226">
        <v>377.6472</v>
      </c>
      <c r="Y101" s="226">
        <v>151.79040000000001</v>
      </c>
      <c r="Z101" s="227">
        <v>318.21120000000002</v>
      </c>
    </row>
    <row r="102" spans="1:26" ht="14.45" customHeight="1">
      <c r="A102" s="708"/>
      <c r="B102" s="712"/>
      <c r="C102" s="715"/>
      <c r="D102" s="712"/>
      <c r="E102" s="712"/>
      <c r="F102" s="712"/>
      <c r="G102" s="224" t="s">
        <v>138</v>
      </c>
      <c r="H102" s="228" t="str">
        <f t="shared" si="186"/>
        <v>N/A</v>
      </c>
      <c r="I102" s="226" t="s">
        <v>2</v>
      </c>
      <c r="J102" s="226" t="s">
        <v>2</v>
      </c>
      <c r="K102" s="226" t="s">
        <v>2</v>
      </c>
      <c r="L102" s="226" t="s">
        <v>2</v>
      </c>
      <c r="M102" s="226" t="s">
        <v>2</v>
      </c>
      <c r="N102" s="226" t="s">
        <v>2</v>
      </c>
      <c r="O102" s="226" t="s">
        <v>2</v>
      </c>
      <c r="P102" s="226" t="s">
        <v>2</v>
      </c>
      <c r="Q102" s="226" t="s">
        <v>2</v>
      </c>
      <c r="R102" s="226" t="s">
        <v>2</v>
      </c>
      <c r="S102" s="226" t="s">
        <v>2</v>
      </c>
      <c r="T102" s="226" t="s">
        <v>2</v>
      </c>
      <c r="U102" s="226" t="s">
        <v>2</v>
      </c>
      <c r="V102" s="226" t="s">
        <v>2</v>
      </c>
      <c r="W102" s="226" t="s">
        <v>2</v>
      </c>
      <c r="X102" s="226" t="s">
        <v>2</v>
      </c>
      <c r="Y102" s="226" t="s">
        <v>2</v>
      </c>
      <c r="Z102" s="227" t="s">
        <v>2</v>
      </c>
    </row>
    <row r="103" spans="1:26" ht="14.45" customHeight="1">
      <c r="A103" s="708"/>
      <c r="B103" s="712"/>
      <c r="C103" s="715"/>
      <c r="D103" s="712"/>
      <c r="E103" s="712"/>
      <c r="F103" s="712"/>
      <c r="G103" s="224" t="s">
        <v>145</v>
      </c>
      <c r="H103" s="228">
        <f t="shared" ref="H103" si="266">IFERROR(IF(I104="N/A","N/A",COUNTIF(I103:Z103,"Y")/(COUNTIF(I103:Z103,"Y")+COUNTIF(I103:Z103,"N"))),"N/A")</f>
        <v>6.6666666666666666E-2</v>
      </c>
      <c r="I103" s="226" t="s">
        <v>1616</v>
      </c>
      <c r="J103" s="226" t="s">
        <v>1616</v>
      </c>
      <c r="K103" s="226" t="s">
        <v>1616</v>
      </c>
      <c r="L103" s="226" t="s">
        <v>1616</v>
      </c>
      <c r="M103" s="226" t="s">
        <v>1616</v>
      </c>
      <c r="N103" s="226" t="s">
        <v>1616</v>
      </c>
      <c r="O103" s="226" t="s">
        <v>1616</v>
      </c>
      <c r="P103" s="226" t="s">
        <v>1616</v>
      </c>
      <c r="Q103" s="226" t="s">
        <v>1616</v>
      </c>
      <c r="R103" s="226" t="s">
        <v>1616</v>
      </c>
      <c r="S103" s="226" t="s">
        <v>1617</v>
      </c>
      <c r="T103" s="226" t="s">
        <v>1616</v>
      </c>
      <c r="U103" s="226" t="s">
        <v>1616</v>
      </c>
      <c r="V103" s="226" t="s">
        <v>1616</v>
      </c>
      <c r="W103" s="226" t="s">
        <v>1616</v>
      </c>
      <c r="X103" s="226" t="s">
        <v>2</v>
      </c>
      <c r="Y103" s="226" t="s">
        <v>2</v>
      </c>
      <c r="Z103" s="227" t="s">
        <v>2</v>
      </c>
    </row>
    <row r="104" spans="1:26" ht="14.45" customHeight="1">
      <c r="A104" s="708"/>
      <c r="B104" s="712"/>
      <c r="C104" s="715"/>
      <c r="D104" s="712"/>
      <c r="E104" s="712"/>
      <c r="F104" s="712"/>
      <c r="G104" s="224" t="s">
        <v>139</v>
      </c>
      <c r="H104" s="226">
        <f t="shared" si="188"/>
        <v>30</v>
      </c>
      <c r="I104" s="226">
        <v>2</v>
      </c>
      <c r="J104" s="226">
        <v>3</v>
      </c>
      <c r="K104" s="226">
        <v>1</v>
      </c>
      <c r="L104" s="226">
        <v>2</v>
      </c>
      <c r="M104" s="226">
        <v>3</v>
      </c>
      <c r="N104" s="226">
        <v>1</v>
      </c>
      <c r="O104" s="226">
        <v>1</v>
      </c>
      <c r="P104" s="226">
        <v>2</v>
      </c>
      <c r="Q104" s="226">
        <v>3</v>
      </c>
      <c r="R104" s="226">
        <v>2</v>
      </c>
      <c r="S104" s="226">
        <v>3</v>
      </c>
      <c r="T104" s="226">
        <v>1</v>
      </c>
      <c r="U104" s="226">
        <v>1</v>
      </c>
      <c r="V104" s="226">
        <v>3</v>
      </c>
      <c r="W104" s="226">
        <v>2</v>
      </c>
      <c r="X104" s="226" t="s">
        <v>3</v>
      </c>
      <c r="Y104" s="226" t="s">
        <v>3</v>
      </c>
      <c r="Z104" s="227" t="s">
        <v>3</v>
      </c>
    </row>
    <row r="105" spans="1:26" ht="14.45" customHeight="1">
      <c r="A105" s="708"/>
      <c r="B105" s="712"/>
      <c r="C105" s="715"/>
      <c r="D105" s="712"/>
      <c r="E105" s="712"/>
      <c r="F105" s="712"/>
      <c r="G105" s="224" t="s">
        <v>67</v>
      </c>
      <c r="H105" s="229">
        <f t="shared" si="189"/>
        <v>97</v>
      </c>
      <c r="I105" s="226">
        <f>IF(I106="","",I100+I106)</f>
        <v>7</v>
      </c>
      <c r="J105" s="226">
        <f t="shared" ref="J105:Z105" si="267">IF(J106="","",J100+J106)</f>
        <v>8</v>
      </c>
      <c r="K105" s="226">
        <f t="shared" si="267"/>
        <v>5</v>
      </c>
      <c r="L105" s="226">
        <f t="shared" si="267"/>
        <v>5</v>
      </c>
      <c r="M105" s="226">
        <f t="shared" si="267"/>
        <v>10</v>
      </c>
      <c r="N105" s="226">
        <f t="shared" si="267"/>
        <v>3</v>
      </c>
      <c r="O105" s="226">
        <f t="shared" si="267"/>
        <v>6</v>
      </c>
      <c r="P105" s="226">
        <f t="shared" si="267"/>
        <v>6</v>
      </c>
      <c r="Q105" s="226">
        <f t="shared" si="267"/>
        <v>6</v>
      </c>
      <c r="R105" s="226">
        <f t="shared" si="267"/>
        <v>6</v>
      </c>
      <c r="S105" s="226">
        <f t="shared" si="267"/>
        <v>5</v>
      </c>
      <c r="T105" s="226">
        <f t="shared" si="267"/>
        <v>9</v>
      </c>
      <c r="U105" s="226">
        <f t="shared" si="267"/>
        <v>6</v>
      </c>
      <c r="V105" s="226">
        <f t="shared" si="267"/>
        <v>6</v>
      </c>
      <c r="W105" s="226">
        <f t="shared" si="267"/>
        <v>9</v>
      </c>
      <c r="X105" s="226" t="str">
        <f t="shared" si="267"/>
        <v/>
      </c>
      <c r="Y105" s="226" t="str">
        <f t="shared" si="267"/>
        <v/>
      </c>
      <c r="Z105" s="227" t="str">
        <f t="shared" si="267"/>
        <v/>
      </c>
    </row>
    <row r="106" spans="1:26" ht="14.45" customHeight="1">
      <c r="A106" s="709"/>
      <c r="B106" s="713"/>
      <c r="C106" s="716"/>
      <c r="D106" s="713"/>
      <c r="E106" s="713"/>
      <c r="F106" s="713"/>
      <c r="G106" s="230" t="s">
        <v>143</v>
      </c>
      <c r="H106" s="231" t="str">
        <f t="shared" si="207"/>
        <v>+36</v>
      </c>
      <c r="I106" s="231">
        <v>3</v>
      </c>
      <c r="J106" s="231">
        <v>3</v>
      </c>
      <c r="K106" s="233">
        <v>1</v>
      </c>
      <c r="L106" s="233">
        <v>1</v>
      </c>
      <c r="M106" s="232">
        <v>5</v>
      </c>
      <c r="N106" s="235">
        <v>0</v>
      </c>
      <c r="O106" s="231">
        <v>2</v>
      </c>
      <c r="P106" s="232">
        <v>3</v>
      </c>
      <c r="Q106" s="231">
        <v>2</v>
      </c>
      <c r="R106" s="231">
        <v>2</v>
      </c>
      <c r="S106" s="233">
        <v>1</v>
      </c>
      <c r="T106" s="231">
        <v>4</v>
      </c>
      <c r="U106" s="231">
        <v>2</v>
      </c>
      <c r="V106" s="232">
        <v>3</v>
      </c>
      <c r="W106" s="231">
        <v>4</v>
      </c>
      <c r="X106" s="231"/>
      <c r="Y106" s="231"/>
      <c r="Z106" s="234"/>
    </row>
    <row r="107" spans="1:26" ht="14.45" customHeight="1">
      <c r="A107" s="707">
        <v>16</v>
      </c>
      <c r="B107" s="710">
        <v>45031</v>
      </c>
      <c r="C107" s="714">
        <v>0.26250000000000001</v>
      </c>
      <c r="D107" s="727" t="s">
        <v>157</v>
      </c>
      <c r="E107" s="727" t="s">
        <v>1864</v>
      </c>
      <c r="F107" s="728" t="s">
        <v>1865</v>
      </c>
      <c r="G107" s="221" t="s">
        <v>137</v>
      </c>
      <c r="H107" s="222">
        <f t="shared" si="167"/>
        <v>72</v>
      </c>
      <c r="I107" s="222">
        <v>5</v>
      </c>
      <c r="J107" s="222">
        <v>4</v>
      </c>
      <c r="K107" s="222">
        <v>4</v>
      </c>
      <c r="L107" s="222">
        <v>3</v>
      </c>
      <c r="M107" s="222">
        <v>5</v>
      </c>
      <c r="N107" s="222">
        <v>3</v>
      </c>
      <c r="O107" s="222">
        <v>4</v>
      </c>
      <c r="P107" s="222">
        <v>4</v>
      </c>
      <c r="Q107" s="222">
        <v>4</v>
      </c>
      <c r="R107" s="222">
        <v>5</v>
      </c>
      <c r="S107" s="222">
        <v>4</v>
      </c>
      <c r="T107" s="222">
        <v>4</v>
      </c>
      <c r="U107" s="222">
        <v>3</v>
      </c>
      <c r="V107" s="222">
        <v>4</v>
      </c>
      <c r="W107" s="222">
        <v>4</v>
      </c>
      <c r="X107" s="222">
        <v>4</v>
      </c>
      <c r="Y107" s="222">
        <v>3</v>
      </c>
      <c r="Z107" s="223">
        <v>5</v>
      </c>
    </row>
    <row r="108" spans="1:26" ht="14.45" customHeight="1">
      <c r="A108" s="708"/>
      <c r="B108" s="711"/>
      <c r="C108" s="715"/>
      <c r="D108" s="712"/>
      <c r="E108" s="712"/>
      <c r="F108" s="729"/>
      <c r="G108" s="224" t="s">
        <v>160</v>
      </c>
      <c r="H108" s="225">
        <f t="shared" si="167"/>
        <v>5569</v>
      </c>
      <c r="I108" s="226">
        <v>449</v>
      </c>
      <c r="J108" s="226">
        <v>296</v>
      </c>
      <c r="K108" s="226">
        <v>348</v>
      </c>
      <c r="L108" s="226">
        <v>133</v>
      </c>
      <c r="M108" s="226">
        <v>483</v>
      </c>
      <c r="N108" s="226">
        <v>134</v>
      </c>
      <c r="O108" s="226">
        <v>311</v>
      </c>
      <c r="P108" s="226">
        <v>288</v>
      </c>
      <c r="Q108" s="226">
        <v>324</v>
      </c>
      <c r="R108" s="226">
        <v>468</v>
      </c>
      <c r="S108" s="226">
        <v>374</v>
      </c>
      <c r="T108" s="226">
        <v>338</v>
      </c>
      <c r="U108" s="226">
        <v>162</v>
      </c>
      <c r="V108" s="226">
        <v>317</v>
      </c>
      <c r="W108" s="226">
        <v>301</v>
      </c>
      <c r="X108" s="226">
        <v>260</v>
      </c>
      <c r="Y108" s="226">
        <v>128</v>
      </c>
      <c r="Z108" s="227">
        <v>455</v>
      </c>
    </row>
    <row r="109" spans="1:26" ht="14.45" customHeight="1">
      <c r="A109" s="708"/>
      <c r="B109" s="712"/>
      <c r="C109" s="715"/>
      <c r="D109" s="712"/>
      <c r="E109" s="712"/>
      <c r="F109" s="712"/>
      <c r="G109" s="224" t="s">
        <v>138</v>
      </c>
      <c r="H109" s="228" t="str">
        <f t="shared" si="186"/>
        <v>N/A</v>
      </c>
      <c r="I109" s="226" t="s">
        <v>2</v>
      </c>
      <c r="J109" s="226" t="s">
        <v>2</v>
      </c>
      <c r="K109" s="226" t="s">
        <v>2</v>
      </c>
      <c r="L109" s="226" t="s">
        <v>2</v>
      </c>
      <c r="M109" s="226" t="s">
        <v>2</v>
      </c>
      <c r="N109" s="226" t="s">
        <v>2</v>
      </c>
      <c r="O109" s="226" t="s">
        <v>2</v>
      </c>
      <c r="P109" s="226" t="s">
        <v>2</v>
      </c>
      <c r="Q109" s="226" t="s">
        <v>2</v>
      </c>
      <c r="R109" s="226" t="s">
        <v>2</v>
      </c>
      <c r="S109" s="226" t="s">
        <v>2</v>
      </c>
      <c r="T109" s="226" t="s">
        <v>2</v>
      </c>
      <c r="U109" s="226" t="s">
        <v>2</v>
      </c>
      <c r="V109" s="226" t="s">
        <v>2</v>
      </c>
      <c r="W109" s="226" t="s">
        <v>2</v>
      </c>
      <c r="X109" s="226" t="s">
        <v>2</v>
      </c>
      <c r="Y109" s="226" t="s">
        <v>2</v>
      </c>
      <c r="Z109" s="227" t="s">
        <v>2</v>
      </c>
    </row>
    <row r="110" spans="1:26" ht="14.45" customHeight="1">
      <c r="A110" s="708"/>
      <c r="B110" s="712"/>
      <c r="C110" s="715"/>
      <c r="D110" s="712"/>
      <c r="E110" s="712"/>
      <c r="F110" s="712"/>
      <c r="G110" s="224" t="s">
        <v>145</v>
      </c>
      <c r="H110" s="228" t="str">
        <f t="shared" ref="H110" si="268">IFERROR(IF(I111="N/A","N/A",COUNTIF(I110:Z110,"Y")/(COUNTIF(I110:Z110,"Y")+COUNTIF(I110:Z110,"N"))),"N/A")</f>
        <v>N/A</v>
      </c>
      <c r="I110" s="226" t="s">
        <v>2</v>
      </c>
      <c r="J110" s="226" t="s">
        <v>2</v>
      </c>
      <c r="K110" s="226" t="s">
        <v>2</v>
      </c>
      <c r="L110" s="226" t="s">
        <v>2</v>
      </c>
      <c r="M110" s="226" t="s">
        <v>2</v>
      </c>
      <c r="N110" s="226" t="s">
        <v>2</v>
      </c>
      <c r="O110" s="226" t="s">
        <v>2</v>
      </c>
      <c r="P110" s="226" t="s">
        <v>2</v>
      </c>
      <c r="Q110" s="226" t="s">
        <v>2</v>
      </c>
      <c r="R110" s="226" t="s">
        <v>2</v>
      </c>
      <c r="S110" s="226" t="s">
        <v>2</v>
      </c>
      <c r="T110" s="226" t="s">
        <v>2</v>
      </c>
      <c r="U110" s="226" t="s">
        <v>2</v>
      </c>
      <c r="V110" s="226" t="s">
        <v>2</v>
      </c>
      <c r="W110" s="226" t="s">
        <v>2</v>
      </c>
      <c r="X110" s="226" t="s">
        <v>2</v>
      </c>
      <c r="Y110" s="226" t="s">
        <v>2</v>
      </c>
      <c r="Z110" s="227" t="s">
        <v>2</v>
      </c>
    </row>
    <row r="111" spans="1:26" ht="14.45" customHeight="1">
      <c r="A111" s="708"/>
      <c r="B111" s="712"/>
      <c r="C111" s="715"/>
      <c r="D111" s="712"/>
      <c r="E111" s="712"/>
      <c r="F111" s="712"/>
      <c r="G111" s="224" t="s">
        <v>139</v>
      </c>
      <c r="H111" s="226" t="str">
        <f t="shared" si="188"/>
        <v>N/A</v>
      </c>
      <c r="I111" s="226" t="s">
        <v>3</v>
      </c>
      <c r="J111" s="226" t="s">
        <v>3</v>
      </c>
      <c r="K111" s="226" t="s">
        <v>3</v>
      </c>
      <c r="L111" s="226" t="s">
        <v>3</v>
      </c>
      <c r="M111" s="226" t="s">
        <v>3</v>
      </c>
      <c r="N111" s="226" t="s">
        <v>3</v>
      </c>
      <c r="O111" s="226" t="s">
        <v>3</v>
      </c>
      <c r="P111" s="226" t="s">
        <v>3</v>
      </c>
      <c r="Q111" s="226" t="s">
        <v>3</v>
      </c>
      <c r="R111" s="226" t="s">
        <v>3</v>
      </c>
      <c r="S111" s="226" t="s">
        <v>3</v>
      </c>
      <c r="T111" s="226" t="s">
        <v>3</v>
      </c>
      <c r="U111" s="226" t="s">
        <v>3</v>
      </c>
      <c r="V111" s="226" t="s">
        <v>3</v>
      </c>
      <c r="W111" s="226" t="s">
        <v>3</v>
      </c>
      <c r="X111" s="226" t="s">
        <v>3</v>
      </c>
      <c r="Y111" s="226" t="s">
        <v>3</v>
      </c>
      <c r="Z111" s="227" t="s">
        <v>3</v>
      </c>
    </row>
    <row r="112" spans="1:26" ht="14.45" customHeight="1">
      <c r="A112" s="708"/>
      <c r="B112" s="712"/>
      <c r="C112" s="715"/>
      <c r="D112" s="712"/>
      <c r="E112" s="712"/>
      <c r="F112" s="712"/>
      <c r="G112" s="224" t="s">
        <v>67</v>
      </c>
      <c r="H112" s="229">
        <f t="shared" si="189"/>
        <v>111</v>
      </c>
      <c r="I112" s="226">
        <f>IF(I113="","",I107+I113)</f>
        <v>6</v>
      </c>
      <c r="J112" s="226">
        <f t="shared" ref="J112" si="269">IF(J113="","",J107+J113)</f>
        <v>5</v>
      </c>
      <c r="K112" s="226">
        <f t="shared" ref="K112" si="270">IF(K113="","",K107+K113)</f>
        <v>5</v>
      </c>
      <c r="L112" s="226">
        <f t="shared" ref="L112" si="271">IF(L113="","",L107+L113)</f>
        <v>6</v>
      </c>
      <c r="M112" s="226">
        <f t="shared" ref="M112" si="272">IF(M113="","",M107+M113)</f>
        <v>8</v>
      </c>
      <c r="N112" s="226">
        <f t="shared" ref="N112" si="273">IF(N113="","",N107+N113)</f>
        <v>6</v>
      </c>
      <c r="O112" s="226">
        <f t="shared" ref="O112" si="274">IF(O113="","",O107+O113)</f>
        <v>6</v>
      </c>
      <c r="P112" s="226">
        <f t="shared" ref="P112" si="275">IF(P113="","",P107+P113)</f>
        <v>6</v>
      </c>
      <c r="Q112" s="226">
        <f t="shared" ref="Q112" si="276">IF(Q113="","",Q107+Q113)</f>
        <v>6</v>
      </c>
      <c r="R112" s="226">
        <f t="shared" ref="R112" si="277">IF(R113="","",R107+R113)</f>
        <v>7</v>
      </c>
      <c r="S112" s="226">
        <f t="shared" ref="S112" si="278">IF(S113="","",S107+S113)</f>
        <v>5</v>
      </c>
      <c r="T112" s="226">
        <f t="shared" ref="T112" si="279">IF(T113="","",T107+T113)</f>
        <v>8</v>
      </c>
      <c r="U112" s="226">
        <f t="shared" ref="U112" si="280">IF(U113="","",U107+U113)</f>
        <v>6</v>
      </c>
      <c r="V112" s="226">
        <f t="shared" ref="V112" si="281">IF(V113="","",V107+V113)</f>
        <v>7</v>
      </c>
      <c r="W112" s="226">
        <f t="shared" ref="W112" si="282">IF(W113="","",W107+W113)</f>
        <v>6</v>
      </c>
      <c r="X112" s="226">
        <f t="shared" ref="X112" si="283">IF(X113="","",X107+X113)</f>
        <v>6</v>
      </c>
      <c r="Y112" s="226">
        <f t="shared" ref="Y112" si="284">IF(Y113="","",Y107+Y113)</f>
        <v>6</v>
      </c>
      <c r="Z112" s="227">
        <f t="shared" ref="Z112" si="285">IF(Z113="","",Z107+Z113)</f>
        <v>6</v>
      </c>
    </row>
    <row r="113" spans="1:26" ht="14.45" customHeight="1">
      <c r="A113" s="709"/>
      <c r="B113" s="713"/>
      <c r="C113" s="716"/>
      <c r="D113" s="713"/>
      <c r="E113" s="713"/>
      <c r="F113" s="713"/>
      <c r="G113" s="230" t="s">
        <v>143</v>
      </c>
      <c r="H113" s="231" t="str">
        <f t="shared" si="207"/>
        <v>+39</v>
      </c>
      <c r="I113" s="233">
        <v>1</v>
      </c>
      <c r="J113" s="233">
        <v>1</v>
      </c>
      <c r="K113" s="233">
        <v>1</v>
      </c>
      <c r="L113" s="232">
        <v>3</v>
      </c>
      <c r="M113" s="231">
        <v>3</v>
      </c>
      <c r="N113" s="232">
        <v>3</v>
      </c>
      <c r="O113" s="231">
        <v>2</v>
      </c>
      <c r="P113" s="231">
        <v>2</v>
      </c>
      <c r="Q113" s="231">
        <v>2</v>
      </c>
      <c r="R113" s="231">
        <v>2</v>
      </c>
      <c r="S113" s="233">
        <v>1</v>
      </c>
      <c r="T113" s="232">
        <v>4</v>
      </c>
      <c r="U113" s="232">
        <v>3</v>
      </c>
      <c r="V113" s="231">
        <v>3</v>
      </c>
      <c r="W113" s="231">
        <v>2</v>
      </c>
      <c r="X113" s="231">
        <v>2</v>
      </c>
      <c r="Y113" s="232">
        <v>3</v>
      </c>
      <c r="Z113" s="236">
        <v>1</v>
      </c>
    </row>
    <row r="114" spans="1:26" ht="14.45" customHeight="1">
      <c r="A114" s="707">
        <v>17</v>
      </c>
      <c r="B114" s="710">
        <v>45047</v>
      </c>
      <c r="C114" s="714">
        <v>0.2902777777777778</v>
      </c>
      <c r="D114" s="720" t="s">
        <v>150</v>
      </c>
      <c r="E114" s="727" t="s">
        <v>1866</v>
      </c>
      <c r="F114" s="723" t="s">
        <v>1867</v>
      </c>
      <c r="G114" s="221" t="s">
        <v>137</v>
      </c>
      <c r="H114" s="222">
        <f t="shared" si="167"/>
        <v>72</v>
      </c>
      <c r="I114" s="222">
        <v>4</v>
      </c>
      <c r="J114" s="222">
        <v>4</v>
      </c>
      <c r="K114" s="222">
        <v>3</v>
      </c>
      <c r="L114" s="222">
        <v>5</v>
      </c>
      <c r="M114" s="222">
        <v>4</v>
      </c>
      <c r="N114" s="222">
        <v>3</v>
      </c>
      <c r="O114" s="222">
        <v>4</v>
      </c>
      <c r="P114" s="222">
        <v>5</v>
      </c>
      <c r="Q114" s="222">
        <v>4</v>
      </c>
      <c r="R114" s="222">
        <v>4</v>
      </c>
      <c r="S114" s="222">
        <v>4</v>
      </c>
      <c r="T114" s="222">
        <v>5</v>
      </c>
      <c r="U114" s="222">
        <v>4</v>
      </c>
      <c r="V114" s="222">
        <v>3</v>
      </c>
      <c r="W114" s="222">
        <v>4</v>
      </c>
      <c r="X114" s="222">
        <v>3</v>
      </c>
      <c r="Y114" s="222">
        <v>4</v>
      </c>
      <c r="Z114" s="223">
        <v>5</v>
      </c>
    </row>
    <row r="115" spans="1:26" ht="14.45" customHeight="1">
      <c r="A115" s="708"/>
      <c r="B115" s="711"/>
      <c r="C115" s="715"/>
      <c r="D115" s="721"/>
      <c r="E115" s="712"/>
      <c r="F115" s="724"/>
      <c r="G115" s="224" t="s">
        <v>160</v>
      </c>
      <c r="H115" s="225">
        <f t="shared" si="167"/>
        <v>5648</v>
      </c>
      <c r="I115" s="226">
        <v>306</v>
      </c>
      <c r="J115" s="226">
        <v>262</v>
      </c>
      <c r="K115" s="226">
        <v>132</v>
      </c>
      <c r="L115" s="226">
        <v>479</v>
      </c>
      <c r="M115" s="226">
        <v>309</v>
      </c>
      <c r="N115" s="226">
        <v>145</v>
      </c>
      <c r="O115" s="226">
        <v>305</v>
      </c>
      <c r="P115" s="226">
        <v>465</v>
      </c>
      <c r="Q115" s="226">
        <v>329</v>
      </c>
      <c r="R115" s="226">
        <v>365</v>
      </c>
      <c r="S115" s="226">
        <v>306</v>
      </c>
      <c r="T115" s="226">
        <v>470</v>
      </c>
      <c r="U115" s="226">
        <v>345</v>
      </c>
      <c r="V115" s="226">
        <v>132</v>
      </c>
      <c r="W115" s="226">
        <v>317</v>
      </c>
      <c r="X115" s="226">
        <v>139</v>
      </c>
      <c r="Y115" s="226">
        <v>333</v>
      </c>
      <c r="Z115" s="227">
        <v>509</v>
      </c>
    </row>
    <row r="116" spans="1:26" ht="14.45" customHeight="1">
      <c r="A116" s="708"/>
      <c r="B116" s="712"/>
      <c r="C116" s="715"/>
      <c r="D116" s="721"/>
      <c r="E116" s="712"/>
      <c r="F116" s="724"/>
      <c r="G116" s="224" t="s">
        <v>138</v>
      </c>
      <c r="H116" s="228" t="str">
        <f t="shared" si="186"/>
        <v>N/A</v>
      </c>
      <c r="I116" s="226" t="s">
        <v>2</v>
      </c>
      <c r="J116" s="226" t="s">
        <v>2</v>
      </c>
      <c r="K116" s="226" t="s">
        <v>2</v>
      </c>
      <c r="L116" s="226" t="s">
        <v>2</v>
      </c>
      <c r="M116" s="226" t="s">
        <v>2</v>
      </c>
      <c r="N116" s="226" t="s">
        <v>2</v>
      </c>
      <c r="O116" s="226" t="s">
        <v>2</v>
      </c>
      <c r="P116" s="226" t="s">
        <v>2</v>
      </c>
      <c r="Q116" s="226" t="s">
        <v>2</v>
      </c>
      <c r="R116" s="226" t="s">
        <v>2</v>
      </c>
      <c r="S116" s="226" t="s">
        <v>2</v>
      </c>
      <c r="T116" s="226" t="s">
        <v>2</v>
      </c>
      <c r="U116" s="226" t="s">
        <v>2</v>
      </c>
      <c r="V116" s="226" t="s">
        <v>2</v>
      </c>
      <c r="W116" s="226" t="s">
        <v>2</v>
      </c>
      <c r="X116" s="226" t="s">
        <v>2</v>
      </c>
      <c r="Y116" s="226" t="s">
        <v>2</v>
      </c>
      <c r="Z116" s="227" t="s">
        <v>2</v>
      </c>
    </row>
    <row r="117" spans="1:26" ht="14.45" customHeight="1">
      <c r="A117" s="708"/>
      <c r="B117" s="712"/>
      <c r="C117" s="715"/>
      <c r="D117" s="721"/>
      <c r="E117" s="712"/>
      <c r="F117" s="724"/>
      <c r="G117" s="224" t="s">
        <v>145</v>
      </c>
      <c r="H117" s="228" t="str">
        <f t="shared" ref="H117" si="286">IFERROR(IF(I118="N/A","N/A",COUNTIF(I117:Z117,"Y")/(COUNTIF(I117:Z117,"Y")+COUNTIF(I117:Z117,"N"))),"N/A")</f>
        <v>N/A</v>
      </c>
      <c r="I117" s="226" t="s">
        <v>2</v>
      </c>
      <c r="J117" s="226" t="s">
        <v>2</v>
      </c>
      <c r="K117" s="226" t="s">
        <v>2</v>
      </c>
      <c r="L117" s="226" t="s">
        <v>2</v>
      </c>
      <c r="M117" s="226" t="s">
        <v>2</v>
      </c>
      <c r="N117" s="226" t="s">
        <v>2</v>
      </c>
      <c r="O117" s="226" t="s">
        <v>2</v>
      </c>
      <c r="P117" s="226" t="s">
        <v>2</v>
      </c>
      <c r="Q117" s="226" t="s">
        <v>2</v>
      </c>
      <c r="R117" s="226" t="s">
        <v>2</v>
      </c>
      <c r="S117" s="226" t="s">
        <v>2</v>
      </c>
      <c r="T117" s="226" t="s">
        <v>2</v>
      </c>
      <c r="U117" s="226" t="s">
        <v>2</v>
      </c>
      <c r="V117" s="226" t="s">
        <v>2</v>
      </c>
      <c r="W117" s="226" t="s">
        <v>2</v>
      </c>
      <c r="X117" s="226" t="s">
        <v>2</v>
      </c>
      <c r="Y117" s="226" t="s">
        <v>2</v>
      </c>
      <c r="Z117" s="227" t="s">
        <v>2</v>
      </c>
    </row>
    <row r="118" spans="1:26" ht="14.45" customHeight="1">
      <c r="A118" s="708"/>
      <c r="B118" s="712"/>
      <c r="C118" s="715"/>
      <c r="D118" s="721"/>
      <c r="E118" s="712"/>
      <c r="F118" s="724"/>
      <c r="G118" s="224" t="s">
        <v>139</v>
      </c>
      <c r="H118" s="226" t="str">
        <f t="shared" si="188"/>
        <v>N/A</v>
      </c>
      <c r="I118" s="226" t="s">
        <v>3</v>
      </c>
      <c r="J118" s="226" t="s">
        <v>3</v>
      </c>
      <c r="K118" s="226" t="s">
        <v>3</v>
      </c>
      <c r="L118" s="226" t="s">
        <v>3</v>
      </c>
      <c r="M118" s="226" t="s">
        <v>3</v>
      </c>
      <c r="N118" s="226" t="s">
        <v>3</v>
      </c>
      <c r="O118" s="226" t="s">
        <v>3</v>
      </c>
      <c r="P118" s="226" t="s">
        <v>3</v>
      </c>
      <c r="Q118" s="226" t="s">
        <v>3</v>
      </c>
      <c r="R118" s="226" t="s">
        <v>3</v>
      </c>
      <c r="S118" s="226" t="s">
        <v>3</v>
      </c>
      <c r="T118" s="226" t="s">
        <v>3</v>
      </c>
      <c r="U118" s="226" t="s">
        <v>3</v>
      </c>
      <c r="V118" s="226" t="s">
        <v>3</v>
      </c>
      <c r="W118" s="226" t="s">
        <v>3</v>
      </c>
      <c r="X118" s="226" t="s">
        <v>3</v>
      </c>
      <c r="Y118" s="226" t="s">
        <v>3</v>
      </c>
      <c r="Z118" s="227" t="s">
        <v>3</v>
      </c>
    </row>
    <row r="119" spans="1:26" ht="14.45" customHeight="1">
      <c r="A119" s="708"/>
      <c r="B119" s="712"/>
      <c r="C119" s="715"/>
      <c r="D119" s="721"/>
      <c r="E119" s="712"/>
      <c r="F119" s="724"/>
      <c r="G119" s="224" t="s">
        <v>67</v>
      </c>
      <c r="H119" s="229">
        <f t="shared" si="189"/>
        <v>100</v>
      </c>
      <c r="I119" s="226">
        <f>IF(I120="","",I114+I120)</f>
        <v>8</v>
      </c>
      <c r="J119" s="226">
        <f t="shared" ref="J119" si="287">IF(J120="","",J114+J120)</f>
        <v>6</v>
      </c>
      <c r="K119" s="226">
        <f t="shared" ref="K119" si="288">IF(K120="","",K114+K120)</f>
        <v>5</v>
      </c>
      <c r="L119" s="226">
        <f t="shared" ref="L119" si="289">IF(L120="","",L114+L120)</f>
        <v>8</v>
      </c>
      <c r="M119" s="226">
        <f t="shared" ref="M119" si="290">IF(M120="","",M114+M120)</f>
        <v>5</v>
      </c>
      <c r="N119" s="226">
        <f t="shared" ref="N119" si="291">IF(N120="","",N114+N120)</f>
        <v>4</v>
      </c>
      <c r="O119" s="226">
        <f t="shared" ref="O119" si="292">IF(O120="","",O114+O120)</f>
        <v>4</v>
      </c>
      <c r="P119" s="226">
        <f t="shared" ref="P119" si="293">IF(P120="","",P114+P120)</f>
        <v>6</v>
      </c>
      <c r="Q119" s="226">
        <f t="shared" ref="Q119" si="294">IF(Q120="","",Q114+Q120)</f>
        <v>5</v>
      </c>
      <c r="R119" s="226">
        <f t="shared" ref="R119" si="295">IF(R120="","",R114+R120)</f>
        <v>7</v>
      </c>
      <c r="S119" s="226">
        <f t="shared" ref="S119" si="296">IF(S120="","",S114+S120)</f>
        <v>4</v>
      </c>
      <c r="T119" s="226">
        <f t="shared" ref="T119" si="297">IF(T120="","",T114+T120)</f>
        <v>8</v>
      </c>
      <c r="U119" s="226">
        <f t="shared" ref="U119" si="298">IF(U120="","",U114+U120)</f>
        <v>6</v>
      </c>
      <c r="V119" s="226">
        <f t="shared" ref="V119" si="299">IF(V120="","",V114+V120)</f>
        <v>4</v>
      </c>
      <c r="W119" s="226">
        <f t="shared" ref="W119" si="300">IF(W120="","",W114+W120)</f>
        <v>5</v>
      </c>
      <c r="X119" s="226">
        <f t="shared" ref="X119" si="301">IF(X120="","",X114+X120)</f>
        <v>4</v>
      </c>
      <c r="Y119" s="226">
        <f t="shared" ref="Y119" si="302">IF(Y120="","",Y114+Y120)</f>
        <v>5</v>
      </c>
      <c r="Z119" s="227">
        <f t="shared" ref="Z119" si="303">IF(Z120="","",Z114+Z120)</f>
        <v>6</v>
      </c>
    </row>
    <row r="120" spans="1:26" ht="14.45" customHeight="1">
      <c r="A120" s="709"/>
      <c r="B120" s="713"/>
      <c r="C120" s="716"/>
      <c r="D120" s="722"/>
      <c r="E120" s="713"/>
      <c r="F120" s="725"/>
      <c r="G120" s="230" t="s">
        <v>143</v>
      </c>
      <c r="H120" s="231" t="str">
        <f t="shared" si="207"/>
        <v>+28</v>
      </c>
      <c r="I120" s="232">
        <v>4</v>
      </c>
      <c r="J120" s="231">
        <v>2</v>
      </c>
      <c r="K120" s="231">
        <v>2</v>
      </c>
      <c r="L120" s="231">
        <v>3</v>
      </c>
      <c r="M120" s="233">
        <v>1</v>
      </c>
      <c r="N120" s="233">
        <v>1</v>
      </c>
      <c r="O120" s="235">
        <v>0</v>
      </c>
      <c r="P120" s="233">
        <v>1</v>
      </c>
      <c r="Q120" s="233">
        <v>1</v>
      </c>
      <c r="R120" s="231">
        <v>3</v>
      </c>
      <c r="S120" s="235">
        <v>0</v>
      </c>
      <c r="T120" s="231">
        <v>3</v>
      </c>
      <c r="U120" s="231">
        <v>2</v>
      </c>
      <c r="V120" s="233">
        <v>1</v>
      </c>
      <c r="W120" s="233">
        <v>1</v>
      </c>
      <c r="X120" s="233">
        <v>1</v>
      </c>
      <c r="Y120" s="233">
        <v>1</v>
      </c>
      <c r="Z120" s="236">
        <v>1</v>
      </c>
    </row>
    <row r="121" spans="1:26" ht="14.45" customHeight="1">
      <c r="A121" s="707">
        <v>18</v>
      </c>
      <c r="B121" s="710">
        <v>45057</v>
      </c>
      <c r="C121" s="714">
        <v>0.71805555555555556</v>
      </c>
      <c r="D121" s="717" t="s">
        <v>1868</v>
      </c>
      <c r="E121" s="727" t="s">
        <v>1630</v>
      </c>
      <c r="F121" s="728" t="s">
        <v>1869</v>
      </c>
      <c r="G121" s="221" t="s">
        <v>137</v>
      </c>
      <c r="H121" s="222">
        <f t="shared" si="167"/>
        <v>72</v>
      </c>
      <c r="I121" s="222">
        <v>4</v>
      </c>
      <c r="J121" s="222">
        <v>4</v>
      </c>
      <c r="K121" s="222">
        <v>5</v>
      </c>
      <c r="L121" s="222">
        <v>4</v>
      </c>
      <c r="M121" s="222">
        <v>4</v>
      </c>
      <c r="N121" s="222">
        <v>3</v>
      </c>
      <c r="O121" s="222">
        <v>4</v>
      </c>
      <c r="P121" s="222">
        <v>3</v>
      </c>
      <c r="Q121" s="222">
        <v>5</v>
      </c>
      <c r="R121" s="222">
        <v>4</v>
      </c>
      <c r="S121" s="222">
        <v>5</v>
      </c>
      <c r="T121" s="222">
        <v>3</v>
      </c>
      <c r="U121" s="222">
        <v>4</v>
      </c>
      <c r="V121" s="222">
        <v>4</v>
      </c>
      <c r="W121" s="222">
        <v>4</v>
      </c>
      <c r="X121" s="222">
        <v>4</v>
      </c>
      <c r="Y121" s="222">
        <v>3</v>
      </c>
      <c r="Z121" s="223">
        <v>5</v>
      </c>
    </row>
    <row r="122" spans="1:26" ht="14.45" customHeight="1">
      <c r="A122" s="708"/>
      <c r="B122" s="711"/>
      <c r="C122" s="715"/>
      <c r="D122" s="718"/>
      <c r="E122" s="712"/>
      <c r="F122" s="729"/>
      <c r="G122" s="224" t="s">
        <v>160</v>
      </c>
      <c r="H122" s="225">
        <f t="shared" si="167"/>
        <v>5261</v>
      </c>
      <c r="I122" s="226">
        <v>313</v>
      </c>
      <c r="J122" s="226">
        <v>300</v>
      </c>
      <c r="K122" s="226">
        <v>455</v>
      </c>
      <c r="L122" s="226">
        <v>313</v>
      </c>
      <c r="M122" s="226">
        <v>300</v>
      </c>
      <c r="N122" s="226">
        <v>135</v>
      </c>
      <c r="O122" s="226">
        <v>333</v>
      </c>
      <c r="P122" s="226">
        <v>125</v>
      </c>
      <c r="Q122" s="226">
        <v>430</v>
      </c>
      <c r="R122" s="226">
        <v>340</v>
      </c>
      <c r="S122" s="226">
        <v>427</v>
      </c>
      <c r="T122" s="226">
        <v>85</v>
      </c>
      <c r="U122" s="226">
        <v>288</v>
      </c>
      <c r="V122" s="226">
        <v>295</v>
      </c>
      <c r="W122" s="226">
        <v>282</v>
      </c>
      <c r="X122" s="226">
        <v>295</v>
      </c>
      <c r="Y122" s="226">
        <v>105</v>
      </c>
      <c r="Z122" s="227">
        <v>440</v>
      </c>
    </row>
    <row r="123" spans="1:26" ht="14.45" customHeight="1">
      <c r="A123" s="708"/>
      <c r="B123" s="712"/>
      <c r="C123" s="715"/>
      <c r="D123" s="718"/>
      <c r="E123" s="712"/>
      <c r="F123" s="712"/>
      <c r="G123" s="224" t="s">
        <v>138</v>
      </c>
      <c r="H123" s="228" t="str">
        <f t="shared" si="186"/>
        <v>N/A</v>
      </c>
      <c r="I123" s="226" t="s">
        <v>2</v>
      </c>
      <c r="J123" s="226" t="s">
        <v>2</v>
      </c>
      <c r="K123" s="226" t="s">
        <v>2</v>
      </c>
      <c r="L123" s="226" t="s">
        <v>2</v>
      </c>
      <c r="M123" s="226" t="s">
        <v>2</v>
      </c>
      <c r="N123" s="226" t="s">
        <v>2</v>
      </c>
      <c r="O123" s="226" t="s">
        <v>2</v>
      </c>
      <c r="P123" s="226" t="s">
        <v>2</v>
      </c>
      <c r="Q123" s="226" t="s">
        <v>2</v>
      </c>
      <c r="R123" s="226" t="s">
        <v>2</v>
      </c>
      <c r="S123" s="226" t="s">
        <v>2</v>
      </c>
      <c r="T123" s="226" t="s">
        <v>2</v>
      </c>
      <c r="U123" s="226" t="s">
        <v>2</v>
      </c>
      <c r="V123" s="226" t="s">
        <v>2</v>
      </c>
      <c r="W123" s="226" t="s">
        <v>2</v>
      </c>
      <c r="X123" s="226" t="s">
        <v>2</v>
      </c>
      <c r="Y123" s="226" t="s">
        <v>2</v>
      </c>
      <c r="Z123" s="227" t="s">
        <v>2</v>
      </c>
    </row>
    <row r="124" spans="1:26" ht="14.45" customHeight="1">
      <c r="A124" s="708"/>
      <c r="B124" s="712"/>
      <c r="C124" s="715"/>
      <c r="D124" s="718"/>
      <c r="E124" s="712"/>
      <c r="F124" s="712"/>
      <c r="G124" s="224" t="s">
        <v>145</v>
      </c>
      <c r="H124" s="228" t="str">
        <f t="shared" ref="H124" si="304">IFERROR(IF(I125="N/A","N/A",COUNTIF(I124:Z124,"Y")/(COUNTIF(I124:Z124,"Y")+COUNTIF(I124:Z124,"N"))),"N/A")</f>
        <v>N/A</v>
      </c>
      <c r="I124" s="226" t="s">
        <v>2</v>
      </c>
      <c r="J124" s="226" t="s">
        <v>2</v>
      </c>
      <c r="K124" s="226" t="s">
        <v>2</v>
      </c>
      <c r="L124" s="226" t="s">
        <v>2</v>
      </c>
      <c r="M124" s="226" t="s">
        <v>2</v>
      </c>
      <c r="N124" s="226" t="s">
        <v>2</v>
      </c>
      <c r="O124" s="226" t="s">
        <v>2</v>
      </c>
      <c r="P124" s="226" t="s">
        <v>2</v>
      </c>
      <c r="Q124" s="226" t="s">
        <v>2</v>
      </c>
      <c r="R124" s="226" t="s">
        <v>2</v>
      </c>
      <c r="S124" s="226" t="s">
        <v>2</v>
      </c>
      <c r="T124" s="226" t="s">
        <v>2</v>
      </c>
      <c r="U124" s="226" t="s">
        <v>2</v>
      </c>
      <c r="V124" s="226" t="s">
        <v>2</v>
      </c>
      <c r="W124" s="226" t="s">
        <v>2</v>
      </c>
      <c r="X124" s="226" t="s">
        <v>2</v>
      </c>
      <c r="Y124" s="226" t="s">
        <v>2</v>
      </c>
      <c r="Z124" s="227" t="s">
        <v>2</v>
      </c>
    </row>
    <row r="125" spans="1:26" ht="14.45" customHeight="1">
      <c r="A125" s="708"/>
      <c r="B125" s="712"/>
      <c r="C125" s="715"/>
      <c r="D125" s="718"/>
      <c r="E125" s="712"/>
      <c r="F125" s="712"/>
      <c r="G125" s="224" t="s">
        <v>139</v>
      </c>
      <c r="H125" s="226" t="str">
        <f t="shared" si="188"/>
        <v>N/A</v>
      </c>
      <c r="I125" s="226" t="s">
        <v>3</v>
      </c>
      <c r="J125" s="226" t="s">
        <v>3</v>
      </c>
      <c r="K125" s="226" t="s">
        <v>3</v>
      </c>
      <c r="L125" s="226" t="s">
        <v>3</v>
      </c>
      <c r="M125" s="226" t="s">
        <v>3</v>
      </c>
      <c r="N125" s="226" t="s">
        <v>3</v>
      </c>
      <c r="O125" s="226" t="s">
        <v>3</v>
      </c>
      <c r="P125" s="226" t="s">
        <v>3</v>
      </c>
      <c r="Q125" s="226" t="s">
        <v>3</v>
      </c>
      <c r="R125" s="226" t="s">
        <v>3</v>
      </c>
      <c r="S125" s="226" t="s">
        <v>3</v>
      </c>
      <c r="T125" s="226" t="s">
        <v>3</v>
      </c>
      <c r="U125" s="226" t="s">
        <v>3</v>
      </c>
      <c r="V125" s="226" t="s">
        <v>3</v>
      </c>
      <c r="W125" s="226" t="s">
        <v>3</v>
      </c>
      <c r="X125" s="226" t="s">
        <v>3</v>
      </c>
      <c r="Y125" s="226" t="s">
        <v>3</v>
      </c>
      <c r="Z125" s="227" t="s">
        <v>3</v>
      </c>
    </row>
    <row r="126" spans="1:26" ht="14.45" customHeight="1">
      <c r="A126" s="708"/>
      <c r="B126" s="712"/>
      <c r="C126" s="715"/>
      <c r="D126" s="718"/>
      <c r="E126" s="712"/>
      <c r="F126" s="712"/>
      <c r="G126" s="224" t="s">
        <v>67</v>
      </c>
      <c r="H126" s="229">
        <f t="shared" si="189"/>
        <v>110</v>
      </c>
      <c r="I126" s="226">
        <f t="shared" ref="I126" si="305">IF(I127="","",I121+I127)</f>
        <v>8</v>
      </c>
      <c r="J126" s="226">
        <f t="shared" ref="J126" si="306">IF(J127="","",J121+J127)</f>
        <v>5</v>
      </c>
      <c r="K126" s="226">
        <f t="shared" ref="K126" si="307">IF(K127="","",K121+K127)</f>
        <v>10</v>
      </c>
      <c r="L126" s="226">
        <f t="shared" ref="L126" si="308">IF(L127="","",L121+L127)</f>
        <v>4</v>
      </c>
      <c r="M126" s="226">
        <f t="shared" ref="M126" si="309">IF(M127="","",M121+M127)</f>
        <v>6</v>
      </c>
      <c r="N126" s="226">
        <f t="shared" ref="N126" si="310">IF(N127="","",N121+N127)</f>
        <v>4</v>
      </c>
      <c r="O126" s="226">
        <f t="shared" ref="O126" si="311">IF(O127="","",O121+O127)</f>
        <v>5</v>
      </c>
      <c r="P126" s="226">
        <f t="shared" ref="P126" si="312">IF(P127="","",P121+P127)</f>
        <v>3</v>
      </c>
      <c r="Q126" s="226">
        <f t="shared" ref="Q126" si="313">IF(Q127="","",Q121+Q127)</f>
        <v>8</v>
      </c>
      <c r="R126" s="226">
        <f t="shared" ref="R126" si="314">IF(R127="","",R121+R127)</f>
        <v>8</v>
      </c>
      <c r="S126" s="226">
        <f t="shared" ref="S126" si="315">IF(S127="","",S121+S127)</f>
        <v>7</v>
      </c>
      <c r="T126" s="226">
        <f t="shared" ref="T126" si="316">IF(T127="","",T121+T127)</f>
        <v>4</v>
      </c>
      <c r="U126" s="226">
        <f t="shared" ref="U126" si="317">IF(U127="","",U121+U127)</f>
        <v>8</v>
      </c>
      <c r="V126" s="226">
        <f t="shared" ref="V126" si="318">IF(V127="","",V121+V127)</f>
        <v>8</v>
      </c>
      <c r="W126" s="226">
        <f t="shared" ref="W126" si="319">IF(W127="","",W121+W127)</f>
        <v>4</v>
      </c>
      <c r="X126" s="226">
        <f t="shared" ref="X126" si="320">IF(X127="","",X121+X127)</f>
        <v>5</v>
      </c>
      <c r="Y126" s="226">
        <f t="shared" ref="Y126" si="321">IF(Y127="","",Y121+Y127)</f>
        <v>3</v>
      </c>
      <c r="Z126" s="227">
        <f t="shared" ref="Z126" si="322">IF(Z127="","",Z121+Z127)</f>
        <v>10</v>
      </c>
    </row>
    <row r="127" spans="1:26" ht="14.45" customHeight="1">
      <c r="A127" s="709"/>
      <c r="B127" s="713"/>
      <c r="C127" s="716"/>
      <c r="D127" s="719"/>
      <c r="E127" s="713"/>
      <c r="F127" s="713"/>
      <c r="G127" s="230" t="s">
        <v>143</v>
      </c>
      <c r="H127" s="231" t="str">
        <f t="shared" si="207"/>
        <v>+38</v>
      </c>
      <c r="I127" s="232">
        <v>4</v>
      </c>
      <c r="J127" s="233">
        <v>1</v>
      </c>
      <c r="K127" s="232">
        <v>5</v>
      </c>
      <c r="L127" s="235">
        <v>0</v>
      </c>
      <c r="M127" s="231">
        <v>2</v>
      </c>
      <c r="N127" s="233">
        <v>1</v>
      </c>
      <c r="O127" s="233">
        <v>1</v>
      </c>
      <c r="P127" s="235">
        <v>0</v>
      </c>
      <c r="Q127" s="231">
        <v>3</v>
      </c>
      <c r="R127" s="232">
        <v>4</v>
      </c>
      <c r="S127" s="231">
        <v>2</v>
      </c>
      <c r="T127" s="233">
        <v>1</v>
      </c>
      <c r="U127" s="232">
        <v>4</v>
      </c>
      <c r="V127" s="232">
        <v>4</v>
      </c>
      <c r="W127" s="235">
        <v>0</v>
      </c>
      <c r="X127" s="233">
        <v>1</v>
      </c>
      <c r="Y127" s="235">
        <v>0</v>
      </c>
      <c r="Z127" s="238">
        <v>5</v>
      </c>
    </row>
    <row r="128" spans="1:26" ht="14.45" customHeight="1">
      <c r="A128" s="707">
        <v>19</v>
      </c>
      <c r="B128" s="733">
        <v>45101</v>
      </c>
      <c r="C128" s="736">
        <v>0.57291666666666663</v>
      </c>
      <c r="D128" s="730" t="s">
        <v>159</v>
      </c>
      <c r="E128" s="720" t="s">
        <v>1870</v>
      </c>
      <c r="F128" s="723" t="s">
        <v>1871</v>
      </c>
      <c r="G128" s="221" t="s">
        <v>137</v>
      </c>
      <c r="H128" s="222">
        <f t="shared" ref="H128:H129" si="323">SUM(I128:Z128)</f>
        <v>72</v>
      </c>
      <c r="I128" s="222">
        <v>4</v>
      </c>
      <c r="J128" s="222">
        <v>4</v>
      </c>
      <c r="K128" s="222">
        <v>5</v>
      </c>
      <c r="L128" s="222">
        <v>3</v>
      </c>
      <c r="M128" s="222">
        <v>4</v>
      </c>
      <c r="N128" s="222">
        <v>3</v>
      </c>
      <c r="O128" s="222">
        <v>5</v>
      </c>
      <c r="P128" s="222">
        <v>4</v>
      </c>
      <c r="Q128" s="222">
        <v>4</v>
      </c>
      <c r="R128" s="222">
        <v>5</v>
      </c>
      <c r="S128" s="222">
        <v>4</v>
      </c>
      <c r="T128" s="222">
        <v>3</v>
      </c>
      <c r="U128" s="222">
        <v>4</v>
      </c>
      <c r="V128" s="222">
        <v>4</v>
      </c>
      <c r="W128" s="222">
        <v>5</v>
      </c>
      <c r="X128" s="222">
        <v>3</v>
      </c>
      <c r="Y128" s="222">
        <v>4</v>
      </c>
      <c r="Z128" s="223">
        <v>4</v>
      </c>
    </row>
    <row r="129" spans="1:26" ht="14.45" customHeight="1">
      <c r="A129" s="708"/>
      <c r="B129" s="734"/>
      <c r="C129" s="737"/>
      <c r="D129" s="731"/>
      <c r="E129" s="721"/>
      <c r="F129" s="724"/>
      <c r="G129" s="224" t="s">
        <v>160</v>
      </c>
      <c r="H129" s="225">
        <f t="shared" si="323"/>
        <v>5630</v>
      </c>
      <c r="I129" s="226">
        <v>342</v>
      </c>
      <c r="J129" s="226">
        <v>318</v>
      </c>
      <c r="K129" s="226">
        <v>436</v>
      </c>
      <c r="L129" s="226">
        <v>151</v>
      </c>
      <c r="M129" s="226">
        <v>321</v>
      </c>
      <c r="N129" s="226">
        <v>158</v>
      </c>
      <c r="O129" s="226">
        <v>450</v>
      </c>
      <c r="P129" s="226">
        <v>293</v>
      </c>
      <c r="Q129" s="226">
        <v>305</v>
      </c>
      <c r="R129" s="226">
        <v>452</v>
      </c>
      <c r="S129" s="226">
        <v>354</v>
      </c>
      <c r="T129" s="226">
        <v>149</v>
      </c>
      <c r="U129" s="226">
        <v>330</v>
      </c>
      <c r="V129" s="226">
        <v>296</v>
      </c>
      <c r="W129" s="226">
        <v>447</v>
      </c>
      <c r="X129" s="226">
        <v>156</v>
      </c>
      <c r="Y129" s="226">
        <v>321</v>
      </c>
      <c r="Z129" s="227">
        <v>351</v>
      </c>
    </row>
    <row r="130" spans="1:26" ht="14.45" customHeight="1">
      <c r="A130" s="708"/>
      <c r="B130" s="734"/>
      <c r="C130" s="737"/>
      <c r="D130" s="731"/>
      <c r="E130" s="721"/>
      <c r="F130" s="724"/>
      <c r="G130" s="224" t="s">
        <v>138</v>
      </c>
      <c r="H130" s="228" t="str">
        <f t="shared" ref="H130" si="324">IF(I132="N/A","N/A",IF(COUNTIF(I130:Z130,"Y")/14=0,"N/A",COUNTIF(I130:Z130,"Y")/(COUNTIF(I130:Z130,"Y")+COUNTIF(I130:Z130,"N"))))</f>
        <v>N/A</v>
      </c>
      <c r="I130" s="226" t="s">
        <v>2</v>
      </c>
      <c r="J130" s="226" t="s">
        <v>2</v>
      </c>
      <c r="K130" s="226" t="s">
        <v>2</v>
      </c>
      <c r="L130" s="226" t="s">
        <v>2</v>
      </c>
      <c r="M130" s="226" t="s">
        <v>2</v>
      </c>
      <c r="N130" s="226" t="s">
        <v>2</v>
      </c>
      <c r="O130" s="226" t="s">
        <v>2</v>
      </c>
      <c r="P130" s="226" t="s">
        <v>2</v>
      </c>
      <c r="Q130" s="226" t="s">
        <v>2</v>
      </c>
      <c r="R130" s="226" t="s">
        <v>2</v>
      </c>
      <c r="S130" s="226" t="s">
        <v>2</v>
      </c>
      <c r="T130" s="226" t="s">
        <v>2</v>
      </c>
      <c r="U130" s="226" t="s">
        <v>2</v>
      </c>
      <c r="V130" s="226" t="s">
        <v>2</v>
      </c>
      <c r="W130" s="226" t="s">
        <v>2</v>
      </c>
      <c r="X130" s="226" t="s">
        <v>2</v>
      </c>
      <c r="Y130" s="226" t="s">
        <v>2</v>
      </c>
      <c r="Z130" s="227" t="s">
        <v>2</v>
      </c>
    </row>
    <row r="131" spans="1:26" ht="14.45" customHeight="1">
      <c r="A131" s="708"/>
      <c r="B131" s="734"/>
      <c r="C131" s="737"/>
      <c r="D131" s="731"/>
      <c r="E131" s="721"/>
      <c r="F131" s="724"/>
      <c r="G131" s="224" t="s">
        <v>145</v>
      </c>
      <c r="H131" s="228" t="str">
        <f t="shared" ref="H131" si="325">IFERROR(IF(I132="N/A","N/A",COUNTIF(I131:Z131,"Y")/(COUNTIF(I131:Z131,"Y")+COUNTIF(I131:Z131,"N"))),"N/A")</f>
        <v>N/A</v>
      </c>
      <c r="I131" s="226" t="s">
        <v>2</v>
      </c>
      <c r="J131" s="226" t="s">
        <v>2</v>
      </c>
      <c r="K131" s="226" t="s">
        <v>2</v>
      </c>
      <c r="L131" s="226" t="s">
        <v>2</v>
      </c>
      <c r="M131" s="226" t="s">
        <v>2</v>
      </c>
      <c r="N131" s="226" t="s">
        <v>2</v>
      </c>
      <c r="O131" s="226" t="s">
        <v>2</v>
      </c>
      <c r="P131" s="226" t="s">
        <v>2</v>
      </c>
      <c r="Q131" s="226" t="s">
        <v>2</v>
      </c>
      <c r="R131" s="226" t="s">
        <v>2</v>
      </c>
      <c r="S131" s="226" t="s">
        <v>2</v>
      </c>
      <c r="T131" s="226" t="s">
        <v>2</v>
      </c>
      <c r="U131" s="226" t="s">
        <v>2</v>
      </c>
      <c r="V131" s="226" t="s">
        <v>2</v>
      </c>
      <c r="W131" s="226" t="s">
        <v>2</v>
      </c>
      <c r="X131" s="226" t="s">
        <v>2</v>
      </c>
      <c r="Y131" s="226" t="s">
        <v>2</v>
      </c>
      <c r="Z131" s="227" t="s">
        <v>2</v>
      </c>
    </row>
    <row r="132" spans="1:26" ht="14.45" customHeight="1">
      <c r="A132" s="708"/>
      <c r="B132" s="734"/>
      <c r="C132" s="737"/>
      <c r="D132" s="731"/>
      <c r="E132" s="721"/>
      <c r="F132" s="724"/>
      <c r="G132" s="224" t="s">
        <v>139</v>
      </c>
      <c r="H132" s="226" t="str">
        <f t="shared" ref="H132" si="326">IF(I132="N/A","N/A",SUM(I132:Z132))</f>
        <v>N/A</v>
      </c>
      <c r="I132" s="226" t="s">
        <v>3</v>
      </c>
      <c r="J132" s="226" t="s">
        <v>3</v>
      </c>
      <c r="K132" s="226" t="s">
        <v>3</v>
      </c>
      <c r="L132" s="226" t="s">
        <v>3</v>
      </c>
      <c r="M132" s="226" t="s">
        <v>3</v>
      </c>
      <c r="N132" s="226" t="s">
        <v>3</v>
      </c>
      <c r="O132" s="226" t="s">
        <v>3</v>
      </c>
      <c r="P132" s="226" t="s">
        <v>3</v>
      </c>
      <c r="Q132" s="226" t="s">
        <v>3</v>
      </c>
      <c r="R132" s="226" t="s">
        <v>3</v>
      </c>
      <c r="S132" s="226" t="s">
        <v>3</v>
      </c>
      <c r="T132" s="226" t="s">
        <v>3</v>
      </c>
      <c r="U132" s="226" t="s">
        <v>3</v>
      </c>
      <c r="V132" s="226" t="s">
        <v>3</v>
      </c>
      <c r="W132" s="226" t="s">
        <v>3</v>
      </c>
      <c r="X132" s="226" t="s">
        <v>3</v>
      </c>
      <c r="Y132" s="226" t="s">
        <v>3</v>
      </c>
      <c r="Z132" s="227" t="s">
        <v>3</v>
      </c>
    </row>
    <row r="133" spans="1:26" ht="14.45" customHeight="1">
      <c r="A133" s="708"/>
      <c r="B133" s="734"/>
      <c r="C133" s="737"/>
      <c r="D133" s="731"/>
      <c r="E133" s="721"/>
      <c r="F133" s="724"/>
      <c r="G133" s="224" t="s">
        <v>67</v>
      </c>
      <c r="H133" s="229">
        <f t="shared" ref="H133" si="327">SUM(I133:Z133)</f>
        <v>104</v>
      </c>
      <c r="I133" s="226">
        <f t="shared" ref="I133:Z133" si="328">IF(I134="","",I128+I134)</f>
        <v>4</v>
      </c>
      <c r="J133" s="226">
        <f t="shared" si="328"/>
        <v>6</v>
      </c>
      <c r="K133" s="226">
        <f t="shared" si="328"/>
        <v>7</v>
      </c>
      <c r="L133" s="226">
        <f t="shared" si="328"/>
        <v>5</v>
      </c>
      <c r="M133" s="226">
        <f t="shared" si="328"/>
        <v>8</v>
      </c>
      <c r="N133" s="226">
        <f t="shared" si="328"/>
        <v>4</v>
      </c>
      <c r="O133" s="226">
        <f t="shared" si="328"/>
        <v>7</v>
      </c>
      <c r="P133" s="226">
        <f t="shared" si="328"/>
        <v>5</v>
      </c>
      <c r="Q133" s="226">
        <f t="shared" si="328"/>
        <v>7</v>
      </c>
      <c r="R133" s="226">
        <f t="shared" si="328"/>
        <v>6</v>
      </c>
      <c r="S133" s="226">
        <f t="shared" si="328"/>
        <v>4</v>
      </c>
      <c r="T133" s="226">
        <f t="shared" si="328"/>
        <v>6</v>
      </c>
      <c r="U133" s="226">
        <f t="shared" si="328"/>
        <v>6</v>
      </c>
      <c r="V133" s="226">
        <f t="shared" si="328"/>
        <v>6</v>
      </c>
      <c r="W133" s="226">
        <f t="shared" si="328"/>
        <v>6</v>
      </c>
      <c r="X133" s="226">
        <f t="shared" si="328"/>
        <v>2</v>
      </c>
      <c r="Y133" s="226">
        <f t="shared" si="328"/>
        <v>7</v>
      </c>
      <c r="Z133" s="227">
        <f t="shared" si="328"/>
        <v>8</v>
      </c>
    </row>
    <row r="134" spans="1:26" ht="14.45" customHeight="1">
      <c r="A134" s="709"/>
      <c r="B134" s="735"/>
      <c r="C134" s="738"/>
      <c r="D134" s="732"/>
      <c r="E134" s="722"/>
      <c r="F134" s="725"/>
      <c r="G134" s="230" t="s">
        <v>143</v>
      </c>
      <c r="H134" s="231" t="str">
        <f t="shared" ref="H134" si="329">IF(SUM(I134:Z134)&gt;0,"+"&amp;SUM(I134:Z134),SUM(I134:Z134))</f>
        <v>+32</v>
      </c>
      <c r="I134" s="235">
        <v>0</v>
      </c>
      <c r="J134" s="231">
        <v>2</v>
      </c>
      <c r="K134" s="231">
        <v>2</v>
      </c>
      <c r="L134" s="231">
        <v>2</v>
      </c>
      <c r="M134" s="232">
        <v>4</v>
      </c>
      <c r="N134" s="233">
        <v>1</v>
      </c>
      <c r="O134" s="231">
        <v>2</v>
      </c>
      <c r="P134" s="233">
        <v>1</v>
      </c>
      <c r="Q134" s="231">
        <v>3</v>
      </c>
      <c r="R134" s="233">
        <v>1</v>
      </c>
      <c r="S134" s="235">
        <v>0</v>
      </c>
      <c r="T134" s="232">
        <v>3</v>
      </c>
      <c r="U134" s="231">
        <v>2</v>
      </c>
      <c r="V134" s="231">
        <v>2</v>
      </c>
      <c r="W134" s="233">
        <v>1</v>
      </c>
      <c r="X134" s="240">
        <v>-1</v>
      </c>
      <c r="Y134" s="231">
        <v>3</v>
      </c>
      <c r="Z134" s="238">
        <v>4</v>
      </c>
    </row>
    <row r="135" spans="1:26" ht="14.45" customHeight="1">
      <c r="A135" s="707">
        <v>20</v>
      </c>
      <c r="B135" s="733">
        <v>45142</v>
      </c>
      <c r="C135" s="736">
        <v>0.71319444444444446</v>
      </c>
      <c r="D135" s="720" t="s">
        <v>159</v>
      </c>
      <c r="E135" s="720" t="s">
        <v>1864</v>
      </c>
      <c r="F135" s="728" t="s">
        <v>1872</v>
      </c>
      <c r="G135" s="221" t="s">
        <v>137</v>
      </c>
      <c r="H135" s="222">
        <f t="shared" ref="H135:H136" si="330">SUM(I135:Z135)</f>
        <v>72</v>
      </c>
      <c r="I135" s="222">
        <v>5</v>
      </c>
      <c r="J135" s="222">
        <v>4</v>
      </c>
      <c r="K135" s="222">
        <v>4</v>
      </c>
      <c r="L135" s="222">
        <v>5</v>
      </c>
      <c r="M135" s="222">
        <v>4</v>
      </c>
      <c r="N135" s="222">
        <v>3</v>
      </c>
      <c r="O135" s="222">
        <v>4</v>
      </c>
      <c r="P135" s="222">
        <v>3</v>
      </c>
      <c r="Q135" s="222">
        <v>4</v>
      </c>
      <c r="R135" s="222">
        <v>4</v>
      </c>
      <c r="S135" s="222">
        <v>4</v>
      </c>
      <c r="T135" s="222">
        <v>5</v>
      </c>
      <c r="U135" s="222">
        <v>3</v>
      </c>
      <c r="V135" s="222">
        <v>4</v>
      </c>
      <c r="W135" s="222">
        <v>3</v>
      </c>
      <c r="X135" s="222">
        <v>5</v>
      </c>
      <c r="Y135" s="222">
        <v>4</v>
      </c>
      <c r="Z135" s="223">
        <v>4</v>
      </c>
    </row>
    <row r="136" spans="1:26" ht="14.45" customHeight="1">
      <c r="A136" s="708"/>
      <c r="B136" s="734"/>
      <c r="C136" s="737"/>
      <c r="D136" s="721"/>
      <c r="E136" s="721"/>
      <c r="F136" s="729"/>
      <c r="G136" s="224" t="s">
        <v>160</v>
      </c>
      <c r="H136" s="225">
        <f t="shared" si="330"/>
        <v>5599</v>
      </c>
      <c r="I136" s="226">
        <v>424</v>
      </c>
      <c r="J136" s="226">
        <v>324</v>
      </c>
      <c r="K136" s="226">
        <v>364</v>
      </c>
      <c r="L136" s="226">
        <v>492</v>
      </c>
      <c r="M136" s="226">
        <v>294</v>
      </c>
      <c r="N136" s="226">
        <v>133</v>
      </c>
      <c r="O136" s="226">
        <v>313</v>
      </c>
      <c r="P136" s="226">
        <v>156</v>
      </c>
      <c r="Q136" s="226">
        <v>325</v>
      </c>
      <c r="R136" s="226">
        <v>342</v>
      </c>
      <c r="S136" s="226">
        <v>318</v>
      </c>
      <c r="T136" s="226">
        <v>436</v>
      </c>
      <c r="U136" s="226">
        <v>151</v>
      </c>
      <c r="V136" s="226">
        <v>321</v>
      </c>
      <c r="W136" s="226">
        <v>158</v>
      </c>
      <c r="X136" s="226">
        <v>450</v>
      </c>
      <c r="Y136" s="226">
        <v>293</v>
      </c>
      <c r="Z136" s="227">
        <v>305</v>
      </c>
    </row>
    <row r="137" spans="1:26" ht="14.45" customHeight="1">
      <c r="A137" s="708"/>
      <c r="B137" s="734"/>
      <c r="C137" s="737"/>
      <c r="D137" s="721"/>
      <c r="E137" s="721"/>
      <c r="F137" s="712"/>
      <c r="G137" s="224" t="s">
        <v>138</v>
      </c>
      <c r="H137" s="228" t="str">
        <f t="shared" ref="H137" si="331">IF(I139="N/A","N/A",IF(COUNTIF(I137:Z137,"Y")/14=0,"N/A",COUNTIF(I137:Z137,"Y")/(COUNTIF(I137:Z137,"Y")+COUNTIF(I137:Z137,"N"))))</f>
        <v>N/A</v>
      </c>
      <c r="I137" s="226" t="s">
        <v>2</v>
      </c>
      <c r="J137" s="226" t="s">
        <v>2</v>
      </c>
      <c r="K137" s="226" t="s">
        <v>2</v>
      </c>
      <c r="L137" s="226" t="s">
        <v>2</v>
      </c>
      <c r="M137" s="226" t="s">
        <v>2</v>
      </c>
      <c r="N137" s="226" t="s">
        <v>2</v>
      </c>
      <c r="O137" s="226" t="s">
        <v>2</v>
      </c>
      <c r="P137" s="226" t="s">
        <v>2</v>
      </c>
      <c r="Q137" s="226" t="s">
        <v>2</v>
      </c>
      <c r="R137" s="226" t="s">
        <v>2</v>
      </c>
      <c r="S137" s="226" t="s">
        <v>2</v>
      </c>
      <c r="T137" s="226" t="s">
        <v>2</v>
      </c>
      <c r="U137" s="226" t="s">
        <v>2</v>
      </c>
      <c r="V137" s="226" t="s">
        <v>2</v>
      </c>
      <c r="W137" s="226" t="s">
        <v>2</v>
      </c>
      <c r="X137" s="226" t="s">
        <v>2</v>
      </c>
      <c r="Y137" s="226" t="s">
        <v>2</v>
      </c>
      <c r="Z137" s="227" t="s">
        <v>2</v>
      </c>
    </row>
    <row r="138" spans="1:26" ht="14.45" customHeight="1">
      <c r="A138" s="708"/>
      <c r="B138" s="734"/>
      <c r="C138" s="737"/>
      <c r="D138" s="721"/>
      <c r="E138" s="721"/>
      <c r="F138" s="712"/>
      <c r="G138" s="224" t="s">
        <v>145</v>
      </c>
      <c r="H138" s="228" t="str">
        <f t="shared" ref="H138" si="332">IFERROR(IF(I139="N/A","N/A",COUNTIF(I138:Z138,"Y")/(COUNTIF(I138:Z138,"Y")+COUNTIF(I138:Z138,"N"))),"N/A")</f>
        <v>N/A</v>
      </c>
      <c r="I138" s="226" t="s">
        <v>2</v>
      </c>
      <c r="J138" s="226" t="s">
        <v>2</v>
      </c>
      <c r="K138" s="226" t="s">
        <v>2</v>
      </c>
      <c r="L138" s="226" t="s">
        <v>2</v>
      </c>
      <c r="M138" s="226" t="s">
        <v>2</v>
      </c>
      <c r="N138" s="226" t="s">
        <v>2</v>
      </c>
      <c r="O138" s="226" t="s">
        <v>2</v>
      </c>
      <c r="P138" s="226" t="s">
        <v>2</v>
      </c>
      <c r="Q138" s="226" t="s">
        <v>2</v>
      </c>
      <c r="R138" s="226" t="s">
        <v>2</v>
      </c>
      <c r="S138" s="226" t="s">
        <v>2</v>
      </c>
      <c r="T138" s="226" t="s">
        <v>2</v>
      </c>
      <c r="U138" s="226" t="s">
        <v>2</v>
      </c>
      <c r="V138" s="226" t="s">
        <v>2</v>
      </c>
      <c r="W138" s="226" t="s">
        <v>2</v>
      </c>
      <c r="X138" s="226" t="s">
        <v>2</v>
      </c>
      <c r="Y138" s="226" t="s">
        <v>2</v>
      </c>
      <c r="Z138" s="227" t="s">
        <v>2</v>
      </c>
    </row>
    <row r="139" spans="1:26" ht="14.45" customHeight="1">
      <c r="A139" s="708"/>
      <c r="B139" s="734"/>
      <c r="C139" s="737"/>
      <c r="D139" s="721"/>
      <c r="E139" s="721"/>
      <c r="F139" s="712"/>
      <c r="G139" s="224" t="s">
        <v>139</v>
      </c>
      <c r="H139" s="226" t="str">
        <f t="shared" ref="H139" si="333">IF(I139="N/A","N/A",SUM(I139:Z139))</f>
        <v>N/A</v>
      </c>
      <c r="I139" s="226" t="s">
        <v>3</v>
      </c>
      <c r="J139" s="226" t="s">
        <v>3</v>
      </c>
      <c r="K139" s="226" t="s">
        <v>3</v>
      </c>
      <c r="L139" s="226" t="s">
        <v>3</v>
      </c>
      <c r="M139" s="226" t="s">
        <v>3</v>
      </c>
      <c r="N139" s="226" t="s">
        <v>3</v>
      </c>
      <c r="O139" s="226" t="s">
        <v>3</v>
      </c>
      <c r="P139" s="226" t="s">
        <v>3</v>
      </c>
      <c r="Q139" s="226" t="s">
        <v>3</v>
      </c>
      <c r="R139" s="226" t="s">
        <v>3</v>
      </c>
      <c r="S139" s="226" t="s">
        <v>3</v>
      </c>
      <c r="T139" s="226" t="s">
        <v>3</v>
      </c>
      <c r="U139" s="226" t="s">
        <v>3</v>
      </c>
      <c r="V139" s="226" t="s">
        <v>3</v>
      </c>
      <c r="W139" s="226" t="s">
        <v>3</v>
      </c>
      <c r="X139" s="226" t="s">
        <v>3</v>
      </c>
      <c r="Y139" s="226" t="s">
        <v>3</v>
      </c>
      <c r="Z139" s="227" t="s">
        <v>3</v>
      </c>
    </row>
    <row r="140" spans="1:26" ht="14.45" customHeight="1">
      <c r="A140" s="708"/>
      <c r="B140" s="734"/>
      <c r="C140" s="737"/>
      <c r="D140" s="721"/>
      <c r="E140" s="721"/>
      <c r="F140" s="712"/>
      <c r="G140" s="224" t="s">
        <v>67</v>
      </c>
      <c r="H140" s="229">
        <f t="shared" ref="H140" si="334">SUM(I140:Z140)</f>
        <v>116</v>
      </c>
      <c r="I140" s="226">
        <f t="shared" ref="I140:Z140" si="335">IF(I141="","",I135+I141)</f>
        <v>7</v>
      </c>
      <c r="J140" s="226">
        <f t="shared" si="335"/>
        <v>8</v>
      </c>
      <c r="K140" s="226">
        <f t="shared" si="335"/>
        <v>6</v>
      </c>
      <c r="L140" s="226">
        <f t="shared" si="335"/>
        <v>8</v>
      </c>
      <c r="M140" s="226">
        <f t="shared" si="335"/>
        <v>7</v>
      </c>
      <c r="N140" s="226">
        <f t="shared" si="335"/>
        <v>3</v>
      </c>
      <c r="O140" s="226">
        <f t="shared" si="335"/>
        <v>6</v>
      </c>
      <c r="P140" s="226">
        <f t="shared" si="335"/>
        <v>3</v>
      </c>
      <c r="Q140" s="226">
        <f t="shared" si="335"/>
        <v>6</v>
      </c>
      <c r="R140" s="226">
        <f t="shared" si="335"/>
        <v>7</v>
      </c>
      <c r="S140" s="226">
        <f t="shared" si="335"/>
        <v>6</v>
      </c>
      <c r="T140" s="226">
        <f t="shared" si="335"/>
        <v>8</v>
      </c>
      <c r="U140" s="226">
        <f t="shared" si="335"/>
        <v>5</v>
      </c>
      <c r="V140" s="226">
        <f t="shared" si="335"/>
        <v>6</v>
      </c>
      <c r="W140" s="226">
        <f t="shared" si="335"/>
        <v>6</v>
      </c>
      <c r="X140" s="226">
        <f t="shared" si="335"/>
        <v>8</v>
      </c>
      <c r="Y140" s="226">
        <f t="shared" si="335"/>
        <v>8</v>
      </c>
      <c r="Z140" s="227">
        <f t="shared" si="335"/>
        <v>8</v>
      </c>
    </row>
    <row r="141" spans="1:26" ht="14.45" customHeight="1">
      <c r="A141" s="709"/>
      <c r="B141" s="735"/>
      <c r="C141" s="738"/>
      <c r="D141" s="722"/>
      <c r="E141" s="722"/>
      <c r="F141" s="713"/>
      <c r="G141" s="230" t="s">
        <v>143</v>
      </c>
      <c r="H141" s="231" t="str">
        <f t="shared" ref="H141" si="336">IF(SUM(I141:Z141)&gt;0,"+"&amp;SUM(I141:Z141),SUM(I141:Z141))</f>
        <v>+44</v>
      </c>
      <c r="I141" s="231">
        <v>2</v>
      </c>
      <c r="J141" s="232">
        <v>4</v>
      </c>
      <c r="K141" s="231">
        <v>2</v>
      </c>
      <c r="L141" s="231">
        <v>3</v>
      </c>
      <c r="M141" s="231">
        <v>3</v>
      </c>
      <c r="N141" s="235">
        <v>0</v>
      </c>
      <c r="O141" s="231">
        <v>2</v>
      </c>
      <c r="P141" s="235">
        <v>0</v>
      </c>
      <c r="Q141" s="231">
        <v>2</v>
      </c>
      <c r="R141" s="231">
        <v>3</v>
      </c>
      <c r="S141" s="231">
        <v>2</v>
      </c>
      <c r="T141" s="231">
        <v>3</v>
      </c>
      <c r="U141" s="231">
        <v>2</v>
      </c>
      <c r="V141" s="231">
        <v>2</v>
      </c>
      <c r="W141" s="232">
        <v>3</v>
      </c>
      <c r="X141" s="231">
        <v>3</v>
      </c>
      <c r="Y141" s="232">
        <v>4</v>
      </c>
      <c r="Z141" s="238">
        <v>4</v>
      </c>
    </row>
    <row r="142" spans="1:26" ht="14.45" customHeight="1">
      <c r="A142" s="707">
        <v>21</v>
      </c>
      <c r="B142" s="733">
        <v>45213</v>
      </c>
      <c r="C142" s="736">
        <v>0.72777777777777775</v>
      </c>
      <c r="D142" s="720" t="s">
        <v>159</v>
      </c>
      <c r="E142" s="720" t="s">
        <v>1864</v>
      </c>
      <c r="F142" s="723" t="s">
        <v>1876</v>
      </c>
      <c r="G142" s="221" t="s">
        <v>137</v>
      </c>
      <c r="H142" s="222">
        <f t="shared" ref="H142:H143" si="337">SUM(I142:Z142)</f>
        <v>72</v>
      </c>
      <c r="I142" s="222">
        <v>5</v>
      </c>
      <c r="J142" s="222">
        <v>4</v>
      </c>
      <c r="K142" s="222">
        <v>4</v>
      </c>
      <c r="L142" s="222">
        <v>5</v>
      </c>
      <c r="M142" s="222">
        <v>4</v>
      </c>
      <c r="N142" s="222">
        <v>3</v>
      </c>
      <c r="O142" s="222">
        <v>4</v>
      </c>
      <c r="P142" s="222">
        <v>3</v>
      </c>
      <c r="Q142" s="222">
        <v>4</v>
      </c>
      <c r="R142" s="222">
        <v>4</v>
      </c>
      <c r="S142" s="222">
        <v>4</v>
      </c>
      <c r="T142" s="222">
        <v>5</v>
      </c>
      <c r="U142" s="222">
        <v>3</v>
      </c>
      <c r="V142" s="222">
        <v>4</v>
      </c>
      <c r="W142" s="222">
        <v>3</v>
      </c>
      <c r="X142" s="222">
        <v>5</v>
      </c>
      <c r="Y142" s="222">
        <v>4</v>
      </c>
      <c r="Z142" s="223">
        <v>4</v>
      </c>
    </row>
    <row r="143" spans="1:26" ht="14.45" customHeight="1">
      <c r="A143" s="708"/>
      <c r="B143" s="734"/>
      <c r="C143" s="737"/>
      <c r="D143" s="721"/>
      <c r="E143" s="721"/>
      <c r="F143" s="724"/>
      <c r="G143" s="224" t="s">
        <v>160</v>
      </c>
      <c r="H143" s="225">
        <f t="shared" si="337"/>
        <v>5599</v>
      </c>
      <c r="I143" s="226">
        <v>424</v>
      </c>
      <c r="J143" s="226">
        <v>324</v>
      </c>
      <c r="K143" s="226">
        <v>364</v>
      </c>
      <c r="L143" s="226">
        <v>492</v>
      </c>
      <c r="M143" s="226">
        <v>294</v>
      </c>
      <c r="N143" s="226">
        <v>133</v>
      </c>
      <c r="O143" s="226">
        <v>313</v>
      </c>
      <c r="P143" s="226">
        <v>156</v>
      </c>
      <c r="Q143" s="226">
        <v>325</v>
      </c>
      <c r="R143" s="226">
        <v>342</v>
      </c>
      <c r="S143" s="226">
        <v>318</v>
      </c>
      <c r="T143" s="226">
        <v>436</v>
      </c>
      <c r="U143" s="226">
        <v>151</v>
      </c>
      <c r="V143" s="226">
        <v>321</v>
      </c>
      <c r="W143" s="226">
        <v>158</v>
      </c>
      <c r="X143" s="226">
        <v>450</v>
      </c>
      <c r="Y143" s="226">
        <v>293</v>
      </c>
      <c r="Z143" s="227">
        <v>305</v>
      </c>
    </row>
    <row r="144" spans="1:26" ht="14.45" customHeight="1">
      <c r="A144" s="708"/>
      <c r="B144" s="734"/>
      <c r="C144" s="737"/>
      <c r="D144" s="721"/>
      <c r="E144" s="721"/>
      <c r="F144" s="724"/>
      <c r="G144" s="224" t="s">
        <v>138</v>
      </c>
      <c r="H144" s="228" t="str">
        <f t="shared" ref="H144" si="338">IF(I146="N/A","N/A",IF(COUNTIF(I144:Z144,"Y")/14=0,"N/A",COUNTIF(I144:Z144,"Y")/(COUNTIF(I144:Z144,"Y")+COUNTIF(I144:Z144,"N"))))</f>
        <v>N/A</v>
      </c>
      <c r="I144" s="226" t="s">
        <v>2</v>
      </c>
      <c r="J144" s="226" t="s">
        <v>2</v>
      </c>
      <c r="K144" s="226" t="s">
        <v>2</v>
      </c>
      <c r="L144" s="226" t="s">
        <v>2</v>
      </c>
      <c r="M144" s="226" t="s">
        <v>2</v>
      </c>
      <c r="N144" s="226" t="s">
        <v>2</v>
      </c>
      <c r="O144" s="226" t="s">
        <v>2</v>
      </c>
      <c r="P144" s="226" t="s">
        <v>2</v>
      </c>
      <c r="Q144" s="226" t="s">
        <v>2</v>
      </c>
      <c r="R144" s="226" t="s">
        <v>2</v>
      </c>
      <c r="S144" s="226" t="s">
        <v>2</v>
      </c>
      <c r="T144" s="226" t="s">
        <v>2</v>
      </c>
      <c r="U144" s="226" t="s">
        <v>2</v>
      </c>
      <c r="V144" s="226" t="s">
        <v>2</v>
      </c>
      <c r="W144" s="226" t="s">
        <v>2</v>
      </c>
      <c r="X144" s="226" t="s">
        <v>2</v>
      </c>
      <c r="Y144" s="226" t="s">
        <v>2</v>
      </c>
      <c r="Z144" s="227" t="s">
        <v>2</v>
      </c>
    </row>
    <row r="145" spans="1:26" ht="14.45" customHeight="1">
      <c r="A145" s="708"/>
      <c r="B145" s="734"/>
      <c r="C145" s="737"/>
      <c r="D145" s="721"/>
      <c r="E145" s="721"/>
      <c r="F145" s="724"/>
      <c r="G145" s="224" t="s">
        <v>145</v>
      </c>
      <c r="H145" s="228" t="str">
        <f t="shared" ref="H145" si="339">IFERROR(IF(I146="N/A","N/A",COUNTIF(I145:Z145,"Y")/(COUNTIF(I145:Z145,"Y")+COUNTIF(I145:Z145,"N"))),"N/A")</f>
        <v>N/A</v>
      </c>
      <c r="I145" s="226" t="s">
        <v>2</v>
      </c>
      <c r="J145" s="226" t="s">
        <v>2</v>
      </c>
      <c r="K145" s="226" t="s">
        <v>2</v>
      </c>
      <c r="L145" s="226" t="s">
        <v>2</v>
      </c>
      <c r="M145" s="226" t="s">
        <v>2</v>
      </c>
      <c r="N145" s="226" t="s">
        <v>2</v>
      </c>
      <c r="O145" s="226" t="s">
        <v>2</v>
      </c>
      <c r="P145" s="226" t="s">
        <v>2</v>
      </c>
      <c r="Q145" s="226" t="s">
        <v>2</v>
      </c>
      <c r="R145" s="226" t="s">
        <v>2</v>
      </c>
      <c r="S145" s="226" t="s">
        <v>2</v>
      </c>
      <c r="T145" s="226" t="s">
        <v>2</v>
      </c>
      <c r="U145" s="226" t="s">
        <v>2</v>
      </c>
      <c r="V145" s="226" t="s">
        <v>2</v>
      </c>
      <c r="W145" s="226" t="s">
        <v>2</v>
      </c>
      <c r="X145" s="226" t="s">
        <v>2</v>
      </c>
      <c r="Y145" s="226" t="s">
        <v>2</v>
      </c>
      <c r="Z145" s="227" t="s">
        <v>2</v>
      </c>
    </row>
    <row r="146" spans="1:26" ht="14.45" customHeight="1">
      <c r="A146" s="708"/>
      <c r="B146" s="734"/>
      <c r="C146" s="737"/>
      <c r="D146" s="721"/>
      <c r="E146" s="721"/>
      <c r="F146" s="724"/>
      <c r="G146" s="224" t="s">
        <v>139</v>
      </c>
      <c r="H146" s="226" t="str">
        <f t="shared" ref="H146" si="340">IF(I146="N/A","N/A",SUM(I146:Z146))</f>
        <v>N/A</v>
      </c>
      <c r="I146" s="226" t="s">
        <v>3</v>
      </c>
      <c r="J146" s="226" t="s">
        <v>3</v>
      </c>
      <c r="K146" s="226" t="s">
        <v>3</v>
      </c>
      <c r="L146" s="226" t="s">
        <v>3</v>
      </c>
      <c r="M146" s="226" t="s">
        <v>3</v>
      </c>
      <c r="N146" s="226" t="s">
        <v>3</v>
      </c>
      <c r="O146" s="226" t="s">
        <v>3</v>
      </c>
      <c r="P146" s="226" t="s">
        <v>3</v>
      </c>
      <c r="Q146" s="226" t="s">
        <v>3</v>
      </c>
      <c r="R146" s="226" t="s">
        <v>3</v>
      </c>
      <c r="S146" s="226" t="s">
        <v>3</v>
      </c>
      <c r="T146" s="226" t="s">
        <v>3</v>
      </c>
      <c r="U146" s="226" t="s">
        <v>3</v>
      </c>
      <c r="V146" s="226" t="s">
        <v>3</v>
      </c>
      <c r="W146" s="226" t="s">
        <v>3</v>
      </c>
      <c r="X146" s="226" t="s">
        <v>3</v>
      </c>
      <c r="Y146" s="226" t="s">
        <v>3</v>
      </c>
      <c r="Z146" s="227" t="s">
        <v>3</v>
      </c>
    </row>
    <row r="147" spans="1:26" ht="14.45" customHeight="1">
      <c r="A147" s="708"/>
      <c r="B147" s="734"/>
      <c r="C147" s="737"/>
      <c r="D147" s="721"/>
      <c r="E147" s="721"/>
      <c r="F147" s="724"/>
      <c r="G147" s="224" t="s">
        <v>67</v>
      </c>
      <c r="H147" s="229">
        <f t="shared" ref="H147" si="341">SUM(I147:Z147)</f>
        <v>96</v>
      </c>
      <c r="I147" s="226">
        <f t="shared" ref="I147:Z147" si="342">IF(I148="","",I142+I148)</f>
        <v>6</v>
      </c>
      <c r="J147" s="226">
        <f t="shared" si="342"/>
        <v>6</v>
      </c>
      <c r="K147" s="226">
        <f t="shared" si="342"/>
        <v>5</v>
      </c>
      <c r="L147" s="226">
        <f t="shared" si="342"/>
        <v>5</v>
      </c>
      <c r="M147" s="226">
        <f t="shared" si="342"/>
        <v>5</v>
      </c>
      <c r="N147" s="226">
        <f t="shared" si="342"/>
        <v>4</v>
      </c>
      <c r="O147" s="226">
        <f t="shared" si="342"/>
        <v>7</v>
      </c>
      <c r="P147" s="226">
        <f t="shared" si="342"/>
        <v>6</v>
      </c>
      <c r="Q147" s="226">
        <f t="shared" si="342"/>
        <v>5</v>
      </c>
      <c r="R147" s="226">
        <f t="shared" si="342"/>
        <v>4</v>
      </c>
      <c r="S147" s="226">
        <f t="shared" si="342"/>
        <v>5</v>
      </c>
      <c r="T147" s="226">
        <f t="shared" si="342"/>
        <v>7</v>
      </c>
      <c r="U147" s="226">
        <f t="shared" si="342"/>
        <v>3</v>
      </c>
      <c r="V147" s="226">
        <f t="shared" si="342"/>
        <v>5</v>
      </c>
      <c r="W147" s="226">
        <f t="shared" si="342"/>
        <v>5</v>
      </c>
      <c r="X147" s="226">
        <f t="shared" si="342"/>
        <v>7</v>
      </c>
      <c r="Y147" s="226">
        <f t="shared" si="342"/>
        <v>5</v>
      </c>
      <c r="Z147" s="227">
        <f t="shared" si="342"/>
        <v>6</v>
      </c>
    </row>
    <row r="148" spans="1:26" ht="14.45" customHeight="1">
      <c r="A148" s="709"/>
      <c r="B148" s="735"/>
      <c r="C148" s="738"/>
      <c r="D148" s="722"/>
      <c r="E148" s="722"/>
      <c r="F148" s="725"/>
      <c r="G148" s="230" t="s">
        <v>143</v>
      </c>
      <c r="H148" s="231" t="str">
        <f t="shared" ref="H148" si="343">IF(SUM(I148:Z148)&gt;0,"+"&amp;SUM(I148:Z148),SUM(I148:Z148))</f>
        <v>+24</v>
      </c>
      <c r="I148" s="233">
        <v>1</v>
      </c>
      <c r="J148" s="231">
        <v>2</v>
      </c>
      <c r="K148" s="233">
        <v>1</v>
      </c>
      <c r="L148" s="235">
        <v>0</v>
      </c>
      <c r="M148" s="233">
        <v>1</v>
      </c>
      <c r="N148" s="233">
        <v>1</v>
      </c>
      <c r="O148" s="231">
        <v>3</v>
      </c>
      <c r="P148" s="232">
        <v>3</v>
      </c>
      <c r="Q148" s="233">
        <v>1</v>
      </c>
      <c r="R148" s="235">
        <v>0</v>
      </c>
      <c r="S148" s="233">
        <v>1</v>
      </c>
      <c r="T148" s="231">
        <v>2</v>
      </c>
      <c r="U148" s="235">
        <v>0</v>
      </c>
      <c r="V148" s="233">
        <v>1</v>
      </c>
      <c r="W148" s="231">
        <v>2</v>
      </c>
      <c r="X148" s="231">
        <v>2</v>
      </c>
      <c r="Y148" s="233">
        <v>1</v>
      </c>
      <c r="Z148" s="234">
        <v>2</v>
      </c>
    </row>
    <row r="149" spans="1:26" ht="14.45" customHeight="1">
      <c r="A149" s="707">
        <v>22</v>
      </c>
      <c r="B149" s="710">
        <v>45227</v>
      </c>
      <c r="C149" s="714">
        <v>0.28541666666666665</v>
      </c>
      <c r="D149" s="726" t="s">
        <v>1879</v>
      </c>
      <c r="E149" s="727" t="s">
        <v>1880</v>
      </c>
      <c r="F149" s="728" t="s">
        <v>1899</v>
      </c>
      <c r="G149" s="221" t="s">
        <v>137</v>
      </c>
      <c r="H149" s="222">
        <f t="shared" ref="H149:H150" si="344">SUM(I149:Z149)</f>
        <v>72</v>
      </c>
      <c r="I149" s="222">
        <v>4</v>
      </c>
      <c r="J149" s="222">
        <v>4</v>
      </c>
      <c r="K149" s="222">
        <v>4</v>
      </c>
      <c r="L149" s="222">
        <v>3</v>
      </c>
      <c r="M149" s="222">
        <v>4</v>
      </c>
      <c r="N149" s="222">
        <v>5</v>
      </c>
      <c r="O149" s="222">
        <v>4</v>
      </c>
      <c r="P149" s="222">
        <v>3</v>
      </c>
      <c r="Q149" s="222">
        <v>5</v>
      </c>
      <c r="R149" s="222">
        <v>4</v>
      </c>
      <c r="S149" s="222">
        <v>3</v>
      </c>
      <c r="T149" s="222">
        <v>4</v>
      </c>
      <c r="U149" s="222">
        <v>4</v>
      </c>
      <c r="V149" s="222">
        <v>3</v>
      </c>
      <c r="W149" s="222">
        <v>4</v>
      </c>
      <c r="X149" s="222">
        <v>5</v>
      </c>
      <c r="Y149" s="222">
        <v>4</v>
      </c>
      <c r="Z149" s="223">
        <v>5</v>
      </c>
    </row>
    <row r="150" spans="1:26" ht="14.45" customHeight="1">
      <c r="A150" s="708"/>
      <c r="B150" s="711"/>
      <c r="C150" s="715"/>
      <c r="D150" s="718"/>
      <c r="E150" s="712"/>
      <c r="F150" s="729"/>
      <c r="G150" s="224" t="s">
        <v>160</v>
      </c>
      <c r="H150" s="225">
        <f t="shared" si="344"/>
        <v>5841</v>
      </c>
      <c r="I150" s="226">
        <v>361</v>
      </c>
      <c r="J150" s="226">
        <v>356</v>
      </c>
      <c r="K150" s="226">
        <v>350</v>
      </c>
      <c r="L150" s="226">
        <v>153</v>
      </c>
      <c r="M150" s="226">
        <v>320</v>
      </c>
      <c r="N150" s="226">
        <v>487</v>
      </c>
      <c r="O150" s="226">
        <v>366</v>
      </c>
      <c r="P150" s="226">
        <v>161</v>
      </c>
      <c r="Q150" s="226">
        <v>495</v>
      </c>
      <c r="R150" s="226">
        <v>324</v>
      </c>
      <c r="S150" s="226">
        <v>150</v>
      </c>
      <c r="T150" s="226">
        <v>262</v>
      </c>
      <c r="U150" s="226">
        <v>351</v>
      </c>
      <c r="V150" s="226">
        <v>153</v>
      </c>
      <c r="W150" s="226">
        <v>323</v>
      </c>
      <c r="X150" s="226">
        <v>478</v>
      </c>
      <c r="Y150" s="226">
        <v>309</v>
      </c>
      <c r="Z150" s="227">
        <v>442</v>
      </c>
    </row>
    <row r="151" spans="1:26" ht="14.45" customHeight="1">
      <c r="A151" s="708"/>
      <c r="B151" s="712"/>
      <c r="C151" s="715"/>
      <c r="D151" s="718"/>
      <c r="E151" s="712"/>
      <c r="F151" s="712"/>
      <c r="G151" s="224" t="s">
        <v>138</v>
      </c>
      <c r="H151" s="228" t="str">
        <f t="shared" ref="H151" si="345">IF(I153="N/A","N/A",IF(COUNTIF(I151:Z151,"Y")/14=0,"N/A",COUNTIF(I151:Z151,"Y")/(COUNTIF(I151:Z151,"Y")+COUNTIF(I151:Z151,"N"))))</f>
        <v>N/A</v>
      </c>
      <c r="I151" s="226" t="s">
        <v>2</v>
      </c>
      <c r="J151" s="226" t="s">
        <v>2</v>
      </c>
      <c r="K151" s="226" t="s">
        <v>2</v>
      </c>
      <c r="L151" s="226" t="s">
        <v>2</v>
      </c>
      <c r="M151" s="226" t="s">
        <v>2</v>
      </c>
      <c r="N151" s="226" t="s">
        <v>2</v>
      </c>
      <c r="O151" s="226" t="s">
        <v>2</v>
      </c>
      <c r="P151" s="226" t="s">
        <v>2</v>
      </c>
      <c r="Q151" s="226" t="s">
        <v>2</v>
      </c>
      <c r="R151" s="226" t="s">
        <v>2</v>
      </c>
      <c r="S151" s="226" t="s">
        <v>2</v>
      </c>
      <c r="T151" s="226" t="s">
        <v>2</v>
      </c>
      <c r="U151" s="226" t="s">
        <v>2</v>
      </c>
      <c r="V151" s="226" t="s">
        <v>2</v>
      </c>
      <c r="W151" s="226" t="s">
        <v>2</v>
      </c>
      <c r="X151" s="226" t="s">
        <v>2</v>
      </c>
      <c r="Y151" s="226" t="s">
        <v>2</v>
      </c>
      <c r="Z151" s="227" t="s">
        <v>2</v>
      </c>
    </row>
    <row r="152" spans="1:26" ht="14.45" customHeight="1">
      <c r="A152" s="708"/>
      <c r="B152" s="712"/>
      <c r="C152" s="715"/>
      <c r="D152" s="718"/>
      <c r="E152" s="712"/>
      <c r="F152" s="712"/>
      <c r="G152" s="224" t="s">
        <v>145</v>
      </c>
      <c r="H152" s="228" t="str">
        <f t="shared" ref="H152" si="346">IFERROR(IF(I153="N/A","N/A",COUNTIF(I152:Z152,"Y")/(COUNTIF(I152:Z152,"Y")+COUNTIF(I152:Z152,"N"))),"N/A")</f>
        <v>N/A</v>
      </c>
      <c r="I152" s="226" t="s">
        <v>2</v>
      </c>
      <c r="J152" s="226" t="s">
        <v>2</v>
      </c>
      <c r="K152" s="226" t="s">
        <v>2</v>
      </c>
      <c r="L152" s="226" t="s">
        <v>2</v>
      </c>
      <c r="M152" s="226" t="s">
        <v>2</v>
      </c>
      <c r="N152" s="226" t="s">
        <v>2</v>
      </c>
      <c r="O152" s="226" t="s">
        <v>2</v>
      </c>
      <c r="P152" s="226" t="s">
        <v>2</v>
      </c>
      <c r="Q152" s="226" t="s">
        <v>2</v>
      </c>
      <c r="R152" s="226" t="s">
        <v>2</v>
      </c>
      <c r="S152" s="226" t="s">
        <v>2</v>
      </c>
      <c r="T152" s="226" t="s">
        <v>2</v>
      </c>
      <c r="U152" s="226" t="s">
        <v>2</v>
      </c>
      <c r="V152" s="226" t="s">
        <v>2</v>
      </c>
      <c r="W152" s="226" t="s">
        <v>2</v>
      </c>
      <c r="X152" s="226" t="s">
        <v>2</v>
      </c>
      <c r="Y152" s="226" t="s">
        <v>2</v>
      </c>
      <c r="Z152" s="227" t="s">
        <v>2</v>
      </c>
    </row>
    <row r="153" spans="1:26" ht="14.45" customHeight="1">
      <c r="A153" s="708"/>
      <c r="B153" s="712"/>
      <c r="C153" s="715"/>
      <c r="D153" s="718"/>
      <c r="E153" s="712"/>
      <c r="F153" s="712"/>
      <c r="G153" s="224" t="s">
        <v>139</v>
      </c>
      <c r="H153" s="226" t="str">
        <f t="shared" ref="H153" si="347">IF(I153="N/A","N/A",SUM(I153:Z153))</f>
        <v>N/A</v>
      </c>
      <c r="I153" s="226" t="s">
        <v>3</v>
      </c>
      <c r="J153" s="226" t="s">
        <v>3</v>
      </c>
      <c r="K153" s="226" t="s">
        <v>3</v>
      </c>
      <c r="L153" s="226" t="s">
        <v>3</v>
      </c>
      <c r="M153" s="226" t="s">
        <v>3</v>
      </c>
      <c r="N153" s="226" t="s">
        <v>3</v>
      </c>
      <c r="O153" s="226" t="s">
        <v>3</v>
      </c>
      <c r="P153" s="226" t="s">
        <v>3</v>
      </c>
      <c r="Q153" s="226" t="s">
        <v>3</v>
      </c>
      <c r="R153" s="226" t="s">
        <v>3</v>
      </c>
      <c r="S153" s="226" t="s">
        <v>3</v>
      </c>
      <c r="T153" s="226" t="s">
        <v>3</v>
      </c>
      <c r="U153" s="226" t="s">
        <v>3</v>
      </c>
      <c r="V153" s="226" t="s">
        <v>3</v>
      </c>
      <c r="W153" s="226" t="s">
        <v>3</v>
      </c>
      <c r="X153" s="226" t="s">
        <v>3</v>
      </c>
      <c r="Y153" s="226" t="s">
        <v>3</v>
      </c>
      <c r="Z153" s="227" t="s">
        <v>3</v>
      </c>
    </row>
    <row r="154" spans="1:26" ht="14.45" customHeight="1">
      <c r="A154" s="708"/>
      <c r="B154" s="712"/>
      <c r="C154" s="715"/>
      <c r="D154" s="718"/>
      <c r="E154" s="712"/>
      <c r="F154" s="712"/>
      <c r="G154" s="224" t="s">
        <v>67</v>
      </c>
      <c r="H154" s="229">
        <f t="shared" ref="H154" si="348">SUM(I154:Z154)</f>
        <v>105</v>
      </c>
      <c r="I154" s="226">
        <f t="shared" ref="I154:Z154" si="349">IF(I155="","",I149+I155)</f>
        <v>6</v>
      </c>
      <c r="J154" s="226">
        <f t="shared" si="349"/>
        <v>6</v>
      </c>
      <c r="K154" s="226">
        <f t="shared" si="349"/>
        <v>6</v>
      </c>
      <c r="L154" s="226">
        <f t="shared" si="349"/>
        <v>6</v>
      </c>
      <c r="M154" s="226">
        <f t="shared" si="349"/>
        <v>6</v>
      </c>
      <c r="N154" s="226">
        <f t="shared" si="349"/>
        <v>6</v>
      </c>
      <c r="O154" s="226">
        <f t="shared" si="349"/>
        <v>6</v>
      </c>
      <c r="P154" s="226">
        <f t="shared" si="349"/>
        <v>5</v>
      </c>
      <c r="Q154" s="226">
        <f t="shared" si="349"/>
        <v>6</v>
      </c>
      <c r="R154" s="226">
        <f t="shared" si="349"/>
        <v>6</v>
      </c>
      <c r="S154" s="226">
        <f t="shared" si="349"/>
        <v>5</v>
      </c>
      <c r="T154" s="226">
        <f t="shared" si="349"/>
        <v>4</v>
      </c>
      <c r="U154" s="226">
        <f t="shared" si="349"/>
        <v>5</v>
      </c>
      <c r="V154" s="226">
        <f t="shared" si="349"/>
        <v>4</v>
      </c>
      <c r="W154" s="226">
        <f t="shared" si="349"/>
        <v>6</v>
      </c>
      <c r="X154" s="226">
        <f t="shared" si="349"/>
        <v>9</v>
      </c>
      <c r="Y154" s="226">
        <f t="shared" si="349"/>
        <v>7</v>
      </c>
      <c r="Z154" s="227">
        <f t="shared" si="349"/>
        <v>6</v>
      </c>
    </row>
    <row r="155" spans="1:26" ht="14.45" customHeight="1">
      <c r="A155" s="709"/>
      <c r="B155" s="713"/>
      <c r="C155" s="716"/>
      <c r="D155" s="719"/>
      <c r="E155" s="713"/>
      <c r="F155" s="713"/>
      <c r="G155" s="230" t="s">
        <v>143</v>
      </c>
      <c r="H155" s="231" t="str">
        <f t="shared" ref="H155" si="350">IF(SUM(I155:Z155)&gt;0,"+"&amp;SUM(I155:Z155),SUM(I155:Z155))</f>
        <v>+33</v>
      </c>
      <c r="I155" s="231">
        <v>2</v>
      </c>
      <c r="J155" s="231">
        <v>2</v>
      </c>
      <c r="K155" s="231">
        <v>2</v>
      </c>
      <c r="L155" s="232">
        <v>3</v>
      </c>
      <c r="M155" s="231">
        <v>2</v>
      </c>
      <c r="N155" s="233">
        <v>1</v>
      </c>
      <c r="O155" s="231">
        <v>2</v>
      </c>
      <c r="P155" s="231">
        <v>2</v>
      </c>
      <c r="Q155" s="233">
        <v>1</v>
      </c>
      <c r="R155" s="231">
        <v>2</v>
      </c>
      <c r="S155" s="231">
        <v>2</v>
      </c>
      <c r="T155" s="235">
        <v>0</v>
      </c>
      <c r="U155" s="233">
        <v>1</v>
      </c>
      <c r="V155" s="233">
        <v>1</v>
      </c>
      <c r="W155" s="231">
        <v>2</v>
      </c>
      <c r="X155" s="231">
        <v>4</v>
      </c>
      <c r="Y155" s="231">
        <v>3</v>
      </c>
      <c r="Z155" s="236">
        <v>1</v>
      </c>
    </row>
    <row r="156" spans="1:26" ht="14.45" customHeight="1">
      <c r="A156" s="707">
        <v>23</v>
      </c>
      <c r="B156" s="733">
        <v>45269</v>
      </c>
      <c r="C156" s="736">
        <v>0.31944444444444448</v>
      </c>
      <c r="D156" s="727" t="s">
        <v>1904</v>
      </c>
      <c r="E156" s="727" t="s">
        <v>1844</v>
      </c>
      <c r="F156" s="728" t="s">
        <v>1907</v>
      </c>
      <c r="G156" s="221" t="s">
        <v>137</v>
      </c>
      <c r="H156" s="222">
        <f t="shared" ref="H156:H157" si="351">SUM(I156:Z156)</f>
        <v>72</v>
      </c>
      <c r="I156" s="222">
        <v>4</v>
      </c>
      <c r="J156" s="222">
        <v>5</v>
      </c>
      <c r="K156" s="222">
        <v>3</v>
      </c>
      <c r="L156" s="222">
        <v>4</v>
      </c>
      <c r="M156" s="222">
        <v>4</v>
      </c>
      <c r="N156" s="222">
        <v>3</v>
      </c>
      <c r="O156" s="222">
        <v>4</v>
      </c>
      <c r="P156" s="222">
        <v>5</v>
      </c>
      <c r="Q156" s="222">
        <v>4</v>
      </c>
      <c r="R156" s="222">
        <v>4</v>
      </c>
      <c r="S156" s="222">
        <v>3</v>
      </c>
      <c r="T156" s="222">
        <v>5</v>
      </c>
      <c r="U156" s="222">
        <v>4</v>
      </c>
      <c r="V156" s="222">
        <v>3</v>
      </c>
      <c r="W156" s="222">
        <v>4</v>
      </c>
      <c r="X156" s="222">
        <v>5</v>
      </c>
      <c r="Y156" s="222">
        <v>4</v>
      </c>
      <c r="Z156" s="223">
        <v>4</v>
      </c>
    </row>
    <row r="157" spans="1:26" ht="14.45" customHeight="1">
      <c r="A157" s="708"/>
      <c r="B157" s="734"/>
      <c r="C157" s="737"/>
      <c r="D157" s="712"/>
      <c r="E157" s="712"/>
      <c r="F157" s="729"/>
      <c r="G157" s="224" t="s">
        <v>160</v>
      </c>
      <c r="H157" s="225">
        <f t="shared" si="351"/>
        <v>5799</v>
      </c>
      <c r="I157" s="226">
        <v>354</v>
      </c>
      <c r="J157" s="226">
        <v>496</v>
      </c>
      <c r="K157" s="226">
        <v>162</v>
      </c>
      <c r="L157" s="226">
        <v>295</v>
      </c>
      <c r="M157" s="226">
        <v>339</v>
      </c>
      <c r="N157" s="226">
        <v>142</v>
      </c>
      <c r="O157" s="226">
        <v>328</v>
      </c>
      <c r="P157" s="226">
        <v>541</v>
      </c>
      <c r="Q157" s="226">
        <v>367</v>
      </c>
      <c r="R157" s="226">
        <v>332</v>
      </c>
      <c r="S157" s="226">
        <v>159</v>
      </c>
      <c r="T157" s="226">
        <v>456</v>
      </c>
      <c r="U157" s="226">
        <v>285</v>
      </c>
      <c r="V157" s="226">
        <v>143</v>
      </c>
      <c r="W157" s="226">
        <v>322</v>
      </c>
      <c r="X157" s="226">
        <v>440</v>
      </c>
      <c r="Y157" s="226">
        <v>303</v>
      </c>
      <c r="Z157" s="227">
        <v>335</v>
      </c>
    </row>
    <row r="158" spans="1:26" ht="14.45" customHeight="1">
      <c r="A158" s="708"/>
      <c r="B158" s="734"/>
      <c r="C158" s="737"/>
      <c r="D158" s="712"/>
      <c r="E158" s="712"/>
      <c r="F158" s="712"/>
      <c r="G158" s="224" t="s">
        <v>138</v>
      </c>
      <c r="H158" s="228" t="str">
        <f t="shared" ref="H158" si="352">IF(I160="N/A","N/A",IF(COUNTIF(I158:Z158,"Y")/14=0,"N/A",COUNTIF(I158:Z158,"Y")/(COUNTIF(I158:Z158,"Y")+COUNTIF(I158:Z158,"N"))))</f>
        <v>N/A</v>
      </c>
      <c r="I158" s="226" t="s">
        <v>2</v>
      </c>
      <c r="J158" s="226" t="s">
        <v>2</v>
      </c>
      <c r="K158" s="226" t="s">
        <v>2</v>
      </c>
      <c r="L158" s="226" t="s">
        <v>2</v>
      </c>
      <c r="M158" s="226" t="s">
        <v>2</v>
      </c>
      <c r="N158" s="226" t="s">
        <v>2</v>
      </c>
      <c r="O158" s="226" t="s">
        <v>2</v>
      </c>
      <c r="P158" s="226" t="s">
        <v>2</v>
      </c>
      <c r="Q158" s="226" t="s">
        <v>2</v>
      </c>
      <c r="R158" s="226" t="s">
        <v>2</v>
      </c>
      <c r="S158" s="226" t="s">
        <v>2</v>
      </c>
      <c r="T158" s="226" t="s">
        <v>2</v>
      </c>
      <c r="U158" s="226" t="s">
        <v>2</v>
      </c>
      <c r="V158" s="226" t="s">
        <v>2</v>
      </c>
      <c r="W158" s="226" t="s">
        <v>2</v>
      </c>
      <c r="X158" s="226" t="s">
        <v>2</v>
      </c>
      <c r="Y158" s="226" t="s">
        <v>2</v>
      </c>
      <c r="Z158" s="227" t="s">
        <v>2</v>
      </c>
    </row>
    <row r="159" spans="1:26" ht="14.45" customHeight="1">
      <c r="A159" s="708"/>
      <c r="B159" s="734"/>
      <c r="C159" s="737"/>
      <c r="D159" s="712"/>
      <c r="E159" s="712"/>
      <c r="F159" s="712"/>
      <c r="G159" s="224" t="s">
        <v>145</v>
      </c>
      <c r="H159" s="228" t="str">
        <f t="shared" ref="H159" si="353">IFERROR(IF(I160="N/A","N/A",COUNTIF(I159:Z159,"Y")/(COUNTIF(I159:Z159,"Y")+COUNTIF(I159:Z159,"N"))),"N/A")</f>
        <v>N/A</v>
      </c>
      <c r="I159" s="226" t="s">
        <v>2</v>
      </c>
      <c r="J159" s="226" t="s">
        <v>2</v>
      </c>
      <c r="K159" s="226" t="s">
        <v>2</v>
      </c>
      <c r="L159" s="226" t="s">
        <v>2</v>
      </c>
      <c r="M159" s="226" t="s">
        <v>2</v>
      </c>
      <c r="N159" s="226" t="s">
        <v>2</v>
      </c>
      <c r="O159" s="226" t="s">
        <v>2</v>
      </c>
      <c r="P159" s="226" t="s">
        <v>2</v>
      </c>
      <c r="Q159" s="226" t="s">
        <v>2</v>
      </c>
      <c r="R159" s="226" t="s">
        <v>2</v>
      </c>
      <c r="S159" s="226" t="s">
        <v>2</v>
      </c>
      <c r="T159" s="226" t="s">
        <v>2</v>
      </c>
      <c r="U159" s="226" t="s">
        <v>2</v>
      </c>
      <c r="V159" s="226" t="s">
        <v>2</v>
      </c>
      <c r="W159" s="226" t="s">
        <v>2</v>
      </c>
      <c r="X159" s="226" t="s">
        <v>2</v>
      </c>
      <c r="Y159" s="226" t="s">
        <v>2</v>
      </c>
      <c r="Z159" s="227" t="s">
        <v>2</v>
      </c>
    </row>
    <row r="160" spans="1:26" ht="14.45" customHeight="1">
      <c r="A160" s="708"/>
      <c r="B160" s="734"/>
      <c r="C160" s="737"/>
      <c r="D160" s="712"/>
      <c r="E160" s="712"/>
      <c r="F160" s="712"/>
      <c r="G160" s="224" t="s">
        <v>139</v>
      </c>
      <c r="H160" s="226" t="str">
        <f t="shared" ref="H160" si="354">IF(I160="N/A","N/A",SUM(I160:Z160))</f>
        <v>N/A</v>
      </c>
      <c r="I160" s="226" t="s">
        <v>3</v>
      </c>
      <c r="J160" s="226" t="s">
        <v>3</v>
      </c>
      <c r="K160" s="226" t="s">
        <v>3</v>
      </c>
      <c r="L160" s="226" t="s">
        <v>3</v>
      </c>
      <c r="M160" s="226" t="s">
        <v>3</v>
      </c>
      <c r="N160" s="226" t="s">
        <v>3</v>
      </c>
      <c r="O160" s="226" t="s">
        <v>3</v>
      </c>
      <c r="P160" s="226" t="s">
        <v>3</v>
      </c>
      <c r="Q160" s="226" t="s">
        <v>3</v>
      </c>
      <c r="R160" s="226" t="s">
        <v>3</v>
      </c>
      <c r="S160" s="226" t="s">
        <v>3</v>
      </c>
      <c r="T160" s="226" t="s">
        <v>3</v>
      </c>
      <c r="U160" s="226" t="s">
        <v>3</v>
      </c>
      <c r="V160" s="226" t="s">
        <v>3</v>
      </c>
      <c r="W160" s="226" t="s">
        <v>3</v>
      </c>
      <c r="X160" s="226" t="s">
        <v>3</v>
      </c>
      <c r="Y160" s="226" t="s">
        <v>3</v>
      </c>
      <c r="Z160" s="227" t="s">
        <v>3</v>
      </c>
    </row>
    <row r="161" spans="1:26" ht="14.45" customHeight="1">
      <c r="A161" s="708"/>
      <c r="B161" s="734"/>
      <c r="C161" s="737"/>
      <c r="D161" s="712"/>
      <c r="E161" s="712"/>
      <c r="F161" s="712"/>
      <c r="G161" s="224" t="s">
        <v>67</v>
      </c>
      <c r="H161" s="229">
        <f t="shared" ref="H161" si="355">SUM(I161:Z161)</f>
        <v>104</v>
      </c>
      <c r="I161" s="226">
        <f t="shared" ref="I161:Z161" si="356">IF(I162="","",I156+I162)</f>
        <v>7</v>
      </c>
      <c r="J161" s="226">
        <f t="shared" si="356"/>
        <v>6</v>
      </c>
      <c r="K161" s="226">
        <f t="shared" si="356"/>
        <v>4</v>
      </c>
      <c r="L161" s="226">
        <f t="shared" si="356"/>
        <v>7</v>
      </c>
      <c r="M161" s="226">
        <f t="shared" si="356"/>
        <v>4</v>
      </c>
      <c r="N161" s="226">
        <f t="shared" si="356"/>
        <v>4</v>
      </c>
      <c r="O161" s="226">
        <f t="shared" si="356"/>
        <v>7</v>
      </c>
      <c r="P161" s="226">
        <f t="shared" si="356"/>
        <v>7</v>
      </c>
      <c r="Q161" s="226">
        <f t="shared" si="356"/>
        <v>8</v>
      </c>
      <c r="R161" s="226">
        <f t="shared" si="356"/>
        <v>5</v>
      </c>
      <c r="S161" s="226">
        <f t="shared" si="356"/>
        <v>5</v>
      </c>
      <c r="T161" s="226">
        <f t="shared" si="356"/>
        <v>6</v>
      </c>
      <c r="U161" s="226">
        <f t="shared" si="356"/>
        <v>5</v>
      </c>
      <c r="V161" s="226">
        <f t="shared" si="356"/>
        <v>4</v>
      </c>
      <c r="W161" s="226">
        <f t="shared" si="356"/>
        <v>5</v>
      </c>
      <c r="X161" s="226">
        <f t="shared" si="356"/>
        <v>8</v>
      </c>
      <c r="Y161" s="226">
        <f t="shared" si="356"/>
        <v>7</v>
      </c>
      <c r="Z161" s="227">
        <f t="shared" si="356"/>
        <v>5</v>
      </c>
    </row>
    <row r="162" spans="1:26" ht="14.45" customHeight="1">
      <c r="A162" s="709"/>
      <c r="B162" s="735"/>
      <c r="C162" s="738"/>
      <c r="D162" s="713"/>
      <c r="E162" s="713"/>
      <c r="F162" s="713"/>
      <c r="G162" s="230" t="s">
        <v>143</v>
      </c>
      <c r="H162" s="231" t="str">
        <f t="shared" ref="H162" si="357">IF(SUM(I162:Z162)&gt;0,"+"&amp;SUM(I162:Z162),SUM(I162:Z162))</f>
        <v>+32</v>
      </c>
      <c r="I162" s="231">
        <v>3</v>
      </c>
      <c r="J162" s="233">
        <v>1</v>
      </c>
      <c r="K162" s="233">
        <v>1</v>
      </c>
      <c r="L162" s="231">
        <v>3</v>
      </c>
      <c r="M162" s="235">
        <v>0</v>
      </c>
      <c r="N162" s="233">
        <v>1</v>
      </c>
      <c r="O162" s="231">
        <v>3</v>
      </c>
      <c r="P162" s="231">
        <v>2</v>
      </c>
      <c r="Q162" s="232">
        <v>4</v>
      </c>
      <c r="R162" s="233">
        <v>1</v>
      </c>
      <c r="S162" s="231">
        <v>2</v>
      </c>
      <c r="T162" s="233">
        <v>1</v>
      </c>
      <c r="U162" s="233">
        <v>1</v>
      </c>
      <c r="V162" s="233">
        <v>1</v>
      </c>
      <c r="W162" s="233">
        <v>1</v>
      </c>
      <c r="X162" s="231">
        <v>3</v>
      </c>
      <c r="Y162" s="231">
        <v>3</v>
      </c>
      <c r="Z162" s="236">
        <v>1</v>
      </c>
    </row>
    <row r="163" spans="1:26" ht="14.45" customHeight="1">
      <c r="A163" s="707">
        <v>24</v>
      </c>
      <c r="B163" s="733">
        <v>45335</v>
      </c>
      <c r="C163" s="736">
        <v>0.39583333333333331</v>
      </c>
      <c r="D163" s="726" t="s">
        <v>1950</v>
      </c>
      <c r="E163" s="720" t="s">
        <v>1951</v>
      </c>
      <c r="F163" s="723" t="s">
        <v>2008</v>
      </c>
      <c r="G163" s="221" t="s">
        <v>137</v>
      </c>
      <c r="H163" s="222">
        <f t="shared" ref="H163:H164" si="358">SUM(I163:Z163)</f>
        <v>72</v>
      </c>
      <c r="I163" s="222">
        <v>4</v>
      </c>
      <c r="J163" s="222">
        <v>3</v>
      </c>
      <c r="K163" s="222">
        <v>4</v>
      </c>
      <c r="L163" s="222">
        <v>5</v>
      </c>
      <c r="M163" s="222">
        <v>3</v>
      </c>
      <c r="N163" s="222">
        <v>4</v>
      </c>
      <c r="O163" s="222">
        <v>5</v>
      </c>
      <c r="P163" s="222">
        <v>4</v>
      </c>
      <c r="Q163" s="222">
        <v>4</v>
      </c>
      <c r="R163" s="222">
        <v>5</v>
      </c>
      <c r="S163" s="222">
        <v>3</v>
      </c>
      <c r="T163" s="222">
        <v>4</v>
      </c>
      <c r="U163" s="222">
        <v>4</v>
      </c>
      <c r="V163" s="222">
        <v>4</v>
      </c>
      <c r="W163" s="222">
        <v>4</v>
      </c>
      <c r="X163" s="222">
        <v>3</v>
      </c>
      <c r="Y163" s="222">
        <v>4</v>
      </c>
      <c r="Z163" s="223">
        <v>5</v>
      </c>
    </row>
    <row r="164" spans="1:26" ht="14.45" customHeight="1">
      <c r="A164" s="708"/>
      <c r="B164" s="734"/>
      <c r="C164" s="737"/>
      <c r="D164" s="718"/>
      <c r="E164" s="721"/>
      <c r="F164" s="724"/>
      <c r="G164" s="224" t="s">
        <v>160</v>
      </c>
      <c r="H164" s="225">
        <f t="shared" si="358"/>
        <v>6009.4368000000004</v>
      </c>
      <c r="I164" s="226">
        <v>360.27359999999999</v>
      </c>
      <c r="J164" s="226">
        <v>160.02000000000001</v>
      </c>
      <c r="K164" s="226">
        <v>405.07920000000001</v>
      </c>
      <c r="L164" s="226">
        <v>470.916</v>
      </c>
      <c r="M164" s="226">
        <v>141.732</v>
      </c>
      <c r="N164" s="226">
        <v>334.67039999999997</v>
      </c>
      <c r="O164" s="226">
        <v>466.34399999999999</v>
      </c>
      <c r="P164" s="226">
        <v>306.32400000000001</v>
      </c>
      <c r="Q164" s="226">
        <v>364.84559999999999</v>
      </c>
      <c r="R164" s="226">
        <v>498.34800000000001</v>
      </c>
      <c r="S164" s="226">
        <v>145.3896</v>
      </c>
      <c r="T164" s="226">
        <v>374.904</v>
      </c>
      <c r="U164" s="226">
        <v>321.86880000000002</v>
      </c>
      <c r="V164" s="226">
        <v>323.69760000000002</v>
      </c>
      <c r="W164" s="226">
        <v>404.16480000000001</v>
      </c>
      <c r="X164" s="226">
        <v>142.6464</v>
      </c>
      <c r="Y164" s="226">
        <v>327.35520000000002</v>
      </c>
      <c r="Z164" s="227">
        <v>460.85759999999999</v>
      </c>
    </row>
    <row r="165" spans="1:26" ht="14.45" customHeight="1">
      <c r="A165" s="708"/>
      <c r="B165" s="734"/>
      <c r="C165" s="737"/>
      <c r="D165" s="718"/>
      <c r="E165" s="721"/>
      <c r="F165" s="724"/>
      <c r="G165" s="224" t="s">
        <v>138</v>
      </c>
      <c r="H165" s="228" t="str">
        <f t="shared" ref="H165" si="359">IF(I167="N/A","N/A",IF(COUNTIF(I165:Z165,"Y")/14=0,"N/A",COUNTIF(I165:Z165,"Y")/(COUNTIF(I165:Z165,"Y")+COUNTIF(I165:Z165,"N"))))</f>
        <v>N/A</v>
      </c>
      <c r="I165" s="226" t="s">
        <v>2</v>
      </c>
      <c r="J165" s="226" t="s">
        <v>2</v>
      </c>
      <c r="K165" s="226" t="s">
        <v>2</v>
      </c>
      <c r="L165" s="226" t="s">
        <v>2</v>
      </c>
      <c r="M165" s="226" t="s">
        <v>2</v>
      </c>
      <c r="N165" s="226" t="s">
        <v>2</v>
      </c>
      <c r="O165" s="226" t="s">
        <v>2</v>
      </c>
      <c r="P165" s="226" t="s">
        <v>2</v>
      </c>
      <c r="Q165" s="226" t="s">
        <v>2</v>
      </c>
      <c r="R165" s="226" t="s">
        <v>2</v>
      </c>
      <c r="S165" s="226" t="s">
        <v>2</v>
      </c>
      <c r="T165" s="226" t="s">
        <v>2</v>
      </c>
      <c r="U165" s="226" t="s">
        <v>2</v>
      </c>
      <c r="V165" s="226" t="s">
        <v>2</v>
      </c>
      <c r="W165" s="226" t="s">
        <v>2</v>
      </c>
      <c r="X165" s="226" t="s">
        <v>2</v>
      </c>
      <c r="Y165" s="226" t="s">
        <v>2</v>
      </c>
      <c r="Z165" s="227" t="s">
        <v>2</v>
      </c>
    </row>
    <row r="166" spans="1:26" ht="14.45" customHeight="1">
      <c r="A166" s="708"/>
      <c r="B166" s="734"/>
      <c r="C166" s="737"/>
      <c r="D166" s="718"/>
      <c r="E166" s="721"/>
      <c r="F166" s="724"/>
      <c r="G166" s="224" t="s">
        <v>145</v>
      </c>
      <c r="H166" s="228" t="str">
        <f t="shared" ref="H166" si="360">IFERROR(IF(I167="N/A","N/A",COUNTIF(I166:Z166,"Y")/(COUNTIF(I166:Z166,"Y")+COUNTIF(I166:Z166,"N"))),"N/A")</f>
        <v>N/A</v>
      </c>
      <c r="I166" s="226" t="s">
        <v>2</v>
      </c>
      <c r="J166" s="226" t="s">
        <v>2</v>
      </c>
      <c r="K166" s="226" t="s">
        <v>2</v>
      </c>
      <c r="L166" s="226" t="s">
        <v>2</v>
      </c>
      <c r="M166" s="226" t="s">
        <v>2</v>
      </c>
      <c r="N166" s="226" t="s">
        <v>2</v>
      </c>
      <c r="O166" s="226" t="s">
        <v>2</v>
      </c>
      <c r="P166" s="226" t="s">
        <v>2</v>
      </c>
      <c r="Q166" s="226" t="s">
        <v>2</v>
      </c>
      <c r="R166" s="226" t="s">
        <v>2</v>
      </c>
      <c r="S166" s="226" t="s">
        <v>2</v>
      </c>
      <c r="T166" s="226" t="s">
        <v>2</v>
      </c>
      <c r="U166" s="226" t="s">
        <v>2</v>
      </c>
      <c r="V166" s="226" t="s">
        <v>2</v>
      </c>
      <c r="W166" s="226" t="s">
        <v>2</v>
      </c>
      <c r="X166" s="226" t="s">
        <v>2</v>
      </c>
      <c r="Y166" s="226" t="s">
        <v>2</v>
      </c>
      <c r="Z166" s="227" t="s">
        <v>2</v>
      </c>
    </row>
    <row r="167" spans="1:26" ht="14.45" customHeight="1">
      <c r="A167" s="708"/>
      <c r="B167" s="734"/>
      <c r="C167" s="737"/>
      <c r="D167" s="718"/>
      <c r="E167" s="721"/>
      <c r="F167" s="724"/>
      <c r="G167" s="224" t="s">
        <v>139</v>
      </c>
      <c r="H167" s="226" t="str">
        <f t="shared" ref="H167" si="361">IF(I167="N/A","N/A",SUM(I167:Z167))</f>
        <v>N/A</v>
      </c>
      <c r="I167" s="226" t="s">
        <v>3</v>
      </c>
      <c r="J167" s="226" t="s">
        <v>3</v>
      </c>
      <c r="K167" s="226" t="s">
        <v>3</v>
      </c>
      <c r="L167" s="226" t="s">
        <v>3</v>
      </c>
      <c r="M167" s="226" t="s">
        <v>3</v>
      </c>
      <c r="N167" s="226" t="s">
        <v>3</v>
      </c>
      <c r="O167" s="226" t="s">
        <v>3</v>
      </c>
      <c r="P167" s="226" t="s">
        <v>3</v>
      </c>
      <c r="Q167" s="226" t="s">
        <v>3</v>
      </c>
      <c r="R167" s="226" t="s">
        <v>3</v>
      </c>
      <c r="S167" s="226" t="s">
        <v>3</v>
      </c>
      <c r="T167" s="226" t="s">
        <v>3</v>
      </c>
      <c r="U167" s="226" t="s">
        <v>3</v>
      </c>
      <c r="V167" s="226" t="s">
        <v>3</v>
      </c>
      <c r="W167" s="226" t="s">
        <v>3</v>
      </c>
      <c r="X167" s="226" t="s">
        <v>3</v>
      </c>
      <c r="Y167" s="226" t="s">
        <v>3</v>
      </c>
      <c r="Z167" s="227" t="s">
        <v>3</v>
      </c>
    </row>
    <row r="168" spans="1:26" ht="14.45" customHeight="1">
      <c r="A168" s="708"/>
      <c r="B168" s="734"/>
      <c r="C168" s="737"/>
      <c r="D168" s="718"/>
      <c r="E168" s="721"/>
      <c r="F168" s="724"/>
      <c r="G168" s="224" t="s">
        <v>67</v>
      </c>
      <c r="H168" s="229">
        <f t="shared" ref="H168" si="362">SUM(I168:Z168)</f>
        <v>115</v>
      </c>
      <c r="I168" s="226">
        <f t="shared" ref="I168:Z168" si="363">IF(I169="","",I163+I169)</f>
        <v>5</v>
      </c>
      <c r="J168" s="226">
        <f t="shared" si="363"/>
        <v>3</v>
      </c>
      <c r="K168" s="226">
        <f t="shared" si="363"/>
        <v>7</v>
      </c>
      <c r="L168" s="226">
        <f t="shared" si="363"/>
        <v>7</v>
      </c>
      <c r="M168" s="226">
        <f t="shared" si="363"/>
        <v>3</v>
      </c>
      <c r="N168" s="226">
        <f t="shared" si="363"/>
        <v>8</v>
      </c>
      <c r="O168" s="226">
        <f t="shared" si="363"/>
        <v>10</v>
      </c>
      <c r="P168" s="226">
        <f t="shared" si="363"/>
        <v>6</v>
      </c>
      <c r="Q168" s="226">
        <f t="shared" si="363"/>
        <v>7</v>
      </c>
      <c r="R168" s="226">
        <f t="shared" si="363"/>
        <v>10</v>
      </c>
      <c r="S168" s="226">
        <f t="shared" si="363"/>
        <v>4</v>
      </c>
      <c r="T168" s="226">
        <f t="shared" si="363"/>
        <v>6</v>
      </c>
      <c r="U168" s="226">
        <f t="shared" si="363"/>
        <v>5</v>
      </c>
      <c r="V168" s="226">
        <f t="shared" si="363"/>
        <v>8</v>
      </c>
      <c r="W168" s="226">
        <f t="shared" si="363"/>
        <v>6</v>
      </c>
      <c r="X168" s="226">
        <f t="shared" si="363"/>
        <v>4</v>
      </c>
      <c r="Y168" s="226">
        <f t="shared" si="363"/>
        <v>8</v>
      </c>
      <c r="Z168" s="227">
        <f t="shared" si="363"/>
        <v>8</v>
      </c>
    </row>
    <row r="169" spans="1:26" ht="14.45" customHeight="1">
      <c r="A169" s="709"/>
      <c r="B169" s="735"/>
      <c r="C169" s="738"/>
      <c r="D169" s="719"/>
      <c r="E169" s="722"/>
      <c r="F169" s="725"/>
      <c r="G169" s="230" t="s">
        <v>143</v>
      </c>
      <c r="H169" s="231" t="str">
        <f t="shared" ref="H169" si="364">IF(SUM(I169:Z169)&gt;0,"+"&amp;SUM(I169:Z169),SUM(I169:Z169))</f>
        <v>+43</v>
      </c>
      <c r="I169" s="233">
        <v>1</v>
      </c>
      <c r="J169" s="235">
        <v>0</v>
      </c>
      <c r="K169" s="231">
        <v>3</v>
      </c>
      <c r="L169" s="231">
        <v>2</v>
      </c>
      <c r="M169" s="235">
        <v>0</v>
      </c>
      <c r="N169" s="232">
        <v>4</v>
      </c>
      <c r="O169" s="232">
        <v>5</v>
      </c>
      <c r="P169" s="231">
        <v>2</v>
      </c>
      <c r="Q169" s="231">
        <v>3</v>
      </c>
      <c r="R169" s="232">
        <v>5</v>
      </c>
      <c r="S169" s="233">
        <v>1</v>
      </c>
      <c r="T169" s="231">
        <v>2</v>
      </c>
      <c r="U169" s="233">
        <v>1</v>
      </c>
      <c r="V169" s="232">
        <v>4</v>
      </c>
      <c r="W169" s="231">
        <v>2</v>
      </c>
      <c r="X169" s="233">
        <v>1</v>
      </c>
      <c r="Y169" s="232">
        <v>4</v>
      </c>
      <c r="Z169" s="234">
        <v>3</v>
      </c>
    </row>
    <row r="170" spans="1:26" ht="14.45" customHeight="1">
      <c r="A170" s="707">
        <v>25</v>
      </c>
      <c r="B170" s="710">
        <v>45381</v>
      </c>
      <c r="C170" s="714">
        <v>0.32083333333333336</v>
      </c>
      <c r="D170" s="726" t="s">
        <v>159</v>
      </c>
      <c r="E170" s="720" t="s">
        <v>2086</v>
      </c>
      <c r="F170" s="723" t="s">
        <v>2101</v>
      </c>
      <c r="G170" s="221" t="s">
        <v>137</v>
      </c>
      <c r="H170" s="222">
        <f t="shared" ref="H170:H171" si="365">SUM(I170:Z170)</f>
        <v>72</v>
      </c>
      <c r="I170" s="222">
        <v>5</v>
      </c>
      <c r="J170" s="222">
        <v>4</v>
      </c>
      <c r="K170" s="222">
        <v>3</v>
      </c>
      <c r="L170" s="222">
        <v>4</v>
      </c>
      <c r="M170" s="222">
        <v>4</v>
      </c>
      <c r="N170" s="222">
        <v>5</v>
      </c>
      <c r="O170" s="222">
        <v>3</v>
      </c>
      <c r="P170" s="222">
        <v>4</v>
      </c>
      <c r="Q170" s="222">
        <v>4</v>
      </c>
      <c r="R170" s="222">
        <v>5</v>
      </c>
      <c r="S170" s="222">
        <v>4</v>
      </c>
      <c r="T170" s="222">
        <v>4</v>
      </c>
      <c r="U170" s="222">
        <v>5</v>
      </c>
      <c r="V170" s="222">
        <v>4</v>
      </c>
      <c r="W170" s="222">
        <v>3</v>
      </c>
      <c r="X170" s="222">
        <v>4</v>
      </c>
      <c r="Y170" s="222">
        <v>3</v>
      </c>
      <c r="Z170" s="223">
        <v>4</v>
      </c>
    </row>
    <row r="171" spans="1:26" ht="14.45" customHeight="1">
      <c r="A171" s="708"/>
      <c r="B171" s="711"/>
      <c r="C171" s="715"/>
      <c r="D171" s="718"/>
      <c r="E171" s="721"/>
      <c r="F171" s="724"/>
      <c r="G171" s="224" t="s">
        <v>160</v>
      </c>
      <c r="H171" s="225">
        <f t="shared" si="365"/>
        <v>5681</v>
      </c>
      <c r="I171" s="226">
        <v>452</v>
      </c>
      <c r="J171" s="226">
        <v>354</v>
      </c>
      <c r="K171" s="226">
        <v>149</v>
      </c>
      <c r="L171" s="226">
        <v>330</v>
      </c>
      <c r="M171" s="226">
        <v>296</v>
      </c>
      <c r="N171" s="226">
        <v>447</v>
      </c>
      <c r="O171" s="226">
        <v>156</v>
      </c>
      <c r="P171" s="226">
        <v>321</v>
      </c>
      <c r="Q171" s="226">
        <v>351</v>
      </c>
      <c r="R171" s="226">
        <v>424</v>
      </c>
      <c r="S171" s="226">
        <v>324</v>
      </c>
      <c r="T171" s="226">
        <v>364</v>
      </c>
      <c r="U171" s="226">
        <v>492</v>
      </c>
      <c r="V171" s="226">
        <v>294</v>
      </c>
      <c r="W171" s="226">
        <v>133</v>
      </c>
      <c r="X171" s="226">
        <v>313</v>
      </c>
      <c r="Y171" s="226">
        <v>156</v>
      </c>
      <c r="Z171" s="227">
        <v>325</v>
      </c>
    </row>
    <row r="172" spans="1:26" ht="14.45" customHeight="1">
      <c r="A172" s="708"/>
      <c r="B172" s="712"/>
      <c r="C172" s="715"/>
      <c r="D172" s="718"/>
      <c r="E172" s="721"/>
      <c r="F172" s="724"/>
      <c r="G172" s="224" t="s">
        <v>138</v>
      </c>
      <c r="H172" s="228" t="str">
        <f t="shared" ref="H172" si="366">IF(I174="N/A","N/A",IF(COUNTIF(I172:Z172,"Y")/14=0,"N/A",COUNTIF(I172:Z172,"Y")/(COUNTIF(I172:Z172,"Y")+COUNTIF(I172:Z172,"N"))))</f>
        <v>N/A</v>
      </c>
      <c r="I172" s="226" t="s">
        <v>2</v>
      </c>
      <c r="J172" s="226" t="s">
        <v>2</v>
      </c>
      <c r="K172" s="226" t="s">
        <v>2</v>
      </c>
      <c r="L172" s="226" t="s">
        <v>2</v>
      </c>
      <c r="M172" s="226" t="s">
        <v>2</v>
      </c>
      <c r="N172" s="226" t="s">
        <v>2</v>
      </c>
      <c r="O172" s="226" t="s">
        <v>2</v>
      </c>
      <c r="P172" s="226" t="s">
        <v>2</v>
      </c>
      <c r="Q172" s="226" t="s">
        <v>2</v>
      </c>
      <c r="R172" s="226" t="s">
        <v>2</v>
      </c>
      <c r="S172" s="226" t="s">
        <v>2</v>
      </c>
      <c r="T172" s="226" t="s">
        <v>2</v>
      </c>
      <c r="U172" s="226" t="s">
        <v>2</v>
      </c>
      <c r="V172" s="226" t="s">
        <v>2</v>
      </c>
      <c r="W172" s="226" t="s">
        <v>2</v>
      </c>
      <c r="X172" s="226" t="s">
        <v>2</v>
      </c>
      <c r="Y172" s="226" t="s">
        <v>2</v>
      </c>
      <c r="Z172" s="227" t="s">
        <v>2</v>
      </c>
    </row>
    <row r="173" spans="1:26" ht="14.45" customHeight="1">
      <c r="A173" s="708"/>
      <c r="B173" s="712"/>
      <c r="C173" s="715"/>
      <c r="D173" s="718"/>
      <c r="E173" s="721"/>
      <c r="F173" s="724"/>
      <c r="G173" s="224" t="s">
        <v>145</v>
      </c>
      <c r="H173" s="228" t="str">
        <f t="shared" ref="H173" si="367">IFERROR(IF(I174="N/A","N/A",COUNTIF(I173:Z173,"Y")/(COUNTIF(I173:Z173,"Y")+COUNTIF(I173:Z173,"N"))),"N/A")</f>
        <v>N/A</v>
      </c>
      <c r="I173" s="226" t="s">
        <v>2</v>
      </c>
      <c r="J173" s="226" t="s">
        <v>2</v>
      </c>
      <c r="K173" s="226" t="s">
        <v>2</v>
      </c>
      <c r="L173" s="226" t="s">
        <v>2</v>
      </c>
      <c r="M173" s="226" t="s">
        <v>2</v>
      </c>
      <c r="N173" s="226" t="s">
        <v>2</v>
      </c>
      <c r="O173" s="226" t="s">
        <v>2</v>
      </c>
      <c r="P173" s="226" t="s">
        <v>2</v>
      </c>
      <c r="Q173" s="226" t="s">
        <v>2</v>
      </c>
      <c r="R173" s="226" t="s">
        <v>2</v>
      </c>
      <c r="S173" s="226" t="s">
        <v>2</v>
      </c>
      <c r="T173" s="226" t="s">
        <v>2</v>
      </c>
      <c r="U173" s="226" t="s">
        <v>2</v>
      </c>
      <c r="V173" s="226" t="s">
        <v>2</v>
      </c>
      <c r="W173" s="226" t="s">
        <v>2</v>
      </c>
      <c r="X173" s="226" t="s">
        <v>2</v>
      </c>
      <c r="Y173" s="226" t="s">
        <v>2</v>
      </c>
      <c r="Z173" s="227" t="s">
        <v>2</v>
      </c>
    </row>
    <row r="174" spans="1:26" ht="14.45" customHeight="1">
      <c r="A174" s="708"/>
      <c r="B174" s="712"/>
      <c r="C174" s="715"/>
      <c r="D174" s="718"/>
      <c r="E174" s="721"/>
      <c r="F174" s="724"/>
      <c r="G174" s="224" t="s">
        <v>139</v>
      </c>
      <c r="H174" s="226" t="str">
        <f t="shared" ref="H174" si="368">IF(I174="N/A","N/A",SUM(I174:Z174))</f>
        <v>N/A</v>
      </c>
      <c r="I174" s="226" t="s">
        <v>3</v>
      </c>
      <c r="J174" s="226" t="s">
        <v>3</v>
      </c>
      <c r="K174" s="226" t="s">
        <v>3</v>
      </c>
      <c r="L174" s="226" t="s">
        <v>3</v>
      </c>
      <c r="M174" s="226" t="s">
        <v>3</v>
      </c>
      <c r="N174" s="226" t="s">
        <v>3</v>
      </c>
      <c r="O174" s="226" t="s">
        <v>3</v>
      </c>
      <c r="P174" s="226" t="s">
        <v>3</v>
      </c>
      <c r="Q174" s="226" t="s">
        <v>3</v>
      </c>
      <c r="R174" s="226" t="s">
        <v>3</v>
      </c>
      <c r="S174" s="226" t="s">
        <v>3</v>
      </c>
      <c r="T174" s="226" t="s">
        <v>3</v>
      </c>
      <c r="U174" s="226" t="s">
        <v>3</v>
      </c>
      <c r="V174" s="226" t="s">
        <v>3</v>
      </c>
      <c r="W174" s="226" t="s">
        <v>3</v>
      </c>
      <c r="X174" s="226" t="s">
        <v>3</v>
      </c>
      <c r="Y174" s="226" t="s">
        <v>3</v>
      </c>
      <c r="Z174" s="227" t="s">
        <v>3</v>
      </c>
    </row>
    <row r="175" spans="1:26" ht="14.45" customHeight="1">
      <c r="A175" s="708"/>
      <c r="B175" s="712"/>
      <c r="C175" s="715"/>
      <c r="D175" s="718"/>
      <c r="E175" s="721"/>
      <c r="F175" s="724"/>
      <c r="G175" s="224" t="s">
        <v>67</v>
      </c>
      <c r="H175" s="229">
        <f t="shared" ref="H175" si="369">SUM(I175:Z175)</f>
        <v>104</v>
      </c>
      <c r="I175" s="226">
        <f t="shared" ref="I175:Z175" si="370">IF(I176="","",I170+I176)</f>
        <v>7</v>
      </c>
      <c r="J175" s="226">
        <f t="shared" si="370"/>
        <v>5</v>
      </c>
      <c r="K175" s="226">
        <f t="shared" si="370"/>
        <v>6</v>
      </c>
      <c r="L175" s="226">
        <f t="shared" si="370"/>
        <v>7</v>
      </c>
      <c r="M175" s="226">
        <f t="shared" si="370"/>
        <v>5</v>
      </c>
      <c r="N175" s="226">
        <f t="shared" si="370"/>
        <v>6</v>
      </c>
      <c r="O175" s="226">
        <f t="shared" si="370"/>
        <v>5</v>
      </c>
      <c r="P175" s="226">
        <f t="shared" si="370"/>
        <v>6</v>
      </c>
      <c r="Q175" s="226">
        <f t="shared" si="370"/>
        <v>6</v>
      </c>
      <c r="R175" s="226">
        <f t="shared" si="370"/>
        <v>7</v>
      </c>
      <c r="S175" s="226">
        <f t="shared" si="370"/>
        <v>6</v>
      </c>
      <c r="T175" s="226">
        <f t="shared" si="370"/>
        <v>4</v>
      </c>
      <c r="U175" s="226">
        <f t="shared" si="370"/>
        <v>7</v>
      </c>
      <c r="V175" s="226">
        <f t="shared" si="370"/>
        <v>5</v>
      </c>
      <c r="W175" s="226">
        <f t="shared" si="370"/>
        <v>5</v>
      </c>
      <c r="X175" s="226">
        <f t="shared" si="370"/>
        <v>6</v>
      </c>
      <c r="Y175" s="226">
        <f t="shared" si="370"/>
        <v>4</v>
      </c>
      <c r="Z175" s="227">
        <f t="shared" si="370"/>
        <v>7</v>
      </c>
    </row>
    <row r="176" spans="1:26" ht="14.45" customHeight="1">
      <c r="A176" s="709"/>
      <c r="B176" s="713"/>
      <c r="C176" s="716"/>
      <c r="D176" s="719"/>
      <c r="E176" s="722"/>
      <c r="F176" s="725"/>
      <c r="G176" s="230" t="s">
        <v>143</v>
      </c>
      <c r="H176" s="231" t="str">
        <f t="shared" ref="H176" si="371">IF(SUM(I176:Z176)&gt;0,"+"&amp;SUM(I176:Z176),SUM(I176:Z176))</f>
        <v>+32</v>
      </c>
      <c r="I176" s="231">
        <v>2</v>
      </c>
      <c r="J176" s="233">
        <v>1</v>
      </c>
      <c r="K176" s="232">
        <v>3</v>
      </c>
      <c r="L176" s="231">
        <v>3</v>
      </c>
      <c r="M176" s="233">
        <v>1</v>
      </c>
      <c r="N176" s="233">
        <v>1</v>
      </c>
      <c r="O176" s="231">
        <v>2</v>
      </c>
      <c r="P176" s="231">
        <v>2</v>
      </c>
      <c r="Q176" s="231">
        <v>2</v>
      </c>
      <c r="R176" s="231">
        <v>2</v>
      </c>
      <c r="S176" s="231">
        <v>2</v>
      </c>
      <c r="T176" s="235">
        <v>0</v>
      </c>
      <c r="U176" s="231">
        <v>2</v>
      </c>
      <c r="V176" s="233">
        <v>1</v>
      </c>
      <c r="W176" s="231">
        <v>2</v>
      </c>
      <c r="X176" s="231">
        <v>2</v>
      </c>
      <c r="Y176" s="233">
        <v>1</v>
      </c>
      <c r="Z176" s="234">
        <v>3</v>
      </c>
    </row>
    <row r="177" spans="1:26" ht="14.45" customHeight="1">
      <c r="A177" s="707">
        <v>26</v>
      </c>
      <c r="B177" s="733">
        <v>45395</v>
      </c>
      <c r="C177" s="736">
        <v>0.71875</v>
      </c>
      <c r="D177" s="730" t="s">
        <v>2091</v>
      </c>
      <c r="E177" s="720" t="s">
        <v>2104</v>
      </c>
      <c r="F177" s="723" t="s">
        <v>2105</v>
      </c>
      <c r="G177" s="221" t="s">
        <v>137</v>
      </c>
      <c r="H177" s="222">
        <f t="shared" ref="H177:H178" si="372">SUM(I177:Z177)</f>
        <v>72</v>
      </c>
      <c r="I177" s="222">
        <v>4</v>
      </c>
      <c r="J177" s="222">
        <v>5</v>
      </c>
      <c r="K177" s="222">
        <v>3</v>
      </c>
      <c r="L177" s="222">
        <v>5</v>
      </c>
      <c r="M177" s="222">
        <v>4</v>
      </c>
      <c r="N177" s="222">
        <v>4</v>
      </c>
      <c r="O177" s="222">
        <v>4</v>
      </c>
      <c r="P177" s="222">
        <v>3</v>
      </c>
      <c r="Q177" s="222">
        <v>4</v>
      </c>
      <c r="R177" s="222">
        <v>4</v>
      </c>
      <c r="S177" s="222">
        <v>5</v>
      </c>
      <c r="T177" s="222">
        <v>4</v>
      </c>
      <c r="U177" s="222">
        <v>3</v>
      </c>
      <c r="V177" s="222">
        <v>4</v>
      </c>
      <c r="W177" s="222">
        <v>4</v>
      </c>
      <c r="X177" s="222">
        <v>5</v>
      </c>
      <c r="Y177" s="222">
        <v>3</v>
      </c>
      <c r="Z177" s="223">
        <v>4</v>
      </c>
    </row>
    <row r="178" spans="1:26" ht="14.45" customHeight="1">
      <c r="A178" s="708"/>
      <c r="B178" s="734"/>
      <c r="C178" s="737"/>
      <c r="D178" s="731"/>
      <c r="E178" s="721"/>
      <c r="F178" s="724"/>
      <c r="G178" s="224" t="s">
        <v>160</v>
      </c>
      <c r="H178" s="225">
        <f t="shared" si="372"/>
        <v>5671</v>
      </c>
      <c r="I178" s="226">
        <v>307</v>
      </c>
      <c r="J178" s="226">
        <v>490</v>
      </c>
      <c r="K178" s="226">
        <v>127</v>
      </c>
      <c r="L178" s="226">
        <v>453</v>
      </c>
      <c r="M178" s="226">
        <v>379</v>
      </c>
      <c r="N178" s="226">
        <v>314</v>
      </c>
      <c r="O178" s="226">
        <v>330</v>
      </c>
      <c r="P178" s="226">
        <v>131</v>
      </c>
      <c r="Q178" s="226">
        <v>297</v>
      </c>
      <c r="R178" s="226">
        <v>335</v>
      </c>
      <c r="S178" s="226">
        <v>309</v>
      </c>
      <c r="T178" s="226">
        <v>342</v>
      </c>
      <c r="U178" s="226">
        <v>360</v>
      </c>
      <c r="V178" s="226">
        <v>460</v>
      </c>
      <c r="W178" s="226">
        <v>156</v>
      </c>
      <c r="X178" s="226">
        <v>427</v>
      </c>
      <c r="Y178" s="226">
        <v>157</v>
      </c>
      <c r="Z178" s="227">
        <v>297</v>
      </c>
    </row>
    <row r="179" spans="1:26" ht="14.45" customHeight="1">
      <c r="A179" s="708"/>
      <c r="B179" s="734"/>
      <c r="C179" s="737"/>
      <c r="D179" s="731"/>
      <c r="E179" s="721"/>
      <c r="F179" s="724"/>
      <c r="G179" s="224" t="s">
        <v>138</v>
      </c>
      <c r="H179" s="228" t="str">
        <f t="shared" ref="H179" si="373">IF(I181="N/A","N/A",IF(COUNTIF(I179:Z179,"Y")/14=0,"N/A",COUNTIF(I179:Z179,"Y")/(COUNTIF(I179:Z179,"Y")+COUNTIF(I179:Z179,"N"))))</f>
        <v>N/A</v>
      </c>
      <c r="I179" s="226" t="s">
        <v>2</v>
      </c>
      <c r="J179" s="226" t="s">
        <v>2</v>
      </c>
      <c r="K179" s="226" t="s">
        <v>2</v>
      </c>
      <c r="L179" s="226" t="s">
        <v>2</v>
      </c>
      <c r="M179" s="226" t="s">
        <v>2</v>
      </c>
      <c r="N179" s="226" t="s">
        <v>2</v>
      </c>
      <c r="O179" s="226" t="s">
        <v>2</v>
      </c>
      <c r="P179" s="226" t="s">
        <v>2</v>
      </c>
      <c r="Q179" s="226" t="s">
        <v>2</v>
      </c>
      <c r="R179" s="226" t="s">
        <v>2</v>
      </c>
      <c r="S179" s="226" t="s">
        <v>2</v>
      </c>
      <c r="T179" s="226" t="s">
        <v>2</v>
      </c>
      <c r="U179" s="226" t="s">
        <v>2</v>
      </c>
      <c r="V179" s="226" t="s">
        <v>2</v>
      </c>
      <c r="W179" s="226" t="s">
        <v>2</v>
      </c>
      <c r="X179" s="226" t="s">
        <v>2</v>
      </c>
      <c r="Y179" s="226" t="s">
        <v>2</v>
      </c>
      <c r="Z179" s="227" t="s">
        <v>2</v>
      </c>
    </row>
    <row r="180" spans="1:26" ht="14.45" customHeight="1">
      <c r="A180" s="708"/>
      <c r="B180" s="734"/>
      <c r="C180" s="737"/>
      <c r="D180" s="731"/>
      <c r="E180" s="721"/>
      <c r="F180" s="724"/>
      <c r="G180" s="224" t="s">
        <v>145</v>
      </c>
      <c r="H180" s="228" t="str">
        <f t="shared" ref="H180" si="374">IFERROR(IF(I181="N/A","N/A",COUNTIF(I180:Z180,"Y")/(COUNTIF(I180:Z180,"Y")+COUNTIF(I180:Z180,"N"))),"N/A")</f>
        <v>N/A</v>
      </c>
      <c r="I180" s="226" t="s">
        <v>2</v>
      </c>
      <c r="J180" s="226" t="s">
        <v>2</v>
      </c>
      <c r="K180" s="226" t="s">
        <v>2</v>
      </c>
      <c r="L180" s="226" t="s">
        <v>2</v>
      </c>
      <c r="M180" s="226" t="s">
        <v>2</v>
      </c>
      <c r="N180" s="226" t="s">
        <v>2</v>
      </c>
      <c r="O180" s="226" t="s">
        <v>2</v>
      </c>
      <c r="P180" s="226" t="s">
        <v>2</v>
      </c>
      <c r="Q180" s="226" t="s">
        <v>2</v>
      </c>
      <c r="R180" s="226" t="s">
        <v>2</v>
      </c>
      <c r="S180" s="226" t="s">
        <v>2</v>
      </c>
      <c r="T180" s="226" t="s">
        <v>2</v>
      </c>
      <c r="U180" s="226" t="s">
        <v>2</v>
      </c>
      <c r="V180" s="226" t="s">
        <v>2</v>
      </c>
      <c r="W180" s="226" t="s">
        <v>2</v>
      </c>
      <c r="X180" s="226" t="s">
        <v>2</v>
      </c>
      <c r="Y180" s="226" t="s">
        <v>2</v>
      </c>
      <c r="Z180" s="227" t="s">
        <v>2</v>
      </c>
    </row>
    <row r="181" spans="1:26" ht="14.45" customHeight="1">
      <c r="A181" s="708"/>
      <c r="B181" s="734"/>
      <c r="C181" s="737"/>
      <c r="D181" s="731"/>
      <c r="E181" s="721"/>
      <c r="F181" s="724"/>
      <c r="G181" s="224" t="s">
        <v>139</v>
      </c>
      <c r="H181" s="226" t="str">
        <f t="shared" ref="H181" si="375">IF(I181="N/A","N/A",SUM(I181:Z181))</f>
        <v>N/A</v>
      </c>
      <c r="I181" s="226" t="s">
        <v>3</v>
      </c>
      <c r="J181" s="226" t="s">
        <v>3</v>
      </c>
      <c r="K181" s="226" t="s">
        <v>3</v>
      </c>
      <c r="L181" s="226" t="s">
        <v>3</v>
      </c>
      <c r="M181" s="226" t="s">
        <v>3</v>
      </c>
      <c r="N181" s="226" t="s">
        <v>3</v>
      </c>
      <c r="O181" s="226" t="s">
        <v>3</v>
      </c>
      <c r="P181" s="226" t="s">
        <v>3</v>
      </c>
      <c r="Q181" s="226" t="s">
        <v>3</v>
      </c>
      <c r="R181" s="226" t="s">
        <v>3</v>
      </c>
      <c r="S181" s="226" t="s">
        <v>3</v>
      </c>
      <c r="T181" s="226" t="s">
        <v>3</v>
      </c>
      <c r="U181" s="226" t="s">
        <v>3</v>
      </c>
      <c r="V181" s="226" t="s">
        <v>3</v>
      </c>
      <c r="W181" s="226" t="s">
        <v>3</v>
      </c>
      <c r="X181" s="226" t="s">
        <v>3</v>
      </c>
      <c r="Y181" s="226" t="s">
        <v>3</v>
      </c>
      <c r="Z181" s="227" t="s">
        <v>3</v>
      </c>
    </row>
    <row r="182" spans="1:26" ht="14.45" customHeight="1">
      <c r="A182" s="708"/>
      <c r="B182" s="734"/>
      <c r="C182" s="737"/>
      <c r="D182" s="731"/>
      <c r="E182" s="721"/>
      <c r="F182" s="724"/>
      <c r="G182" s="224" t="s">
        <v>67</v>
      </c>
      <c r="H182" s="229">
        <f t="shared" ref="H182" si="376">SUM(I182:Z182)</f>
        <v>97</v>
      </c>
      <c r="I182" s="226">
        <f t="shared" ref="I182:Z182" si="377">IF(I183="","",I177+I183)</f>
        <v>3</v>
      </c>
      <c r="J182" s="226">
        <f t="shared" si="377"/>
        <v>6</v>
      </c>
      <c r="K182" s="226">
        <f t="shared" si="377"/>
        <v>4</v>
      </c>
      <c r="L182" s="226">
        <f t="shared" si="377"/>
        <v>6</v>
      </c>
      <c r="M182" s="226">
        <f t="shared" si="377"/>
        <v>7</v>
      </c>
      <c r="N182" s="226">
        <f t="shared" si="377"/>
        <v>7</v>
      </c>
      <c r="O182" s="226">
        <f t="shared" si="377"/>
        <v>6</v>
      </c>
      <c r="P182" s="226">
        <f t="shared" si="377"/>
        <v>4</v>
      </c>
      <c r="Q182" s="226">
        <f t="shared" si="377"/>
        <v>4</v>
      </c>
      <c r="R182" s="226">
        <f t="shared" si="377"/>
        <v>6</v>
      </c>
      <c r="S182" s="226">
        <f t="shared" si="377"/>
        <v>7</v>
      </c>
      <c r="T182" s="226">
        <f t="shared" si="377"/>
        <v>6</v>
      </c>
      <c r="U182" s="226">
        <f t="shared" si="377"/>
        <v>6</v>
      </c>
      <c r="V182" s="226">
        <f t="shared" si="377"/>
        <v>5</v>
      </c>
      <c r="W182" s="226">
        <f t="shared" si="377"/>
        <v>6</v>
      </c>
      <c r="X182" s="226">
        <f t="shared" si="377"/>
        <v>7</v>
      </c>
      <c r="Y182" s="226">
        <f t="shared" si="377"/>
        <v>3</v>
      </c>
      <c r="Z182" s="227">
        <f t="shared" si="377"/>
        <v>4</v>
      </c>
    </row>
    <row r="183" spans="1:26" ht="14.45" customHeight="1">
      <c r="A183" s="709"/>
      <c r="B183" s="735"/>
      <c r="C183" s="738"/>
      <c r="D183" s="732"/>
      <c r="E183" s="722"/>
      <c r="F183" s="725"/>
      <c r="G183" s="230" t="s">
        <v>143</v>
      </c>
      <c r="H183" s="231" t="str">
        <f t="shared" ref="H183" si="378">IF(SUM(I183:Z183)&gt;0,"+"&amp;SUM(I183:Z183),SUM(I183:Z183))</f>
        <v>+25</v>
      </c>
      <c r="I183" s="240">
        <v>-1</v>
      </c>
      <c r="J183" s="233">
        <v>1</v>
      </c>
      <c r="K183" s="233">
        <v>1</v>
      </c>
      <c r="L183" s="233">
        <v>1</v>
      </c>
      <c r="M183" s="231">
        <v>3</v>
      </c>
      <c r="N183" s="231">
        <v>3</v>
      </c>
      <c r="O183" s="231">
        <v>2</v>
      </c>
      <c r="P183" s="233">
        <v>1</v>
      </c>
      <c r="Q183" s="235">
        <v>0</v>
      </c>
      <c r="R183" s="231">
        <v>2</v>
      </c>
      <c r="S183" s="231">
        <v>2</v>
      </c>
      <c r="T183" s="231">
        <v>2</v>
      </c>
      <c r="U183" s="232">
        <v>3</v>
      </c>
      <c r="V183" s="233">
        <v>1</v>
      </c>
      <c r="W183" s="231">
        <v>2</v>
      </c>
      <c r="X183" s="231">
        <v>2</v>
      </c>
      <c r="Y183" s="235">
        <v>0</v>
      </c>
      <c r="Z183" s="260">
        <v>0</v>
      </c>
    </row>
    <row r="184" spans="1:26" ht="14.45" customHeight="1">
      <c r="A184" s="707">
        <v>27</v>
      </c>
      <c r="B184" s="733">
        <v>45427</v>
      </c>
      <c r="C184" s="736">
        <v>0.25486111111111109</v>
      </c>
      <c r="D184" s="726" t="s">
        <v>159</v>
      </c>
      <c r="E184" s="720" t="s">
        <v>1870</v>
      </c>
      <c r="F184" s="723" t="s">
        <v>2218</v>
      </c>
      <c r="G184" s="221" t="s">
        <v>137</v>
      </c>
      <c r="H184" s="222">
        <f t="shared" ref="H184:H185" si="379">SUM(I184:Z184)</f>
        <v>72</v>
      </c>
      <c r="I184" s="222">
        <v>4</v>
      </c>
      <c r="J184" s="222">
        <v>4</v>
      </c>
      <c r="K184" s="222">
        <v>5</v>
      </c>
      <c r="L184" s="222">
        <v>3</v>
      </c>
      <c r="M184" s="222">
        <v>4</v>
      </c>
      <c r="N184" s="222">
        <v>3</v>
      </c>
      <c r="O184" s="222">
        <v>5</v>
      </c>
      <c r="P184" s="222">
        <v>4</v>
      </c>
      <c r="Q184" s="222">
        <v>4</v>
      </c>
      <c r="R184" s="222">
        <v>5</v>
      </c>
      <c r="S184" s="222">
        <v>4</v>
      </c>
      <c r="T184" s="222">
        <v>3</v>
      </c>
      <c r="U184" s="222">
        <v>4</v>
      </c>
      <c r="V184" s="222">
        <v>4</v>
      </c>
      <c r="W184" s="222">
        <v>5</v>
      </c>
      <c r="X184" s="222">
        <v>3</v>
      </c>
      <c r="Y184" s="222">
        <v>4</v>
      </c>
      <c r="Z184" s="223">
        <v>4</v>
      </c>
    </row>
    <row r="185" spans="1:26" ht="14.45" customHeight="1">
      <c r="A185" s="708"/>
      <c r="B185" s="734"/>
      <c r="C185" s="737"/>
      <c r="D185" s="718"/>
      <c r="E185" s="721"/>
      <c r="F185" s="724"/>
      <c r="G185" s="224" t="s">
        <v>160</v>
      </c>
      <c r="H185" s="225">
        <f t="shared" si="379"/>
        <v>5630</v>
      </c>
      <c r="I185" s="226">
        <v>342</v>
      </c>
      <c r="J185" s="226">
        <v>318</v>
      </c>
      <c r="K185" s="226">
        <v>436</v>
      </c>
      <c r="L185" s="226">
        <v>151</v>
      </c>
      <c r="M185" s="226">
        <v>321</v>
      </c>
      <c r="N185" s="226">
        <v>158</v>
      </c>
      <c r="O185" s="226">
        <v>450</v>
      </c>
      <c r="P185" s="226">
        <v>293</v>
      </c>
      <c r="Q185" s="226">
        <v>305</v>
      </c>
      <c r="R185" s="226">
        <v>452</v>
      </c>
      <c r="S185" s="226">
        <v>354</v>
      </c>
      <c r="T185" s="226">
        <v>149</v>
      </c>
      <c r="U185" s="226">
        <v>330</v>
      </c>
      <c r="V185" s="226">
        <v>296</v>
      </c>
      <c r="W185" s="226">
        <v>447</v>
      </c>
      <c r="X185" s="226">
        <v>156</v>
      </c>
      <c r="Y185" s="226">
        <v>321</v>
      </c>
      <c r="Z185" s="227">
        <v>351</v>
      </c>
    </row>
    <row r="186" spans="1:26" ht="14.45" customHeight="1">
      <c r="A186" s="708"/>
      <c r="B186" s="734"/>
      <c r="C186" s="737"/>
      <c r="D186" s="718"/>
      <c r="E186" s="721"/>
      <c r="F186" s="724"/>
      <c r="G186" s="224" t="s">
        <v>138</v>
      </c>
      <c r="H186" s="228" t="str">
        <f t="shared" ref="H186" si="380">IF(I188="N/A","N/A",IF(COUNTIF(I186:Z186,"Y")/14=0,"N/A",COUNTIF(I186:Z186,"Y")/(COUNTIF(I186:Z186,"Y")+COUNTIF(I186:Z186,"N"))))</f>
        <v>N/A</v>
      </c>
      <c r="I186" s="226" t="s">
        <v>2</v>
      </c>
      <c r="J186" s="226" t="s">
        <v>2</v>
      </c>
      <c r="K186" s="226" t="s">
        <v>2</v>
      </c>
      <c r="L186" s="226" t="s">
        <v>2</v>
      </c>
      <c r="M186" s="226" t="s">
        <v>2</v>
      </c>
      <c r="N186" s="226" t="s">
        <v>2</v>
      </c>
      <c r="O186" s="226" t="s">
        <v>2</v>
      </c>
      <c r="P186" s="226" t="s">
        <v>2</v>
      </c>
      <c r="Q186" s="226" t="s">
        <v>2</v>
      </c>
      <c r="R186" s="226" t="s">
        <v>2</v>
      </c>
      <c r="S186" s="226" t="s">
        <v>2</v>
      </c>
      <c r="T186" s="226" t="s">
        <v>2</v>
      </c>
      <c r="U186" s="226" t="s">
        <v>2</v>
      </c>
      <c r="V186" s="226" t="s">
        <v>2</v>
      </c>
      <c r="W186" s="226" t="s">
        <v>2</v>
      </c>
      <c r="X186" s="226" t="s">
        <v>2</v>
      </c>
      <c r="Y186" s="226" t="s">
        <v>2</v>
      </c>
      <c r="Z186" s="227" t="s">
        <v>2</v>
      </c>
    </row>
    <row r="187" spans="1:26" ht="14.45" customHeight="1">
      <c r="A187" s="708"/>
      <c r="B187" s="734"/>
      <c r="C187" s="737"/>
      <c r="D187" s="718"/>
      <c r="E187" s="721"/>
      <c r="F187" s="724"/>
      <c r="G187" s="224" t="s">
        <v>145</v>
      </c>
      <c r="H187" s="228" t="str">
        <f t="shared" ref="H187" si="381">IFERROR(IF(I188="N/A","N/A",COUNTIF(I187:Z187,"Y")/(COUNTIF(I187:Z187,"Y")+COUNTIF(I187:Z187,"N"))),"N/A")</f>
        <v>N/A</v>
      </c>
      <c r="I187" s="226" t="s">
        <v>2</v>
      </c>
      <c r="J187" s="226" t="s">
        <v>2</v>
      </c>
      <c r="K187" s="226" t="s">
        <v>2</v>
      </c>
      <c r="L187" s="226" t="s">
        <v>2</v>
      </c>
      <c r="M187" s="226" t="s">
        <v>2</v>
      </c>
      <c r="N187" s="226" t="s">
        <v>2</v>
      </c>
      <c r="O187" s="226" t="s">
        <v>2</v>
      </c>
      <c r="P187" s="226" t="s">
        <v>2</v>
      </c>
      <c r="Q187" s="226" t="s">
        <v>2</v>
      </c>
      <c r="R187" s="226" t="s">
        <v>2</v>
      </c>
      <c r="S187" s="226" t="s">
        <v>2</v>
      </c>
      <c r="T187" s="226" t="s">
        <v>2</v>
      </c>
      <c r="U187" s="226" t="s">
        <v>2</v>
      </c>
      <c r="V187" s="226" t="s">
        <v>2</v>
      </c>
      <c r="W187" s="226" t="s">
        <v>2</v>
      </c>
      <c r="X187" s="226" t="s">
        <v>2</v>
      </c>
      <c r="Y187" s="226" t="s">
        <v>2</v>
      </c>
      <c r="Z187" s="227" t="s">
        <v>2</v>
      </c>
    </row>
    <row r="188" spans="1:26" ht="14.45" customHeight="1">
      <c r="A188" s="708"/>
      <c r="B188" s="734"/>
      <c r="C188" s="737"/>
      <c r="D188" s="718"/>
      <c r="E188" s="721"/>
      <c r="F188" s="724"/>
      <c r="G188" s="224" t="s">
        <v>139</v>
      </c>
      <c r="H188" s="226" t="str">
        <f t="shared" ref="H188" si="382">IF(I188="N/A","N/A",SUM(I188:Z188))</f>
        <v>N/A</v>
      </c>
      <c r="I188" s="226" t="s">
        <v>3</v>
      </c>
      <c r="J188" s="226" t="s">
        <v>3</v>
      </c>
      <c r="K188" s="226" t="s">
        <v>3</v>
      </c>
      <c r="L188" s="226" t="s">
        <v>3</v>
      </c>
      <c r="M188" s="226" t="s">
        <v>3</v>
      </c>
      <c r="N188" s="226" t="s">
        <v>3</v>
      </c>
      <c r="O188" s="226" t="s">
        <v>3</v>
      </c>
      <c r="P188" s="226" t="s">
        <v>3</v>
      </c>
      <c r="Q188" s="226" t="s">
        <v>3</v>
      </c>
      <c r="R188" s="226" t="s">
        <v>3</v>
      </c>
      <c r="S188" s="226" t="s">
        <v>3</v>
      </c>
      <c r="T188" s="226" t="s">
        <v>3</v>
      </c>
      <c r="U188" s="226" t="s">
        <v>3</v>
      </c>
      <c r="V188" s="226" t="s">
        <v>3</v>
      </c>
      <c r="W188" s="226" t="s">
        <v>3</v>
      </c>
      <c r="X188" s="226" t="s">
        <v>3</v>
      </c>
      <c r="Y188" s="226" t="s">
        <v>3</v>
      </c>
      <c r="Z188" s="227" t="s">
        <v>3</v>
      </c>
    </row>
    <row r="189" spans="1:26" ht="14.45" customHeight="1">
      <c r="A189" s="708"/>
      <c r="B189" s="734"/>
      <c r="C189" s="737"/>
      <c r="D189" s="718"/>
      <c r="E189" s="721"/>
      <c r="F189" s="724"/>
      <c r="G189" s="224" t="s">
        <v>67</v>
      </c>
      <c r="H189" s="229">
        <f t="shared" ref="H189" si="383">SUM(I189:Z189)</f>
        <v>104</v>
      </c>
      <c r="I189" s="226">
        <f t="shared" ref="I189:Z189" si="384">IF(I190="","",I184+I190)</f>
        <v>5</v>
      </c>
      <c r="J189" s="226">
        <f t="shared" si="384"/>
        <v>6</v>
      </c>
      <c r="K189" s="226">
        <f t="shared" si="384"/>
        <v>9</v>
      </c>
      <c r="L189" s="226">
        <f t="shared" si="384"/>
        <v>3</v>
      </c>
      <c r="M189" s="226">
        <f t="shared" si="384"/>
        <v>4</v>
      </c>
      <c r="N189" s="226">
        <f t="shared" si="384"/>
        <v>5</v>
      </c>
      <c r="O189" s="226">
        <f t="shared" si="384"/>
        <v>7</v>
      </c>
      <c r="P189" s="226">
        <f t="shared" si="384"/>
        <v>6</v>
      </c>
      <c r="Q189" s="226">
        <f t="shared" si="384"/>
        <v>6</v>
      </c>
      <c r="R189" s="226">
        <f t="shared" si="384"/>
        <v>5</v>
      </c>
      <c r="S189" s="226">
        <f t="shared" si="384"/>
        <v>5</v>
      </c>
      <c r="T189" s="226">
        <f t="shared" si="384"/>
        <v>4</v>
      </c>
      <c r="U189" s="226">
        <f t="shared" si="384"/>
        <v>5</v>
      </c>
      <c r="V189" s="226">
        <f t="shared" si="384"/>
        <v>8</v>
      </c>
      <c r="W189" s="226">
        <f t="shared" si="384"/>
        <v>9</v>
      </c>
      <c r="X189" s="226">
        <f t="shared" si="384"/>
        <v>4</v>
      </c>
      <c r="Y189" s="226">
        <f t="shared" si="384"/>
        <v>7</v>
      </c>
      <c r="Z189" s="227">
        <f t="shared" si="384"/>
        <v>6</v>
      </c>
    </row>
    <row r="190" spans="1:26" ht="14.45" customHeight="1">
      <c r="A190" s="709"/>
      <c r="B190" s="735"/>
      <c r="C190" s="738"/>
      <c r="D190" s="719"/>
      <c r="E190" s="722"/>
      <c r="F190" s="725"/>
      <c r="G190" s="230" t="s">
        <v>143</v>
      </c>
      <c r="H190" s="231" t="str">
        <f t="shared" ref="H190" si="385">IF(SUM(I190:Z190)&gt;0,"+"&amp;SUM(I190:Z190),SUM(I190:Z190))</f>
        <v>+32</v>
      </c>
      <c r="I190" s="233">
        <v>1</v>
      </c>
      <c r="J190" s="231">
        <v>2</v>
      </c>
      <c r="K190" s="231">
        <v>4</v>
      </c>
      <c r="L190" s="235">
        <v>0</v>
      </c>
      <c r="M190" s="235">
        <v>0</v>
      </c>
      <c r="N190" s="231">
        <v>2</v>
      </c>
      <c r="O190" s="231">
        <v>2</v>
      </c>
      <c r="P190" s="231">
        <v>2</v>
      </c>
      <c r="Q190" s="231">
        <v>2</v>
      </c>
      <c r="R190" s="235">
        <v>0</v>
      </c>
      <c r="S190" s="233">
        <v>1</v>
      </c>
      <c r="T190" s="233">
        <v>1</v>
      </c>
      <c r="U190" s="233">
        <v>1</v>
      </c>
      <c r="V190" s="232">
        <v>4</v>
      </c>
      <c r="W190" s="231">
        <v>4</v>
      </c>
      <c r="X190" s="233">
        <v>1</v>
      </c>
      <c r="Y190" s="231">
        <v>3</v>
      </c>
      <c r="Z190" s="234">
        <v>2</v>
      </c>
    </row>
    <row r="191" spans="1:26" ht="14.45" customHeight="1">
      <c r="A191" s="746">
        <v>28</v>
      </c>
      <c r="B191" s="733">
        <v>45465</v>
      </c>
      <c r="C191" s="736">
        <v>0.25486111111111109</v>
      </c>
      <c r="D191" s="743" t="s">
        <v>159</v>
      </c>
      <c r="E191" s="720" t="s">
        <v>1864</v>
      </c>
      <c r="F191" s="723" t="s">
        <v>2254</v>
      </c>
      <c r="G191" s="221" t="s">
        <v>137</v>
      </c>
      <c r="H191" s="222">
        <f t="shared" ref="H191:H192" si="386">SUM(I191:Z191)</f>
        <v>72</v>
      </c>
      <c r="I191" s="222">
        <v>5</v>
      </c>
      <c r="J191" s="222">
        <v>4</v>
      </c>
      <c r="K191" s="222">
        <v>4</v>
      </c>
      <c r="L191" s="222">
        <v>5</v>
      </c>
      <c r="M191" s="222">
        <v>4</v>
      </c>
      <c r="N191" s="222">
        <v>3</v>
      </c>
      <c r="O191" s="222">
        <v>4</v>
      </c>
      <c r="P191" s="222">
        <v>3</v>
      </c>
      <c r="Q191" s="222">
        <v>4</v>
      </c>
      <c r="R191" s="222">
        <v>4</v>
      </c>
      <c r="S191" s="222">
        <v>4</v>
      </c>
      <c r="T191" s="222">
        <v>5</v>
      </c>
      <c r="U191" s="222">
        <v>3</v>
      </c>
      <c r="V191" s="222">
        <v>4</v>
      </c>
      <c r="W191" s="222">
        <v>3</v>
      </c>
      <c r="X191" s="222">
        <v>5</v>
      </c>
      <c r="Y191" s="222">
        <v>4</v>
      </c>
      <c r="Z191" s="223">
        <v>4</v>
      </c>
    </row>
    <row r="192" spans="1:26" ht="14.45" customHeight="1">
      <c r="A192" s="747"/>
      <c r="B192" s="734"/>
      <c r="C192" s="737"/>
      <c r="D192" s="744"/>
      <c r="E192" s="721"/>
      <c r="F192" s="724"/>
      <c r="G192" s="224" t="s">
        <v>160</v>
      </c>
      <c r="H192" s="225">
        <f t="shared" si="386"/>
        <v>5599</v>
      </c>
      <c r="I192" s="226">
        <v>424</v>
      </c>
      <c r="J192" s="226">
        <v>324</v>
      </c>
      <c r="K192" s="226">
        <v>364</v>
      </c>
      <c r="L192" s="226">
        <v>492</v>
      </c>
      <c r="M192" s="226">
        <v>294</v>
      </c>
      <c r="N192" s="226">
        <v>133</v>
      </c>
      <c r="O192" s="226">
        <v>313</v>
      </c>
      <c r="P192" s="226">
        <v>156</v>
      </c>
      <c r="Q192" s="226">
        <v>325</v>
      </c>
      <c r="R192" s="226">
        <v>342</v>
      </c>
      <c r="S192" s="226">
        <v>318</v>
      </c>
      <c r="T192" s="226">
        <v>436</v>
      </c>
      <c r="U192" s="226">
        <v>151</v>
      </c>
      <c r="V192" s="226">
        <v>321</v>
      </c>
      <c r="W192" s="226">
        <v>158</v>
      </c>
      <c r="X192" s="226">
        <v>450</v>
      </c>
      <c r="Y192" s="226">
        <v>293</v>
      </c>
      <c r="Z192" s="227">
        <v>305</v>
      </c>
    </row>
    <row r="193" spans="1:45" ht="14.45" customHeight="1">
      <c r="A193" s="747"/>
      <c r="B193" s="734"/>
      <c r="C193" s="737"/>
      <c r="D193" s="744"/>
      <c r="E193" s="721"/>
      <c r="F193" s="724"/>
      <c r="G193" s="224" t="s">
        <v>138</v>
      </c>
      <c r="H193" s="228" t="str">
        <f t="shared" ref="H193" si="387">IF(I195="N/A","N/A",IF(COUNTIF(I193:Z193,"Y")/14=0,"N/A",COUNTIF(I193:Z193,"Y")/(COUNTIF(I193:Z193,"Y")+COUNTIF(I193:Z193,"N"))))</f>
        <v>N/A</v>
      </c>
      <c r="I193" s="226" t="s">
        <v>2</v>
      </c>
      <c r="J193" s="226" t="s">
        <v>2</v>
      </c>
      <c r="K193" s="226" t="s">
        <v>2</v>
      </c>
      <c r="L193" s="226" t="s">
        <v>2</v>
      </c>
      <c r="M193" s="226" t="s">
        <v>2</v>
      </c>
      <c r="N193" s="226" t="s">
        <v>2</v>
      </c>
      <c r="O193" s="226" t="s">
        <v>2</v>
      </c>
      <c r="P193" s="226" t="s">
        <v>2</v>
      </c>
      <c r="Q193" s="226" t="s">
        <v>2</v>
      </c>
      <c r="R193" s="226" t="s">
        <v>2</v>
      </c>
      <c r="S193" s="226" t="s">
        <v>2</v>
      </c>
      <c r="T193" s="226" t="s">
        <v>2</v>
      </c>
      <c r="U193" s="226" t="s">
        <v>2</v>
      </c>
      <c r="V193" s="226" t="s">
        <v>2</v>
      </c>
      <c r="W193" s="226" t="s">
        <v>2</v>
      </c>
      <c r="X193" s="226" t="s">
        <v>2</v>
      </c>
      <c r="Y193" s="226" t="s">
        <v>2</v>
      </c>
      <c r="Z193" s="227" t="s">
        <v>2</v>
      </c>
    </row>
    <row r="194" spans="1:45" ht="14.45" customHeight="1">
      <c r="A194" s="747"/>
      <c r="B194" s="734"/>
      <c r="C194" s="737"/>
      <c r="D194" s="744"/>
      <c r="E194" s="721"/>
      <c r="F194" s="724"/>
      <c r="G194" s="224" t="s">
        <v>145</v>
      </c>
      <c r="H194" s="228" t="str">
        <f t="shared" ref="H194" si="388">IFERROR(IF(I195="N/A","N/A",COUNTIF(I194:Z194,"Y")/(COUNTIF(I194:Z194,"Y")+COUNTIF(I194:Z194,"N"))),"N/A")</f>
        <v>N/A</v>
      </c>
      <c r="I194" s="226" t="s">
        <v>2</v>
      </c>
      <c r="J194" s="226" t="s">
        <v>2</v>
      </c>
      <c r="K194" s="226" t="s">
        <v>2</v>
      </c>
      <c r="L194" s="226" t="s">
        <v>2</v>
      </c>
      <c r="M194" s="226" t="s">
        <v>2</v>
      </c>
      <c r="N194" s="226" t="s">
        <v>2</v>
      </c>
      <c r="O194" s="226" t="s">
        <v>2</v>
      </c>
      <c r="P194" s="226" t="s">
        <v>2</v>
      </c>
      <c r="Q194" s="226" t="s">
        <v>2</v>
      </c>
      <c r="R194" s="226" t="s">
        <v>2</v>
      </c>
      <c r="S194" s="226" t="s">
        <v>2</v>
      </c>
      <c r="T194" s="226" t="s">
        <v>2</v>
      </c>
      <c r="U194" s="226" t="s">
        <v>2</v>
      </c>
      <c r="V194" s="226" t="s">
        <v>2</v>
      </c>
      <c r="W194" s="226" t="s">
        <v>2</v>
      </c>
      <c r="X194" s="226" t="s">
        <v>2</v>
      </c>
      <c r="Y194" s="226" t="s">
        <v>2</v>
      </c>
      <c r="Z194" s="227" t="s">
        <v>2</v>
      </c>
    </row>
    <row r="195" spans="1:45" ht="14.45" customHeight="1">
      <c r="A195" s="747"/>
      <c r="B195" s="734"/>
      <c r="C195" s="737"/>
      <c r="D195" s="744"/>
      <c r="E195" s="721"/>
      <c r="F195" s="724"/>
      <c r="G195" s="224" t="s">
        <v>139</v>
      </c>
      <c r="H195" s="226" t="str">
        <f t="shared" ref="H195" si="389">IF(I195="N/A","N/A",SUM(I195:Z195))</f>
        <v>N/A</v>
      </c>
      <c r="I195" s="226" t="s">
        <v>3</v>
      </c>
      <c r="J195" s="226" t="s">
        <v>3</v>
      </c>
      <c r="K195" s="226" t="s">
        <v>3</v>
      </c>
      <c r="L195" s="226" t="s">
        <v>3</v>
      </c>
      <c r="M195" s="226" t="s">
        <v>3</v>
      </c>
      <c r="N195" s="226" t="s">
        <v>3</v>
      </c>
      <c r="O195" s="226" t="s">
        <v>3</v>
      </c>
      <c r="P195" s="226" t="s">
        <v>3</v>
      </c>
      <c r="Q195" s="226" t="s">
        <v>3</v>
      </c>
      <c r="R195" s="226" t="s">
        <v>3</v>
      </c>
      <c r="S195" s="226" t="s">
        <v>3</v>
      </c>
      <c r="T195" s="226" t="s">
        <v>3</v>
      </c>
      <c r="U195" s="226" t="s">
        <v>3</v>
      </c>
      <c r="V195" s="226" t="s">
        <v>3</v>
      </c>
      <c r="W195" s="226" t="s">
        <v>3</v>
      </c>
      <c r="X195" s="226" t="s">
        <v>3</v>
      </c>
      <c r="Y195" s="226" t="s">
        <v>3</v>
      </c>
      <c r="Z195" s="227" t="s">
        <v>3</v>
      </c>
    </row>
    <row r="196" spans="1:45" ht="14.45" customHeight="1">
      <c r="A196" s="747"/>
      <c r="B196" s="734"/>
      <c r="C196" s="737"/>
      <c r="D196" s="744"/>
      <c r="E196" s="721"/>
      <c r="F196" s="724"/>
      <c r="G196" s="224" t="s">
        <v>67</v>
      </c>
      <c r="H196" s="229">
        <f t="shared" ref="H196" si="390">SUM(I196:Z196)</f>
        <v>104</v>
      </c>
      <c r="I196" s="226">
        <f t="shared" ref="I196:Z196" si="391">IF(I197="","",I191+I197)</f>
        <v>8</v>
      </c>
      <c r="J196" s="226">
        <f t="shared" si="391"/>
        <v>5</v>
      </c>
      <c r="K196" s="226">
        <f t="shared" si="391"/>
        <v>8</v>
      </c>
      <c r="L196" s="226">
        <f t="shared" si="391"/>
        <v>9</v>
      </c>
      <c r="M196" s="226">
        <f t="shared" si="391"/>
        <v>4</v>
      </c>
      <c r="N196" s="226">
        <f t="shared" si="391"/>
        <v>4</v>
      </c>
      <c r="O196" s="226">
        <f t="shared" si="391"/>
        <v>7</v>
      </c>
      <c r="P196" s="226">
        <f t="shared" si="391"/>
        <v>3</v>
      </c>
      <c r="Q196" s="226">
        <f t="shared" si="391"/>
        <v>5</v>
      </c>
      <c r="R196" s="226">
        <f t="shared" si="391"/>
        <v>6</v>
      </c>
      <c r="S196" s="226">
        <f t="shared" si="391"/>
        <v>5</v>
      </c>
      <c r="T196" s="226">
        <f t="shared" si="391"/>
        <v>9</v>
      </c>
      <c r="U196" s="226">
        <f t="shared" si="391"/>
        <v>4</v>
      </c>
      <c r="V196" s="226">
        <f t="shared" si="391"/>
        <v>6</v>
      </c>
      <c r="W196" s="226">
        <f t="shared" si="391"/>
        <v>4</v>
      </c>
      <c r="X196" s="226">
        <f t="shared" si="391"/>
        <v>7</v>
      </c>
      <c r="Y196" s="226">
        <f t="shared" si="391"/>
        <v>5</v>
      </c>
      <c r="Z196" s="227">
        <f t="shared" si="391"/>
        <v>5</v>
      </c>
    </row>
    <row r="197" spans="1:45" ht="14.45" customHeight="1">
      <c r="A197" s="748"/>
      <c r="B197" s="735"/>
      <c r="C197" s="738"/>
      <c r="D197" s="745"/>
      <c r="E197" s="722"/>
      <c r="F197" s="725"/>
      <c r="G197" s="230" t="s">
        <v>143</v>
      </c>
      <c r="H197" s="231" t="str">
        <f t="shared" ref="H197" si="392">IF(SUM(I197:Z197)&gt;0,"+"&amp;SUM(I197:Z197),SUM(I197:Z197))</f>
        <v>+32</v>
      </c>
      <c r="I197" s="231">
        <v>3</v>
      </c>
      <c r="J197" s="233">
        <v>1</v>
      </c>
      <c r="K197" s="232">
        <v>4</v>
      </c>
      <c r="L197" s="231">
        <v>4</v>
      </c>
      <c r="M197" s="235">
        <v>0</v>
      </c>
      <c r="N197" s="233">
        <v>1</v>
      </c>
      <c r="O197" s="231">
        <v>3</v>
      </c>
      <c r="P197" s="235">
        <v>0</v>
      </c>
      <c r="Q197" s="233">
        <v>1</v>
      </c>
      <c r="R197" s="231">
        <v>2</v>
      </c>
      <c r="S197" s="233">
        <v>1</v>
      </c>
      <c r="T197" s="231">
        <v>4</v>
      </c>
      <c r="U197" s="233">
        <v>1</v>
      </c>
      <c r="V197" s="231">
        <v>2</v>
      </c>
      <c r="W197" s="233">
        <v>1</v>
      </c>
      <c r="X197" s="231">
        <v>2</v>
      </c>
      <c r="Y197" s="233">
        <v>1</v>
      </c>
      <c r="Z197" s="236">
        <v>1</v>
      </c>
    </row>
    <row r="198" spans="1:45" ht="14.45" customHeight="1">
      <c r="A198" s="707">
        <v>29</v>
      </c>
      <c r="B198" s="733">
        <v>45514</v>
      </c>
      <c r="C198" s="736">
        <v>0.29583333333333334</v>
      </c>
      <c r="D198" s="749" t="s">
        <v>2283</v>
      </c>
      <c r="E198" s="720" t="s">
        <v>2282</v>
      </c>
      <c r="F198" s="723" t="s">
        <v>2396</v>
      </c>
      <c r="G198" s="221" t="s">
        <v>137</v>
      </c>
      <c r="H198" s="222">
        <f t="shared" ref="H198:H199" si="393">SUM(I198:Z198)</f>
        <v>72</v>
      </c>
      <c r="I198" s="222">
        <v>4</v>
      </c>
      <c r="J198" s="222">
        <v>5</v>
      </c>
      <c r="K198" s="222">
        <v>3</v>
      </c>
      <c r="L198" s="222">
        <v>4</v>
      </c>
      <c r="M198" s="222">
        <v>4</v>
      </c>
      <c r="N198" s="222">
        <v>4</v>
      </c>
      <c r="O198" s="222">
        <v>3</v>
      </c>
      <c r="P198" s="222">
        <v>4</v>
      </c>
      <c r="Q198" s="222">
        <v>5</v>
      </c>
      <c r="R198" s="222">
        <v>4</v>
      </c>
      <c r="S198" s="222">
        <v>4</v>
      </c>
      <c r="T198" s="222">
        <v>4</v>
      </c>
      <c r="U198" s="222">
        <v>3</v>
      </c>
      <c r="V198" s="222">
        <v>5</v>
      </c>
      <c r="W198" s="222">
        <v>4</v>
      </c>
      <c r="X198" s="222">
        <v>3</v>
      </c>
      <c r="Y198" s="222">
        <v>5</v>
      </c>
      <c r="Z198" s="223">
        <v>4</v>
      </c>
    </row>
    <row r="199" spans="1:45" ht="14.45" customHeight="1">
      <c r="A199" s="708"/>
      <c r="B199" s="734"/>
      <c r="C199" s="737"/>
      <c r="D199" s="750"/>
      <c r="E199" s="721"/>
      <c r="F199" s="724"/>
      <c r="G199" s="224" t="s">
        <v>160</v>
      </c>
      <c r="H199" s="225">
        <f t="shared" si="393"/>
        <v>5851.2456000000002</v>
      </c>
      <c r="I199" s="226">
        <v>340.15679999999998</v>
      </c>
      <c r="J199" s="226">
        <v>456.28559999999999</v>
      </c>
      <c r="K199" s="226">
        <v>136.2456</v>
      </c>
      <c r="L199" s="226">
        <v>334.67039999999997</v>
      </c>
      <c r="M199" s="226">
        <v>338.32799999999997</v>
      </c>
      <c r="N199" s="226">
        <v>342.9</v>
      </c>
      <c r="O199" s="226">
        <v>131.67359999999999</v>
      </c>
      <c r="P199" s="226">
        <v>342.9</v>
      </c>
      <c r="Q199" s="226">
        <v>504.74880000000002</v>
      </c>
      <c r="R199" s="226">
        <v>333.75599999999997</v>
      </c>
      <c r="S199" s="226">
        <v>350.21519999999998</v>
      </c>
      <c r="T199" s="226">
        <v>307.23840000000001</v>
      </c>
      <c r="U199" s="226">
        <v>132.58799999999999</v>
      </c>
      <c r="V199" s="226">
        <v>490.11840000000001</v>
      </c>
      <c r="W199" s="226">
        <v>310.89600000000002</v>
      </c>
      <c r="X199" s="226">
        <v>181.05119999999999</v>
      </c>
      <c r="Y199" s="226">
        <v>515.72159999999997</v>
      </c>
      <c r="Z199" s="227">
        <v>301.75200000000001</v>
      </c>
      <c r="AB199"/>
      <c r="AC199"/>
      <c r="AD199"/>
      <c r="AE199"/>
      <c r="AF199"/>
      <c r="AG199"/>
      <c r="AH199"/>
      <c r="AI199"/>
      <c r="AJ199"/>
      <c r="AK199"/>
      <c r="AL199"/>
      <c r="AM199"/>
      <c r="AN199"/>
      <c r="AO199"/>
      <c r="AP199"/>
      <c r="AQ199"/>
      <c r="AR199"/>
      <c r="AS199"/>
    </row>
    <row r="200" spans="1:45" ht="14.45" customHeight="1">
      <c r="A200" s="708"/>
      <c r="B200" s="734"/>
      <c r="C200" s="737"/>
      <c r="D200" s="750"/>
      <c r="E200" s="721"/>
      <c r="F200" s="724"/>
      <c r="G200" s="224" t="s">
        <v>138</v>
      </c>
      <c r="H200" s="228" t="str">
        <f t="shared" ref="H200" si="394">IF(I202="N/A","N/A",IF(COUNTIF(I200:Z200,"Y")/14=0,"N/A",COUNTIF(I200:Z200,"Y")/(COUNTIF(I200:Z200,"Y")+COUNTIF(I200:Z200,"N"))))</f>
        <v>N/A</v>
      </c>
      <c r="I200" s="226" t="s">
        <v>2</v>
      </c>
      <c r="J200" s="226" t="s">
        <v>2</v>
      </c>
      <c r="K200" s="226" t="s">
        <v>2</v>
      </c>
      <c r="L200" s="226" t="s">
        <v>2</v>
      </c>
      <c r="M200" s="226" t="s">
        <v>2</v>
      </c>
      <c r="N200" s="226" t="s">
        <v>2</v>
      </c>
      <c r="O200" s="226" t="s">
        <v>2</v>
      </c>
      <c r="P200" s="226" t="s">
        <v>2</v>
      </c>
      <c r="Q200" s="226" t="s">
        <v>2</v>
      </c>
      <c r="R200" s="226" t="s">
        <v>2</v>
      </c>
      <c r="S200" s="226" t="s">
        <v>2</v>
      </c>
      <c r="T200" s="226" t="s">
        <v>2</v>
      </c>
      <c r="U200" s="226" t="s">
        <v>2</v>
      </c>
      <c r="V200" s="226" t="s">
        <v>2</v>
      </c>
      <c r="W200" s="226" t="s">
        <v>2</v>
      </c>
      <c r="X200" s="226" t="s">
        <v>2</v>
      </c>
      <c r="Y200" s="226" t="s">
        <v>2</v>
      </c>
      <c r="Z200" s="227" t="s">
        <v>2</v>
      </c>
      <c r="AB200" s="292"/>
      <c r="AC200" s="292"/>
      <c r="AD200" s="292"/>
      <c r="AE200" s="292"/>
      <c r="AF200" s="292"/>
      <c r="AG200" s="292"/>
      <c r="AH200" s="292"/>
      <c r="AI200" s="292"/>
      <c r="AJ200" s="292"/>
      <c r="AK200" s="292"/>
      <c r="AL200" s="292"/>
      <c r="AM200" s="292"/>
      <c r="AN200" s="292"/>
      <c r="AO200" s="292"/>
      <c r="AP200" s="292"/>
      <c r="AQ200" s="292"/>
      <c r="AR200" s="292"/>
      <c r="AS200" s="292"/>
    </row>
    <row r="201" spans="1:45" ht="14.45" customHeight="1">
      <c r="A201" s="708"/>
      <c r="B201" s="734"/>
      <c r="C201" s="737"/>
      <c r="D201" s="750"/>
      <c r="E201" s="721"/>
      <c r="F201" s="724"/>
      <c r="G201" s="224" t="s">
        <v>145</v>
      </c>
      <c r="H201" s="228" t="str">
        <f t="shared" ref="H201" si="395">IFERROR(IF(I202="N/A","N/A",COUNTIF(I201:Z201,"Y")/(COUNTIF(I201:Z201,"Y")+COUNTIF(I201:Z201,"N"))),"N/A")</f>
        <v>N/A</v>
      </c>
      <c r="I201" s="226" t="s">
        <v>2</v>
      </c>
      <c r="J201" s="226" t="s">
        <v>2</v>
      </c>
      <c r="K201" s="226" t="s">
        <v>2</v>
      </c>
      <c r="L201" s="226" t="s">
        <v>2</v>
      </c>
      <c r="M201" s="226" t="s">
        <v>2</v>
      </c>
      <c r="N201" s="226" t="s">
        <v>2</v>
      </c>
      <c r="O201" s="226" t="s">
        <v>2</v>
      </c>
      <c r="P201" s="226" t="s">
        <v>2</v>
      </c>
      <c r="Q201" s="226" t="s">
        <v>2</v>
      </c>
      <c r="R201" s="226" t="s">
        <v>2</v>
      </c>
      <c r="S201" s="226" t="s">
        <v>2</v>
      </c>
      <c r="T201" s="226" t="s">
        <v>2</v>
      </c>
      <c r="U201" s="226" t="s">
        <v>2</v>
      </c>
      <c r="V201" s="226" t="s">
        <v>2</v>
      </c>
      <c r="W201" s="226" t="s">
        <v>2</v>
      </c>
      <c r="X201" s="226" t="s">
        <v>2</v>
      </c>
      <c r="Y201" s="226" t="s">
        <v>2</v>
      </c>
      <c r="Z201" s="227" t="s">
        <v>2</v>
      </c>
      <c r="AB201"/>
      <c r="AC201"/>
      <c r="AD201"/>
      <c r="AE201"/>
      <c r="AF201"/>
      <c r="AG201"/>
      <c r="AH201"/>
      <c r="AI201"/>
      <c r="AJ201"/>
      <c r="AK201"/>
      <c r="AL201"/>
      <c r="AM201"/>
      <c r="AN201"/>
      <c r="AO201"/>
      <c r="AP201"/>
      <c r="AQ201"/>
      <c r="AR201"/>
      <c r="AS201"/>
    </row>
    <row r="202" spans="1:45" ht="14.45" customHeight="1">
      <c r="A202" s="708"/>
      <c r="B202" s="734"/>
      <c r="C202" s="737"/>
      <c r="D202" s="750"/>
      <c r="E202" s="721"/>
      <c r="F202" s="724"/>
      <c r="G202" s="224" t="s">
        <v>139</v>
      </c>
      <c r="H202" s="226" t="str">
        <f t="shared" ref="H202" si="396">IF(I202="N/A","N/A",SUM(I202:Z202))</f>
        <v>N/A</v>
      </c>
      <c r="I202" s="226" t="s">
        <v>3</v>
      </c>
      <c r="J202" s="226" t="s">
        <v>3</v>
      </c>
      <c r="K202" s="226" t="s">
        <v>3</v>
      </c>
      <c r="L202" s="226" t="s">
        <v>3</v>
      </c>
      <c r="M202" s="226" t="s">
        <v>3</v>
      </c>
      <c r="N202" s="226" t="s">
        <v>3</v>
      </c>
      <c r="O202" s="226" t="s">
        <v>3</v>
      </c>
      <c r="P202" s="226" t="s">
        <v>3</v>
      </c>
      <c r="Q202" s="226" t="s">
        <v>3</v>
      </c>
      <c r="R202" s="226" t="s">
        <v>3</v>
      </c>
      <c r="S202" s="226" t="s">
        <v>3</v>
      </c>
      <c r="T202" s="226" t="s">
        <v>3</v>
      </c>
      <c r="U202" s="226" t="s">
        <v>3</v>
      </c>
      <c r="V202" s="226" t="s">
        <v>3</v>
      </c>
      <c r="W202" s="226" t="s">
        <v>3</v>
      </c>
      <c r="X202" s="226" t="s">
        <v>3</v>
      </c>
      <c r="Y202" s="226" t="s">
        <v>3</v>
      </c>
      <c r="Z202" s="227" t="s">
        <v>3</v>
      </c>
      <c r="AB202"/>
      <c r="AC202"/>
      <c r="AD202"/>
      <c r="AE202"/>
      <c r="AF202"/>
      <c r="AG202"/>
      <c r="AH202"/>
      <c r="AI202"/>
      <c r="AJ202"/>
      <c r="AK202"/>
      <c r="AL202"/>
      <c r="AM202"/>
      <c r="AN202"/>
      <c r="AO202"/>
      <c r="AP202"/>
      <c r="AQ202"/>
      <c r="AR202"/>
      <c r="AS202"/>
    </row>
    <row r="203" spans="1:45" ht="14.45" customHeight="1">
      <c r="A203" s="708"/>
      <c r="B203" s="734"/>
      <c r="C203" s="737"/>
      <c r="D203" s="750"/>
      <c r="E203" s="721"/>
      <c r="F203" s="724"/>
      <c r="G203" s="224" t="s">
        <v>67</v>
      </c>
      <c r="H203" s="229">
        <f t="shared" ref="H203" si="397">SUM(I203:Z203)</f>
        <v>95</v>
      </c>
      <c r="I203" s="226">
        <f t="shared" ref="I203:Z203" si="398">IF(I204="","",I198+I204)</f>
        <v>4</v>
      </c>
      <c r="J203" s="226">
        <f t="shared" si="398"/>
        <v>7</v>
      </c>
      <c r="K203" s="226">
        <f t="shared" si="398"/>
        <v>4</v>
      </c>
      <c r="L203" s="226">
        <f t="shared" si="398"/>
        <v>5</v>
      </c>
      <c r="M203" s="226">
        <f t="shared" si="398"/>
        <v>6</v>
      </c>
      <c r="N203" s="226">
        <f t="shared" si="398"/>
        <v>7</v>
      </c>
      <c r="O203" s="226">
        <f t="shared" si="398"/>
        <v>5</v>
      </c>
      <c r="P203" s="226">
        <f t="shared" si="398"/>
        <v>5</v>
      </c>
      <c r="Q203" s="226">
        <f t="shared" si="398"/>
        <v>6</v>
      </c>
      <c r="R203" s="226">
        <f t="shared" si="398"/>
        <v>4</v>
      </c>
      <c r="S203" s="226">
        <f t="shared" si="398"/>
        <v>5</v>
      </c>
      <c r="T203" s="226">
        <f t="shared" si="398"/>
        <v>4</v>
      </c>
      <c r="U203" s="226">
        <f t="shared" si="398"/>
        <v>5</v>
      </c>
      <c r="V203" s="226">
        <f t="shared" si="398"/>
        <v>5</v>
      </c>
      <c r="W203" s="226">
        <f t="shared" si="398"/>
        <v>5</v>
      </c>
      <c r="X203" s="226">
        <f t="shared" si="398"/>
        <v>4</v>
      </c>
      <c r="Y203" s="226">
        <f t="shared" si="398"/>
        <v>9</v>
      </c>
      <c r="Z203" s="227">
        <f t="shared" si="398"/>
        <v>5</v>
      </c>
      <c r="AB203" s="292"/>
      <c r="AC203" s="292"/>
      <c r="AD203" s="292"/>
      <c r="AE203" s="292"/>
      <c r="AF203" s="292"/>
      <c r="AG203" s="292"/>
      <c r="AH203" s="292"/>
      <c r="AI203" s="292"/>
      <c r="AJ203" s="292"/>
      <c r="AK203" s="292"/>
      <c r="AL203" s="292"/>
      <c r="AM203" s="292"/>
      <c r="AN203" s="292"/>
      <c r="AO203" s="292"/>
      <c r="AP203" s="292"/>
      <c r="AQ203" s="292"/>
      <c r="AR203" s="292"/>
      <c r="AS203" s="292"/>
    </row>
    <row r="204" spans="1:45" ht="14.45" customHeight="1">
      <c r="A204" s="709"/>
      <c r="B204" s="735"/>
      <c r="C204" s="738"/>
      <c r="D204" s="751"/>
      <c r="E204" s="722"/>
      <c r="F204" s="725"/>
      <c r="G204" s="230" t="s">
        <v>143</v>
      </c>
      <c r="H204" s="231" t="str">
        <f t="shared" ref="H204" si="399">IF(SUM(I204:Z204)&gt;0,"+"&amp;SUM(I204:Z204),SUM(I204:Z204))</f>
        <v>+23</v>
      </c>
      <c r="I204" s="235">
        <v>0</v>
      </c>
      <c r="J204" s="231">
        <v>2</v>
      </c>
      <c r="K204" s="233">
        <v>1</v>
      </c>
      <c r="L204" s="233">
        <v>1</v>
      </c>
      <c r="M204" s="231">
        <v>2</v>
      </c>
      <c r="N204" s="231">
        <v>3</v>
      </c>
      <c r="O204" s="231">
        <v>2</v>
      </c>
      <c r="P204" s="233">
        <v>1</v>
      </c>
      <c r="Q204" s="233">
        <v>1</v>
      </c>
      <c r="R204" s="235">
        <v>0</v>
      </c>
      <c r="S204" s="233">
        <v>1</v>
      </c>
      <c r="T204" s="235">
        <v>0</v>
      </c>
      <c r="U204" s="231">
        <v>2</v>
      </c>
      <c r="V204" s="235">
        <v>0</v>
      </c>
      <c r="W204" s="233">
        <v>1</v>
      </c>
      <c r="X204" s="233">
        <v>1</v>
      </c>
      <c r="Y204" s="231">
        <v>4</v>
      </c>
      <c r="Z204" s="236">
        <v>1</v>
      </c>
    </row>
    <row r="205" spans="1:45" ht="14.45" customHeight="1">
      <c r="A205" s="707">
        <v>30</v>
      </c>
      <c r="B205" s="733">
        <v>45520</v>
      </c>
      <c r="C205" s="736">
        <v>0.30763888888888891</v>
      </c>
      <c r="D205" s="743" t="s">
        <v>155</v>
      </c>
      <c r="E205" s="720" t="s">
        <v>277</v>
      </c>
      <c r="F205" s="723" t="s">
        <v>2409</v>
      </c>
      <c r="G205" s="221" t="s">
        <v>137</v>
      </c>
      <c r="H205" s="222">
        <f t="shared" ref="H205:H206" si="400">SUM(I205:Z205)</f>
        <v>72</v>
      </c>
      <c r="I205" s="222">
        <v>4</v>
      </c>
      <c r="J205" s="222">
        <v>4</v>
      </c>
      <c r="K205" s="222">
        <v>3</v>
      </c>
      <c r="L205" s="222">
        <v>5</v>
      </c>
      <c r="M205" s="222">
        <v>4</v>
      </c>
      <c r="N205" s="222">
        <v>3</v>
      </c>
      <c r="O205" s="222">
        <v>5</v>
      </c>
      <c r="P205" s="222">
        <v>4</v>
      </c>
      <c r="Q205" s="222">
        <v>4</v>
      </c>
      <c r="R205" s="222">
        <v>4</v>
      </c>
      <c r="S205" s="222">
        <v>4</v>
      </c>
      <c r="T205" s="222">
        <v>3</v>
      </c>
      <c r="U205" s="222">
        <v>4</v>
      </c>
      <c r="V205" s="222">
        <v>5</v>
      </c>
      <c r="W205" s="222">
        <v>5</v>
      </c>
      <c r="X205" s="222">
        <v>3</v>
      </c>
      <c r="Y205" s="222">
        <v>4</v>
      </c>
      <c r="Z205" s="223">
        <v>4</v>
      </c>
    </row>
    <row r="206" spans="1:45" ht="14.45" customHeight="1">
      <c r="A206" s="708"/>
      <c r="B206" s="734"/>
      <c r="C206" s="737"/>
      <c r="D206" s="744"/>
      <c r="E206" s="721"/>
      <c r="F206" s="724"/>
      <c r="G206" s="224" t="s">
        <v>160</v>
      </c>
      <c r="H206" s="225">
        <f t="shared" si="400"/>
        <v>6032.2968000000001</v>
      </c>
      <c r="I206" s="226">
        <v>352.04399999999998</v>
      </c>
      <c r="J206" s="226">
        <v>390.44880000000001</v>
      </c>
      <c r="K206" s="226">
        <v>158.19120000000001</v>
      </c>
      <c r="L206" s="226">
        <v>481.8888</v>
      </c>
      <c r="M206" s="226">
        <v>327.35520000000002</v>
      </c>
      <c r="N206" s="226">
        <v>136.2456</v>
      </c>
      <c r="O206" s="226">
        <v>527.60879999999997</v>
      </c>
      <c r="P206" s="226">
        <v>370.33199999999999</v>
      </c>
      <c r="Q206" s="226">
        <v>363.01679999999999</v>
      </c>
      <c r="R206" s="226">
        <v>327.35520000000002</v>
      </c>
      <c r="S206" s="226">
        <v>341.07119999999998</v>
      </c>
      <c r="T206" s="226">
        <v>159.10560000000001</v>
      </c>
      <c r="U206" s="226">
        <v>350.21519999999998</v>
      </c>
      <c r="V206" s="226">
        <v>457.2</v>
      </c>
      <c r="W206" s="226">
        <v>481.8888</v>
      </c>
      <c r="X206" s="226">
        <v>136.2456</v>
      </c>
      <c r="Y206" s="226">
        <v>333.75599999999997</v>
      </c>
      <c r="Z206" s="227">
        <v>338.32799999999997</v>
      </c>
    </row>
    <row r="207" spans="1:45" ht="14.45" customHeight="1">
      <c r="A207" s="708"/>
      <c r="B207" s="734"/>
      <c r="C207" s="737"/>
      <c r="D207" s="744"/>
      <c r="E207" s="721"/>
      <c r="F207" s="724"/>
      <c r="G207" s="224" t="s">
        <v>138</v>
      </c>
      <c r="H207" s="228" t="str">
        <f t="shared" ref="H207" si="401">IF(I209="N/A","N/A",IF(COUNTIF(I207:Z207,"Y")/14=0,"N/A",COUNTIF(I207:Z207,"Y")/(COUNTIF(I207:Z207,"Y")+COUNTIF(I207:Z207,"N"))))</f>
        <v>N/A</v>
      </c>
      <c r="I207" s="226" t="s">
        <v>2</v>
      </c>
      <c r="J207" s="226" t="s">
        <v>2</v>
      </c>
      <c r="K207" s="226" t="s">
        <v>2</v>
      </c>
      <c r="L207" s="226" t="s">
        <v>2</v>
      </c>
      <c r="M207" s="226" t="s">
        <v>2</v>
      </c>
      <c r="N207" s="226" t="s">
        <v>2</v>
      </c>
      <c r="O207" s="226" t="s">
        <v>2</v>
      </c>
      <c r="P207" s="226" t="s">
        <v>2</v>
      </c>
      <c r="Q207" s="226" t="s">
        <v>2</v>
      </c>
      <c r="R207" s="226" t="s">
        <v>2</v>
      </c>
      <c r="S207" s="226" t="s">
        <v>2</v>
      </c>
      <c r="T207" s="226" t="s">
        <v>2</v>
      </c>
      <c r="U207" s="226" t="s">
        <v>2</v>
      </c>
      <c r="V207" s="226" t="s">
        <v>2</v>
      </c>
      <c r="W207" s="226" t="s">
        <v>2</v>
      </c>
      <c r="X207" s="226" t="s">
        <v>2</v>
      </c>
      <c r="Y207" s="226" t="s">
        <v>2</v>
      </c>
      <c r="Z207" s="227" t="s">
        <v>2</v>
      </c>
    </row>
    <row r="208" spans="1:45" ht="14.45" customHeight="1">
      <c r="A208" s="708"/>
      <c r="B208" s="734"/>
      <c r="C208" s="737"/>
      <c r="D208" s="744"/>
      <c r="E208" s="721"/>
      <c r="F208" s="724"/>
      <c r="G208" s="224" t="s">
        <v>145</v>
      </c>
      <c r="H208" s="228" t="str">
        <f t="shared" ref="H208" si="402">IFERROR(IF(I209="N/A","N/A",COUNTIF(I208:Z208,"Y")/(COUNTIF(I208:Z208,"Y")+COUNTIF(I208:Z208,"N"))),"N/A")</f>
        <v>N/A</v>
      </c>
      <c r="I208" s="226" t="s">
        <v>2</v>
      </c>
      <c r="J208" s="226" t="s">
        <v>2</v>
      </c>
      <c r="K208" s="226" t="s">
        <v>2</v>
      </c>
      <c r="L208" s="226" t="s">
        <v>2</v>
      </c>
      <c r="M208" s="226" t="s">
        <v>2</v>
      </c>
      <c r="N208" s="226" t="s">
        <v>2</v>
      </c>
      <c r="O208" s="226" t="s">
        <v>2</v>
      </c>
      <c r="P208" s="226" t="s">
        <v>2</v>
      </c>
      <c r="Q208" s="226" t="s">
        <v>2</v>
      </c>
      <c r="R208" s="226" t="s">
        <v>2</v>
      </c>
      <c r="S208" s="226" t="s">
        <v>2</v>
      </c>
      <c r="T208" s="226" t="s">
        <v>2</v>
      </c>
      <c r="U208" s="226" t="s">
        <v>2</v>
      </c>
      <c r="V208" s="226" t="s">
        <v>2</v>
      </c>
      <c r="W208" s="226" t="s">
        <v>2</v>
      </c>
      <c r="X208" s="226" t="s">
        <v>2</v>
      </c>
      <c r="Y208" s="226" t="s">
        <v>2</v>
      </c>
      <c r="Z208" s="227" t="s">
        <v>2</v>
      </c>
    </row>
    <row r="209" spans="1:26" ht="14.45" customHeight="1">
      <c r="A209" s="708"/>
      <c r="B209" s="734"/>
      <c r="C209" s="737"/>
      <c r="D209" s="744"/>
      <c r="E209" s="721"/>
      <c r="F209" s="724"/>
      <c r="G209" s="224" t="s">
        <v>139</v>
      </c>
      <c r="H209" s="226" t="str">
        <f t="shared" ref="H209" si="403">IF(I209="N/A","N/A",SUM(I209:Z209))</f>
        <v>N/A</v>
      </c>
      <c r="I209" s="226" t="s">
        <v>3</v>
      </c>
      <c r="J209" s="226" t="s">
        <v>3</v>
      </c>
      <c r="K209" s="226" t="s">
        <v>3</v>
      </c>
      <c r="L209" s="226" t="s">
        <v>3</v>
      </c>
      <c r="M209" s="226" t="s">
        <v>3</v>
      </c>
      <c r="N209" s="226" t="s">
        <v>3</v>
      </c>
      <c r="O209" s="226" t="s">
        <v>3</v>
      </c>
      <c r="P209" s="226" t="s">
        <v>3</v>
      </c>
      <c r="Q209" s="226" t="s">
        <v>3</v>
      </c>
      <c r="R209" s="226" t="s">
        <v>3</v>
      </c>
      <c r="S209" s="226" t="s">
        <v>3</v>
      </c>
      <c r="T209" s="226" t="s">
        <v>3</v>
      </c>
      <c r="U209" s="226" t="s">
        <v>3</v>
      </c>
      <c r="V209" s="226" t="s">
        <v>3</v>
      </c>
      <c r="W209" s="226" t="s">
        <v>3</v>
      </c>
      <c r="X209" s="226" t="s">
        <v>3</v>
      </c>
      <c r="Y209" s="226" t="s">
        <v>3</v>
      </c>
      <c r="Z209" s="227" t="s">
        <v>3</v>
      </c>
    </row>
    <row r="210" spans="1:26" ht="14.45" customHeight="1">
      <c r="A210" s="708"/>
      <c r="B210" s="734"/>
      <c r="C210" s="737"/>
      <c r="D210" s="744"/>
      <c r="E210" s="721"/>
      <c r="F210" s="724"/>
      <c r="G210" s="224" t="s">
        <v>67</v>
      </c>
      <c r="H210" s="229">
        <f t="shared" ref="H210" si="404">SUM(I210:Z210)</f>
        <v>96</v>
      </c>
      <c r="I210" s="226">
        <f t="shared" ref="I210:Z210" si="405">IF(I211="","",I205+I211)</f>
        <v>7</v>
      </c>
      <c r="J210" s="226">
        <f t="shared" si="405"/>
        <v>4</v>
      </c>
      <c r="K210" s="226">
        <f t="shared" si="405"/>
        <v>3</v>
      </c>
      <c r="L210" s="226">
        <f t="shared" si="405"/>
        <v>5</v>
      </c>
      <c r="M210" s="226">
        <f t="shared" si="405"/>
        <v>6</v>
      </c>
      <c r="N210" s="226">
        <f t="shared" si="405"/>
        <v>4</v>
      </c>
      <c r="O210" s="226">
        <f t="shared" si="405"/>
        <v>6</v>
      </c>
      <c r="P210" s="226">
        <f t="shared" si="405"/>
        <v>6</v>
      </c>
      <c r="Q210" s="226">
        <f t="shared" si="405"/>
        <v>8</v>
      </c>
      <c r="R210" s="226">
        <f t="shared" si="405"/>
        <v>6</v>
      </c>
      <c r="S210" s="226">
        <f t="shared" si="405"/>
        <v>6</v>
      </c>
      <c r="T210" s="226">
        <f t="shared" si="405"/>
        <v>5</v>
      </c>
      <c r="U210" s="226">
        <f t="shared" si="405"/>
        <v>4</v>
      </c>
      <c r="V210" s="226">
        <f t="shared" si="405"/>
        <v>7</v>
      </c>
      <c r="W210" s="226">
        <f t="shared" si="405"/>
        <v>5</v>
      </c>
      <c r="X210" s="226">
        <f t="shared" si="405"/>
        <v>4</v>
      </c>
      <c r="Y210" s="226">
        <f t="shared" si="405"/>
        <v>6</v>
      </c>
      <c r="Z210" s="227">
        <f t="shared" si="405"/>
        <v>4</v>
      </c>
    </row>
    <row r="211" spans="1:26" ht="14.45" customHeight="1">
      <c r="A211" s="709"/>
      <c r="B211" s="735"/>
      <c r="C211" s="738"/>
      <c r="D211" s="745"/>
      <c r="E211" s="722"/>
      <c r="F211" s="725"/>
      <c r="G211" s="230" t="s">
        <v>143</v>
      </c>
      <c r="H211" s="231" t="str">
        <f t="shared" ref="H211" si="406">IF(SUM(I211:Z211)&gt;0,"+"&amp;SUM(I211:Z211),SUM(I211:Z211))</f>
        <v>+24</v>
      </c>
      <c r="I211" s="231">
        <v>3</v>
      </c>
      <c r="J211" s="235">
        <v>0</v>
      </c>
      <c r="K211" s="235">
        <v>0</v>
      </c>
      <c r="L211" s="235">
        <v>0</v>
      </c>
      <c r="M211" s="231">
        <v>2</v>
      </c>
      <c r="N211" s="233">
        <v>1</v>
      </c>
      <c r="O211" s="233">
        <v>1</v>
      </c>
      <c r="P211" s="231">
        <v>2</v>
      </c>
      <c r="Q211" s="232">
        <v>4</v>
      </c>
      <c r="R211" s="231">
        <v>2</v>
      </c>
      <c r="S211" s="231">
        <v>2</v>
      </c>
      <c r="T211" s="231">
        <v>2</v>
      </c>
      <c r="U211" s="235">
        <v>0</v>
      </c>
      <c r="V211" s="231">
        <v>2</v>
      </c>
      <c r="W211" s="235">
        <v>0</v>
      </c>
      <c r="X211" s="233">
        <v>1</v>
      </c>
      <c r="Y211" s="231">
        <v>2</v>
      </c>
      <c r="Z211" s="260">
        <v>0</v>
      </c>
    </row>
    <row r="212" spans="1:26" ht="14.45" customHeight="1">
      <c r="A212" s="707">
        <v>31</v>
      </c>
      <c r="B212" s="733">
        <v>45554</v>
      </c>
      <c r="C212" s="736">
        <v>0.2722222222222222</v>
      </c>
      <c r="D212" s="743" t="s">
        <v>1950</v>
      </c>
      <c r="E212" s="720" t="s">
        <v>2411</v>
      </c>
      <c r="F212" s="723" t="s">
        <v>2451</v>
      </c>
      <c r="G212" s="221" t="s">
        <v>137</v>
      </c>
      <c r="H212" s="222">
        <f t="shared" ref="H212:H276" si="407">SUM(I212:Z212)</f>
        <v>72</v>
      </c>
      <c r="I212" s="222">
        <v>5</v>
      </c>
      <c r="J212" s="222">
        <v>3</v>
      </c>
      <c r="K212" s="222">
        <v>4</v>
      </c>
      <c r="L212" s="222">
        <v>4</v>
      </c>
      <c r="M212" s="222">
        <v>4</v>
      </c>
      <c r="N212" s="222">
        <v>4</v>
      </c>
      <c r="O212" s="222">
        <v>3</v>
      </c>
      <c r="P212" s="222">
        <v>4</v>
      </c>
      <c r="Q212" s="222">
        <v>5</v>
      </c>
      <c r="R212" s="222">
        <v>4</v>
      </c>
      <c r="S212" s="222">
        <v>3</v>
      </c>
      <c r="T212" s="222">
        <v>4</v>
      </c>
      <c r="U212" s="222">
        <v>5</v>
      </c>
      <c r="V212" s="222">
        <v>3</v>
      </c>
      <c r="W212" s="222">
        <v>4</v>
      </c>
      <c r="X212" s="222">
        <v>5</v>
      </c>
      <c r="Y212" s="222">
        <v>4</v>
      </c>
      <c r="Z212" s="223">
        <v>4</v>
      </c>
    </row>
    <row r="213" spans="1:26" ht="14.45" customHeight="1">
      <c r="A213" s="708"/>
      <c r="B213" s="734"/>
      <c r="C213" s="737"/>
      <c r="D213" s="744"/>
      <c r="E213" s="721"/>
      <c r="F213" s="724"/>
      <c r="G213" s="224" t="s">
        <v>160</v>
      </c>
      <c r="H213" s="225">
        <f t="shared" si="407"/>
        <v>6009.4367999999995</v>
      </c>
      <c r="I213" s="226">
        <v>498.34800000000001</v>
      </c>
      <c r="J213" s="226">
        <v>145.3896</v>
      </c>
      <c r="K213" s="226">
        <v>374.904</v>
      </c>
      <c r="L213" s="226">
        <v>321.86880000000002</v>
      </c>
      <c r="M213" s="226">
        <v>323.69760000000002</v>
      </c>
      <c r="N213" s="226">
        <v>404.16480000000001</v>
      </c>
      <c r="O213" s="226">
        <v>142.6464</v>
      </c>
      <c r="P213" s="226">
        <v>327.35520000000002</v>
      </c>
      <c r="Q213" s="226">
        <v>460.85759999999999</v>
      </c>
      <c r="R213" s="226">
        <v>360.27359999999999</v>
      </c>
      <c r="S213" s="226">
        <v>160.02000000000001</v>
      </c>
      <c r="T213" s="226">
        <v>405.07920000000001</v>
      </c>
      <c r="U213" s="226">
        <v>470.916</v>
      </c>
      <c r="V213" s="226">
        <v>141.732</v>
      </c>
      <c r="W213" s="226">
        <v>334.67039999999997</v>
      </c>
      <c r="X213" s="226">
        <v>466.34399999999999</v>
      </c>
      <c r="Y213" s="226">
        <v>306.32400000000001</v>
      </c>
      <c r="Z213" s="227">
        <v>364.84559999999999</v>
      </c>
    </row>
    <row r="214" spans="1:26" ht="14.45" customHeight="1">
      <c r="A214" s="708"/>
      <c r="B214" s="734"/>
      <c r="C214" s="737"/>
      <c r="D214" s="744"/>
      <c r="E214" s="721"/>
      <c r="F214" s="724"/>
      <c r="G214" s="224" t="s">
        <v>138</v>
      </c>
      <c r="H214" s="228" t="str">
        <f t="shared" ref="H214:H277" si="408">IF(I216="N/A","N/A",IF(COUNTIF(I214:Z214,"Y")/14=0,"N/A",COUNTIF(I214:Z214,"Y")/(COUNTIF(I214:Z214,"Y")+COUNTIF(I214:Z214,"N"))))</f>
        <v>N/A</v>
      </c>
      <c r="I214" s="226" t="s">
        <v>2</v>
      </c>
      <c r="J214" s="226" t="s">
        <v>2</v>
      </c>
      <c r="K214" s="226" t="s">
        <v>2</v>
      </c>
      <c r="L214" s="226" t="s">
        <v>2</v>
      </c>
      <c r="M214" s="226" t="s">
        <v>2</v>
      </c>
      <c r="N214" s="226" t="s">
        <v>2</v>
      </c>
      <c r="O214" s="226" t="s">
        <v>2</v>
      </c>
      <c r="P214" s="226" t="s">
        <v>2</v>
      </c>
      <c r="Q214" s="226" t="s">
        <v>2</v>
      </c>
      <c r="R214" s="226" t="s">
        <v>2</v>
      </c>
      <c r="S214" s="226" t="s">
        <v>2</v>
      </c>
      <c r="T214" s="226" t="s">
        <v>2</v>
      </c>
      <c r="U214" s="226" t="s">
        <v>2</v>
      </c>
      <c r="V214" s="226" t="s">
        <v>2</v>
      </c>
      <c r="W214" s="226" t="s">
        <v>2</v>
      </c>
      <c r="X214" s="226" t="s">
        <v>2</v>
      </c>
      <c r="Y214" s="226" t="s">
        <v>2</v>
      </c>
      <c r="Z214" s="227" t="s">
        <v>2</v>
      </c>
    </row>
    <row r="215" spans="1:26" ht="14.45" customHeight="1">
      <c r="A215" s="708"/>
      <c r="B215" s="734"/>
      <c r="C215" s="737"/>
      <c r="D215" s="744"/>
      <c r="E215" s="721"/>
      <c r="F215" s="724"/>
      <c r="G215" s="224" t="s">
        <v>145</v>
      </c>
      <c r="H215" s="228" t="str">
        <f t="shared" ref="H215" si="409">IFERROR(IF(I216="N/A","N/A",COUNTIF(I215:Z215,"Y")/(COUNTIF(I215:Z215,"Y")+COUNTIF(I215:Z215,"N"))),"N/A")</f>
        <v>N/A</v>
      </c>
      <c r="I215" s="226" t="s">
        <v>2</v>
      </c>
      <c r="J215" s="226" t="s">
        <v>2</v>
      </c>
      <c r="K215" s="226" t="s">
        <v>2</v>
      </c>
      <c r="L215" s="226" t="s">
        <v>2</v>
      </c>
      <c r="M215" s="226" t="s">
        <v>2</v>
      </c>
      <c r="N215" s="226" t="s">
        <v>2</v>
      </c>
      <c r="O215" s="226" t="s">
        <v>2</v>
      </c>
      <c r="P215" s="226" t="s">
        <v>2</v>
      </c>
      <c r="Q215" s="226" t="s">
        <v>2</v>
      </c>
      <c r="R215" s="226" t="s">
        <v>2</v>
      </c>
      <c r="S215" s="226" t="s">
        <v>2</v>
      </c>
      <c r="T215" s="226" t="s">
        <v>2</v>
      </c>
      <c r="U215" s="226" t="s">
        <v>2</v>
      </c>
      <c r="V215" s="226" t="s">
        <v>2</v>
      </c>
      <c r="W215" s="226" t="s">
        <v>2</v>
      </c>
      <c r="X215" s="226" t="s">
        <v>2</v>
      </c>
      <c r="Y215" s="226" t="s">
        <v>2</v>
      </c>
      <c r="Z215" s="227" t="s">
        <v>2</v>
      </c>
    </row>
    <row r="216" spans="1:26" ht="14.45" customHeight="1">
      <c r="A216" s="708"/>
      <c r="B216" s="734"/>
      <c r="C216" s="737"/>
      <c r="D216" s="744"/>
      <c r="E216" s="721"/>
      <c r="F216" s="724"/>
      <c r="G216" s="224" t="s">
        <v>139</v>
      </c>
      <c r="H216" s="226" t="str">
        <f t="shared" ref="H216:H279" si="410">IF(I216="N/A","N/A",SUM(I216:Z216))</f>
        <v>N/A</v>
      </c>
      <c r="I216" s="226" t="s">
        <v>3</v>
      </c>
      <c r="J216" s="226" t="s">
        <v>3</v>
      </c>
      <c r="K216" s="226" t="s">
        <v>3</v>
      </c>
      <c r="L216" s="226" t="s">
        <v>3</v>
      </c>
      <c r="M216" s="226" t="s">
        <v>3</v>
      </c>
      <c r="N216" s="226" t="s">
        <v>3</v>
      </c>
      <c r="O216" s="226" t="s">
        <v>3</v>
      </c>
      <c r="P216" s="226" t="s">
        <v>3</v>
      </c>
      <c r="Q216" s="226" t="s">
        <v>3</v>
      </c>
      <c r="R216" s="226" t="s">
        <v>3</v>
      </c>
      <c r="S216" s="226" t="s">
        <v>3</v>
      </c>
      <c r="T216" s="226" t="s">
        <v>3</v>
      </c>
      <c r="U216" s="226" t="s">
        <v>3</v>
      </c>
      <c r="V216" s="226" t="s">
        <v>3</v>
      </c>
      <c r="W216" s="226" t="s">
        <v>3</v>
      </c>
      <c r="X216" s="226" t="s">
        <v>3</v>
      </c>
      <c r="Y216" s="226" t="s">
        <v>3</v>
      </c>
      <c r="Z216" s="227" t="s">
        <v>3</v>
      </c>
    </row>
    <row r="217" spans="1:26" ht="14.45" customHeight="1">
      <c r="A217" s="708"/>
      <c r="B217" s="734"/>
      <c r="C217" s="737"/>
      <c r="D217" s="744"/>
      <c r="E217" s="721"/>
      <c r="F217" s="724"/>
      <c r="G217" s="224" t="s">
        <v>67</v>
      </c>
      <c r="H217" s="229">
        <f t="shared" ref="H217:H280" si="411">SUM(I217:Z217)</f>
        <v>106</v>
      </c>
      <c r="I217" s="226">
        <f t="shared" ref="I217" si="412">IF(I218="","",I212+I218)</f>
        <v>7</v>
      </c>
      <c r="J217" s="226">
        <f t="shared" ref="J217" si="413">IF(J218="","",J212+J218)</f>
        <v>3</v>
      </c>
      <c r="K217" s="226">
        <f t="shared" ref="K217" si="414">IF(K218="","",K212+K218)</f>
        <v>6</v>
      </c>
      <c r="L217" s="226">
        <f t="shared" ref="L217" si="415">IF(L218="","",L212+L218)</f>
        <v>5</v>
      </c>
      <c r="M217" s="226">
        <f t="shared" ref="M217" si="416">IF(M218="","",M212+M218)</f>
        <v>6</v>
      </c>
      <c r="N217" s="226">
        <f t="shared" ref="N217" si="417">IF(N218="","",N212+N218)</f>
        <v>8</v>
      </c>
      <c r="O217" s="226">
        <f t="shared" ref="O217" si="418">IF(O218="","",O212+O218)</f>
        <v>5</v>
      </c>
      <c r="P217" s="226">
        <f t="shared" ref="P217" si="419">IF(P218="","",P212+P218)</f>
        <v>7</v>
      </c>
      <c r="Q217" s="226">
        <f t="shared" ref="Q217" si="420">IF(Q218="","",Q212+Q218)</f>
        <v>5</v>
      </c>
      <c r="R217" s="226">
        <f t="shared" ref="R217" si="421">IF(R218="","",R212+R218)</f>
        <v>6</v>
      </c>
      <c r="S217" s="226">
        <f t="shared" ref="S217" si="422">IF(S218="","",S212+S218)</f>
        <v>4</v>
      </c>
      <c r="T217" s="226">
        <f t="shared" ref="T217" si="423">IF(T218="","",T212+T218)</f>
        <v>7</v>
      </c>
      <c r="U217" s="226">
        <f t="shared" ref="U217" si="424">IF(U218="","",U212+U218)</f>
        <v>6</v>
      </c>
      <c r="V217" s="226">
        <f t="shared" ref="V217" si="425">IF(V218="","",V212+V218)</f>
        <v>5</v>
      </c>
      <c r="W217" s="226">
        <f t="shared" ref="W217" si="426">IF(W218="","",W212+W218)</f>
        <v>6</v>
      </c>
      <c r="X217" s="226">
        <f t="shared" ref="X217" si="427">IF(X218="","",X212+X218)</f>
        <v>6</v>
      </c>
      <c r="Y217" s="226">
        <f t="shared" ref="Y217" si="428">IF(Y218="","",Y212+Y218)</f>
        <v>8</v>
      </c>
      <c r="Z217" s="227">
        <f t="shared" ref="Z217" si="429">IF(Z218="","",Z212+Z218)</f>
        <v>6</v>
      </c>
    </row>
    <row r="218" spans="1:26" ht="14.45" customHeight="1">
      <c r="A218" s="709"/>
      <c r="B218" s="735"/>
      <c r="C218" s="738"/>
      <c r="D218" s="745"/>
      <c r="E218" s="722"/>
      <c r="F218" s="725"/>
      <c r="G218" s="230" t="s">
        <v>143</v>
      </c>
      <c r="H218" s="231" t="str">
        <f t="shared" ref="H218:H281" si="430">IF(SUM(I218:Z218)&gt;0,"+"&amp;SUM(I218:Z218),SUM(I218:Z218))</f>
        <v>+34</v>
      </c>
      <c r="I218" s="231">
        <v>2</v>
      </c>
      <c r="J218" s="235">
        <v>0</v>
      </c>
      <c r="K218" s="231">
        <v>2</v>
      </c>
      <c r="L218" s="233">
        <v>1</v>
      </c>
      <c r="M218" s="231">
        <v>2</v>
      </c>
      <c r="N218" s="232">
        <v>4</v>
      </c>
      <c r="O218" s="231">
        <v>2</v>
      </c>
      <c r="P218" s="231">
        <v>3</v>
      </c>
      <c r="Q218" s="235">
        <v>0</v>
      </c>
      <c r="R218" s="231">
        <v>2</v>
      </c>
      <c r="S218" s="233">
        <v>1</v>
      </c>
      <c r="T218" s="231">
        <v>3</v>
      </c>
      <c r="U218" s="233">
        <v>1</v>
      </c>
      <c r="V218" s="231">
        <v>2</v>
      </c>
      <c r="W218" s="231">
        <v>2</v>
      </c>
      <c r="X218" s="233">
        <v>1</v>
      </c>
      <c r="Y218" s="232">
        <v>4</v>
      </c>
      <c r="Z218" s="234">
        <v>2</v>
      </c>
    </row>
    <row r="219" spans="1:26" ht="14.45" customHeight="1">
      <c r="A219" s="707">
        <v>32</v>
      </c>
      <c r="B219" s="733">
        <v>45574</v>
      </c>
      <c r="C219" s="736">
        <v>0.34791666666666665</v>
      </c>
      <c r="D219" s="743" t="s">
        <v>150</v>
      </c>
      <c r="E219" s="720" t="s">
        <v>2449</v>
      </c>
      <c r="F219" s="723" t="s">
        <v>2490</v>
      </c>
      <c r="G219" s="221" t="s">
        <v>137</v>
      </c>
      <c r="H219" s="222">
        <f t="shared" si="407"/>
        <v>72</v>
      </c>
      <c r="I219" s="222">
        <v>4</v>
      </c>
      <c r="J219" s="222">
        <v>4</v>
      </c>
      <c r="K219" s="222">
        <v>5</v>
      </c>
      <c r="L219" s="222">
        <v>4</v>
      </c>
      <c r="M219" s="222">
        <v>3</v>
      </c>
      <c r="N219" s="222">
        <v>4</v>
      </c>
      <c r="O219" s="222">
        <v>3</v>
      </c>
      <c r="P219" s="222">
        <v>4</v>
      </c>
      <c r="Q219" s="222">
        <v>5</v>
      </c>
      <c r="R219" s="222">
        <v>4</v>
      </c>
      <c r="S219" s="222">
        <v>4</v>
      </c>
      <c r="T219" s="222">
        <v>5</v>
      </c>
      <c r="U219" s="222">
        <v>4</v>
      </c>
      <c r="V219" s="222">
        <v>4</v>
      </c>
      <c r="W219" s="222">
        <v>3</v>
      </c>
      <c r="X219" s="222">
        <v>5</v>
      </c>
      <c r="Y219" s="222">
        <v>3</v>
      </c>
      <c r="Z219" s="223">
        <v>4</v>
      </c>
    </row>
    <row r="220" spans="1:26" ht="14.45" customHeight="1">
      <c r="A220" s="708"/>
      <c r="B220" s="734"/>
      <c r="C220" s="737"/>
      <c r="D220" s="744"/>
      <c r="E220" s="721"/>
      <c r="F220" s="724"/>
      <c r="G220" s="224" t="s">
        <v>160</v>
      </c>
      <c r="H220" s="225">
        <f t="shared" si="407"/>
        <v>5762</v>
      </c>
      <c r="I220" s="226">
        <v>365</v>
      </c>
      <c r="J220" s="226">
        <v>306</v>
      </c>
      <c r="K220" s="226">
        <v>470</v>
      </c>
      <c r="L220" s="226">
        <v>345</v>
      </c>
      <c r="M220" s="226">
        <v>132</v>
      </c>
      <c r="N220" s="226">
        <v>317</v>
      </c>
      <c r="O220" s="226">
        <v>139</v>
      </c>
      <c r="P220" s="226">
        <v>333</v>
      </c>
      <c r="Q220" s="226">
        <v>509</v>
      </c>
      <c r="R220" s="226">
        <v>343</v>
      </c>
      <c r="S220" s="226">
        <v>320</v>
      </c>
      <c r="T220" s="226">
        <v>448</v>
      </c>
      <c r="U220" s="226">
        <v>305</v>
      </c>
      <c r="V220" s="226">
        <v>342</v>
      </c>
      <c r="W220" s="226">
        <v>160</v>
      </c>
      <c r="X220" s="226">
        <v>425</v>
      </c>
      <c r="Y220" s="226">
        <v>143</v>
      </c>
      <c r="Z220" s="227">
        <v>360</v>
      </c>
    </row>
    <row r="221" spans="1:26" ht="14.45" customHeight="1">
      <c r="A221" s="708"/>
      <c r="B221" s="734"/>
      <c r="C221" s="737"/>
      <c r="D221" s="744"/>
      <c r="E221" s="721"/>
      <c r="F221" s="724"/>
      <c r="G221" s="224" t="s">
        <v>138</v>
      </c>
      <c r="H221" s="228" t="str">
        <f t="shared" si="408"/>
        <v>N/A</v>
      </c>
      <c r="I221" s="226" t="s">
        <v>2</v>
      </c>
      <c r="J221" s="226" t="s">
        <v>2</v>
      </c>
      <c r="K221" s="226" t="s">
        <v>2</v>
      </c>
      <c r="L221" s="226" t="s">
        <v>2</v>
      </c>
      <c r="M221" s="226" t="s">
        <v>2</v>
      </c>
      <c r="N221" s="226" t="s">
        <v>2</v>
      </c>
      <c r="O221" s="226" t="s">
        <v>2</v>
      </c>
      <c r="P221" s="226" t="s">
        <v>2</v>
      </c>
      <c r="Q221" s="226" t="s">
        <v>2</v>
      </c>
      <c r="R221" s="226" t="s">
        <v>2</v>
      </c>
      <c r="S221" s="226" t="s">
        <v>2</v>
      </c>
      <c r="T221" s="226" t="s">
        <v>2</v>
      </c>
      <c r="U221" s="226" t="s">
        <v>2</v>
      </c>
      <c r="V221" s="226" t="s">
        <v>2</v>
      </c>
      <c r="W221" s="226" t="s">
        <v>2</v>
      </c>
      <c r="X221" s="226" t="s">
        <v>2</v>
      </c>
      <c r="Y221" s="226" t="s">
        <v>2</v>
      </c>
      <c r="Z221" s="227" t="s">
        <v>2</v>
      </c>
    </row>
    <row r="222" spans="1:26" ht="14.45" customHeight="1">
      <c r="A222" s="708"/>
      <c r="B222" s="734"/>
      <c r="C222" s="737"/>
      <c r="D222" s="744"/>
      <c r="E222" s="721"/>
      <c r="F222" s="724"/>
      <c r="G222" s="224" t="s">
        <v>145</v>
      </c>
      <c r="H222" s="228" t="str">
        <f t="shared" ref="H222" si="431">IFERROR(IF(I223="N/A","N/A",COUNTIF(I222:Z222,"Y")/(COUNTIF(I222:Z222,"Y")+COUNTIF(I222:Z222,"N"))),"N/A")</f>
        <v>N/A</v>
      </c>
      <c r="I222" s="226" t="s">
        <v>2</v>
      </c>
      <c r="J222" s="226" t="s">
        <v>2</v>
      </c>
      <c r="K222" s="226" t="s">
        <v>2</v>
      </c>
      <c r="L222" s="226" t="s">
        <v>2</v>
      </c>
      <c r="M222" s="226" t="s">
        <v>2</v>
      </c>
      <c r="N222" s="226" t="s">
        <v>2</v>
      </c>
      <c r="O222" s="226" t="s">
        <v>2</v>
      </c>
      <c r="P222" s="226" t="s">
        <v>2</v>
      </c>
      <c r="Q222" s="226" t="s">
        <v>2</v>
      </c>
      <c r="R222" s="226" t="s">
        <v>2</v>
      </c>
      <c r="S222" s="226" t="s">
        <v>2</v>
      </c>
      <c r="T222" s="226" t="s">
        <v>2</v>
      </c>
      <c r="U222" s="226" t="s">
        <v>2</v>
      </c>
      <c r="V222" s="226" t="s">
        <v>2</v>
      </c>
      <c r="W222" s="226" t="s">
        <v>2</v>
      </c>
      <c r="X222" s="226" t="s">
        <v>2</v>
      </c>
      <c r="Y222" s="226" t="s">
        <v>2</v>
      </c>
      <c r="Z222" s="227" t="s">
        <v>2</v>
      </c>
    </row>
    <row r="223" spans="1:26" ht="14.45" customHeight="1">
      <c r="A223" s="708"/>
      <c r="B223" s="734"/>
      <c r="C223" s="737"/>
      <c r="D223" s="744"/>
      <c r="E223" s="721"/>
      <c r="F223" s="724"/>
      <c r="G223" s="224" t="s">
        <v>139</v>
      </c>
      <c r="H223" s="226" t="str">
        <f t="shared" si="410"/>
        <v>N/A</v>
      </c>
      <c r="I223" s="226" t="s">
        <v>3</v>
      </c>
      <c r="J223" s="226" t="s">
        <v>3</v>
      </c>
      <c r="K223" s="226" t="s">
        <v>3</v>
      </c>
      <c r="L223" s="226" t="s">
        <v>3</v>
      </c>
      <c r="M223" s="226" t="s">
        <v>3</v>
      </c>
      <c r="N223" s="226" t="s">
        <v>3</v>
      </c>
      <c r="O223" s="226" t="s">
        <v>3</v>
      </c>
      <c r="P223" s="226" t="s">
        <v>3</v>
      </c>
      <c r="Q223" s="226" t="s">
        <v>3</v>
      </c>
      <c r="R223" s="226" t="s">
        <v>3</v>
      </c>
      <c r="S223" s="226" t="s">
        <v>3</v>
      </c>
      <c r="T223" s="226" t="s">
        <v>3</v>
      </c>
      <c r="U223" s="226" t="s">
        <v>3</v>
      </c>
      <c r="V223" s="226" t="s">
        <v>3</v>
      </c>
      <c r="W223" s="226" t="s">
        <v>3</v>
      </c>
      <c r="X223" s="226" t="s">
        <v>3</v>
      </c>
      <c r="Y223" s="226" t="s">
        <v>3</v>
      </c>
      <c r="Z223" s="227" t="s">
        <v>3</v>
      </c>
    </row>
    <row r="224" spans="1:26" ht="14.45" customHeight="1">
      <c r="A224" s="708"/>
      <c r="B224" s="734"/>
      <c r="C224" s="737"/>
      <c r="D224" s="744"/>
      <c r="E224" s="721"/>
      <c r="F224" s="724"/>
      <c r="G224" s="224" t="s">
        <v>67</v>
      </c>
      <c r="H224" s="229">
        <f t="shared" si="411"/>
        <v>99</v>
      </c>
      <c r="I224" s="226">
        <f t="shared" ref="I224" si="432">IF(I225="","",I219+I225)</f>
        <v>5</v>
      </c>
      <c r="J224" s="226">
        <f t="shared" ref="J224" si="433">IF(J225="","",J219+J225)</f>
        <v>5</v>
      </c>
      <c r="K224" s="226">
        <f t="shared" ref="K224" si="434">IF(K225="","",K219+K225)</f>
        <v>6</v>
      </c>
      <c r="L224" s="226">
        <f t="shared" ref="L224" si="435">IF(L225="","",L219+L225)</f>
        <v>5</v>
      </c>
      <c r="M224" s="226">
        <f t="shared" ref="M224" si="436">IF(M225="","",M219+M225)</f>
        <v>4</v>
      </c>
      <c r="N224" s="226">
        <f t="shared" ref="N224" si="437">IF(N225="","",N219+N225)</f>
        <v>6</v>
      </c>
      <c r="O224" s="226">
        <f t="shared" ref="O224" si="438">IF(O225="","",O219+O225)</f>
        <v>4</v>
      </c>
      <c r="P224" s="226">
        <f t="shared" ref="P224" si="439">IF(P225="","",P219+P225)</f>
        <v>6</v>
      </c>
      <c r="Q224" s="226">
        <f t="shared" ref="Q224" si="440">IF(Q225="","",Q219+Q225)</f>
        <v>6</v>
      </c>
      <c r="R224" s="226">
        <f t="shared" ref="R224" si="441">IF(R225="","",R219+R225)</f>
        <v>7</v>
      </c>
      <c r="S224" s="226">
        <f t="shared" ref="S224" si="442">IF(S225="","",S219+S225)</f>
        <v>8</v>
      </c>
      <c r="T224" s="226">
        <f t="shared" ref="T224" si="443">IF(T225="","",T219+T225)</f>
        <v>6</v>
      </c>
      <c r="U224" s="226">
        <f t="shared" ref="U224" si="444">IF(U225="","",U219+U225)</f>
        <v>5</v>
      </c>
      <c r="V224" s="226">
        <f t="shared" ref="V224" si="445">IF(V225="","",V219+V225)</f>
        <v>5</v>
      </c>
      <c r="W224" s="226">
        <f t="shared" ref="W224" si="446">IF(W225="","",W219+W225)</f>
        <v>5</v>
      </c>
      <c r="X224" s="226">
        <f t="shared" ref="X224" si="447">IF(X225="","",X219+X225)</f>
        <v>10</v>
      </c>
      <c r="Y224" s="226">
        <f t="shared" ref="Y224" si="448">IF(Y225="","",Y219+Y225)</f>
        <v>3</v>
      </c>
      <c r="Z224" s="227">
        <f t="shared" ref="Z224" si="449">IF(Z225="","",Z219+Z225)</f>
        <v>3</v>
      </c>
    </row>
    <row r="225" spans="1:26" ht="14.45" customHeight="1">
      <c r="A225" s="709"/>
      <c r="B225" s="735"/>
      <c r="C225" s="738"/>
      <c r="D225" s="745"/>
      <c r="E225" s="722"/>
      <c r="F225" s="725"/>
      <c r="G225" s="230" t="s">
        <v>143</v>
      </c>
      <c r="H225" s="231" t="str">
        <f t="shared" si="430"/>
        <v>+27</v>
      </c>
      <c r="I225" s="233">
        <v>1</v>
      </c>
      <c r="J225" s="233">
        <v>1</v>
      </c>
      <c r="K225" s="233">
        <v>1</v>
      </c>
      <c r="L225" s="233">
        <v>1</v>
      </c>
      <c r="M225" s="233">
        <v>1</v>
      </c>
      <c r="N225" s="231">
        <v>2</v>
      </c>
      <c r="O225" s="233">
        <v>1</v>
      </c>
      <c r="P225" s="231">
        <v>2</v>
      </c>
      <c r="Q225" s="233">
        <v>1</v>
      </c>
      <c r="R225" s="231">
        <v>3</v>
      </c>
      <c r="S225" s="232">
        <v>4</v>
      </c>
      <c r="T225" s="233">
        <v>1</v>
      </c>
      <c r="U225" s="233">
        <v>1</v>
      </c>
      <c r="V225" s="233">
        <v>1</v>
      </c>
      <c r="W225" s="231">
        <v>2</v>
      </c>
      <c r="X225" s="232">
        <v>5</v>
      </c>
      <c r="Y225" s="235">
        <v>0</v>
      </c>
      <c r="Z225" s="239">
        <v>-1</v>
      </c>
    </row>
    <row r="226" spans="1:26" ht="14.45" customHeight="1">
      <c r="A226" s="707">
        <v>33</v>
      </c>
      <c r="B226" s="710">
        <v>45598</v>
      </c>
      <c r="C226" s="714">
        <v>0.27430555555555558</v>
      </c>
      <c r="D226" s="726" t="s">
        <v>159</v>
      </c>
      <c r="E226" s="720" t="s">
        <v>2086</v>
      </c>
      <c r="F226" s="728" t="s">
        <v>2640</v>
      </c>
      <c r="G226" s="221" t="s">
        <v>137</v>
      </c>
      <c r="H226" s="222">
        <f t="shared" ref="H226:H227" si="450">SUM(I226:Z226)</f>
        <v>72</v>
      </c>
      <c r="I226" s="222">
        <v>5</v>
      </c>
      <c r="J226" s="222">
        <v>4</v>
      </c>
      <c r="K226" s="222">
        <v>3</v>
      </c>
      <c r="L226" s="222">
        <v>4</v>
      </c>
      <c r="M226" s="222">
        <v>4</v>
      </c>
      <c r="N226" s="222">
        <v>5</v>
      </c>
      <c r="O226" s="222">
        <v>3</v>
      </c>
      <c r="P226" s="222">
        <v>4</v>
      </c>
      <c r="Q226" s="222">
        <v>4</v>
      </c>
      <c r="R226" s="222">
        <v>5</v>
      </c>
      <c r="S226" s="222">
        <v>4</v>
      </c>
      <c r="T226" s="222">
        <v>4</v>
      </c>
      <c r="U226" s="222">
        <v>5</v>
      </c>
      <c r="V226" s="222">
        <v>4</v>
      </c>
      <c r="W226" s="222">
        <v>3</v>
      </c>
      <c r="X226" s="222">
        <v>4</v>
      </c>
      <c r="Y226" s="222">
        <v>3</v>
      </c>
      <c r="Z226" s="223">
        <v>4</v>
      </c>
    </row>
    <row r="227" spans="1:26" ht="14.45" customHeight="1">
      <c r="A227" s="708"/>
      <c r="B227" s="711"/>
      <c r="C227" s="715"/>
      <c r="D227" s="718"/>
      <c r="E227" s="721"/>
      <c r="F227" s="729"/>
      <c r="G227" s="224" t="s">
        <v>160</v>
      </c>
      <c r="H227" s="225">
        <f t="shared" si="450"/>
        <v>5681</v>
      </c>
      <c r="I227" s="226">
        <v>452</v>
      </c>
      <c r="J227" s="226">
        <v>354</v>
      </c>
      <c r="K227" s="226">
        <v>149</v>
      </c>
      <c r="L227" s="226">
        <v>330</v>
      </c>
      <c r="M227" s="226">
        <v>296</v>
      </c>
      <c r="N227" s="226">
        <v>447</v>
      </c>
      <c r="O227" s="226">
        <v>156</v>
      </c>
      <c r="P227" s="226">
        <v>321</v>
      </c>
      <c r="Q227" s="226">
        <v>351</v>
      </c>
      <c r="R227" s="226">
        <v>424</v>
      </c>
      <c r="S227" s="226">
        <v>324</v>
      </c>
      <c r="T227" s="226">
        <v>364</v>
      </c>
      <c r="U227" s="226">
        <v>492</v>
      </c>
      <c r="V227" s="226">
        <v>294</v>
      </c>
      <c r="W227" s="226">
        <v>133</v>
      </c>
      <c r="X227" s="226">
        <v>313</v>
      </c>
      <c r="Y227" s="226">
        <v>156</v>
      </c>
      <c r="Z227" s="227">
        <v>325</v>
      </c>
    </row>
    <row r="228" spans="1:26" ht="14.45" customHeight="1">
      <c r="A228" s="708"/>
      <c r="B228" s="712"/>
      <c r="C228" s="715"/>
      <c r="D228" s="718"/>
      <c r="E228" s="721"/>
      <c r="F228" s="712"/>
      <c r="G228" s="224" t="s">
        <v>138</v>
      </c>
      <c r="H228" s="228" t="str">
        <f t="shared" ref="H228" si="451">IF(I230="N/A","N/A",IF(COUNTIF(I228:Z228,"Y")/14=0,"N/A",COUNTIF(I228:Z228,"Y")/(COUNTIF(I228:Z228,"Y")+COUNTIF(I228:Z228,"N"))))</f>
        <v>N/A</v>
      </c>
      <c r="I228" s="226" t="s">
        <v>2</v>
      </c>
      <c r="J228" s="226" t="s">
        <v>2</v>
      </c>
      <c r="K228" s="226" t="s">
        <v>2</v>
      </c>
      <c r="L228" s="226" t="s">
        <v>2</v>
      </c>
      <c r="M228" s="226" t="s">
        <v>2</v>
      </c>
      <c r="N228" s="226" t="s">
        <v>2</v>
      </c>
      <c r="O228" s="226" t="s">
        <v>2</v>
      </c>
      <c r="P228" s="226" t="s">
        <v>2</v>
      </c>
      <c r="Q228" s="226" t="s">
        <v>2</v>
      </c>
      <c r="R228" s="226" t="s">
        <v>2</v>
      </c>
      <c r="S228" s="226" t="s">
        <v>2</v>
      </c>
      <c r="T228" s="226" t="s">
        <v>2</v>
      </c>
      <c r="U228" s="226" t="s">
        <v>2</v>
      </c>
      <c r="V228" s="226" t="s">
        <v>2</v>
      </c>
      <c r="W228" s="226" t="s">
        <v>2</v>
      </c>
      <c r="X228" s="226" t="s">
        <v>2</v>
      </c>
      <c r="Y228" s="226" t="s">
        <v>2</v>
      </c>
      <c r="Z228" s="227" t="s">
        <v>2</v>
      </c>
    </row>
    <row r="229" spans="1:26" ht="14.45" customHeight="1">
      <c r="A229" s="708"/>
      <c r="B229" s="712"/>
      <c r="C229" s="715"/>
      <c r="D229" s="718"/>
      <c r="E229" s="721"/>
      <c r="F229" s="712"/>
      <c r="G229" s="224" t="s">
        <v>145</v>
      </c>
      <c r="H229" s="228" t="str">
        <f t="shared" ref="H229" si="452">IFERROR(IF(I230="N/A","N/A",COUNTIF(I229:Z229,"Y")/(COUNTIF(I229:Z229,"Y")+COUNTIF(I229:Z229,"N"))),"N/A")</f>
        <v>N/A</v>
      </c>
      <c r="I229" s="226" t="s">
        <v>2</v>
      </c>
      <c r="J229" s="226" t="s">
        <v>2</v>
      </c>
      <c r="K229" s="226" t="s">
        <v>2</v>
      </c>
      <c r="L229" s="226" t="s">
        <v>2</v>
      </c>
      <c r="M229" s="226" t="s">
        <v>2</v>
      </c>
      <c r="N229" s="226" t="s">
        <v>2</v>
      </c>
      <c r="O229" s="226" t="s">
        <v>2</v>
      </c>
      <c r="P229" s="226" t="s">
        <v>2</v>
      </c>
      <c r="Q229" s="226" t="s">
        <v>2</v>
      </c>
      <c r="R229" s="226" t="s">
        <v>2</v>
      </c>
      <c r="S229" s="226" t="s">
        <v>2</v>
      </c>
      <c r="T229" s="226" t="s">
        <v>2</v>
      </c>
      <c r="U229" s="226" t="s">
        <v>2</v>
      </c>
      <c r="V229" s="226" t="s">
        <v>2</v>
      </c>
      <c r="W229" s="226" t="s">
        <v>2</v>
      </c>
      <c r="X229" s="226" t="s">
        <v>2</v>
      </c>
      <c r="Y229" s="226" t="s">
        <v>2</v>
      </c>
      <c r="Z229" s="227" t="s">
        <v>2</v>
      </c>
    </row>
    <row r="230" spans="1:26" ht="14.45" customHeight="1">
      <c r="A230" s="708"/>
      <c r="B230" s="712"/>
      <c r="C230" s="715"/>
      <c r="D230" s="718"/>
      <c r="E230" s="721"/>
      <c r="F230" s="712"/>
      <c r="G230" s="224" t="s">
        <v>139</v>
      </c>
      <c r="H230" s="226" t="str">
        <f t="shared" ref="H230" si="453">IF(I230="N/A","N/A",SUM(I230:Z230))</f>
        <v>N/A</v>
      </c>
      <c r="I230" s="226" t="s">
        <v>3</v>
      </c>
      <c r="J230" s="226" t="s">
        <v>3</v>
      </c>
      <c r="K230" s="226" t="s">
        <v>3</v>
      </c>
      <c r="L230" s="226" t="s">
        <v>3</v>
      </c>
      <c r="M230" s="226" t="s">
        <v>3</v>
      </c>
      <c r="N230" s="226" t="s">
        <v>3</v>
      </c>
      <c r="O230" s="226" t="s">
        <v>3</v>
      </c>
      <c r="P230" s="226" t="s">
        <v>3</v>
      </c>
      <c r="Q230" s="226" t="s">
        <v>3</v>
      </c>
      <c r="R230" s="226" t="s">
        <v>3</v>
      </c>
      <c r="S230" s="226" t="s">
        <v>3</v>
      </c>
      <c r="T230" s="226" t="s">
        <v>3</v>
      </c>
      <c r="U230" s="226" t="s">
        <v>3</v>
      </c>
      <c r="V230" s="226" t="s">
        <v>3</v>
      </c>
      <c r="W230" s="226" t="s">
        <v>3</v>
      </c>
      <c r="X230" s="226" t="s">
        <v>3</v>
      </c>
      <c r="Y230" s="226" t="s">
        <v>3</v>
      </c>
      <c r="Z230" s="227" t="s">
        <v>3</v>
      </c>
    </row>
    <row r="231" spans="1:26" ht="14.45" customHeight="1">
      <c r="A231" s="708"/>
      <c r="B231" s="712"/>
      <c r="C231" s="715"/>
      <c r="D231" s="718"/>
      <c r="E231" s="721"/>
      <c r="F231" s="712"/>
      <c r="G231" s="224" t="s">
        <v>67</v>
      </c>
      <c r="H231" s="229">
        <f t="shared" ref="H231" si="454">SUM(I231:Z231)</f>
        <v>99</v>
      </c>
      <c r="I231" s="226">
        <f t="shared" ref="I231:Z231" si="455">IF(I232="","",I226+I232)</f>
        <v>9</v>
      </c>
      <c r="J231" s="226">
        <f t="shared" si="455"/>
        <v>6</v>
      </c>
      <c r="K231" s="226">
        <f t="shared" si="455"/>
        <v>3</v>
      </c>
      <c r="L231" s="226">
        <f t="shared" si="455"/>
        <v>6</v>
      </c>
      <c r="M231" s="226">
        <f t="shared" si="455"/>
        <v>6</v>
      </c>
      <c r="N231" s="226">
        <f t="shared" si="455"/>
        <v>5</v>
      </c>
      <c r="O231" s="226">
        <f t="shared" si="455"/>
        <v>3</v>
      </c>
      <c r="P231" s="226">
        <f t="shared" si="455"/>
        <v>5</v>
      </c>
      <c r="Q231" s="226">
        <f t="shared" si="455"/>
        <v>5</v>
      </c>
      <c r="R231" s="226">
        <f t="shared" si="455"/>
        <v>7</v>
      </c>
      <c r="S231" s="226">
        <f t="shared" si="455"/>
        <v>4</v>
      </c>
      <c r="T231" s="226">
        <f t="shared" si="455"/>
        <v>7</v>
      </c>
      <c r="U231" s="226">
        <f t="shared" si="455"/>
        <v>8</v>
      </c>
      <c r="V231" s="226">
        <f t="shared" si="455"/>
        <v>6</v>
      </c>
      <c r="W231" s="226">
        <f t="shared" si="455"/>
        <v>5</v>
      </c>
      <c r="X231" s="226">
        <f t="shared" si="455"/>
        <v>5</v>
      </c>
      <c r="Y231" s="226">
        <f t="shared" si="455"/>
        <v>3</v>
      </c>
      <c r="Z231" s="227">
        <f t="shared" si="455"/>
        <v>6</v>
      </c>
    </row>
    <row r="232" spans="1:26" ht="14.45" customHeight="1">
      <c r="A232" s="709"/>
      <c r="B232" s="713"/>
      <c r="C232" s="716"/>
      <c r="D232" s="719"/>
      <c r="E232" s="722"/>
      <c r="F232" s="713"/>
      <c r="G232" s="230" t="s">
        <v>143</v>
      </c>
      <c r="H232" s="231" t="str">
        <f t="shared" ref="H232" si="456">IF(SUM(I232:Z232)&gt;0,"+"&amp;SUM(I232:Z232),SUM(I232:Z232))</f>
        <v>+27</v>
      </c>
      <c r="I232" s="231">
        <v>4</v>
      </c>
      <c r="J232" s="231">
        <v>2</v>
      </c>
      <c r="K232" s="235">
        <v>0</v>
      </c>
      <c r="L232" s="231">
        <v>2</v>
      </c>
      <c r="M232" s="231">
        <v>2</v>
      </c>
      <c r="N232" s="235">
        <v>0</v>
      </c>
      <c r="O232" s="235">
        <v>0</v>
      </c>
      <c r="P232" s="233">
        <v>1</v>
      </c>
      <c r="Q232" s="233">
        <v>1</v>
      </c>
      <c r="R232" s="231">
        <v>2</v>
      </c>
      <c r="S232" s="235">
        <v>0</v>
      </c>
      <c r="T232" s="231">
        <v>3</v>
      </c>
      <c r="U232" s="231">
        <v>3</v>
      </c>
      <c r="V232" s="231">
        <v>2</v>
      </c>
      <c r="W232" s="231">
        <v>2</v>
      </c>
      <c r="X232" s="233">
        <v>1</v>
      </c>
      <c r="Y232" s="235">
        <v>0</v>
      </c>
      <c r="Z232" s="234">
        <v>2</v>
      </c>
    </row>
    <row r="233" spans="1:26" ht="14.45" customHeight="1">
      <c r="A233" s="707">
        <v>34</v>
      </c>
      <c r="B233" s="710">
        <v>45619</v>
      </c>
      <c r="C233" s="714">
        <v>0.36944444444444446</v>
      </c>
      <c r="D233" s="717" t="s">
        <v>148</v>
      </c>
      <c r="E233" s="720" t="s">
        <v>1858</v>
      </c>
      <c r="F233" s="723" t="s">
        <v>2668</v>
      </c>
      <c r="G233" s="221" t="s">
        <v>137</v>
      </c>
      <c r="H233" s="222">
        <f t="shared" ref="H233:H234" si="457">SUM(I233:Z233)</f>
        <v>72</v>
      </c>
      <c r="I233" s="222">
        <v>4</v>
      </c>
      <c r="J233" s="222">
        <v>5</v>
      </c>
      <c r="K233" s="222">
        <v>4</v>
      </c>
      <c r="L233" s="222">
        <v>4</v>
      </c>
      <c r="M233" s="222">
        <v>3</v>
      </c>
      <c r="N233" s="222">
        <v>4</v>
      </c>
      <c r="O233" s="222">
        <v>5</v>
      </c>
      <c r="P233" s="222">
        <v>3</v>
      </c>
      <c r="Q233" s="222">
        <v>4</v>
      </c>
      <c r="R233" s="222">
        <v>4</v>
      </c>
      <c r="S233" s="222">
        <v>4</v>
      </c>
      <c r="T233" s="222">
        <v>5</v>
      </c>
      <c r="U233" s="222">
        <v>4</v>
      </c>
      <c r="V233" s="222">
        <v>3</v>
      </c>
      <c r="W233" s="222">
        <v>5</v>
      </c>
      <c r="X233" s="222">
        <v>4</v>
      </c>
      <c r="Y233" s="222">
        <v>3</v>
      </c>
      <c r="Z233" s="223">
        <v>4</v>
      </c>
    </row>
    <row r="234" spans="1:26" ht="14.45" customHeight="1">
      <c r="A234" s="708"/>
      <c r="B234" s="711"/>
      <c r="C234" s="715"/>
      <c r="D234" s="718"/>
      <c r="E234" s="721"/>
      <c r="F234" s="724"/>
      <c r="G234" s="224" t="s">
        <v>160</v>
      </c>
      <c r="H234" s="225">
        <f t="shared" si="457"/>
        <v>5810</v>
      </c>
      <c r="I234" s="226">
        <v>338</v>
      </c>
      <c r="J234" s="226">
        <v>447</v>
      </c>
      <c r="K234" s="226">
        <v>318</v>
      </c>
      <c r="L234" s="226">
        <v>287</v>
      </c>
      <c r="M234" s="226">
        <v>143</v>
      </c>
      <c r="N234" s="226">
        <v>352</v>
      </c>
      <c r="O234" s="226">
        <v>504</v>
      </c>
      <c r="P234" s="226">
        <v>136</v>
      </c>
      <c r="Q234" s="226">
        <v>314</v>
      </c>
      <c r="R234" s="226">
        <v>291</v>
      </c>
      <c r="S234" s="226">
        <v>337</v>
      </c>
      <c r="T234" s="226">
        <v>486</v>
      </c>
      <c r="U234" s="226">
        <v>330</v>
      </c>
      <c r="V234" s="226">
        <v>129</v>
      </c>
      <c r="W234" s="226">
        <v>491</v>
      </c>
      <c r="X234" s="226">
        <v>344</v>
      </c>
      <c r="Y234" s="226">
        <v>186</v>
      </c>
      <c r="Z234" s="227">
        <v>377</v>
      </c>
    </row>
    <row r="235" spans="1:26" ht="14.45" customHeight="1">
      <c r="A235" s="708"/>
      <c r="B235" s="712"/>
      <c r="C235" s="715"/>
      <c r="D235" s="718"/>
      <c r="E235" s="721"/>
      <c r="F235" s="724"/>
      <c r="G235" s="224" t="s">
        <v>138</v>
      </c>
      <c r="H235" s="228" t="str">
        <f t="shared" ref="H235" si="458">IF(I237="N/A","N/A",IF(COUNTIF(I235:Z235,"Y")/14=0,"N/A",COUNTIF(I235:Z235,"Y")/(COUNTIF(I235:Z235,"Y")+COUNTIF(I235:Z235,"N"))))</f>
        <v>N/A</v>
      </c>
      <c r="I235" s="226" t="s">
        <v>2</v>
      </c>
      <c r="J235" s="226" t="s">
        <v>2</v>
      </c>
      <c r="K235" s="226" t="s">
        <v>2</v>
      </c>
      <c r="L235" s="226" t="s">
        <v>2</v>
      </c>
      <c r="M235" s="226" t="s">
        <v>2</v>
      </c>
      <c r="N235" s="226" t="s">
        <v>2</v>
      </c>
      <c r="O235" s="226" t="s">
        <v>2</v>
      </c>
      <c r="P235" s="226" t="s">
        <v>2</v>
      </c>
      <c r="Q235" s="226" t="s">
        <v>2</v>
      </c>
      <c r="R235" s="226" t="s">
        <v>2</v>
      </c>
      <c r="S235" s="226" t="s">
        <v>2</v>
      </c>
      <c r="T235" s="226" t="s">
        <v>2</v>
      </c>
      <c r="U235" s="226" t="s">
        <v>2</v>
      </c>
      <c r="V235" s="226" t="s">
        <v>2</v>
      </c>
      <c r="W235" s="226" t="s">
        <v>2</v>
      </c>
      <c r="X235" s="226" t="s">
        <v>2</v>
      </c>
      <c r="Y235" s="226" t="s">
        <v>2</v>
      </c>
      <c r="Z235" s="227" t="s">
        <v>2</v>
      </c>
    </row>
    <row r="236" spans="1:26" ht="14.45" customHeight="1">
      <c r="A236" s="708"/>
      <c r="B236" s="712"/>
      <c r="C236" s="715"/>
      <c r="D236" s="718"/>
      <c r="E236" s="721"/>
      <c r="F236" s="724"/>
      <c r="G236" s="224" t="s">
        <v>145</v>
      </c>
      <c r="H236" s="228" t="str">
        <f t="shared" ref="H236" si="459">IFERROR(IF(I237="N/A","N/A",COUNTIF(I236:Z236,"Y")/(COUNTIF(I236:Z236,"Y")+COUNTIF(I236:Z236,"N"))),"N/A")</f>
        <v>N/A</v>
      </c>
      <c r="I236" s="226" t="s">
        <v>2</v>
      </c>
      <c r="J236" s="226" t="s">
        <v>2</v>
      </c>
      <c r="K236" s="226" t="s">
        <v>2</v>
      </c>
      <c r="L236" s="226" t="s">
        <v>2</v>
      </c>
      <c r="M236" s="226" t="s">
        <v>2</v>
      </c>
      <c r="N236" s="226" t="s">
        <v>2</v>
      </c>
      <c r="O236" s="226" t="s">
        <v>2</v>
      </c>
      <c r="P236" s="226" t="s">
        <v>2</v>
      </c>
      <c r="Q236" s="226" t="s">
        <v>2</v>
      </c>
      <c r="R236" s="226" t="s">
        <v>2</v>
      </c>
      <c r="S236" s="226" t="s">
        <v>2</v>
      </c>
      <c r="T236" s="226" t="s">
        <v>2</v>
      </c>
      <c r="U236" s="226" t="s">
        <v>2</v>
      </c>
      <c r="V236" s="226" t="s">
        <v>2</v>
      </c>
      <c r="W236" s="226" t="s">
        <v>2</v>
      </c>
      <c r="X236" s="226" t="s">
        <v>2</v>
      </c>
      <c r="Y236" s="226" t="s">
        <v>2</v>
      </c>
      <c r="Z236" s="227" t="s">
        <v>2</v>
      </c>
    </row>
    <row r="237" spans="1:26" ht="14.45" customHeight="1">
      <c r="A237" s="708"/>
      <c r="B237" s="712"/>
      <c r="C237" s="715"/>
      <c r="D237" s="718"/>
      <c r="E237" s="721"/>
      <c r="F237" s="724"/>
      <c r="G237" s="224" t="s">
        <v>139</v>
      </c>
      <c r="H237" s="226" t="str">
        <f t="shared" ref="H237" si="460">IF(I237="N/A","N/A",SUM(I237:Z237))</f>
        <v>N/A</v>
      </c>
      <c r="I237" s="226" t="s">
        <v>3</v>
      </c>
      <c r="J237" s="226" t="s">
        <v>3</v>
      </c>
      <c r="K237" s="226" t="s">
        <v>3</v>
      </c>
      <c r="L237" s="226" t="s">
        <v>3</v>
      </c>
      <c r="M237" s="226" t="s">
        <v>3</v>
      </c>
      <c r="N237" s="226" t="s">
        <v>3</v>
      </c>
      <c r="O237" s="226" t="s">
        <v>3</v>
      </c>
      <c r="P237" s="226" t="s">
        <v>3</v>
      </c>
      <c r="Q237" s="226" t="s">
        <v>3</v>
      </c>
      <c r="R237" s="226" t="s">
        <v>3</v>
      </c>
      <c r="S237" s="226" t="s">
        <v>3</v>
      </c>
      <c r="T237" s="226" t="s">
        <v>3</v>
      </c>
      <c r="U237" s="226" t="s">
        <v>3</v>
      </c>
      <c r="V237" s="226" t="s">
        <v>3</v>
      </c>
      <c r="W237" s="226" t="s">
        <v>3</v>
      </c>
      <c r="X237" s="226" t="s">
        <v>3</v>
      </c>
      <c r="Y237" s="226" t="s">
        <v>3</v>
      </c>
      <c r="Z237" s="227" t="s">
        <v>3</v>
      </c>
    </row>
    <row r="238" spans="1:26" ht="14.45" customHeight="1">
      <c r="A238" s="708"/>
      <c r="B238" s="712"/>
      <c r="C238" s="715"/>
      <c r="D238" s="718"/>
      <c r="E238" s="721"/>
      <c r="F238" s="724"/>
      <c r="G238" s="224" t="s">
        <v>67</v>
      </c>
      <c r="H238" s="229">
        <f t="shared" ref="H238" si="461">SUM(I238:Z238)</f>
        <v>107</v>
      </c>
      <c r="I238" s="226">
        <f t="shared" ref="I238:Z238" si="462">IF(I239="","",I233+I239)</f>
        <v>5</v>
      </c>
      <c r="J238" s="226">
        <f t="shared" si="462"/>
        <v>7</v>
      </c>
      <c r="K238" s="226">
        <f t="shared" si="462"/>
        <v>5</v>
      </c>
      <c r="L238" s="226">
        <f t="shared" si="462"/>
        <v>6</v>
      </c>
      <c r="M238" s="226">
        <f t="shared" si="462"/>
        <v>5</v>
      </c>
      <c r="N238" s="226">
        <f t="shared" si="462"/>
        <v>6</v>
      </c>
      <c r="O238" s="226">
        <f t="shared" si="462"/>
        <v>6</v>
      </c>
      <c r="P238" s="226">
        <f t="shared" si="462"/>
        <v>4</v>
      </c>
      <c r="Q238" s="226">
        <f t="shared" si="462"/>
        <v>4</v>
      </c>
      <c r="R238" s="226">
        <f t="shared" si="462"/>
        <v>6</v>
      </c>
      <c r="S238" s="226">
        <f t="shared" si="462"/>
        <v>7</v>
      </c>
      <c r="T238" s="226">
        <f t="shared" si="462"/>
        <v>8</v>
      </c>
      <c r="U238" s="226">
        <f t="shared" si="462"/>
        <v>6</v>
      </c>
      <c r="V238" s="226">
        <f t="shared" si="462"/>
        <v>4</v>
      </c>
      <c r="W238" s="226">
        <f t="shared" si="462"/>
        <v>9</v>
      </c>
      <c r="X238" s="226">
        <f t="shared" si="462"/>
        <v>8</v>
      </c>
      <c r="Y238" s="226">
        <f t="shared" si="462"/>
        <v>6</v>
      </c>
      <c r="Z238" s="227">
        <f t="shared" si="462"/>
        <v>5</v>
      </c>
    </row>
    <row r="239" spans="1:26" ht="14.45" customHeight="1">
      <c r="A239" s="709"/>
      <c r="B239" s="713"/>
      <c r="C239" s="716"/>
      <c r="D239" s="719"/>
      <c r="E239" s="722"/>
      <c r="F239" s="725"/>
      <c r="G239" s="230" t="s">
        <v>143</v>
      </c>
      <c r="H239" s="231" t="str">
        <f t="shared" ref="H239" si="463">IF(SUM(I239:Z239)&gt;0,"+"&amp;SUM(I239:Z239),SUM(I239:Z239))</f>
        <v>+35</v>
      </c>
      <c r="I239" s="233">
        <v>1</v>
      </c>
      <c r="J239" s="231">
        <v>2</v>
      </c>
      <c r="K239" s="233">
        <v>1</v>
      </c>
      <c r="L239" s="231">
        <v>2</v>
      </c>
      <c r="M239" s="231">
        <v>2</v>
      </c>
      <c r="N239" s="231">
        <v>2</v>
      </c>
      <c r="O239" s="233">
        <v>1</v>
      </c>
      <c r="P239" s="233">
        <v>1</v>
      </c>
      <c r="Q239" s="235">
        <v>0</v>
      </c>
      <c r="R239" s="231">
        <v>2</v>
      </c>
      <c r="S239" s="231">
        <v>3</v>
      </c>
      <c r="T239" s="231">
        <v>3</v>
      </c>
      <c r="U239" s="231">
        <v>2</v>
      </c>
      <c r="V239" s="233">
        <v>1</v>
      </c>
      <c r="W239" s="231">
        <v>4</v>
      </c>
      <c r="X239" s="232">
        <v>4</v>
      </c>
      <c r="Y239" s="232">
        <v>3</v>
      </c>
      <c r="Z239" s="236">
        <v>1</v>
      </c>
    </row>
    <row r="240" spans="1:26" ht="14.45" customHeight="1">
      <c r="A240" s="707">
        <v>35</v>
      </c>
      <c r="B240" s="710">
        <v>45737</v>
      </c>
      <c r="C240" s="714">
        <v>0.31180555555555556</v>
      </c>
      <c r="D240" s="726" t="s">
        <v>3515</v>
      </c>
      <c r="E240" s="727" t="s">
        <v>3517</v>
      </c>
      <c r="F240" s="728" t="s">
        <v>3518</v>
      </c>
      <c r="G240" s="221" t="s">
        <v>137</v>
      </c>
      <c r="H240" s="222">
        <f t="shared" ref="H240:H241" si="464">SUM(I240:Z240)</f>
        <v>72</v>
      </c>
      <c r="I240" s="222">
        <v>4</v>
      </c>
      <c r="J240" s="222">
        <v>4</v>
      </c>
      <c r="K240" s="222">
        <v>4</v>
      </c>
      <c r="L240" s="222">
        <v>5</v>
      </c>
      <c r="M240" s="222">
        <v>3</v>
      </c>
      <c r="N240" s="222">
        <v>4</v>
      </c>
      <c r="O240" s="222">
        <v>3</v>
      </c>
      <c r="P240" s="222">
        <v>5</v>
      </c>
      <c r="Q240" s="222">
        <v>4</v>
      </c>
      <c r="R240" s="222">
        <v>4</v>
      </c>
      <c r="S240" s="222">
        <v>3</v>
      </c>
      <c r="T240" s="222">
        <v>5</v>
      </c>
      <c r="U240" s="222">
        <v>4</v>
      </c>
      <c r="V240" s="222">
        <v>4</v>
      </c>
      <c r="W240" s="222">
        <v>5</v>
      </c>
      <c r="X240" s="222">
        <v>4</v>
      </c>
      <c r="Y240" s="222">
        <v>3</v>
      </c>
      <c r="Z240" s="223">
        <v>4</v>
      </c>
    </row>
    <row r="241" spans="1:26" ht="14.45" customHeight="1">
      <c r="A241" s="708"/>
      <c r="B241" s="711"/>
      <c r="C241" s="715"/>
      <c r="D241" s="718"/>
      <c r="E241" s="712"/>
      <c r="F241" s="729"/>
      <c r="G241" s="224" t="s">
        <v>160</v>
      </c>
      <c r="H241" s="225">
        <f t="shared" si="464"/>
        <v>5751</v>
      </c>
      <c r="I241" s="226">
        <v>312</v>
      </c>
      <c r="J241" s="226">
        <v>333</v>
      </c>
      <c r="K241" s="226">
        <v>315</v>
      </c>
      <c r="L241" s="226">
        <v>466</v>
      </c>
      <c r="M241" s="226">
        <v>140</v>
      </c>
      <c r="N241" s="226">
        <v>323</v>
      </c>
      <c r="O241" s="226">
        <v>130</v>
      </c>
      <c r="P241" s="226">
        <v>465</v>
      </c>
      <c r="Q241" s="226">
        <v>358</v>
      </c>
      <c r="R241" s="226">
        <v>335</v>
      </c>
      <c r="S241" s="226">
        <v>120</v>
      </c>
      <c r="T241" s="226">
        <v>465</v>
      </c>
      <c r="U241" s="226">
        <v>335</v>
      </c>
      <c r="V241" s="226">
        <v>300</v>
      </c>
      <c r="W241" s="226">
        <v>520</v>
      </c>
      <c r="X241" s="226">
        <v>310</v>
      </c>
      <c r="Y241" s="226">
        <v>170</v>
      </c>
      <c r="Z241" s="227">
        <v>354</v>
      </c>
    </row>
    <row r="242" spans="1:26" ht="14.45" customHeight="1">
      <c r="A242" s="708"/>
      <c r="B242" s="712"/>
      <c r="C242" s="715"/>
      <c r="D242" s="718"/>
      <c r="E242" s="712"/>
      <c r="F242" s="712"/>
      <c r="G242" s="224" t="s">
        <v>138</v>
      </c>
      <c r="H242" s="228" t="str">
        <f t="shared" ref="H242" si="465">IF(I244="N/A","N/A",IF(COUNTIF(I242:Z242,"Y")/14=0,"N/A",COUNTIF(I242:Z242,"Y")/(COUNTIF(I242:Z242,"Y")+COUNTIF(I242:Z242,"N"))))</f>
        <v>N/A</v>
      </c>
      <c r="I242" s="226" t="s">
        <v>2</v>
      </c>
      <c r="J242" s="226" t="s">
        <v>2</v>
      </c>
      <c r="K242" s="226" t="s">
        <v>2</v>
      </c>
      <c r="L242" s="226" t="s">
        <v>2</v>
      </c>
      <c r="M242" s="226" t="s">
        <v>2</v>
      </c>
      <c r="N242" s="226" t="s">
        <v>2</v>
      </c>
      <c r="O242" s="226" t="s">
        <v>2</v>
      </c>
      <c r="P242" s="226" t="s">
        <v>2</v>
      </c>
      <c r="Q242" s="226" t="s">
        <v>2</v>
      </c>
      <c r="R242" s="226" t="s">
        <v>2</v>
      </c>
      <c r="S242" s="226" t="s">
        <v>2</v>
      </c>
      <c r="T242" s="226" t="s">
        <v>2</v>
      </c>
      <c r="U242" s="226" t="s">
        <v>2</v>
      </c>
      <c r="V242" s="226" t="s">
        <v>2</v>
      </c>
      <c r="W242" s="226" t="s">
        <v>2</v>
      </c>
      <c r="X242" s="226" t="s">
        <v>2</v>
      </c>
      <c r="Y242" s="226" t="s">
        <v>2</v>
      </c>
      <c r="Z242" s="227" t="s">
        <v>2</v>
      </c>
    </row>
    <row r="243" spans="1:26" ht="14.45" customHeight="1">
      <c r="A243" s="708"/>
      <c r="B243" s="712"/>
      <c r="C243" s="715"/>
      <c r="D243" s="718"/>
      <c r="E243" s="712"/>
      <c r="F243" s="712"/>
      <c r="G243" s="224" t="s">
        <v>145</v>
      </c>
      <c r="H243" s="228" t="str">
        <f t="shared" ref="H243" si="466">IFERROR(IF(I244="N/A","N/A",COUNTIF(I243:Z243,"Y")/(COUNTIF(I243:Z243,"Y")+COUNTIF(I243:Z243,"N"))),"N/A")</f>
        <v>N/A</v>
      </c>
      <c r="I243" s="226" t="s">
        <v>2</v>
      </c>
      <c r="J243" s="226" t="s">
        <v>2</v>
      </c>
      <c r="K243" s="226" t="s">
        <v>2</v>
      </c>
      <c r="L243" s="226" t="s">
        <v>2</v>
      </c>
      <c r="M243" s="226" t="s">
        <v>2</v>
      </c>
      <c r="N243" s="226" t="s">
        <v>2</v>
      </c>
      <c r="O243" s="226" t="s">
        <v>2</v>
      </c>
      <c r="P243" s="226" t="s">
        <v>2</v>
      </c>
      <c r="Q243" s="226" t="s">
        <v>2</v>
      </c>
      <c r="R243" s="226" t="s">
        <v>2</v>
      </c>
      <c r="S243" s="226" t="s">
        <v>2</v>
      </c>
      <c r="T243" s="226" t="s">
        <v>2</v>
      </c>
      <c r="U243" s="226" t="s">
        <v>2</v>
      </c>
      <c r="V243" s="226" t="s">
        <v>2</v>
      </c>
      <c r="W243" s="226" t="s">
        <v>2</v>
      </c>
      <c r="X243" s="226" t="s">
        <v>2</v>
      </c>
      <c r="Y243" s="226" t="s">
        <v>2</v>
      </c>
      <c r="Z243" s="227" t="s">
        <v>2</v>
      </c>
    </row>
    <row r="244" spans="1:26" ht="14.45" customHeight="1">
      <c r="A244" s="708"/>
      <c r="B244" s="712"/>
      <c r="C244" s="715"/>
      <c r="D244" s="718"/>
      <c r="E244" s="712"/>
      <c r="F244" s="712"/>
      <c r="G244" s="224" t="s">
        <v>139</v>
      </c>
      <c r="H244" s="226" t="str">
        <f t="shared" ref="H244" si="467">IF(I244="N/A","N/A",SUM(I244:Z244))</f>
        <v>N/A</v>
      </c>
      <c r="I244" s="226" t="s">
        <v>3</v>
      </c>
      <c r="J244" s="226" t="s">
        <v>3</v>
      </c>
      <c r="K244" s="226" t="s">
        <v>3</v>
      </c>
      <c r="L244" s="226" t="s">
        <v>3</v>
      </c>
      <c r="M244" s="226" t="s">
        <v>3</v>
      </c>
      <c r="N244" s="226" t="s">
        <v>3</v>
      </c>
      <c r="O244" s="226" t="s">
        <v>3</v>
      </c>
      <c r="P244" s="226" t="s">
        <v>3</v>
      </c>
      <c r="Q244" s="226" t="s">
        <v>3</v>
      </c>
      <c r="R244" s="226" t="s">
        <v>3</v>
      </c>
      <c r="S244" s="226" t="s">
        <v>3</v>
      </c>
      <c r="T244" s="226" t="s">
        <v>3</v>
      </c>
      <c r="U244" s="226" t="s">
        <v>3</v>
      </c>
      <c r="V244" s="226" t="s">
        <v>3</v>
      </c>
      <c r="W244" s="226" t="s">
        <v>3</v>
      </c>
      <c r="X244" s="226" t="s">
        <v>3</v>
      </c>
      <c r="Y244" s="226" t="s">
        <v>3</v>
      </c>
      <c r="Z244" s="227" t="s">
        <v>3</v>
      </c>
    </row>
    <row r="245" spans="1:26" ht="14.45" customHeight="1">
      <c r="A245" s="708"/>
      <c r="B245" s="712"/>
      <c r="C245" s="715"/>
      <c r="D245" s="718"/>
      <c r="E245" s="712"/>
      <c r="F245" s="712"/>
      <c r="G245" s="224" t="s">
        <v>67</v>
      </c>
      <c r="H245" s="229">
        <f t="shared" ref="H245" si="468">SUM(I245:Z245)</f>
        <v>120</v>
      </c>
      <c r="I245" s="226">
        <f t="shared" ref="I245:Z245" si="469">IF(I246="","",I240+I246)</f>
        <v>5</v>
      </c>
      <c r="J245" s="226">
        <f t="shared" si="469"/>
        <v>8</v>
      </c>
      <c r="K245" s="226">
        <f t="shared" si="469"/>
        <v>7</v>
      </c>
      <c r="L245" s="226">
        <f t="shared" si="469"/>
        <v>10</v>
      </c>
      <c r="M245" s="226">
        <f t="shared" si="469"/>
        <v>6</v>
      </c>
      <c r="N245" s="226">
        <f t="shared" si="469"/>
        <v>7</v>
      </c>
      <c r="O245" s="226">
        <f t="shared" si="469"/>
        <v>5</v>
      </c>
      <c r="P245" s="226">
        <f t="shared" si="469"/>
        <v>6</v>
      </c>
      <c r="Q245" s="226">
        <f t="shared" si="469"/>
        <v>5</v>
      </c>
      <c r="R245" s="226">
        <f t="shared" si="469"/>
        <v>8</v>
      </c>
      <c r="S245" s="226">
        <f t="shared" si="469"/>
        <v>4</v>
      </c>
      <c r="T245" s="226">
        <f t="shared" si="469"/>
        <v>7</v>
      </c>
      <c r="U245" s="226">
        <f t="shared" si="469"/>
        <v>5</v>
      </c>
      <c r="V245" s="226">
        <f t="shared" si="469"/>
        <v>8</v>
      </c>
      <c r="W245" s="226">
        <f t="shared" si="469"/>
        <v>10</v>
      </c>
      <c r="X245" s="226">
        <f t="shared" si="469"/>
        <v>7</v>
      </c>
      <c r="Y245" s="226">
        <f t="shared" si="469"/>
        <v>6</v>
      </c>
      <c r="Z245" s="227">
        <f t="shared" si="469"/>
        <v>6</v>
      </c>
    </row>
    <row r="246" spans="1:26" ht="14.45" customHeight="1">
      <c r="A246" s="709"/>
      <c r="B246" s="713"/>
      <c r="C246" s="716"/>
      <c r="D246" s="719"/>
      <c r="E246" s="713"/>
      <c r="F246" s="713"/>
      <c r="G246" s="230" t="s">
        <v>143</v>
      </c>
      <c r="H246" s="231" t="str">
        <f t="shared" ref="H246" si="470">IF(SUM(I246:Z246)&gt;0,"+"&amp;SUM(I246:Z246),SUM(I246:Z246))</f>
        <v>+48</v>
      </c>
      <c r="I246" s="233">
        <v>1</v>
      </c>
      <c r="J246" s="232">
        <v>4</v>
      </c>
      <c r="K246" s="231">
        <v>3</v>
      </c>
      <c r="L246" s="232">
        <v>5</v>
      </c>
      <c r="M246" s="232">
        <v>3</v>
      </c>
      <c r="N246" s="231">
        <v>3</v>
      </c>
      <c r="O246" s="231">
        <v>2</v>
      </c>
      <c r="P246" s="233">
        <v>1</v>
      </c>
      <c r="Q246" s="233">
        <v>1</v>
      </c>
      <c r="R246" s="232">
        <v>4</v>
      </c>
      <c r="S246" s="233">
        <v>1</v>
      </c>
      <c r="T246" s="231">
        <v>2</v>
      </c>
      <c r="U246" s="233">
        <v>1</v>
      </c>
      <c r="V246" s="232">
        <v>4</v>
      </c>
      <c r="W246" s="232">
        <v>5</v>
      </c>
      <c r="X246" s="231">
        <v>3</v>
      </c>
      <c r="Y246" s="232">
        <v>3</v>
      </c>
      <c r="Z246" s="234">
        <v>2</v>
      </c>
    </row>
    <row r="247" spans="1:26" ht="14.45" customHeight="1">
      <c r="A247" s="707">
        <v>36</v>
      </c>
      <c r="B247" s="710">
        <v>45892</v>
      </c>
      <c r="C247" s="714">
        <v>0.56319444444444444</v>
      </c>
      <c r="D247" s="726" t="s">
        <v>3520</v>
      </c>
      <c r="E247" s="720" t="s">
        <v>3522</v>
      </c>
      <c r="F247" s="723" t="s">
        <v>3523</v>
      </c>
      <c r="G247" s="221" t="s">
        <v>137</v>
      </c>
      <c r="H247" s="222">
        <f t="shared" ref="H247:H248" si="471">SUM(I247:Z247)</f>
        <v>72</v>
      </c>
      <c r="I247" s="222">
        <v>5</v>
      </c>
      <c r="J247" s="222">
        <v>3</v>
      </c>
      <c r="K247" s="222">
        <v>4</v>
      </c>
      <c r="L247" s="222">
        <v>4</v>
      </c>
      <c r="M247" s="222">
        <v>3</v>
      </c>
      <c r="N247" s="222">
        <v>4</v>
      </c>
      <c r="O247" s="222">
        <v>4</v>
      </c>
      <c r="P247" s="222">
        <v>5</v>
      </c>
      <c r="Q247" s="222">
        <v>4</v>
      </c>
      <c r="R247" s="222">
        <v>4</v>
      </c>
      <c r="S247" s="222">
        <v>3</v>
      </c>
      <c r="T247" s="222">
        <v>4</v>
      </c>
      <c r="U247" s="222">
        <v>5</v>
      </c>
      <c r="V247" s="222">
        <v>3</v>
      </c>
      <c r="W247" s="222">
        <v>4</v>
      </c>
      <c r="X247" s="222">
        <v>4</v>
      </c>
      <c r="Y247" s="222">
        <v>4</v>
      </c>
      <c r="Z247" s="223">
        <v>5</v>
      </c>
    </row>
    <row r="248" spans="1:26" ht="14.45" customHeight="1">
      <c r="A248" s="708"/>
      <c r="B248" s="711"/>
      <c r="C248" s="715"/>
      <c r="D248" s="718"/>
      <c r="E248" s="721"/>
      <c r="F248" s="724"/>
      <c r="G248" s="224" t="s">
        <v>160</v>
      </c>
      <c r="H248" s="225">
        <f t="shared" si="471"/>
        <v>5917</v>
      </c>
      <c r="I248" s="226">
        <v>459</v>
      </c>
      <c r="J248" s="226">
        <v>145</v>
      </c>
      <c r="K248" s="226">
        <v>290</v>
      </c>
      <c r="L248" s="226">
        <v>366</v>
      </c>
      <c r="M248" s="226">
        <v>161</v>
      </c>
      <c r="N248" s="226">
        <v>296</v>
      </c>
      <c r="O248" s="226">
        <v>359</v>
      </c>
      <c r="P248" s="226">
        <v>503</v>
      </c>
      <c r="Q248" s="226">
        <v>394</v>
      </c>
      <c r="R248" s="226">
        <v>331</v>
      </c>
      <c r="S248" s="226">
        <v>134</v>
      </c>
      <c r="T248" s="226">
        <v>328</v>
      </c>
      <c r="U248" s="226">
        <v>432</v>
      </c>
      <c r="V248" s="226">
        <v>155</v>
      </c>
      <c r="W248" s="226">
        <v>354</v>
      </c>
      <c r="X248" s="226">
        <v>348</v>
      </c>
      <c r="Y248" s="226">
        <v>388</v>
      </c>
      <c r="Z248" s="227">
        <v>474</v>
      </c>
    </row>
    <row r="249" spans="1:26" ht="14.45" customHeight="1">
      <c r="A249" s="708"/>
      <c r="B249" s="712"/>
      <c r="C249" s="715"/>
      <c r="D249" s="718"/>
      <c r="E249" s="721"/>
      <c r="F249" s="724"/>
      <c r="G249" s="224" t="s">
        <v>138</v>
      </c>
      <c r="H249" s="228" t="str">
        <f t="shared" ref="H249" si="472">IF(I251="N/A","N/A",IF(COUNTIF(I249:Z249,"Y")/14=0,"N/A",COUNTIF(I249:Z249,"Y")/(COUNTIF(I249:Z249,"Y")+COUNTIF(I249:Z249,"N"))))</f>
        <v>N/A</v>
      </c>
      <c r="I249" s="226" t="s">
        <v>2</v>
      </c>
      <c r="J249" s="226" t="s">
        <v>2</v>
      </c>
      <c r="K249" s="226" t="s">
        <v>2</v>
      </c>
      <c r="L249" s="226" t="s">
        <v>2</v>
      </c>
      <c r="M249" s="226" t="s">
        <v>2</v>
      </c>
      <c r="N249" s="226" t="s">
        <v>2</v>
      </c>
      <c r="O249" s="226" t="s">
        <v>2</v>
      </c>
      <c r="P249" s="226" t="s">
        <v>2</v>
      </c>
      <c r="Q249" s="226" t="s">
        <v>2</v>
      </c>
      <c r="R249" s="226" t="s">
        <v>2</v>
      </c>
      <c r="S249" s="226" t="s">
        <v>2</v>
      </c>
      <c r="T249" s="226" t="s">
        <v>2</v>
      </c>
      <c r="U249" s="226" t="s">
        <v>2</v>
      </c>
      <c r="V249" s="226" t="s">
        <v>2</v>
      </c>
      <c r="W249" s="226" t="s">
        <v>2</v>
      </c>
      <c r="X249" s="226" t="s">
        <v>2</v>
      </c>
      <c r="Y249" s="226" t="s">
        <v>2</v>
      </c>
      <c r="Z249" s="227" t="s">
        <v>2</v>
      </c>
    </row>
    <row r="250" spans="1:26" ht="14.45" customHeight="1">
      <c r="A250" s="708"/>
      <c r="B250" s="712"/>
      <c r="C250" s="715"/>
      <c r="D250" s="718"/>
      <c r="E250" s="721"/>
      <c r="F250" s="724"/>
      <c r="G250" s="224" t="s">
        <v>145</v>
      </c>
      <c r="H250" s="228" t="str">
        <f t="shared" ref="H250" si="473">IFERROR(IF(I251="N/A","N/A",COUNTIF(I250:Z250,"Y")/(COUNTIF(I250:Z250,"Y")+COUNTIF(I250:Z250,"N"))),"N/A")</f>
        <v>N/A</v>
      </c>
      <c r="I250" s="226" t="s">
        <v>2</v>
      </c>
      <c r="J250" s="226" t="s">
        <v>2</v>
      </c>
      <c r="K250" s="226" t="s">
        <v>2</v>
      </c>
      <c r="L250" s="226" t="s">
        <v>2</v>
      </c>
      <c r="M250" s="226" t="s">
        <v>2</v>
      </c>
      <c r="N250" s="226" t="s">
        <v>2</v>
      </c>
      <c r="O250" s="226" t="s">
        <v>2</v>
      </c>
      <c r="P250" s="226" t="s">
        <v>2</v>
      </c>
      <c r="Q250" s="226" t="s">
        <v>2</v>
      </c>
      <c r="R250" s="226" t="s">
        <v>2</v>
      </c>
      <c r="S250" s="226" t="s">
        <v>2</v>
      </c>
      <c r="T250" s="226" t="s">
        <v>2</v>
      </c>
      <c r="U250" s="226" t="s">
        <v>2</v>
      </c>
      <c r="V250" s="226" t="s">
        <v>2</v>
      </c>
      <c r="W250" s="226" t="s">
        <v>2</v>
      </c>
      <c r="X250" s="226" t="s">
        <v>2</v>
      </c>
      <c r="Y250" s="226" t="s">
        <v>2</v>
      </c>
      <c r="Z250" s="227" t="s">
        <v>2</v>
      </c>
    </row>
    <row r="251" spans="1:26" ht="14.45" customHeight="1">
      <c r="A251" s="708"/>
      <c r="B251" s="712"/>
      <c r="C251" s="715"/>
      <c r="D251" s="718"/>
      <c r="E251" s="721"/>
      <c r="F251" s="724"/>
      <c r="G251" s="224" t="s">
        <v>139</v>
      </c>
      <c r="H251" s="226" t="str">
        <f t="shared" ref="H251" si="474">IF(I251="N/A","N/A",SUM(I251:Z251))</f>
        <v>N/A</v>
      </c>
      <c r="I251" s="226" t="s">
        <v>3</v>
      </c>
      <c r="J251" s="226" t="s">
        <v>3</v>
      </c>
      <c r="K251" s="226" t="s">
        <v>3</v>
      </c>
      <c r="L251" s="226" t="s">
        <v>3</v>
      </c>
      <c r="M251" s="226" t="s">
        <v>3</v>
      </c>
      <c r="N251" s="226" t="s">
        <v>3</v>
      </c>
      <c r="O251" s="226" t="s">
        <v>3</v>
      </c>
      <c r="P251" s="226" t="s">
        <v>3</v>
      </c>
      <c r="Q251" s="226" t="s">
        <v>3</v>
      </c>
      <c r="R251" s="226" t="s">
        <v>3</v>
      </c>
      <c r="S251" s="226" t="s">
        <v>3</v>
      </c>
      <c r="T251" s="226" t="s">
        <v>3</v>
      </c>
      <c r="U251" s="226" t="s">
        <v>3</v>
      </c>
      <c r="V251" s="226" t="s">
        <v>3</v>
      </c>
      <c r="W251" s="226" t="s">
        <v>3</v>
      </c>
      <c r="X251" s="226" t="s">
        <v>3</v>
      </c>
      <c r="Y251" s="226" t="s">
        <v>3</v>
      </c>
      <c r="Z251" s="227" t="s">
        <v>3</v>
      </c>
    </row>
    <row r="252" spans="1:26" ht="14.45" customHeight="1">
      <c r="A252" s="708"/>
      <c r="B252" s="712"/>
      <c r="C252" s="715"/>
      <c r="D252" s="718"/>
      <c r="E252" s="721"/>
      <c r="F252" s="724"/>
      <c r="G252" s="224" t="s">
        <v>67</v>
      </c>
      <c r="H252" s="229">
        <f t="shared" ref="H252" si="475">SUM(I252:Z252)</f>
        <v>100</v>
      </c>
      <c r="I252" s="226">
        <f t="shared" ref="I252:Z252" si="476">IF(I253="","",I247+I253)</f>
        <v>7</v>
      </c>
      <c r="J252" s="226">
        <f t="shared" si="476"/>
        <v>6</v>
      </c>
      <c r="K252" s="226">
        <f t="shared" si="476"/>
        <v>7</v>
      </c>
      <c r="L252" s="226">
        <f t="shared" si="476"/>
        <v>6</v>
      </c>
      <c r="M252" s="226">
        <f t="shared" si="476"/>
        <v>4</v>
      </c>
      <c r="N252" s="226">
        <f t="shared" si="476"/>
        <v>5</v>
      </c>
      <c r="O252" s="226">
        <f t="shared" si="476"/>
        <v>5</v>
      </c>
      <c r="P252" s="226">
        <f t="shared" si="476"/>
        <v>8</v>
      </c>
      <c r="Q252" s="226">
        <f t="shared" si="476"/>
        <v>5</v>
      </c>
      <c r="R252" s="226">
        <f t="shared" si="476"/>
        <v>5</v>
      </c>
      <c r="S252" s="226">
        <f t="shared" si="476"/>
        <v>4</v>
      </c>
      <c r="T252" s="226">
        <f t="shared" si="476"/>
        <v>5</v>
      </c>
      <c r="U252" s="226">
        <f t="shared" si="476"/>
        <v>5</v>
      </c>
      <c r="V252" s="226">
        <f t="shared" si="476"/>
        <v>3</v>
      </c>
      <c r="W252" s="226">
        <f t="shared" si="476"/>
        <v>6</v>
      </c>
      <c r="X252" s="226">
        <f t="shared" si="476"/>
        <v>5</v>
      </c>
      <c r="Y252" s="226">
        <f t="shared" si="476"/>
        <v>5</v>
      </c>
      <c r="Z252" s="227">
        <f t="shared" si="476"/>
        <v>9</v>
      </c>
    </row>
    <row r="253" spans="1:26" ht="14.45" customHeight="1">
      <c r="A253" s="709"/>
      <c r="B253" s="713"/>
      <c r="C253" s="716"/>
      <c r="D253" s="719"/>
      <c r="E253" s="722"/>
      <c r="F253" s="725"/>
      <c r="G253" s="230" t="s">
        <v>143</v>
      </c>
      <c r="H253" s="231" t="str">
        <f t="shared" ref="H253" si="477">IF(SUM(I253:Z253)&gt;0,"+"&amp;SUM(I253:Z253),SUM(I253:Z253))</f>
        <v>+28</v>
      </c>
      <c r="I253" s="231">
        <v>2</v>
      </c>
      <c r="J253" s="232">
        <v>3</v>
      </c>
      <c r="K253" s="231">
        <v>3</v>
      </c>
      <c r="L253" s="231">
        <v>2</v>
      </c>
      <c r="M253" s="233">
        <v>1</v>
      </c>
      <c r="N253" s="233">
        <v>1</v>
      </c>
      <c r="O253" s="233">
        <v>1</v>
      </c>
      <c r="P253" s="231">
        <v>3</v>
      </c>
      <c r="Q253" s="233">
        <v>1</v>
      </c>
      <c r="R253" s="233">
        <v>1</v>
      </c>
      <c r="S253" s="233">
        <v>1</v>
      </c>
      <c r="T253" s="233">
        <v>1</v>
      </c>
      <c r="U253" s="235">
        <v>0</v>
      </c>
      <c r="V253" s="235">
        <v>0</v>
      </c>
      <c r="W253" s="231">
        <v>2</v>
      </c>
      <c r="X253" s="233">
        <v>1</v>
      </c>
      <c r="Y253" s="233">
        <v>1</v>
      </c>
      <c r="Z253" s="234">
        <v>4</v>
      </c>
    </row>
    <row r="254" spans="1:26" ht="14.45" customHeight="1">
      <c r="A254" s="707">
        <v>37</v>
      </c>
      <c r="B254" s="710">
        <v>46072</v>
      </c>
      <c r="C254" s="714">
        <v>0.42222222222222222</v>
      </c>
      <c r="D254" s="726" t="s">
        <v>3511</v>
      </c>
      <c r="E254" s="727" t="s">
        <v>277</v>
      </c>
      <c r="F254" s="723" t="s">
        <v>3513</v>
      </c>
      <c r="G254" s="221" t="s">
        <v>137</v>
      </c>
      <c r="H254" s="222">
        <f t="shared" ref="H254:H255" si="478">SUM(I254:Z254)</f>
        <v>72</v>
      </c>
      <c r="I254" s="222">
        <v>4</v>
      </c>
      <c r="J254" s="222">
        <v>3</v>
      </c>
      <c r="K254" s="222">
        <v>4</v>
      </c>
      <c r="L254" s="222">
        <v>4</v>
      </c>
      <c r="M254" s="222">
        <v>5</v>
      </c>
      <c r="N254" s="222">
        <v>4</v>
      </c>
      <c r="O254" s="222">
        <v>5</v>
      </c>
      <c r="P254" s="222">
        <v>3</v>
      </c>
      <c r="Q254" s="222">
        <v>4</v>
      </c>
      <c r="R254" s="222">
        <v>4</v>
      </c>
      <c r="S254" s="222">
        <v>4</v>
      </c>
      <c r="T254" s="222">
        <v>3</v>
      </c>
      <c r="U254" s="222">
        <v>5</v>
      </c>
      <c r="V254" s="222">
        <v>4</v>
      </c>
      <c r="W254" s="222">
        <v>3</v>
      </c>
      <c r="X254" s="222">
        <v>4</v>
      </c>
      <c r="Y254" s="222">
        <v>4</v>
      </c>
      <c r="Z254" s="223">
        <v>5</v>
      </c>
    </row>
    <row r="255" spans="1:26" ht="14.45" customHeight="1">
      <c r="A255" s="708"/>
      <c r="B255" s="711"/>
      <c r="C255" s="715"/>
      <c r="D255" s="718"/>
      <c r="E255" s="712"/>
      <c r="F255" s="724"/>
      <c r="G255" s="224" t="s">
        <v>160</v>
      </c>
      <c r="H255" s="225">
        <f t="shared" si="478"/>
        <v>5941</v>
      </c>
      <c r="I255" s="226">
        <v>343</v>
      </c>
      <c r="J255" s="226">
        <v>385</v>
      </c>
      <c r="K255" s="226">
        <v>161</v>
      </c>
      <c r="L255" s="226">
        <v>473</v>
      </c>
      <c r="M255" s="226">
        <v>351</v>
      </c>
      <c r="N255" s="226">
        <v>195</v>
      </c>
      <c r="O255" s="226">
        <v>357</v>
      </c>
      <c r="P255" s="226">
        <v>363</v>
      </c>
      <c r="Q255" s="226">
        <v>450</v>
      </c>
      <c r="R255" s="226">
        <v>357</v>
      </c>
      <c r="S255" s="226">
        <v>164</v>
      </c>
      <c r="T255" s="226">
        <v>320</v>
      </c>
      <c r="U255" s="226">
        <v>329</v>
      </c>
      <c r="V255" s="226">
        <v>415</v>
      </c>
      <c r="W255" s="226">
        <v>284</v>
      </c>
      <c r="X255" s="226">
        <v>476</v>
      </c>
      <c r="Y255" s="226">
        <v>186</v>
      </c>
      <c r="Z255" s="227">
        <v>332</v>
      </c>
    </row>
    <row r="256" spans="1:26" ht="14.45" customHeight="1">
      <c r="A256" s="708"/>
      <c r="B256" s="712"/>
      <c r="C256" s="715"/>
      <c r="D256" s="718"/>
      <c r="E256" s="712"/>
      <c r="F256" s="724"/>
      <c r="G256" s="224" t="s">
        <v>138</v>
      </c>
      <c r="H256" s="228" t="str">
        <f t="shared" ref="H256" si="479">IF(I258="N/A","N/A",IF(COUNTIF(I256:Z256,"Y")/14=0,"N/A",COUNTIF(I256:Z256,"Y")/(COUNTIF(I256:Z256,"Y")+COUNTIF(I256:Z256,"N"))))</f>
        <v>N/A</v>
      </c>
      <c r="I256" s="226" t="s">
        <v>2</v>
      </c>
      <c r="J256" s="226" t="s">
        <v>2</v>
      </c>
      <c r="K256" s="226" t="s">
        <v>2</v>
      </c>
      <c r="L256" s="226" t="s">
        <v>2</v>
      </c>
      <c r="M256" s="226" t="s">
        <v>2</v>
      </c>
      <c r="N256" s="226" t="s">
        <v>2</v>
      </c>
      <c r="O256" s="226" t="s">
        <v>2</v>
      </c>
      <c r="P256" s="226" t="s">
        <v>2</v>
      </c>
      <c r="Q256" s="226" t="s">
        <v>2</v>
      </c>
      <c r="R256" s="226" t="s">
        <v>2</v>
      </c>
      <c r="S256" s="226" t="s">
        <v>2</v>
      </c>
      <c r="T256" s="226" t="s">
        <v>2</v>
      </c>
      <c r="U256" s="226" t="s">
        <v>2</v>
      </c>
      <c r="V256" s="226" t="s">
        <v>2</v>
      </c>
      <c r="W256" s="226" t="s">
        <v>2</v>
      </c>
      <c r="X256" s="226" t="s">
        <v>2</v>
      </c>
      <c r="Y256" s="226" t="s">
        <v>2</v>
      </c>
      <c r="Z256" s="227" t="s">
        <v>2</v>
      </c>
    </row>
    <row r="257" spans="1:26" ht="14.45" customHeight="1">
      <c r="A257" s="708"/>
      <c r="B257" s="712"/>
      <c r="C257" s="715"/>
      <c r="D257" s="718"/>
      <c r="E257" s="712"/>
      <c r="F257" s="724"/>
      <c r="G257" s="224" t="s">
        <v>145</v>
      </c>
      <c r="H257" s="228" t="str">
        <f t="shared" ref="H257" si="480">IFERROR(IF(I258="N/A","N/A",COUNTIF(I257:Z257,"Y")/(COUNTIF(I257:Z257,"Y")+COUNTIF(I257:Z257,"N"))),"N/A")</f>
        <v>N/A</v>
      </c>
      <c r="I257" s="226" t="s">
        <v>2</v>
      </c>
      <c r="J257" s="226" t="s">
        <v>2</v>
      </c>
      <c r="K257" s="226" t="s">
        <v>2</v>
      </c>
      <c r="L257" s="226" t="s">
        <v>2</v>
      </c>
      <c r="M257" s="226" t="s">
        <v>2</v>
      </c>
      <c r="N257" s="226" t="s">
        <v>2</v>
      </c>
      <c r="O257" s="226" t="s">
        <v>2</v>
      </c>
      <c r="P257" s="226" t="s">
        <v>2</v>
      </c>
      <c r="Q257" s="226" t="s">
        <v>2</v>
      </c>
      <c r="R257" s="226" t="s">
        <v>2</v>
      </c>
      <c r="S257" s="226" t="s">
        <v>2</v>
      </c>
      <c r="T257" s="226" t="s">
        <v>2</v>
      </c>
      <c r="U257" s="226" t="s">
        <v>2</v>
      </c>
      <c r="V257" s="226" t="s">
        <v>2</v>
      </c>
      <c r="W257" s="226" t="s">
        <v>2</v>
      </c>
      <c r="X257" s="226" t="s">
        <v>2</v>
      </c>
      <c r="Y257" s="226" t="s">
        <v>2</v>
      </c>
      <c r="Z257" s="227" t="s">
        <v>2</v>
      </c>
    </row>
    <row r="258" spans="1:26" ht="14.45" customHeight="1">
      <c r="A258" s="708"/>
      <c r="B258" s="712"/>
      <c r="C258" s="715"/>
      <c r="D258" s="718"/>
      <c r="E258" s="712"/>
      <c r="F258" s="724"/>
      <c r="G258" s="224" t="s">
        <v>139</v>
      </c>
      <c r="H258" s="226" t="str">
        <f t="shared" ref="H258" si="481">IF(I258="N/A","N/A",SUM(I258:Z258))</f>
        <v>N/A</v>
      </c>
      <c r="I258" s="226" t="s">
        <v>3</v>
      </c>
      <c r="J258" s="226" t="s">
        <v>3</v>
      </c>
      <c r="K258" s="226" t="s">
        <v>3</v>
      </c>
      <c r="L258" s="226" t="s">
        <v>3</v>
      </c>
      <c r="M258" s="226" t="s">
        <v>3</v>
      </c>
      <c r="N258" s="226" t="s">
        <v>3</v>
      </c>
      <c r="O258" s="226" t="s">
        <v>3</v>
      </c>
      <c r="P258" s="226" t="s">
        <v>3</v>
      </c>
      <c r="Q258" s="226" t="s">
        <v>3</v>
      </c>
      <c r="R258" s="226" t="s">
        <v>3</v>
      </c>
      <c r="S258" s="226" t="s">
        <v>3</v>
      </c>
      <c r="T258" s="226" t="s">
        <v>3</v>
      </c>
      <c r="U258" s="226" t="s">
        <v>3</v>
      </c>
      <c r="V258" s="226" t="s">
        <v>3</v>
      </c>
      <c r="W258" s="226" t="s">
        <v>3</v>
      </c>
      <c r="X258" s="226" t="s">
        <v>3</v>
      </c>
      <c r="Y258" s="226" t="s">
        <v>3</v>
      </c>
      <c r="Z258" s="227" t="s">
        <v>3</v>
      </c>
    </row>
    <row r="259" spans="1:26" ht="14.45" customHeight="1">
      <c r="A259" s="708"/>
      <c r="B259" s="712"/>
      <c r="C259" s="715"/>
      <c r="D259" s="718"/>
      <c r="E259" s="712"/>
      <c r="F259" s="724"/>
      <c r="G259" s="224" t="s">
        <v>67</v>
      </c>
      <c r="H259" s="229">
        <f t="shared" ref="H259" si="482">SUM(I259:Z259)</f>
        <v>109</v>
      </c>
      <c r="I259" s="226">
        <f t="shared" ref="I259:Z259" si="483">IF(I260="","",I254+I260)</f>
        <v>7</v>
      </c>
      <c r="J259" s="226">
        <f t="shared" si="483"/>
        <v>6</v>
      </c>
      <c r="K259" s="226">
        <f t="shared" si="483"/>
        <v>7</v>
      </c>
      <c r="L259" s="226">
        <f t="shared" si="483"/>
        <v>5</v>
      </c>
      <c r="M259" s="226">
        <f t="shared" si="483"/>
        <v>7</v>
      </c>
      <c r="N259" s="226">
        <f t="shared" si="483"/>
        <v>5</v>
      </c>
      <c r="O259" s="226">
        <f t="shared" si="483"/>
        <v>9</v>
      </c>
      <c r="P259" s="226">
        <f t="shared" si="483"/>
        <v>4</v>
      </c>
      <c r="Q259" s="226">
        <f t="shared" si="483"/>
        <v>5</v>
      </c>
      <c r="R259" s="226">
        <f t="shared" si="483"/>
        <v>6</v>
      </c>
      <c r="S259" s="226">
        <f t="shared" si="483"/>
        <v>7</v>
      </c>
      <c r="T259" s="226">
        <f t="shared" si="483"/>
        <v>5</v>
      </c>
      <c r="U259" s="226">
        <f t="shared" si="483"/>
        <v>5</v>
      </c>
      <c r="V259" s="226">
        <f t="shared" si="483"/>
        <v>8</v>
      </c>
      <c r="W259" s="226">
        <f t="shared" si="483"/>
        <v>3</v>
      </c>
      <c r="X259" s="226">
        <f t="shared" si="483"/>
        <v>5</v>
      </c>
      <c r="Y259" s="226">
        <f t="shared" si="483"/>
        <v>7</v>
      </c>
      <c r="Z259" s="227">
        <f t="shared" si="483"/>
        <v>8</v>
      </c>
    </row>
    <row r="260" spans="1:26" ht="14.45" customHeight="1">
      <c r="A260" s="709"/>
      <c r="B260" s="713"/>
      <c r="C260" s="716"/>
      <c r="D260" s="719"/>
      <c r="E260" s="713"/>
      <c r="F260" s="725"/>
      <c r="G260" s="230" t="s">
        <v>143</v>
      </c>
      <c r="H260" s="231" t="str">
        <f t="shared" ref="H260" si="484">IF(SUM(I260:Z260)&gt;0,"+"&amp;SUM(I260:Z260),SUM(I260:Z260))</f>
        <v>+37</v>
      </c>
      <c r="I260" s="231">
        <v>3</v>
      </c>
      <c r="J260" s="232">
        <v>3</v>
      </c>
      <c r="K260" s="231">
        <v>3</v>
      </c>
      <c r="L260" s="233">
        <v>1</v>
      </c>
      <c r="M260" s="231">
        <v>2</v>
      </c>
      <c r="N260" s="233">
        <v>1</v>
      </c>
      <c r="O260" s="231">
        <v>4</v>
      </c>
      <c r="P260" s="233">
        <v>1</v>
      </c>
      <c r="Q260" s="233">
        <v>1</v>
      </c>
      <c r="R260" s="231">
        <v>2</v>
      </c>
      <c r="S260" s="231">
        <v>3</v>
      </c>
      <c r="T260" s="231">
        <v>2</v>
      </c>
      <c r="U260" s="235">
        <v>0</v>
      </c>
      <c r="V260" s="232">
        <v>4</v>
      </c>
      <c r="W260" s="235">
        <v>0</v>
      </c>
      <c r="X260" s="233">
        <v>1</v>
      </c>
      <c r="Y260" s="231">
        <v>3</v>
      </c>
      <c r="Z260" s="234">
        <v>3</v>
      </c>
    </row>
    <row r="261" spans="1:26" ht="14.45" customHeight="1">
      <c r="A261" s="707">
        <v>38</v>
      </c>
      <c r="B261" s="710"/>
      <c r="C261" s="714"/>
      <c r="D261" s="726"/>
      <c r="E261" s="720"/>
      <c r="F261" s="723"/>
      <c r="G261" s="221" t="s">
        <v>137</v>
      </c>
      <c r="H261" s="222">
        <f t="shared" ref="H261:H262" si="485">SUM(I261:Z261)</f>
        <v>0</v>
      </c>
      <c r="I261" s="222"/>
      <c r="J261" s="222"/>
      <c r="K261" s="222"/>
      <c r="L261" s="222"/>
      <c r="M261" s="222"/>
      <c r="N261" s="222"/>
      <c r="O261" s="222"/>
      <c r="P261" s="222"/>
      <c r="Q261" s="222"/>
      <c r="R261" s="222"/>
      <c r="S261" s="222"/>
      <c r="T261" s="222"/>
      <c r="U261" s="222"/>
      <c r="V261" s="222"/>
      <c r="W261" s="222"/>
      <c r="X261" s="222"/>
      <c r="Y261" s="222"/>
      <c r="Z261" s="223"/>
    </row>
    <row r="262" spans="1:26" ht="14.45" customHeight="1">
      <c r="A262" s="708"/>
      <c r="B262" s="711"/>
      <c r="C262" s="715"/>
      <c r="D262" s="718"/>
      <c r="E262" s="721"/>
      <c r="F262" s="724"/>
      <c r="G262" s="224" t="s">
        <v>160</v>
      </c>
      <c r="H262" s="225">
        <f t="shared" si="485"/>
        <v>0</v>
      </c>
      <c r="I262" s="226"/>
      <c r="J262" s="226"/>
      <c r="K262" s="226"/>
      <c r="L262" s="226"/>
      <c r="M262" s="226"/>
      <c r="N262" s="226"/>
      <c r="O262" s="226"/>
      <c r="P262" s="226"/>
      <c r="Q262" s="226"/>
      <c r="R262" s="226"/>
      <c r="S262" s="226"/>
      <c r="T262" s="226"/>
      <c r="U262" s="226"/>
      <c r="V262" s="226"/>
      <c r="W262" s="226"/>
      <c r="X262" s="226"/>
      <c r="Y262" s="226"/>
      <c r="Z262" s="227"/>
    </row>
    <row r="263" spans="1:26" ht="14.45" customHeight="1">
      <c r="A263" s="708"/>
      <c r="B263" s="712"/>
      <c r="C263" s="715"/>
      <c r="D263" s="718"/>
      <c r="E263" s="721"/>
      <c r="F263" s="724"/>
      <c r="G263" s="224" t="s">
        <v>138</v>
      </c>
      <c r="H263" s="228" t="str">
        <f t="shared" ref="H263" si="486">IF(I265="N/A","N/A",IF(COUNTIF(I263:Z263,"Y")/14=0,"N/A",COUNTIF(I263:Z263,"Y")/(COUNTIF(I263:Z263,"Y")+COUNTIF(I263:Z263,"N"))))</f>
        <v>N/A</v>
      </c>
      <c r="I263" s="226" t="s">
        <v>2</v>
      </c>
      <c r="J263" s="226" t="s">
        <v>2</v>
      </c>
      <c r="K263" s="226" t="s">
        <v>2</v>
      </c>
      <c r="L263" s="226" t="s">
        <v>2</v>
      </c>
      <c r="M263" s="226" t="s">
        <v>2</v>
      </c>
      <c r="N263" s="226" t="s">
        <v>2</v>
      </c>
      <c r="O263" s="226" t="s">
        <v>2</v>
      </c>
      <c r="P263" s="226" t="s">
        <v>2</v>
      </c>
      <c r="Q263" s="226" t="s">
        <v>2</v>
      </c>
      <c r="R263" s="226" t="s">
        <v>2</v>
      </c>
      <c r="S263" s="226" t="s">
        <v>2</v>
      </c>
      <c r="T263" s="226" t="s">
        <v>2</v>
      </c>
      <c r="U263" s="226" t="s">
        <v>2</v>
      </c>
      <c r="V263" s="226" t="s">
        <v>2</v>
      </c>
      <c r="W263" s="226" t="s">
        <v>2</v>
      </c>
      <c r="X263" s="226" t="s">
        <v>2</v>
      </c>
      <c r="Y263" s="226" t="s">
        <v>2</v>
      </c>
      <c r="Z263" s="227" t="s">
        <v>2</v>
      </c>
    </row>
    <row r="264" spans="1:26" ht="14.45" customHeight="1">
      <c r="A264" s="708"/>
      <c r="B264" s="712"/>
      <c r="C264" s="715"/>
      <c r="D264" s="718"/>
      <c r="E264" s="721"/>
      <c r="F264" s="724"/>
      <c r="G264" s="224" t="s">
        <v>145</v>
      </c>
      <c r="H264" s="228" t="str">
        <f t="shared" ref="H264" si="487">IFERROR(IF(I265="N/A","N/A",COUNTIF(I264:Z264,"Y")/(COUNTIF(I264:Z264,"Y")+COUNTIF(I264:Z264,"N"))),"N/A")</f>
        <v>N/A</v>
      </c>
      <c r="I264" s="226" t="s">
        <v>2</v>
      </c>
      <c r="J264" s="226" t="s">
        <v>2</v>
      </c>
      <c r="K264" s="226" t="s">
        <v>2</v>
      </c>
      <c r="L264" s="226" t="s">
        <v>2</v>
      </c>
      <c r="M264" s="226" t="s">
        <v>2</v>
      </c>
      <c r="N264" s="226" t="s">
        <v>2</v>
      </c>
      <c r="O264" s="226" t="s">
        <v>2</v>
      </c>
      <c r="P264" s="226" t="s">
        <v>2</v>
      </c>
      <c r="Q264" s="226" t="s">
        <v>2</v>
      </c>
      <c r="R264" s="226" t="s">
        <v>2</v>
      </c>
      <c r="S264" s="226" t="s">
        <v>2</v>
      </c>
      <c r="T264" s="226" t="s">
        <v>2</v>
      </c>
      <c r="U264" s="226" t="s">
        <v>2</v>
      </c>
      <c r="V264" s="226" t="s">
        <v>2</v>
      </c>
      <c r="W264" s="226" t="s">
        <v>2</v>
      </c>
      <c r="X264" s="226" t="s">
        <v>2</v>
      </c>
      <c r="Y264" s="226" t="s">
        <v>2</v>
      </c>
      <c r="Z264" s="227" t="s">
        <v>2</v>
      </c>
    </row>
    <row r="265" spans="1:26" ht="14.45" customHeight="1">
      <c r="A265" s="708"/>
      <c r="B265" s="712"/>
      <c r="C265" s="715"/>
      <c r="D265" s="718"/>
      <c r="E265" s="721"/>
      <c r="F265" s="724"/>
      <c r="G265" s="224" t="s">
        <v>139</v>
      </c>
      <c r="H265" s="226" t="str">
        <f t="shared" ref="H265" si="488">IF(I265="N/A","N/A",SUM(I265:Z265))</f>
        <v>N/A</v>
      </c>
      <c r="I265" s="226" t="s">
        <v>3</v>
      </c>
      <c r="J265" s="226" t="s">
        <v>3</v>
      </c>
      <c r="K265" s="226" t="s">
        <v>3</v>
      </c>
      <c r="L265" s="226" t="s">
        <v>3</v>
      </c>
      <c r="M265" s="226" t="s">
        <v>3</v>
      </c>
      <c r="N265" s="226" t="s">
        <v>3</v>
      </c>
      <c r="O265" s="226" t="s">
        <v>3</v>
      </c>
      <c r="P265" s="226" t="s">
        <v>3</v>
      </c>
      <c r="Q265" s="226" t="s">
        <v>3</v>
      </c>
      <c r="R265" s="226" t="s">
        <v>3</v>
      </c>
      <c r="S265" s="226" t="s">
        <v>3</v>
      </c>
      <c r="T265" s="226" t="s">
        <v>3</v>
      </c>
      <c r="U265" s="226" t="s">
        <v>3</v>
      </c>
      <c r="V265" s="226" t="s">
        <v>3</v>
      </c>
      <c r="W265" s="226" t="s">
        <v>3</v>
      </c>
      <c r="X265" s="226" t="s">
        <v>3</v>
      </c>
      <c r="Y265" s="226" t="s">
        <v>3</v>
      </c>
      <c r="Z265" s="227" t="s">
        <v>3</v>
      </c>
    </row>
    <row r="266" spans="1:26" ht="14.45" customHeight="1">
      <c r="A266" s="708"/>
      <c r="B266" s="712"/>
      <c r="C266" s="715"/>
      <c r="D266" s="718"/>
      <c r="E266" s="721"/>
      <c r="F266" s="724"/>
      <c r="G266" s="224" t="s">
        <v>67</v>
      </c>
      <c r="H266" s="229">
        <f t="shared" ref="H266" si="489">SUM(I266:Z266)</f>
        <v>0</v>
      </c>
      <c r="I266" s="226" t="str">
        <f t="shared" ref="I266:Z266" si="490">IF(I267="","",I261+I267)</f>
        <v/>
      </c>
      <c r="J266" s="226" t="str">
        <f t="shared" si="490"/>
        <v/>
      </c>
      <c r="K266" s="226" t="str">
        <f t="shared" si="490"/>
        <v/>
      </c>
      <c r="L266" s="226" t="str">
        <f t="shared" si="490"/>
        <v/>
      </c>
      <c r="M266" s="226" t="str">
        <f t="shared" si="490"/>
        <v/>
      </c>
      <c r="N266" s="226" t="str">
        <f t="shared" si="490"/>
        <v/>
      </c>
      <c r="O266" s="226" t="str">
        <f t="shared" si="490"/>
        <v/>
      </c>
      <c r="P266" s="226" t="str">
        <f t="shared" si="490"/>
        <v/>
      </c>
      <c r="Q266" s="226" t="str">
        <f t="shared" si="490"/>
        <v/>
      </c>
      <c r="R266" s="226" t="str">
        <f t="shared" si="490"/>
        <v/>
      </c>
      <c r="S266" s="226" t="str">
        <f t="shared" si="490"/>
        <v/>
      </c>
      <c r="T266" s="226" t="str">
        <f t="shared" si="490"/>
        <v/>
      </c>
      <c r="U266" s="226" t="str">
        <f t="shared" si="490"/>
        <v/>
      </c>
      <c r="V266" s="226" t="str">
        <f t="shared" si="490"/>
        <v/>
      </c>
      <c r="W266" s="226" t="str">
        <f t="shared" si="490"/>
        <v/>
      </c>
      <c r="X266" s="226" t="str">
        <f t="shared" si="490"/>
        <v/>
      </c>
      <c r="Y266" s="226" t="str">
        <f t="shared" si="490"/>
        <v/>
      </c>
      <c r="Z266" s="227" t="str">
        <f t="shared" si="490"/>
        <v/>
      </c>
    </row>
    <row r="267" spans="1:26" ht="14.45" customHeight="1">
      <c r="A267" s="709"/>
      <c r="B267" s="713"/>
      <c r="C267" s="716"/>
      <c r="D267" s="719"/>
      <c r="E267" s="722"/>
      <c r="F267" s="725"/>
      <c r="G267" s="230" t="s">
        <v>143</v>
      </c>
      <c r="H267" s="231">
        <f t="shared" ref="H267" si="491">IF(SUM(I267:Z267)&gt;0,"+"&amp;SUM(I267:Z267),SUM(I267:Z267))</f>
        <v>0</v>
      </c>
      <c r="I267" s="231"/>
      <c r="J267" s="231"/>
      <c r="K267" s="231"/>
      <c r="L267" s="231"/>
      <c r="M267" s="231"/>
      <c r="N267" s="231"/>
      <c r="O267" s="231"/>
      <c r="P267" s="231"/>
      <c r="Q267" s="231"/>
      <c r="R267" s="231"/>
      <c r="S267" s="231"/>
      <c r="T267" s="231"/>
      <c r="U267" s="231"/>
      <c r="V267" s="231"/>
      <c r="W267" s="231"/>
      <c r="X267" s="231"/>
      <c r="Y267" s="231"/>
      <c r="Z267" s="234"/>
    </row>
    <row r="268" spans="1:26" ht="14.45" customHeight="1">
      <c r="A268" s="707">
        <v>39</v>
      </c>
      <c r="B268" s="710"/>
      <c r="C268" s="714"/>
      <c r="D268" s="726"/>
      <c r="E268" s="727"/>
      <c r="F268" s="728"/>
      <c r="G268" s="221" t="s">
        <v>137</v>
      </c>
      <c r="H268" s="222">
        <f t="shared" ref="H268:H269" si="492">SUM(I268:Z268)</f>
        <v>0</v>
      </c>
      <c r="I268" s="222"/>
      <c r="J268" s="222"/>
      <c r="K268" s="222"/>
      <c r="L268" s="222"/>
      <c r="M268" s="222"/>
      <c r="N268" s="222"/>
      <c r="O268" s="222"/>
      <c r="P268" s="222"/>
      <c r="Q268" s="222"/>
      <c r="R268" s="222"/>
      <c r="S268" s="222"/>
      <c r="T268" s="222"/>
      <c r="U268" s="222"/>
      <c r="V268" s="222"/>
      <c r="W268" s="222"/>
      <c r="X268" s="222"/>
      <c r="Y268" s="222"/>
      <c r="Z268" s="223"/>
    </row>
    <row r="269" spans="1:26" ht="14.45" customHeight="1">
      <c r="A269" s="708"/>
      <c r="B269" s="711"/>
      <c r="C269" s="715"/>
      <c r="D269" s="718"/>
      <c r="E269" s="712"/>
      <c r="F269" s="729"/>
      <c r="G269" s="224" t="s">
        <v>160</v>
      </c>
      <c r="H269" s="225">
        <f t="shared" si="492"/>
        <v>0</v>
      </c>
      <c r="I269" s="226"/>
      <c r="J269" s="226"/>
      <c r="K269" s="226"/>
      <c r="L269" s="226"/>
      <c r="M269" s="226"/>
      <c r="N269" s="226"/>
      <c r="O269" s="226"/>
      <c r="P269" s="226"/>
      <c r="Q269" s="226"/>
      <c r="R269" s="226"/>
      <c r="S269" s="226"/>
      <c r="T269" s="226"/>
      <c r="U269" s="226"/>
      <c r="V269" s="226"/>
      <c r="W269" s="226"/>
      <c r="X269" s="226"/>
      <c r="Y269" s="226"/>
      <c r="Z269" s="227"/>
    </row>
    <row r="270" spans="1:26" ht="14.45" customHeight="1">
      <c r="A270" s="708"/>
      <c r="B270" s="712"/>
      <c r="C270" s="715"/>
      <c r="D270" s="718"/>
      <c r="E270" s="712"/>
      <c r="F270" s="712"/>
      <c r="G270" s="224" t="s">
        <v>138</v>
      </c>
      <c r="H270" s="228" t="str">
        <f t="shared" ref="H270" si="493">IF(I272="N/A","N/A",IF(COUNTIF(I270:Z270,"Y")/14=0,"N/A",COUNTIF(I270:Z270,"Y")/(COUNTIF(I270:Z270,"Y")+COUNTIF(I270:Z270,"N"))))</f>
        <v>N/A</v>
      </c>
      <c r="I270" s="226" t="s">
        <v>2</v>
      </c>
      <c r="J270" s="226" t="s">
        <v>2</v>
      </c>
      <c r="K270" s="226" t="s">
        <v>2</v>
      </c>
      <c r="L270" s="226" t="s">
        <v>2</v>
      </c>
      <c r="M270" s="226" t="s">
        <v>2</v>
      </c>
      <c r="N270" s="226" t="s">
        <v>2</v>
      </c>
      <c r="O270" s="226" t="s">
        <v>2</v>
      </c>
      <c r="P270" s="226" t="s">
        <v>2</v>
      </c>
      <c r="Q270" s="226" t="s">
        <v>2</v>
      </c>
      <c r="R270" s="226" t="s">
        <v>2</v>
      </c>
      <c r="S270" s="226" t="s">
        <v>2</v>
      </c>
      <c r="T270" s="226" t="s">
        <v>2</v>
      </c>
      <c r="U270" s="226" t="s">
        <v>2</v>
      </c>
      <c r="V270" s="226" t="s">
        <v>2</v>
      </c>
      <c r="W270" s="226" t="s">
        <v>2</v>
      </c>
      <c r="X270" s="226" t="s">
        <v>2</v>
      </c>
      <c r="Y270" s="226" t="s">
        <v>2</v>
      </c>
      <c r="Z270" s="227" t="s">
        <v>2</v>
      </c>
    </row>
    <row r="271" spans="1:26" ht="14.45" customHeight="1">
      <c r="A271" s="708"/>
      <c r="B271" s="712"/>
      <c r="C271" s="715"/>
      <c r="D271" s="718"/>
      <c r="E271" s="712"/>
      <c r="F271" s="712"/>
      <c r="G271" s="224" t="s">
        <v>145</v>
      </c>
      <c r="H271" s="228" t="str">
        <f t="shared" ref="H271" si="494">IFERROR(IF(I272="N/A","N/A",COUNTIF(I271:Z271,"Y")/(COUNTIF(I271:Z271,"Y")+COUNTIF(I271:Z271,"N"))),"N/A")</f>
        <v>N/A</v>
      </c>
      <c r="I271" s="226" t="s">
        <v>2</v>
      </c>
      <c r="J271" s="226" t="s">
        <v>2</v>
      </c>
      <c r="K271" s="226" t="s">
        <v>2</v>
      </c>
      <c r="L271" s="226" t="s">
        <v>2</v>
      </c>
      <c r="M271" s="226" t="s">
        <v>2</v>
      </c>
      <c r="N271" s="226" t="s">
        <v>2</v>
      </c>
      <c r="O271" s="226" t="s">
        <v>2</v>
      </c>
      <c r="P271" s="226" t="s">
        <v>2</v>
      </c>
      <c r="Q271" s="226" t="s">
        <v>2</v>
      </c>
      <c r="R271" s="226" t="s">
        <v>2</v>
      </c>
      <c r="S271" s="226" t="s">
        <v>2</v>
      </c>
      <c r="T271" s="226" t="s">
        <v>2</v>
      </c>
      <c r="U271" s="226" t="s">
        <v>2</v>
      </c>
      <c r="V271" s="226" t="s">
        <v>2</v>
      </c>
      <c r="W271" s="226" t="s">
        <v>2</v>
      </c>
      <c r="X271" s="226" t="s">
        <v>2</v>
      </c>
      <c r="Y271" s="226" t="s">
        <v>2</v>
      </c>
      <c r="Z271" s="227" t="s">
        <v>2</v>
      </c>
    </row>
    <row r="272" spans="1:26" ht="14.45" customHeight="1">
      <c r="A272" s="708"/>
      <c r="B272" s="712"/>
      <c r="C272" s="715"/>
      <c r="D272" s="718"/>
      <c r="E272" s="712"/>
      <c r="F272" s="712"/>
      <c r="G272" s="224" t="s">
        <v>139</v>
      </c>
      <c r="H272" s="226" t="str">
        <f t="shared" ref="H272" si="495">IF(I272="N/A","N/A",SUM(I272:Z272))</f>
        <v>N/A</v>
      </c>
      <c r="I272" s="226" t="s">
        <v>3</v>
      </c>
      <c r="J272" s="226" t="s">
        <v>3</v>
      </c>
      <c r="K272" s="226" t="s">
        <v>3</v>
      </c>
      <c r="L272" s="226" t="s">
        <v>3</v>
      </c>
      <c r="M272" s="226" t="s">
        <v>3</v>
      </c>
      <c r="N272" s="226" t="s">
        <v>3</v>
      </c>
      <c r="O272" s="226" t="s">
        <v>3</v>
      </c>
      <c r="P272" s="226" t="s">
        <v>3</v>
      </c>
      <c r="Q272" s="226" t="s">
        <v>3</v>
      </c>
      <c r="R272" s="226" t="s">
        <v>3</v>
      </c>
      <c r="S272" s="226" t="s">
        <v>3</v>
      </c>
      <c r="T272" s="226" t="s">
        <v>3</v>
      </c>
      <c r="U272" s="226" t="s">
        <v>3</v>
      </c>
      <c r="V272" s="226" t="s">
        <v>3</v>
      </c>
      <c r="W272" s="226" t="s">
        <v>3</v>
      </c>
      <c r="X272" s="226" t="s">
        <v>3</v>
      </c>
      <c r="Y272" s="226" t="s">
        <v>3</v>
      </c>
      <c r="Z272" s="227" t="s">
        <v>3</v>
      </c>
    </row>
    <row r="273" spans="1:26" ht="14.45" customHeight="1">
      <c r="A273" s="708"/>
      <c r="B273" s="712"/>
      <c r="C273" s="715"/>
      <c r="D273" s="718"/>
      <c r="E273" s="712"/>
      <c r="F273" s="712"/>
      <c r="G273" s="224" t="s">
        <v>67</v>
      </c>
      <c r="H273" s="229">
        <f t="shared" ref="H273" si="496">SUM(I273:Z273)</f>
        <v>0</v>
      </c>
      <c r="I273" s="226" t="str">
        <f t="shared" ref="I273:Z273" si="497">IF(I274="","",I268+I274)</f>
        <v/>
      </c>
      <c r="J273" s="226" t="str">
        <f t="shared" si="497"/>
        <v/>
      </c>
      <c r="K273" s="226" t="str">
        <f t="shared" si="497"/>
        <v/>
      </c>
      <c r="L273" s="226" t="str">
        <f t="shared" si="497"/>
        <v/>
      </c>
      <c r="M273" s="226" t="str">
        <f t="shared" si="497"/>
        <v/>
      </c>
      <c r="N273" s="226" t="str">
        <f t="shared" si="497"/>
        <v/>
      </c>
      <c r="O273" s="226" t="str">
        <f t="shared" si="497"/>
        <v/>
      </c>
      <c r="P273" s="226" t="str">
        <f t="shared" si="497"/>
        <v/>
      </c>
      <c r="Q273" s="226" t="str">
        <f t="shared" si="497"/>
        <v/>
      </c>
      <c r="R273" s="226" t="str">
        <f t="shared" si="497"/>
        <v/>
      </c>
      <c r="S273" s="226" t="str">
        <f t="shared" si="497"/>
        <v/>
      </c>
      <c r="T273" s="226" t="str">
        <f t="shared" si="497"/>
        <v/>
      </c>
      <c r="U273" s="226" t="str">
        <f t="shared" si="497"/>
        <v/>
      </c>
      <c r="V273" s="226" t="str">
        <f t="shared" si="497"/>
        <v/>
      </c>
      <c r="W273" s="226" t="str">
        <f t="shared" si="497"/>
        <v/>
      </c>
      <c r="X273" s="226" t="str">
        <f t="shared" si="497"/>
        <v/>
      </c>
      <c r="Y273" s="226" t="str">
        <f t="shared" si="497"/>
        <v/>
      </c>
      <c r="Z273" s="227" t="str">
        <f t="shared" si="497"/>
        <v/>
      </c>
    </row>
    <row r="274" spans="1:26" ht="14.45" customHeight="1">
      <c r="A274" s="709"/>
      <c r="B274" s="713"/>
      <c r="C274" s="716"/>
      <c r="D274" s="719"/>
      <c r="E274" s="713"/>
      <c r="F274" s="713"/>
      <c r="G274" s="230" t="s">
        <v>143</v>
      </c>
      <c r="H274" s="231">
        <f t="shared" ref="H274" si="498">IF(SUM(I274:Z274)&gt;0,"+"&amp;SUM(I274:Z274),SUM(I274:Z274))</f>
        <v>0</v>
      </c>
      <c r="I274" s="231"/>
      <c r="J274" s="231"/>
      <c r="K274" s="231"/>
      <c r="L274" s="231"/>
      <c r="M274" s="231"/>
      <c r="N274" s="231"/>
      <c r="O274" s="231"/>
      <c r="P274" s="231"/>
      <c r="Q274" s="231"/>
      <c r="R274" s="231"/>
      <c r="S274" s="231"/>
      <c r="T274" s="231"/>
      <c r="U274" s="231"/>
      <c r="V274" s="231"/>
      <c r="W274" s="231"/>
      <c r="X274" s="231"/>
      <c r="Y274" s="231"/>
      <c r="Z274" s="234"/>
    </row>
    <row r="275" spans="1:26" ht="14.45" customHeight="1">
      <c r="A275" s="707">
        <v>40</v>
      </c>
      <c r="B275" s="710"/>
      <c r="C275" s="714"/>
      <c r="D275" s="726"/>
      <c r="E275" s="727"/>
      <c r="F275" s="728"/>
      <c r="G275" s="221" t="s">
        <v>137</v>
      </c>
      <c r="H275" s="222">
        <f t="shared" si="407"/>
        <v>0</v>
      </c>
      <c r="I275" s="222"/>
      <c r="J275" s="222"/>
      <c r="K275" s="222"/>
      <c r="L275" s="222"/>
      <c r="M275" s="222"/>
      <c r="N275" s="222"/>
      <c r="O275" s="222"/>
      <c r="P275" s="222"/>
      <c r="Q275" s="222"/>
      <c r="R275" s="222"/>
      <c r="S275" s="222"/>
      <c r="T275" s="222"/>
      <c r="U275" s="222"/>
      <c r="V275" s="222"/>
      <c r="W275" s="222"/>
      <c r="X275" s="222"/>
      <c r="Y275" s="222"/>
      <c r="Z275" s="223"/>
    </row>
    <row r="276" spans="1:26" ht="14.45" customHeight="1">
      <c r="A276" s="708"/>
      <c r="B276" s="711"/>
      <c r="C276" s="715"/>
      <c r="D276" s="718"/>
      <c r="E276" s="712"/>
      <c r="F276" s="729"/>
      <c r="G276" s="224" t="s">
        <v>160</v>
      </c>
      <c r="H276" s="225">
        <f t="shared" si="407"/>
        <v>0</v>
      </c>
      <c r="I276" s="226"/>
      <c r="J276" s="226"/>
      <c r="K276" s="226"/>
      <c r="L276" s="226"/>
      <c r="M276" s="226"/>
      <c r="N276" s="226"/>
      <c r="O276" s="226"/>
      <c r="P276" s="226"/>
      <c r="Q276" s="226"/>
      <c r="R276" s="226"/>
      <c r="S276" s="226"/>
      <c r="T276" s="226"/>
      <c r="U276" s="226"/>
      <c r="V276" s="226"/>
      <c r="W276" s="226"/>
      <c r="X276" s="226"/>
      <c r="Y276" s="226"/>
      <c r="Z276" s="227"/>
    </row>
    <row r="277" spans="1:26" ht="14.45" customHeight="1">
      <c r="A277" s="708"/>
      <c r="B277" s="712"/>
      <c r="C277" s="715"/>
      <c r="D277" s="718"/>
      <c r="E277" s="712"/>
      <c r="F277" s="712"/>
      <c r="G277" s="224" t="s">
        <v>138</v>
      </c>
      <c r="H277" s="228" t="str">
        <f t="shared" si="408"/>
        <v>N/A</v>
      </c>
      <c r="I277" s="226" t="s">
        <v>2</v>
      </c>
      <c r="J277" s="226" t="s">
        <v>2</v>
      </c>
      <c r="K277" s="226" t="s">
        <v>2</v>
      </c>
      <c r="L277" s="226" t="s">
        <v>2</v>
      </c>
      <c r="M277" s="226" t="s">
        <v>2</v>
      </c>
      <c r="N277" s="226" t="s">
        <v>2</v>
      </c>
      <c r="O277" s="226" t="s">
        <v>2</v>
      </c>
      <c r="P277" s="226" t="s">
        <v>2</v>
      </c>
      <c r="Q277" s="226" t="s">
        <v>2</v>
      </c>
      <c r="R277" s="226" t="s">
        <v>2</v>
      </c>
      <c r="S277" s="226" t="s">
        <v>2</v>
      </c>
      <c r="T277" s="226" t="s">
        <v>2</v>
      </c>
      <c r="U277" s="226" t="s">
        <v>2</v>
      </c>
      <c r="V277" s="226" t="s">
        <v>2</v>
      </c>
      <c r="W277" s="226" t="s">
        <v>2</v>
      </c>
      <c r="X277" s="226" t="s">
        <v>2</v>
      </c>
      <c r="Y277" s="226" t="s">
        <v>2</v>
      </c>
      <c r="Z277" s="227" t="s">
        <v>2</v>
      </c>
    </row>
    <row r="278" spans="1:26" ht="14.45" customHeight="1">
      <c r="A278" s="708"/>
      <c r="B278" s="712"/>
      <c r="C278" s="715"/>
      <c r="D278" s="718"/>
      <c r="E278" s="712"/>
      <c r="F278" s="712"/>
      <c r="G278" s="224" t="s">
        <v>145</v>
      </c>
      <c r="H278" s="228" t="str">
        <f t="shared" ref="H278" si="499">IFERROR(IF(I279="N/A","N/A",COUNTIF(I278:Z278,"Y")/(COUNTIF(I278:Z278,"Y")+COUNTIF(I278:Z278,"N"))),"N/A")</f>
        <v>N/A</v>
      </c>
      <c r="I278" s="226" t="s">
        <v>2</v>
      </c>
      <c r="J278" s="226" t="s">
        <v>2</v>
      </c>
      <c r="K278" s="226" t="s">
        <v>2</v>
      </c>
      <c r="L278" s="226" t="s">
        <v>2</v>
      </c>
      <c r="M278" s="226" t="s">
        <v>2</v>
      </c>
      <c r="N278" s="226" t="s">
        <v>2</v>
      </c>
      <c r="O278" s="226" t="s">
        <v>2</v>
      </c>
      <c r="P278" s="226" t="s">
        <v>2</v>
      </c>
      <c r="Q278" s="226" t="s">
        <v>2</v>
      </c>
      <c r="R278" s="226" t="s">
        <v>2</v>
      </c>
      <c r="S278" s="226" t="s">
        <v>2</v>
      </c>
      <c r="T278" s="226" t="s">
        <v>2</v>
      </c>
      <c r="U278" s="226" t="s">
        <v>2</v>
      </c>
      <c r="V278" s="226" t="s">
        <v>2</v>
      </c>
      <c r="W278" s="226" t="s">
        <v>2</v>
      </c>
      <c r="X278" s="226" t="s">
        <v>2</v>
      </c>
      <c r="Y278" s="226" t="s">
        <v>2</v>
      </c>
      <c r="Z278" s="227" t="s">
        <v>2</v>
      </c>
    </row>
    <row r="279" spans="1:26" ht="14.45" customHeight="1">
      <c r="A279" s="708"/>
      <c r="B279" s="712"/>
      <c r="C279" s="715"/>
      <c r="D279" s="718"/>
      <c r="E279" s="712"/>
      <c r="F279" s="712"/>
      <c r="G279" s="224" t="s">
        <v>139</v>
      </c>
      <c r="H279" s="226" t="str">
        <f t="shared" si="410"/>
        <v>N/A</v>
      </c>
      <c r="I279" s="226" t="s">
        <v>3</v>
      </c>
      <c r="J279" s="226" t="s">
        <v>3</v>
      </c>
      <c r="K279" s="226" t="s">
        <v>3</v>
      </c>
      <c r="L279" s="226" t="s">
        <v>3</v>
      </c>
      <c r="M279" s="226" t="s">
        <v>3</v>
      </c>
      <c r="N279" s="226" t="s">
        <v>3</v>
      </c>
      <c r="O279" s="226" t="s">
        <v>3</v>
      </c>
      <c r="P279" s="226" t="s">
        <v>3</v>
      </c>
      <c r="Q279" s="226" t="s">
        <v>3</v>
      </c>
      <c r="R279" s="226" t="s">
        <v>3</v>
      </c>
      <c r="S279" s="226" t="s">
        <v>3</v>
      </c>
      <c r="T279" s="226" t="s">
        <v>3</v>
      </c>
      <c r="U279" s="226" t="s">
        <v>3</v>
      </c>
      <c r="V279" s="226" t="s">
        <v>3</v>
      </c>
      <c r="W279" s="226" t="s">
        <v>3</v>
      </c>
      <c r="X279" s="226" t="s">
        <v>3</v>
      </c>
      <c r="Y279" s="226" t="s">
        <v>3</v>
      </c>
      <c r="Z279" s="227" t="s">
        <v>3</v>
      </c>
    </row>
    <row r="280" spans="1:26" ht="14.45" customHeight="1">
      <c r="A280" s="708"/>
      <c r="B280" s="712"/>
      <c r="C280" s="715"/>
      <c r="D280" s="718"/>
      <c r="E280" s="712"/>
      <c r="F280" s="712"/>
      <c r="G280" s="224" t="s">
        <v>67</v>
      </c>
      <c r="H280" s="229">
        <f t="shared" si="411"/>
        <v>0</v>
      </c>
      <c r="I280" s="226" t="str">
        <f t="shared" ref="I280" si="500">IF(I281="","",I275+I281)</f>
        <v/>
      </c>
      <c r="J280" s="226" t="str">
        <f t="shared" ref="J280" si="501">IF(J281="","",J275+J281)</f>
        <v/>
      </c>
      <c r="K280" s="226" t="str">
        <f t="shared" ref="K280" si="502">IF(K281="","",K275+K281)</f>
        <v/>
      </c>
      <c r="L280" s="226" t="str">
        <f t="shared" ref="L280" si="503">IF(L281="","",L275+L281)</f>
        <v/>
      </c>
      <c r="M280" s="226" t="str">
        <f t="shared" ref="M280" si="504">IF(M281="","",M275+M281)</f>
        <v/>
      </c>
      <c r="N280" s="226" t="str">
        <f t="shared" ref="N280" si="505">IF(N281="","",N275+N281)</f>
        <v/>
      </c>
      <c r="O280" s="226" t="str">
        <f t="shared" ref="O280" si="506">IF(O281="","",O275+O281)</f>
        <v/>
      </c>
      <c r="P280" s="226" t="str">
        <f t="shared" ref="P280" si="507">IF(P281="","",P275+P281)</f>
        <v/>
      </c>
      <c r="Q280" s="226" t="str">
        <f t="shared" ref="Q280" si="508">IF(Q281="","",Q275+Q281)</f>
        <v/>
      </c>
      <c r="R280" s="226" t="str">
        <f t="shared" ref="R280" si="509">IF(R281="","",R275+R281)</f>
        <v/>
      </c>
      <c r="S280" s="226" t="str">
        <f t="shared" ref="S280" si="510">IF(S281="","",S275+S281)</f>
        <v/>
      </c>
      <c r="T280" s="226" t="str">
        <f t="shared" ref="T280" si="511">IF(T281="","",T275+T281)</f>
        <v/>
      </c>
      <c r="U280" s="226" t="str">
        <f t="shared" ref="U280" si="512">IF(U281="","",U275+U281)</f>
        <v/>
      </c>
      <c r="V280" s="226" t="str">
        <f t="shared" ref="V280" si="513">IF(V281="","",V275+V281)</f>
        <v/>
      </c>
      <c r="W280" s="226" t="str">
        <f t="shared" ref="W280" si="514">IF(W281="","",W275+W281)</f>
        <v/>
      </c>
      <c r="X280" s="226" t="str">
        <f t="shared" ref="X280" si="515">IF(X281="","",X275+X281)</f>
        <v/>
      </c>
      <c r="Y280" s="226" t="str">
        <f t="shared" ref="Y280" si="516">IF(Y281="","",Y275+Y281)</f>
        <v/>
      </c>
      <c r="Z280" s="227" t="str">
        <f t="shared" ref="Z280" si="517">IF(Z281="","",Z275+Z281)</f>
        <v/>
      </c>
    </row>
    <row r="281" spans="1:26" ht="14.45" customHeight="1">
      <c r="A281" s="709"/>
      <c r="B281" s="713"/>
      <c r="C281" s="716"/>
      <c r="D281" s="719"/>
      <c r="E281" s="713"/>
      <c r="F281" s="713"/>
      <c r="G281" s="230" t="s">
        <v>143</v>
      </c>
      <c r="H281" s="231">
        <f t="shared" si="430"/>
        <v>0</v>
      </c>
      <c r="I281" s="231"/>
      <c r="J281" s="231"/>
      <c r="K281" s="231"/>
      <c r="L281" s="231"/>
      <c r="M281" s="231"/>
      <c r="N281" s="231"/>
      <c r="O281" s="231"/>
      <c r="P281" s="231"/>
      <c r="Q281" s="231"/>
      <c r="R281" s="231"/>
      <c r="S281" s="231"/>
      <c r="T281" s="231"/>
      <c r="U281" s="231"/>
      <c r="V281" s="231"/>
      <c r="W281" s="231"/>
      <c r="X281" s="231"/>
      <c r="Y281" s="231"/>
      <c r="Z281" s="234"/>
    </row>
  </sheetData>
  <autoFilter ref="A1:AS281" xr:uid="{00000000-0009-0000-0000-000009000000}"/>
  <mergeCells count="240">
    <mergeCell ref="D226:D232"/>
    <mergeCell ref="E226:E232"/>
    <mergeCell ref="F226:F232"/>
    <mergeCell ref="A170:A176"/>
    <mergeCell ref="B170:B176"/>
    <mergeCell ref="C170:C176"/>
    <mergeCell ref="D170:D176"/>
    <mergeCell ref="E170:E176"/>
    <mergeCell ref="F170:F176"/>
    <mergeCell ref="A191:A197"/>
    <mergeCell ref="B191:B197"/>
    <mergeCell ref="C191:C197"/>
    <mergeCell ref="D191:D197"/>
    <mergeCell ref="E191:E197"/>
    <mergeCell ref="F191:F197"/>
    <mergeCell ref="A198:A204"/>
    <mergeCell ref="B198:B204"/>
    <mergeCell ref="C198:C204"/>
    <mergeCell ref="D198:D204"/>
    <mergeCell ref="E198:E204"/>
    <mergeCell ref="F198:F204"/>
    <mergeCell ref="A177:A183"/>
    <mergeCell ref="B177:B183"/>
    <mergeCell ref="C177:C183"/>
    <mergeCell ref="A275:A281"/>
    <mergeCell ref="B275:B281"/>
    <mergeCell ref="C275:C281"/>
    <mergeCell ref="D275:D281"/>
    <mergeCell ref="E275:E281"/>
    <mergeCell ref="F275:F281"/>
    <mergeCell ref="F212:F218"/>
    <mergeCell ref="A219:A225"/>
    <mergeCell ref="B219:B225"/>
    <mergeCell ref="C219:C225"/>
    <mergeCell ref="D219:D225"/>
    <mergeCell ref="E219:E225"/>
    <mergeCell ref="F219:F225"/>
    <mergeCell ref="A212:A218"/>
    <mergeCell ref="B212:B218"/>
    <mergeCell ref="C212:C218"/>
    <mergeCell ref="D212:D218"/>
    <mergeCell ref="E212:E218"/>
    <mergeCell ref="A268:A274"/>
    <mergeCell ref="B268:B274"/>
    <mergeCell ref="C268:C274"/>
    <mergeCell ref="A226:A232"/>
    <mergeCell ref="B226:B232"/>
    <mergeCell ref="C226:C232"/>
    <mergeCell ref="F44:F50"/>
    <mergeCell ref="A205:A211"/>
    <mergeCell ref="B205:B211"/>
    <mergeCell ref="C205:C211"/>
    <mergeCell ref="D205:D211"/>
    <mergeCell ref="E205:E211"/>
    <mergeCell ref="F205:F211"/>
    <mergeCell ref="A44:A50"/>
    <mergeCell ref="B44:B50"/>
    <mergeCell ref="C44:C50"/>
    <mergeCell ref="D44:D50"/>
    <mergeCell ref="E44:E50"/>
    <mergeCell ref="A58:A64"/>
    <mergeCell ref="B58:B64"/>
    <mergeCell ref="C58:C64"/>
    <mergeCell ref="D58:D64"/>
    <mergeCell ref="E58:E64"/>
    <mergeCell ref="F58:F64"/>
    <mergeCell ref="E65:E71"/>
    <mergeCell ref="F65:F71"/>
    <mergeCell ref="A72:A78"/>
    <mergeCell ref="B135:B141"/>
    <mergeCell ref="C135:C141"/>
    <mergeCell ref="D135:D141"/>
    <mergeCell ref="E37:E43"/>
    <mergeCell ref="F37:F43"/>
    <mergeCell ref="A30:A36"/>
    <mergeCell ref="B30:B36"/>
    <mergeCell ref="C30:C36"/>
    <mergeCell ref="D30:D36"/>
    <mergeCell ref="E30:E36"/>
    <mergeCell ref="F30:F36"/>
    <mergeCell ref="A37:A43"/>
    <mergeCell ref="B37:B43"/>
    <mergeCell ref="C37:C43"/>
    <mergeCell ref="D37:D43"/>
    <mergeCell ref="F9:F15"/>
    <mergeCell ref="A9:A15"/>
    <mergeCell ref="B9:B15"/>
    <mergeCell ref="C9:C15"/>
    <mergeCell ref="D9:D15"/>
    <mergeCell ref="E9:E15"/>
    <mergeCell ref="D2:D8"/>
    <mergeCell ref="E2:E8"/>
    <mergeCell ref="F2:F8"/>
    <mergeCell ref="A2:A8"/>
    <mergeCell ref="B2:B8"/>
    <mergeCell ref="C2:C8"/>
    <mergeCell ref="F16:F22"/>
    <mergeCell ref="A16:A22"/>
    <mergeCell ref="B16:B22"/>
    <mergeCell ref="C16:C22"/>
    <mergeCell ref="D16:D22"/>
    <mergeCell ref="E16:E22"/>
    <mergeCell ref="F23:F29"/>
    <mergeCell ref="A23:A29"/>
    <mergeCell ref="B23:B29"/>
    <mergeCell ref="C23:C29"/>
    <mergeCell ref="D23:D29"/>
    <mergeCell ref="E23:E29"/>
    <mergeCell ref="A100:A106"/>
    <mergeCell ref="B100:B106"/>
    <mergeCell ref="C100:C106"/>
    <mergeCell ref="D100:D106"/>
    <mergeCell ref="E100:E106"/>
    <mergeCell ref="F100:F106"/>
    <mergeCell ref="A51:A57"/>
    <mergeCell ref="B51:B57"/>
    <mergeCell ref="C51:C57"/>
    <mergeCell ref="D51:D57"/>
    <mergeCell ref="E51:E57"/>
    <mergeCell ref="F51:F57"/>
    <mergeCell ref="B72:B78"/>
    <mergeCell ref="C72:C78"/>
    <mergeCell ref="D72:D78"/>
    <mergeCell ref="E72:E78"/>
    <mergeCell ref="F72:F78"/>
    <mergeCell ref="A65:A71"/>
    <mergeCell ref="B65:B71"/>
    <mergeCell ref="C65:C71"/>
    <mergeCell ref="D65:D71"/>
    <mergeCell ref="A107:A113"/>
    <mergeCell ref="B107:B113"/>
    <mergeCell ref="C107:C113"/>
    <mergeCell ref="D107:D113"/>
    <mergeCell ref="E107:E113"/>
    <mergeCell ref="F107:F113"/>
    <mergeCell ref="A79:A85"/>
    <mergeCell ref="B79:B85"/>
    <mergeCell ref="C79:C85"/>
    <mergeCell ref="D79:D85"/>
    <mergeCell ref="E79:E85"/>
    <mergeCell ref="F79:F85"/>
    <mergeCell ref="A86:A92"/>
    <mergeCell ref="B86:B92"/>
    <mergeCell ref="C86:C92"/>
    <mergeCell ref="D86:D92"/>
    <mergeCell ref="E86:E92"/>
    <mergeCell ref="F86:F92"/>
    <mergeCell ref="A93:A99"/>
    <mergeCell ref="B93:B99"/>
    <mergeCell ref="C93:C99"/>
    <mergeCell ref="D93:D99"/>
    <mergeCell ref="E93:E99"/>
    <mergeCell ref="F93:F99"/>
    <mergeCell ref="A163:A169"/>
    <mergeCell ref="B163:B169"/>
    <mergeCell ref="C163:C169"/>
    <mergeCell ref="D163:D169"/>
    <mergeCell ref="E163:E169"/>
    <mergeCell ref="F163:F169"/>
    <mergeCell ref="A135:A141"/>
    <mergeCell ref="A114:A120"/>
    <mergeCell ref="B114:B120"/>
    <mergeCell ref="C114:C120"/>
    <mergeCell ref="D114:D120"/>
    <mergeCell ref="E114:E120"/>
    <mergeCell ref="F114:F120"/>
    <mergeCell ref="A121:A127"/>
    <mergeCell ref="B121:B127"/>
    <mergeCell ref="C121:C127"/>
    <mergeCell ref="D121:D127"/>
    <mergeCell ref="E121:E127"/>
    <mergeCell ref="F121:F127"/>
    <mergeCell ref="E135:E141"/>
    <mergeCell ref="F135:F141"/>
    <mergeCell ref="A142:A148"/>
    <mergeCell ref="B142:B148"/>
    <mergeCell ref="C142:C148"/>
    <mergeCell ref="A128:A134"/>
    <mergeCell ref="B128:B134"/>
    <mergeCell ref="C128:C134"/>
    <mergeCell ref="D128:D134"/>
    <mergeCell ref="E128:E134"/>
    <mergeCell ref="F128:F134"/>
    <mergeCell ref="D156:D162"/>
    <mergeCell ref="E156:E162"/>
    <mergeCell ref="F156:F162"/>
    <mergeCell ref="D142:D148"/>
    <mergeCell ref="E142:E148"/>
    <mergeCell ref="F142:F148"/>
    <mergeCell ref="D149:D155"/>
    <mergeCell ref="E149:E155"/>
    <mergeCell ref="F149:F155"/>
    <mergeCell ref="A149:A155"/>
    <mergeCell ref="B149:B155"/>
    <mergeCell ref="C149:C155"/>
    <mergeCell ref="A156:A162"/>
    <mergeCell ref="B156:B162"/>
    <mergeCell ref="C156:C162"/>
    <mergeCell ref="D177:D183"/>
    <mergeCell ref="E177:E183"/>
    <mergeCell ref="F177:F183"/>
    <mergeCell ref="A184:A190"/>
    <mergeCell ref="B184:B190"/>
    <mergeCell ref="C184:C190"/>
    <mergeCell ref="D184:D190"/>
    <mergeCell ref="E184:E190"/>
    <mergeCell ref="F184:F190"/>
    <mergeCell ref="A247:A253"/>
    <mergeCell ref="B247:B253"/>
    <mergeCell ref="C247:C253"/>
    <mergeCell ref="D247:D253"/>
    <mergeCell ref="E247:E253"/>
    <mergeCell ref="F247:F253"/>
    <mergeCell ref="D268:D274"/>
    <mergeCell ref="E268:E274"/>
    <mergeCell ref="F268:F274"/>
    <mergeCell ref="A254:A260"/>
    <mergeCell ref="B254:B260"/>
    <mergeCell ref="C254:C260"/>
    <mergeCell ref="D254:D260"/>
    <mergeCell ref="E254:E260"/>
    <mergeCell ref="F254:F260"/>
    <mergeCell ref="A261:A267"/>
    <mergeCell ref="B261:B267"/>
    <mergeCell ref="C261:C267"/>
    <mergeCell ref="D261:D267"/>
    <mergeCell ref="E261:E267"/>
    <mergeCell ref="F261:F267"/>
    <mergeCell ref="A233:A239"/>
    <mergeCell ref="B233:B239"/>
    <mergeCell ref="C233:C239"/>
    <mergeCell ref="D233:D239"/>
    <mergeCell ref="E233:E239"/>
    <mergeCell ref="F233:F239"/>
    <mergeCell ref="A240:A246"/>
    <mergeCell ref="B240:B246"/>
    <mergeCell ref="C240:C246"/>
    <mergeCell ref="D240:D246"/>
    <mergeCell ref="E240:E246"/>
    <mergeCell ref="F240:F246"/>
  </mergeCells>
  <phoneticPr fontId="5" type="noConversion"/>
  <dataValidations count="1">
    <dataValidation type="list" allowBlank="1" showInputMessage="1" showErrorMessage="1" sqref="I4:Z5 I11:Z12 I18:Z19 I32:Z33 I109:Z110 I39:Z40 I102:Z103 I95:Z96 I88:Z89 I25:Z26 I81:Z82 I46:Z47 I74:Z75 I60:Z61 I67:Z68 I53:Z54 I277:Z278 I123:Z124 I116:Z117 I130:Z131 I214:Z215 I221:Z222 I207:Z208 I165:Z166 I172:Z173 I158:Z159 I144:Z145 I151:Z152 I137:Z138 I228:Z229 I200:Z201 I193:Z194 I186:Z187 I179:Z180 I270:Z271 I263:Z264 I256:Z257 I249:Z250 I242:Z243 I235:Z236" xr:uid="{00000000-0002-0000-0900-000000000000}">
      <formula1>"Y,N,-"</formula1>
    </dataValidation>
  </dataValidations>
  <pageMargins left="0.7" right="0.7" top="0.75" bottom="0.75" header="0.3" footer="0.3"/>
  <pageSetup paperSize="9" scale="38" fitToHeight="0" orientation="portrait" verticalDpi="1200" r:id="rId1"/>
  <headerFooter>
    <oddHeader>&amp;R&amp;"Aptos"&amp;13&amp;K000000 [ RESTRICTED ]&amp;1#_x000D_</oddHeader>
    <oddFooter>&amp;R_x000D_&amp;1#&amp;"Aptos"&amp;5&amp;K000000 [Secure Minds, Secure Finds] 본 문서는 현대건설㈜의 정보자산이므로 무단 전제 및 복제할 수 없으며, 이를 위반할 시에는 당사 사규 및 관련 법규에 의해 제지를 받을 수 있습니다.</oddFooter>
  </headerFooter>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C2C43C-E15C-4B4A-936B-E87AD3AFB9D4}">
  <dimension ref="A1:M152"/>
  <sheetViews>
    <sheetView workbookViewId="0">
      <pane ySplit="1" topLeftCell="A17" activePane="bottomLeft" state="frozen"/>
      <selection activeCell="E8" sqref="E8"/>
      <selection pane="bottomLeft" activeCell="E23" sqref="E23:G33"/>
    </sheetView>
  </sheetViews>
  <sheetFormatPr defaultColWidth="8.75" defaultRowHeight="12"/>
  <cols>
    <col min="1" max="2" width="8.75" style="26"/>
    <col min="3" max="3" width="12.25" style="26" customWidth="1"/>
    <col min="4" max="4" width="15.875" style="26" customWidth="1"/>
    <col min="5" max="5" width="32.75" style="26" customWidth="1"/>
    <col min="6" max="7" width="8.75" style="26"/>
    <col min="8" max="9" width="8.75" style="255"/>
    <col min="10" max="11" width="7.625" style="26" customWidth="1"/>
    <col min="12" max="12" width="10.375" style="26" customWidth="1"/>
    <col min="13" max="13" width="10.375" style="258" customWidth="1"/>
    <col min="14" max="14" width="8.75" style="255"/>
    <col min="15" max="15" width="18.75" style="255" customWidth="1"/>
    <col min="16" max="16384" width="8.75" style="255"/>
  </cols>
  <sheetData>
    <row r="1" spans="1:13" ht="14.45" customHeight="1">
      <c r="A1" s="26" t="s">
        <v>1</v>
      </c>
      <c r="B1" s="26" t="s">
        <v>2051</v>
      </c>
      <c r="C1" s="26" t="s">
        <v>0</v>
      </c>
      <c r="D1" s="26" t="s">
        <v>2054</v>
      </c>
      <c r="E1" s="26" t="s">
        <v>2052</v>
      </c>
      <c r="F1" s="26" t="s">
        <v>2053</v>
      </c>
      <c r="G1" s="26" t="s">
        <v>143</v>
      </c>
      <c r="J1" s="26" t="s">
        <v>2073</v>
      </c>
      <c r="K1" s="26" t="s">
        <v>73</v>
      </c>
      <c r="L1" s="26" t="s">
        <v>2074</v>
      </c>
      <c r="M1" s="258" t="s">
        <v>2075</v>
      </c>
    </row>
    <row r="2" spans="1:13" ht="14.45" customHeight="1">
      <c r="A2" s="26">
        <f>IF(B2="","",ROW()-1)</f>
        <v>1</v>
      </c>
      <c r="B2" s="256" t="s">
        <v>2032</v>
      </c>
      <c r="C2" s="257">
        <v>44596</v>
      </c>
      <c r="D2" s="26" t="s">
        <v>1837</v>
      </c>
      <c r="E2" s="26" t="s">
        <v>2055</v>
      </c>
      <c r="F2" s="26">
        <v>114</v>
      </c>
      <c r="G2" s="26">
        <v>42</v>
      </c>
      <c r="J2" s="26">
        <v>2022</v>
      </c>
      <c r="K2" s="26">
        <f>COUNTIF($B$2:$B$89,"*"&amp;J2&amp;"*")-COUNTIFS($B$2:$B$89,"*"&amp;J2&amp;"*",$F$2:$F$89,"")</f>
        <v>11</v>
      </c>
      <c r="L2" s="27">
        <f>AVERAGEIF($B$2:$B$89,"*"&amp;J2&amp;"*",$F$2:$F$89)</f>
        <v>107.45454545454545</v>
      </c>
      <c r="M2" s="27">
        <f>AVERAGEIF($B$2:$B$89,"*"&amp;J2&amp;"*",$G$2:$G$89)</f>
        <v>35.454545454545453</v>
      </c>
    </row>
    <row r="3" spans="1:13" ht="14.45" customHeight="1">
      <c r="A3" s="26">
        <f t="shared" ref="A3:A54" si="0">IF(B3="","",ROW()-1)</f>
        <v>2</v>
      </c>
      <c r="B3" s="256" t="s">
        <v>2033</v>
      </c>
      <c r="C3" s="257">
        <v>44694</v>
      </c>
      <c r="D3" s="26" t="s">
        <v>152</v>
      </c>
      <c r="E3" s="26" t="s">
        <v>2056</v>
      </c>
      <c r="F3" s="26">
        <v>107</v>
      </c>
      <c r="G3" s="26">
        <v>35</v>
      </c>
      <c r="J3" s="26">
        <v>2023</v>
      </c>
      <c r="K3" s="26">
        <f>COUNTIF($B$2:$B$89,"*"&amp;J3&amp;"*")-COUNTIFS($B$2:$B$89,"*"&amp;J3&amp;"*",$F$2:$F$89,"")</f>
        <v>10</v>
      </c>
      <c r="L3" s="27">
        <f>AVERAGEIF($B$2:$B$89,"*"&amp;J3&amp;"*",$F$2:$F$89)</f>
        <v>104.5</v>
      </c>
      <c r="M3" s="27">
        <f>AVERAGEIF($B$2:$B$89,"*"&amp;J3&amp;"*",$G$2:$G$89)</f>
        <v>32.5</v>
      </c>
    </row>
    <row r="4" spans="1:13" ht="14.45" customHeight="1">
      <c r="A4" s="26">
        <f t="shared" si="0"/>
        <v>3</v>
      </c>
      <c r="B4" s="256" t="s">
        <v>2034</v>
      </c>
      <c r="C4" s="257">
        <v>44730</v>
      </c>
      <c r="D4" s="26" t="s">
        <v>150</v>
      </c>
      <c r="E4" s="26" t="s">
        <v>2057</v>
      </c>
      <c r="F4" s="26">
        <v>108</v>
      </c>
      <c r="G4" s="26">
        <v>36</v>
      </c>
      <c r="J4" s="26">
        <v>2024</v>
      </c>
      <c r="K4" s="26">
        <f>COUNTIF($B$2:$B$89,"*"&amp;J4&amp;"*")-COUNTIFS($B$2:$B$89,"*"&amp;J4&amp;"*",$F$2:$F$89,"")</f>
        <v>11</v>
      </c>
      <c r="L4" s="27">
        <f>AVERAGEIF($B$2:$B$89,"*"&amp;J4&amp;"*",$F$2:$F$89)</f>
        <v>102.36363636363636</v>
      </c>
      <c r="M4" s="27">
        <f>AVERAGEIF($B$2:$B$89,"*"&amp;J4&amp;"*",$G$2:$G$89)</f>
        <v>30.363636363636363</v>
      </c>
    </row>
    <row r="5" spans="1:13" ht="14.45" customHeight="1">
      <c r="A5" s="26">
        <f t="shared" si="0"/>
        <v>4</v>
      </c>
      <c r="B5" s="256" t="s">
        <v>2035</v>
      </c>
      <c r="C5" s="257">
        <v>44736</v>
      </c>
      <c r="D5" s="26" t="s">
        <v>158</v>
      </c>
      <c r="E5" s="26" t="s">
        <v>2058</v>
      </c>
      <c r="F5" s="26">
        <v>112</v>
      </c>
      <c r="G5" s="26">
        <v>40</v>
      </c>
      <c r="J5" s="26">
        <v>2025</v>
      </c>
      <c r="K5" s="26">
        <f>COUNTIF($B$2:$B$89,"*"&amp;J5&amp;"*")-COUNTIFS($B$2:$B$89,"*"&amp;J5&amp;"*",$F$2:$F$89,"")</f>
        <v>2</v>
      </c>
      <c r="L5" s="27">
        <f>AVERAGEIF($B$2:$B$89,"*"&amp;J5&amp;"*",$F$2:$F$89)</f>
        <v>110</v>
      </c>
      <c r="M5" s="27">
        <f>AVERAGEIF($B$2:$B$89,"*"&amp;J5&amp;"*",$G$2:$G$89)</f>
        <v>38</v>
      </c>
    </row>
    <row r="6" spans="1:13" ht="14.45" customHeight="1">
      <c r="A6" s="26">
        <f t="shared" si="0"/>
        <v>5</v>
      </c>
      <c r="B6" s="256" t="s">
        <v>2036</v>
      </c>
      <c r="C6" s="257">
        <v>44744</v>
      </c>
      <c r="D6" s="26" t="s">
        <v>156</v>
      </c>
      <c r="E6" s="26" t="s">
        <v>2059</v>
      </c>
      <c r="F6" s="26">
        <v>107</v>
      </c>
      <c r="G6" s="26">
        <v>35</v>
      </c>
      <c r="J6" s="26">
        <v>2026</v>
      </c>
      <c r="K6" s="26">
        <f>COUNTIF($B$2:$B$89,"*"&amp;J6&amp;"*")-COUNTIFS($B$2:$B$89,"*"&amp;J6&amp;"*",$F$2:$F$89,"")</f>
        <v>1</v>
      </c>
      <c r="L6" s="27">
        <f>AVERAGEIF($B$2:$B$89,"*"&amp;J6&amp;"*",$F$2:$F$89)</f>
        <v>109</v>
      </c>
      <c r="M6" s="27">
        <f>AVERAGEIF($B$2:$B$89,"*"&amp;J6&amp;"*",$G$2:$G$89)</f>
        <v>37</v>
      </c>
    </row>
    <row r="7" spans="1:13" ht="14.45" customHeight="1">
      <c r="A7" s="26">
        <f t="shared" si="0"/>
        <v>6</v>
      </c>
      <c r="B7" s="256" t="s">
        <v>2037</v>
      </c>
      <c r="C7" s="257">
        <v>44772</v>
      </c>
      <c r="D7" s="26" t="s">
        <v>151</v>
      </c>
      <c r="E7" s="26" t="s">
        <v>2060</v>
      </c>
      <c r="F7" s="26">
        <v>103</v>
      </c>
      <c r="G7" s="26">
        <v>31</v>
      </c>
    </row>
    <row r="8" spans="1:13" ht="14.45" customHeight="1">
      <c r="A8" s="26">
        <f t="shared" si="0"/>
        <v>7</v>
      </c>
      <c r="B8" s="256" t="s">
        <v>2038</v>
      </c>
      <c r="C8" s="257">
        <v>44778</v>
      </c>
      <c r="D8" s="26" t="s">
        <v>1849</v>
      </c>
      <c r="E8" s="26" t="s">
        <v>2061</v>
      </c>
      <c r="F8" s="26">
        <v>106</v>
      </c>
      <c r="G8" s="26">
        <v>34</v>
      </c>
    </row>
    <row r="9" spans="1:13" ht="14.45" customHeight="1">
      <c r="A9" s="26">
        <f t="shared" si="0"/>
        <v>8</v>
      </c>
      <c r="B9" s="256" t="s">
        <v>2039</v>
      </c>
      <c r="C9" s="257">
        <v>44812</v>
      </c>
      <c r="D9" s="26" t="s">
        <v>150</v>
      </c>
      <c r="E9" s="26" t="s">
        <v>2057</v>
      </c>
      <c r="F9" s="26">
        <v>108</v>
      </c>
      <c r="G9" s="26">
        <v>36</v>
      </c>
    </row>
    <row r="10" spans="1:13" ht="14.45" customHeight="1">
      <c r="A10" s="26">
        <f t="shared" si="0"/>
        <v>9</v>
      </c>
      <c r="B10" s="256" t="s">
        <v>2040</v>
      </c>
      <c r="C10" s="257">
        <v>44842</v>
      </c>
      <c r="D10" s="26" t="s">
        <v>175</v>
      </c>
      <c r="E10" s="26" t="s">
        <v>2062</v>
      </c>
      <c r="F10" s="26">
        <v>108</v>
      </c>
      <c r="G10" s="26">
        <v>36</v>
      </c>
    </row>
    <row r="11" spans="1:13" ht="14.45" customHeight="1">
      <c r="A11" s="26">
        <f t="shared" si="0"/>
        <v>10</v>
      </c>
      <c r="B11" s="256" t="s">
        <v>2029</v>
      </c>
      <c r="C11" s="257">
        <v>44863</v>
      </c>
      <c r="D11" s="26" t="s">
        <v>156</v>
      </c>
      <c r="E11" s="26" t="s">
        <v>2063</v>
      </c>
      <c r="F11" s="26">
        <v>101</v>
      </c>
      <c r="G11" s="26">
        <v>29</v>
      </c>
    </row>
    <row r="12" spans="1:13" ht="14.45" customHeight="1">
      <c r="A12" s="26">
        <f t="shared" si="0"/>
        <v>11</v>
      </c>
      <c r="B12" s="256" t="s">
        <v>2030</v>
      </c>
      <c r="C12" s="257">
        <v>44884</v>
      </c>
      <c r="D12" s="26" t="s">
        <v>178</v>
      </c>
      <c r="E12" s="26" t="s">
        <v>2064</v>
      </c>
      <c r="F12" s="26">
        <v>108</v>
      </c>
      <c r="G12" s="26">
        <v>36</v>
      </c>
    </row>
    <row r="13" spans="1:13" ht="14.45" customHeight="1">
      <c r="A13" s="26">
        <f t="shared" si="0"/>
        <v>12</v>
      </c>
      <c r="B13" s="256" t="s">
        <v>2031</v>
      </c>
      <c r="C13" s="257">
        <v>44940</v>
      </c>
      <c r="D13" s="26" t="s">
        <v>157</v>
      </c>
      <c r="E13" s="26" t="s">
        <v>2065</v>
      </c>
      <c r="F13" s="26">
        <v>101</v>
      </c>
      <c r="G13" s="26">
        <v>29</v>
      </c>
    </row>
    <row r="14" spans="1:13" ht="14.45" customHeight="1">
      <c r="A14" s="26">
        <f t="shared" si="0"/>
        <v>13</v>
      </c>
      <c r="B14" s="256" t="s">
        <v>2041</v>
      </c>
      <c r="C14" s="257">
        <v>44968</v>
      </c>
      <c r="D14" s="26" t="s">
        <v>157</v>
      </c>
      <c r="E14" s="26" t="s">
        <v>2066</v>
      </c>
      <c r="F14" s="26">
        <v>98</v>
      </c>
      <c r="G14" s="26">
        <v>26</v>
      </c>
    </row>
    <row r="15" spans="1:13" ht="14.45" customHeight="1">
      <c r="A15" s="26">
        <f t="shared" si="0"/>
        <v>14</v>
      </c>
      <c r="B15" s="256" t="s">
        <v>2042</v>
      </c>
      <c r="C15" s="257">
        <v>45031</v>
      </c>
      <c r="D15" s="26" t="s">
        <v>157</v>
      </c>
      <c r="E15" s="26" t="s">
        <v>2067</v>
      </c>
      <c r="F15" s="26">
        <v>111</v>
      </c>
      <c r="G15" s="26">
        <v>39</v>
      </c>
    </row>
    <row r="16" spans="1:13" ht="14.45" customHeight="1">
      <c r="A16" s="26">
        <f t="shared" si="0"/>
        <v>15</v>
      </c>
      <c r="B16" s="256" t="s">
        <v>2043</v>
      </c>
      <c r="C16" s="257">
        <v>45047</v>
      </c>
      <c r="D16" s="26" t="s">
        <v>150</v>
      </c>
      <c r="E16" s="26" t="s">
        <v>2068</v>
      </c>
      <c r="F16" s="26">
        <v>100</v>
      </c>
      <c r="G16" s="26">
        <v>28</v>
      </c>
    </row>
    <row r="17" spans="1:7" ht="14.45" customHeight="1">
      <c r="A17" s="26">
        <f t="shared" si="0"/>
        <v>16</v>
      </c>
      <c r="B17" s="256" t="s">
        <v>2044</v>
      </c>
      <c r="C17" s="257">
        <v>45057</v>
      </c>
      <c r="D17" s="26" t="s">
        <v>1868</v>
      </c>
      <c r="E17" s="26" t="s">
        <v>2069</v>
      </c>
      <c r="F17" s="26">
        <v>110</v>
      </c>
      <c r="G17" s="26">
        <v>38</v>
      </c>
    </row>
    <row r="18" spans="1:7" ht="14.45" customHeight="1">
      <c r="A18" s="26">
        <f t="shared" si="0"/>
        <v>17</v>
      </c>
      <c r="B18" s="256" t="s">
        <v>2045</v>
      </c>
      <c r="C18" s="257">
        <v>45101</v>
      </c>
      <c r="D18" s="26" t="s">
        <v>159</v>
      </c>
      <c r="E18" s="26" t="s">
        <v>2070</v>
      </c>
      <c r="F18" s="26">
        <v>104</v>
      </c>
      <c r="G18" s="26">
        <v>32</v>
      </c>
    </row>
    <row r="19" spans="1:7" ht="14.45" customHeight="1">
      <c r="A19" s="26">
        <f t="shared" si="0"/>
        <v>18</v>
      </c>
      <c r="B19" s="256" t="s">
        <v>2046</v>
      </c>
      <c r="C19" s="257">
        <v>45142</v>
      </c>
      <c r="D19" s="26" t="s">
        <v>159</v>
      </c>
      <c r="E19" s="26" t="s">
        <v>2067</v>
      </c>
      <c r="F19" s="26">
        <v>116</v>
      </c>
      <c r="G19" s="26">
        <v>44</v>
      </c>
    </row>
    <row r="20" spans="1:7" ht="14.45" customHeight="1">
      <c r="A20" s="26">
        <f t="shared" si="0"/>
        <v>19</v>
      </c>
      <c r="B20" s="256" t="s">
        <v>2047</v>
      </c>
      <c r="C20" s="257">
        <v>45213</v>
      </c>
      <c r="D20" s="26" t="s">
        <v>159</v>
      </c>
      <c r="E20" s="26" t="s">
        <v>2067</v>
      </c>
      <c r="F20" s="26">
        <v>96</v>
      </c>
      <c r="G20" s="26">
        <v>24</v>
      </c>
    </row>
    <row r="21" spans="1:7" ht="14.45" customHeight="1">
      <c r="A21" s="26">
        <f t="shared" si="0"/>
        <v>20</v>
      </c>
      <c r="B21" s="256" t="s">
        <v>2048</v>
      </c>
      <c r="C21" s="257">
        <v>45227</v>
      </c>
      <c r="D21" s="26" t="s">
        <v>1879</v>
      </c>
      <c r="E21" s="26" t="s">
        <v>2071</v>
      </c>
      <c r="F21" s="26">
        <v>105</v>
      </c>
      <c r="G21" s="26">
        <v>33</v>
      </c>
    </row>
    <row r="22" spans="1:7" ht="14.45" customHeight="1">
      <c r="A22" s="26">
        <f t="shared" si="0"/>
        <v>21</v>
      </c>
      <c r="B22" s="256" t="s">
        <v>2049</v>
      </c>
      <c r="C22" s="257">
        <v>45269</v>
      </c>
      <c r="D22" s="26" t="s">
        <v>1904</v>
      </c>
      <c r="E22" s="26" t="s">
        <v>2058</v>
      </c>
      <c r="F22" s="26">
        <v>104</v>
      </c>
      <c r="G22" s="26">
        <v>32</v>
      </c>
    </row>
    <row r="23" spans="1:7" ht="14.45" customHeight="1">
      <c r="A23" s="26">
        <f t="shared" si="0"/>
        <v>22</v>
      </c>
      <c r="B23" s="256" t="s">
        <v>2050</v>
      </c>
      <c r="C23" s="257">
        <v>45335</v>
      </c>
      <c r="D23" s="26" t="s">
        <v>1950</v>
      </c>
      <c r="E23" s="26" t="s">
        <v>2072</v>
      </c>
      <c r="F23" s="26">
        <v>115</v>
      </c>
      <c r="G23" s="26">
        <v>43</v>
      </c>
    </row>
    <row r="24" spans="1:7" ht="14.45" customHeight="1">
      <c r="A24" s="26">
        <f t="shared" si="0"/>
        <v>23</v>
      </c>
      <c r="B24" s="256" t="s">
        <v>2085</v>
      </c>
      <c r="C24" s="257">
        <v>45381</v>
      </c>
      <c r="D24" s="26" t="s">
        <v>159</v>
      </c>
      <c r="E24" s="26" t="s">
        <v>2086</v>
      </c>
      <c r="F24" s="26">
        <v>104</v>
      </c>
      <c r="G24" s="26">
        <v>32</v>
      </c>
    </row>
    <row r="25" spans="1:7" ht="14.45" customHeight="1">
      <c r="A25" s="26">
        <f t="shared" si="0"/>
        <v>24</v>
      </c>
      <c r="B25" s="256" t="s">
        <v>2100</v>
      </c>
      <c r="C25" s="257">
        <v>45395</v>
      </c>
      <c r="D25" s="26" t="s">
        <v>2091</v>
      </c>
      <c r="E25" s="26" t="s">
        <v>2104</v>
      </c>
      <c r="F25" s="26">
        <v>97</v>
      </c>
      <c r="G25" s="26">
        <v>25</v>
      </c>
    </row>
    <row r="26" spans="1:7" ht="14.45" customHeight="1">
      <c r="A26" s="26">
        <f t="shared" si="0"/>
        <v>25</v>
      </c>
      <c r="B26" s="256" t="s">
        <v>2106</v>
      </c>
      <c r="C26" s="257">
        <v>45427</v>
      </c>
      <c r="D26" s="26" t="s">
        <v>159</v>
      </c>
      <c r="E26" s="26" t="s">
        <v>2070</v>
      </c>
      <c r="F26" s="26">
        <v>104</v>
      </c>
      <c r="G26" s="26">
        <v>32</v>
      </c>
    </row>
    <row r="27" spans="1:7" ht="14.45" customHeight="1">
      <c r="A27" s="26">
        <f t="shared" si="0"/>
        <v>26</v>
      </c>
      <c r="B27" s="256" t="s">
        <v>2219</v>
      </c>
      <c r="C27" s="257">
        <v>45465</v>
      </c>
      <c r="D27" s="26" t="s">
        <v>159</v>
      </c>
      <c r="E27" s="26" t="s">
        <v>2067</v>
      </c>
      <c r="F27" s="26">
        <v>104</v>
      </c>
      <c r="G27" s="26">
        <v>32</v>
      </c>
    </row>
    <row r="28" spans="1:7" ht="14.45" customHeight="1">
      <c r="A28" s="26">
        <f t="shared" si="0"/>
        <v>27</v>
      </c>
      <c r="B28" s="256" t="s">
        <v>2220</v>
      </c>
      <c r="C28" s="257">
        <v>45514</v>
      </c>
      <c r="D28" s="26" t="s">
        <v>2283</v>
      </c>
      <c r="E28" s="26" t="s">
        <v>2282</v>
      </c>
      <c r="F28" s="28">
        <v>95</v>
      </c>
      <c r="G28" s="26">
        <v>23</v>
      </c>
    </row>
    <row r="29" spans="1:7" ht="14.45" customHeight="1">
      <c r="A29" s="26">
        <f t="shared" si="0"/>
        <v>28</v>
      </c>
      <c r="B29" s="256" t="s">
        <v>2221</v>
      </c>
      <c r="C29" s="257">
        <v>45520</v>
      </c>
      <c r="D29" s="26" t="s">
        <v>155</v>
      </c>
      <c r="E29" s="26" t="s">
        <v>277</v>
      </c>
      <c r="F29" s="26">
        <v>96</v>
      </c>
      <c r="G29" s="26">
        <v>24</v>
      </c>
    </row>
    <row r="30" spans="1:7" ht="14.45" customHeight="1">
      <c r="A30" s="26">
        <f t="shared" si="0"/>
        <v>29</v>
      </c>
      <c r="B30" s="256" t="s">
        <v>2222</v>
      </c>
      <c r="C30" s="257">
        <v>45554</v>
      </c>
      <c r="D30" s="26" t="s">
        <v>1950</v>
      </c>
      <c r="E30" s="26" t="s">
        <v>2411</v>
      </c>
      <c r="F30" s="26">
        <v>106</v>
      </c>
      <c r="G30" s="26">
        <v>34</v>
      </c>
    </row>
    <row r="31" spans="1:7" ht="14.45" customHeight="1">
      <c r="A31" s="26">
        <f t="shared" si="0"/>
        <v>30</v>
      </c>
      <c r="B31" s="256" t="s">
        <v>2410</v>
      </c>
      <c r="C31" s="257">
        <v>45574</v>
      </c>
      <c r="D31" s="26" t="s">
        <v>150</v>
      </c>
      <c r="E31" s="26" t="s">
        <v>2449</v>
      </c>
      <c r="F31" s="26">
        <v>99</v>
      </c>
      <c r="G31" s="26">
        <v>27</v>
      </c>
    </row>
    <row r="32" spans="1:7" ht="14.45" customHeight="1">
      <c r="A32" s="26">
        <f t="shared" si="0"/>
        <v>31</v>
      </c>
      <c r="B32" s="256" t="s">
        <v>2412</v>
      </c>
      <c r="C32" s="257">
        <v>45598</v>
      </c>
      <c r="D32" s="26" t="s">
        <v>159</v>
      </c>
      <c r="E32" s="26" t="s">
        <v>2086</v>
      </c>
      <c r="F32" s="26">
        <v>99</v>
      </c>
      <c r="G32" s="26">
        <v>27</v>
      </c>
    </row>
    <row r="33" spans="1:7" ht="14.45" customHeight="1">
      <c r="A33" s="26">
        <f t="shared" si="0"/>
        <v>32</v>
      </c>
      <c r="B33" s="256" t="s">
        <v>2413</v>
      </c>
      <c r="C33" s="257">
        <v>45619</v>
      </c>
      <c r="D33" s="26" t="s">
        <v>148</v>
      </c>
      <c r="E33" s="26" t="s">
        <v>2065</v>
      </c>
      <c r="F33" s="26">
        <v>107</v>
      </c>
      <c r="G33" s="26">
        <v>35</v>
      </c>
    </row>
    <row r="34" spans="1:7" ht="14.45" customHeight="1">
      <c r="A34" s="26">
        <f t="shared" si="0"/>
        <v>33</v>
      </c>
      <c r="B34" s="256" t="s">
        <v>3524</v>
      </c>
      <c r="C34" s="257">
        <v>45737</v>
      </c>
      <c r="D34" s="26" t="s">
        <v>3514</v>
      </c>
      <c r="E34" s="26" t="s">
        <v>3516</v>
      </c>
      <c r="F34" s="259">
        <v>120</v>
      </c>
      <c r="G34" s="26">
        <v>48</v>
      </c>
    </row>
    <row r="35" spans="1:7" ht="14.45" customHeight="1">
      <c r="A35" s="26">
        <f t="shared" si="0"/>
        <v>34</v>
      </c>
      <c r="B35" s="256" t="s">
        <v>3525</v>
      </c>
      <c r="C35" s="257">
        <v>45892</v>
      </c>
      <c r="D35" s="26" t="s">
        <v>3519</v>
      </c>
      <c r="E35" s="26" t="s">
        <v>3521</v>
      </c>
      <c r="F35" s="26">
        <v>100</v>
      </c>
      <c r="G35" s="26">
        <v>28</v>
      </c>
    </row>
    <row r="36" spans="1:7" ht="14.45" customHeight="1">
      <c r="A36" s="26">
        <f t="shared" si="0"/>
        <v>35</v>
      </c>
      <c r="B36" s="256" t="s">
        <v>3526</v>
      </c>
      <c r="C36" s="257">
        <v>46072</v>
      </c>
      <c r="D36" s="26" t="s">
        <v>3510</v>
      </c>
      <c r="E36" s="26" t="s">
        <v>3512</v>
      </c>
      <c r="F36" s="26">
        <v>109</v>
      </c>
      <c r="G36" s="26">
        <v>37</v>
      </c>
    </row>
    <row r="37" spans="1:7" ht="14.45" customHeight="1">
      <c r="A37" s="26" t="str">
        <f t="shared" si="0"/>
        <v/>
      </c>
      <c r="C37" s="257"/>
    </row>
    <row r="38" spans="1:7" ht="14.45" customHeight="1">
      <c r="A38" s="26" t="str">
        <f t="shared" si="0"/>
        <v/>
      </c>
      <c r="C38" s="257"/>
    </row>
    <row r="39" spans="1:7" ht="14.45" customHeight="1">
      <c r="A39" s="26" t="str">
        <f t="shared" si="0"/>
        <v/>
      </c>
      <c r="C39" s="257"/>
    </row>
    <row r="40" spans="1:7" ht="14.45" customHeight="1">
      <c r="A40" s="26" t="str">
        <f t="shared" si="0"/>
        <v/>
      </c>
      <c r="C40" s="257"/>
    </row>
    <row r="41" spans="1:7" ht="14.45" customHeight="1">
      <c r="A41" s="26" t="str">
        <f t="shared" si="0"/>
        <v/>
      </c>
      <c r="C41" s="257"/>
    </row>
    <row r="42" spans="1:7" ht="14.45" customHeight="1">
      <c r="A42" s="26" t="str">
        <f t="shared" si="0"/>
        <v/>
      </c>
      <c r="C42" s="257"/>
    </row>
    <row r="43" spans="1:7" ht="14.45" customHeight="1">
      <c r="A43" s="26" t="str">
        <f t="shared" si="0"/>
        <v/>
      </c>
      <c r="C43" s="257"/>
    </row>
    <row r="44" spans="1:7" ht="14.45" customHeight="1">
      <c r="A44" s="26" t="str">
        <f t="shared" si="0"/>
        <v/>
      </c>
      <c r="C44" s="257"/>
    </row>
    <row r="45" spans="1:7" ht="14.45" customHeight="1">
      <c r="A45" s="26" t="str">
        <f t="shared" si="0"/>
        <v/>
      </c>
      <c r="C45" s="257"/>
    </row>
    <row r="46" spans="1:7" ht="14.45" customHeight="1">
      <c r="A46" s="26" t="str">
        <f t="shared" si="0"/>
        <v/>
      </c>
      <c r="C46" s="257"/>
    </row>
    <row r="47" spans="1:7" ht="14.45" customHeight="1">
      <c r="A47" s="26" t="str">
        <f t="shared" si="0"/>
        <v/>
      </c>
      <c r="C47" s="257"/>
    </row>
    <row r="48" spans="1:7" ht="14.45" customHeight="1">
      <c r="A48" s="26" t="str">
        <f t="shared" si="0"/>
        <v/>
      </c>
      <c r="C48" s="257"/>
    </row>
    <row r="49" spans="1:3" ht="14.45" customHeight="1">
      <c r="A49" s="26" t="str">
        <f t="shared" si="0"/>
        <v/>
      </c>
      <c r="C49" s="257"/>
    </row>
    <row r="50" spans="1:3" ht="14.45" customHeight="1">
      <c r="A50" s="26" t="str">
        <f t="shared" si="0"/>
        <v/>
      </c>
      <c r="C50" s="257"/>
    </row>
    <row r="51" spans="1:3" ht="14.45" customHeight="1">
      <c r="A51" s="26" t="str">
        <f t="shared" si="0"/>
        <v/>
      </c>
      <c r="C51" s="257"/>
    </row>
    <row r="52" spans="1:3" ht="14.45" customHeight="1">
      <c r="A52" s="26" t="str">
        <f t="shared" si="0"/>
        <v/>
      </c>
      <c r="C52" s="257"/>
    </row>
    <row r="53" spans="1:3" ht="14.45" customHeight="1">
      <c r="A53" s="26" t="str">
        <f t="shared" si="0"/>
        <v/>
      </c>
      <c r="C53" s="257"/>
    </row>
    <row r="54" spans="1:3" ht="14.45" customHeight="1">
      <c r="A54" s="26" t="str">
        <f t="shared" si="0"/>
        <v/>
      </c>
      <c r="C54" s="257"/>
    </row>
    <row r="55" spans="1:3" ht="14.45" customHeight="1">
      <c r="A55" s="26" t="str">
        <f t="shared" ref="A55:A89" si="1">IF(B55="","",ROW()-1)</f>
        <v/>
      </c>
      <c r="C55" s="257"/>
    </row>
    <row r="56" spans="1:3" ht="14.45" customHeight="1">
      <c r="A56" s="26" t="str">
        <f t="shared" si="1"/>
        <v/>
      </c>
      <c r="C56" s="257"/>
    </row>
    <row r="57" spans="1:3" ht="14.45" customHeight="1">
      <c r="A57" s="26" t="str">
        <f t="shared" si="1"/>
        <v/>
      </c>
      <c r="C57" s="257"/>
    </row>
    <row r="58" spans="1:3" ht="14.45" customHeight="1">
      <c r="A58" s="26" t="str">
        <f t="shared" si="1"/>
        <v/>
      </c>
      <c r="C58" s="257"/>
    </row>
    <row r="59" spans="1:3" ht="14.45" customHeight="1">
      <c r="A59" s="26" t="str">
        <f t="shared" si="1"/>
        <v/>
      </c>
      <c r="C59" s="257"/>
    </row>
    <row r="60" spans="1:3" ht="14.45" customHeight="1">
      <c r="A60" s="26" t="str">
        <f t="shared" si="1"/>
        <v/>
      </c>
      <c r="C60" s="257"/>
    </row>
    <row r="61" spans="1:3" ht="14.45" customHeight="1">
      <c r="A61" s="26" t="str">
        <f t="shared" si="1"/>
        <v/>
      </c>
      <c r="C61" s="257"/>
    </row>
    <row r="62" spans="1:3" ht="14.45" customHeight="1">
      <c r="A62" s="26" t="str">
        <f t="shared" si="1"/>
        <v/>
      </c>
      <c r="C62" s="257"/>
    </row>
    <row r="63" spans="1:3" ht="14.45" customHeight="1">
      <c r="A63" s="26" t="str">
        <f t="shared" si="1"/>
        <v/>
      </c>
      <c r="C63" s="257"/>
    </row>
    <row r="64" spans="1:3" ht="14.45" customHeight="1">
      <c r="A64" s="26" t="str">
        <f t="shared" si="1"/>
        <v/>
      </c>
      <c r="C64" s="257"/>
    </row>
    <row r="65" spans="1:3" ht="14.45" customHeight="1">
      <c r="A65" s="26" t="str">
        <f t="shared" si="1"/>
        <v/>
      </c>
      <c r="C65" s="257"/>
    </row>
    <row r="66" spans="1:3" ht="14.45" customHeight="1">
      <c r="A66" s="26" t="str">
        <f t="shared" si="1"/>
        <v/>
      </c>
      <c r="C66" s="257"/>
    </row>
    <row r="67" spans="1:3" ht="14.45" customHeight="1">
      <c r="A67" s="26" t="str">
        <f t="shared" si="1"/>
        <v/>
      </c>
      <c r="C67" s="257"/>
    </row>
    <row r="68" spans="1:3" ht="14.45" customHeight="1">
      <c r="A68" s="26" t="str">
        <f t="shared" si="1"/>
        <v/>
      </c>
      <c r="C68" s="257"/>
    </row>
    <row r="69" spans="1:3" ht="14.45" customHeight="1">
      <c r="A69" s="26" t="str">
        <f t="shared" si="1"/>
        <v/>
      </c>
      <c r="C69" s="257"/>
    </row>
    <row r="70" spans="1:3" ht="14.45" customHeight="1">
      <c r="A70" s="26" t="str">
        <f t="shared" si="1"/>
        <v/>
      </c>
      <c r="C70" s="257"/>
    </row>
    <row r="71" spans="1:3" ht="14.45" customHeight="1">
      <c r="A71" s="26" t="str">
        <f t="shared" si="1"/>
        <v/>
      </c>
      <c r="C71" s="257"/>
    </row>
    <row r="72" spans="1:3" ht="14.45" customHeight="1">
      <c r="A72" s="26" t="str">
        <f t="shared" si="1"/>
        <v/>
      </c>
      <c r="C72" s="257"/>
    </row>
    <row r="73" spans="1:3" ht="14.45" customHeight="1">
      <c r="A73" s="26" t="str">
        <f t="shared" si="1"/>
        <v/>
      </c>
      <c r="C73" s="257"/>
    </row>
    <row r="74" spans="1:3" ht="14.45" customHeight="1">
      <c r="A74" s="26" t="str">
        <f t="shared" si="1"/>
        <v/>
      </c>
      <c r="C74" s="257"/>
    </row>
    <row r="75" spans="1:3" ht="14.45" customHeight="1">
      <c r="A75" s="26" t="str">
        <f t="shared" si="1"/>
        <v/>
      </c>
      <c r="C75" s="257"/>
    </row>
    <row r="76" spans="1:3" ht="14.45" customHeight="1">
      <c r="A76" s="26" t="str">
        <f t="shared" si="1"/>
        <v/>
      </c>
      <c r="C76" s="257"/>
    </row>
    <row r="77" spans="1:3" ht="14.45" customHeight="1">
      <c r="A77" s="26" t="str">
        <f t="shared" si="1"/>
        <v/>
      </c>
      <c r="C77" s="257"/>
    </row>
    <row r="78" spans="1:3" ht="14.45" customHeight="1">
      <c r="A78" s="26" t="str">
        <f t="shared" si="1"/>
        <v/>
      </c>
      <c r="C78" s="257"/>
    </row>
    <row r="79" spans="1:3" ht="14.45" customHeight="1">
      <c r="A79" s="26" t="str">
        <f t="shared" si="1"/>
        <v/>
      </c>
      <c r="C79" s="257"/>
    </row>
    <row r="80" spans="1:3" ht="14.45" customHeight="1">
      <c r="A80" s="26" t="str">
        <f t="shared" si="1"/>
        <v/>
      </c>
      <c r="C80" s="257"/>
    </row>
    <row r="81" spans="1:3" ht="14.45" customHeight="1">
      <c r="A81" s="26" t="str">
        <f t="shared" si="1"/>
        <v/>
      </c>
      <c r="C81" s="257"/>
    </row>
    <row r="82" spans="1:3" ht="14.45" customHeight="1">
      <c r="A82" s="26" t="str">
        <f t="shared" si="1"/>
        <v/>
      </c>
      <c r="C82" s="257"/>
    </row>
    <row r="83" spans="1:3" ht="14.45" customHeight="1">
      <c r="A83" s="26" t="str">
        <f t="shared" si="1"/>
        <v/>
      </c>
      <c r="C83" s="257"/>
    </row>
    <row r="84" spans="1:3" ht="14.45" customHeight="1">
      <c r="A84" s="26" t="str">
        <f t="shared" si="1"/>
        <v/>
      </c>
      <c r="C84" s="257"/>
    </row>
    <row r="85" spans="1:3" ht="14.45" customHeight="1">
      <c r="A85" s="26" t="str">
        <f t="shared" si="1"/>
        <v/>
      </c>
      <c r="C85" s="257"/>
    </row>
    <row r="86" spans="1:3" ht="14.45" customHeight="1">
      <c r="A86" s="26" t="str">
        <f t="shared" si="1"/>
        <v/>
      </c>
      <c r="C86" s="257"/>
    </row>
    <row r="87" spans="1:3" ht="14.45" customHeight="1">
      <c r="A87" s="26" t="str">
        <f t="shared" si="1"/>
        <v/>
      </c>
      <c r="C87" s="257"/>
    </row>
    <row r="88" spans="1:3" ht="14.45" customHeight="1">
      <c r="A88" s="26" t="str">
        <f t="shared" si="1"/>
        <v/>
      </c>
      <c r="C88" s="257"/>
    </row>
    <row r="89" spans="1:3" ht="14.45" customHeight="1">
      <c r="A89" s="26" t="str">
        <f t="shared" si="1"/>
        <v/>
      </c>
      <c r="C89" s="257"/>
    </row>
    <row r="90" spans="1:3">
      <c r="C90" s="257"/>
    </row>
    <row r="91" spans="1:3">
      <c r="C91" s="257"/>
    </row>
    <row r="92" spans="1:3">
      <c r="C92" s="257"/>
    </row>
    <row r="93" spans="1:3">
      <c r="C93" s="257"/>
    </row>
    <row r="95" spans="1:3" ht="12" customHeight="1"/>
    <row r="96" spans="1:3" ht="12" customHeight="1"/>
    <row r="102" ht="12" customHeight="1"/>
    <row r="103" ht="12" customHeight="1"/>
    <row r="109" ht="12" customHeight="1"/>
    <row r="110" ht="12" customHeight="1"/>
    <row r="116" ht="12" customHeight="1"/>
    <row r="117" ht="12" customHeight="1"/>
    <row r="123" ht="12" customHeight="1"/>
    <row r="124" ht="12" customHeight="1"/>
    <row r="130" ht="12" customHeight="1"/>
    <row r="131" ht="12" customHeight="1"/>
    <row r="137" ht="12" customHeight="1"/>
    <row r="138" ht="12" customHeight="1"/>
    <row r="144" ht="12" customHeight="1"/>
    <row r="145" ht="12" customHeight="1"/>
    <row r="151" ht="12" customHeight="1"/>
    <row r="152" ht="12" customHeight="1"/>
  </sheetData>
  <autoFilter ref="A1:O89" xr:uid="{48C2C43C-E15C-4B4A-936B-E87AD3AFB9D4}"/>
  <phoneticPr fontId="5" type="noConversion"/>
  <pageMargins left="0.7" right="0.7" top="0.75" bottom="0.75" header="0.3" footer="0.3"/>
  <pageSetup paperSize="9" orientation="portrait" r:id="rId1"/>
  <headerFooter>
    <oddHeader>&amp;R&amp;"Aptos"&amp;13&amp;K000000 [ RESTRICTED ]&amp;1#_x000D_</oddHeader>
    <oddFooter>&amp;R_x000D_&amp;1#&amp;"Aptos"&amp;5&amp;K000000 [Secure Minds, Secure Finds] 본 문서는 현대건설㈜의 정보자산이므로 무단 전제 및 복제할 수 없으며, 이를 위반할 시에는 당사 사규 및 관련 법규에 의해 제지를 받을 수 있습니다.</oddFooter>
  </headerFooter>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5"/>
  <dimension ref="A1:BK105"/>
  <sheetViews>
    <sheetView zoomScale="70" zoomScaleNormal="70" zoomScaleSheetLayoutView="55" workbookViewId="0">
      <selection activeCell="G7" sqref="G7"/>
    </sheetView>
  </sheetViews>
  <sheetFormatPr defaultColWidth="9" defaultRowHeight="13.5"/>
  <cols>
    <col min="1" max="1" width="9" style="106"/>
    <col min="2" max="2" width="11" style="106" bestFit="1" customWidth="1"/>
    <col min="3" max="4" width="9" style="106"/>
    <col min="5" max="5" width="11.125" style="106" bestFit="1" customWidth="1"/>
    <col min="6" max="6" width="9" style="106"/>
    <col min="7" max="7" width="19.25" style="82" bestFit="1" customWidth="1"/>
    <col min="8" max="8" width="4.75" style="82" customWidth="1"/>
    <col min="9" max="9" width="9" style="82"/>
    <col min="10" max="10" width="11" style="82" bestFit="1" customWidth="1"/>
    <col min="11" max="12" width="9" style="82"/>
    <col min="13" max="13" width="11.125" style="82" bestFit="1" customWidth="1"/>
    <col min="14" max="14" width="9" style="82"/>
    <col min="15" max="15" width="19.25" style="82" bestFit="1" customWidth="1"/>
    <col min="16" max="45" width="9" style="84"/>
    <col min="46" max="46" width="1.75" style="84" customWidth="1"/>
    <col min="47" max="47" width="5.25" style="84" bestFit="1" customWidth="1"/>
    <col min="48" max="48" width="15.5" style="84" bestFit="1" customWidth="1"/>
    <col min="49" max="49" width="6.75" style="84" bestFit="1" customWidth="1"/>
    <col min="50" max="50" width="15.25" style="84" bestFit="1" customWidth="1"/>
    <col min="51" max="51" width="6.25" style="84" bestFit="1" customWidth="1"/>
    <col min="52" max="53" width="12.75" style="84" customWidth="1"/>
    <col min="54" max="54" width="36.25" style="84" customWidth="1"/>
    <col min="55" max="55" width="8.75" style="82"/>
    <col min="56" max="56" width="5.25" style="82" bestFit="1" customWidth="1"/>
    <col min="57" max="57" width="15.5" style="82" bestFit="1" customWidth="1"/>
    <col min="58" max="58" width="6.75" style="82" bestFit="1" customWidth="1"/>
    <col min="59" max="59" width="15.25" style="82" bestFit="1" customWidth="1"/>
    <col min="60" max="60" width="6.25" style="82" bestFit="1" customWidth="1"/>
    <col min="61" max="62" width="12.75" style="82" customWidth="1"/>
    <col min="63" max="63" width="36.25" style="82" customWidth="1"/>
    <col min="64" max="16384" width="9" style="82"/>
  </cols>
  <sheetData>
    <row r="1" spans="1:15">
      <c r="A1" s="752" t="s">
        <v>449</v>
      </c>
      <c r="B1" s="753"/>
      <c r="C1" s="753"/>
      <c r="D1" s="754"/>
      <c r="E1" s="83" t="s">
        <v>450</v>
      </c>
      <c r="F1" s="83" t="s">
        <v>451</v>
      </c>
      <c r="G1" s="83" t="s">
        <v>153</v>
      </c>
      <c r="H1" s="84"/>
      <c r="I1" s="752" t="s">
        <v>449</v>
      </c>
      <c r="J1" s="753"/>
      <c r="K1" s="753"/>
      <c r="L1" s="754"/>
      <c r="M1" s="83" t="s">
        <v>450</v>
      </c>
      <c r="N1" s="83" t="s">
        <v>451</v>
      </c>
      <c r="O1" s="83" t="s">
        <v>153</v>
      </c>
    </row>
    <row r="2" spans="1:15">
      <c r="A2" s="755" t="s">
        <v>452</v>
      </c>
      <c r="B2" s="85" t="s">
        <v>453</v>
      </c>
      <c r="C2" s="85" t="s">
        <v>454</v>
      </c>
      <c r="D2" s="85" t="s">
        <v>455</v>
      </c>
      <c r="E2" s="86">
        <v>43098</v>
      </c>
      <c r="F2" s="85" t="s">
        <v>456</v>
      </c>
      <c r="G2" s="87"/>
      <c r="H2" s="84"/>
      <c r="I2" s="88" t="s">
        <v>452</v>
      </c>
      <c r="J2" s="83" t="s">
        <v>457</v>
      </c>
      <c r="K2" s="83" t="s">
        <v>458</v>
      </c>
      <c r="L2" s="83" t="s">
        <v>459</v>
      </c>
      <c r="M2" s="89">
        <v>42736</v>
      </c>
      <c r="N2" s="83" t="s">
        <v>456</v>
      </c>
      <c r="O2" s="83"/>
    </row>
    <row r="3" spans="1:15">
      <c r="A3" s="755"/>
      <c r="B3" s="90" t="s">
        <v>460</v>
      </c>
      <c r="C3" s="90" t="s">
        <v>461</v>
      </c>
      <c r="D3" s="90" t="s">
        <v>462</v>
      </c>
      <c r="E3" s="91">
        <v>43052</v>
      </c>
      <c r="F3" s="92" t="s">
        <v>463</v>
      </c>
      <c r="G3" s="93"/>
      <c r="H3" s="84"/>
      <c r="I3" s="94" t="s">
        <v>452</v>
      </c>
      <c r="J3" s="757" t="s">
        <v>234</v>
      </c>
      <c r="K3" s="758"/>
      <c r="L3" s="94" t="s">
        <v>459</v>
      </c>
      <c r="M3" s="95">
        <v>42736</v>
      </c>
      <c r="N3" s="94" t="s">
        <v>456</v>
      </c>
      <c r="O3" s="94"/>
    </row>
    <row r="4" spans="1:15">
      <c r="A4" s="755"/>
      <c r="B4" s="90" t="s">
        <v>464</v>
      </c>
      <c r="C4" s="90" t="s">
        <v>465</v>
      </c>
      <c r="D4" s="90" t="s">
        <v>462</v>
      </c>
      <c r="E4" s="91">
        <v>20437</v>
      </c>
      <c r="F4" s="92" t="s">
        <v>463</v>
      </c>
      <c r="G4" s="96"/>
      <c r="H4" s="84"/>
      <c r="I4" s="94" t="s">
        <v>466</v>
      </c>
      <c r="J4" s="757" t="s">
        <v>1048</v>
      </c>
      <c r="K4" s="758"/>
      <c r="L4" s="94" t="s">
        <v>459</v>
      </c>
      <c r="M4" s="95">
        <v>42757</v>
      </c>
      <c r="N4" s="94" t="s">
        <v>456</v>
      </c>
      <c r="O4" s="94"/>
    </row>
    <row r="5" spans="1:15">
      <c r="A5" s="755"/>
      <c r="B5" s="90" t="s">
        <v>467</v>
      </c>
      <c r="C5" s="90" t="s">
        <v>468</v>
      </c>
      <c r="D5" s="90" t="s">
        <v>462</v>
      </c>
      <c r="E5" s="91">
        <v>22456</v>
      </c>
      <c r="F5" s="92" t="s">
        <v>463</v>
      </c>
      <c r="G5" s="96"/>
      <c r="H5" s="84"/>
      <c r="I5" s="88" t="s">
        <v>466</v>
      </c>
      <c r="J5" s="83" t="s">
        <v>469</v>
      </c>
      <c r="K5" s="83" t="s">
        <v>470</v>
      </c>
      <c r="L5" s="83" t="s">
        <v>459</v>
      </c>
      <c r="M5" s="89">
        <v>42771</v>
      </c>
      <c r="N5" s="83" t="s">
        <v>456</v>
      </c>
      <c r="O5" s="83"/>
    </row>
    <row r="6" spans="1:15">
      <c r="A6" s="755"/>
      <c r="B6" s="83" t="s">
        <v>457</v>
      </c>
      <c r="C6" s="83" t="s">
        <v>458</v>
      </c>
      <c r="D6" s="83" t="s">
        <v>459</v>
      </c>
      <c r="E6" s="89">
        <v>29221</v>
      </c>
      <c r="F6" s="83" t="s">
        <v>456</v>
      </c>
      <c r="G6" s="97"/>
      <c r="H6" s="84"/>
      <c r="I6" s="98" t="s">
        <v>466</v>
      </c>
      <c r="J6" s="98" t="s">
        <v>467</v>
      </c>
      <c r="K6" s="98" t="s">
        <v>471</v>
      </c>
      <c r="L6" s="98" t="s">
        <v>462</v>
      </c>
      <c r="M6" s="99">
        <v>42777</v>
      </c>
      <c r="N6" s="100" t="s">
        <v>463</v>
      </c>
      <c r="O6" s="98"/>
    </row>
    <row r="7" spans="1:15">
      <c r="A7" s="755"/>
      <c r="B7" s="83" t="s">
        <v>472</v>
      </c>
      <c r="C7" s="83" t="s">
        <v>473</v>
      </c>
      <c r="D7" s="83" t="s">
        <v>459</v>
      </c>
      <c r="E7" s="89">
        <v>43026</v>
      </c>
      <c r="F7" s="83" t="s">
        <v>456</v>
      </c>
      <c r="G7" s="101"/>
      <c r="H7" s="84"/>
      <c r="I7" s="98" t="s">
        <v>466</v>
      </c>
      <c r="J7" s="98" t="s">
        <v>474</v>
      </c>
      <c r="K7" s="98" t="s">
        <v>475</v>
      </c>
      <c r="L7" s="98" t="s">
        <v>462</v>
      </c>
      <c r="M7" s="99">
        <v>42783</v>
      </c>
      <c r="N7" s="100" t="s">
        <v>463</v>
      </c>
      <c r="O7" s="98"/>
    </row>
    <row r="8" spans="1:15">
      <c r="A8" s="755"/>
      <c r="B8" s="760" t="s">
        <v>476</v>
      </c>
      <c r="C8" s="760" t="s">
        <v>477</v>
      </c>
      <c r="D8" s="83" t="s">
        <v>459</v>
      </c>
      <c r="E8" s="89">
        <v>30456</v>
      </c>
      <c r="F8" s="83" t="s">
        <v>456</v>
      </c>
      <c r="G8" s="97"/>
      <c r="H8" s="84"/>
      <c r="I8" s="88" t="s">
        <v>452</v>
      </c>
      <c r="J8" s="83" t="s">
        <v>476</v>
      </c>
      <c r="K8" s="83" t="s">
        <v>477</v>
      </c>
      <c r="L8" s="83" t="s">
        <v>459</v>
      </c>
      <c r="M8" s="89">
        <v>30456</v>
      </c>
      <c r="N8" s="83" t="s">
        <v>456</v>
      </c>
      <c r="O8" s="83"/>
    </row>
    <row r="9" spans="1:15">
      <c r="A9" s="756"/>
      <c r="B9" s="761"/>
      <c r="C9" s="761"/>
      <c r="D9" s="83" t="s">
        <v>455</v>
      </c>
      <c r="E9" s="89">
        <v>45126</v>
      </c>
      <c r="F9" s="83" t="s">
        <v>456</v>
      </c>
      <c r="G9" s="97"/>
      <c r="H9" s="84"/>
      <c r="I9" s="85" t="s">
        <v>452</v>
      </c>
      <c r="J9" s="85" t="s">
        <v>476</v>
      </c>
      <c r="K9" s="85" t="s">
        <v>477</v>
      </c>
      <c r="L9" s="85" t="s">
        <v>455</v>
      </c>
      <c r="M9" s="86">
        <v>45126</v>
      </c>
      <c r="N9" s="85" t="s">
        <v>456</v>
      </c>
      <c r="O9" s="85"/>
    </row>
    <row r="10" spans="1:15">
      <c r="A10" s="755"/>
      <c r="B10" s="83" t="s">
        <v>478</v>
      </c>
      <c r="C10" s="83" t="s">
        <v>479</v>
      </c>
      <c r="D10" s="83" t="s">
        <v>459</v>
      </c>
      <c r="E10" s="89">
        <v>30659</v>
      </c>
      <c r="F10" s="83" t="s">
        <v>456</v>
      </c>
      <c r="G10" s="101"/>
      <c r="H10" s="84"/>
      <c r="I10" s="85" t="s">
        <v>466</v>
      </c>
      <c r="J10" s="85" t="s">
        <v>453</v>
      </c>
      <c r="K10" s="85" t="s">
        <v>480</v>
      </c>
      <c r="L10" s="85" t="s">
        <v>455</v>
      </c>
      <c r="M10" s="86">
        <v>42897</v>
      </c>
      <c r="N10" s="85" t="s">
        <v>456</v>
      </c>
      <c r="O10" s="85"/>
    </row>
    <row r="11" spans="1:15">
      <c r="A11" s="755"/>
      <c r="B11" s="83" t="s">
        <v>481</v>
      </c>
      <c r="C11" s="83" t="s">
        <v>482</v>
      </c>
      <c r="D11" s="83" t="s">
        <v>459</v>
      </c>
      <c r="E11" s="89">
        <v>41975</v>
      </c>
      <c r="F11" s="83" t="s">
        <v>456</v>
      </c>
      <c r="G11" s="101"/>
      <c r="H11" s="84"/>
      <c r="I11" s="90" t="s">
        <v>452</v>
      </c>
      <c r="J11" s="90" t="s">
        <v>467</v>
      </c>
      <c r="K11" s="90" t="s">
        <v>468</v>
      </c>
      <c r="L11" s="90" t="s">
        <v>462</v>
      </c>
      <c r="M11" s="91">
        <v>42910</v>
      </c>
      <c r="N11" s="92" t="s">
        <v>463</v>
      </c>
      <c r="O11" s="90"/>
    </row>
    <row r="12" spans="1:15">
      <c r="A12" s="755"/>
      <c r="B12" s="759" t="s">
        <v>234</v>
      </c>
      <c r="C12" s="759"/>
      <c r="D12" s="94" t="s">
        <v>459</v>
      </c>
      <c r="E12" s="95">
        <v>32874</v>
      </c>
      <c r="F12" s="94" t="s">
        <v>456</v>
      </c>
      <c r="G12" s="102"/>
      <c r="H12" s="84"/>
      <c r="I12" s="85" t="s">
        <v>466</v>
      </c>
      <c r="J12" s="85" t="s">
        <v>483</v>
      </c>
      <c r="K12" s="85" t="s">
        <v>484</v>
      </c>
      <c r="L12" s="85" t="s">
        <v>455</v>
      </c>
      <c r="M12" s="86">
        <v>43018</v>
      </c>
      <c r="N12" s="103" t="s">
        <v>463</v>
      </c>
      <c r="O12" s="85"/>
    </row>
    <row r="13" spans="1:15">
      <c r="A13" s="755" t="s">
        <v>466</v>
      </c>
      <c r="B13" s="85" t="s">
        <v>453</v>
      </c>
      <c r="C13" s="85" t="s">
        <v>480</v>
      </c>
      <c r="D13" s="85" t="s">
        <v>455</v>
      </c>
      <c r="E13" s="86">
        <v>42897</v>
      </c>
      <c r="F13" s="85" t="s">
        <v>456</v>
      </c>
      <c r="G13" s="104"/>
      <c r="H13" s="84"/>
      <c r="I13" s="98" t="s">
        <v>466</v>
      </c>
      <c r="J13" s="98" t="s">
        <v>464</v>
      </c>
      <c r="K13" s="98" t="s">
        <v>485</v>
      </c>
      <c r="L13" s="98" t="s">
        <v>462</v>
      </c>
      <c r="M13" s="99">
        <v>43024</v>
      </c>
      <c r="N13" s="100" t="s">
        <v>463</v>
      </c>
      <c r="O13" s="98"/>
    </row>
    <row r="14" spans="1:15">
      <c r="A14" s="755"/>
      <c r="B14" s="98" t="s">
        <v>460</v>
      </c>
      <c r="C14" s="98" t="s">
        <v>486</v>
      </c>
      <c r="D14" s="98" t="s">
        <v>462</v>
      </c>
      <c r="E14" s="99">
        <v>43060</v>
      </c>
      <c r="F14" s="100" t="s">
        <v>463</v>
      </c>
      <c r="G14" s="105"/>
      <c r="H14" s="84"/>
      <c r="I14" s="88" t="s">
        <v>452</v>
      </c>
      <c r="J14" s="83" t="s">
        <v>472</v>
      </c>
      <c r="K14" s="83" t="s">
        <v>473</v>
      </c>
      <c r="L14" s="83" t="s">
        <v>459</v>
      </c>
      <c r="M14" s="89">
        <v>43026</v>
      </c>
      <c r="N14" s="83" t="s">
        <v>456</v>
      </c>
      <c r="O14" s="83"/>
    </row>
    <row r="15" spans="1:15">
      <c r="A15" s="755"/>
      <c r="B15" s="98" t="s">
        <v>474</v>
      </c>
      <c r="C15" s="98" t="s">
        <v>475</v>
      </c>
      <c r="D15" s="98" t="s">
        <v>462</v>
      </c>
      <c r="E15" s="99">
        <v>42783</v>
      </c>
      <c r="F15" s="100" t="s">
        <v>463</v>
      </c>
      <c r="G15" s="105"/>
      <c r="H15" s="84"/>
      <c r="I15" s="90" t="s">
        <v>452</v>
      </c>
      <c r="J15" s="90" t="s">
        <v>460</v>
      </c>
      <c r="K15" s="90" t="s">
        <v>461</v>
      </c>
      <c r="L15" s="90" t="s">
        <v>462</v>
      </c>
      <c r="M15" s="91">
        <v>43052</v>
      </c>
      <c r="N15" s="92" t="s">
        <v>463</v>
      </c>
      <c r="O15" s="90"/>
    </row>
    <row r="16" spans="1:15">
      <c r="A16" s="755"/>
      <c r="B16" s="85" t="s">
        <v>483</v>
      </c>
      <c r="C16" s="85" t="s">
        <v>484</v>
      </c>
      <c r="D16" s="85" t="s">
        <v>455</v>
      </c>
      <c r="E16" s="86">
        <v>43018</v>
      </c>
      <c r="F16" s="103" t="s">
        <v>463</v>
      </c>
      <c r="G16" s="104"/>
      <c r="H16" s="84"/>
      <c r="I16" s="98" t="s">
        <v>466</v>
      </c>
      <c r="J16" s="98" t="s">
        <v>460</v>
      </c>
      <c r="K16" s="98" t="s">
        <v>486</v>
      </c>
      <c r="L16" s="98" t="s">
        <v>462</v>
      </c>
      <c r="M16" s="99">
        <v>43060</v>
      </c>
      <c r="N16" s="100" t="s">
        <v>463</v>
      </c>
      <c r="O16" s="98"/>
    </row>
    <row r="17" spans="1:15">
      <c r="A17" s="755"/>
      <c r="B17" s="98" t="s">
        <v>464</v>
      </c>
      <c r="C17" s="98" t="s">
        <v>485</v>
      </c>
      <c r="D17" s="98" t="s">
        <v>462</v>
      </c>
      <c r="E17" s="99">
        <v>22570</v>
      </c>
      <c r="F17" s="100" t="s">
        <v>463</v>
      </c>
      <c r="G17" s="105"/>
      <c r="H17" s="84"/>
      <c r="I17" s="88" t="s">
        <v>452</v>
      </c>
      <c r="J17" s="83" t="s">
        <v>481</v>
      </c>
      <c r="K17" s="83" t="s">
        <v>482</v>
      </c>
      <c r="L17" s="83" t="s">
        <v>459</v>
      </c>
      <c r="M17" s="89">
        <v>43071</v>
      </c>
      <c r="N17" s="83" t="s">
        <v>456</v>
      </c>
      <c r="O17" s="83"/>
    </row>
    <row r="18" spans="1:15">
      <c r="A18" s="755"/>
      <c r="B18" s="98" t="s">
        <v>467</v>
      </c>
      <c r="C18" s="98" t="s">
        <v>471</v>
      </c>
      <c r="D18" s="98" t="s">
        <v>462</v>
      </c>
      <c r="E18" s="99">
        <v>22688</v>
      </c>
      <c r="F18" s="100" t="s">
        <v>463</v>
      </c>
      <c r="G18" s="105"/>
      <c r="H18" s="84"/>
      <c r="I18" s="88" t="s">
        <v>466</v>
      </c>
      <c r="J18" s="83" t="s">
        <v>487</v>
      </c>
      <c r="K18" s="83" t="s">
        <v>488</v>
      </c>
      <c r="L18" s="83" t="s">
        <v>459</v>
      </c>
      <c r="M18" s="89">
        <v>43073</v>
      </c>
      <c r="N18" s="83" t="s">
        <v>456</v>
      </c>
      <c r="O18" s="83"/>
    </row>
    <row r="19" spans="1:15">
      <c r="A19" s="755"/>
      <c r="B19" s="83" t="s">
        <v>469</v>
      </c>
      <c r="C19" s="83" t="s">
        <v>470</v>
      </c>
      <c r="D19" s="83" t="s">
        <v>459</v>
      </c>
      <c r="E19" s="89">
        <v>32544</v>
      </c>
      <c r="F19" s="83" t="s">
        <v>456</v>
      </c>
      <c r="G19" s="97"/>
      <c r="H19" s="84"/>
      <c r="I19" s="88" t="s">
        <v>452</v>
      </c>
      <c r="J19" s="83" t="s">
        <v>478</v>
      </c>
      <c r="K19" s="83" t="s">
        <v>479</v>
      </c>
      <c r="L19" s="83" t="s">
        <v>459</v>
      </c>
      <c r="M19" s="89">
        <v>43078</v>
      </c>
      <c r="N19" s="83" t="s">
        <v>456</v>
      </c>
      <c r="O19" s="83"/>
    </row>
    <row r="20" spans="1:15">
      <c r="A20" s="755"/>
      <c r="B20" s="83" t="s">
        <v>487</v>
      </c>
      <c r="C20" s="83" t="s">
        <v>488</v>
      </c>
      <c r="D20" s="83" t="s">
        <v>459</v>
      </c>
      <c r="E20" s="89">
        <v>34307</v>
      </c>
      <c r="F20" s="83" t="s">
        <v>456</v>
      </c>
      <c r="G20" s="97"/>
      <c r="H20" s="84"/>
      <c r="I20" s="90" t="s">
        <v>452</v>
      </c>
      <c r="J20" s="90" t="s">
        <v>464</v>
      </c>
      <c r="K20" s="90" t="s">
        <v>465</v>
      </c>
      <c r="L20" s="90" t="s">
        <v>462</v>
      </c>
      <c r="M20" s="91">
        <v>43083</v>
      </c>
      <c r="N20" s="92" t="s">
        <v>463</v>
      </c>
      <c r="O20" s="90"/>
    </row>
    <row r="21" spans="1:15">
      <c r="A21" s="755"/>
      <c r="B21" s="759" t="s">
        <v>1048</v>
      </c>
      <c r="C21" s="759"/>
      <c r="D21" s="94" t="s">
        <v>459</v>
      </c>
      <c r="E21" s="95">
        <v>33625</v>
      </c>
      <c r="F21" s="94" t="s">
        <v>456</v>
      </c>
      <c r="G21" s="102"/>
      <c r="H21" s="84"/>
      <c r="I21" s="85" t="s">
        <v>452</v>
      </c>
      <c r="J21" s="85" t="s">
        <v>453</v>
      </c>
      <c r="K21" s="85" t="s">
        <v>454</v>
      </c>
      <c r="L21" s="85" t="s">
        <v>455</v>
      </c>
      <c r="M21" s="86">
        <v>43098</v>
      </c>
      <c r="N21" s="85" t="s">
        <v>456</v>
      </c>
      <c r="O21" s="87"/>
    </row>
    <row r="22" spans="1:15" s="84" customFormat="1">
      <c r="A22" s="137"/>
      <c r="B22" s="137"/>
      <c r="C22" s="137"/>
      <c r="D22" s="137"/>
      <c r="E22" s="137"/>
      <c r="F22" s="137"/>
    </row>
    <row r="23" spans="1:15" s="84" customFormat="1">
      <c r="A23" s="137"/>
      <c r="B23" s="137"/>
      <c r="C23" s="137"/>
      <c r="D23" s="137"/>
      <c r="E23" s="137"/>
      <c r="F23" s="137"/>
    </row>
    <row r="24" spans="1:15" s="84" customFormat="1">
      <c r="A24" s="137"/>
      <c r="B24" s="137"/>
      <c r="C24" s="137"/>
      <c r="D24" s="137"/>
      <c r="E24" s="137"/>
      <c r="F24" s="137"/>
    </row>
    <row r="25" spans="1:15" s="84" customFormat="1">
      <c r="A25" s="137"/>
      <c r="B25" s="137"/>
      <c r="C25" s="137"/>
      <c r="D25" s="137"/>
      <c r="E25" s="137"/>
      <c r="F25" s="137"/>
    </row>
    <row r="26" spans="1:15" s="84" customFormat="1">
      <c r="A26" s="137"/>
      <c r="B26" s="137"/>
      <c r="C26" s="137"/>
      <c r="D26" s="137"/>
      <c r="E26" s="137"/>
      <c r="F26" s="137"/>
    </row>
    <row r="27" spans="1:15" s="84" customFormat="1">
      <c r="A27" s="137"/>
      <c r="B27" s="137"/>
      <c r="C27" s="137"/>
      <c r="D27" s="137"/>
      <c r="E27" s="137"/>
      <c r="F27" s="137"/>
    </row>
    <row r="28" spans="1:15" s="84" customFormat="1">
      <c r="A28" s="137"/>
      <c r="B28" s="137"/>
      <c r="C28" s="137"/>
      <c r="D28" s="137"/>
      <c r="E28" s="137"/>
      <c r="F28" s="137"/>
    </row>
    <row r="29" spans="1:15" s="84" customFormat="1">
      <c r="A29" s="137"/>
      <c r="B29" s="137"/>
      <c r="C29" s="137"/>
      <c r="D29" s="137"/>
      <c r="E29" s="137"/>
      <c r="F29" s="137"/>
    </row>
    <row r="30" spans="1:15" s="84" customFormat="1">
      <c r="A30" s="137"/>
      <c r="B30" s="137"/>
      <c r="C30" s="137"/>
      <c r="D30" s="137"/>
      <c r="E30" s="137"/>
      <c r="F30" s="137"/>
    </row>
    <row r="31" spans="1:15" s="84" customFormat="1">
      <c r="A31" s="137"/>
      <c r="B31" s="137"/>
      <c r="C31" s="137"/>
      <c r="D31" s="137"/>
      <c r="E31" s="137"/>
      <c r="F31" s="137"/>
    </row>
    <row r="32" spans="1:15" s="84" customFormat="1">
      <c r="A32" s="137"/>
      <c r="B32" s="137"/>
      <c r="C32" s="137"/>
      <c r="D32" s="137"/>
      <c r="E32" s="137"/>
      <c r="F32" s="137"/>
    </row>
    <row r="33" spans="1:63" s="84" customFormat="1">
      <c r="A33" s="137"/>
      <c r="B33" s="137"/>
      <c r="C33" s="137"/>
      <c r="D33" s="137"/>
      <c r="E33" s="137"/>
      <c r="F33" s="137"/>
    </row>
    <row r="34" spans="1:63" s="84" customFormat="1">
      <c r="A34" s="137"/>
      <c r="B34" s="137"/>
      <c r="C34" s="137"/>
      <c r="D34" s="137"/>
      <c r="E34" s="137"/>
      <c r="F34" s="137"/>
    </row>
    <row r="35" spans="1:63" s="84" customFormat="1">
      <c r="A35" s="137"/>
      <c r="B35" s="137"/>
      <c r="C35" s="137"/>
      <c r="D35" s="137"/>
      <c r="E35" s="137"/>
      <c r="F35" s="137"/>
    </row>
    <row r="36" spans="1:63" s="84" customFormat="1">
      <c r="A36" s="137"/>
      <c r="B36" s="137"/>
      <c r="C36" s="137"/>
      <c r="D36" s="137"/>
      <c r="E36" s="137"/>
      <c r="F36" s="137"/>
    </row>
    <row r="37" spans="1:63" s="84" customFormat="1">
      <c r="A37" s="137"/>
      <c r="B37" s="137"/>
      <c r="C37" s="137"/>
      <c r="D37" s="137"/>
      <c r="E37" s="137"/>
      <c r="F37" s="137"/>
    </row>
    <row r="38" spans="1:63" s="84" customFormat="1" ht="16.5">
      <c r="A38" s="137"/>
      <c r="B38" s="137"/>
      <c r="C38" s="137"/>
      <c r="D38" s="137"/>
      <c r="E38" s="137"/>
      <c r="F38" s="137"/>
      <c r="AT38" s="71" t="s">
        <v>392</v>
      </c>
      <c r="AU38" s="71"/>
      <c r="AV38" s="71"/>
      <c r="AW38" s="71"/>
      <c r="AX38" s="71"/>
      <c r="AY38" s="70"/>
      <c r="AZ38" s="70"/>
      <c r="BA38" s="70"/>
      <c r="BB38" s="71"/>
      <c r="BC38" s="69"/>
      <c r="BD38" s="69"/>
      <c r="BE38" s="69"/>
      <c r="BF38" s="69"/>
      <c r="BG38" s="69"/>
      <c r="BH38" s="69"/>
      <c r="BI38" s="69"/>
      <c r="BJ38" s="69"/>
      <c r="BK38" s="69"/>
    </row>
    <row r="39" spans="1:63" s="84" customFormat="1" ht="16.5">
      <c r="A39" s="137"/>
      <c r="B39" s="137"/>
      <c r="C39" s="137"/>
      <c r="D39" s="137"/>
      <c r="E39" s="137"/>
      <c r="F39" s="137"/>
      <c r="AT39" s="69"/>
      <c r="AU39" s="70"/>
      <c r="AV39" s="71"/>
      <c r="AW39" s="71"/>
      <c r="AX39" s="71"/>
      <c r="AY39" s="70"/>
      <c r="AZ39" s="70"/>
      <c r="BA39" s="70"/>
      <c r="BB39" s="71"/>
      <c r="BC39" s="69"/>
      <c r="BD39" s="69"/>
      <c r="BE39" s="69"/>
      <c r="BF39" s="69"/>
      <c r="BG39" s="69"/>
      <c r="BH39" s="69"/>
      <c r="BI39" s="69"/>
      <c r="BJ39" s="69"/>
      <c r="BK39" s="69"/>
    </row>
    <row r="40" spans="1:63" s="84" customFormat="1" ht="16.5">
      <c r="A40" s="137"/>
      <c r="B40" s="137"/>
      <c r="C40" s="137"/>
      <c r="D40" s="137"/>
      <c r="E40" s="137"/>
      <c r="F40" s="137"/>
      <c r="AT40" s="69"/>
      <c r="AU40" s="71" t="s">
        <v>393</v>
      </c>
      <c r="AV40" s="71"/>
      <c r="AW40" s="71"/>
      <c r="AX40" s="71"/>
      <c r="AY40" s="70"/>
      <c r="AZ40" s="70"/>
      <c r="BA40" s="70"/>
      <c r="BB40" s="71"/>
      <c r="BC40" s="69"/>
      <c r="BD40" s="71" t="s">
        <v>394</v>
      </c>
      <c r="BE40" s="71"/>
      <c r="BF40" s="71"/>
      <c r="BG40" s="71"/>
      <c r="BH40" s="70"/>
      <c r="BI40" s="70"/>
      <c r="BJ40" s="70"/>
      <c r="BK40" s="71"/>
    </row>
    <row r="41" spans="1:63" s="84" customFormat="1" ht="16.5">
      <c r="A41" s="137"/>
      <c r="B41" s="137"/>
      <c r="C41" s="137"/>
      <c r="D41" s="137"/>
      <c r="E41" s="137"/>
      <c r="F41" s="137"/>
      <c r="AT41" s="69"/>
      <c r="AU41" s="70"/>
      <c r="AV41" s="71"/>
      <c r="AW41" s="71"/>
      <c r="AX41" s="71"/>
      <c r="AY41" s="70"/>
      <c r="AZ41" s="70"/>
      <c r="BA41" s="70"/>
      <c r="BB41" s="71"/>
      <c r="BC41" s="69"/>
      <c r="BD41" s="70"/>
      <c r="BE41" s="71"/>
      <c r="BF41" s="71"/>
      <c r="BG41" s="71"/>
      <c r="BH41" s="70"/>
      <c r="BI41" s="70"/>
      <c r="BJ41" s="70"/>
      <c r="BK41" s="71"/>
    </row>
    <row r="42" spans="1:63" s="84" customFormat="1" ht="16.5">
      <c r="A42" s="137"/>
      <c r="B42" s="137"/>
      <c r="C42" s="137"/>
      <c r="D42" s="137"/>
      <c r="E42" s="137"/>
      <c r="F42" s="137"/>
      <c r="AT42" s="70"/>
      <c r="AU42" s="72" t="s">
        <v>395</v>
      </c>
      <c r="AV42" s="72" t="s">
        <v>396</v>
      </c>
      <c r="AW42" s="762" t="s">
        <v>397</v>
      </c>
      <c r="AX42" s="762"/>
      <c r="AY42" s="72" t="s">
        <v>398</v>
      </c>
      <c r="AZ42" s="72" t="s">
        <v>399</v>
      </c>
      <c r="BA42" s="72" t="s">
        <v>400</v>
      </c>
      <c r="BB42" s="72" t="s">
        <v>401</v>
      </c>
      <c r="BC42" s="70"/>
      <c r="BD42" s="72" t="s">
        <v>395</v>
      </c>
      <c r="BE42" s="72" t="s">
        <v>396</v>
      </c>
      <c r="BF42" s="762" t="s">
        <v>397</v>
      </c>
      <c r="BG42" s="762"/>
      <c r="BH42" s="72" t="s">
        <v>398</v>
      </c>
      <c r="BI42" s="72" t="s">
        <v>399</v>
      </c>
      <c r="BJ42" s="72" t="s">
        <v>400</v>
      </c>
      <c r="BK42" s="72" t="s">
        <v>401</v>
      </c>
    </row>
    <row r="43" spans="1:63" s="84" customFormat="1" ht="16.5">
      <c r="A43" s="137"/>
      <c r="B43" s="137"/>
      <c r="C43" s="137"/>
      <c r="D43" s="137"/>
      <c r="E43" s="137"/>
      <c r="F43" s="137"/>
      <c r="AT43" s="69"/>
      <c r="AU43" s="72">
        <v>1</v>
      </c>
      <c r="AV43" s="73" t="s">
        <v>402</v>
      </c>
      <c r="AW43" s="763" t="s">
        <v>403</v>
      </c>
      <c r="AX43" s="764"/>
      <c r="AY43" s="74">
        <v>52</v>
      </c>
      <c r="AZ43" s="74">
        <v>10000</v>
      </c>
      <c r="BA43" s="74">
        <f>AZ43*AY43</f>
        <v>520000</v>
      </c>
      <c r="BB43" s="73"/>
      <c r="BC43" s="69"/>
      <c r="BD43" s="72">
        <v>1</v>
      </c>
      <c r="BE43" s="73" t="s">
        <v>402</v>
      </c>
      <c r="BF43" s="763" t="s">
        <v>403</v>
      </c>
      <c r="BG43" s="764"/>
      <c r="BH43" s="74">
        <v>52</v>
      </c>
      <c r="BI43" s="74">
        <v>10000</v>
      </c>
      <c r="BJ43" s="74">
        <f>BI43*BH43</f>
        <v>520000</v>
      </c>
      <c r="BK43" s="73"/>
    </row>
    <row r="44" spans="1:63" s="84" customFormat="1" ht="16.5">
      <c r="A44" s="137"/>
      <c r="B44" s="137"/>
      <c r="C44" s="137"/>
      <c r="D44" s="137"/>
      <c r="E44" s="137"/>
      <c r="F44" s="137"/>
      <c r="AT44" s="69"/>
      <c r="AU44" s="765">
        <v>2</v>
      </c>
      <c r="AV44" s="768" t="s">
        <v>404</v>
      </c>
      <c r="AW44" s="768" t="s">
        <v>405</v>
      </c>
      <c r="AX44" s="73" t="s">
        <v>406</v>
      </c>
      <c r="AY44" s="74">
        <v>12</v>
      </c>
      <c r="AZ44" s="74">
        <v>510000</v>
      </c>
      <c r="BA44" s="74">
        <f t="shared" ref="BA44:BA56" si="0">AZ44*AY44</f>
        <v>6120000</v>
      </c>
      <c r="BB44" s="73"/>
      <c r="BC44" s="69"/>
      <c r="BD44" s="765">
        <v>2</v>
      </c>
      <c r="BE44" s="768" t="s">
        <v>404</v>
      </c>
      <c r="BF44" s="768" t="s">
        <v>405</v>
      </c>
      <c r="BG44" s="73" t="s">
        <v>406</v>
      </c>
      <c r="BH44" s="74">
        <v>12</v>
      </c>
      <c r="BI44" s="74">
        <v>510000</v>
      </c>
      <c r="BJ44" s="74">
        <f t="shared" ref="BJ44:BJ47" si="1">BI44*BH44</f>
        <v>6120000</v>
      </c>
      <c r="BK44" s="73"/>
    </row>
    <row r="45" spans="1:63" s="84" customFormat="1" ht="16.5">
      <c r="A45" s="137"/>
      <c r="B45" s="137"/>
      <c r="C45" s="137"/>
      <c r="D45" s="137"/>
      <c r="E45" s="137"/>
      <c r="F45" s="137"/>
      <c r="AT45" s="69"/>
      <c r="AU45" s="766"/>
      <c r="AV45" s="769"/>
      <c r="AW45" s="769"/>
      <c r="AX45" s="73" t="s">
        <v>407</v>
      </c>
      <c r="AY45" s="74">
        <v>1</v>
      </c>
      <c r="AZ45" s="74">
        <v>800000</v>
      </c>
      <c r="BA45" s="74">
        <f t="shared" si="0"/>
        <v>800000</v>
      </c>
      <c r="BB45" s="73"/>
      <c r="BC45" s="69"/>
      <c r="BD45" s="766"/>
      <c r="BE45" s="769"/>
      <c r="BF45" s="769"/>
      <c r="BG45" s="73" t="s">
        <v>407</v>
      </c>
      <c r="BH45" s="74">
        <v>1</v>
      </c>
      <c r="BI45" s="74">
        <v>800000</v>
      </c>
      <c r="BJ45" s="74">
        <f t="shared" si="1"/>
        <v>800000</v>
      </c>
      <c r="BK45" s="73"/>
    </row>
    <row r="46" spans="1:63" s="84" customFormat="1" ht="16.5">
      <c r="A46" s="137"/>
      <c r="B46" s="137"/>
      <c r="C46" s="137"/>
      <c r="D46" s="137"/>
      <c r="E46" s="137"/>
      <c r="F46" s="137"/>
      <c r="AT46" s="69"/>
      <c r="AU46" s="766"/>
      <c r="AV46" s="769"/>
      <c r="AW46" s="769"/>
      <c r="AX46" s="73" t="s">
        <v>408</v>
      </c>
      <c r="AY46" s="74">
        <v>1</v>
      </c>
      <c r="AZ46" s="74">
        <v>100000</v>
      </c>
      <c r="BA46" s="74">
        <f t="shared" si="0"/>
        <v>100000</v>
      </c>
      <c r="BB46" s="73"/>
      <c r="BC46" s="69"/>
      <c r="BD46" s="766"/>
      <c r="BE46" s="769"/>
      <c r="BF46" s="769"/>
      <c r="BG46" s="73" t="s">
        <v>408</v>
      </c>
      <c r="BH46" s="74">
        <v>1</v>
      </c>
      <c r="BI46" s="74">
        <v>100000</v>
      </c>
      <c r="BJ46" s="74">
        <f t="shared" si="1"/>
        <v>100000</v>
      </c>
      <c r="BK46" s="73"/>
    </row>
    <row r="47" spans="1:63" s="84" customFormat="1" ht="16.5">
      <c r="A47" s="137"/>
      <c r="B47" s="137"/>
      <c r="C47" s="137"/>
      <c r="D47" s="137"/>
      <c r="E47" s="137"/>
      <c r="F47" s="137"/>
      <c r="AT47" s="69"/>
      <c r="AU47" s="766"/>
      <c r="AV47" s="769"/>
      <c r="AW47" s="769"/>
      <c r="AX47" s="73" t="s">
        <v>409</v>
      </c>
      <c r="AY47" s="74">
        <v>1</v>
      </c>
      <c r="AZ47" s="74">
        <v>30000</v>
      </c>
      <c r="BA47" s="74">
        <f t="shared" si="0"/>
        <v>30000</v>
      </c>
      <c r="BB47" s="73"/>
      <c r="BC47" s="69"/>
      <c r="BD47" s="766"/>
      <c r="BE47" s="769"/>
      <c r="BF47" s="769"/>
      <c r="BG47" s="73" t="s">
        <v>409</v>
      </c>
      <c r="BH47" s="74">
        <v>1</v>
      </c>
      <c r="BI47" s="74">
        <v>30000</v>
      </c>
      <c r="BJ47" s="74">
        <f t="shared" si="1"/>
        <v>30000</v>
      </c>
      <c r="BK47" s="73"/>
    </row>
    <row r="48" spans="1:63" s="84" customFormat="1" ht="16.5">
      <c r="A48" s="137"/>
      <c r="B48" s="137"/>
      <c r="C48" s="137"/>
      <c r="D48" s="137"/>
      <c r="E48" s="137"/>
      <c r="F48" s="137"/>
      <c r="AT48" s="69"/>
      <c r="AU48" s="766"/>
      <c r="AV48" s="769"/>
      <c r="AW48" s="770"/>
      <c r="AX48" s="73" t="s">
        <v>410</v>
      </c>
      <c r="AY48" s="74" t="s">
        <v>411</v>
      </c>
      <c r="AZ48" s="74" t="s">
        <v>411</v>
      </c>
      <c r="BA48" s="74" t="s">
        <v>411</v>
      </c>
      <c r="BB48" s="73"/>
      <c r="BC48" s="69"/>
      <c r="BD48" s="767"/>
      <c r="BE48" s="770"/>
      <c r="BF48" s="770"/>
      <c r="BG48" s="73" t="s">
        <v>410</v>
      </c>
      <c r="BH48" s="74" t="s">
        <v>411</v>
      </c>
      <c r="BI48" s="74" t="s">
        <v>411</v>
      </c>
      <c r="BJ48" s="74" t="s">
        <v>411</v>
      </c>
      <c r="BK48" s="73"/>
    </row>
    <row r="49" spans="1:63" s="84" customFormat="1" ht="16.5">
      <c r="A49" s="137"/>
      <c r="B49" s="137"/>
      <c r="C49" s="137"/>
      <c r="D49" s="137"/>
      <c r="E49" s="137"/>
      <c r="F49" s="137"/>
      <c r="AT49" s="69"/>
      <c r="AU49" s="767"/>
      <c r="AV49" s="770"/>
      <c r="AW49" s="73" t="s">
        <v>412</v>
      </c>
      <c r="AX49" s="73" t="s">
        <v>406</v>
      </c>
      <c r="AY49" s="74">
        <v>12</v>
      </c>
      <c r="AZ49" s="74">
        <v>257000</v>
      </c>
      <c r="BA49" s="74">
        <f t="shared" si="0"/>
        <v>3084000</v>
      </c>
      <c r="BB49" s="73"/>
      <c r="BC49" s="69"/>
      <c r="BD49" s="72">
        <v>3</v>
      </c>
      <c r="BE49" s="73" t="s">
        <v>413</v>
      </c>
      <c r="BF49" s="75" t="s">
        <v>403</v>
      </c>
      <c r="BG49" s="76"/>
      <c r="BH49" s="74">
        <v>1</v>
      </c>
      <c r="BI49" s="74">
        <v>100000</v>
      </c>
      <c r="BJ49" s="74">
        <f t="shared" ref="BJ49:BJ55" si="2">BI49*BH49</f>
        <v>100000</v>
      </c>
      <c r="BK49" s="73" t="s">
        <v>414</v>
      </c>
    </row>
    <row r="50" spans="1:63" s="84" customFormat="1" ht="16.5">
      <c r="A50" s="137"/>
      <c r="B50" s="137"/>
      <c r="C50" s="137"/>
      <c r="D50" s="137"/>
      <c r="E50" s="137"/>
      <c r="F50" s="137"/>
      <c r="AT50" s="69"/>
      <c r="AU50" s="72">
        <v>3</v>
      </c>
      <c r="AV50" s="73" t="s">
        <v>413</v>
      </c>
      <c r="AW50" s="763" t="s">
        <v>403</v>
      </c>
      <c r="AX50" s="764"/>
      <c r="AY50" s="74">
        <v>1</v>
      </c>
      <c r="AZ50" s="74">
        <v>100000</v>
      </c>
      <c r="BA50" s="74">
        <f t="shared" si="0"/>
        <v>100000</v>
      </c>
      <c r="BB50" s="73" t="s">
        <v>414</v>
      </c>
      <c r="BC50" s="69"/>
      <c r="BD50" s="72">
        <v>4</v>
      </c>
      <c r="BE50" s="73" t="s">
        <v>415</v>
      </c>
      <c r="BF50" s="75" t="s">
        <v>403</v>
      </c>
      <c r="BG50" s="76"/>
      <c r="BH50" s="74">
        <v>1</v>
      </c>
      <c r="BI50" s="74">
        <v>100000</v>
      </c>
      <c r="BJ50" s="74">
        <f t="shared" si="2"/>
        <v>100000</v>
      </c>
      <c r="BK50" s="73" t="s">
        <v>416</v>
      </c>
    </row>
    <row r="51" spans="1:63" s="84" customFormat="1" ht="16.5">
      <c r="A51" s="137"/>
      <c r="B51" s="137"/>
      <c r="C51" s="137"/>
      <c r="D51" s="137"/>
      <c r="E51" s="137"/>
      <c r="F51" s="137"/>
      <c r="AT51" s="69"/>
      <c r="AU51" s="72">
        <v>4</v>
      </c>
      <c r="AV51" s="73" t="s">
        <v>415</v>
      </c>
      <c r="AW51" s="763" t="s">
        <v>403</v>
      </c>
      <c r="AX51" s="764"/>
      <c r="AY51" s="74">
        <v>1</v>
      </c>
      <c r="AZ51" s="74">
        <v>100000</v>
      </c>
      <c r="BA51" s="74">
        <f t="shared" si="0"/>
        <v>100000</v>
      </c>
      <c r="BB51" s="73" t="s">
        <v>416</v>
      </c>
      <c r="BC51" s="69"/>
      <c r="BD51" s="72">
        <v>5</v>
      </c>
      <c r="BE51" s="73" t="s">
        <v>417</v>
      </c>
      <c r="BF51" s="75" t="s">
        <v>403</v>
      </c>
      <c r="BG51" s="76"/>
      <c r="BH51" s="74">
        <v>1</v>
      </c>
      <c r="BI51" s="74">
        <v>100000</v>
      </c>
      <c r="BJ51" s="74">
        <f t="shared" si="2"/>
        <v>100000</v>
      </c>
      <c r="BK51" s="73" t="s">
        <v>418</v>
      </c>
    </row>
    <row r="52" spans="1:63" s="84" customFormat="1" ht="16.5">
      <c r="A52" s="137"/>
      <c r="B52" s="137"/>
      <c r="C52" s="137"/>
      <c r="D52" s="137"/>
      <c r="E52" s="137"/>
      <c r="F52" s="137"/>
      <c r="AT52" s="69"/>
      <c r="AU52" s="72">
        <v>5</v>
      </c>
      <c r="AV52" s="73" t="s">
        <v>417</v>
      </c>
      <c r="AW52" s="763" t="s">
        <v>403</v>
      </c>
      <c r="AX52" s="764"/>
      <c r="AY52" s="74">
        <v>1</v>
      </c>
      <c r="AZ52" s="74">
        <v>100000</v>
      </c>
      <c r="BA52" s="74">
        <f t="shared" si="0"/>
        <v>100000</v>
      </c>
      <c r="BB52" s="73" t="s">
        <v>418</v>
      </c>
      <c r="BC52" s="69"/>
      <c r="BD52" s="72">
        <v>6</v>
      </c>
      <c r="BE52" s="73" t="s">
        <v>419</v>
      </c>
      <c r="BF52" s="75" t="s">
        <v>403</v>
      </c>
      <c r="BG52" s="76"/>
      <c r="BH52" s="74">
        <v>1</v>
      </c>
      <c r="BI52" s="74">
        <v>300000</v>
      </c>
      <c r="BJ52" s="74">
        <f t="shared" si="2"/>
        <v>300000</v>
      </c>
      <c r="BK52" s="73" t="s">
        <v>420</v>
      </c>
    </row>
    <row r="53" spans="1:63" s="84" customFormat="1" ht="16.5">
      <c r="A53" s="137"/>
      <c r="B53" s="137"/>
      <c r="C53" s="137"/>
      <c r="D53" s="137"/>
      <c r="E53" s="137"/>
      <c r="F53" s="137"/>
      <c r="AT53" s="69"/>
      <c r="AU53" s="72">
        <v>6</v>
      </c>
      <c r="AV53" s="73" t="s">
        <v>419</v>
      </c>
      <c r="AW53" s="763" t="s">
        <v>403</v>
      </c>
      <c r="AX53" s="764"/>
      <c r="AY53" s="74">
        <v>1</v>
      </c>
      <c r="AZ53" s="74">
        <v>300000</v>
      </c>
      <c r="BA53" s="74">
        <f t="shared" si="0"/>
        <v>300000</v>
      </c>
      <c r="BB53" s="73" t="s">
        <v>420</v>
      </c>
      <c r="BC53" s="69"/>
      <c r="BD53" s="72">
        <v>7</v>
      </c>
      <c r="BE53" s="73" t="s">
        <v>421</v>
      </c>
      <c r="BF53" s="75" t="s">
        <v>403</v>
      </c>
      <c r="BG53" s="76"/>
      <c r="BH53" s="74">
        <v>1</v>
      </c>
      <c r="BI53" s="74">
        <v>100000</v>
      </c>
      <c r="BJ53" s="74">
        <f t="shared" si="2"/>
        <v>100000</v>
      </c>
      <c r="BK53" s="73" t="s">
        <v>422</v>
      </c>
    </row>
    <row r="54" spans="1:63" s="84" customFormat="1" ht="16.5">
      <c r="A54" s="137"/>
      <c r="B54" s="137"/>
      <c r="C54" s="137"/>
      <c r="D54" s="137"/>
      <c r="E54" s="137"/>
      <c r="F54" s="137"/>
      <c r="AT54" s="69"/>
      <c r="AU54" s="72">
        <v>7</v>
      </c>
      <c r="AV54" s="73" t="s">
        <v>421</v>
      </c>
      <c r="AW54" s="763" t="s">
        <v>403</v>
      </c>
      <c r="AX54" s="764"/>
      <c r="AY54" s="74">
        <v>1</v>
      </c>
      <c r="AZ54" s="74">
        <v>100000</v>
      </c>
      <c r="BA54" s="74">
        <f t="shared" si="0"/>
        <v>100000</v>
      </c>
      <c r="BB54" s="73" t="s">
        <v>422</v>
      </c>
      <c r="BC54" s="69"/>
      <c r="BD54" s="77">
        <v>8</v>
      </c>
      <c r="BE54" s="78" t="s">
        <v>423</v>
      </c>
      <c r="BF54" s="763" t="s">
        <v>403</v>
      </c>
      <c r="BG54" s="764"/>
      <c r="BH54" s="74">
        <v>2</v>
      </c>
      <c r="BI54" s="74">
        <v>50000</v>
      </c>
      <c r="BJ54" s="74">
        <f t="shared" si="2"/>
        <v>100000</v>
      </c>
      <c r="BK54" s="73" t="s">
        <v>424</v>
      </c>
    </row>
    <row r="55" spans="1:63" s="84" customFormat="1" ht="16.5">
      <c r="A55" s="137"/>
      <c r="B55" s="137"/>
      <c r="C55" s="137"/>
      <c r="D55" s="137"/>
      <c r="E55" s="137"/>
      <c r="F55" s="137"/>
      <c r="AT55" s="69"/>
      <c r="AU55" s="77">
        <v>8</v>
      </c>
      <c r="AV55" s="78" t="s">
        <v>423</v>
      </c>
      <c r="AW55" s="763" t="s">
        <v>403</v>
      </c>
      <c r="AX55" s="764"/>
      <c r="AY55" s="74">
        <v>2</v>
      </c>
      <c r="AZ55" s="74">
        <v>50000</v>
      </c>
      <c r="BA55" s="74">
        <f t="shared" si="0"/>
        <v>100000</v>
      </c>
      <c r="BB55" s="73" t="s">
        <v>424</v>
      </c>
      <c r="BC55" s="69"/>
      <c r="BD55" s="77">
        <v>9</v>
      </c>
      <c r="BE55" s="78" t="s">
        <v>425</v>
      </c>
      <c r="BF55" s="79" t="s">
        <v>405</v>
      </c>
      <c r="BG55" s="80"/>
      <c r="BH55" s="74">
        <v>12</v>
      </c>
      <c r="BI55" s="74">
        <v>10000</v>
      </c>
      <c r="BJ55" s="74">
        <f t="shared" si="2"/>
        <v>120000</v>
      </c>
      <c r="BK55" s="73" t="s">
        <v>424</v>
      </c>
    </row>
    <row r="56" spans="1:63" s="84" customFormat="1" ht="16.5">
      <c r="A56" s="137"/>
      <c r="B56" s="137"/>
      <c r="C56" s="137"/>
      <c r="D56" s="137"/>
      <c r="E56" s="137"/>
      <c r="F56" s="137"/>
      <c r="AT56" s="69"/>
      <c r="AU56" s="77">
        <v>9</v>
      </c>
      <c r="AV56" s="78" t="s">
        <v>425</v>
      </c>
      <c r="AW56" s="79" t="s">
        <v>405</v>
      </c>
      <c r="AX56" s="80"/>
      <c r="AY56" s="74">
        <v>12</v>
      </c>
      <c r="AZ56" s="74">
        <v>10000</v>
      </c>
      <c r="BA56" s="74">
        <f t="shared" si="0"/>
        <v>120000</v>
      </c>
      <c r="BB56" s="73" t="s">
        <v>424</v>
      </c>
      <c r="BC56" s="69"/>
      <c r="BD56" s="771" t="s">
        <v>426</v>
      </c>
      <c r="BE56" s="771"/>
      <c r="BF56" s="771"/>
      <c r="BG56" s="771"/>
      <c r="BH56" s="771"/>
      <c r="BI56" s="771"/>
      <c r="BJ56" s="81">
        <f>SUM(BJ43:BJ55)</f>
        <v>8490000</v>
      </c>
      <c r="BK56" s="73"/>
    </row>
    <row r="57" spans="1:63" s="84" customFormat="1" ht="16.5">
      <c r="A57" s="137"/>
      <c r="B57" s="137"/>
      <c r="C57" s="137"/>
      <c r="D57" s="137"/>
      <c r="E57" s="137"/>
      <c r="F57" s="137"/>
      <c r="AT57" s="69"/>
      <c r="AU57" s="771" t="s">
        <v>426</v>
      </c>
      <c r="AV57" s="771"/>
      <c r="AW57" s="771"/>
      <c r="AX57" s="771"/>
      <c r="AY57" s="771"/>
      <c r="AZ57" s="771"/>
      <c r="BA57" s="81">
        <f>SUM(BA42:BA56)</f>
        <v>11574000</v>
      </c>
      <c r="BB57" s="73"/>
      <c r="BC57" s="69"/>
      <c r="BD57" s="69"/>
      <c r="BE57" s="69"/>
      <c r="BF57" s="69"/>
      <c r="BG57" s="69"/>
      <c r="BH57" s="69"/>
      <c r="BI57" s="69"/>
      <c r="BJ57" s="69"/>
      <c r="BK57" s="69"/>
    </row>
    <row r="58" spans="1:63" s="84" customFormat="1" ht="16.5">
      <c r="A58" s="137"/>
      <c r="B58" s="137"/>
      <c r="C58" s="137"/>
      <c r="D58" s="137"/>
      <c r="E58" s="137"/>
      <c r="F58" s="137"/>
      <c r="AT58" s="69"/>
      <c r="AU58" s="69"/>
      <c r="AV58" s="69"/>
      <c r="AW58" s="69"/>
      <c r="AX58" s="69"/>
      <c r="AY58" s="69"/>
      <c r="AZ58" s="69"/>
      <c r="BA58" s="69"/>
      <c r="BB58" s="69"/>
      <c r="BC58" s="69"/>
      <c r="BD58" s="69"/>
      <c r="BE58" s="69"/>
      <c r="BF58" s="69"/>
      <c r="BG58" s="69"/>
      <c r="BH58" s="69"/>
      <c r="BI58" s="69"/>
      <c r="BJ58" s="69"/>
      <c r="BK58" s="69"/>
    </row>
    <row r="59" spans="1:63" s="84" customFormat="1" ht="16.5">
      <c r="A59" s="137"/>
      <c r="B59" s="137"/>
      <c r="C59" s="137"/>
      <c r="D59" s="137"/>
      <c r="E59" s="137"/>
      <c r="F59" s="137"/>
      <c r="AT59" s="69"/>
      <c r="AU59" s="70"/>
      <c r="AV59" s="71"/>
      <c r="AW59" s="71"/>
      <c r="AX59" s="71"/>
      <c r="AY59" s="70"/>
      <c r="AZ59" s="70"/>
      <c r="BA59" s="70"/>
      <c r="BB59" s="71"/>
      <c r="BC59" s="69"/>
      <c r="BD59" s="69"/>
      <c r="BE59" s="69"/>
      <c r="BF59" s="69"/>
      <c r="BG59" s="69"/>
      <c r="BH59" s="69"/>
      <c r="BI59" s="69"/>
      <c r="BJ59" s="69"/>
      <c r="BK59" s="69"/>
    </row>
    <row r="60" spans="1:63" s="84" customFormat="1" ht="16.5">
      <c r="A60" s="137"/>
      <c r="B60" s="137"/>
      <c r="C60" s="137"/>
      <c r="D60" s="137"/>
      <c r="E60" s="137"/>
      <c r="F60" s="137"/>
      <c r="AT60" s="71" t="s">
        <v>427</v>
      </c>
      <c r="AU60" s="71"/>
      <c r="AV60" s="71"/>
      <c r="AW60" s="71"/>
      <c r="AX60" s="71"/>
      <c r="AY60" s="70"/>
      <c r="AZ60" s="70"/>
      <c r="BA60" s="70"/>
      <c r="BB60" s="71"/>
      <c r="BC60" s="69"/>
      <c r="BD60" s="69"/>
      <c r="BE60" s="69"/>
      <c r="BF60" s="69"/>
      <c r="BG60" s="69"/>
      <c r="BH60" s="69"/>
      <c r="BI60" s="69"/>
      <c r="BJ60" s="69"/>
      <c r="BK60" s="69"/>
    </row>
    <row r="61" spans="1:63" s="84" customFormat="1" ht="16.5">
      <c r="A61" s="137"/>
      <c r="B61" s="137"/>
      <c r="C61" s="137"/>
      <c r="D61" s="137"/>
      <c r="E61" s="137"/>
      <c r="F61" s="137"/>
      <c r="AT61" s="69"/>
      <c r="AU61" s="70"/>
      <c r="AV61" s="71"/>
      <c r="AW61" s="71"/>
      <c r="AX61" s="71"/>
      <c r="AY61" s="70"/>
      <c r="AZ61" s="70"/>
      <c r="BA61" s="70"/>
      <c r="BB61" s="71"/>
      <c r="BC61" s="69"/>
      <c r="BD61" s="69"/>
      <c r="BE61" s="69"/>
      <c r="BF61" s="69"/>
      <c r="BG61" s="69"/>
      <c r="BH61" s="69"/>
      <c r="BI61" s="69"/>
      <c r="BJ61" s="69"/>
      <c r="BK61" s="69"/>
    </row>
    <row r="62" spans="1:63" s="84" customFormat="1" ht="16.5">
      <c r="A62" s="137"/>
      <c r="B62" s="137"/>
      <c r="C62" s="137"/>
      <c r="D62" s="137"/>
      <c r="E62" s="137"/>
      <c r="F62" s="137"/>
      <c r="AT62" s="70"/>
      <c r="AU62" s="72" t="s">
        <v>395</v>
      </c>
      <c r="AV62" s="72" t="s">
        <v>396</v>
      </c>
      <c r="AW62" s="762" t="s">
        <v>397</v>
      </c>
      <c r="AX62" s="762"/>
      <c r="AY62" s="72" t="s">
        <v>398</v>
      </c>
      <c r="AZ62" s="72" t="s">
        <v>399</v>
      </c>
      <c r="BA62" s="72" t="s">
        <v>400</v>
      </c>
      <c r="BB62" s="72" t="s">
        <v>401</v>
      </c>
      <c r="BC62" s="69"/>
      <c r="BD62" s="69"/>
      <c r="BE62" s="69"/>
      <c r="BF62" s="69"/>
      <c r="BG62" s="69"/>
      <c r="BH62" s="69"/>
      <c r="BI62" s="69"/>
      <c r="BJ62" s="69"/>
      <c r="BK62" s="69"/>
    </row>
    <row r="63" spans="1:63" s="84" customFormat="1" ht="16.5">
      <c r="A63" s="137"/>
      <c r="B63" s="137"/>
      <c r="C63" s="137"/>
      <c r="D63" s="137"/>
      <c r="E63" s="137"/>
      <c r="F63" s="137"/>
      <c r="AT63" s="69"/>
      <c r="AU63" s="72">
        <v>1</v>
      </c>
      <c r="AV63" s="73" t="s">
        <v>428</v>
      </c>
      <c r="AW63" s="763" t="s">
        <v>403</v>
      </c>
      <c r="AX63" s="764"/>
      <c r="AY63" s="74">
        <v>12</v>
      </c>
      <c r="AZ63" s="74">
        <v>200000</v>
      </c>
      <c r="BA63" s="74">
        <f>AZ63*AY63</f>
        <v>2400000</v>
      </c>
      <c r="BB63" s="73"/>
      <c r="BC63" s="69"/>
      <c r="BD63" s="69"/>
      <c r="BE63" s="69"/>
      <c r="BF63" s="69"/>
      <c r="BG63" s="69"/>
      <c r="BH63" s="69"/>
      <c r="BI63" s="69"/>
      <c r="BJ63" s="69"/>
      <c r="BK63" s="69"/>
    </row>
    <row r="64" spans="1:63" s="84" customFormat="1" ht="16.5">
      <c r="A64" s="137"/>
      <c r="B64" s="137"/>
      <c r="C64" s="137"/>
      <c r="D64" s="137"/>
      <c r="E64" s="137"/>
      <c r="F64" s="137"/>
      <c r="AT64" s="69"/>
      <c r="AU64" s="765">
        <v>2</v>
      </c>
      <c r="AV64" s="768" t="s">
        <v>429</v>
      </c>
      <c r="AW64" s="772" t="s">
        <v>430</v>
      </c>
      <c r="AX64" s="773"/>
      <c r="AY64" s="74">
        <v>4</v>
      </c>
      <c r="AZ64" s="74">
        <v>300000</v>
      </c>
      <c r="BA64" s="74">
        <f t="shared" ref="BA64:BA70" si="3">AZ64*AY64</f>
        <v>1200000</v>
      </c>
      <c r="BB64" s="73"/>
      <c r="BC64" s="69"/>
      <c r="BD64" s="69"/>
      <c r="BE64" s="69"/>
      <c r="BF64" s="69"/>
      <c r="BG64" s="69"/>
      <c r="BH64" s="69"/>
      <c r="BI64" s="69"/>
      <c r="BJ64" s="69"/>
      <c r="BK64" s="69"/>
    </row>
    <row r="65" spans="1:63" s="84" customFormat="1" ht="16.5">
      <c r="A65" s="137"/>
      <c r="B65" s="137"/>
      <c r="C65" s="137"/>
      <c r="D65" s="137"/>
      <c r="E65" s="137"/>
      <c r="F65" s="137"/>
      <c r="AT65" s="69"/>
      <c r="AU65" s="767"/>
      <c r="AV65" s="770"/>
      <c r="AW65" s="772" t="s">
        <v>431</v>
      </c>
      <c r="AX65" s="773"/>
      <c r="AY65" s="74">
        <v>4</v>
      </c>
      <c r="AZ65" s="74">
        <v>100000</v>
      </c>
      <c r="BA65" s="74">
        <f t="shared" si="3"/>
        <v>400000</v>
      </c>
      <c r="BB65" s="73"/>
      <c r="BC65" s="69"/>
      <c r="BD65" s="69"/>
      <c r="BE65" s="69"/>
      <c r="BF65" s="69"/>
      <c r="BG65" s="69"/>
      <c r="BH65" s="69"/>
      <c r="BI65" s="69"/>
      <c r="BJ65" s="69"/>
      <c r="BK65" s="69"/>
    </row>
    <row r="66" spans="1:63" s="84" customFormat="1" ht="16.5">
      <c r="A66" s="137"/>
      <c r="B66" s="137"/>
      <c r="C66" s="137"/>
      <c r="D66" s="137"/>
      <c r="E66" s="137"/>
      <c r="F66" s="137"/>
      <c r="AT66" s="69"/>
      <c r="AU66" s="765">
        <v>3</v>
      </c>
      <c r="AV66" s="768" t="s">
        <v>432</v>
      </c>
      <c r="AW66" s="768" t="s">
        <v>405</v>
      </c>
      <c r="AX66" s="73" t="s">
        <v>430</v>
      </c>
      <c r="AY66" s="74">
        <v>2</v>
      </c>
      <c r="AZ66" s="74">
        <v>200000</v>
      </c>
      <c r="BA66" s="74">
        <f t="shared" si="3"/>
        <v>400000</v>
      </c>
      <c r="BB66" s="73"/>
      <c r="BC66" s="69"/>
      <c r="BD66" s="69"/>
      <c r="BE66" s="69"/>
      <c r="BF66" s="69"/>
      <c r="BG66" s="69"/>
      <c r="BH66" s="69"/>
      <c r="BI66" s="69"/>
      <c r="BJ66" s="69"/>
      <c r="BK66" s="69"/>
    </row>
    <row r="67" spans="1:63" s="84" customFormat="1" ht="16.5">
      <c r="A67" s="137"/>
      <c r="B67" s="137"/>
      <c r="C67" s="137"/>
      <c r="D67" s="137"/>
      <c r="E67" s="137"/>
      <c r="F67" s="137"/>
      <c r="AT67" s="69"/>
      <c r="AU67" s="766"/>
      <c r="AV67" s="769"/>
      <c r="AW67" s="769"/>
      <c r="AX67" s="73" t="s">
        <v>433</v>
      </c>
      <c r="AY67" s="74">
        <v>2</v>
      </c>
      <c r="AZ67" s="74">
        <v>200000</v>
      </c>
      <c r="BA67" s="74">
        <f t="shared" si="3"/>
        <v>400000</v>
      </c>
      <c r="BB67" s="73"/>
      <c r="BC67" s="69"/>
      <c r="BD67" s="69"/>
      <c r="BE67" s="69"/>
      <c r="BF67" s="69"/>
      <c r="BG67" s="69"/>
      <c r="BH67" s="69"/>
      <c r="BI67" s="69"/>
      <c r="BJ67" s="69"/>
      <c r="BK67" s="69"/>
    </row>
    <row r="68" spans="1:63" s="84" customFormat="1" ht="16.5">
      <c r="A68" s="137"/>
      <c r="B68" s="137"/>
      <c r="C68" s="137"/>
      <c r="D68" s="137"/>
      <c r="E68" s="137"/>
      <c r="F68" s="137"/>
      <c r="AT68" s="69"/>
      <c r="AU68" s="766"/>
      <c r="AV68" s="769"/>
      <c r="AW68" s="768" t="s">
        <v>412</v>
      </c>
      <c r="AX68" s="73" t="s">
        <v>430</v>
      </c>
      <c r="AY68" s="74">
        <v>2</v>
      </c>
      <c r="AZ68" s="74">
        <v>200000</v>
      </c>
      <c r="BA68" s="74">
        <f t="shared" si="3"/>
        <v>400000</v>
      </c>
      <c r="BB68" s="73"/>
      <c r="BC68" s="69"/>
      <c r="BD68" s="69"/>
      <c r="BE68" s="69"/>
      <c r="BF68" s="69"/>
      <c r="BG68" s="69"/>
      <c r="BH68" s="69"/>
      <c r="BI68" s="69"/>
      <c r="BJ68" s="69"/>
      <c r="BK68" s="69"/>
    </row>
    <row r="69" spans="1:63" s="84" customFormat="1" ht="16.5">
      <c r="A69" s="137"/>
      <c r="B69" s="137"/>
      <c r="C69" s="137"/>
      <c r="D69" s="137"/>
      <c r="E69" s="137"/>
      <c r="F69" s="137"/>
      <c r="AT69" s="69"/>
      <c r="AU69" s="767"/>
      <c r="AV69" s="770"/>
      <c r="AW69" s="770"/>
      <c r="AX69" s="73" t="s">
        <v>431</v>
      </c>
      <c r="AY69" s="74">
        <v>2</v>
      </c>
      <c r="AZ69" s="74">
        <v>100000</v>
      </c>
      <c r="BA69" s="74">
        <f t="shared" si="3"/>
        <v>200000</v>
      </c>
      <c r="BB69" s="73"/>
      <c r="BC69" s="69"/>
      <c r="BD69" s="69"/>
      <c r="BE69" s="69"/>
      <c r="BF69" s="69"/>
      <c r="BG69" s="69"/>
      <c r="BH69" s="69"/>
      <c r="BI69" s="69"/>
      <c r="BJ69" s="69"/>
      <c r="BK69" s="69"/>
    </row>
    <row r="70" spans="1:63" s="84" customFormat="1" ht="16.5">
      <c r="A70" s="137"/>
      <c r="B70" s="137"/>
      <c r="C70" s="137"/>
      <c r="D70" s="137"/>
      <c r="E70" s="137"/>
      <c r="F70" s="137"/>
      <c r="AT70" s="69"/>
      <c r="AU70" s="72">
        <v>4</v>
      </c>
      <c r="AV70" s="73" t="s">
        <v>434</v>
      </c>
      <c r="AW70" s="763" t="s">
        <v>403</v>
      </c>
      <c r="AX70" s="764"/>
      <c r="AY70" s="74">
        <v>1</v>
      </c>
      <c r="AZ70" s="74">
        <v>200000</v>
      </c>
      <c r="BA70" s="74">
        <f t="shared" si="3"/>
        <v>200000</v>
      </c>
      <c r="BB70" s="73"/>
      <c r="BC70" s="69"/>
      <c r="BD70" s="69"/>
      <c r="BE70" s="69"/>
      <c r="BF70" s="69"/>
      <c r="BG70" s="69"/>
      <c r="BH70" s="69"/>
      <c r="BI70" s="69"/>
      <c r="BJ70" s="69"/>
      <c r="BK70" s="69"/>
    </row>
    <row r="71" spans="1:63" s="84" customFormat="1" ht="16.5">
      <c r="A71" s="137"/>
      <c r="B71" s="137"/>
      <c r="C71" s="137"/>
      <c r="D71" s="137"/>
      <c r="E71" s="137"/>
      <c r="F71" s="137"/>
      <c r="AT71" s="69"/>
      <c r="AU71" s="771" t="s">
        <v>426</v>
      </c>
      <c r="AV71" s="771"/>
      <c r="AW71" s="771"/>
      <c r="AX71" s="771"/>
      <c r="AY71" s="771"/>
      <c r="AZ71" s="771"/>
      <c r="BA71" s="81">
        <f>SUM(BA63:BA70)</f>
        <v>5600000</v>
      </c>
      <c r="BB71" s="73"/>
      <c r="BC71" s="69"/>
      <c r="BD71" s="69"/>
      <c r="BE71" s="69"/>
      <c r="BF71" s="69"/>
      <c r="BG71" s="69"/>
      <c r="BH71" s="69"/>
      <c r="BI71" s="69"/>
      <c r="BJ71" s="69"/>
      <c r="BK71" s="69"/>
    </row>
    <row r="72" spans="1:63" s="84" customFormat="1" ht="16.5">
      <c r="A72" s="137"/>
      <c r="B72" s="137"/>
      <c r="C72" s="137"/>
      <c r="D72" s="137"/>
      <c r="E72" s="137"/>
      <c r="F72" s="137"/>
      <c r="AT72" s="69"/>
      <c r="AU72" s="70"/>
      <c r="AV72" s="71"/>
      <c r="AW72" s="71"/>
      <c r="AX72" s="71"/>
      <c r="AY72" s="70"/>
      <c r="AZ72" s="70"/>
      <c r="BA72" s="70"/>
      <c r="BB72" s="71"/>
      <c r="BC72" s="69"/>
      <c r="BD72" s="69"/>
      <c r="BE72" s="69"/>
      <c r="BF72" s="69"/>
      <c r="BG72" s="69"/>
      <c r="BH72" s="69"/>
      <c r="BI72" s="69"/>
      <c r="BJ72" s="69"/>
      <c r="BK72" s="69"/>
    </row>
    <row r="73" spans="1:63" s="84" customFormat="1" ht="16.5">
      <c r="A73" s="137"/>
      <c r="B73" s="137"/>
      <c r="C73" s="137"/>
      <c r="D73" s="137"/>
      <c r="E73" s="137"/>
      <c r="F73" s="137"/>
      <c r="AT73" s="69"/>
      <c r="AU73" s="70"/>
      <c r="AV73" s="71"/>
      <c r="AW73" s="71"/>
      <c r="AX73" s="71"/>
      <c r="AY73" s="70"/>
      <c r="AZ73" s="70"/>
      <c r="BA73" s="70"/>
      <c r="BB73" s="71"/>
      <c r="BC73" s="69"/>
      <c r="BD73" s="69"/>
      <c r="BE73" s="69"/>
      <c r="BF73" s="69"/>
      <c r="BG73" s="69"/>
      <c r="BH73" s="69"/>
      <c r="BI73" s="69"/>
      <c r="BJ73" s="69"/>
      <c r="BK73" s="69"/>
    </row>
    <row r="74" spans="1:63" s="84" customFormat="1" ht="16.5">
      <c r="A74" s="137"/>
      <c r="B74" s="137"/>
      <c r="C74" s="137"/>
      <c r="D74" s="137"/>
      <c r="E74" s="137"/>
      <c r="F74" s="137"/>
      <c r="AT74" s="71" t="s">
        <v>435</v>
      </c>
      <c r="AU74" s="71"/>
      <c r="AV74" s="71"/>
      <c r="AW74" s="71"/>
      <c r="AX74" s="71"/>
      <c r="AY74" s="70"/>
      <c r="AZ74" s="70"/>
      <c r="BA74" s="70"/>
      <c r="BB74" s="71"/>
      <c r="BC74" s="69"/>
      <c r="BD74" s="69"/>
      <c r="BE74" s="69"/>
      <c r="BF74" s="69"/>
      <c r="BG74" s="69"/>
      <c r="BH74" s="69"/>
      <c r="BI74" s="69"/>
      <c r="BJ74" s="69"/>
      <c r="BK74" s="69"/>
    </row>
    <row r="75" spans="1:63" s="84" customFormat="1" ht="16.5">
      <c r="A75" s="137"/>
      <c r="B75" s="137"/>
      <c r="C75" s="137"/>
      <c r="D75" s="137"/>
      <c r="E75" s="137"/>
      <c r="F75" s="137"/>
      <c r="AT75" s="69"/>
      <c r="AU75" s="70"/>
      <c r="AV75" s="71"/>
      <c r="AW75" s="71"/>
      <c r="AX75" s="71"/>
      <c r="AY75" s="70"/>
      <c r="AZ75" s="70"/>
      <c r="BA75" s="70"/>
      <c r="BB75" s="71"/>
      <c r="BC75" s="69"/>
      <c r="BD75" s="69"/>
      <c r="BE75" s="69"/>
      <c r="BF75" s="69"/>
      <c r="BG75" s="69"/>
      <c r="BH75" s="69"/>
      <c r="BI75" s="69"/>
      <c r="BJ75" s="69"/>
      <c r="BK75" s="69"/>
    </row>
    <row r="76" spans="1:63" s="84" customFormat="1" ht="16.5">
      <c r="A76" s="137"/>
      <c r="B76" s="137"/>
      <c r="C76" s="137"/>
      <c r="D76" s="137"/>
      <c r="E76" s="137"/>
      <c r="F76" s="137"/>
      <c r="AT76" s="70"/>
      <c r="AU76" s="72" t="s">
        <v>395</v>
      </c>
      <c r="AV76" s="72" t="s">
        <v>396</v>
      </c>
      <c r="AW76" s="762" t="s">
        <v>397</v>
      </c>
      <c r="AX76" s="762"/>
      <c r="AY76" s="72" t="s">
        <v>398</v>
      </c>
      <c r="AZ76" s="72" t="s">
        <v>399</v>
      </c>
      <c r="BA76" s="72" t="s">
        <v>400</v>
      </c>
      <c r="BB76" s="72" t="s">
        <v>401</v>
      </c>
      <c r="BC76" s="69"/>
      <c r="BD76" s="69"/>
      <c r="BE76" s="69"/>
      <c r="BF76" s="69"/>
      <c r="BG76" s="69"/>
      <c r="BH76" s="69"/>
      <c r="BI76" s="69"/>
      <c r="BJ76" s="69"/>
      <c r="BK76" s="69"/>
    </row>
    <row r="77" spans="1:63" s="84" customFormat="1" ht="16.5">
      <c r="A77" s="137"/>
      <c r="B77" s="137"/>
      <c r="C77" s="137"/>
      <c r="D77" s="137"/>
      <c r="E77" s="137"/>
      <c r="F77" s="137"/>
      <c r="AT77" s="69"/>
      <c r="AU77" s="765">
        <v>1</v>
      </c>
      <c r="AV77" s="768" t="s">
        <v>436</v>
      </c>
      <c r="AW77" s="768" t="s">
        <v>405</v>
      </c>
      <c r="AX77" s="73" t="s">
        <v>437</v>
      </c>
      <c r="AY77" s="74">
        <v>1</v>
      </c>
      <c r="AZ77" s="74">
        <v>1000000</v>
      </c>
      <c r="BA77" s="74">
        <f t="shared" ref="BA77:BA95" si="4">AZ77*AY77</f>
        <v>1000000</v>
      </c>
      <c r="BB77" s="73"/>
      <c r="BC77" s="69"/>
      <c r="BD77" s="69"/>
      <c r="BE77" s="69"/>
      <c r="BF77" s="69"/>
      <c r="BG77" s="69"/>
      <c r="BH77" s="69"/>
      <c r="BI77" s="69"/>
      <c r="BJ77" s="69"/>
      <c r="BK77" s="69"/>
    </row>
    <row r="78" spans="1:63" s="84" customFormat="1" ht="16.5">
      <c r="A78" s="137"/>
      <c r="B78" s="137"/>
      <c r="C78" s="137"/>
      <c r="D78" s="137"/>
      <c r="E78" s="137"/>
      <c r="F78" s="137"/>
      <c r="AT78" s="69"/>
      <c r="AU78" s="766"/>
      <c r="AV78" s="769"/>
      <c r="AW78" s="769"/>
      <c r="AX78" s="73" t="s">
        <v>438</v>
      </c>
      <c r="AY78" s="74">
        <v>1</v>
      </c>
      <c r="AZ78" s="74">
        <v>3000000</v>
      </c>
      <c r="BA78" s="74">
        <f t="shared" si="4"/>
        <v>3000000</v>
      </c>
      <c r="BB78" s="73" t="s">
        <v>439</v>
      </c>
      <c r="BC78" s="69"/>
      <c r="BD78" s="69"/>
      <c r="BE78" s="69"/>
      <c r="BF78" s="69"/>
      <c r="BG78" s="69"/>
      <c r="BH78" s="69"/>
      <c r="BI78" s="69"/>
      <c r="BJ78" s="69"/>
      <c r="BK78" s="69"/>
    </row>
    <row r="79" spans="1:63" s="84" customFormat="1" ht="16.5">
      <c r="A79" s="137"/>
      <c r="B79" s="137"/>
      <c r="C79" s="137"/>
      <c r="D79" s="137"/>
      <c r="E79" s="137"/>
      <c r="F79" s="137"/>
      <c r="AT79" s="69"/>
      <c r="AU79" s="766"/>
      <c r="AV79" s="769"/>
      <c r="AW79" s="769"/>
      <c r="AX79" s="73" t="s">
        <v>440</v>
      </c>
      <c r="AY79" s="74">
        <v>1</v>
      </c>
      <c r="AZ79" s="74">
        <v>1000000</v>
      </c>
      <c r="BA79" s="74">
        <f t="shared" si="4"/>
        <v>1000000</v>
      </c>
      <c r="BB79" s="73"/>
      <c r="BC79" s="69"/>
      <c r="BD79" s="69"/>
      <c r="BE79" s="69"/>
      <c r="BF79" s="69"/>
      <c r="BG79" s="69"/>
      <c r="BH79" s="69"/>
      <c r="BI79" s="69"/>
      <c r="BJ79" s="69"/>
      <c r="BK79" s="69"/>
    </row>
    <row r="80" spans="1:63" s="84" customFormat="1" ht="16.5">
      <c r="A80" s="137"/>
      <c r="B80" s="137"/>
      <c r="C80" s="137"/>
      <c r="D80" s="137"/>
      <c r="E80" s="137"/>
      <c r="F80" s="137"/>
      <c r="AT80" s="69"/>
      <c r="AU80" s="766"/>
      <c r="AV80" s="769"/>
      <c r="AW80" s="768" t="s">
        <v>412</v>
      </c>
      <c r="AX80" s="73" t="s">
        <v>441</v>
      </c>
      <c r="AY80" s="74">
        <v>1</v>
      </c>
      <c r="AZ80" s="74">
        <v>1500000</v>
      </c>
      <c r="BA80" s="74">
        <f t="shared" si="4"/>
        <v>1500000</v>
      </c>
      <c r="BB80" s="73"/>
      <c r="BC80" s="69"/>
      <c r="BD80" s="69"/>
      <c r="BE80" s="69"/>
      <c r="BF80" s="69"/>
      <c r="BG80" s="69"/>
      <c r="BH80" s="69"/>
      <c r="BI80" s="69"/>
      <c r="BJ80" s="69"/>
      <c r="BK80" s="69"/>
    </row>
    <row r="81" spans="1:63" s="84" customFormat="1" ht="16.5">
      <c r="A81" s="137"/>
      <c r="B81" s="137"/>
      <c r="C81" s="137"/>
      <c r="D81" s="137"/>
      <c r="E81" s="137"/>
      <c r="F81" s="137"/>
      <c r="AT81" s="69"/>
      <c r="AU81" s="766"/>
      <c r="AV81" s="769"/>
      <c r="AW81" s="769"/>
      <c r="AX81" s="73" t="s">
        <v>437</v>
      </c>
      <c r="AY81" s="74">
        <v>1</v>
      </c>
      <c r="AZ81" s="74">
        <v>1000000</v>
      </c>
      <c r="BA81" s="74">
        <f t="shared" si="4"/>
        <v>1000000</v>
      </c>
      <c r="BB81" s="73"/>
      <c r="BC81" s="69"/>
      <c r="BD81" s="69"/>
      <c r="BE81" s="69"/>
      <c r="BF81" s="69"/>
      <c r="BG81" s="69"/>
      <c r="BH81" s="69"/>
      <c r="BI81" s="69"/>
      <c r="BJ81" s="69"/>
      <c r="BK81" s="69"/>
    </row>
    <row r="82" spans="1:63" s="84" customFormat="1" ht="16.5">
      <c r="A82" s="137"/>
      <c r="B82" s="137"/>
      <c r="C82" s="137"/>
      <c r="D82" s="137"/>
      <c r="E82" s="137"/>
      <c r="F82" s="137"/>
      <c r="AT82" s="69"/>
      <c r="AU82" s="766"/>
      <c r="AV82" s="769"/>
      <c r="AW82" s="769"/>
      <c r="AX82" s="73" t="s">
        <v>438</v>
      </c>
      <c r="AY82" s="74">
        <v>1</v>
      </c>
      <c r="AZ82" s="74">
        <v>1500000</v>
      </c>
      <c r="BA82" s="74">
        <f t="shared" si="4"/>
        <v>1500000</v>
      </c>
      <c r="BB82" s="73"/>
      <c r="BC82" s="69"/>
      <c r="BD82" s="69"/>
      <c r="BE82" s="69"/>
      <c r="BF82" s="69"/>
      <c r="BG82" s="69"/>
      <c r="BH82" s="69"/>
      <c r="BI82" s="69"/>
      <c r="BJ82" s="69"/>
      <c r="BK82" s="69"/>
    </row>
    <row r="83" spans="1:63" s="84" customFormat="1" ht="16.5">
      <c r="A83" s="137"/>
      <c r="B83" s="137"/>
      <c r="C83" s="137"/>
      <c r="D83" s="137"/>
      <c r="E83" s="137"/>
      <c r="F83" s="137"/>
      <c r="AT83" s="69"/>
      <c r="AU83" s="767"/>
      <c r="AV83" s="770"/>
      <c r="AW83" s="770"/>
      <c r="AX83" s="73" t="s">
        <v>440</v>
      </c>
      <c r="AY83" s="74">
        <v>1</v>
      </c>
      <c r="AZ83" s="74">
        <v>1000000</v>
      </c>
      <c r="BA83" s="74">
        <f t="shared" si="4"/>
        <v>1000000</v>
      </c>
      <c r="BB83" s="73"/>
      <c r="BC83" s="69"/>
      <c r="BD83" s="69"/>
      <c r="BE83" s="69"/>
      <c r="BF83" s="69"/>
      <c r="BG83" s="69"/>
      <c r="BH83" s="69"/>
      <c r="BI83" s="69"/>
      <c r="BJ83" s="69"/>
      <c r="BK83" s="69"/>
    </row>
    <row r="84" spans="1:63" s="84" customFormat="1" ht="16.5">
      <c r="A84" s="137"/>
      <c r="B84" s="137"/>
      <c r="C84" s="137"/>
      <c r="D84" s="137"/>
      <c r="E84" s="137"/>
      <c r="F84" s="137"/>
      <c r="AT84" s="69"/>
      <c r="AU84" s="765">
        <v>2</v>
      </c>
      <c r="AV84" s="768" t="s">
        <v>442</v>
      </c>
      <c r="AW84" s="768" t="s">
        <v>405</v>
      </c>
      <c r="AX84" s="73" t="s">
        <v>443</v>
      </c>
      <c r="AY84" s="74">
        <v>1</v>
      </c>
      <c r="AZ84" s="74">
        <v>300000</v>
      </c>
      <c r="BA84" s="74">
        <f t="shared" si="4"/>
        <v>300000</v>
      </c>
      <c r="BB84" s="73"/>
      <c r="BC84" s="69"/>
      <c r="BD84" s="69"/>
      <c r="BE84" s="69"/>
      <c r="BF84" s="69"/>
      <c r="BG84" s="69"/>
      <c r="BH84" s="69"/>
      <c r="BI84" s="69"/>
      <c r="BJ84" s="69"/>
      <c r="BK84" s="69"/>
    </row>
    <row r="85" spans="1:63" s="84" customFormat="1" ht="16.5">
      <c r="A85" s="137"/>
      <c r="B85" s="137"/>
      <c r="C85" s="137"/>
      <c r="D85" s="137"/>
      <c r="E85" s="137"/>
      <c r="F85" s="137"/>
      <c r="AT85" s="69"/>
      <c r="AU85" s="766"/>
      <c r="AV85" s="769"/>
      <c r="AW85" s="769"/>
      <c r="AX85" s="73" t="s">
        <v>444</v>
      </c>
      <c r="AY85" s="74">
        <v>1</v>
      </c>
      <c r="AZ85" s="74">
        <v>300000</v>
      </c>
      <c r="BA85" s="74">
        <f t="shared" si="4"/>
        <v>300000</v>
      </c>
      <c r="BB85" s="73"/>
      <c r="BC85" s="69"/>
      <c r="BD85" s="69"/>
      <c r="BE85" s="69"/>
      <c r="BF85" s="69"/>
      <c r="BG85" s="69"/>
      <c r="BH85" s="69"/>
      <c r="BI85" s="69"/>
      <c r="BJ85" s="69"/>
      <c r="BK85" s="69"/>
    </row>
    <row r="86" spans="1:63" s="84" customFormat="1" ht="16.5">
      <c r="A86" s="137"/>
      <c r="B86" s="137"/>
      <c r="C86" s="137"/>
      <c r="D86" s="137"/>
      <c r="E86" s="137"/>
      <c r="F86" s="137"/>
      <c r="AT86" s="69"/>
      <c r="AU86" s="766"/>
      <c r="AV86" s="769"/>
      <c r="AW86" s="768" t="s">
        <v>412</v>
      </c>
      <c r="AX86" s="73" t="s">
        <v>445</v>
      </c>
      <c r="AY86" s="74">
        <v>1</v>
      </c>
      <c r="AZ86" s="74">
        <v>1000000</v>
      </c>
      <c r="BA86" s="74">
        <f t="shared" si="4"/>
        <v>1000000</v>
      </c>
      <c r="BB86" s="73"/>
      <c r="BC86" s="69"/>
      <c r="BD86" s="69"/>
      <c r="BE86" s="69"/>
      <c r="BF86" s="69"/>
      <c r="BG86" s="69"/>
      <c r="BH86" s="69"/>
      <c r="BI86" s="69"/>
      <c r="BJ86" s="69"/>
      <c r="BK86" s="69"/>
    </row>
    <row r="87" spans="1:63" s="84" customFormat="1" ht="16.5">
      <c r="A87" s="137"/>
      <c r="B87" s="137"/>
      <c r="C87" s="137"/>
      <c r="D87" s="137"/>
      <c r="E87" s="137"/>
      <c r="F87" s="137"/>
      <c r="AT87" s="69"/>
      <c r="AU87" s="766"/>
      <c r="AV87" s="769"/>
      <c r="AW87" s="769"/>
      <c r="AX87" s="73" t="s">
        <v>446</v>
      </c>
      <c r="AY87" s="74">
        <v>1</v>
      </c>
      <c r="AZ87" s="74">
        <v>500000</v>
      </c>
      <c r="BA87" s="74">
        <f t="shared" si="4"/>
        <v>500000</v>
      </c>
      <c r="BB87" s="73"/>
      <c r="BC87" s="69"/>
      <c r="BD87" s="69"/>
      <c r="BE87" s="69"/>
      <c r="BF87" s="69"/>
      <c r="BG87" s="69"/>
      <c r="BH87" s="69"/>
      <c r="BI87" s="69"/>
      <c r="BJ87" s="69"/>
      <c r="BK87" s="69"/>
    </row>
    <row r="88" spans="1:63" s="84" customFormat="1" ht="16.5">
      <c r="A88" s="137"/>
      <c r="B88" s="137"/>
      <c r="C88" s="137"/>
      <c r="D88" s="137"/>
      <c r="E88" s="137"/>
      <c r="F88" s="137"/>
      <c r="AT88" s="69"/>
      <c r="AU88" s="766"/>
      <c r="AV88" s="769"/>
      <c r="AW88" s="769"/>
      <c r="AX88" s="73" t="s">
        <v>447</v>
      </c>
      <c r="AY88" s="74">
        <v>1</v>
      </c>
      <c r="AZ88" s="74">
        <v>500000</v>
      </c>
      <c r="BA88" s="74">
        <f t="shared" si="4"/>
        <v>500000</v>
      </c>
      <c r="BB88" s="73"/>
      <c r="BC88" s="69"/>
      <c r="BD88" s="69"/>
      <c r="BE88" s="69"/>
      <c r="BF88" s="69"/>
      <c r="BG88" s="69"/>
      <c r="BH88" s="69"/>
      <c r="BI88" s="69"/>
      <c r="BJ88" s="69"/>
      <c r="BK88" s="69"/>
    </row>
    <row r="89" spans="1:63" s="84" customFormat="1" ht="16.5">
      <c r="A89" s="137"/>
      <c r="B89" s="137"/>
      <c r="C89" s="137"/>
      <c r="D89" s="137"/>
      <c r="E89" s="137"/>
      <c r="F89" s="137"/>
      <c r="AT89" s="69"/>
      <c r="AU89" s="766"/>
      <c r="AV89" s="769"/>
      <c r="AW89" s="769"/>
      <c r="AX89" s="73" t="s">
        <v>443</v>
      </c>
      <c r="AY89" s="74">
        <v>1</v>
      </c>
      <c r="AZ89" s="74">
        <v>300000</v>
      </c>
      <c r="BA89" s="74">
        <f t="shared" si="4"/>
        <v>300000</v>
      </c>
      <c r="BB89" s="73"/>
      <c r="BC89" s="69"/>
      <c r="BD89" s="69"/>
      <c r="BE89" s="69"/>
      <c r="BF89" s="69"/>
      <c r="BG89" s="69"/>
      <c r="BH89" s="69"/>
      <c r="BI89" s="69"/>
      <c r="BJ89" s="69"/>
      <c r="BK89" s="69"/>
    </row>
    <row r="90" spans="1:63" s="84" customFormat="1" ht="16.5">
      <c r="A90" s="137"/>
      <c r="B90" s="137"/>
      <c r="C90" s="137"/>
      <c r="D90" s="137"/>
      <c r="E90" s="137"/>
      <c r="F90" s="137"/>
      <c r="AT90" s="69"/>
      <c r="AU90" s="766"/>
      <c r="AV90" s="769"/>
      <c r="AW90" s="769"/>
      <c r="AX90" s="73" t="s">
        <v>444</v>
      </c>
      <c r="AY90" s="74">
        <v>1</v>
      </c>
      <c r="AZ90" s="74">
        <v>300000</v>
      </c>
      <c r="BA90" s="74">
        <f t="shared" si="4"/>
        <v>300000</v>
      </c>
      <c r="BB90" s="73"/>
      <c r="BC90" s="69"/>
      <c r="BD90" s="69"/>
      <c r="BE90" s="69"/>
      <c r="BF90" s="69"/>
      <c r="BG90" s="69"/>
      <c r="BH90" s="69"/>
      <c r="BI90" s="69"/>
      <c r="BJ90" s="69"/>
      <c r="BK90" s="69"/>
    </row>
    <row r="91" spans="1:63" s="84" customFormat="1" ht="16.5">
      <c r="A91" s="137"/>
      <c r="B91" s="137"/>
      <c r="C91" s="137"/>
      <c r="D91" s="137"/>
      <c r="E91" s="137"/>
      <c r="F91" s="137"/>
      <c r="AT91" s="69"/>
      <c r="AU91" s="766"/>
      <c r="AV91" s="769"/>
      <c r="AW91" s="769"/>
      <c r="AX91" s="73" t="s">
        <v>448</v>
      </c>
      <c r="AY91" s="74">
        <v>1</v>
      </c>
      <c r="AZ91" s="74">
        <v>1000000</v>
      </c>
      <c r="BA91" s="74">
        <f t="shared" si="4"/>
        <v>1000000</v>
      </c>
      <c r="BB91" s="73"/>
      <c r="BC91" s="69"/>
      <c r="BD91" s="69"/>
      <c r="BE91" s="69"/>
      <c r="BF91" s="69"/>
      <c r="BG91" s="69"/>
      <c r="BH91" s="69"/>
      <c r="BI91" s="69"/>
      <c r="BJ91" s="69"/>
      <c r="BK91" s="69"/>
    </row>
    <row r="92" spans="1:63" s="84" customFormat="1" ht="16.5">
      <c r="A92" s="137"/>
      <c r="B92" s="137"/>
      <c r="C92" s="137"/>
      <c r="D92" s="137"/>
      <c r="E92" s="137"/>
      <c r="F92" s="137"/>
      <c r="AT92" s="69"/>
      <c r="AU92" s="766"/>
      <c r="AV92" s="769"/>
      <c r="AW92" s="769"/>
      <c r="AX92" s="73" t="s">
        <v>446</v>
      </c>
      <c r="AY92" s="74">
        <v>1</v>
      </c>
      <c r="AZ92" s="74">
        <v>500000</v>
      </c>
      <c r="BA92" s="74">
        <f t="shared" si="4"/>
        <v>500000</v>
      </c>
      <c r="BB92" s="73"/>
      <c r="BC92" s="69"/>
      <c r="BD92" s="69"/>
      <c r="BE92" s="69"/>
      <c r="BF92" s="69"/>
      <c r="BG92" s="69"/>
      <c r="BH92" s="69"/>
      <c r="BI92" s="69"/>
      <c r="BJ92" s="69"/>
      <c r="BK92" s="69"/>
    </row>
    <row r="93" spans="1:63" s="84" customFormat="1" ht="16.5">
      <c r="A93" s="137"/>
      <c r="B93" s="137"/>
      <c r="C93" s="137"/>
      <c r="D93" s="137"/>
      <c r="E93" s="137"/>
      <c r="F93" s="137"/>
      <c r="AT93" s="69"/>
      <c r="AU93" s="766"/>
      <c r="AV93" s="769"/>
      <c r="AW93" s="769"/>
      <c r="AX93" s="73" t="s">
        <v>447</v>
      </c>
      <c r="AY93" s="74">
        <v>1</v>
      </c>
      <c r="AZ93" s="74">
        <v>500000</v>
      </c>
      <c r="BA93" s="74">
        <f t="shared" si="4"/>
        <v>500000</v>
      </c>
      <c r="BB93" s="73"/>
      <c r="BC93" s="69"/>
      <c r="BD93" s="69"/>
      <c r="BE93" s="69"/>
      <c r="BF93" s="69"/>
      <c r="BG93" s="69"/>
      <c r="BH93" s="69"/>
      <c r="BI93" s="69"/>
      <c r="BJ93" s="69"/>
      <c r="BK93" s="69"/>
    </row>
    <row r="94" spans="1:63" s="84" customFormat="1" ht="16.5">
      <c r="A94" s="137"/>
      <c r="B94" s="137"/>
      <c r="C94" s="137"/>
      <c r="D94" s="137"/>
      <c r="E94" s="137"/>
      <c r="F94" s="137"/>
      <c r="AT94" s="69"/>
      <c r="AU94" s="766"/>
      <c r="AV94" s="769"/>
      <c r="AW94" s="769"/>
      <c r="AX94" s="73" t="s">
        <v>443</v>
      </c>
      <c r="AY94" s="74">
        <v>1</v>
      </c>
      <c r="AZ94" s="74">
        <v>300000</v>
      </c>
      <c r="BA94" s="74">
        <f t="shared" si="4"/>
        <v>300000</v>
      </c>
      <c r="BB94" s="73"/>
      <c r="BC94" s="69"/>
      <c r="BD94" s="69"/>
      <c r="BE94" s="69"/>
      <c r="BF94" s="69"/>
      <c r="BG94" s="69"/>
      <c r="BH94" s="69"/>
      <c r="BI94" s="69"/>
      <c r="BJ94" s="69"/>
      <c r="BK94" s="69"/>
    </row>
    <row r="95" spans="1:63" s="84" customFormat="1" ht="16.5">
      <c r="A95" s="137"/>
      <c r="B95" s="137"/>
      <c r="C95" s="137"/>
      <c r="D95" s="137"/>
      <c r="E95" s="137"/>
      <c r="F95" s="137"/>
      <c r="AT95" s="69"/>
      <c r="AU95" s="767"/>
      <c r="AV95" s="770"/>
      <c r="AW95" s="769"/>
      <c r="AX95" s="73" t="s">
        <v>444</v>
      </c>
      <c r="AY95" s="74">
        <v>1</v>
      </c>
      <c r="AZ95" s="74">
        <v>300000</v>
      </c>
      <c r="BA95" s="74">
        <f t="shared" si="4"/>
        <v>300000</v>
      </c>
      <c r="BB95" s="73"/>
      <c r="BC95" s="69"/>
      <c r="BD95" s="69"/>
      <c r="BE95" s="69"/>
      <c r="BF95" s="69"/>
      <c r="BG95" s="69"/>
      <c r="BH95" s="69"/>
      <c r="BI95" s="69"/>
      <c r="BJ95" s="69"/>
      <c r="BK95" s="69"/>
    </row>
    <row r="96" spans="1:63" s="84" customFormat="1" ht="16.5">
      <c r="A96" s="137"/>
      <c r="B96" s="137"/>
      <c r="C96" s="137"/>
      <c r="D96" s="137"/>
      <c r="E96" s="137"/>
      <c r="F96" s="137"/>
      <c r="AT96" s="69"/>
      <c r="AU96" s="771" t="s">
        <v>426</v>
      </c>
      <c r="AV96" s="771"/>
      <c r="AW96" s="771"/>
      <c r="AX96" s="771"/>
      <c r="AY96" s="771"/>
      <c r="AZ96" s="771"/>
      <c r="BA96" s="81">
        <f>SUM(BA77:BA95)</f>
        <v>15800000</v>
      </c>
      <c r="BB96" s="73"/>
      <c r="BC96" s="69"/>
      <c r="BD96" s="69"/>
      <c r="BE96" s="69"/>
      <c r="BF96" s="69"/>
      <c r="BG96" s="69"/>
      <c r="BH96" s="69"/>
      <c r="BI96" s="69"/>
      <c r="BJ96" s="69"/>
      <c r="BK96" s="69"/>
    </row>
    <row r="97" spans="1:6" s="84" customFormat="1">
      <c r="A97" s="137"/>
      <c r="B97" s="137"/>
      <c r="C97" s="137"/>
      <c r="D97" s="137"/>
      <c r="E97" s="137"/>
      <c r="F97" s="137"/>
    </row>
    <row r="98" spans="1:6" s="84" customFormat="1">
      <c r="A98" s="137"/>
      <c r="B98" s="137"/>
      <c r="C98" s="137"/>
      <c r="D98" s="137"/>
      <c r="E98" s="137"/>
      <c r="F98" s="137"/>
    </row>
    <row r="99" spans="1:6" s="84" customFormat="1">
      <c r="A99" s="137"/>
      <c r="B99" s="137"/>
      <c r="C99" s="137"/>
      <c r="D99" s="137"/>
      <c r="E99" s="137"/>
      <c r="F99" s="137"/>
    </row>
    <row r="100" spans="1:6" s="84" customFormat="1">
      <c r="A100" s="137"/>
      <c r="B100" s="137"/>
      <c r="C100" s="137"/>
      <c r="D100" s="137"/>
      <c r="E100" s="137"/>
      <c r="F100" s="137"/>
    </row>
    <row r="101" spans="1:6" s="84" customFormat="1">
      <c r="A101" s="137"/>
      <c r="B101" s="137"/>
      <c r="C101" s="137"/>
      <c r="D101" s="137"/>
      <c r="E101" s="137"/>
      <c r="F101" s="137"/>
    </row>
    <row r="102" spans="1:6" s="84" customFormat="1">
      <c r="A102" s="137"/>
      <c r="B102" s="137"/>
      <c r="C102" s="137"/>
      <c r="D102" s="137"/>
      <c r="E102" s="137"/>
      <c r="F102" s="137"/>
    </row>
    <row r="103" spans="1:6" s="84" customFormat="1">
      <c r="A103" s="137"/>
      <c r="B103" s="137"/>
      <c r="C103" s="137"/>
      <c r="D103" s="137"/>
      <c r="E103" s="137"/>
      <c r="F103" s="137"/>
    </row>
    <row r="104" spans="1:6" s="84" customFormat="1">
      <c r="A104" s="137"/>
      <c r="B104" s="137"/>
      <c r="C104" s="137"/>
      <c r="D104" s="137"/>
      <c r="E104" s="137"/>
      <c r="F104" s="137"/>
    </row>
    <row r="105" spans="1:6" s="84" customFormat="1">
      <c r="A105" s="137"/>
      <c r="B105" s="137"/>
      <c r="C105" s="137"/>
      <c r="D105" s="137"/>
      <c r="E105" s="137"/>
      <c r="F105" s="137"/>
    </row>
  </sheetData>
  <mergeCells count="51">
    <mergeCell ref="AU96:AZ96"/>
    <mergeCell ref="AW76:AX76"/>
    <mergeCell ref="AU77:AU83"/>
    <mergeCell ref="AV77:AV83"/>
    <mergeCell ref="AW77:AW79"/>
    <mergeCell ref="AW80:AW83"/>
    <mergeCell ref="AU84:AU95"/>
    <mergeCell ref="AV84:AV95"/>
    <mergeCell ref="AW84:AW85"/>
    <mergeCell ref="AW86:AW95"/>
    <mergeCell ref="AU71:AZ71"/>
    <mergeCell ref="AW55:AX55"/>
    <mergeCell ref="BD56:BI56"/>
    <mergeCell ref="AU57:AZ57"/>
    <mergeCell ref="AW62:AX62"/>
    <mergeCell ref="AW63:AX63"/>
    <mergeCell ref="AU64:AU65"/>
    <mergeCell ref="AV64:AV65"/>
    <mergeCell ref="AW64:AX64"/>
    <mergeCell ref="AW65:AX65"/>
    <mergeCell ref="AU66:AU69"/>
    <mergeCell ref="AV66:AV69"/>
    <mergeCell ref="AW66:AW67"/>
    <mergeCell ref="AW68:AW69"/>
    <mergeCell ref="AW70:AX70"/>
    <mergeCell ref="BF54:BG54"/>
    <mergeCell ref="AU44:AU49"/>
    <mergeCell ref="AV44:AV49"/>
    <mergeCell ref="AW44:AW48"/>
    <mergeCell ref="BD44:BD48"/>
    <mergeCell ref="BE44:BE48"/>
    <mergeCell ref="BF44:BF48"/>
    <mergeCell ref="AW50:AX50"/>
    <mergeCell ref="AW51:AX51"/>
    <mergeCell ref="AW52:AX52"/>
    <mergeCell ref="AW53:AX53"/>
    <mergeCell ref="AW54:AX54"/>
    <mergeCell ref="A13:A21"/>
    <mergeCell ref="B21:C21"/>
    <mergeCell ref="AW42:AX42"/>
    <mergeCell ref="BF42:BG42"/>
    <mergeCell ref="AW43:AX43"/>
    <mergeCell ref="BF43:BG43"/>
    <mergeCell ref="A1:D1"/>
    <mergeCell ref="I1:L1"/>
    <mergeCell ref="A2:A12"/>
    <mergeCell ref="J3:K3"/>
    <mergeCell ref="J4:K4"/>
    <mergeCell ref="B12:C12"/>
    <mergeCell ref="B8:B9"/>
    <mergeCell ref="C8:C9"/>
  </mergeCells>
  <phoneticPr fontId="5" type="noConversion"/>
  <pageMargins left="0.7" right="0.7" top="0.75" bottom="0.75" header="0.3" footer="0.3"/>
  <pageSetup paperSize="9" scale="36" orientation="portrait" r:id="rId1"/>
  <headerFooter>
    <oddHeader>&amp;R&amp;"Aptos"&amp;13&amp;K000000 [ RESTRICTED ]&amp;1#_x000D_</oddHeader>
    <oddFooter>&amp;R_x000D_&amp;1#&amp;"Aptos"&amp;5&amp;K000000 [Secure Minds, Secure Finds] 본 문서는 현대건설㈜의 정보자산이므로 무단 전제 및 복제할 수 없으며, 이를 위반할 시에는 당사 사규 및 관련 법규에 의해 제지를 받을 수 있습니다.</oddFooter>
  </headerFooter>
  <drawing r:id="rId2"/>
  <legacyDrawing r:id="rId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S37"/>
  <sheetViews>
    <sheetView zoomScaleNormal="100" workbookViewId="0">
      <pane xSplit="4" ySplit="3" topLeftCell="E22" activePane="bottomRight" state="frozen"/>
      <selection activeCell="E8" sqref="E8"/>
      <selection pane="topRight" activeCell="E8" sqref="E8"/>
      <selection pane="bottomLeft" activeCell="E8" sqref="E8"/>
      <selection pane="bottomRight" activeCell="L42" sqref="L42"/>
    </sheetView>
  </sheetViews>
  <sheetFormatPr defaultColWidth="9" defaultRowHeight="13.5" outlineLevelCol="1"/>
  <cols>
    <col min="1" max="1" width="4.75" style="138" bestFit="1" customWidth="1"/>
    <col min="2" max="2" width="21.25" style="138" customWidth="1"/>
    <col min="3" max="3" width="24.75" style="138" customWidth="1"/>
    <col min="4" max="4" width="11.25" style="138" customWidth="1"/>
    <col min="5" max="8" width="11.25" style="138" customWidth="1" outlineLevel="1"/>
    <col min="9" max="9" width="11.25" style="138" customWidth="1"/>
    <col min="10" max="11" width="11.25" style="138" customWidth="1" outlineLevel="1"/>
    <col min="12" max="18" width="11.25" style="138" customWidth="1"/>
    <col min="19" max="16384" width="9" style="138"/>
  </cols>
  <sheetData>
    <row r="1" spans="1:19">
      <c r="A1" s="777" t="s">
        <v>1049</v>
      </c>
      <c r="B1" s="777" t="s">
        <v>449</v>
      </c>
      <c r="C1" s="777" t="s">
        <v>1050</v>
      </c>
      <c r="D1" s="777" t="s">
        <v>1051</v>
      </c>
      <c r="E1" s="777" t="s">
        <v>1052</v>
      </c>
      <c r="F1" s="777" t="s">
        <v>1053</v>
      </c>
      <c r="G1" s="777" t="s">
        <v>1054</v>
      </c>
      <c r="H1" s="777" t="s">
        <v>1055</v>
      </c>
      <c r="I1" s="777" t="s">
        <v>1056</v>
      </c>
      <c r="J1" s="777" t="s">
        <v>1057</v>
      </c>
      <c r="K1" s="777" t="s">
        <v>1058</v>
      </c>
      <c r="L1" s="780" t="s">
        <v>1059</v>
      </c>
      <c r="M1" s="780"/>
      <c r="N1" s="780"/>
      <c r="O1" s="780" t="s">
        <v>1060</v>
      </c>
      <c r="P1" s="780"/>
      <c r="Q1" s="780"/>
      <c r="R1" s="777" t="s">
        <v>153</v>
      </c>
    </row>
    <row r="2" spans="1:19">
      <c r="A2" s="778"/>
      <c r="B2" s="778"/>
      <c r="C2" s="778"/>
      <c r="D2" s="778"/>
      <c r="E2" s="778"/>
      <c r="F2" s="778"/>
      <c r="G2" s="778"/>
      <c r="H2" s="778"/>
      <c r="I2" s="778"/>
      <c r="J2" s="778"/>
      <c r="K2" s="778"/>
      <c r="L2" s="781"/>
      <c r="M2" s="782"/>
      <c r="N2" s="783"/>
      <c r="O2" s="784"/>
      <c r="P2" s="785"/>
      <c r="Q2" s="786"/>
      <c r="R2" s="778"/>
    </row>
    <row r="3" spans="1:19">
      <c r="A3" s="779"/>
      <c r="B3" s="779"/>
      <c r="C3" s="779"/>
      <c r="D3" s="779"/>
      <c r="E3" s="779"/>
      <c r="F3" s="779"/>
      <c r="G3" s="779"/>
      <c r="H3" s="779"/>
      <c r="I3" s="779"/>
      <c r="J3" s="779"/>
      <c r="K3" s="779"/>
      <c r="L3" s="139" t="s">
        <v>1061</v>
      </c>
      <c r="M3" s="140" t="s">
        <v>1047</v>
      </c>
      <c r="N3" s="140" t="s">
        <v>1062</v>
      </c>
      <c r="O3" s="141" t="s">
        <v>1061</v>
      </c>
      <c r="P3" s="140" t="s">
        <v>1047</v>
      </c>
      <c r="Q3" s="140" t="s">
        <v>1062</v>
      </c>
      <c r="R3" s="779"/>
    </row>
    <row r="4" spans="1:19">
      <c r="A4" s="142">
        <f t="shared" ref="A4:A5" si="0">ROW()-3</f>
        <v>1</v>
      </c>
      <c r="B4" s="143" t="s">
        <v>1063</v>
      </c>
      <c r="C4" s="144" t="s">
        <v>1064</v>
      </c>
      <c r="D4" s="145">
        <f t="shared" ref="D4:D36" si="1">SUM(E4:G4)</f>
        <v>650000000</v>
      </c>
      <c r="E4" s="145">
        <v>650000000</v>
      </c>
      <c r="F4" s="146" t="s">
        <v>1065</v>
      </c>
      <c r="G4" s="145">
        <v>0</v>
      </c>
      <c r="H4" s="146" t="s">
        <v>2</v>
      </c>
      <c r="I4" s="145">
        <f>SUM(J4:K4)</f>
        <v>637720873</v>
      </c>
      <c r="J4" s="145">
        <f>M4+P4</f>
        <v>637720873</v>
      </c>
      <c r="K4" s="145">
        <v>0</v>
      </c>
      <c r="L4" s="147">
        <f>SUM(M4:N4)</f>
        <v>636220873</v>
      </c>
      <c r="M4" s="148">
        <v>636220873</v>
      </c>
      <c r="N4" s="148">
        <v>0</v>
      </c>
      <c r="O4" s="149">
        <f>SUM(P4:Q4)</f>
        <v>1500000</v>
      </c>
      <c r="P4" s="148">
        <v>1500000</v>
      </c>
      <c r="Q4" s="148">
        <v>0</v>
      </c>
      <c r="R4" s="148"/>
    </row>
    <row r="5" spans="1:19">
      <c r="A5" s="142">
        <f t="shared" si="0"/>
        <v>2</v>
      </c>
      <c r="B5" s="143" t="s">
        <v>1066</v>
      </c>
      <c r="C5" s="144" t="s">
        <v>1067</v>
      </c>
      <c r="D5" s="145">
        <f t="shared" si="1"/>
        <v>30000000</v>
      </c>
      <c r="E5" s="145">
        <v>0</v>
      </c>
      <c r="F5" s="146" t="s">
        <v>2</v>
      </c>
      <c r="G5" s="145">
        <v>30000000</v>
      </c>
      <c r="H5" s="146" t="s">
        <v>1068</v>
      </c>
      <c r="I5" s="145">
        <f t="shared" ref="I5:I36" si="2">SUM(J5:K5)</f>
        <v>27000000</v>
      </c>
      <c r="J5" s="145">
        <v>0</v>
      </c>
      <c r="K5" s="145">
        <v>27000000</v>
      </c>
      <c r="L5" s="147">
        <f t="shared" ref="L5:L36" si="3">SUM(M5:N5)</f>
        <v>27000000</v>
      </c>
      <c r="M5" s="148">
        <v>0</v>
      </c>
      <c r="N5" s="148">
        <v>27000000</v>
      </c>
      <c r="O5" s="149">
        <f t="shared" ref="O5:O36" si="4">SUM(P5:Q5)</f>
        <v>0</v>
      </c>
      <c r="P5" s="148">
        <v>0</v>
      </c>
      <c r="Q5" s="148">
        <v>0</v>
      </c>
      <c r="R5" s="148" t="s">
        <v>1069</v>
      </c>
    </row>
    <row r="6" spans="1:19">
      <c r="A6" s="142">
        <f>ROW()-3</f>
        <v>3</v>
      </c>
      <c r="B6" s="143" t="s">
        <v>1070</v>
      </c>
      <c r="C6" s="144" t="s">
        <v>1071</v>
      </c>
      <c r="D6" s="145">
        <f t="shared" si="1"/>
        <v>1000000</v>
      </c>
      <c r="E6" s="145">
        <v>800000</v>
      </c>
      <c r="F6" s="146" t="s">
        <v>1047</v>
      </c>
      <c r="G6" s="145">
        <v>200000</v>
      </c>
      <c r="H6" s="146" t="s">
        <v>1062</v>
      </c>
      <c r="I6" s="145">
        <f t="shared" si="2"/>
        <v>848989</v>
      </c>
      <c r="J6" s="145">
        <v>648989</v>
      </c>
      <c r="K6" s="145">
        <v>200000</v>
      </c>
      <c r="L6" s="147">
        <f t="shared" si="3"/>
        <v>848989</v>
      </c>
      <c r="M6" s="148">
        <v>648989</v>
      </c>
      <c r="N6" s="148">
        <v>200000</v>
      </c>
      <c r="O6" s="149">
        <f t="shared" si="4"/>
        <v>0</v>
      </c>
      <c r="P6" s="148">
        <v>0</v>
      </c>
      <c r="Q6" s="148">
        <v>0</v>
      </c>
      <c r="R6" s="148" t="s">
        <v>1069</v>
      </c>
    </row>
    <row r="7" spans="1:19">
      <c r="A7" s="142">
        <f t="shared" ref="A7:A36" si="5">ROW()-3</f>
        <v>4</v>
      </c>
      <c r="B7" s="143" t="s">
        <v>1072</v>
      </c>
      <c r="C7" s="144" t="s">
        <v>1073</v>
      </c>
      <c r="D7" s="145">
        <f t="shared" si="1"/>
        <v>4000000</v>
      </c>
      <c r="E7" s="145">
        <v>2000000</v>
      </c>
      <c r="F7" s="146" t="s">
        <v>1074</v>
      </c>
      <c r="G7" s="145">
        <v>2000000</v>
      </c>
      <c r="H7" s="146" t="s">
        <v>1075</v>
      </c>
      <c r="I7" s="145">
        <f t="shared" si="2"/>
        <v>4000000</v>
      </c>
      <c r="J7" s="145">
        <v>2000000</v>
      </c>
      <c r="K7" s="145">
        <v>2000000</v>
      </c>
      <c r="L7" s="147">
        <f t="shared" si="3"/>
        <v>4000000</v>
      </c>
      <c r="M7" s="148">
        <v>2000000</v>
      </c>
      <c r="N7" s="148">
        <v>2000000</v>
      </c>
      <c r="O7" s="149">
        <f t="shared" si="4"/>
        <v>0</v>
      </c>
      <c r="P7" s="148">
        <v>0</v>
      </c>
      <c r="Q7" s="148">
        <v>0</v>
      </c>
      <c r="R7" s="148" t="s">
        <v>1069</v>
      </c>
    </row>
    <row r="8" spans="1:19">
      <c r="A8" s="142">
        <f t="shared" si="5"/>
        <v>5</v>
      </c>
      <c r="B8" s="143" t="s">
        <v>1076</v>
      </c>
      <c r="C8" s="144" t="s">
        <v>1073</v>
      </c>
      <c r="D8" s="145">
        <f t="shared" si="1"/>
        <v>14400000</v>
      </c>
      <c r="E8" s="145">
        <v>5760000</v>
      </c>
      <c r="F8" s="146" t="s">
        <v>1074</v>
      </c>
      <c r="G8" s="145">
        <v>8640000</v>
      </c>
      <c r="H8" s="146" t="s">
        <v>1075</v>
      </c>
      <c r="I8" s="145">
        <f t="shared" si="2"/>
        <v>14400000</v>
      </c>
      <c r="J8" s="145">
        <v>5760000</v>
      </c>
      <c r="K8" s="145">
        <v>8640000</v>
      </c>
      <c r="L8" s="147">
        <f t="shared" si="3"/>
        <v>0</v>
      </c>
      <c r="M8" s="148">
        <v>0</v>
      </c>
      <c r="N8" s="148">
        <v>0</v>
      </c>
      <c r="O8" s="149">
        <f t="shared" si="4"/>
        <v>14400000</v>
      </c>
      <c r="P8" s="148">
        <v>5760000</v>
      </c>
      <c r="Q8" s="148">
        <v>8640000</v>
      </c>
      <c r="R8" s="148" t="s">
        <v>1077</v>
      </c>
      <c r="S8" s="138" t="s">
        <v>1078</v>
      </c>
    </row>
    <row r="9" spans="1:19">
      <c r="A9" s="142">
        <f t="shared" si="5"/>
        <v>6</v>
      </c>
      <c r="B9" s="143" t="s">
        <v>1079</v>
      </c>
      <c r="C9" s="144" t="s">
        <v>1080</v>
      </c>
      <c r="D9" s="145">
        <f t="shared" si="1"/>
        <v>500000</v>
      </c>
      <c r="E9" s="145">
        <v>250000</v>
      </c>
      <c r="F9" s="146" t="s">
        <v>1074</v>
      </c>
      <c r="G9" s="145">
        <v>250000</v>
      </c>
      <c r="H9" s="146" t="s">
        <v>1075</v>
      </c>
      <c r="I9" s="145">
        <f t="shared" si="2"/>
        <v>208275</v>
      </c>
      <c r="J9" s="145">
        <v>123275</v>
      </c>
      <c r="K9" s="145">
        <v>85000</v>
      </c>
      <c r="L9" s="147">
        <f t="shared" si="3"/>
        <v>208275</v>
      </c>
      <c r="M9" s="148">
        <v>123275</v>
      </c>
      <c r="N9" s="148">
        <v>85000</v>
      </c>
      <c r="O9" s="149">
        <f t="shared" si="4"/>
        <v>0</v>
      </c>
      <c r="P9" s="148">
        <v>0</v>
      </c>
      <c r="Q9" s="148">
        <v>0</v>
      </c>
      <c r="R9" s="148" t="s">
        <v>1081</v>
      </c>
    </row>
    <row r="10" spans="1:19">
      <c r="A10" s="142">
        <f t="shared" si="5"/>
        <v>7</v>
      </c>
      <c r="B10" s="143" t="s">
        <v>1082</v>
      </c>
      <c r="C10" s="144" t="s">
        <v>1083</v>
      </c>
      <c r="D10" s="145">
        <v>100000</v>
      </c>
      <c r="E10" s="145">
        <v>100000</v>
      </c>
      <c r="F10" s="146" t="s">
        <v>1074</v>
      </c>
      <c r="G10" s="145">
        <v>0</v>
      </c>
      <c r="H10" s="146" t="s">
        <v>2</v>
      </c>
      <c r="I10" s="145">
        <f t="shared" si="2"/>
        <v>83750</v>
      </c>
      <c r="J10" s="145">
        <v>83750</v>
      </c>
      <c r="K10" s="145">
        <v>0</v>
      </c>
      <c r="L10" s="147">
        <f t="shared" si="3"/>
        <v>83750</v>
      </c>
      <c r="M10" s="148">
        <v>83750</v>
      </c>
      <c r="N10" s="148">
        <v>0</v>
      </c>
      <c r="O10" s="149">
        <f t="shared" si="4"/>
        <v>0</v>
      </c>
      <c r="P10" s="148">
        <v>0</v>
      </c>
      <c r="Q10" s="148">
        <v>0</v>
      </c>
      <c r="R10" s="148" t="s">
        <v>1081</v>
      </c>
    </row>
    <row r="11" spans="1:19">
      <c r="A11" s="142">
        <f t="shared" si="5"/>
        <v>8</v>
      </c>
      <c r="B11" s="143" t="s">
        <v>1084</v>
      </c>
      <c r="C11" s="144" t="s">
        <v>1085</v>
      </c>
      <c r="D11" s="145">
        <f t="shared" ref="D11" si="6">SUM(E11:G11)</f>
        <v>18000</v>
      </c>
      <c r="E11" s="145">
        <v>9000</v>
      </c>
      <c r="F11" s="146" t="s">
        <v>1074</v>
      </c>
      <c r="G11" s="145">
        <v>9000</v>
      </c>
      <c r="H11" s="146" t="s">
        <v>1075</v>
      </c>
      <c r="I11" s="145">
        <f t="shared" si="2"/>
        <v>18000</v>
      </c>
      <c r="J11" s="145">
        <v>9000</v>
      </c>
      <c r="K11" s="145">
        <v>9000</v>
      </c>
      <c r="L11" s="147">
        <f t="shared" si="3"/>
        <v>18000</v>
      </c>
      <c r="M11" s="148">
        <v>9000</v>
      </c>
      <c r="N11" s="148">
        <v>9000</v>
      </c>
      <c r="O11" s="149">
        <f t="shared" si="4"/>
        <v>0</v>
      </c>
      <c r="P11" s="148">
        <v>0</v>
      </c>
      <c r="Q11" s="148">
        <v>0</v>
      </c>
      <c r="R11" s="150" t="s">
        <v>1069</v>
      </c>
    </row>
    <row r="12" spans="1:19">
      <c r="A12" s="142">
        <f t="shared" si="5"/>
        <v>9</v>
      </c>
      <c r="B12" s="143" t="s">
        <v>1086</v>
      </c>
      <c r="C12" s="144" t="s">
        <v>1087</v>
      </c>
      <c r="D12" s="145">
        <f>SUM(E12:G12)</f>
        <v>77000</v>
      </c>
      <c r="E12" s="145">
        <v>38500</v>
      </c>
      <c r="F12" s="146" t="s">
        <v>1074</v>
      </c>
      <c r="G12" s="145">
        <v>38500</v>
      </c>
      <c r="H12" s="146" t="s">
        <v>1075</v>
      </c>
      <c r="I12" s="145">
        <f t="shared" si="2"/>
        <v>77000</v>
      </c>
      <c r="J12" s="145">
        <v>38500</v>
      </c>
      <c r="K12" s="145">
        <v>38500</v>
      </c>
      <c r="L12" s="147">
        <f t="shared" si="3"/>
        <v>77000</v>
      </c>
      <c r="M12" s="148">
        <v>38500</v>
      </c>
      <c r="N12" s="148">
        <v>38500</v>
      </c>
      <c r="O12" s="149">
        <f t="shared" si="4"/>
        <v>0</v>
      </c>
      <c r="P12" s="148">
        <v>0</v>
      </c>
      <c r="Q12" s="148">
        <v>0</v>
      </c>
      <c r="R12" s="148" t="s">
        <v>1081</v>
      </c>
    </row>
    <row r="13" spans="1:19">
      <c r="A13" s="142">
        <f t="shared" si="5"/>
        <v>10</v>
      </c>
      <c r="B13" s="143" t="s">
        <v>1088</v>
      </c>
      <c r="C13" s="144" t="s">
        <v>1089</v>
      </c>
      <c r="D13" s="145">
        <f>SUM(E13:G13)</f>
        <v>530000</v>
      </c>
      <c r="E13" s="145">
        <v>265000</v>
      </c>
      <c r="F13" s="146" t="s">
        <v>1074</v>
      </c>
      <c r="G13" s="145">
        <v>265000</v>
      </c>
      <c r="H13" s="146" t="s">
        <v>1075</v>
      </c>
      <c r="I13" s="145">
        <f t="shared" si="2"/>
        <v>530000</v>
      </c>
      <c r="J13" s="145">
        <v>265000</v>
      </c>
      <c r="K13" s="145">
        <v>265000</v>
      </c>
      <c r="L13" s="147">
        <f t="shared" si="3"/>
        <v>530000</v>
      </c>
      <c r="M13" s="148">
        <v>265000</v>
      </c>
      <c r="N13" s="148">
        <v>265000</v>
      </c>
      <c r="O13" s="149">
        <f t="shared" si="4"/>
        <v>0</v>
      </c>
      <c r="P13" s="148">
        <v>0</v>
      </c>
      <c r="Q13" s="148">
        <v>0</v>
      </c>
      <c r="R13" s="148" t="s">
        <v>1081</v>
      </c>
    </row>
    <row r="14" spans="1:19">
      <c r="A14" s="142">
        <f t="shared" si="5"/>
        <v>11</v>
      </c>
      <c r="B14" s="143" t="s">
        <v>1090</v>
      </c>
      <c r="C14" s="144" t="s">
        <v>1091</v>
      </c>
      <c r="D14" s="145">
        <f t="shared" si="1"/>
        <v>4000000</v>
      </c>
      <c r="E14" s="145">
        <v>2000000</v>
      </c>
      <c r="F14" s="146" t="s">
        <v>1074</v>
      </c>
      <c r="G14" s="145">
        <v>2000000</v>
      </c>
      <c r="H14" s="146" t="s">
        <v>1075</v>
      </c>
      <c r="I14" s="145">
        <f t="shared" si="2"/>
        <v>3733200</v>
      </c>
      <c r="J14" s="145">
        <v>1866600</v>
      </c>
      <c r="K14" s="145">
        <v>1866600</v>
      </c>
      <c r="L14" s="147">
        <f t="shared" si="3"/>
        <v>3733200</v>
      </c>
      <c r="M14" s="148">
        <v>1866600</v>
      </c>
      <c r="N14" s="148">
        <v>1866600</v>
      </c>
      <c r="O14" s="149">
        <f t="shared" si="4"/>
        <v>0</v>
      </c>
      <c r="P14" s="148">
        <v>0</v>
      </c>
      <c r="Q14" s="148">
        <v>0</v>
      </c>
      <c r="R14" s="148" t="s">
        <v>1081</v>
      </c>
    </row>
    <row r="15" spans="1:19">
      <c r="A15" s="142">
        <f t="shared" si="5"/>
        <v>12</v>
      </c>
      <c r="B15" s="143" t="s">
        <v>1090</v>
      </c>
      <c r="C15" s="144" t="s">
        <v>1092</v>
      </c>
      <c r="D15" s="145">
        <f t="shared" si="1"/>
        <v>1000000</v>
      </c>
      <c r="E15" s="145">
        <v>500000</v>
      </c>
      <c r="F15" s="146" t="s">
        <v>1074</v>
      </c>
      <c r="G15" s="145">
        <v>500000</v>
      </c>
      <c r="H15" s="146" t="s">
        <v>1075</v>
      </c>
      <c r="I15" s="145">
        <f t="shared" si="2"/>
        <v>1000000</v>
      </c>
      <c r="J15" s="145">
        <v>500000</v>
      </c>
      <c r="K15" s="145">
        <v>500000</v>
      </c>
      <c r="L15" s="147">
        <f t="shared" si="3"/>
        <v>0</v>
      </c>
      <c r="M15" s="148">
        <v>0</v>
      </c>
      <c r="N15" s="148">
        <v>0</v>
      </c>
      <c r="O15" s="149">
        <f t="shared" si="4"/>
        <v>1000000</v>
      </c>
      <c r="P15" s="148">
        <v>500000</v>
      </c>
      <c r="Q15" s="148">
        <v>500000</v>
      </c>
      <c r="R15" s="148"/>
    </row>
    <row r="16" spans="1:19">
      <c r="A16" s="142">
        <f t="shared" si="5"/>
        <v>13</v>
      </c>
      <c r="B16" s="143" t="s">
        <v>1093</v>
      </c>
      <c r="C16" s="144" t="s">
        <v>1094</v>
      </c>
      <c r="D16" s="145">
        <f t="shared" si="1"/>
        <v>4089500</v>
      </c>
      <c r="E16" s="145">
        <v>2044750</v>
      </c>
      <c r="F16" s="146" t="s">
        <v>1074</v>
      </c>
      <c r="G16" s="145">
        <v>2044750</v>
      </c>
      <c r="H16" s="146" t="s">
        <v>1075</v>
      </c>
      <c r="I16" s="145">
        <f t="shared" si="2"/>
        <v>4089500</v>
      </c>
      <c r="J16" s="145">
        <v>2044750</v>
      </c>
      <c r="K16" s="145">
        <v>2044750</v>
      </c>
      <c r="L16" s="147">
        <f t="shared" si="3"/>
        <v>4089500</v>
      </c>
      <c r="M16" s="148">
        <v>2044750</v>
      </c>
      <c r="N16" s="148">
        <v>2044750</v>
      </c>
      <c r="O16" s="149">
        <f t="shared" si="4"/>
        <v>0</v>
      </c>
      <c r="P16" s="148">
        <v>0</v>
      </c>
      <c r="Q16" s="148">
        <v>0</v>
      </c>
      <c r="R16" s="150" t="s">
        <v>1069</v>
      </c>
    </row>
    <row r="17" spans="1:19">
      <c r="A17" s="142">
        <f t="shared" si="5"/>
        <v>14</v>
      </c>
      <c r="B17" s="143" t="s">
        <v>1095</v>
      </c>
      <c r="C17" s="144" t="s">
        <v>1096</v>
      </c>
      <c r="D17" s="145">
        <v>100000</v>
      </c>
      <c r="E17" s="145">
        <v>0</v>
      </c>
      <c r="F17" s="146" t="s">
        <v>2</v>
      </c>
      <c r="G17" s="145">
        <v>100000</v>
      </c>
      <c r="H17" s="146" t="s">
        <v>1068</v>
      </c>
      <c r="I17" s="145">
        <f t="shared" si="2"/>
        <v>90000</v>
      </c>
      <c r="J17" s="145">
        <v>0</v>
      </c>
      <c r="K17" s="145">
        <v>90000</v>
      </c>
      <c r="L17" s="147">
        <f t="shared" si="3"/>
        <v>90000</v>
      </c>
      <c r="M17" s="148">
        <v>0</v>
      </c>
      <c r="N17" s="148">
        <v>90000</v>
      </c>
      <c r="O17" s="149">
        <f t="shared" si="4"/>
        <v>0</v>
      </c>
      <c r="P17" s="148">
        <v>0</v>
      </c>
      <c r="Q17" s="148">
        <v>0</v>
      </c>
      <c r="R17" s="148" t="s">
        <v>1069</v>
      </c>
    </row>
    <row r="18" spans="1:19">
      <c r="A18" s="142">
        <f t="shared" si="5"/>
        <v>15</v>
      </c>
      <c r="B18" s="143" t="s">
        <v>1097</v>
      </c>
      <c r="C18" s="144" t="s">
        <v>1098</v>
      </c>
      <c r="D18" s="145">
        <f t="shared" si="1"/>
        <v>440000</v>
      </c>
      <c r="E18" s="145">
        <v>440000</v>
      </c>
      <c r="F18" s="146" t="s">
        <v>1074</v>
      </c>
      <c r="G18" s="145">
        <v>0</v>
      </c>
      <c r="H18" s="146" t="s">
        <v>2</v>
      </c>
      <c r="I18" s="145">
        <f t="shared" si="2"/>
        <v>440000</v>
      </c>
      <c r="J18" s="145">
        <v>440000</v>
      </c>
      <c r="K18" s="145">
        <v>0</v>
      </c>
      <c r="L18" s="147">
        <f t="shared" si="3"/>
        <v>440000</v>
      </c>
      <c r="M18" s="148">
        <v>440000</v>
      </c>
      <c r="N18" s="148">
        <v>0</v>
      </c>
      <c r="O18" s="149">
        <f>SUM(P18:Q18)</f>
        <v>0</v>
      </c>
      <c r="P18" s="148">
        <v>0</v>
      </c>
      <c r="Q18" s="148">
        <v>0</v>
      </c>
      <c r="R18" s="148" t="s">
        <v>1081</v>
      </c>
    </row>
    <row r="19" spans="1:19">
      <c r="A19" s="142">
        <f t="shared" si="5"/>
        <v>16</v>
      </c>
      <c r="B19" s="143" t="s">
        <v>1099</v>
      </c>
      <c r="C19" s="144" t="s">
        <v>1100</v>
      </c>
      <c r="D19" s="145">
        <f t="shared" si="1"/>
        <v>510000</v>
      </c>
      <c r="E19" s="145">
        <v>510000</v>
      </c>
      <c r="F19" s="146" t="s">
        <v>1047</v>
      </c>
      <c r="G19" s="145">
        <v>0</v>
      </c>
      <c r="H19" s="146" t="s">
        <v>2</v>
      </c>
      <c r="I19" s="145">
        <f t="shared" si="2"/>
        <v>510000</v>
      </c>
      <c r="J19" s="145">
        <v>510000</v>
      </c>
      <c r="K19" s="145">
        <v>0</v>
      </c>
      <c r="L19" s="147">
        <f t="shared" si="3"/>
        <v>510000</v>
      </c>
      <c r="M19" s="148">
        <v>510000</v>
      </c>
      <c r="N19" s="148">
        <v>0</v>
      </c>
      <c r="O19" s="149">
        <f t="shared" si="4"/>
        <v>0</v>
      </c>
      <c r="P19" s="148">
        <v>0</v>
      </c>
      <c r="Q19" s="148">
        <v>0</v>
      </c>
      <c r="R19" s="148" t="s">
        <v>1069</v>
      </c>
    </row>
    <row r="20" spans="1:19">
      <c r="A20" s="142">
        <f t="shared" si="5"/>
        <v>17</v>
      </c>
      <c r="B20" s="143" t="s">
        <v>1101</v>
      </c>
      <c r="C20" s="144" t="s">
        <v>1102</v>
      </c>
      <c r="D20" s="145">
        <f t="shared" si="1"/>
        <v>2000000</v>
      </c>
      <c r="E20" s="145">
        <v>1000000</v>
      </c>
      <c r="F20" s="146" t="s">
        <v>1074</v>
      </c>
      <c r="G20" s="145">
        <v>1000000</v>
      </c>
      <c r="H20" s="146" t="s">
        <v>1075</v>
      </c>
      <c r="I20" s="145">
        <f t="shared" si="2"/>
        <v>1600000</v>
      </c>
      <c r="J20" s="145">
        <v>800000</v>
      </c>
      <c r="K20" s="145">
        <v>800000</v>
      </c>
      <c r="L20" s="147">
        <f t="shared" si="3"/>
        <v>1600000</v>
      </c>
      <c r="M20" s="148">
        <v>800000</v>
      </c>
      <c r="N20" s="148">
        <v>800000</v>
      </c>
      <c r="O20" s="149">
        <f t="shared" si="4"/>
        <v>0</v>
      </c>
      <c r="P20" s="148">
        <v>0</v>
      </c>
      <c r="Q20" s="148">
        <v>0</v>
      </c>
      <c r="R20" s="148" t="s">
        <v>1081</v>
      </c>
    </row>
    <row r="21" spans="1:19">
      <c r="A21" s="142">
        <f t="shared" si="5"/>
        <v>18</v>
      </c>
      <c r="B21" s="143" t="s">
        <v>1103</v>
      </c>
      <c r="C21" s="144" t="s">
        <v>1104</v>
      </c>
      <c r="D21" s="145">
        <f t="shared" si="1"/>
        <v>8000000</v>
      </c>
      <c r="E21" s="145">
        <v>8000000</v>
      </c>
      <c r="F21" s="146" t="s">
        <v>1074</v>
      </c>
      <c r="G21" s="145">
        <v>0</v>
      </c>
      <c r="H21" s="146" t="s">
        <v>2</v>
      </c>
      <c r="I21" s="145">
        <f t="shared" si="2"/>
        <v>8300000</v>
      </c>
      <c r="J21" s="145">
        <v>8300000</v>
      </c>
      <c r="K21" s="145">
        <v>0</v>
      </c>
      <c r="L21" s="147">
        <f t="shared" si="3"/>
        <v>8300000</v>
      </c>
      <c r="M21" s="148">
        <v>8300000</v>
      </c>
      <c r="N21" s="148">
        <v>0</v>
      </c>
      <c r="O21" s="149">
        <f t="shared" si="4"/>
        <v>0</v>
      </c>
      <c r="P21" s="148">
        <v>0</v>
      </c>
      <c r="Q21" s="148">
        <v>0</v>
      </c>
      <c r="R21" s="148" t="s">
        <v>1081</v>
      </c>
    </row>
    <row r="22" spans="1:19">
      <c r="A22" s="142">
        <f t="shared" si="5"/>
        <v>19</v>
      </c>
      <c r="B22" s="143" t="s">
        <v>1103</v>
      </c>
      <c r="C22" s="144" t="s">
        <v>1105</v>
      </c>
      <c r="D22" s="145">
        <f t="shared" si="1"/>
        <v>3000000</v>
      </c>
      <c r="E22" s="145">
        <v>3000000</v>
      </c>
      <c r="F22" s="146" t="s">
        <v>1074</v>
      </c>
      <c r="G22" s="145">
        <v>0</v>
      </c>
      <c r="H22" s="146" t="s">
        <v>2</v>
      </c>
      <c r="I22" s="145">
        <f t="shared" si="2"/>
        <v>2800000</v>
      </c>
      <c r="J22" s="145">
        <v>2800000</v>
      </c>
      <c r="K22" s="145">
        <v>0</v>
      </c>
      <c r="L22" s="147">
        <f>SUM(M22:N22)</f>
        <v>2800000</v>
      </c>
      <c r="M22" s="148">
        <v>2800000</v>
      </c>
      <c r="N22" s="148">
        <v>0</v>
      </c>
      <c r="O22" s="149">
        <f t="shared" si="4"/>
        <v>0</v>
      </c>
      <c r="P22" s="148">
        <v>0</v>
      </c>
      <c r="Q22" s="148">
        <v>0</v>
      </c>
      <c r="R22" s="148" t="s">
        <v>1069</v>
      </c>
    </row>
    <row r="23" spans="1:19">
      <c r="A23" s="142">
        <f t="shared" si="5"/>
        <v>20</v>
      </c>
      <c r="B23" s="143" t="s">
        <v>1106</v>
      </c>
      <c r="C23" s="144" t="s">
        <v>1107</v>
      </c>
      <c r="D23" s="145">
        <f t="shared" si="1"/>
        <v>15000000</v>
      </c>
      <c r="E23" s="145">
        <v>0</v>
      </c>
      <c r="F23" s="146" t="s">
        <v>2</v>
      </c>
      <c r="G23" s="145">
        <v>15000000</v>
      </c>
      <c r="H23" s="146" t="s">
        <v>1075</v>
      </c>
      <c r="I23" s="145">
        <f t="shared" si="2"/>
        <v>12927000</v>
      </c>
      <c r="J23" s="145">
        <v>0</v>
      </c>
      <c r="K23" s="145">
        <v>12927000</v>
      </c>
      <c r="L23" s="147">
        <f t="shared" si="3"/>
        <v>12927000</v>
      </c>
      <c r="M23" s="148">
        <v>0</v>
      </c>
      <c r="N23" s="148">
        <v>12927000</v>
      </c>
      <c r="O23" s="149">
        <f t="shared" si="4"/>
        <v>0</v>
      </c>
      <c r="P23" s="148">
        <v>0</v>
      </c>
      <c r="Q23" s="148">
        <v>0</v>
      </c>
      <c r="R23" s="148" t="s">
        <v>1081</v>
      </c>
    </row>
    <row r="24" spans="1:19">
      <c r="A24" s="142">
        <f t="shared" si="5"/>
        <v>21</v>
      </c>
      <c r="B24" s="143" t="s">
        <v>1108</v>
      </c>
      <c r="C24" s="144" t="s">
        <v>1109</v>
      </c>
      <c r="D24" s="145">
        <v>2500000</v>
      </c>
      <c r="E24" s="145">
        <v>0</v>
      </c>
      <c r="F24" s="146" t="s">
        <v>2</v>
      </c>
      <c r="G24" s="145">
        <v>2500000</v>
      </c>
      <c r="H24" s="146" t="s">
        <v>1075</v>
      </c>
      <c r="I24" s="145">
        <f t="shared" si="2"/>
        <v>2300000</v>
      </c>
      <c r="J24" s="145">
        <v>0</v>
      </c>
      <c r="K24" s="145">
        <v>2300000</v>
      </c>
      <c r="L24" s="147">
        <f t="shared" si="3"/>
        <v>2300000</v>
      </c>
      <c r="M24" s="148">
        <v>0</v>
      </c>
      <c r="N24" s="148">
        <v>2300000</v>
      </c>
      <c r="O24" s="149">
        <f t="shared" si="4"/>
        <v>0</v>
      </c>
      <c r="P24" s="148">
        <v>0</v>
      </c>
      <c r="Q24" s="148">
        <v>0</v>
      </c>
      <c r="R24" s="148" t="s">
        <v>1069</v>
      </c>
    </row>
    <row r="25" spans="1:19">
      <c r="A25" s="142">
        <f t="shared" si="5"/>
        <v>22</v>
      </c>
      <c r="B25" s="143" t="s">
        <v>1110</v>
      </c>
      <c r="C25" s="144" t="s">
        <v>1111</v>
      </c>
      <c r="D25" s="145">
        <v>500000</v>
      </c>
      <c r="E25" s="145">
        <v>500000</v>
      </c>
      <c r="F25" s="146" t="s">
        <v>1074</v>
      </c>
      <c r="G25" s="145">
        <v>0</v>
      </c>
      <c r="H25" s="146" t="s">
        <v>2</v>
      </c>
      <c r="I25" s="145">
        <f t="shared" si="2"/>
        <v>300000</v>
      </c>
      <c r="J25" s="145">
        <v>300000</v>
      </c>
      <c r="K25" s="145">
        <v>0</v>
      </c>
      <c r="L25" s="147">
        <f t="shared" si="3"/>
        <v>300000</v>
      </c>
      <c r="M25" s="148">
        <v>300000</v>
      </c>
      <c r="N25" s="148">
        <v>0</v>
      </c>
      <c r="O25" s="149">
        <f t="shared" si="4"/>
        <v>0</v>
      </c>
      <c r="P25" s="148">
        <v>0</v>
      </c>
      <c r="Q25" s="148">
        <v>0</v>
      </c>
      <c r="R25" s="148" t="s">
        <v>1081</v>
      </c>
    </row>
    <row r="26" spans="1:19">
      <c r="A26" s="142">
        <f t="shared" si="5"/>
        <v>23</v>
      </c>
      <c r="B26" s="143" t="s">
        <v>1112</v>
      </c>
      <c r="C26" s="144" t="s">
        <v>1113</v>
      </c>
      <c r="D26" s="145">
        <f t="shared" si="1"/>
        <v>300000</v>
      </c>
      <c r="E26" s="145">
        <v>300000</v>
      </c>
      <c r="F26" s="146" t="s">
        <v>1074</v>
      </c>
      <c r="G26" s="145">
        <v>0</v>
      </c>
      <c r="H26" s="146" t="s">
        <v>2</v>
      </c>
      <c r="I26" s="145" t="s">
        <v>1113</v>
      </c>
      <c r="J26" s="145" t="s">
        <v>1113</v>
      </c>
      <c r="K26" s="145">
        <v>0</v>
      </c>
      <c r="L26" s="147">
        <f t="shared" si="3"/>
        <v>0</v>
      </c>
      <c r="M26" s="148">
        <v>0</v>
      </c>
      <c r="N26" s="148">
        <v>0</v>
      </c>
      <c r="O26" s="149" t="s">
        <v>1113</v>
      </c>
      <c r="P26" s="148" t="s">
        <v>1113</v>
      </c>
      <c r="Q26" s="148">
        <v>0</v>
      </c>
      <c r="R26" s="148"/>
      <c r="S26" s="138" t="s">
        <v>1078</v>
      </c>
    </row>
    <row r="27" spans="1:19">
      <c r="A27" s="142">
        <f t="shared" si="5"/>
        <v>24</v>
      </c>
      <c r="B27" s="143" t="s">
        <v>1114</v>
      </c>
      <c r="C27" s="144" t="s">
        <v>1111</v>
      </c>
      <c r="D27" s="145">
        <f t="shared" si="1"/>
        <v>300000</v>
      </c>
      <c r="E27" s="145">
        <v>0</v>
      </c>
      <c r="F27" s="146" t="s">
        <v>2</v>
      </c>
      <c r="G27" s="145">
        <v>300000</v>
      </c>
      <c r="H27" s="146" t="s">
        <v>1075</v>
      </c>
      <c r="I27" s="145">
        <f t="shared" si="2"/>
        <v>300000</v>
      </c>
      <c r="J27" s="145">
        <v>0</v>
      </c>
      <c r="K27" s="145">
        <v>300000</v>
      </c>
      <c r="L27" s="147">
        <f t="shared" si="3"/>
        <v>300000</v>
      </c>
      <c r="M27" s="148">
        <v>0</v>
      </c>
      <c r="N27" s="148">
        <v>300000</v>
      </c>
      <c r="O27" s="149">
        <f t="shared" si="4"/>
        <v>0</v>
      </c>
      <c r="P27" s="148">
        <v>0</v>
      </c>
      <c r="Q27" s="148">
        <v>0</v>
      </c>
      <c r="R27" s="148" t="s">
        <v>1069</v>
      </c>
    </row>
    <row r="28" spans="1:19">
      <c r="A28" s="142">
        <f t="shared" si="5"/>
        <v>25</v>
      </c>
      <c r="B28" s="143" t="s">
        <v>1115</v>
      </c>
      <c r="C28" s="144" t="s">
        <v>1113</v>
      </c>
      <c r="D28" s="145">
        <f t="shared" si="1"/>
        <v>300000</v>
      </c>
      <c r="E28" s="145">
        <v>0</v>
      </c>
      <c r="F28" s="146" t="s">
        <v>2</v>
      </c>
      <c r="G28" s="145">
        <v>300000</v>
      </c>
      <c r="H28" s="146" t="s">
        <v>1075</v>
      </c>
      <c r="I28" s="145" t="s">
        <v>1113</v>
      </c>
      <c r="J28" s="145">
        <v>0</v>
      </c>
      <c r="K28" s="145" t="s">
        <v>1113</v>
      </c>
      <c r="L28" s="147">
        <f t="shared" si="3"/>
        <v>0</v>
      </c>
      <c r="M28" s="148">
        <v>0</v>
      </c>
      <c r="N28" s="148">
        <v>0</v>
      </c>
      <c r="O28" s="149" t="s">
        <v>1113</v>
      </c>
      <c r="P28" s="148">
        <v>0</v>
      </c>
      <c r="Q28" s="148" t="s">
        <v>1113</v>
      </c>
      <c r="R28" s="148"/>
    </row>
    <row r="29" spans="1:19">
      <c r="A29" s="142">
        <f t="shared" si="5"/>
        <v>26</v>
      </c>
      <c r="B29" s="143" t="s">
        <v>1116</v>
      </c>
      <c r="C29" s="144" t="s">
        <v>3</v>
      </c>
      <c r="D29" s="145">
        <f t="shared" si="1"/>
        <v>70000000</v>
      </c>
      <c r="E29" s="145">
        <v>0</v>
      </c>
      <c r="F29" s="146" t="s">
        <v>2</v>
      </c>
      <c r="G29" s="145">
        <v>70000000</v>
      </c>
      <c r="H29" s="146" t="s">
        <v>1075</v>
      </c>
      <c r="I29" s="145">
        <f t="shared" si="2"/>
        <v>70000000</v>
      </c>
      <c r="J29" s="145">
        <v>0</v>
      </c>
      <c r="K29" s="145">
        <v>70000000</v>
      </c>
      <c r="L29" s="147">
        <f t="shared" si="3"/>
        <v>70000000</v>
      </c>
      <c r="M29" s="148">
        <v>0</v>
      </c>
      <c r="N29" s="148">
        <v>70000000</v>
      </c>
      <c r="O29" s="149">
        <f t="shared" si="4"/>
        <v>0</v>
      </c>
      <c r="P29" s="148">
        <v>0</v>
      </c>
      <c r="Q29" s="148">
        <v>0</v>
      </c>
      <c r="R29" s="148" t="s">
        <v>1081</v>
      </c>
    </row>
    <row r="30" spans="1:19">
      <c r="A30" s="142">
        <f t="shared" si="5"/>
        <v>27</v>
      </c>
      <c r="B30" s="143" t="s">
        <v>1117</v>
      </c>
      <c r="C30" s="144" t="s">
        <v>1118</v>
      </c>
      <c r="D30" s="145">
        <f t="shared" si="1"/>
        <v>3000000</v>
      </c>
      <c r="E30" s="145">
        <v>0</v>
      </c>
      <c r="F30" s="146" t="s">
        <v>2</v>
      </c>
      <c r="G30" s="145">
        <v>3000000</v>
      </c>
      <c r="H30" s="146" t="s">
        <v>1075</v>
      </c>
      <c r="I30" s="145">
        <f t="shared" si="2"/>
        <v>3500000</v>
      </c>
      <c r="J30" s="145">
        <v>0</v>
      </c>
      <c r="K30" s="145">
        <v>3500000</v>
      </c>
      <c r="L30" s="147">
        <f t="shared" si="3"/>
        <v>3500000</v>
      </c>
      <c r="M30" s="148">
        <v>0</v>
      </c>
      <c r="N30" s="148">
        <v>3500000</v>
      </c>
      <c r="O30" s="149">
        <f t="shared" si="4"/>
        <v>0</v>
      </c>
      <c r="P30" s="148">
        <v>0</v>
      </c>
      <c r="Q30" s="148">
        <v>0</v>
      </c>
      <c r="R30" s="148" t="s">
        <v>1081</v>
      </c>
    </row>
    <row r="31" spans="1:19">
      <c r="A31" s="142">
        <f t="shared" si="5"/>
        <v>28</v>
      </c>
      <c r="B31" s="143" t="s">
        <v>1117</v>
      </c>
      <c r="C31" s="144" t="s">
        <v>1119</v>
      </c>
      <c r="D31" s="145">
        <f t="shared" si="1"/>
        <v>3000000</v>
      </c>
      <c r="E31" s="145">
        <v>0</v>
      </c>
      <c r="F31" s="146" t="s">
        <v>2</v>
      </c>
      <c r="G31" s="145">
        <v>3000000</v>
      </c>
      <c r="H31" s="146" t="s">
        <v>1075</v>
      </c>
      <c r="I31" s="145">
        <f t="shared" si="2"/>
        <v>2700000</v>
      </c>
      <c r="J31" s="145">
        <v>0</v>
      </c>
      <c r="K31" s="145">
        <v>2700000</v>
      </c>
      <c r="L31" s="147">
        <f t="shared" si="3"/>
        <v>2700000</v>
      </c>
      <c r="M31" s="148">
        <v>0</v>
      </c>
      <c r="N31" s="148">
        <v>2700000</v>
      </c>
      <c r="O31" s="149">
        <f t="shared" si="4"/>
        <v>0</v>
      </c>
      <c r="P31" s="148">
        <v>0</v>
      </c>
      <c r="Q31" s="148">
        <v>0</v>
      </c>
      <c r="R31" s="148" t="s">
        <v>1081</v>
      </c>
    </row>
    <row r="32" spans="1:19">
      <c r="A32" s="142">
        <f t="shared" si="5"/>
        <v>29</v>
      </c>
      <c r="B32" s="143" t="s">
        <v>1117</v>
      </c>
      <c r="C32" s="144" t="s">
        <v>1120</v>
      </c>
      <c r="D32" s="145">
        <f t="shared" si="1"/>
        <v>1000000</v>
      </c>
      <c r="E32" s="145">
        <v>0</v>
      </c>
      <c r="F32" s="146" t="s">
        <v>2</v>
      </c>
      <c r="G32" s="145">
        <v>1000000</v>
      </c>
      <c r="H32" s="146" t="s">
        <v>1075</v>
      </c>
      <c r="I32" s="145" t="s">
        <v>1113</v>
      </c>
      <c r="J32" s="145">
        <v>0</v>
      </c>
      <c r="K32" s="145" t="s">
        <v>1113</v>
      </c>
      <c r="L32" s="147">
        <f t="shared" si="3"/>
        <v>0</v>
      </c>
      <c r="M32" s="148">
        <v>0</v>
      </c>
      <c r="N32" s="148">
        <v>0</v>
      </c>
      <c r="O32" s="149" t="s">
        <v>1113</v>
      </c>
      <c r="P32" s="148">
        <v>0</v>
      </c>
      <c r="Q32" s="148" t="s">
        <v>1113</v>
      </c>
      <c r="R32" s="148"/>
      <c r="S32" s="138" t="s">
        <v>1121</v>
      </c>
    </row>
    <row r="33" spans="1:19">
      <c r="A33" s="142">
        <f t="shared" si="5"/>
        <v>30</v>
      </c>
      <c r="B33" s="143" t="s">
        <v>1122</v>
      </c>
      <c r="C33" s="144" t="s">
        <v>3</v>
      </c>
      <c r="D33" s="145">
        <f t="shared" si="1"/>
        <v>7000000</v>
      </c>
      <c r="E33" s="145">
        <v>7000000</v>
      </c>
      <c r="F33" s="146" t="s">
        <v>1074</v>
      </c>
      <c r="G33" s="145">
        <v>0</v>
      </c>
      <c r="H33" s="146" t="s">
        <v>2</v>
      </c>
      <c r="I33" s="145">
        <f>SUM(J33:K33)</f>
        <v>7008178</v>
      </c>
      <c r="J33" s="145">
        <v>7008178</v>
      </c>
      <c r="K33" s="145">
        <v>0</v>
      </c>
      <c r="L33" s="147">
        <f t="shared" si="3"/>
        <v>7008178</v>
      </c>
      <c r="M33" s="148">
        <v>7008178</v>
      </c>
      <c r="N33" s="148">
        <v>0</v>
      </c>
      <c r="O33" s="149">
        <f>SUM(P33:Q33)</f>
        <v>0</v>
      </c>
      <c r="P33" s="148">
        <v>0</v>
      </c>
      <c r="Q33" s="148">
        <v>0</v>
      </c>
      <c r="R33" s="148" t="s">
        <v>1081</v>
      </c>
    </row>
    <row r="34" spans="1:19">
      <c r="A34" s="142">
        <f t="shared" si="5"/>
        <v>31</v>
      </c>
      <c r="B34" s="143" t="s">
        <v>1123</v>
      </c>
      <c r="C34" s="144" t="s">
        <v>1113</v>
      </c>
      <c r="D34" s="145">
        <f t="shared" si="1"/>
        <v>1000000</v>
      </c>
      <c r="E34" s="145">
        <v>0</v>
      </c>
      <c r="F34" s="146" t="s">
        <v>2</v>
      </c>
      <c r="G34" s="145">
        <v>1000000</v>
      </c>
      <c r="H34" s="146" t="s">
        <v>1075</v>
      </c>
      <c r="I34" s="145" t="s">
        <v>1113</v>
      </c>
      <c r="J34" s="145">
        <v>0</v>
      </c>
      <c r="K34" s="145" t="s">
        <v>1113</v>
      </c>
      <c r="L34" s="147">
        <f t="shared" si="3"/>
        <v>0</v>
      </c>
      <c r="M34" s="148">
        <v>0</v>
      </c>
      <c r="N34" s="148">
        <v>0</v>
      </c>
      <c r="O34" s="149" t="s">
        <v>1113</v>
      </c>
      <c r="P34" s="148">
        <v>0</v>
      </c>
      <c r="Q34" s="148" t="s">
        <v>1113</v>
      </c>
      <c r="R34" s="148"/>
      <c r="S34" s="138" t="s">
        <v>1121</v>
      </c>
    </row>
    <row r="35" spans="1:19">
      <c r="A35" s="142">
        <f t="shared" si="5"/>
        <v>32</v>
      </c>
      <c r="B35" s="143" t="s">
        <v>1124</v>
      </c>
      <c r="C35" s="144" t="s">
        <v>1125</v>
      </c>
      <c r="D35" s="145">
        <f t="shared" si="1"/>
        <v>2000000</v>
      </c>
      <c r="E35" s="145">
        <v>1000000</v>
      </c>
      <c r="F35" s="146" t="s">
        <v>1074</v>
      </c>
      <c r="G35" s="145">
        <v>1000000</v>
      </c>
      <c r="H35" s="146" t="s">
        <v>1075</v>
      </c>
      <c r="I35" s="145">
        <f t="shared" si="2"/>
        <v>2005790</v>
      </c>
      <c r="J35" s="145">
        <v>1005790</v>
      </c>
      <c r="K35" s="145">
        <v>1000000</v>
      </c>
      <c r="L35" s="147">
        <f t="shared" si="3"/>
        <v>2005790</v>
      </c>
      <c r="M35" s="148">
        <v>1005790</v>
      </c>
      <c r="N35" s="148">
        <v>1000000</v>
      </c>
      <c r="O35" s="149">
        <f>SUM(P35:Q35)</f>
        <v>0</v>
      </c>
      <c r="P35" s="148">
        <v>0</v>
      </c>
      <c r="Q35" s="148">
        <v>0</v>
      </c>
      <c r="R35" s="148" t="s">
        <v>1081</v>
      </c>
    </row>
    <row r="36" spans="1:19">
      <c r="A36" s="142">
        <f t="shared" si="5"/>
        <v>33</v>
      </c>
      <c r="B36" s="143" t="s">
        <v>1126</v>
      </c>
      <c r="C36" s="144" t="s">
        <v>1127</v>
      </c>
      <c r="D36" s="145">
        <f t="shared" si="1"/>
        <v>280000</v>
      </c>
      <c r="E36" s="145">
        <v>140000</v>
      </c>
      <c r="F36" s="146" t="s">
        <v>1047</v>
      </c>
      <c r="G36" s="145">
        <v>140000</v>
      </c>
      <c r="H36" s="146" t="s">
        <v>1062</v>
      </c>
      <c r="I36" s="145">
        <f t="shared" si="2"/>
        <v>278000</v>
      </c>
      <c r="J36" s="145">
        <v>139000</v>
      </c>
      <c r="K36" s="145">
        <v>139000</v>
      </c>
      <c r="L36" s="147">
        <f t="shared" si="3"/>
        <v>278000</v>
      </c>
      <c r="M36" s="148">
        <v>139000</v>
      </c>
      <c r="N36" s="148">
        <v>139000</v>
      </c>
      <c r="O36" s="149">
        <f t="shared" si="4"/>
        <v>0</v>
      </c>
      <c r="P36" s="148">
        <v>0</v>
      </c>
      <c r="Q36" s="148">
        <v>0</v>
      </c>
      <c r="R36" s="148" t="s">
        <v>1081</v>
      </c>
    </row>
    <row r="37" spans="1:19">
      <c r="A37" s="774" t="s">
        <v>1128</v>
      </c>
      <c r="B37" s="775"/>
      <c r="C37" s="776"/>
      <c r="D37" s="151">
        <f>SUM(D4:D36)</f>
        <v>829944500</v>
      </c>
      <c r="E37" s="151">
        <f>SUM(E4:E36)</f>
        <v>685657250</v>
      </c>
      <c r="F37" s="146" t="s">
        <v>2</v>
      </c>
      <c r="G37" s="151">
        <f>SUM(G4:G36)</f>
        <v>144287250</v>
      </c>
      <c r="H37" s="146" t="s">
        <v>2</v>
      </c>
      <c r="I37" s="151">
        <f t="shared" ref="I37:Q37" si="7">SUM(I4:I36)</f>
        <v>808768555</v>
      </c>
      <c r="J37" s="151">
        <f t="shared" si="7"/>
        <v>672363705</v>
      </c>
      <c r="K37" s="151">
        <f t="shared" si="7"/>
        <v>136404850</v>
      </c>
      <c r="L37" s="152">
        <f t="shared" si="7"/>
        <v>791868555</v>
      </c>
      <c r="M37" s="151">
        <f t="shared" si="7"/>
        <v>664603705</v>
      </c>
      <c r="N37" s="151">
        <f t="shared" si="7"/>
        <v>127264850</v>
      </c>
      <c r="O37" s="153">
        <f t="shared" si="7"/>
        <v>16900000</v>
      </c>
      <c r="P37" s="151">
        <f t="shared" si="7"/>
        <v>7760000</v>
      </c>
      <c r="Q37" s="151">
        <f t="shared" si="7"/>
        <v>9140000</v>
      </c>
      <c r="R37" s="154"/>
    </row>
  </sheetData>
  <autoFilter ref="A3:R37" xr:uid="{00000000-0009-0000-0000-00000D000000}"/>
  <mergeCells count="17">
    <mergeCell ref="O1:Q1"/>
    <mergeCell ref="R1:R3"/>
    <mergeCell ref="L2:N2"/>
    <mergeCell ref="O2:Q2"/>
    <mergeCell ref="K1:K3"/>
    <mergeCell ref="L1:N1"/>
    <mergeCell ref="A37:C37"/>
    <mergeCell ref="G1:G3"/>
    <mergeCell ref="H1:H3"/>
    <mergeCell ref="I1:I3"/>
    <mergeCell ref="J1:J3"/>
    <mergeCell ref="A1:A3"/>
    <mergeCell ref="B1:B3"/>
    <mergeCell ref="C1:C3"/>
    <mergeCell ref="D1:D3"/>
    <mergeCell ref="E1:E3"/>
    <mergeCell ref="F1:F3"/>
  </mergeCells>
  <phoneticPr fontId="5" type="noConversion"/>
  <conditionalFormatting sqref="A4:A36">
    <cfRule type="expression" dxfId="93" priority="26">
      <formula>FIND("지불 완료",R4)</formula>
    </cfRule>
  </conditionalFormatting>
  <conditionalFormatting sqref="B4:B36">
    <cfRule type="expression" dxfId="92" priority="25">
      <formula>FIND("지불 완료",R4)</formula>
    </cfRule>
  </conditionalFormatting>
  <conditionalFormatting sqref="C4:C36">
    <cfRule type="expression" dxfId="91" priority="24">
      <formula>FIND("지불 완료",R4)</formula>
    </cfRule>
  </conditionalFormatting>
  <conditionalFormatting sqref="D4:D36">
    <cfRule type="expression" dxfId="90" priority="23">
      <formula>FIND("지불 완료",R4)</formula>
    </cfRule>
  </conditionalFormatting>
  <conditionalFormatting sqref="E4:E36">
    <cfRule type="expression" dxfId="89" priority="22">
      <formula>FIND("지불 완료",R4)</formula>
    </cfRule>
  </conditionalFormatting>
  <conditionalFormatting sqref="F4:F37">
    <cfRule type="expression" dxfId="88" priority="8">
      <formula>FIND("지불 완료",R4)</formula>
    </cfRule>
  </conditionalFormatting>
  <conditionalFormatting sqref="G4:G36">
    <cfRule type="expression" dxfId="87" priority="3">
      <formula>FIND("지불 완료",R4)</formula>
    </cfRule>
  </conditionalFormatting>
  <conditionalFormatting sqref="H4:H36">
    <cfRule type="expression" dxfId="86" priority="9">
      <formula>FIND("지불 완료",R4)</formula>
    </cfRule>
  </conditionalFormatting>
  <conditionalFormatting sqref="H37">
    <cfRule type="expression" dxfId="85" priority="7">
      <formula>FIND("지불 완료",T37)</formula>
    </cfRule>
  </conditionalFormatting>
  <conditionalFormatting sqref="I4:I36">
    <cfRule type="expression" dxfId="84" priority="20">
      <formula>FIND("지불 완료",R4)</formula>
    </cfRule>
  </conditionalFormatting>
  <conditionalFormatting sqref="J4:J36">
    <cfRule type="expression" dxfId="83" priority="2">
      <formula>FIND("지불 완료",R4)</formula>
    </cfRule>
  </conditionalFormatting>
  <conditionalFormatting sqref="K4:K31">
    <cfRule type="expression" dxfId="82" priority="1">
      <formula>FIND("지불 완료",R4)</formula>
    </cfRule>
  </conditionalFormatting>
  <conditionalFormatting sqref="K32">
    <cfRule type="expression" dxfId="81" priority="97">
      <formula>FIND("지불 완료",S32)</formula>
    </cfRule>
  </conditionalFormatting>
  <conditionalFormatting sqref="K33:K36">
    <cfRule type="expression" dxfId="80" priority="96">
      <formula>FIND("지불 완료",R33)</formula>
    </cfRule>
  </conditionalFormatting>
  <conditionalFormatting sqref="L4:L36">
    <cfRule type="expression" dxfId="79" priority="18">
      <formula>FIND("지불 완료",R4)</formula>
    </cfRule>
  </conditionalFormatting>
  <conditionalFormatting sqref="M4:M36">
    <cfRule type="expression" dxfId="78" priority="17">
      <formula>FIND("지불 완료",R4)</formula>
    </cfRule>
  </conditionalFormatting>
  <conditionalFormatting sqref="N4:N36">
    <cfRule type="expression" dxfId="77" priority="16">
      <formula>FIND("지불 완료",R4)</formula>
    </cfRule>
  </conditionalFormatting>
  <conditionalFormatting sqref="O4:O36">
    <cfRule type="expression" dxfId="76" priority="15">
      <formula>FIND("지불 완료",R4)</formula>
    </cfRule>
  </conditionalFormatting>
  <conditionalFormatting sqref="P4:P36">
    <cfRule type="expression" dxfId="75" priority="14">
      <formula>FIND("지불 완료",R4)</formula>
    </cfRule>
  </conditionalFormatting>
  <conditionalFormatting sqref="Q4:Q36">
    <cfRule type="expression" dxfId="74" priority="5">
      <formula>FIND("지불 완료",R4)</formula>
    </cfRule>
  </conditionalFormatting>
  <conditionalFormatting sqref="R4:R36">
    <cfRule type="expression" dxfId="73" priority="12">
      <formula>FIND("지불 완료",R4)</formula>
    </cfRule>
  </conditionalFormatting>
  <pageMargins left="0.7" right="0.7" top="0.75" bottom="0.75" header="0.3" footer="0.3"/>
  <headerFooter>
    <oddHeader>&amp;R&amp;"Aptos"&amp;13&amp;K000000 [ RESTRICTED ]&amp;1#_x000D_</oddHeader>
    <oddFooter>&amp;R_x000D_&amp;1#&amp;"Aptos"&amp;5&amp;K000000 [Secure Minds, Secure Finds] 본 문서는 현대건설㈜의 정보자산이므로 무단 전제 및 복제할 수 없으며, 이를 위반할 시에는 당사 사규 및 관련 법규에 의해 제지를 받을 수 있습니다.</oddFooter>
  </headerFooter>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R44"/>
  <sheetViews>
    <sheetView zoomScaleNormal="100" workbookViewId="0">
      <pane xSplit="4" ySplit="3" topLeftCell="E22" activePane="bottomRight" state="frozen"/>
      <selection activeCell="E8" sqref="E8"/>
      <selection pane="topRight" activeCell="E8" sqref="E8"/>
      <selection pane="bottomLeft" activeCell="E8" sqref="E8"/>
      <selection pane="bottomRight" activeCell="E8" sqref="E8"/>
    </sheetView>
  </sheetViews>
  <sheetFormatPr defaultColWidth="9" defaultRowHeight="13.5" outlineLevelCol="1"/>
  <cols>
    <col min="1" max="1" width="4.75" style="138" bestFit="1" customWidth="1"/>
    <col min="2" max="2" width="21.25" style="138" customWidth="1"/>
    <col min="3" max="3" width="24.75" style="138" customWidth="1"/>
    <col min="4" max="4" width="11.25" style="138" customWidth="1"/>
    <col min="5" max="8" width="11.25" style="138" customWidth="1" outlineLevel="1"/>
    <col min="9" max="9" width="11.25" style="138" customWidth="1"/>
    <col min="10" max="11" width="11.25" style="138" customWidth="1" outlineLevel="1"/>
    <col min="12" max="18" width="11.25" style="138" customWidth="1"/>
    <col min="19" max="16384" width="9" style="138"/>
  </cols>
  <sheetData>
    <row r="1" spans="1:18">
      <c r="A1" s="777" t="s">
        <v>1049</v>
      </c>
      <c r="B1" s="777" t="s">
        <v>449</v>
      </c>
      <c r="C1" s="777" t="s">
        <v>1050</v>
      </c>
      <c r="D1" s="777" t="s">
        <v>1051</v>
      </c>
      <c r="E1" s="777" t="s">
        <v>1052</v>
      </c>
      <c r="F1" s="777" t="s">
        <v>1053</v>
      </c>
      <c r="G1" s="777" t="s">
        <v>1054</v>
      </c>
      <c r="H1" s="777" t="s">
        <v>1055</v>
      </c>
      <c r="I1" s="777" t="s">
        <v>1056</v>
      </c>
      <c r="J1" s="777" t="s">
        <v>1057</v>
      </c>
      <c r="K1" s="777" t="s">
        <v>1058</v>
      </c>
      <c r="L1" s="780" t="s">
        <v>1059</v>
      </c>
      <c r="M1" s="780"/>
      <c r="N1" s="780"/>
      <c r="O1" s="780" t="s">
        <v>1060</v>
      </c>
      <c r="P1" s="780"/>
      <c r="Q1" s="780"/>
      <c r="R1" s="777" t="s">
        <v>153</v>
      </c>
    </row>
    <row r="2" spans="1:18">
      <c r="A2" s="778"/>
      <c r="B2" s="778"/>
      <c r="C2" s="778"/>
      <c r="D2" s="778"/>
      <c r="E2" s="778"/>
      <c r="F2" s="778"/>
      <c r="G2" s="778"/>
      <c r="H2" s="778"/>
      <c r="I2" s="778"/>
      <c r="J2" s="778"/>
      <c r="K2" s="778"/>
      <c r="L2" s="781"/>
      <c r="M2" s="782"/>
      <c r="N2" s="783"/>
      <c r="O2" s="784"/>
      <c r="P2" s="785"/>
      <c r="Q2" s="786"/>
      <c r="R2" s="778"/>
    </row>
    <row r="3" spans="1:18">
      <c r="A3" s="779"/>
      <c r="B3" s="779"/>
      <c r="C3" s="779"/>
      <c r="D3" s="779"/>
      <c r="E3" s="779"/>
      <c r="F3" s="779"/>
      <c r="G3" s="779"/>
      <c r="H3" s="779"/>
      <c r="I3" s="779"/>
      <c r="J3" s="779"/>
      <c r="K3" s="779"/>
      <c r="L3" s="139" t="s">
        <v>1061</v>
      </c>
      <c r="M3" s="140" t="s">
        <v>1047</v>
      </c>
      <c r="N3" s="140" t="s">
        <v>1062</v>
      </c>
      <c r="O3" s="141" t="s">
        <v>1061</v>
      </c>
      <c r="P3" s="140" t="s">
        <v>1047</v>
      </c>
      <c r="Q3" s="140" t="s">
        <v>1062</v>
      </c>
      <c r="R3" s="779"/>
    </row>
    <row r="4" spans="1:18">
      <c r="A4" s="142">
        <f t="shared" ref="A4:A5" si="0">ROW()-3</f>
        <v>1</v>
      </c>
      <c r="B4" s="143" t="s">
        <v>1063</v>
      </c>
      <c r="C4" s="144" t="s">
        <v>1064</v>
      </c>
      <c r="D4" s="145">
        <f t="shared" ref="D4:D43" si="1">SUM(E4:G4)</f>
        <v>650000000</v>
      </c>
      <c r="E4" s="145">
        <v>650000000</v>
      </c>
      <c r="F4" s="146" t="s">
        <v>1065</v>
      </c>
      <c r="G4" s="145">
        <v>0</v>
      </c>
      <c r="H4" s="146" t="s">
        <v>2</v>
      </c>
      <c r="I4" s="145">
        <f>SUM(J4:K4)</f>
        <v>620743853</v>
      </c>
      <c r="J4" s="145">
        <v>620743853</v>
      </c>
      <c r="K4" s="145">
        <v>0</v>
      </c>
      <c r="L4" s="147">
        <f>SUM(M4:N4)</f>
        <v>492920000</v>
      </c>
      <c r="M4" s="148">
        <v>492920000</v>
      </c>
      <c r="N4" s="148">
        <v>0</v>
      </c>
      <c r="O4" s="149">
        <f>SUM(P4:Q4)</f>
        <v>127823853</v>
      </c>
      <c r="P4" s="148">
        <v>127823853</v>
      </c>
      <c r="Q4" s="148">
        <v>0</v>
      </c>
      <c r="R4" s="148"/>
    </row>
    <row r="5" spans="1:18">
      <c r="A5" s="142">
        <f t="shared" si="0"/>
        <v>2</v>
      </c>
      <c r="B5" s="143" t="s">
        <v>1066</v>
      </c>
      <c r="C5" s="144" t="s">
        <v>1113</v>
      </c>
      <c r="D5" s="145">
        <f t="shared" si="1"/>
        <v>20000000</v>
      </c>
      <c r="E5" s="145">
        <v>0</v>
      </c>
      <c r="F5" s="146" t="s">
        <v>2</v>
      </c>
      <c r="G5" s="145">
        <v>20000000</v>
      </c>
      <c r="H5" s="146" t="s">
        <v>1068</v>
      </c>
      <c r="I5" s="145">
        <f t="shared" ref="I5:I43" si="2">SUM(J5:K5)</f>
        <v>20000000</v>
      </c>
      <c r="J5" s="145">
        <v>0</v>
      </c>
      <c r="K5" s="145">
        <v>20000000</v>
      </c>
      <c r="L5" s="147">
        <f t="shared" ref="L5:L43" si="3">SUM(M5:N5)</f>
        <v>255000</v>
      </c>
      <c r="M5" s="148">
        <v>0</v>
      </c>
      <c r="N5" s="148">
        <v>255000</v>
      </c>
      <c r="O5" s="149">
        <f t="shared" ref="O5:O43" si="4">SUM(P5:Q5)</f>
        <v>19745000</v>
      </c>
      <c r="P5" s="148">
        <v>0</v>
      </c>
      <c r="Q5" s="145">
        <v>19745000</v>
      </c>
      <c r="R5" s="148"/>
    </row>
    <row r="6" spans="1:18">
      <c r="A6" s="142">
        <f>ROW()-3</f>
        <v>3</v>
      </c>
      <c r="B6" s="143" t="s">
        <v>1070</v>
      </c>
      <c r="C6" s="144" t="s">
        <v>1071</v>
      </c>
      <c r="D6" s="145">
        <f t="shared" si="1"/>
        <v>1000000</v>
      </c>
      <c r="E6" s="145">
        <v>800000</v>
      </c>
      <c r="F6" s="146" t="s">
        <v>1047</v>
      </c>
      <c r="G6" s="145">
        <v>200000</v>
      </c>
      <c r="H6" s="146" t="s">
        <v>1062</v>
      </c>
      <c r="I6" s="145">
        <f t="shared" si="2"/>
        <v>848989</v>
      </c>
      <c r="J6" s="145">
        <v>648989</v>
      </c>
      <c r="K6" s="145">
        <v>200000</v>
      </c>
      <c r="L6" s="147">
        <f t="shared" si="3"/>
        <v>848989</v>
      </c>
      <c r="M6" s="148">
        <v>648989</v>
      </c>
      <c r="N6" s="148">
        <v>200000</v>
      </c>
      <c r="O6" s="149">
        <f t="shared" si="4"/>
        <v>0</v>
      </c>
      <c r="P6" s="148">
        <v>0</v>
      </c>
      <c r="Q6" s="148">
        <v>0</v>
      </c>
      <c r="R6" s="148" t="s">
        <v>1069</v>
      </c>
    </row>
    <row r="7" spans="1:18">
      <c r="A7" s="142">
        <f t="shared" ref="A7:A43" si="5">ROW()-3</f>
        <v>4</v>
      </c>
      <c r="B7" s="143" t="s">
        <v>1072</v>
      </c>
      <c r="C7" s="144" t="s">
        <v>1073</v>
      </c>
      <c r="D7" s="145">
        <f t="shared" si="1"/>
        <v>4000000</v>
      </c>
      <c r="E7" s="145">
        <v>2000000</v>
      </c>
      <c r="F7" s="146" t="s">
        <v>1074</v>
      </c>
      <c r="G7" s="145">
        <v>2000000</v>
      </c>
      <c r="H7" s="146" t="s">
        <v>1075</v>
      </c>
      <c r="I7" s="145">
        <f t="shared" si="2"/>
        <v>4000000</v>
      </c>
      <c r="J7" s="145">
        <v>2000000</v>
      </c>
      <c r="K7" s="145">
        <v>2000000</v>
      </c>
      <c r="L7" s="147">
        <f t="shared" si="3"/>
        <v>3000000</v>
      </c>
      <c r="M7" s="148">
        <v>2000000</v>
      </c>
      <c r="N7" s="148">
        <v>1000000</v>
      </c>
      <c r="O7" s="149">
        <f t="shared" si="4"/>
        <v>1000000</v>
      </c>
      <c r="P7" s="148">
        <v>0</v>
      </c>
      <c r="Q7" s="148">
        <v>1000000</v>
      </c>
      <c r="R7" s="148"/>
    </row>
    <row r="8" spans="1:18">
      <c r="A8" s="142">
        <f t="shared" si="5"/>
        <v>5</v>
      </c>
      <c r="B8" s="143" t="s">
        <v>1076</v>
      </c>
      <c r="C8" s="144" t="s">
        <v>1073</v>
      </c>
      <c r="D8" s="145">
        <f t="shared" si="1"/>
        <v>14400000</v>
      </c>
      <c r="E8" s="145">
        <v>5760000</v>
      </c>
      <c r="F8" s="146" t="s">
        <v>1074</v>
      </c>
      <c r="G8" s="145">
        <v>8640000</v>
      </c>
      <c r="H8" s="146" t="s">
        <v>1075</v>
      </c>
      <c r="I8" s="145">
        <f t="shared" si="2"/>
        <v>14400000</v>
      </c>
      <c r="J8" s="145">
        <v>5760000</v>
      </c>
      <c r="K8" s="145">
        <v>8640000</v>
      </c>
      <c r="L8" s="147">
        <f t="shared" si="3"/>
        <v>0</v>
      </c>
      <c r="M8" s="148">
        <v>0</v>
      </c>
      <c r="N8" s="148">
        <v>0</v>
      </c>
      <c r="O8" s="149">
        <f t="shared" si="4"/>
        <v>14400000</v>
      </c>
      <c r="P8" s="148">
        <v>5760000</v>
      </c>
      <c r="Q8" s="148">
        <v>8640000</v>
      </c>
      <c r="R8" s="148" t="s">
        <v>1077</v>
      </c>
    </row>
    <row r="9" spans="1:18">
      <c r="A9" s="142">
        <f t="shared" si="5"/>
        <v>6</v>
      </c>
      <c r="B9" s="143" t="s">
        <v>1079</v>
      </c>
      <c r="C9" s="144" t="s">
        <v>1080</v>
      </c>
      <c r="D9" s="145">
        <f t="shared" si="1"/>
        <v>500000</v>
      </c>
      <c r="E9" s="145">
        <v>250000</v>
      </c>
      <c r="F9" s="146" t="s">
        <v>1074</v>
      </c>
      <c r="G9" s="145">
        <v>250000</v>
      </c>
      <c r="H9" s="146" t="s">
        <v>1075</v>
      </c>
      <c r="I9" s="145">
        <f t="shared" si="2"/>
        <v>208275</v>
      </c>
      <c r="J9" s="145">
        <v>123275</v>
      </c>
      <c r="K9" s="145">
        <v>85000</v>
      </c>
      <c r="L9" s="147">
        <f t="shared" si="3"/>
        <v>208275</v>
      </c>
      <c r="M9" s="148">
        <v>123275</v>
      </c>
      <c r="N9" s="148">
        <v>85000</v>
      </c>
      <c r="O9" s="149">
        <f t="shared" si="4"/>
        <v>0</v>
      </c>
      <c r="P9" s="148">
        <v>0</v>
      </c>
      <c r="Q9" s="148">
        <v>0</v>
      </c>
      <c r="R9" s="148" t="s">
        <v>1081</v>
      </c>
    </row>
    <row r="10" spans="1:18">
      <c r="A10" s="142">
        <f t="shared" si="5"/>
        <v>7</v>
      </c>
      <c r="B10" s="143" t="s">
        <v>1082</v>
      </c>
      <c r="C10" s="144" t="s">
        <v>1083</v>
      </c>
      <c r="D10" s="145">
        <v>100000</v>
      </c>
      <c r="E10" s="145">
        <v>100000</v>
      </c>
      <c r="F10" s="146" t="s">
        <v>1074</v>
      </c>
      <c r="G10" s="145">
        <v>0</v>
      </c>
      <c r="H10" s="146" t="s">
        <v>2</v>
      </c>
      <c r="I10" s="145">
        <f t="shared" si="2"/>
        <v>83750</v>
      </c>
      <c r="J10" s="145">
        <v>83750</v>
      </c>
      <c r="K10" s="145">
        <v>0</v>
      </c>
      <c r="L10" s="147">
        <f t="shared" si="3"/>
        <v>83750</v>
      </c>
      <c r="M10" s="148">
        <v>83750</v>
      </c>
      <c r="N10" s="148">
        <v>0</v>
      </c>
      <c r="O10" s="149">
        <f t="shared" si="4"/>
        <v>0</v>
      </c>
      <c r="P10" s="148">
        <v>0</v>
      </c>
      <c r="Q10" s="148">
        <v>0</v>
      </c>
      <c r="R10" s="148" t="s">
        <v>1081</v>
      </c>
    </row>
    <row r="11" spans="1:18">
      <c r="A11" s="142">
        <f t="shared" si="5"/>
        <v>8</v>
      </c>
      <c r="B11" s="143" t="s">
        <v>1084</v>
      </c>
      <c r="C11" s="144" t="s">
        <v>1085</v>
      </c>
      <c r="D11" s="145">
        <f t="shared" ref="D11" si="6">SUM(E11:G11)</f>
        <v>18000</v>
      </c>
      <c r="E11" s="145">
        <v>9000</v>
      </c>
      <c r="F11" s="146" t="s">
        <v>1074</v>
      </c>
      <c r="G11" s="145">
        <v>9000</v>
      </c>
      <c r="H11" s="146" t="s">
        <v>1075</v>
      </c>
      <c r="I11" s="145">
        <f t="shared" si="2"/>
        <v>18000</v>
      </c>
      <c r="J11" s="145">
        <v>9000</v>
      </c>
      <c r="K11" s="145">
        <v>9000</v>
      </c>
      <c r="L11" s="147">
        <f t="shared" si="3"/>
        <v>18000</v>
      </c>
      <c r="M11" s="148">
        <v>9000</v>
      </c>
      <c r="N11" s="148">
        <v>9000</v>
      </c>
      <c r="O11" s="149">
        <f t="shared" si="4"/>
        <v>0</v>
      </c>
      <c r="P11" s="148">
        <v>0</v>
      </c>
      <c r="Q11" s="148">
        <v>0</v>
      </c>
      <c r="R11" s="150" t="s">
        <v>1069</v>
      </c>
    </row>
    <row r="12" spans="1:18">
      <c r="A12" s="142">
        <f t="shared" si="5"/>
        <v>9</v>
      </c>
      <c r="B12" s="143" t="s">
        <v>1086</v>
      </c>
      <c r="C12" s="144" t="s">
        <v>1087</v>
      </c>
      <c r="D12" s="145">
        <f>SUM(E12:G12)</f>
        <v>77000</v>
      </c>
      <c r="E12" s="145">
        <v>38500</v>
      </c>
      <c r="F12" s="146" t="s">
        <v>1074</v>
      </c>
      <c r="G12" s="145">
        <v>38500</v>
      </c>
      <c r="H12" s="146" t="s">
        <v>1075</v>
      </c>
      <c r="I12" s="145">
        <f t="shared" si="2"/>
        <v>77000</v>
      </c>
      <c r="J12" s="145">
        <v>38500</v>
      </c>
      <c r="K12" s="145">
        <v>38500</v>
      </c>
      <c r="L12" s="147">
        <f t="shared" si="3"/>
        <v>38500</v>
      </c>
      <c r="M12" s="148">
        <v>0</v>
      </c>
      <c r="N12" s="148">
        <v>38500</v>
      </c>
      <c r="O12" s="149">
        <f t="shared" si="4"/>
        <v>38500</v>
      </c>
      <c r="P12" s="148">
        <v>38500</v>
      </c>
      <c r="Q12" s="148">
        <v>0</v>
      </c>
      <c r="R12" s="148"/>
    </row>
    <row r="13" spans="1:18">
      <c r="A13" s="142">
        <f t="shared" si="5"/>
        <v>10</v>
      </c>
      <c r="B13" s="143" t="s">
        <v>1088</v>
      </c>
      <c r="C13" s="144" t="s">
        <v>1089</v>
      </c>
      <c r="D13" s="145">
        <f>SUM(E13:G13)</f>
        <v>530000</v>
      </c>
      <c r="E13" s="145">
        <v>265000</v>
      </c>
      <c r="F13" s="146" t="s">
        <v>1074</v>
      </c>
      <c r="G13" s="145">
        <v>265000</v>
      </c>
      <c r="H13" s="146" t="s">
        <v>1075</v>
      </c>
      <c r="I13" s="145">
        <f t="shared" si="2"/>
        <v>530000</v>
      </c>
      <c r="J13" s="145">
        <v>265000</v>
      </c>
      <c r="K13" s="145">
        <v>265000</v>
      </c>
      <c r="L13" s="147">
        <f t="shared" si="3"/>
        <v>530000</v>
      </c>
      <c r="M13" s="148">
        <v>265000</v>
      </c>
      <c r="N13" s="148">
        <v>265000</v>
      </c>
      <c r="O13" s="149">
        <f t="shared" si="4"/>
        <v>0</v>
      </c>
      <c r="P13" s="148">
        <v>0</v>
      </c>
      <c r="Q13" s="148">
        <v>0</v>
      </c>
      <c r="R13" s="148" t="s">
        <v>1081</v>
      </c>
    </row>
    <row r="14" spans="1:18">
      <c r="A14" s="142">
        <f t="shared" si="5"/>
        <v>11</v>
      </c>
      <c r="B14" s="143" t="s">
        <v>1090</v>
      </c>
      <c r="C14" s="144" t="s">
        <v>1091</v>
      </c>
      <c r="D14" s="145">
        <f t="shared" si="1"/>
        <v>4000000</v>
      </c>
      <c r="E14" s="145">
        <v>2000000</v>
      </c>
      <c r="F14" s="146" t="s">
        <v>1074</v>
      </c>
      <c r="G14" s="145">
        <v>2000000</v>
      </c>
      <c r="H14" s="146" t="s">
        <v>1075</v>
      </c>
      <c r="I14" s="145">
        <f t="shared" si="2"/>
        <v>3733200</v>
      </c>
      <c r="J14" s="145">
        <v>1866600</v>
      </c>
      <c r="K14" s="145">
        <v>1866600</v>
      </c>
      <c r="L14" s="147">
        <f t="shared" si="3"/>
        <v>3733200</v>
      </c>
      <c r="M14" s="148">
        <v>1866600</v>
      </c>
      <c r="N14" s="148">
        <v>1866600</v>
      </c>
      <c r="O14" s="149">
        <f t="shared" si="4"/>
        <v>0</v>
      </c>
      <c r="P14" s="148">
        <v>0</v>
      </c>
      <c r="Q14" s="148">
        <v>0</v>
      </c>
      <c r="R14" s="148" t="s">
        <v>1081</v>
      </c>
    </row>
    <row r="15" spans="1:18">
      <c r="A15" s="142">
        <f t="shared" si="5"/>
        <v>12</v>
      </c>
      <c r="B15" s="143" t="s">
        <v>1090</v>
      </c>
      <c r="C15" s="144" t="s">
        <v>1092</v>
      </c>
      <c r="D15" s="145">
        <f t="shared" si="1"/>
        <v>1000000</v>
      </c>
      <c r="E15" s="145">
        <v>500000</v>
      </c>
      <c r="F15" s="146" t="s">
        <v>1074</v>
      </c>
      <c r="G15" s="145">
        <v>500000</v>
      </c>
      <c r="H15" s="146" t="s">
        <v>1075</v>
      </c>
      <c r="I15" s="145">
        <f t="shared" si="2"/>
        <v>1000000</v>
      </c>
      <c r="J15" s="145">
        <v>500000</v>
      </c>
      <c r="K15" s="145">
        <v>500000</v>
      </c>
      <c r="L15" s="147">
        <f t="shared" si="3"/>
        <v>0</v>
      </c>
      <c r="M15" s="148">
        <v>0</v>
      </c>
      <c r="N15" s="148">
        <v>0</v>
      </c>
      <c r="O15" s="149">
        <f t="shared" si="4"/>
        <v>1000000</v>
      </c>
      <c r="P15" s="148">
        <v>500000</v>
      </c>
      <c r="Q15" s="148">
        <v>500000</v>
      </c>
      <c r="R15" s="148"/>
    </row>
    <row r="16" spans="1:18">
      <c r="A16" s="142">
        <f t="shared" si="5"/>
        <v>13</v>
      </c>
      <c r="B16" s="143" t="s">
        <v>1129</v>
      </c>
      <c r="C16" s="144" t="s">
        <v>1094</v>
      </c>
      <c r="D16" s="145">
        <f t="shared" si="1"/>
        <v>4089500</v>
      </c>
      <c r="E16" s="145">
        <v>2044750</v>
      </c>
      <c r="F16" s="146" t="s">
        <v>1074</v>
      </c>
      <c r="G16" s="145">
        <v>2044750</v>
      </c>
      <c r="H16" s="146" t="s">
        <v>1075</v>
      </c>
      <c r="I16" s="145">
        <f t="shared" si="2"/>
        <v>4089500</v>
      </c>
      <c r="J16" s="145">
        <v>2044750</v>
      </c>
      <c r="K16" s="145">
        <v>2044750</v>
      </c>
      <c r="L16" s="147">
        <f t="shared" si="3"/>
        <v>3310000</v>
      </c>
      <c r="M16" s="148">
        <v>1265250</v>
      </c>
      <c r="N16" s="148">
        <v>2044750</v>
      </c>
      <c r="O16" s="149">
        <f t="shared" si="4"/>
        <v>779500</v>
      </c>
      <c r="P16" s="148">
        <v>779500</v>
      </c>
      <c r="Q16" s="148">
        <v>0</v>
      </c>
      <c r="R16" s="148" t="s">
        <v>1130</v>
      </c>
    </row>
    <row r="17" spans="1:18">
      <c r="A17" s="142">
        <f t="shared" si="5"/>
        <v>14</v>
      </c>
      <c r="B17" s="143" t="s">
        <v>1095</v>
      </c>
      <c r="C17" s="144" t="s">
        <v>1096</v>
      </c>
      <c r="D17" s="145">
        <v>100000</v>
      </c>
      <c r="E17" s="145">
        <v>0</v>
      </c>
      <c r="F17" s="146" t="s">
        <v>2</v>
      </c>
      <c r="G17" s="145">
        <v>100000</v>
      </c>
      <c r="H17" s="146" t="s">
        <v>1068</v>
      </c>
      <c r="I17" s="145">
        <f t="shared" si="2"/>
        <v>90000</v>
      </c>
      <c r="J17" s="145">
        <v>0</v>
      </c>
      <c r="K17" s="145">
        <v>90000</v>
      </c>
      <c r="L17" s="147">
        <f t="shared" si="3"/>
        <v>90000</v>
      </c>
      <c r="M17" s="148">
        <v>0</v>
      </c>
      <c r="N17" s="148">
        <v>90000</v>
      </c>
      <c r="O17" s="149">
        <f t="shared" si="4"/>
        <v>0</v>
      </c>
      <c r="P17" s="148">
        <v>0</v>
      </c>
      <c r="Q17" s="148">
        <v>0</v>
      </c>
      <c r="R17" s="148" t="s">
        <v>1069</v>
      </c>
    </row>
    <row r="18" spans="1:18">
      <c r="A18" s="142">
        <f t="shared" si="5"/>
        <v>15</v>
      </c>
      <c r="B18" s="143" t="s">
        <v>1097</v>
      </c>
      <c r="C18" s="144" t="s">
        <v>1098</v>
      </c>
      <c r="D18" s="145">
        <f t="shared" si="1"/>
        <v>440000</v>
      </c>
      <c r="E18" s="145">
        <v>440000</v>
      </c>
      <c r="F18" s="146" t="s">
        <v>1074</v>
      </c>
      <c r="G18" s="145">
        <v>0</v>
      </c>
      <c r="H18" s="146" t="s">
        <v>2</v>
      </c>
      <c r="I18" s="145">
        <f t="shared" si="2"/>
        <v>440000</v>
      </c>
      <c r="J18" s="145">
        <v>440000</v>
      </c>
      <c r="K18" s="145">
        <v>0</v>
      </c>
      <c r="L18" s="147">
        <f t="shared" si="3"/>
        <v>0</v>
      </c>
      <c r="M18" s="148">
        <v>0</v>
      </c>
      <c r="N18" s="148">
        <v>0</v>
      </c>
      <c r="O18" s="149">
        <f>SUM(P18:Q18)</f>
        <v>440000</v>
      </c>
      <c r="P18" s="148">
        <v>440000</v>
      </c>
      <c r="Q18" s="148">
        <v>0</v>
      </c>
      <c r="R18" s="148"/>
    </row>
    <row r="19" spans="1:18">
      <c r="A19" s="142">
        <f t="shared" si="5"/>
        <v>16</v>
      </c>
      <c r="B19" s="143" t="s">
        <v>1099</v>
      </c>
      <c r="C19" s="144" t="s">
        <v>1100</v>
      </c>
      <c r="D19" s="145">
        <f t="shared" si="1"/>
        <v>510000</v>
      </c>
      <c r="E19" s="145">
        <v>510000</v>
      </c>
      <c r="F19" s="146" t="s">
        <v>1047</v>
      </c>
      <c r="G19" s="145">
        <v>0</v>
      </c>
      <c r="H19" s="146" t="s">
        <v>2</v>
      </c>
      <c r="I19" s="145">
        <f t="shared" si="2"/>
        <v>510000</v>
      </c>
      <c r="J19" s="145">
        <v>510000</v>
      </c>
      <c r="K19" s="145">
        <v>0</v>
      </c>
      <c r="L19" s="147">
        <f t="shared" si="3"/>
        <v>510000</v>
      </c>
      <c r="M19" s="148">
        <v>510000</v>
      </c>
      <c r="N19" s="148">
        <v>0</v>
      </c>
      <c r="O19" s="149">
        <f t="shared" si="4"/>
        <v>0</v>
      </c>
      <c r="P19" s="148">
        <v>0</v>
      </c>
      <c r="Q19" s="148">
        <v>0</v>
      </c>
      <c r="R19" s="148" t="s">
        <v>1069</v>
      </c>
    </row>
    <row r="20" spans="1:18">
      <c r="A20" s="142">
        <f t="shared" si="5"/>
        <v>17</v>
      </c>
      <c r="B20" s="143" t="s">
        <v>1099</v>
      </c>
      <c r="C20" s="144" t="s">
        <v>1131</v>
      </c>
      <c r="D20" s="145">
        <v>450000</v>
      </c>
      <c r="E20" s="145">
        <v>450000</v>
      </c>
      <c r="F20" s="146" t="s">
        <v>1047</v>
      </c>
      <c r="G20" s="145">
        <v>0</v>
      </c>
      <c r="H20" s="146" t="s">
        <v>2</v>
      </c>
      <c r="I20" s="145" t="s">
        <v>1113</v>
      </c>
      <c r="J20" s="145" t="s">
        <v>1113</v>
      </c>
      <c r="K20" s="145">
        <v>0</v>
      </c>
      <c r="L20" s="147">
        <f t="shared" si="3"/>
        <v>0</v>
      </c>
      <c r="M20" s="148">
        <v>0</v>
      </c>
      <c r="N20" s="148">
        <v>0</v>
      </c>
      <c r="O20" s="149" t="s">
        <v>1113</v>
      </c>
      <c r="P20" s="148" t="s">
        <v>1113</v>
      </c>
      <c r="Q20" s="148">
        <v>0</v>
      </c>
      <c r="R20" s="148"/>
    </row>
    <row r="21" spans="1:18">
      <c r="A21" s="142">
        <f t="shared" si="5"/>
        <v>18</v>
      </c>
      <c r="B21" s="143" t="s">
        <v>1101</v>
      </c>
      <c r="C21" s="144" t="s">
        <v>1102</v>
      </c>
      <c r="D21" s="145">
        <f t="shared" si="1"/>
        <v>2000000</v>
      </c>
      <c r="E21" s="145">
        <v>1000000</v>
      </c>
      <c r="F21" s="146" t="s">
        <v>1074</v>
      </c>
      <c r="G21" s="145">
        <v>1000000</v>
      </c>
      <c r="H21" s="146" t="s">
        <v>1075</v>
      </c>
      <c r="I21" s="145">
        <f t="shared" si="2"/>
        <v>1600000</v>
      </c>
      <c r="J21" s="145">
        <v>800000</v>
      </c>
      <c r="K21" s="145">
        <v>800000</v>
      </c>
      <c r="L21" s="147">
        <f t="shared" si="3"/>
        <v>1600000</v>
      </c>
      <c r="M21" s="148">
        <v>800000</v>
      </c>
      <c r="N21" s="148">
        <v>800000</v>
      </c>
      <c r="O21" s="149">
        <f t="shared" si="4"/>
        <v>0</v>
      </c>
      <c r="P21" s="148">
        <v>0</v>
      </c>
      <c r="Q21" s="148">
        <v>0</v>
      </c>
      <c r="R21" s="148" t="s">
        <v>1081</v>
      </c>
    </row>
    <row r="22" spans="1:18">
      <c r="A22" s="142">
        <f t="shared" si="5"/>
        <v>19</v>
      </c>
      <c r="B22" s="143" t="s">
        <v>1103</v>
      </c>
      <c r="C22" s="144" t="s">
        <v>1104</v>
      </c>
      <c r="D22" s="145">
        <f t="shared" si="1"/>
        <v>8000000</v>
      </c>
      <c r="E22" s="145">
        <v>8000000</v>
      </c>
      <c r="F22" s="146" t="s">
        <v>1074</v>
      </c>
      <c r="G22" s="145">
        <v>0</v>
      </c>
      <c r="H22" s="146" t="s">
        <v>2</v>
      </c>
      <c r="I22" s="145">
        <f t="shared" si="2"/>
        <v>8300000</v>
      </c>
      <c r="J22" s="145">
        <v>8300000</v>
      </c>
      <c r="K22" s="145">
        <v>0</v>
      </c>
      <c r="L22" s="147">
        <f t="shared" si="3"/>
        <v>8300000</v>
      </c>
      <c r="M22" s="148">
        <v>8300000</v>
      </c>
      <c r="N22" s="148">
        <v>0</v>
      </c>
      <c r="O22" s="149">
        <f t="shared" si="4"/>
        <v>0</v>
      </c>
      <c r="P22" s="148">
        <v>0</v>
      </c>
      <c r="Q22" s="148">
        <v>0</v>
      </c>
      <c r="R22" s="148" t="s">
        <v>1081</v>
      </c>
    </row>
    <row r="23" spans="1:18">
      <c r="A23" s="142">
        <f t="shared" si="5"/>
        <v>20</v>
      </c>
      <c r="B23" s="143" t="s">
        <v>1103</v>
      </c>
      <c r="C23" s="144" t="s">
        <v>1105</v>
      </c>
      <c r="D23" s="145">
        <f t="shared" si="1"/>
        <v>3000000</v>
      </c>
      <c r="E23" s="145">
        <v>3000000</v>
      </c>
      <c r="F23" s="146" t="s">
        <v>1074</v>
      </c>
      <c r="G23" s="145">
        <v>0</v>
      </c>
      <c r="H23" s="146" t="s">
        <v>2</v>
      </c>
      <c r="I23" s="145">
        <f t="shared" si="2"/>
        <v>2800000</v>
      </c>
      <c r="J23" s="145">
        <v>2800000</v>
      </c>
      <c r="K23" s="145">
        <v>0</v>
      </c>
      <c r="L23" s="147">
        <f>SUM(M23:N23)</f>
        <v>2800000</v>
      </c>
      <c r="M23" s="148">
        <v>2800000</v>
      </c>
      <c r="N23" s="148">
        <v>0</v>
      </c>
      <c r="O23" s="149">
        <f t="shared" si="4"/>
        <v>0</v>
      </c>
      <c r="P23" s="148">
        <v>0</v>
      </c>
      <c r="Q23" s="148">
        <v>0</v>
      </c>
      <c r="R23" s="148" t="s">
        <v>1069</v>
      </c>
    </row>
    <row r="24" spans="1:18">
      <c r="A24" s="142">
        <f t="shared" si="5"/>
        <v>21</v>
      </c>
      <c r="B24" s="143" t="s">
        <v>1106</v>
      </c>
      <c r="C24" s="144" t="s">
        <v>1107</v>
      </c>
      <c r="D24" s="145">
        <f t="shared" si="1"/>
        <v>15000000</v>
      </c>
      <c r="E24" s="145">
        <v>0</v>
      </c>
      <c r="F24" s="146" t="s">
        <v>2</v>
      </c>
      <c r="G24" s="145">
        <v>15000000</v>
      </c>
      <c r="H24" s="146" t="s">
        <v>1075</v>
      </c>
      <c r="I24" s="145">
        <f t="shared" si="2"/>
        <v>12927000</v>
      </c>
      <c r="J24" s="145">
        <v>0</v>
      </c>
      <c r="K24" s="145">
        <v>12927000</v>
      </c>
      <c r="L24" s="147">
        <f t="shared" si="3"/>
        <v>12927000</v>
      </c>
      <c r="M24" s="148">
        <v>0</v>
      </c>
      <c r="N24" s="148">
        <v>12927000</v>
      </c>
      <c r="O24" s="149">
        <f t="shared" si="4"/>
        <v>0</v>
      </c>
      <c r="P24" s="148">
        <v>0</v>
      </c>
      <c r="Q24" s="148">
        <v>0</v>
      </c>
      <c r="R24" s="148" t="s">
        <v>1081</v>
      </c>
    </row>
    <row r="25" spans="1:18">
      <c r="A25" s="142">
        <f t="shared" si="5"/>
        <v>22</v>
      </c>
      <c r="B25" s="143" t="s">
        <v>1108</v>
      </c>
      <c r="C25" s="144" t="s">
        <v>1109</v>
      </c>
      <c r="D25" s="145">
        <v>2500000</v>
      </c>
      <c r="E25" s="145">
        <v>0</v>
      </c>
      <c r="F25" s="146" t="s">
        <v>2</v>
      </c>
      <c r="G25" s="145">
        <v>2500000</v>
      </c>
      <c r="H25" s="146" t="s">
        <v>1075</v>
      </c>
      <c r="I25" s="145">
        <f t="shared" si="2"/>
        <v>2300000</v>
      </c>
      <c r="J25" s="145">
        <v>0</v>
      </c>
      <c r="K25" s="145">
        <v>2300000</v>
      </c>
      <c r="L25" s="147">
        <f t="shared" si="3"/>
        <v>2300000</v>
      </c>
      <c r="M25" s="148">
        <v>0</v>
      </c>
      <c r="N25" s="148">
        <v>2300000</v>
      </c>
      <c r="O25" s="149">
        <f t="shared" si="4"/>
        <v>0</v>
      </c>
      <c r="P25" s="148">
        <v>0</v>
      </c>
      <c r="Q25" s="148">
        <v>0</v>
      </c>
      <c r="R25" s="148" t="s">
        <v>1069</v>
      </c>
    </row>
    <row r="26" spans="1:18">
      <c r="A26" s="142">
        <f t="shared" si="5"/>
        <v>23</v>
      </c>
      <c r="B26" s="143" t="s">
        <v>1110</v>
      </c>
      <c r="C26" s="144" t="s">
        <v>1111</v>
      </c>
      <c r="D26" s="145">
        <v>500000</v>
      </c>
      <c r="E26" s="145">
        <v>500000</v>
      </c>
      <c r="F26" s="146" t="s">
        <v>1074</v>
      </c>
      <c r="G26" s="145">
        <v>0</v>
      </c>
      <c r="H26" s="146" t="s">
        <v>2</v>
      </c>
      <c r="I26" s="145">
        <f t="shared" si="2"/>
        <v>300000</v>
      </c>
      <c r="J26" s="145">
        <v>300000</v>
      </c>
      <c r="K26" s="145">
        <v>0</v>
      </c>
      <c r="L26" s="147">
        <f t="shared" si="3"/>
        <v>300000</v>
      </c>
      <c r="M26" s="148">
        <v>300000</v>
      </c>
      <c r="N26" s="148">
        <v>0</v>
      </c>
      <c r="O26" s="149">
        <f t="shared" si="4"/>
        <v>0</v>
      </c>
      <c r="P26" s="148">
        <v>0</v>
      </c>
      <c r="Q26" s="148">
        <v>0</v>
      </c>
      <c r="R26" s="148" t="s">
        <v>1081</v>
      </c>
    </row>
    <row r="27" spans="1:18">
      <c r="A27" s="142">
        <f t="shared" si="5"/>
        <v>24</v>
      </c>
      <c r="B27" s="143" t="s">
        <v>1112</v>
      </c>
      <c r="C27" s="144" t="s">
        <v>1113</v>
      </c>
      <c r="D27" s="145">
        <f t="shared" si="1"/>
        <v>300000</v>
      </c>
      <c r="E27" s="145">
        <v>300000</v>
      </c>
      <c r="F27" s="146" t="s">
        <v>1074</v>
      </c>
      <c r="G27" s="145">
        <v>0</v>
      </c>
      <c r="H27" s="146" t="s">
        <v>2</v>
      </c>
      <c r="I27" s="145" t="s">
        <v>1113</v>
      </c>
      <c r="J27" s="145" t="s">
        <v>1113</v>
      </c>
      <c r="K27" s="145">
        <v>0</v>
      </c>
      <c r="L27" s="147">
        <f t="shared" si="3"/>
        <v>0</v>
      </c>
      <c r="M27" s="148">
        <v>0</v>
      </c>
      <c r="N27" s="148">
        <v>0</v>
      </c>
      <c r="O27" s="149" t="s">
        <v>1113</v>
      </c>
      <c r="P27" s="148" t="s">
        <v>1113</v>
      </c>
      <c r="Q27" s="148">
        <v>0</v>
      </c>
      <c r="R27" s="148"/>
    </row>
    <row r="28" spans="1:18">
      <c r="A28" s="142">
        <f t="shared" si="5"/>
        <v>25</v>
      </c>
      <c r="B28" s="143" t="s">
        <v>1114</v>
      </c>
      <c r="C28" s="144" t="s">
        <v>1111</v>
      </c>
      <c r="D28" s="145">
        <f t="shared" si="1"/>
        <v>300000</v>
      </c>
      <c r="E28" s="145">
        <v>0</v>
      </c>
      <c r="F28" s="146" t="s">
        <v>2</v>
      </c>
      <c r="G28" s="145">
        <v>300000</v>
      </c>
      <c r="H28" s="146" t="s">
        <v>1075</v>
      </c>
      <c r="I28" s="145">
        <f t="shared" si="2"/>
        <v>300000</v>
      </c>
      <c r="J28" s="145">
        <v>0</v>
      </c>
      <c r="K28" s="145">
        <v>300000</v>
      </c>
      <c r="L28" s="147">
        <f t="shared" si="3"/>
        <v>300000</v>
      </c>
      <c r="M28" s="148">
        <v>0</v>
      </c>
      <c r="N28" s="148">
        <v>300000</v>
      </c>
      <c r="O28" s="149">
        <f t="shared" si="4"/>
        <v>0</v>
      </c>
      <c r="P28" s="148">
        <v>0</v>
      </c>
      <c r="Q28" s="148">
        <v>0</v>
      </c>
      <c r="R28" s="148" t="s">
        <v>1069</v>
      </c>
    </row>
    <row r="29" spans="1:18">
      <c r="A29" s="142">
        <f t="shared" si="5"/>
        <v>26</v>
      </c>
      <c r="B29" s="143" t="s">
        <v>1115</v>
      </c>
      <c r="C29" s="144" t="s">
        <v>1113</v>
      </c>
      <c r="D29" s="145">
        <f t="shared" si="1"/>
        <v>300000</v>
      </c>
      <c r="E29" s="145">
        <v>0</v>
      </c>
      <c r="F29" s="146" t="s">
        <v>2</v>
      </c>
      <c r="G29" s="145">
        <v>300000</v>
      </c>
      <c r="H29" s="146" t="s">
        <v>1075</v>
      </c>
      <c r="I29" s="145" t="s">
        <v>1113</v>
      </c>
      <c r="J29" s="145">
        <v>0</v>
      </c>
      <c r="K29" s="145" t="s">
        <v>1113</v>
      </c>
      <c r="L29" s="147">
        <f t="shared" si="3"/>
        <v>0</v>
      </c>
      <c r="M29" s="148">
        <v>0</v>
      </c>
      <c r="N29" s="148">
        <v>0</v>
      </c>
      <c r="O29" s="149" t="s">
        <v>1113</v>
      </c>
      <c r="P29" s="148">
        <v>0</v>
      </c>
      <c r="Q29" s="148" t="s">
        <v>1113</v>
      </c>
      <c r="R29" s="148"/>
    </row>
    <row r="30" spans="1:18">
      <c r="A30" s="142">
        <f t="shared" si="5"/>
        <v>27</v>
      </c>
      <c r="B30" s="143" t="s">
        <v>1116</v>
      </c>
      <c r="C30" s="144" t="s">
        <v>3</v>
      </c>
      <c r="D30" s="145">
        <f t="shared" si="1"/>
        <v>70000000</v>
      </c>
      <c r="E30" s="145">
        <v>0</v>
      </c>
      <c r="F30" s="146" t="s">
        <v>2</v>
      </c>
      <c r="G30" s="145">
        <v>70000000</v>
      </c>
      <c r="H30" s="146" t="s">
        <v>1075</v>
      </c>
      <c r="I30" s="145">
        <f t="shared" si="2"/>
        <v>70000000</v>
      </c>
      <c r="J30" s="145">
        <v>0</v>
      </c>
      <c r="K30" s="145">
        <v>70000000</v>
      </c>
      <c r="L30" s="147">
        <f t="shared" si="3"/>
        <v>70000000</v>
      </c>
      <c r="M30" s="148">
        <v>0</v>
      </c>
      <c r="N30" s="148">
        <v>70000000</v>
      </c>
      <c r="O30" s="149">
        <f t="shared" si="4"/>
        <v>0</v>
      </c>
      <c r="P30" s="148">
        <v>0</v>
      </c>
      <c r="Q30" s="148">
        <v>0</v>
      </c>
      <c r="R30" s="148" t="s">
        <v>1081</v>
      </c>
    </row>
    <row r="31" spans="1:18">
      <c r="A31" s="142">
        <f t="shared" si="5"/>
        <v>28</v>
      </c>
      <c r="B31" s="143" t="s">
        <v>1117</v>
      </c>
      <c r="C31" s="144" t="s">
        <v>1118</v>
      </c>
      <c r="D31" s="145">
        <f t="shared" si="1"/>
        <v>3000000</v>
      </c>
      <c r="E31" s="145">
        <v>0</v>
      </c>
      <c r="F31" s="146" t="s">
        <v>2</v>
      </c>
      <c r="G31" s="145">
        <v>3000000</v>
      </c>
      <c r="H31" s="146" t="s">
        <v>1075</v>
      </c>
      <c r="I31" s="145">
        <f t="shared" si="2"/>
        <v>70000000</v>
      </c>
      <c r="J31" s="145">
        <v>0</v>
      </c>
      <c r="K31" s="145">
        <v>70000000</v>
      </c>
      <c r="L31" s="147">
        <f t="shared" si="3"/>
        <v>3500000</v>
      </c>
      <c r="M31" s="148">
        <v>0</v>
      </c>
      <c r="N31" s="148">
        <v>3500000</v>
      </c>
      <c r="O31" s="149">
        <f t="shared" si="4"/>
        <v>0</v>
      </c>
      <c r="P31" s="148">
        <v>0</v>
      </c>
      <c r="Q31" s="148">
        <v>0</v>
      </c>
      <c r="R31" s="148" t="s">
        <v>1081</v>
      </c>
    </row>
    <row r="32" spans="1:18">
      <c r="A32" s="142">
        <f t="shared" si="5"/>
        <v>29</v>
      </c>
      <c r="B32" s="143" t="s">
        <v>1117</v>
      </c>
      <c r="C32" s="144" t="s">
        <v>1119</v>
      </c>
      <c r="D32" s="145">
        <f t="shared" si="1"/>
        <v>3000000</v>
      </c>
      <c r="E32" s="145">
        <v>0</v>
      </c>
      <c r="F32" s="146" t="s">
        <v>2</v>
      </c>
      <c r="G32" s="145">
        <v>3000000</v>
      </c>
      <c r="H32" s="146" t="s">
        <v>1075</v>
      </c>
      <c r="I32" s="145">
        <f t="shared" si="2"/>
        <v>2700000</v>
      </c>
      <c r="J32" s="145">
        <v>0</v>
      </c>
      <c r="K32" s="145">
        <v>2700000</v>
      </c>
      <c r="L32" s="147">
        <f t="shared" si="3"/>
        <v>2700000</v>
      </c>
      <c r="M32" s="148">
        <v>0</v>
      </c>
      <c r="N32" s="148">
        <v>2700000</v>
      </c>
      <c r="O32" s="149">
        <f t="shared" si="4"/>
        <v>0</v>
      </c>
      <c r="P32" s="148">
        <v>0</v>
      </c>
      <c r="Q32" s="148">
        <v>0</v>
      </c>
      <c r="R32" s="148" t="s">
        <v>1081</v>
      </c>
    </row>
    <row r="33" spans="1:18">
      <c r="A33" s="142">
        <f t="shared" si="5"/>
        <v>30</v>
      </c>
      <c r="B33" s="143" t="s">
        <v>1117</v>
      </c>
      <c r="C33" s="144" t="s">
        <v>1120</v>
      </c>
      <c r="D33" s="145">
        <f t="shared" si="1"/>
        <v>1000000</v>
      </c>
      <c r="E33" s="145">
        <v>0</v>
      </c>
      <c r="F33" s="146" t="s">
        <v>2</v>
      </c>
      <c r="G33" s="145">
        <v>1000000</v>
      </c>
      <c r="H33" s="146" t="s">
        <v>1075</v>
      </c>
      <c r="I33" s="145" t="s">
        <v>1113</v>
      </c>
      <c r="J33" s="145">
        <v>0</v>
      </c>
      <c r="K33" s="145" t="s">
        <v>1113</v>
      </c>
      <c r="L33" s="147">
        <f t="shared" si="3"/>
        <v>0</v>
      </c>
      <c r="M33" s="148">
        <v>0</v>
      </c>
      <c r="N33" s="148">
        <v>0</v>
      </c>
      <c r="O33" s="149" t="s">
        <v>1113</v>
      </c>
      <c r="P33" s="148">
        <v>0</v>
      </c>
      <c r="Q33" s="148" t="s">
        <v>1113</v>
      </c>
      <c r="R33" s="148"/>
    </row>
    <row r="34" spans="1:18">
      <c r="A34" s="142">
        <f t="shared" si="5"/>
        <v>31</v>
      </c>
      <c r="B34" s="143" t="s">
        <v>1122</v>
      </c>
      <c r="C34" s="144" t="s">
        <v>3</v>
      </c>
      <c r="D34" s="145">
        <f t="shared" si="1"/>
        <v>7000000</v>
      </c>
      <c r="E34" s="145">
        <v>7000000</v>
      </c>
      <c r="F34" s="146" t="s">
        <v>1074</v>
      </c>
      <c r="G34" s="145">
        <v>0</v>
      </c>
      <c r="H34" s="146" t="s">
        <v>2</v>
      </c>
      <c r="I34" s="145">
        <f>SUM(J34:K34)</f>
        <v>7008178</v>
      </c>
      <c r="J34" s="145">
        <v>7008178</v>
      </c>
      <c r="K34" s="145">
        <v>0</v>
      </c>
      <c r="L34" s="147">
        <f t="shared" si="3"/>
        <v>7008178</v>
      </c>
      <c r="M34" s="148">
        <v>7008178</v>
      </c>
      <c r="N34" s="148">
        <v>0</v>
      </c>
      <c r="O34" s="149">
        <f>SUM(P34:Q34)</f>
        <v>0</v>
      </c>
      <c r="P34" s="148">
        <v>0</v>
      </c>
      <c r="Q34" s="148">
        <v>0</v>
      </c>
      <c r="R34" s="148" t="s">
        <v>1081</v>
      </c>
    </row>
    <row r="35" spans="1:18">
      <c r="A35" s="142">
        <f t="shared" si="5"/>
        <v>32</v>
      </c>
      <c r="B35" s="143" t="s">
        <v>1123</v>
      </c>
      <c r="C35" s="144" t="s">
        <v>1113</v>
      </c>
      <c r="D35" s="145">
        <f t="shared" si="1"/>
        <v>1000000</v>
      </c>
      <c r="E35" s="145">
        <v>0</v>
      </c>
      <c r="F35" s="146" t="s">
        <v>2</v>
      </c>
      <c r="G35" s="145">
        <v>1000000</v>
      </c>
      <c r="H35" s="146" t="s">
        <v>1075</v>
      </c>
      <c r="I35" s="145" t="s">
        <v>1113</v>
      </c>
      <c r="J35" s="145">
        <v>0</v>
      </c>
      <c r="K35" s="145" t="s">
        <v>1113</v>
      </c>
      <c r="L35" s="147">
        <f t="shared" si="3"/>
        <v>0</v>
      </c>
      <c r="M35" s="148">
        <v>0</v>
      </c>
      <c r="N35" s="148">
        <v>0</v>
      </c>
      <c r="O35" s="149" t="s">
        <v>1113</v>
      </c>
      <c r="P35" s="148">
        <v>0</v>
      </c>
      <c r="Q35" s="148" t="s">
        <v>1113</v>
      </c>
      <c r="R35" s="148"/>
    </row>
    <row r="36" spans="1:18">
      <c r="A36" s="142">
        <f t="shared" si="5"/>
        <v>33</v>
      </c>
      <c r="B36" s="143" t="s">
        <v>1124</v>
      </c>
      <c r="C36" s="144" t="s">
        <v>1113</v>
      </c>
      <c r="D36" s="145">
        <f t="shared" si="1"/>
        <v>2000000</v>
      </c>
      <c r="E36" s="145">
        <v>1000000</v>
      </c>
      <c r="F36" s="146" t="s">
        <v>1074</v>
      </c>
      <c r="G36" s="145">
        <v>1000000</v>
      </c>
      <c r="H36" s="146" t="s">
        <v>1075</v>
      </c>
      <c r="I36" s="145">
        <f t="shared" si="2"/>
        <v>2005790</v>
      </c>
      <c r="J36" s="145">
        <v>1005790</v>
      </c>
      <c r="K36" s="145">
        <v>1000000</v>
      </c>
      <c r="L36" s="147">
        <f t="shared" si="3"/>
        <v>2005790</v>
      </c>
      <c r="M36" s="148">
        <v>1005790</v>
      </c>
      <c r="N36" s="148">
        <v>1000000</v>
      </c>
      <c r="O36" s="149">
        <f>SUM(P36:Q36)</f>
        <v>0</v>
      </c>
      <c r="P36" s="148">
        <v>0</v>
      </c>
      <c r="Q36" s="148">
        <v>0</v>
      </c>
      <c r="R36" s="148" t="s">
        <v>1081</v>
      </c>
    </row>
    <row r="37" spans="1:18">
      <c r="A37" s="142">
        <f t="shared" si="5"/>
        <v>34</v>
      </c>
      <c r="B37" s="143" t="s">
        <v>1126</v>
      </c>
      <c r="C37" s="144" t="s">
        <v>1127</v>
      </c>
      <c r="D37" s="145">
        <f t="shared" si="1"/>
        <v>280000</v>
      </c>
      <c r="E37" s="145">
        <v>140000</v>
      </c>
      <c r="F37" s="146" t="s">
        <v>1047</v>
      </c>
      <c r="G37" s="145">
        <v>140000</v>
      </c>
      <c r="H37" s="146" t="s">
        <v>1062</v>
      </c>
      <c r="I37" s="145">
        <f t="shared" si="2"/>
        <v>278000</v>
      </c>
      <c r="J37" s="145">
        <v>139000</v>
      </c>
      <c r="K37" s="145">
        <v>139000</v>
      </c>
      <c r="L37" s="147">
        <f t="shared" si="3"/>
        <v>278000</v>
      </c>
      <c r="M37" s="148">
        <v>139000</v>
      </c>
      <c r="N37" s="148">
        <v>139000</v>
      </c>
      <c r="O37" s="149">
        <f t="shared" si="4"/>
        <v>0</v>
      </c>
      <c r="P37" s="148">
        <v>0</v>
      </c>
      <c r="Q37" s="148">
        <v>0</v>
      </c>
      <c r="R37" s="148" t="s">
        <v>1081</v>
      </c>
    </row>
    <row r="38" spans="1:18">
      <c r="A38" s="142">
        <f t="shared" si="5"/>
        <v>35</v>
      </c>
      <c r="B38" s="143" t="s">
        <v>1132</v>
      </c>
      <c r="C38" s="144" t="s">
        <v>3</v>
      </c>
      <c r="D38" s="145">
        <f t="shared" si="1"/>
        <v>1000000</v>
      </c>
      <c r="E38" s="145">
        <v>1000000</v>
      </c>
      <c r="F38" s="146" t="s">
        <v>1047</v>
      </c>
      <c r="G38" s="145">
        <v>0</v>
      </c>
      <c r="H38" s="146" t="s">
        <v>2</v>
      </c>
      <c r="I38" s="145">
        <f t="shared" si="2"/>
        <v>1000000</v>
      </c>
      <c r="J38" s="145">
        <v>1000000</v>
      </c>
      <c r="K38" s="145">
        <v>0</v>
      </c>
      <c r="L38" s="147">
        <f t="shared" si="3"/>
        <v>640300</v>
      </c>
      <c r="M38" s="148">
        <v>640300</v>
      </c>
      <c r="N38" s="148">
        <v>0</v>
      </c>
      <c r="O38" s="149">
        <f t="shared" si="4"/>
        <v>359700</v>
      </c>
      <c r="P38" s="148">
        <f>J38-M38</f>
        <v>359700</v>
      </c>
      <c r="Q38" s="148">
        <v>0</v>
      </c>
      <c r="R38" s="148"/>
    </row>
    <row r="39" spans="1:18">
      <c r="A39" s="142">
        <f t="shared" si="5"/>
        <v>36</v>
      </c>
      <c r="B39" s="143" t="s">
        <v>1133</v>
      </c>
      <c r="C39" s="144" t="s">
        <v>3</v>
      </c>
      <c r="D39" s="145">
        <f t="shared" si="1"/>
        <v>250000</v>
      </c>
      <c r="E39" s="145">
        <v>150000</v>
      </c>
      <c r="F39" s="146" t="s">
        <v>1047</v>
      </c>
      <c r="G39" s="145">
        <v>100000</v>
      </c>
      <c r="H39" s="146" t="s">
        <v>1062</v>
      </c>
      <c r="I39" s="145">
        <f t="shared" si="2"/>
        <v>250000</v>
      </c>
      <c r="J39" s="145">
        <v>150000</v>
      </c>
      <c r="K39" s="145">
        <v>100000</v>
      </c>
      <c r="L39" s="147">
        <f t="shared" si="3"/>
        <v>44000</v>
      </c>
      <c r="M39" s="148">
        <v>44000</v>
      </c>
      <c r="N39" s="148">
        <v>0</v>
      </c>
      <c r="O39" s="149">
        <f t="shared" si="4"/>
        <v>0</v>
      </c>
      <c r="P39" s="148">
        <v>0</v>
      </c>
      <c r="Q39" s="148">
        <v>0</v>
      </c>
      <c r="R39" s="148"/>
    </row>
    <row r="40" spans="1:18">
      <c r="A40" s="142">
        <f t="shared" si="5"/>
        <v>37</v>
      </c>
      <c r="B40" s="143" t="s">
        <v>1134</v>
      </c>
      <c r="C40" s="144" t="s">
        <v>3</v>
      </c>
      <c r="D40" s="145">
        <f t="shared" si="1"/>
        <v>250000</v>
      </c>
      <c r="E40" s="145">
        <v>150000</v>
      </c>
      <c r="F40" s="146" t="s">
        <v>1047</v>
      </c>
      <c r="G40" s="145">
        <v>100000</v>
      </c>
      <c r="H40" s="146" t="s">
        <v>1062</v>
      </c>
      <c r="I40" s="145">
        <f t="shared" si="2"/>
        <v>250000</v>
      </c>
      <c r="J40" s="145">
        <v>150000</v>
      </c>
      <c r="K40" s="145">
        <v>100000</v>
      </c>
      <c r="L40" s="147">
        <f t="shared" si="3"/>
        <v>29000</v>
      </c>
      <c r="M40" s="148">
        <v>29000</v>
      </c>
      <c r="N40" s="148">
        <v>0</v>
      </c>
      <c r="O40" s="149">
        <f t="shared" si="4"/>
        <v>0</v>
      </c>
      <c r="P40" s="148">
        <v>0</v>
      </c>
      <c r="Q40" s="148">
        <v>0</v>
      </c>
      <c r="R40" s="148"/>
    </row>
    <row r="41" spans="1:18">
      <c r="A41" s="142">
        <f t="shared" si="5"/>
        <v>38</v>
      </c>
      <c r="B41" s="143" t="s">
        <v>1135</v>
      </c>
      <c r="C41" s="144" t="s">
        <v>3</v>
      </c>
      <c r="D41" s="145">
        <f t="shared" si="1"/>
        <v>500000</v>
      </c>
      <c r="E41" s="145">
        <v>250000</v>
      </c>
      <c r="F41" s="146" t="s">
        <v>1047</v>
      </c>
      <c r="G41" s="145">
        <v>250000</v>
      </c>
      <c r="H41" s="146" t="s">
        <v>1062</v>
      </c>
      <c r="I41" s="145">
        <f t="shared" si="2"/>
        <v>500000</v>
      </c>
      <c r="J41" s="145">
        <v>250000</v>
      </c>
      <c r="K41" s="145">
        <v>250000</v>
      </c>
      <c r="L41" s="147">
        <f t="shared" si="3"/>
        <v>0</v>
      </c>
      <c r="M41" s="148">
        <v>0</v>
      </c>
      <c r="N41" s="148">
        <v>0</v>
      </c>
      <c r="O41" s="149">
        <f t="shared" si="4"/>
        <v>0</v>
      </c>
      <c r="P41" s="148">
        <v>0</v>
      </c>
      <c r="Q41" s="148">
        <v>0</v>
      </c>
      <c r="R41" s="148"/>
    </row>
    <row r="42" spans="1:18">
      <c r="A42" s="142">
        <f t="shared" si="5"/>
        <v>39</v>
      </c>
      <c r="B42" s="143" t="s">
        <v>1136</v>
      </c>
      <c r="C42" s="144" t="s">
        <v>3</v>
      </c>
      <c r="D42" s="145">
        <f t="shared" si="1"/>
        <v>150000</v>
      </c>
      <c r="E42" s="145">
        <v>75000</v>
      </c>
      <c r="F42" s="146" t="s">
        <v>1047</v>
      </c>
      <c r="G42" s="145">
        <v>75000</v>
      </c>
      <c r="H42" s="146" t="s">
        <v>1062</v>
      </c>
      <c r="I42" s="145">
        <f t="shared" si="2"/>
        <v>150000</v>
      </c>
      <c r="J42" s="145">
        <v>75000</v>
      </c>
      <c r="K42" s="145">
        <v>75000</v>
      </c>
      <c r="L42" s="147">
        <f t="shared" si="3"/>
        <v>0</v>
      </c>
      <c r="M42" s="148">
        <v>0</v>
      </c>
      <c r="N42" s="148">
        <v>0</v>
      </c>
      <c r="O42" s="149">
        <f t="shared" si="4"/>
        <v>0</v>
      </c>
      <c r="P42" s="148">
        <v>0</v>
      </c>
      <c r="Q42" s="148">
        <v>0</v>
      </c>
      <c r="R42" s="148"/>
    </row>
    <row r="43" spans="1:18">
      <c r="A43" s="142">
        <f t="shared" si="5"/>
        <v>40</v>
      </c>
      <c r="B43" s="143" t="s">
        <v>1137</v>
      </c>
      <c r="C43" s="144" t="s">
        <v>3</v>
      </c>
      <c r="D43" s="145">
        <f t="shared" si="1"/>
        <v>300000</v>
      </c>
      <c r="E43" s="145">
        <v>150000</v>
      </c>
      <c r="F43" s="146" t="s">
        <v>1047</v>
      </c>
      <c r="G43" s="145">
        <v>150000</v>
      </c>
      <c r="H43" s="146" t="s">
        <v>1062</v>
      </c>
      <c r="I43" s="145">
        <f t="shared" si="2"/>
        <v>300000</v>
      </c>
      <c r="J43" s="145">
        <v>150000</v>
      </c>
      <c r="K43" s="145">
        <v>150000</v>
      </c>
      <c r="L43" s="147">
        <f t="shared" si="3"/>
        <v>0</v>
      </c>
      <c r="M43" s="148">
        <v>0</v>
      </c>
      <c r="N43" s="148">
        <v>0</v>
      </c>
      <c r="O43" s="149">
        <f t="shared" si="4"/>
        <v>0</v>
      </c>
      <c r="P43" s="148">
        <v>0</v>
      </c>
      <c r="Q43" s="148">
        <v>0</v>
      </c>
      <c r="R43" s="148"/>
    </row>
    <row r="44" spans="1:18">
      <c r="A44" s="774" t="s">
        <v>1128</v>
      </c>
      <c r="B44" s="775"/>
      <c r="C44" s="776"/>
      <c r="D44" s="151">
        <f>SUM(D4:D43)</f>
        <v>822844500</v>
      </c>
      <c r="E44" s="151">
        <f t="shared" ref="E44:Q44" si="7">SUM(E4:E43)</f>
        <v>687882250</v>
      </c>
      <c r="F44" s="146" t="s">
        <v>2</v>
      </c>
      <c r="G44" s="151">
        <f t="shared" si="7"/>
        <v>134962250</v>
      </c>
      <c r="H44" s="146" t="s">
        <v>2</v>
      </c>
      <c r="I44" s="151">
        <f t="shared" si="7"/>
        <v>853741535</v>
      </c>
      <c r="J44" s="151">
        <f t="shared" si="7"/>
        <v>657161685</v>
      </c>
      <c r="K44" s="151">
        <f t="shared" si="7"/>
        <v>196579850</v>
      </c>
      <c r="L44" s="152">
        <f t="shared" si="7"/>
        <v>620277982</v>
      </c>
      <c r="M44" s="151">
        <f t="shared" si="7"/>
        <v>520758132</v>
      </c>
      <c r="N44" s="151">
        <f t="shared" si="7"/>
        <v>99519850</v>
      </c>
      <c r="O44" s="153">
        <f t="shared" si="7"/>
        <v>165586553</v>
      </c>
      <c r="P44" s="151">
        <f t="shared" si="7"/>
        <v>135701553</v>
      </c>
      <c r="Q44" s="151">
        <f t="shared" si="7"/>
        <v>29885000</v>
      </c>
      <c r="R44" s="154"/>
    </row>
  </sheetData>
  <autoFilter ref="A3:R44" xr:uid="{00000000-0009-0000-0000-00000E000000}"/>
  <mergeCells count="17">
    <mergeCell ref="O1:Q1"/>
    <mergeCell ref="R1:R3"/>
    <mergeCell ref="L2:N2"/>
    <mergeCell ref="O2:Q2"/>
    <mergeCell ref="K1:K3"/>
    <mergeCell ref="L1:N1"/>
    <mergeCell ref="A44:C44"/>
    <mergeCell ref="G1:G3"/>
    <mergeCell ref="H1:H3"/>
    <mergeCell ref="I1:I3"/>
    <mergeCell ref="J1:J3"/>
    <mergeCell ref="A1:A3"/>
    <mergeCell ref="B1:B3"/>
    <mergeCell ref="C1:C3"/>
    <mergeCell ref="D1:D3"/>
    <mergeCell ref="E1:E3"/>
    <mergeCell ref="F1:F3"/>
  </mergeCells>
  <phoneticPr fontId="5" type="noConversion"/>
  <conditionalFormatting sqref="A4:A43">
    <cfRule type="expression" dxfId="72" priority="31">
      <formula>FIND("지불 완료",R4)</formula>
    </cfRule>
  </conditionalFormatting>
  <conditionalFormatting sqref="B4:B43">
    <cfRule type="expression" dxfId="71" priority="30">
      <formula>FIND("지불 완료",R4)</formula>
    </cfRule>
  </conditionalFormatting>
  <conditionalFormatting sqref="C4:C43">
    <cfRule type="expression" dxfId="70" priority="29">
      <formula>FIND("지불 완료",R4)</formula>
    </cfRule>
  </conditionalFormatting>
  <conditionalFormatting sqref="D4:D43">
    <cfRule type="expression" dxfId="69" priority="28">
      <formula>FIND("지불 완료",R4)</formula>
    </cfRule>
  </conditionalFormatting>
  <conditionalFormatting sqref="E4:E43">
    <cfRule type="expression" dxfId="68" priority="27">
      <formula>FIND("지불 완료",R4)</formula>
    </cfRule>
  </conditionalFormatting>
  <conditionalFormatting sqref="F4:F44">
    <cfRule type="expression" dxfId="67" priority="3">
      <formula>FIND("지불 완료",R4)</formula>
    </cfRule>
  </conditionalFormatting>
  <conditionalFormatting sqref="G4:G15">
    <cfRule type="expression" dxfId="66" priority="114">
      <formula>FIND("지불 완료",R4)</formula>
    </cfRule>
  </conditionalFormatting>
  <conditionalFormatting sqref="G16">
    <cfRule type="expression" dxfId="65" priority="186">
      <formula>FIND("지불 완료",T16)</formula>
    </cfRule>
  </conditionalFormatting>
  <conditionalFormatting sqref="G17:G43">
    <cfRule type="expression" dxfId="64" priority="25">
      <formula>FIND("지불 완료",R17)</formula>
    </cfRule>
  </conditionalFormatting>
  <conditionalFormatting sqref="H4:H43">
    <cfRule type="expression" dxfId="63" priority="24">
      <formula>FIND("지불 완료",R4)</formula>
    </cfRule>
  </conditionalFormatting>
  <conditionalFormatting sqref="H44">
    <cfRule type="expression" dxfId="62" priority="2">
      <formula>FIND("지불 완료",T44)</formula>
    </cfRule>
  </conditionalFormatting>
  <conditionalFormatting sqref="I4:I43">
    <cfRule type="expression" dxfId="61" priority="23">
      <formula>FIND("지불 완료",R4)</formula>
    </cfRule>
  </conditionalFormatting>
  <conditionalFormatting sqref="J4:J15">
    <cfRule type="expression" dxfId="60" priority="104">
      <formula>FIND("지불 완료",R4)</formula>
    </cfRule>
  </conditionalFormatting>
  <conditionalFormatting sqref="J17:J37 K33">
    <cfRule type="expression" dxfId="59" priority="195">
      <formula>FIND("지불 완료",R17)</formula>
    </cfRule>
  </conditionalFormatting>
  <conditionalFormatting sqref="J38:J43">
    <cfRule type="expression" dxfId="58" priority="12">
      <formula>FIND("지불 완료",W38)</formula>
    </cfRule>
  </conditionalFormatting>
  <conditionalFormatting sqref="J16:K16">
    <cfRule type="expression" dxfId="57" priority="184">
      <formula>FIND("지불 완료",W16)</formula>
    </cfRule>
  </conditionalFormatting>
  <conditionalFormatting sqref="K4 K34:K37">
    <cfRule type="expression" dxfId="56" priority="194">
      <formula>FIND("지불 완료",R4)</formula>
    </cfRule>
  </conditionalFormatting>
  <conditionalFormatting sqref="K5">
    <cfRule type="expression" dxfId="55" priority="183">
      <formula>FIND("지불 완료",V5)</formula>
    </cfRule>
  </conditionalFormatting>
  <conditionalFormatting sqref="K6:K15">
    <cfRule type="expression" dxfId="54" priority="112">
      <formula>FIND("지불 완료",R6)</formula>
    </cfRule>
  </conditionalFormatting>
  <conditionalFormatting sqref="K17:K32">
    <cfRule type="expression" dxfId="53" priority="1">
      <formula>FIND("지불 완료",R17)</formula>
    </cfRule>
  </conditionalFormatting>
  <conditionalFormatting sqref="K38:K43">
    <cfRule type="expression" dxfId="52" priority="6">
      <formula>FIND("지불 완료",V38)</formula>
    </cfRule>
  </conditionalFormatting>
  <conditionalFormatting sqref="L4:L43">
    <cfRule type="expression" dxfId="51" priority="22">
      <formula>FIND("지불 완료",R4)</formula>
    </cfRule>
  </conditionalFormatting>
  <conditionalFormatting sqref="M4:M37">
    <cfRule type="expression" dxfId="50" priority="110">
      <formula>FIND("지불 완료",R4)</formula>
    </cfRule>
  </conditionalFormatting>
  <conditionalFormatting sqref="M38:M43">
    <cfRule type="expression" dxfId="49" priority="5">
      <formula>FIND("지불 완료",Q38)</formula>
    </cfRule>
  </conditionalFormatting>
  <conditionalFormatting sqref="N4:N43">
    <cfRule type="expression" dxfId="48" priority="21">
      <formula>FIND("지불 완료",R4)</formula>
    </cfRule>
  </conditionalFormatting>
  <conditionalFormatting sqref="O4:O43">
    <cfRule type="expression" dxfId="47" priority="20">
      <formula>FIND("지불 완료",R4)</formula>
    </cfRule>
  </conditionalFormatting>
  <conditionalFormatting sqref="P4:P37">
    <cfRule type="expression" dxfId="46" priority="107">
      <formula>FIND("지불 완료",R4)</formula>
    </cfRule>
  </conditionalFormatting>
  <conditionalFormatting sqref="P38:P43">
    <cfRule type="expression" dxfId="45" priority="4">
      <formula>FIND("지불 완료",T38)</formula>
    </cfRule>
  </conditionalFormatting>
  <conditionalFormatting sqref="Q4">
    <cfRule type="expression" dxfId="44" priority="188">
      <formula>FIND("지불 완료",R4)</formula>
    </cfRule>
  </conditionalFormatting>
  <conditionalFormatting sqref="Q5">
    <cfRule type="expression" dxfId="43" priority="182">
      <formula>FIND("지불 완료",AB5)</formula>
    </cfRule>
  </conditionalFormatting>
  <conditionalFormatting sqref="Q6:Q43">
    <cfRule type="expression" dxfId="42" priority="19">
      <formula>FIND("지불 완료",R6)</formula>
    </cfRule>
  </conditionalFormatting>
  <conditionalFormatting sqref="R4:R43">
    <cfRule type="expression" dxfId="41" priority="18">
      <formula>FIND("지불 완료",R4)</formula>
    </cfRule>
  </conditionalFormatting>
  <pageMargins left="0.7" right="0.7" top="0.75" bottom="0.75" header="0.3" footer="0.3"/>
  <headerFooter>
    <oddHeader>&amp;R&amp;"Aptos"&amp;13&amp;K000000 [ RESTRICTED ]&amp;1#_x000D_</oddHeader>
    <oddFooter>&amp;R_x000D_&amp;1#&amp;"Aptos"&amp;5&amp;K000000 [Secure Minds, Secure Finds] 본 문서는 현대건설㈜의 정보자산이므로 무단 전제 및 복제할 수 없으며, 이를 위반할 시에는 당사 사규 및 관련 법규에 의해 제지를 받을 수 있습니다.</oddFooter>
  </headerFooter>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K108"/>
  <sheetViews>
    <sheetView zoomScaleNormal="100" workbookViewId="0">
      <pane xSplit="1" ySplit="2" topLeftCell="B97" activePane="bottomRight" state="frozen"/>
      <selection activeCell="E8" sqref="E8"/>
      <selection pane="topRight" activeCell="E8" sqref="E8"/>
      <selection pane="bottomLeft" activeCell="E8" sqref="E8"/>
      <selection pane="bottomRight" activeCell="E8" sqref="E8"/>
    </sheetView>
  </sheetViews>
  <sheetFormatPr defaultColWidth="9" defaultRowHeight="13.5"/>
  <cols>
    <col min="1" max="1" width="5.5" style="4" customWidth="1"/>
    <col min="2" max="2" width="13.75" style="114" customWidth="1"/>
    <col min="3" max="3" width="16.625" style="114" bestFit="1" customWidth="1"/>
    <col min="4" max="4" width="38.875" style="58" customWidth="1"/>
    <col min="5" max="6" width="12.875" style="115" customWidth="1"/>
    <col min="7" max="7" width="10.375" style="58" bestFit="1" customWidth="1"/>
    <col min="8" max="8" width="21.375" style="58" bestFit="1" customWidth="1"/>
    <col min="9" max="9" width="16.875" style="58" customWidth="1"/>
    <col min="10" max="10" width="10.375" style="58" bestFit="1" customWidth="1"/>
    <col min="11" max="11" width="53" style="117" customWidth="1"/>
    <col min="12" max="16384" width="9" style="107"/>
  </cols>
  <sheetData>
    <row r="1" spans="1:11" ht="33" customHeight="1">
      <c r="A1" s="522" t="s">
        <v>1138</v>
      </c>
      <c r="B1" s="522"/>
      <c r="C1" s="522"/>
      <c r="D1" s="522"/>
      <c r="E1" s="522"/>
      <c r="F1" s="522"/>
      <c r="G1" s="522"/>
      <c r="H1" s="522"/>
      <c r="I1" s="522"/>
      <c r="J1" s="522"/>
      <c r="K1" s="522"/>
    </row>
    <row r="2" spans="1:11" s="58" customFormat="1" ht="18" customHeight="1">
      <c r="A2" s="142" t="s">
        <v>490</v>
      </c>
      <c r="B2" s="155" t="s">
        <v>1139</v>
      </c>
      <c r="C2" s="155" t="s">
        <v>449</v>
      </c>
      <c r="D2" s="155" t="s">
        <v>1050</v>
      </c>
      <c r="E2" s="145" t="s">
        <v>1140</v>
      </c>
      <c r="F2" s="145" t="s">
        <v>1141</v>
      </c>
      <c r="G2" s="155" t="s">
        <v>1142</v>
      </c>
      <c r="H2" s="155" t="s">
        <v>1143</v>
      </c>
      <c r="I2" s="155" t="s">
        <v>1144</v>
      </c>
      <c r="J2" s="155" t="s">
        <v>1145</v>
      </c>
      <c r="K2" s="155" t="s">
        <v>153</v>
      </c>
    </row>
    <row r="3" spans="1:11" s="58" customFormat="1" ht="18" customHeight="1">
      <c r="A3" s="142">
        <f>ROW()-2</f>
        <v>1</v>
      </c>
      <c r="B3" s="156">
        <v>42967</v>
      </c>
      <c r="C3" s="155" t="s">
        <v>1146</v>
      </c>
      <c r="D3" s="157" t="s">
        <v>1147</v>
      </c>
      <c r="E3" s="145">
        <v>80000</v>
      </c>
      <c r="F3" s="145">
        <v>0</v>
      </c>
      <c r="G3" s="155" t="s">
        <v>1047</v>
      </c>
      <c r="H3" s="155" t="s">
        <v>1148</v>
      </c>
      <c r="I3" s="155" t="s">
        <v>70</v>
      </c>
      <c r="J3" s="155" t="s">
        <v>1149</v>
      </c>
      <c r="K3" s="155"/>
    </row>
    <row r="4" spans="1:11" s="58" customFormat="1" ht="18" customHeight="1">
      <c r="A4" s="142">
        <f t="shared" ref="A4:A108" si="0">ROW()-2</f>
        <v>2</v>
      </c>
      <c r="B4" s="156">
        <v>42969</v>
      </c>
      <c r="C4" s="155" t="s">
        <v>1146</v>
      </c>
      <c r="D4" s="157" t="s">
        <v>1150</v>
      </c>
      <c r="E4" s="145">
        <v>39900</v>
      </c>
      <c r="F4" s="145">
        <v>0</v>
      </c>
      <c r="G4" s="155" t="s">
        <v>1047</v>
      </c>
      <c r="H4" s="155" t="s">
        <v>1151</v>
      </c>
      <c r="I4" s="155" t="s">
        <v>70</v>
      </c>
      <c r="J4" s="155" t="s">
        <v>1149</v>
      </c>
      <c r="K4" s="155"/>
    </row>
    <row r="5" spans="1:11" s="58" customFormat="1" ht="18" customHeight="1">
      <c r="A5" s="142">
        <f t="shared" si="0"/>
        <v>3</v>
      </c>
      <c r="B5" s="156">
        <v>42994</v>
      </c>
      <c r="C5" s="155" t="s">
        <v>1152</v>
      </c>
      <c r="D5" s="157" t="s">
        <v>1153</v>
      </c>
      <c r="E5" s="145">
        <v>50000</v>
      </c>
      <c r="F5" s="145">
        <v>0</v>
      </c>
      <c r="G5" s="155" t="s">
        <v>1047</v>
      </c>
      <c r="H5" s="155" t="s">
        <v>1148</v>
      </c>
      <c r="I5" s="155" t="s">
        <v>70</v>
      </c>
      <c r="J5" s="155" t="s">
        <v>1149</v>
      </c>
      <c r="K5" s="155"/>
    </row>
    <row r="6" spans="1:11" s="58" customFormat="1" ht="18" customHeight="1">
      <c r="A6" s="142">
        <f t="shared" si="0"/>
        <v>4</v>
      </c>
      <c r="B6" s="156">
        <v>42994</v>
      </c>
      <c r="C6" s="155" t="s">
        <v>1152</v>
      </c>
      <c r="D6" s="157" t="s">
        <v>1154</v>
      </c>
      <c r="E6" s="145">
        <v>50000</v>
      </c>
      <c r="F6" s="145">
        <v>0</v>
      </c>
      <c r="G6" s="155" t="s">
        <v>1047</v>
      </c>
      <c r="H6" s="155" t="s">
        <v>1148</v>
      </c>
      <c r="I6" s="155" t="s">
        <v>70</v>
      </c>
      <c r="J6" s="155" t="s">
        <v>1149</v>
      </c>
      <c r="K6" s="155"/>
    </row>
    <row r="7" spans="1:11" s="58" customFormat="1" ht="18" customHeight="1">
      <c r="A7" s="142">
        <f t="shared" si="0"/>
        <v>5</v>
      </c>
      <c r="B7" s="156">
        <v>42994</v>
      </c>
      <c r="C7" s="155" t="s">
        <v>1152</v>
      </c>
      <c r="D7" s="157" t="s">
        <v>1155</v>
      </c>
      <c r="E7" s="145">
        <v>33300</v>
      </c>
      <c r="F7" s="145">
        <v>0</v>
      </c>
      <c r="G7" s="155" t="s">
        <v>1047</v>
      </c>
      <c r="H7" s="155" t="s">
        <v>1156</v>
      </c>
      <c r="I7" s="155" t="s">
        <v>70</v>
      </c>
      <c r="J7" s="155" t="s">
        <v>1149</v>
      </c>
      <c r="K7" s="155"/>
    </row>
    <row r="8" spans="1:11" s="58" customFormat="1" ht="18" customHeight="1">
      <c r="A8" s="142">
        <f t="shared" si="0"/>
        <v>6</v>
      </c>
      <c r="B8" s="156">
        <v>42994</v>
      </c>
      <c r="C8" s="155" t="s">
        <v>1152</v>
      </c>
      <c r="D8" s="157" t="s">
        <v>1157</v>
      </c>
      <c r="E8" s="145">
        <v>3000</v>
      </c>
      <c r="F8" s="145">
        <v>0</v>
      </c>
      <c r="G8" s="155" t="s">
        <v>1047</v>
      </c>
      <c r="H8" s="155" t="s">
        <v>502</v>
      </c>
      <c r="I8" s="155" t="s">
        <v>70</v>
      </c>
      <c r="J8" s="155" t="s">
        <v>70</v>
      </c>
      <c r="K8" s="155"/>
    </row>
    <row r="9" spans="1:11" s="58" customFormat="1" ht="18" customHeight="1">
      <c r="A9" s="142">
        <f t="shared" si="0"/>
        <v>7</v>
      </c>
      <c r="B9" s="156">
        <v>42994</v>
      </c>
      <c r="C9" s="155" t="s">
        <v>1152</v>
      </c>
      <c r="D9" s="157" t="s">
        <v>1158</v>
      </c>
      <c r="E9" s="145">
        <v>1400</v>
      </c>
      <c r="F9" s="145">
        <v>0</v>
      </c>
      <c r="G9" s="155" t="s">
        <v>1047</v>
      </c>
      <c r="H9" s="155" t="s">
        <v>1159</v>
      </c>
      <c r="I9" s="155" t="s">
        <v>70</v>
      </c>
      <c r="J9" s="155" t="s">
        <v>1149</v>
      </c>
      <c r="K9" s="155"/>
    </row>
    <row r="10" spans="1:11" ht="18" customHeight="1">
      <c r="A10" s="142">
        <f t="shared" si="0"/>
        <v>8</v>
      </c>
      <c r="B10" s="156">
        <v>43002</v>
      </c>
      <c r="C10" s="155" t="s">
        <v>1070</v>
      </c>
      <c r="D10" s="157" t="s">
        <v>1160</v>
      </c>
      <c r="E10" s="145">
        <v>89389</v>
      </c>
      <c r="F10" s="145">
        <v>0</v>
      </c>
      <c r="G10" s="155" t="s">
        <v>1047</v>
      </c>
      <c r="H10" s="155" t="s">
        <v>1161</v>
      </c>
      <c r="I10" s="155" t="s">
        <v>1149</v>
      </c>
      <c r="J10" s="155" t="s">
        <v>1149</v>
      </c>
      <c r="K10" s="157"/>
    </row>
    <row r="11" spans="1:11" ht="18" customHeight="1">
      <c r="A11" s="142">
        <f t="shared" si="0"/>
        <v>9</v>
      </c>
      <c r="B11" s="156">
        <v>43008</v>
      </c>
      <c r="C11" s="155" t="s">
        <v>1070</v>
      </c>
      <c r="D11" s="157" t="s">
        <v>1162</v>
      </c>
      <c r="E11" s="145">
        <v>464500</v>
      </c>
      <c r="F11" s="145">
        <v>0</v>
      </c>
      <c r="G11" s="155" t="s">
        <v>1047</v>
      </c>
      <c r="H11" s="155" t="s">
        <v>1148</v>
      </c>
      <c r="I11" s="155" t="s">
        <v>1149</v>
      </c>
      <c r="J11" s="155" t="s">
        <v>1149</v>
      </c>
      <c r="K11" s="157"/>
    </row>
    <row r="12" spans="1:11" ht="18" customHeight="1">
      <c r="A12" s="142">
        <f t="shared" si="0"/>
        <v>10</v>
      </c>
      <c r="B12" s="156">
        <v>43008</v>
      </c>
      <c r="C12" s="155" t="s">
        <v>1070</v>
      </c>
      <c r="D12" s="157" t="s">
        <v>1163</v>
      </c>
      <c r="E12" s="145">
        <v>19100</v>
      </c>
      <c r="F12" s="145">
        <v>0</v>
      </c>
      <c r="G12" s="155" t="s">
        <v>1047</v>
      </c>
      <c r="H12" s="155" t="s">
        <v>1148</v>
      </c>
      <c r="I12" s="155" t="s">
        <v>1149</v>
      </c>
      <c r="J12" s="155" t="s">
        <v>1149</v>
      </c>
      <c r="K12" s="157"/>
    </row>
    <row r="13" spans="1:11" ht="18" customHeight="1">
      <c r="A13" s="142">
        <f t="shared" si="0"/>
        <v>11</v>
      </c>
      <c r="B13" s="156">
        <v>43008</v>
      </c>
      <c r="C13" s="155" t="s">
        <v>1070</v>
      </c>
      <c r="D13" s="157" t="s">
        <v>1164</v>
      </c>
      <c r="E13" s="145">
        <v>43000</v>
      </c>
      <c r="F13" s="145">
        <v>0</v>
      </c>
      <c r="G13" s="155" t="s">
        <v>1047</v>
      </c>
      <c r="H13" s="155" t="s">
        <v>1148</v>
      </c>
      <c r="I13" s="155" t="s">
        <v>1149</v>
      </c>
      <c r="J13" s="155" t="s">
        <v>1149</v>
      </c>
      <c r="K13" s="157"/>
    </row>
    <row r="14" spans="1:11" ht="18" customHeight="1">
      <c r="A14" s="142">
        <f t="shared" si="0"/>
        <v>12</v>
      </c>
      <c r="B14" s="156">
        <v>43009</v>
      </c>
      <c r="C14" s="155" t="s">
        <v>1070</v>
      </c>
      <c r="D14" s="157" t="s">
        <v>1165</v>
      </c>
      <c r="E14" s="145">
        <v>53000</v>
      </c>
      <c r="F14" s="145">
        <v>0</v>
      </c>
      <c r="G14" s="155" t="s">
        <v>1047</v>
      </c>
      <c r="H14" s="155" t="s">
        <v>1148</v>
      </c>
      <c r="I14" s="155" t="s">
        <v>1149</v>
      </c>
      <c r="J14" s="155" t="s">
        <v>1149</v>
      </c>
      <c r="K14" s="157"/>
    </row>
    <row r="15" spans="1:11" ht="18" customHeight="1">
      <c r="A15" s="142">
        <f t="shared" si="0"/>
        <v>13</v>
      </c>
      <c r="B15" s="156">
        <v>43009</v>
      </c>
      <c r="C15" s="155" t="s">
        <v>1070</v>
      </c>
      <c r="D15" s="157" t="s">
        <v>1074</v>
      </c>
      <c r="E15" s="145">
        <v>180000</v>
      </c>
      <c r="F15" s="145">
        <v>0</v>
      </c>
      <c r="G15" s="155" t="s">
        <v>1047</v>
      </c>
      <c r="H15" s="155" t="s">
        <v>502</v>
      </c>
      <c r="I15" s="155" t="s">
        <v>1149</v>
      </c>
      <c r="J15" s="155" t="s">
        <v>70</v>
      </c>
      <c r="K15" s="157" t="s">
        <v>1166</v>
      </c>
    </row>
    <row r="16" spans="1:11" ht="18" customHeight="1">
      <c r="A16" s="142">
        <f t="shared" si="0"/>
        <v>14</v>
      </c>
      <c r="B16" s="156">
        <v>43010</v>
      </c>
      <c r="C16" s="155" t="s">
        <v>1146</v>
      </c>
      <c r="D16" s="157" t="s">
        <v>1167</v>
      </c>
      <c r="E16" s="145">
        <v>44000</v>
      </c>
      <c r="F16" s="145">
        <v>0</v>
      </c>
      <c r="G16" s="155" t="s">
        <v>1047</v>
      </c>
      <c r="H16" s="155" t="s">
        <v>1148</v>
      </c>
      <c r="I16" s="155" t="s">
        <v>70</v>
      </c>
      <c r="J16" s="155" t="s">
        <v>1149</v>
      </c>
      <c r="K16" s="157"/>
    </row>
    <row r="17" spans="1:11" ht="18" customHeight="1">
      <c r="A17" s="142">
        <f t="shared" si="0"/>
        <v>15</v>
      </c>
      <c r="B17" s="156">
        <v>43019</v>
      </c>
      <c r="C17" s="155" t="s">
        <v>1072</v>
      </c>
      <c r="D17" s="157" t="s">
        <v>1168</v>
      </c>
      <c r="E17" s="145">
        <v>3000000</v>
      </c>
      <c r="F17" s="145">
        <v>1000000</v>
      </c>
      <c r="G17" s="155" t="s">
        <v>1047</v>
      </c>
      <c r="H17" s="155" t="s">
        <v>1148</v>
      </c>
      <c r="I17" s="155" t="s">
        <v>1149</v>
      </c>
      <c r="J17" s="155" t="s">
        <v>1149</v>
      </c>
      <c r="K17" s="157" t="s">
        <v>1169</v>
      </c>
    </row>
    <row r="18" spans="1:11" ht="18" customHeight="1">
      <c r="A18" s="142">
        <f t="shared" si="0"/>
        <v>16</v>
      </c>
      <c r="B18" s="156">
        <v>43022</v>
      </c>
      <c r="C18" s="155" t="s">
        <v>1129</v>
      </c>
      <c r="D18" s="157" t="s">
        <v>1170</v>
      </c>
      <c r="E18" s="145">
        <v>303250</v>
      </c>
      <c r="F18" s="145">
        <v>0</v>
      </c>
      <c r="G18" s="155" t="s">
        <v>1062</v>
      </c>
      <c r="H18" s="155" t="s">
        <v>2</v>
      </c>
      <c r="I18" s="155" t="s">
        <v>1149</v>
      </c>
      <c r="J18" s="155" t="s">
        <v>70</v>
      </c>
      <c r="K18" s="157" t="s">
        <v>1171</v>
      </c>
    </row>
    <row r="19" spans="1:11" ht="18" customHeight="1">
      <c r="A19" s="142">
        <f t="shared" si="0"/>
        <v>17</v>
      </c>
      <c r="B19" s="156">
        <v>43043</v>
      </c>
      <c r="C19" s="155" t="s">
        <v>1146</v>
      </c>
      <c r="D19" s="157" t="s">
        <v>1172</v>
      </c>
      <c r="E19" s="145">
        <v>55000</v>
      </c>
      <c r="F19" s="145">
        <v>0</v>
      </c>
      <c r="G19" s="155" t="s">
        <v>1074</v>
      </c>
      <c r="H19" s="155" t="s">
        <v>502</v>
      </c>
      <c r="I19" s="155" t="s">
        <v>70</v>
      </c>
      <c r="J19" s="155" t="s">
        <v>70</v>
      </c>
      <c r="K19" s="157"/>
    </row>
    <row r="20" spans="1:11" ht="18" customHeight="1">
      <c r="A20" s="142">
        <f t="shared" si="0"/>
        <v>18</v>
      </c>
      <c r="B20" s="156">
        <v>43058</v>
      </c>
      <c r="C20" s="155" t="s">
        <v>1099</v>
      </c>
      <c r="D20" s="157" t="s">
        <v>1100</v>
      </c>
      <c r="E20" s="145">
        <v>200000</v>
      </c>
      <c r="F20" s="145">
        <v>0</v>
      </c>
      <c r="G20" s="155" t="s">
        <v>1047</v>
      </c>
      <c r="H20" s="155" t="s">
        <v>1156</v>
      </c>
      <c r="I20" s="155" t="s">
        <v>1149</v>
      </c>
      <c r="J20" s="155" t="s">
        <v>1149</v>
      </c>
      <c r="K20" s="157"/>
    </row>
    <row r="21" spans="1:11" ht="18" customHeight="1">
      <c r="A21" s="142">
        <f t="shared" si="0"/>
        <v>19</v>
      </c>
      <c r="B21" s="156">
        <v>43059</v>
      </c>
      <c r="C21" s="155" t="s">
        <v>1101</v>
      </c>
      <c r="D21" s="157" t="s">
        <v>1102</v>
      </c>
      <c r="E21" s="145">
        <v>300000</v>
      </c>
      <c r="F21" s="145">
        <v>0</v>
      </c>
      <c r="G21" s="155" t="s">
        <v>1047</v>
      </c>
      <c r="H21" s="155" t="s">
        <v>1156</v>
      </c>
      <c r="I21" s="155" t="s">
        <v>1149</v>
      </c>
      <c r="J21" s="155" t="s">
        <v>1149</v>
      </c>
      <c r="K21" s="157"/>
    </row>
    <row r="22" spans="1:11" ht="18" customHeight="1">
      <c r="A22" s="142">
        <f t="shared" si="0"/>
        <v>20</v>
      </c>
      <c r="B22" s="156">
        <v>43064</v>
      </c>
      <c r="C22" s="155" t="s">
        <v>1173</v>
      </c>
      <c r="D22" s="157" t="s">
        <v>1174</v>
      </c>
      <c r="E22" s="145">
        <v>30000</v>
      </c>
      <c r="F22" s="145">
        <v>0</v>
      </c>
      <c r="G22" s="155" t="s">
        <v>1062</v>
      </c>
      <c r="H22" s="155" t="s">
        <v>502</v>
      </c>
      <c r="I22" s="155" t="s">
        <v>1149</v>
      </c>
      <c r="J22" s="155" t="s">
        <v>70</v>
      </c>
      <c r="K22" s="157"/>
    </row>
    <row r="23" spans="1:11" ht="18" customHeight="1">
      <c r="A23" s="142">
        <f t="shared" si="0"/>
        <v>21</v>
      </c>
      <c r="B23" s="156">
        <v>43064</v>
      </c>
      <c r="C23" s="155" t="s">
        <v>1173</v>
      </c>
      <c r="D23" s="157" t="s">
        <v>1175</v>
      </c>
      <c r="E23" s="145">
        <v>3000</v>
      </c>
      <c r="F23" s="145">
        <v>0</v>
      </c>
      <c r="G23" s="155" t="s">
        <v>1075</v>
      </c>
      <c r="H23" s="155" t="s">
        <v>502</v>
      </c>
      <c r="I23" s="155" t="s">
        <v>70</v>
      </c>
      <c r="J23" s="155" t="s">
        <v>70</v>
      </c>
      <c r="K23" s="157"/>
    </row>
    <row r="24" spans="1:11" ht="18" customHeight="1">
      <c r="A24" s="142">
        <f t="shared" si="0"/>
        <v>22</v>
      </c>
      <c r="B24" s="156">
        <v>43064</v>
      </c>
      <c r="C24" s="155" t="s">
        <v>1173</v>
      </c>
      <c r="D24" s="157" t="s">
        <v>1176</v>
      </c>
      <c r="E24" s="145">
        <v>30000</v>
      </c>
      <c r="F24" s="145">
        <v>0</v>
      </c>
      <c r="G24" s="155" t="s">
        <v>1062</v>
      </c>
      <c r="H24" s="155" t="s">
        <v>502</v>
      </c>
      <c r="I24" s="155" t="s">
        <v>1149</v>
      </c>
      <c r="J24" s="155" t="s">
        <v>70</v>
      </c>
      <c r="K24" s="157"/>
    </row>
    <row r="25" spans="1:11" ht="18" customHeight="1">
      <c r="A25" s="142">
        <f t="shared" si="0"/>
        <v>23</v>
      </c>
      <c r="B25" s="156">
        <v>43064</v>
      </c>
      <c r="C25" s="155" t="s">
        <v>1173</v>
      </c>
      <c r="D25" s="157" t="s">
        <v>1177</v>
      </c>
      <c r="E25" s="145">
        <v>2000</v>
      </c>
      <c r="F25" s="145">
        <v>0</v>
      </c>
      <c r="G25" s="155" t="s">
        <v>1075</v>
      </c>
      <c r="H25" s="155" t="s">
        <v>502</v>
      </c>
      <c r="I25" s="155" t="s">
        <v>70</v>
      </c>
      <c r="J25" s="155" t="s">
        <v>70</v>
      </c>
      <c r="K25" s="157"/>
    </row>
    <row r="26" spans="1:11" ht="18" customHeight="1">
      <c r="A26" s="142">
        <f t="shared" si="0"/>
        <v>24</v>
      </c>
      <c r="B26" s="156">
        <v>43064</v>
      </c>
      <c r="C26" s="155" t="s">
        <v>1173</v>
      </c>
      <c r="D26" s="157" t="s">
        <v>1178</v>
      </c>
      <c r="E26" s="145">
        <v>30000</v>
      </c>
      <c r="F26" s="145">
        <v>0</v>
      </c>
      <c r="G26" s="155" t="s">
        <v>1062</v>
      </c>
      <c r="H26" s="155" t="s">
        <v>502</v>
      </c>
      <c r="I26" s="155" t="s">
        <v>1149</v>
      </c>
      <c r="J26" s="155" t="s">
        <v>70</v>
      </c>
      <c r="K26" s="157"/>
    </row>
    <row r="27" spans="1:11" ht="18" customHeight="1">
      <c r="A27" s="142">
        <f t="shared" si="0"/>
        <v>25</v>
      </c>
      <c r="B27" s="156">
        <v>43064</v>
      </c>
      <c r="C27" s="155" t="s">
        <v>1173</v>
      </c>
      <c r="D27" s="157" t="s">
        <v>1179</v>
      </c>
      <c r="E27" s="145">
        <v>3000</v>
      </c>
      <c r="F27" s="145">
        <v>0</v>
      </c>
      <c r="G27" s="155" t="s">
        <v>1075</v>
      </c>
      <c r="H27" s="155" t="s">
        <v>502</v>
      </c>
      <c r="I27" s="155" t="s">
        <v>70</v>
      </c>
      <c r="J27" s="155" t="s">
        <v>70</v>
      </c>
      <c r="K27" s="157"/>
    </row>
    <row r="28" spans="1:11" ht="18" customHeight="1">
      <c r="A28" s="142">
        <f t="shared" si="0"/>
        <v>26</v>
      </c>
      <c r="B28" s="156">
        <v>43064</v>
      </c>
      <c r="C28" s="155" t="s">
        <v>1173</v>
      </c>
      <c r="D28" s="157" t="s">
        <v>1180</v>
      </c>
      <c r="E28" s="145">
        <v>39000</v>
      </c>
      <c r="F28" s="145">
        <v>0</v>
      </c>
      <c r="G28" s="155" t="s">
        <v>1047</v>
      </c>
      <c r="H28" s="155" t="s">
        <v>1148</v>
      </c>
      <c r="I28" s="155" t="s">
        <v>70</v>
      </c>
      <c r="J28" s="155" t="s">
        <v>1149</v>
      </c>
      <c r="K28" s="157"/>
    </row>
    <row r="29" spans="1:11" ht="18" customHeight="1">
      <c r="A29" s="142">
        <f t="shared" si="0"/>
        <v>27</v>
      </c>
      <c r="B29" s="156">
        <v>43071</v>
      </c>
      <c r="C29" s="155" t="s">
        <v>1103</v>
      </c>
      <c r="D29" s="157" t="s">
        <v>1104</v>
      </c>
      <c r="E29" s="145">
        <v>0</v>
      </c>
      <c r="F29" s="145">
        <v>0</v>
      </c>
      <c r="G29" s="155" t="s">
        <v>1074</v>
      </c>
      <c r="H29" s="155" t="s">
        <v>2</v>
      </c>
      <c r="I29" s="155" t="s">
        <v>1149</v>
      </c>
      <c r="J29" s="155" t="s">
        <v>70</v>
      </c>
      <c r="K29" s="157"/>
    </row>
    <row r="30" spans="1:11" ht="18" customHeight="1">
      <c r="A30" s="142">
        <f t="shared" si="0"/>
        <v>28</v>
      </c>
      <c r="B30" s="156">
        <v>43071</v>
      </c>
      <c r="C30" s="155" t="s">
        <v>1103</v>
      </c>
      <c r="D30" s="157" t="s">
        <v>1181</v>
      </c>
      <c r="E30" s="145">
        <v>3000</v>
      </c>
      <c r="F30" s="145">
        <v>0</v>
      </c>
      <c r="G30" s="155" t="s">
        <v>1047</v>
      </c>
      <c r="H30" s="155" t="s">
        <v>502</v>
      </c>
      <c r="I30" s="155" t="s">
        <v>70</v>
      </c>
      <c r="J30" s="155" t="s">
        <v>70</v>
      </c>
      <c r="K30" s="157"/>
    </row>
    <row r="31" spans="1:11" ht="18" customHeight="1">
      <c r="A31" s="142">
        <f t="shared" si="0"/>
        <v>29</v>
      </c>
      <c r="B31" s="156">
        <v>43071</v>
      </c>
      <c r="C31" s="155" t="s">
        <v>1108</v>
      </c>
      <c r="D31" s="157" t="s">
        <v>1182</v>
      </c>
      <c r="E31" s="145">
        <v>2300000</v>
      </c>
      <c r="F31" s="145">
        <v>0</v>
      </c>
      <c r="G31" s="155" t="s">
        <v>1075</v>
      </c>
      <c r="H31" s="155" t="s">
        <v>2</v>
      </c>
      <c r="I31" s="155" t="s">
        <v>1149</v>
      </c>
      <c r="J31" s="155" t="s">
        <v>70</v>
      </c>
      <c r="K31" s="157"/>
    </row>
    <row r="32" spans="1:11" ht="18" customHeight="1">
      <c r="A32" s="142">
        <f t="shared" si="0"/>
        <v>30</v>
      </c>
      <c r="B32" s="156">
        <v>43071</v>
      </c>
      <c r="C32" s="155" t="s">
        <v>1108</v>
      </c>
      <c r="D32" s="157" t="s">
        <v>1183</v>
      </c>
      <c r="E32" s="145">
        <v>3000</v>
      </c>
      <c r="F32" s="145">
        <v>0</v>
      </c>
      <c r="G32" s="155" t="s">
        <v>1047</v>
      </c>
      <c r="H32" s="155" t="s">
        <v>502</v>
      </c>
      <c r="I32" s="155" t="s">
        <v>70</v>
      </c>
      <c r="J32" s="155" t="s">
        <v>70</v>
      </c>
      <c r="K32" s="157"/>
    </row>
    <row r="33" spans="1:11" ht="18" customHeight="1">
      <c r="A33" s="142">
        <f t="shared" si="0"/>
        <v>31</v>
      </c>
      <c r="B33" s="156">
        <v>43071</v>
      </c>
      <c r="C33" s="155" t="s">
        <v>1184</v>
      </c>
      <c r="D33" s="157" t="s">
        <v>1185</v>
      </c>
      <c r="E33" s="145">
        <v>40000</v>
      </c>
      <c r="F33" s="145">
        <v>0</v>
      </c>
      <c r="G33" s="155" t="s">
        <v>1075</v>
      </c>
      <c r="H33" s="155" t="s">
        <v>2</v>
      </c>
      <c r="I33" s="155" t="s">
        <v>70</v>
      </c>
      <c r="J33" s="155" t="s">
        <v>70</v>
      </c>
      <c r="K33" s="157"/>
    </row>
    <row r="34" spans="1:11" ht="18" customHeight="1">
      <c r="A34" s="142">
        <f t="shared" si="0"/>
        <v>32</v>
      </c>
      <c r="B34" s="156">
        <v>43071</v>
      </c>
      <c r="C34" s="155" t="s">
        <v>1184</v>
      </c>
      <c r="D34" s="157" t="s">
        <v>1186</v>
      </c>
      <c r="E34" s="145">
        <v>3000</v>
      </c>
      <c r="F34" s="145">
        <v>0</v>
      </c>
      <c r="G34" s="155" t="s">
        <v>1047</v>
      </c>
      <c r="H34" s="155" t="s">
        <v>502</v>
      </c>
      <c r="I34" s="155" t="s">
        <v>70</v>
      </c>
      <c r="J34" s="155" t="s">
        <v>70</v>
      </c>
      <c r="K34" s="157"/>
    </row>
    <row r="35" spans="1:11" ht="18" customHeight="1">
      <c r="A35" s="142">
        <f t="shared" si="0"/>
        <v>33</v>
      </c>
      <c r="B35" s="156">
        <v>43072</v>
      </c>
      <c r="C35" s="155" t="s">
        <v>1110</v>
      </c>
      <c r="D35" s="157" t="s">
        <v>1111</v>
      </c>
      <c r="E35" s="145">
        <v>0</v>
      </c>
      <c r="F35" s="145">
        <v>0</v>
      </c>
      <c r="G35" s="155" t="s">
        <v>1074</v>
      </c>
      <c r="H35" s="155" t="s">
        <v>2</v>
      </c>
      <c r="I35" s="155" t="s">
        <v>1149</v>
      </c>
      <c r="J35" s="155" t="s">
        <v>70</v>
      </c>
      <c r="K35" s="157"/>
    </row>
    <row r="36" spans="1:11" ht="18" customHeight="1">
      <c r="A36" s="142">
        <f t="shared" si="0"/>
        <v>34</v>
      </c>
      <c r="B36" s="156">
        <v>43072</v>
      </c>
      <c r="C36" s="155" t="s">
        <v>1114</v>
      </c>
      <c r="D36" s="157" t="s">
        <v>1111</v>
      </c>
      <c r="E36" s="145">
        <v>250000</v>
      </c>
      <c r="F36" s="145">
        <v>0</v>
      </c>
      <c r="G36" s="155" t="s">
        <v>1075</v>
      </c>
      <c r="H36" s="155" t="s">
        <v>502</v>
      </c>
      <c r="I36" s="155" t="s">
        <v>1149</v>
      </c>
      <c r="J36" s="155" t="s">
        <v>70</v>
      </c>
      <c r="K36" s="157"/>
    </row>
    <row r="37" spans="1:11" ht="18" customHeight="1">
      <c r="A37" s="142">
        <f t="shared" si="0"/>
        <v>35</v>
      </c>
      <c r="B37" s="156">
        <v>43072</v>
      </c>
      <c r="C37" s="155" t="s">
        <v>1114</v>
      </c>
      <c r="D37" s="157" t="s">
        <v>1187</v>
      </c>
      <c r="E37" s="145">
        <v>3000</v>
      </c>
      <c r="F37" s="145">
        <v>0</v>
      </c>
      <c r="G37" s="155" t="s">
        <v>1047</v>
      </c>
      <c r="H37" s="155" t="s">
        <v>502</v>
      </c>
      <c r="I37" s="155" t="s">
        <v>70</v>
      </c>
      <c r="J37" s="155" t="s">
        <v>70</v>
      </c>
      <c r="K37" s="157"/>
    </row>
    <row r="38" spans="1:11" ht="18" customHeight="1">
      <c r="A38" s="142">
        <f t="shared" si="0"/>
        <v>36</v>
      </c>
      <c r="B38" s="156">
        <v>43072</v>
      </c>
      <c r="C38" s="155" t="s">
        <v>1184</v>
      </c>
      <c r="D38" s="157" t="s">
        <v>1188</v>
      </c>
      <c r="E38" s="145">
        <v>57000</v>
      </c>
      <c r="F38" s="145">
        <v>0</v>
      </c>
      <c r="G38" s="155" t="s">
        <v>1074</v>
      </c>
      <c r="H38" s="155" t="s">
        <v>2</v>
      </c>
      <c r="I38" s="155" t="s">
        <v>70</v>
      </c>
      <c r="J38" s="155" t="s">
        <v>70</v>
      </c>
      <c r="K38" s="157"/>
    </row>
    <row r="39" spans="1:11" ht="18" customHeight="1">
      <c r="A39" s="142">
        <f t="shared" si="0"/>
        <v>37</v>
      </c>
      <c r="B39" s="156">
        <v>43075</v>
      </c>
      <c r="C39" s="155" t="s">
        <v>1103</v>
      </c>
      <c r="D39" s="157" t="s">
        <v>1105</v>
      </c>
      <c r="E39" s="145">
        <v>900000</v>
      </c>
      <c r="F39" s="145">
        <v>0</v>
      </c>
      <c r="G39" s="155" t="s">
        <v>1047</v>
      </c>
      <c r="H39" s="155" t="s">
        <v>502</v>
      </c>
      <c r="I39" s="155" t="s">
        <v>1149</v>
      </c>
      <c r="J39" s="155" t="s">
        <v>70</v>
      </c>
      <c r="K39" s="157"/>
    </row>
    <row r="40" spans="1:11" ht="18" customHeight="1">
      <c r="A40" s="142">
        <f t="shared" si="0"/>
        <v>38</v>
      </c>
      <c r="B40" s="156">
        <v>43075</v>
      </c>
      <c r="C40" s="155" t="s">
        <v>1099</v>
      </c>
      <c r="D40" s="157" t="s">
        <v>1100</v>
      </c>
      <c r="E40" s="145">
        <v>310000</v>
      </c>
      <c r="F40" s="145">
        <v>0</v>
      </c>
      <c r="G40" s="155" t="s">
        <v>1047</v>
      </c>
      <c r="H40" s="155" t="s">
        <v>502</v>
      </c>
      <c r="I40" s="155" t="s">
        <v>1149</v>
      </c>
      <c r="J40" s="155" t="s">
        <v>1149</v>
      </c>
      <c r="K40" s="157"/>
    </row>
    <row r="41" spans="1:11" ht="18" customHeight="1">
      <c r="A41" s="142">
        <f t="shared" si="0"/>
        <v>39</v>
      </c>
      <c r="B41" s="156">
        <v>43085</v>
      </c>
      <c r="C41" s="155" t="s">
        <v>1108</v>
      </c>
      <c r="D41" s="157" t="s">
        <v>1183</v>
      </c>
      <c r="E41" s="145">
        <v>6000</v>
      </c>
      <c r="F41" s="145">
        <v>0</v>
      </c>
      <c r="G41" s="155" t="s">
        <v>1047</v>
      </c>
      <c r="H41" s="155" t="s">
        <v>502</v>
      </c>
      <c r="I41" s="155" t="s">
        <v>70</v>
      </c>
      <c r="J41" s="155" t="s">
        <v>70</v>
      </c>
      <c r="K41" s="157"/>
    </row>
    <row r="42" spans="1:11" ht="18" customHeight="1">
      <c r="A42" s="142">
        <f t="shared" si="0"/>
        <v>40</v>
      </c>
      <c r="B42" s="156">
        <v>43092</v>
      </c>
      <c r="C42" s="155" t="s">
        <v>1133</v>
      </c>
      <c r="D42" s="157" t="s">
        <v>1189</v>
      </c>
      <c r="E42" s="145">
        <v>44000</v>
      </c>
      <c r="F42" s="145">
        <v>0</v>
      </c>
      <c r="G42" s="155" t="s">
        <v>1047</v>
      </c>
      <c r="H42" s="155" t="s">
        <v>1156</v>
      </c>
      <c r="I42" s="155" t="s">
        <v>1149</v>
      </c>
      <c r="J42" s="155" t="s">
        <v>1149</v>
      </c>
      <c r="K42" s="157"/>
    </row>
    <row r="43" spans="1:11" ht="18" customHeight="1">
      <c r="A43" s="142">
        <f t="shared" si="0"/>
        <v>41</v>
      </c>
      <c r="B43" s="156">
        <v>43103</v>
      </c>
      <c r="C43" s="155" t="s">
        <v>1114</v>
      </c>
      <c r="D43" s="157" t="s">
        <v>1111</v>
      </c>
      <c r="E43" s="145">
        <v>50000</v>
      </c>
      <c r="F43" s="145">
        <v>0</v>
      </c>
      <c r="G43" s="155" t="s">
        <v>1047</v>
      </c>
      <c r="H43" s="155" t="s">
        <v>502</v>
      </c>
      <c r="I43" s="155" t="s">
        <v>1149</v>
      </c>
      <c r="J43" s="155" t="s">
        <v>1149</v>
      </c>
      <c r="K43" s="157" t="s">
        <v>1190</v>
      </c>
    </row>
    <row r="44" spans="1:11" ht="18" customHeight="1">
      <c r="A44" s="142">
        <f t="shared" si="0"/>
        <v>42</v>
      </c>
      <c r="B44" s="156">
        <v>43103</v>
      </c>
      <c r="C44" s="155" t="s">
        <v>1110</v>
      </c>
      <c r="D44" s="157" t="s">
        <v>1111</v>
      </c>
      <c r="E44" s="145">
        <v>300000</v>
      </c>
      <c r="F44" s="145">
        <v>0</v>
      </c>
      <c r="G44" s="155" t="s">
        <v>1047</v>
      </c>
      <c r="H44" s="155" t="s">
        <v>502</v>
      </c>
      <c r="I44" s="155" t="s">
        <v>1149</v>
      </c>
      <c r="J44" s="155" t="s">
        <v>1149</v>
      </c>
      <c r="K44" s="157" t="s">
        <v>1191</v>
      </c>
    </row>
    <row r="45" spans="1:11" ht="18" customHeight="1">
      <c r="A45" s="142">
        <f t="shared" si="0"/>
        <v>43</v>
      </c>
      <c r="B45" s="156">
        <v>43106</v>
      </c>
      <c r="C45" s="155" t="s">
        <v>1101</v>
      </c>
      <c r="D45" s="157" t="s">
        <v>1102</v>
      </c>
      <c r="E45" s="145">
        <v>1300000</v>
      </c>
      <c r="F45" s="145">
        <v>0</v>
      </c>
      <c r="G45" s="155" t="s">
        <v>1047</v>
      </c>
      <c r="H45" s="155" t="s">
        <v>502</v>
      </c>
      <c r="I45" s="155" t="s">
        <v>1149</v>
      </c>
      <c r="J45" s="155" t="s">
        <v>1149</v>
      </c>
      <c r="K45" s="157" t="s">
        <v>1192</v>
      </c>
    </row>
    <row r="46" spans="1:11" ht="18" customHeight="1">
      <c r="A46" s="142">
        <f t="shared" si="0"/>
        <v>44</v>
      </c>
      <c r="B46" s="156">
        <v>43106</v>
      </c>
      <c r="C46" s="155" t="s">
        <v>1103</v>
      </c>
      <c r="D46" s="157" t="s">
        <v>1105</v>
      </c>
      <c r="E46" s="145">
        <v>1900000</v>
      </c>
      <c r="F46" s="145">
        <v>0</v>
      </c>
      <c r="G46" s="155" t="s">
        <v>1047</v>
      </c>
      <c r="H46" s="155" t="s">
        <v>502</v>
      </c>
      <c r="I46" s="155" t="s">
        <v>1149</v>
      </c>
      <c r="J46" s="155" t="s">
        <v>1149</v>
      </c>
      <c r="K46" s="157" t="s">
        <v>1193</v>
      </c>
    </row>
    <row r="47" spans="1:11" ht="18" customHeight="1">
      <c r="A47" s="142">
        <f t="shared" si="0"/>
        <v>45</v>
      </c>
      <c r="B47" s="156">
        <v>43106</v>
      </c>
      <c r="C47" s="155" t="s">
        <v>1103</v>
      </c>
      <c r="D47" s="157" t="s">
        <v>1104</v>
      </c>
      <c r="E47" s="145">
        <v>1800000</v>
      </c>
      <c r="F47" s="145">
        <v>0</v>
      </c>
      <c r="G47" s="155" t="s">
        <v>1047</v>
      </c>
      <c r="H47" s="155" t="s">
        <v>502</v>
      </c>
      <c r="I47" s="155" t="s">
        <v>1149</v>
      </c>
      <c r="J47" s="155" t="s">
        <v>1149</v>
      </c>
      <c r="K47" s="157" t="s">
        <v>1193</v>
      </c>
    </row>
    <row r="48" spans="1:11" ht="18" customHeight="1">
      <c r="A48" s="142">
        <f t="shared" si="0"/>
        <v>46</v>
      </c>
      <c r="B48" s="156">
        <v>43107</v>
      </c>
      <c r="C48" s="155" t="s">
        <v>1103</v>
      </c>
      <c r="D48" s="157" t="s">
        <v>1104</v>
      </c>
      <c r="E48" s="145">
        <v>6500000</v>
      </c>
      <c r="F48" s="145">
        <v>0</v>
      </c>
      <c r="G48" s="155" t="s">
        <v>1047</v>
      </c>
      <c r="H48" s="155" t="s">
        <v>502</v>
      </c>
      <c r="I48" s="155" t="s">
        <v>1149</v>
      </c>
      <c r="J48" s="155" t="s">
        <v>1149</v>
      </c>
      <c r="K48" s="157" t="s">
        <v>1193</v>
      </c>
    </row>
    <row r="49" spans="1:11" ht="18" customHeight="1">
      <c r="A49" s="142">
        <f t="shared" si="0"/>
        <v>47</v>
      </c>
      <c r="B49" s="156">
        <v>43107</v>
      </c>
      <c r="C49" s="155" t="s">
        <v>1129</v>
      </c>
      <c r="D49" s="157" t="s">
        <v>1194</v>
      </c>
      <c r="E49" s="145">
        <v>1023750</v>
      </c>
      <c r="F49" s="145">
        <v>0</v>
      </c>
      <c r="G49" s="155" t="s">
        <v>1047</v>
      </c>
      <c r="H49" s="155" t="s">
        <v>502</v>
      </c>
      <c r="I49" s="155" t="s">
        <v>1149</v>
      </c>
      <c r="J49" s="155" t="s">
        <v>1149</v>
      </c>
      <c r="K49" s="157" t="s">
        <v>1191</v>
      </c>
    </row>
    <row r="50" spans="1:11" ht="18" customHeight="1">
      <c r="A50" s="142">
        <f t="shared" si="0"/>
        <v>48</v>
      </c>
      <c r="B50" s="156">
        <v>43112</v>
      </c>
      <c r="C50" s="155" t="s">
        <v>1129</v>
      </c>
      <c r="D50" s="157" t="s">
        <v>1194</v>
      </c>
      <c r="E50" s="145">
        <v>1191000</v>
      </c>
      <c r="F50" s="145">
        <v>0</v>
      </c>
      <c r="G50" s="155" t="s">
        <v>1062</v>
      </c>
      <c r="H50" s="155" t="s">
        <v>502</v>
      </c>
      <c r="I50" s="155" t="s">
        <v>1149</v>
      </c>
      <c r="J50" s="155" t="s">
        <v>70</v>
      </c>
      <c r="K50" s="157"/>
    </row>
    <row r="51" spans="1:11" ht="18" customHeight="1">
      <c r="A51" s="142">
        <f t="shared" si="0"/>
        <v>49</v>
      </c>
      <c r="B51" s="156">
        <v>43113</v>
      </c>
      <c r="C51" s="155" t="s">
        <v>1129</v>
      </c>
      <c r="D51" s="157" t="s">
        <v>1195</v>
      </c>
      <c r="E51" s="145">
        <v>150000</v>
      </c>
      <c r="F51" s="145">
        <v>0</v>
      </c>
      <c r="G51" s="155" t="s">
        <v>1047</v>
      </c>
      <c r="H51" s="155" t="s">
        <v>502</v>
      </c>
      <c r="I51" s="155" t="s">
        <v>1149</v>
      </c>
      <c r="J51" s="155" t="s">
        <v>1149</v>
      </c>
      <c r="K51" s="157" t="s">
        <v>1196</v>
      </c>
    </row>
    <row r="52" spans="1:11" ht="18" customHeight="1">
      <c r="A52" s="142">
        <f t="shared" si="0"/>
        <v>50</v>
      </c>
      <c r="B52" s="156">
        <v>43113</v>
      </c>
      <c r="C52" s="155" t="s">
        <v>1129</v>
      </c>
      <c r="D52" s="157" t="s">
        <v>1197</v>
      </c>
      <c r="E52" s="145">
        <v>400000</v>
      </c>
      <c r="F52" s="145">
        <v>0</v>
      </c>
      <c r="G52" s="155" t="s">
        <v>1062</v>
      </c>
      <c r="H52" s="155" t="s">
        <v>2</v>
      </c>
      <c r="I52" s="155" t="s">
        <v>1149</v>
      </c>
      <c r="J52" s="155" t="s">
        <v>70</v>
      </c>
      <c r="K52" s="157"/>
    </row>
    <row r="53" spans="1:11" ht="18" customHeight="1">
      <c r="A53" s="142">
        <f t="shared" si="0"/>
        <v>51</v>
      </c>
      <c r="B53" s="156">
        <v>43113</v>
      </c>
      <c r="C53" s="155" t="s">
        <v>1129</v>
      </c>
      <c r="D53" s="157" t="s">
        <v>1198</v>
      </c>
      <c r="E53" s="145">
        <v>3000</v>
      </c>
      <c r="F53" s="145">
        <v>0</v>
      </c>
      <c r="G53" s="155" t="s">
        <v>1047</v>
      </c>
      <c r="H53" s="155" t="s">
        <v>502</v>
      </c>
      <c r="I53" s="155" t="s">
        <v>70</v>
      </c>
      <c r="J53" s="155" t="s">
        <v>70</v>
      </c>
      <c r="K53" s="157"/>
    </row>
    <row r="54" spans="1:11" ht="18" customHeight="1">
      <c r="A54" s="142">
        <f t="shared" si="0"/>
        <v>52</v>
      </c>
      <c r="B54" s="156">
        <v>43121</v>
      </c>
      <c r="C54" s="155" t="s">
        <v>1146</v>
      </c>
      <c r="D54" s="157" t="s">
        <v>1199</v>
      </c>
      <c r="E54" s="145">
        <v>37000</v>
      </c>
      <c r="F54" s="145">
        <v>0</v>
      </c>
      <c r="G54" s="155" t="s">
        <v>1047</v>
      </c>
      <c r="H54" s="155" t="s">
        <v>1159</v>
      </c>
      <c r="I54" s="155" t="s">
        <v>70</v>
      </c>
      <c r="J54" s="155" t="s">
        <v>1149</v>
      </c>
      <c r="K54" s="157"/>
    </row>
    <row r="55" spans="1:11" ht="18" customHeight="1">
      <c r="A55" s="142">
        <f t="shared" si="0"/>
        <v>53</v>
      </c>
      <c r="B55" s="156">
        <v>43134</v>
      </c>
      <c r="C55" s="155" t="s">
        <v>1134</v>
      </c>
      <c r="D55" s="157" t="s">
        <v>1200</v>
      </c>
      <c r="E55" s="145">
        <v>29000</v>
      </c>
      <c r="F55" s="145">
        <v>0</v>
      </c>
      <c r="G55" s="155" t="s">
        <v>1047</v>
      </c>
      <c r="H55" s="155" t="s">
        <v>1159</v>
      </c>
      <c r="I55" s="155" t="s">
        <v>1149</v>
      </c>
      <c r="J55" s="155" t="s">
        <v>1149</v>
      </c>
      <c r="K55" s="157"/>
    </row>
    <row r="56" spans="1:11" ht="18" customHeight="1">
      <c r="A56" s="142">
        <f t="shared" si="0"/>
        <v>54</v>
      </c>
      <c r="B56" s="156">
        <v>43134</v>
      </c>
      <c r="C56" s="155" t="s">
        <v>1129</v>
      </c>
      <c r="D56" s="157" t="s">
        <v>1201</v>
      </c>
      <c r="E56" s="145">
        <v>150500</v>
      </c>
      <c r="F56" s="145">
        <v>0</v>
      </c>
      <c r="G56" s="155" t="s">
        <v>1062</v>
      </c>
      <c r="H56" s="155" t="s">
        <v>2</v>
      </c>
      <c r="I56" s="155" t="s">
        <v>1149</v>
      </c>
      <c r="J56" s="155" t="s">
        <v>70</v>
      </c>
      <c r="K56" s="157"/>
    </row>
    <row r="57" spans="1:11" ht="18" customHeight="1">
      <c r="A57" s="142">
        <f t="shared" si="0"/>
        <v>55</v>
      </c>
      <c r="B57" s="156">
        <v>43136</v>
      </c>
      <c r="C57" s="155" t="s">
        <v>1129</v>
      </c>
      <c r="D57" s="157" t="s">
        <v>1201</v>
      </c>
      <c r="E57" s="145">
        <v>91500</v>
      </c>
      <c r="F57" s="145">
        <v>779500</v>
      </c>
      <c r="G57" s="155" t="s">
        <v>1047</v>
      </c>
      <c r="H57" s="155" t="s">
        <v>502</v>
      </c>
      <c r="I57" s="155" t="s">
        <v>1149</v>
      </c>
      <c r="J57" s="155" t="s">
        <v>1149</v>
      </c>
      <c r="K57" s="157" t="s">
        <v>1191</v>
      </c>
    </row>
    <row r="58" spans="1:11" ht="18" customHeight="1">
      <c r="A58" s="142">
        <f t="shared" si="0"/>
        <v>56</v>
      </c>
      <c r="B58" s="156">
        <v>43136</v>
      </c>
      <c r="C58" s="155" t="s">
        <v>1146</v>
      </c>
      <c r="D58" s="157" t="s">
        <v>1202</v>
      </c>
      <c r="E58" s="145">
        <v>52000</v>
      </c>
      <c r="F58" s="145">
        <v>0</v>
      </c>
      <c r="G58" s="155" t="s">
        <v>1047</v>
      </c>
      <c r="H58" s="155" t="s">
        <v>1159</v>
      </c>
      <c r="I58" s="155" t="s">
        <v>70</v>
      </c>
      <c r="J58" s="155" t="s">
        <v>1149</v>
      </c>
      <c r="K58" s="157"/>
    </row>
    <row r="59" spans="1:11" ht="18" customHeight="1">
      <c r="A59" s="142">
        <f t="shared" si="0"/>
        <v>57</v>
      </c>
      <c r="B59" s="156">
        <v>43137</v>
      </c>
      <c r="C59" s="155" t="s">
        <v>1126</v>
      </c>
      <c r="D59" s="157" t="s">
        <v>1127</v>
      </c>
      <c r="E59" s="145">
        <v>278000</v>
      </c>
      <c r="F59" s="145">
        <v>0</v>
      </c>
      <c r="G59" s="155" t="s">
        <v>1047</v>
      </c>
      <c r="H59" s="155" t="s">
        <v>502</v>
      </c>
      <c r="I59" s="155" t="s">
        <v>1149</v>
      </c>
      <c r="J59" s="155" t="s">
        <v>1149</v>
      </c>
      <c r="K59" s="157" t="s">
        <v>1203</v>
      </c>
    </row>
    <row r="60" spans="1:11" ht="18" customHeight="1">
      <c r="A60" s="142">
        <f t="shared" si="0"/>
        <v>58</v>
      </c>
      <c r="B60" s="156">
        <v>43141</v>
      </c>
      <c r="C60" s="155" t="s">
        <v>1066</v>
      </c>
      <c r="D60" s="157" t="s">
        <v>1204</v>
      </c>
      <c r="E60" s="145">
        <v>85000</v>
      </c>
      <c r="F60" s="145"/>
      <c r="G60" s="155" t="s">
        <v>1047</v>
      </c>
      <c r="H60" s="155" t="s">
        <v>502</v>
      </c>
      <c r="I60" s="155" t="s">
        <v>1149</v>
      </c>
      <c r="J60" s="155" t="s">
        <v>1149</v>
      </c>
      <c r="K60" s="157" t="s">
        <v>1205</v>
      </c>
    </row>
    <row r="61" spans="1:11" ht="18" customHeight="1">
      <c r="A61" s="142">
        <f t="shared" si="0"/>
        <v>59</v>
      </c>
      <c r="B61" s="156">
        <v>43150</v>
      </c>
      <c r="C61" s="155" t="s">
        <v>1090</v>
      </c>
      <c r="D61" s="157" t="s">
        <v>1091</v>
      </c>
      <c r="E61" s="145">
        <v>1877400</v>
      </c>
      <c r="F61" s="145">
        <v>0</v>
      </c>
      <c r="G61" s="155" t="s">
        <v>1047</v>
      </c>
      <c r="H61" s="155" t="s">
        <v>502</v>
      </c>
      <c r="I61" s="155" t="s">
        <v>1149</v>
      </c>
      <c r="J61" s="155" t="s">
        <v>1149</v>
      </c>
      <c r="K61" s="157" t="s">
        <v>1206</v>
      </c>
    </row>
    <row r="62" spans="1:11" ht="18" customHeight="1">
      <c r="A62" s="142">
        <f t="shared" si="0"/>
        <v>60</v>
      </c>
      <c r="B62" s="156">
        <v>43151</v>
      </c>
      <c r="C62" s="155" t="s">
        <v>1079</v>
      </c>
      <c r="D62" s="157" t="s">
        <v>1080</v>
      </c>
      <c r="E62" s="145">
        <v>167775</v>
      </c>
      <c r="F62" s="145">
        <v>0</v>
      </c>
      <c r="G62" s="155" t="s">
        <v>1047</v>
      </c>
      <c r="H62" s="155" t="s">
        <v>1156</v>
      </c>
      <c r="I62" s="155" t="s">
        <v>1149</v>
      </c>
      <c r="J62" s="155" t="s">
        <v>1149</v>
      </c>
      <c r="K62" s="157" t="s">
        <v>1205</v>
      </c>
    </row>
    <row r="63" spans="1:11" ht="18" customHeight="1">
      <c r="A63" s="142">
        <f t="shared" si="0"/>
        <v>61</v>
      </c>
      <c r="B63" s="156">
        <v>43161</v>
      </c>
      <c r="C63" s="155" t="s">
        <v>1082</v>
      </c>
      <c r="D63" s="157" t="s">
        <v>1083</v>
      </c>
      <c r="E63" s="145">
        <v>83750</v>
      </c>
      <c r="F63" s="145">
        <v>0</v>
      </c>
      <c r="G63" s="155" t="s">
        <v>1047</v>
      </c>
      <c r="H63" s="155" t="s">
        <v>1156</v>
      </c>
      <c r="I63" s="155" t="s">
        <v>1149</v>
      </c>
      <c r="J63" s="155" t="s">
        <v>1149</v>
      </c>
      <c r="K63" s="157"/>
    </row>
    <row r="64" spans="1:11" ht="18" customHeight="1">
      <c r="A64" s="142">
        <f t="shared" si="0"/>
        <v>62</v>
      </c>
      <c r="B64" s="156">
        <v>43162</v>
      </c>
      <c r="C64" s="155" t="s">
        <v>1132</v>
      </c>
      <c r="D64" s="157" t="s">
        <v>1207</v>
      </c>
      <c r="E64" s="145">
        <v>98400</v>
      </c>
      <c r="F64" s="145">
        <v>0</v>
      </c>
      <c r="G64" s="155" t="s">
        <v>1047</v>
      </c>
      <c r="H64" s="155" t="s">
        <v>1156</v>
      </c>
      <c r="I64" s="155" t="s">
        <v>1149</v>
      </c>
      <c r="J64" s="155" t="s">
        <v>1149</v>
      </c>
      <c r="K64" s="157"/>
    </row>
    <row r="65" spans="1:11" ht="54">
      <c r="A65" s="142">
        <f t="shared" si="0"/>
        <v>63</v>
      </c>
      <c r="B65" s="156">
        <v>43173</v>
      </c>
      <c r="C65" s="155" t="s">
        <v>1117</v>
      </c>
      <c r="D65" s="157" t="s">
        <v>1208</v>
      </c>
      <c r="E65" s="145">
        <v>2700000</v>
      </c>
      <c r="F65" s="145">
        <v>0</v>
      </c>
      <c r="G65" s="155" t="s">
        <v>1062</v>
      </c>
      <c r="H65" s="155" t="s">
        <v>502</v>
      </c>
      <c r="I65" s="155" t="s">
        <v>1149</v>
      </c>
      <c r="J65" s="155" t="s">
        <v>1149</v>
      </c>
      <c r="K65" s="158" t="s">
        <v>1209</v>
      </c>
    </row>
    <row r="66" spans="1:11" ht="18" customHeight="1">
      <c r="A66" s="142">
        <f t="shared" si="0"/>
        <v>64</v>
      </c>
      <c r="B66" s="156">
        <v>43177</v>
      </c>
      <c r="C66" s="155" t="s">
        <v>1106</v>
      </c>
      <c r="D66" s="157" t="s">
        <v>1210</v>
      </c>
      <c r="E66" s="145">
        <v>12927000</v>
      </c>
      <c r="F66" s="145">
        <v>0</v>
      </c>
      <c r="G66" s="155" t="s">
        <v>1062</v>
      </c>
      <c r="H66" s="155" t="s">
        <v>502</v>
      </c>
      <c r="I66" s="155" t="s">
        <v>1149</v>
      </c>
      <c r="J66" s="155" t="s">
        <v>70</v>
      </c>
      <c r="K66" s="157"/>
    </row>
    <row r="67" spans="1:11" ht="18" customHeight="1">
      <c r="A67" s="142">
        <f t="shared" si="0"/>
        <v>65</v>
      </c>
      <c r="B67" s="156">
        <v>43180</v>
      </c>
      <c r="C67" s="155" t="s">
        <v>1079</v>
      </c>
      <c r="D67" s="157" t="s">
        <v>1211</v>
      </c>
      <c r="E67" s="145">
        <v>40500</v>
      </c>
      <c r="F67" s="145">
        <v>0</v>
      </c>
      <c r="G67" s="155" t="s">
        <v>1047</v>
      </c>
      <c r="H67" s="155" t="s">
        <v>1159</v>
      </c>
      <c r="I67" s="155" t="s">
        <v>1149</v>
      </c>
      <c r="J67" s="155" t="s">
        <v>1149</v>
      </c>
      <c r="K67" s="157"/>
    </row>
    <row r="68" spans="1:11" ht="18" customHeight="1">
      <c r="A68" s="142">
        <f t="shared" si="0"/>
        <v>66</v>
      </c>
      <c r="B68" s="156">
        <v>43180</v>
      </c>
      <c r="C68" s="155" t="s">
        <v>1088</v>
      </c>
      <c r="D68" s="157" t="s">
        <v>1089</v>
      </c>
      <c r="E68" s="145">
        <v>265000</v>
      </c>
      <c r="F68" s="145">
        <v>0</v>
      </c>
      <c r="G68" s="155" t="s">
        <v>1047</v>
      </c>
      <c r="H68" s="155" t="s">
        <v>502</v>
      </c>
      <c r="I68" s="155" t="s">
        <v>1149</v>
      </c>
      <c r="J68" s="155" t="s">
        <v>1149</v>
      </c>
      <c r="K68" s="157" t="s">
        <v>1191</v>
      </c>
    </row>
    <row r="69" spans="1:11" ht="18" customHeight="1">
      <c r="A69" s="142">
        <f t="shared" si="0"/>
        <v>67</v>
      </c>
      <c r="B69" s="156">
        <v>43181</v>
      </c>
      <c r="C69" s="155" t="s">
        <v>1132</v>
      </c>
      <c r="D69" s="157" t="s">
        <v>1212</v>
      </c>
      <c r="E69" s="145">
        <v>49000</v>
      </c>
      <c r="F69" s="145">
        <v>0</v>
      </c>
      <c r="G69" s="155" t="s">
        <v>1047</v>
      </c>
      <c r="H69" s="155" t="s">
        <v>1159</v>
      </c>
      <c r="I69" s="155" t="s">
        <v>1149</v>
      </c>
      <c r="J69" s="155" t="s">
        <v>1149</v>
      </c>
      <c r="K69" s="157"/>
    </row>
    <row r="70" spans="1:11" ht="18" customHeight="1">
      <c r="A70" s="142">
        <f t="shared" si="0"/>
        <v>68</v>
      </c>
      <c r="B70" s="156">
        <v>43184</v>
      </c>
      <c r="C70" s="155" t="s">
        <v>1084</v>
      </c>
      <c r="D70" s="157" t="s">
        <v>1085</v>
      </c>
      <c r="E70" s="145">
        <v>18000</v>
      </c>
      <c r="F70" s="145">
        <v>0</v>
      </c>
      <c r="G70" s="155" t="s">
        <v>1062</v>
      </c>
      <c r="H70" s="155" t="s">
        <v>2</v>
      </c>
      <c r="I70" s="155" t="s">
        <v>1149</v>
      </c>
      <c r="J70" s="155" t="s">
        <v>70</v>
      </c>
      <c r="K70" s="157"/>
    </row>
    <row r="71" spans="1:11" ht="18" customHeight="1">
      <c r="A71" s="142">
        <f t="shared" si="0"/>
        <v>69</v>
      </c>
      <c r="B71" s="156">
        <v>43184</v>
      </c>
      <c r="C71" s="155" t="s">
        <v>1146</v>
      </c>
      <c r="D71" s="157" t="s">
        <v>1213</v>
      </c>
      <c r="E71" s="145">
        <v>94000</v>
      </c>
      <c r="F71" s="145">
        <v>0</v>
      </c>
      <c r="G71" s="155" t="s">
        <v>1047</v>
      </c>
      <c r="H71" s="155" t="s">
        <v>1159</v>
      </c>
      <c r="I71" s="155" t="s">
        <v>70</v>
      </c>
      <c r="J71" s="155" t="s">
        <v>1149</v>
      </c>
      <c r="K71" s="157" t="s">
        <v>1214</v>
      </c>
    </row>
    <row r="72" spans="1:11" ht="18" customHeight="1">
      <c r="A72" s="142">
        <f t="shared" si="0"/>
        <v>70</v>
      </c>
      <c r="B72" s="156">
        <v>43187</v>
      </c>
      <c r="C72" s="155" t="s">
        <v>1122</v>
      </c>
      <c r="D72" s="157" t="s">
        <v>1215</v>
      </c>
      <c r="E72" s="145">
        <v>700000</v>
      </c>
      <c r="F72" s="145">
        <v>0</v>
      </c>
      <c r="G72" s="155" t="s">
        <v>1047</v>
      </c>
      <c r="H72" s="155" t="s">
        <v>1148</v>
      </c>
      <c r="I72" s="155" t="s">
        <v>1149</v>
      </c>
      <c r="J72" s="155" t="s">
        <v>1149</v>
      </c>
      <c r="K72" s="157"/>
    </row>
    <row r="73" spans="1:11" ht="18" customHeight="1">
      <c r="A73" s="142">
        <f t="shared" si="0"/>
        <v>71</v>
      </c>
      <c r="B73" s="156">
        <v>43187</v>
      </c>
      <c r="C73" s="155" t="s">
        <v>1132</v>
      </c>
      <c r="D73" s="157" t="s">
        <v>1216</v>
      </c>
      <c r="E73" s="145">
        <v>34000</v>
      </c>
      <c r="F73" s="145">
        <v>0</v>
      </c>
      <c r="G73" s="155" t="s">
        <v>1047</v>
      </c>
      <c r="H73" s="155" t="s">
        <v>1159</v>
      </c>
      <c r="I73" s="155" t="s">
        <v>1149</v>
      </c>
      <c r="J73" s="155" t="s">
        <v>1149</v>
      </c>
      <c r="K73" s="157"/>
    </row>
    <row r="74" spans="1:11" ht="18" customHeight="1">
      <c r="A74" s="142">
        <f t="shared" si="0"/>
        <v>72</v>
      </c>
      <c r="B74" s="156">
        <v>43189</v>
      </c>
      <c r="C74" s="155" t="s">
        <v>1132</v>
      </c>
      <c r="D74" s="157" t="s">
        <v>1217</v>
      </c>
      <c r="E74" s="145">
        <v>186800</v>
      </c>
      <c r="F74" s="145">
        <v>0</v>
      </c>
      <c r="G74" s="155" t="s">
        <v>1047</v>
      </c>
      <c r="H74" s="155" t="s">
        <v>1159</v>
      </c>
      <c r="I74" s="155" t="s">
        <v>1149</v>
      </c>
      <c r="J74" s="155" t="s">
        <v>1149</v>
      </c>
      <c r="K74" s="157"/>
    </row>
    <row r="75" spans="1:11" ht="18" customHeight="1">
      <c r="A75" s="142">
        <f t="shared" si="0"/>
        <v>73</v>
      </c>
      <c r="B75" s="156">
        <v>43190</v>
      </c>
      <c r="C75" s="155" t="s">
        <v>1146</v>
      </c>
      <c r="D75" s="157" t="s">
        <v>1218</v>
      </c>
      <c r="E75" s="145">
        <v>69900</v>
      </c>
      <c r="F75" s="145">
        <v>0</v>
      </c>
      <c r="G75" s="155" t="s">
        <v>1047</v>
      </c>
      <c r="H75" s="155" t="s">
        <v>1148</v>
      </c>
      <c r="I75" s="155" t="s">
        <v>70</v>
      </c>
      <c r="J75" s="155" t="s">
        <v>1149</v>
      </c>
      <c r="K75" s="157"/>
    </row>
    <row r="76" spans="1:11" ht="18" customHeight="1">
      <c r="A76" s="142">
        <f t="shared" si="0"/>
        <v>74</v>
      </c>
      <c r="B76" s="156">
        <v>43192</v>
      </c>
      <c r="C76" s="155" t="s">
        <v>1122</v>
      </c>
      <c r="D76" s="157" t="s">
        <v>1219</v>
      </c>
      <c r="E76" s="145">
        <v>329000</v>
      </c>
      <c r="F76" s="145">
        <v>0</v>
      </c>
      <c r="G76" s="155" t="s">
        <v>1047</v>
      </c>
      <c r="H76" s="155" t="s">
        <v>1148</v>
      </c>
      <c r="I76" s="155" t="s">
        <v>1149</v>
      </c>
      <c r="J76" s="155" t="s">
        <v>1149</v>
      </c>
      <c r="K76" s="157"/>
    </row>
    <row r="77" spans="1:11" ht="18" customHeight="1">
      <c r="A77" s="142">
        <f t="shared" si="0"/>
        <v>75</v>
      </c>
      <c r="B77" s="156">
        <v>43192</v>
      </c>
      <c r="C77" s="155" t="s">
        <v>1122</v>
      </c>
      <c r="D77" s="157" t="s">
        <v>1220</v>
      </c>
      <c r="E77" s="145">
        <v>25000</v>
      </c>
      <c r="F77" s="145">
        <v>0</v>
      </c>
      <c r="G77" s="155" t="s">
        <v>1047</v>
      </c>
      <c r="H77" s="155" t="s">
        <v>502</v>
      </c>
      <c r="I77" s="155" t="s">
        <v>1149</v>
      </c>
      <c r="J77" s="155" t="s">
        <v>1149</v>
      </c>
      <c r="K77" s="157" t="s">
        <v>1191</v>
      </c>
    </row>
    <row r="78" spans="1:11" ht="18" customHeight="1">
      <c r="A78" s="142">
        <f t="shared" si="0"/>
        <v>76</v>
      </c>
      <c r="B78" s="156">
        <v>43194</v>
      </c>
      <c r="C78" s="155" t="s">
        <v>1124</v>
      </c>
      <c r="D78" s="157" t="s">
        <v>1221</v>
      </c>
      <c r="E78" s="145">
        <v>58900</v>
      </c>
      <c r="F78" s="145">
        <v>0</v>
      </c>
      <c r="G78" s="155" t="s">
        <v>1047</v>
      </c>
      <c r="H78" s="155" t="s">
        <v>1222</v>
      </c>
      <c r="I78" s="155" t="s">
        <v>1149</v>
      </c>
      <c r="J78" s="155"/>
      <c r="K78" s="157"/>
    </row>
    <row r="79" spans="1:11" ht="18" customHeight="1">
      <c r="A79" s="142">
        <f t="shared" si="0"/>
        <v>77</v>
      </c>
      <c r="B79" s="156">
        <v>43194</v>
      </c>
      <c r="C79" s="155" t="s">
        <v>1132</v>
      </c>
      <c r="D79" s="157" t="s">
        <v>1223</v>
      </c>
      <c r="E79" s="145">
        <v>17000</v>
      </c>
      <c r="F79" s="145">
        <v>0</v>
      </c>
      <c r="G79" s="155" t="s">
        <v>1047</v>
      </c>
      <c r="H79" s="155" t="s">
        <v>1159</v>
      </c>
      <c r="I79" s="155" t="s">
        <v>1149</v>
      </c>
      <c r="J79" s="155" t="s">
        <v>1149</v>
      </c>
      <c r="K79" s="157"/>
    </row>
    <row r="80" spans="1:11" ht="18" customHeight="1">
      <c r="A80" s="142">
        <f t="shared" si="0"/>
        <v>78</v>
      </c>
      <c r="B80" s="156">
        <v>43197</v>
      </c>
      <c r="C80" s="155" t="s">
        <v>1132</v>
      </c>
      <c r="D80" s="157" t="s">
        <v>1224</v>
      </c>
      <c r="E80" s="145">
        <v>22000</v>
      </c>
      <c r="F80" s="145">
        <v>0</v>
      </c>
      <c r="G80" s="155" t="s">
        <v>1047</v>
      </c>
      <c r="H80" s="155" t="s">
        <v>1148</v>
      </c>
      <c r="I80" s="155" t="s">
        <v>1149</v>
      </c>
      <c r="J80" s="155" t="s">
        <v>1149</v>
      </c>
      <c r="K80" s="157"/>
    </row>
    <row r="81" spans="1:11" ht="18" customHeight="1">
      <c r="A81" s="142">
        <f t="shared" si="0"/>
        <v>79</v>
      </c>
      <c r="B81" s="156">
        <v>43197</v>
      </c>
      <c r="C81" s="155" t="s">
        <v>1117</v>
      </c>
      <c r="D81" s="157" t="s">
        <v>1225</v>
      </c>
      <c r="E81" s="145">
        <v>51000</v>
      </c>
      <c r="F81" s="145">
        <v>0</v>
      </c>
      <c r="G81" s="155" t="s">
        <v>1047</v>
      </c>
      <c r="H81" s="155" t="s">
        <v>1148</v>
      </c>
      <c r="I81" s="155" t="s">
        <v>70</v>
      </c>
      <c r="J81" s="155" t="s">
        <v>1149</v>
      </c>
      <c r="K81" s="157"/>
    </row>
    <row r="82" spans="1:11" ht="18" customHeight="1">
      <c r="A82" s="142">
        <f t="shared" si="0"/>
        <v>80</v>
      </c>
      <c r="B82" s="156">
        <v>43198</v>
      </c>
      <c r="C82" s="155" t="s">
        <v>1066</v>
      </c>
      <c r="D82" s="157" t="s">
        <v>1226</v>
      </c>
      <c r="E82" s="145">
        <v>170000</v>
      </c>
      <c r="F82" s="145">
        <v>595000</v>
      </c>
      <c r="G82" s="155" t="s">
        <v>1047</v>
      </c>
      <c r="H82" s="155" t="s">
        <v>502</v>
      </c>
      <c r="I82" s="155" t="s">
        <v>1149</v>
      </c>
      <c r="J82" s="155" t="s">
        <v>1149</v>
      </c>
      <c r="K82" s="157" t="s">
        <v>1227</v>
      </c>
    </row>
    <row r="83" spans="1:11" ht="81">
      <c r="A83" s="142">
        <f t="shared" si="0"/>
        <v>81</v>
      </c>
      <c r="B83" s="156">
        <v>43199</v>
      </c>
      <c r="C83" s="155" t="s">
        <v>1122</v>
      </c>
      <c r="D83" s="157" t="s">
        <v>1228</v>
      </c>
      <c r="E83" s="145">
        <v>2700000</v>
      </c>
      <c r="F83" s="145">
        <v>0</v>
      </c>
      <c r="G83" s="155" t="s">
        <v>1047</v>
      </c>
      <c r="H83" s="155" t="s">
        <v>502</v>
      </c>
      <c r="I83" s="155" t="s">
        <v>1149</v>
      </c>
      <c r="J83" s="155" t="s">
        <v>1149</v>
      </c>
      <c r="K83" s="158" t="s">
        <v>1229</v>
      </c>
    </row>
    <row r="84" spans="1:11" ht="18" customHeight="1">
      <c r="A84" s="142">
        <f t="shared" si="0"/>
        <v>82</v>
      </c>
      <c r="B84" s="156">
        <v>43200</v>
      </c>
      <c r="C84" s="155" t="s">
        <v>1132</v>
      </c>
      <c r="D84" s="157" t="s">
        <v>1230</v>
      </c>
      <c r="E84" s="145">
        <v>17000</v>
      </c>
      <c r="F84" s="145">
        <v>0</v>
      </c>
      <c r="G84" s="155" t="s">
        <v>1047</v>
      </c>
      <c r="H84" s="155" t="s">
        <v>1159</v>
      </c>
      <c r="I84" s="155" t="s">
        <v>1149</v>
      </c>
      <c r="J84" s="155" t="s">
        <v>1149</v>
      </c>
      <c r="K84" s="157"/>
    </row>
    <row r="85" spans="1:11" ht="18" customHeight="1">
      <c r="A85" s="142">
        <f t="shared" si="0"/>
        <v>83</v>
      </c>
      <c r="B85" s="156">
        <v>43203</v>
      </c>
      <c r="C85" s="155" t="s">
        <v>1116</v>
      </c>
      <c r="D85" s="157" t="s">
        <v>3</v>
      </c>
      <c r="E85" s="145">
        <v>50000000</v>
      </c>
      <c r="F85" s="145">
        <v>0</v>
      </c>
      <c r="G85" s="155" t="s">
        <v>1062</v>
      </c>
      <c r="H85" s="155" t="s">
        <v>502</v>
      </c>
      <c r="I85" s="155" t="s">
        <v>1149</v>
      </c>
      <c r="J85" s="155" t="s">
        <v>1149</v>
      </c>
      <c r="K85" s="157" t="s">
        <v>1191</v>
      </c>
    </row>
    <row r="86" spans="1:11" ht="18" customHeight="1">
      <c r="A86" s="142">
        <f t="shared" si="0"/>
        <v>84</v>
      </c>
      <c r="B86" s="156">
        <v>43204</v>
      </c>
      <c r="C86" s="155" t="s">
        <v>1116</v>
      </c>
      <c r="D86" s="157" t="s">
        <v>3</v>
      </c>
      <c r="E86" s="145">
        <v>20000000</v>
      </c>
      <c r="F86" s="145">
        <v>0</v>
      </c>
      <c r="G86" s="155" t="s">
        <v>1062</v>
      </c>
      <c r="H86" s="155" t="s">
        <v>502</v>
      </c>
      <c r="I86" s="155" t="s">
        <v>1149</v>
      </c>
      <c r="J86" s="155" t="s">
        <v>70</v>
      </c>
      <c r="K86" s="157"/>
    </row>
    <row r="87" spans="1:11" ht="18" customHeight="1">
      <c r="A87" s="142">
        <f t="shared" si="0"/>
        <v>85</v>
      </c>
      <c r="B87" s="156">
        <v>43204</v>
      </c>
      <c r="C87" s="155" t="s">
        <v>1122</v>
      </c>
      <c r="D87" s="157" t="s">
        <v>1228</v>
      </c>
      <c r="E87" s="145">
        <v>850000</v>
      </c>
      <c r="F87" s="145">
        <v>0</v>
      </c>
      <c r="G87" s="155" t="s">
        <v>1047</v>
      </c>
      <c r="H87" s="155" t="s">
        <v>502</v>
      </c>
      <c r="I87" s="155" t="s">
        <v>1149</v>
      </c>
      <c r="J87" s="155" t="s">
        <v>70</v>
      </c>
      <c r="K87" s="157" t="s">
        <v>1231</v>
      </c>
    </row>
    <row r="88" spans="1:11" ht="18" customHeight="1">
      <c r="A88" s="142">
        <f t="shared" si="0"/>
        <v>86</v>
      </c>
      <c r="B88" s="156">
        <v>43204</v>
      </c>
      <c r="C88" s="155" t="s">
        <v>1132</v>
      </c>
      <c r="D88" s="157" t="s">
        <v>1232</v>
      </c>
      <c r="E88" s="145">
        <v>56000</v>
      </c>
      <c r="F88" s="145">
        <v>0</v>
      </c>
      <c r="G88" s="155" t="s">
        <v>1047</v>
      </c>
      <c r="H88" s="155" t="s">
        <v>1148</v>
      </c>
      <c r="I88" s="155" t="s">
        <v>1149</v>
      </c>
      <c r="J88" s="155"/>
      <c r="K88" s="157"/>
    </row>
    <row r="89" spans="1:11" ht="18" customHeight="1">
      <c r="A89" s="142">
        <f t="shared" si="0"/>
        <v>87</v>
      </c>
      <c r="B89" s="156">
        <v>43204</v>
      </c>
      <c r="C89" s="155" t="s">
        <v>1152</v>
      </c>
      <c r="D89" s="157" t="s">
        <v>1154</v>
      </c>
      <c r="E89" s="145">
        <v>50000</v>
      </c>
      <c r="F89" s="145">
        <v>0</v>
      </c>
      <c r="G89" s="155" t="s">
        <v>1047</v>
      </c>
      <c r="H89" s="155" t="s">
        <v>1161</v>
      </c>
      <c r="I89" s="155" t="s">
        <v>70</v>
      </c>
      <c r="J89" s="155"/>
      <c r="K89" s="157"/>
    </row>
    <row r="90" spans="1:11" ht="18" customHeight="1">
      <c r="A90" s="142">
        <f t="shared" si="0"/>
        <v>88</v>
      </c>
      <c r="B90" s="156">
        <v>43204</v>
      </c>
      <c r="C90" s="155" t="s">
        <v>1152</v>
      </c>
      <c r="D90" s="157" t="s">
        <v>1233</v>
      </c>
      <c r="E90" s="145">
        <v>79900</v>
      </c>
      <c r="F90" s="145">
        <v>0</v>
      </c>
      <c r="G90" s="155" t="s">
        <v>1047</v>
      </c>
      <c r="H90" s="155" t="s">
        <v>1161</v>
      </c>
      <c r="I90" s="155" t="s">
        <v>70</v>
      </c>
      <c r="J90" s="155"/>
      <c r="K90" s="157"/>
    </row>
    <row r="91" spans="1:11" ht="18" customHeight="1">
      <c r="A91" s="142">
        <f t="shared" si="0"/>
        <v>89</v>
      </c>
      <c r="B91" s="156">
        <v>43205</v>
      </c>
      <c r="C91" s="155" t="s">
        <v>1152</v>
      </c>
      <c r="D91" s="157" t="s">
        <v>1153</v>
      </c>
      <c r="E91" s="145">
        <v>50000</v>
      </c>
      <c r="F91" s="145">
        <v>0</v>
      </c>
      <c r="G91" s="155" t="s">
        <v>1047</v>
      </c>
      <c r="H91" s="155" t="s">
        <v>1161</v>
      </c>
      <c r="I91" s="155" t="s">
        <v>70</v>
      </c>
      <c r="J91" s="155"/>
      <c r="K91" s="157"/>
    </row>
    <row r="92" spans="1:11" ht="18" customHeight="1">
      <c r="A92" s="142">
        <f t="shared" si="0"/>
        <v>90</v>
      </c>
      <c r="B92" s="156">
        <v>43211</v>
      </c>
      <c r="C92" s="155" t="s">
        <v>1132</v>
      </c>
      <c r="D92" s="157" t="s">
        <v>1234</v>
      </c>
      <c r="E92" s="145">
        <v>49500</v>
      </c>
      <c r="F92" s="145">
        <v>0</v>
      </c>
      <c r="G92" s="155" t="s">
        <v>1047</v>
      </c>
      <c r="H92" s="155" t="s">
        <v>1148</v>
      </c>
      <c r="I92" s="155" t="s">
        <v>1149</v>
      </c>
      <c r="J92" s="155"/>
      <c r="K92" s="157"/>
    </row>
    <row r="93" spans="1:11" ht="18" customHeight="1">
      <c r="A93" s="142">
        <f t="shared" si="0"/>
        <v>91</v>
      </c>
      <c r="B93" s="156">
        <v>43217</v>
      </c>
      <c r="C93" s="155" t="s">
        <v>1132</v>
      </c>
      <c r="D93" s="157" t="s">
        <v>1235</v>
      </c>
      <c r="E93" s="145">
        <v>86000</v>
      </c>
      <c r="F93" s="145">
        <v>0</v>
      </c>
      <c r="G93" s="155" t="s">
        <v>1047</v>
      </c>
      <c r="H93" s="155" t="s">
        <v>1148</v>
      </c>
      <c r="I93" s="155" t="s">
        <v>1149</v>
      </c>
      <c r="J93" s="155"/>
      <c r="K93" s="157"/>
    </row>
    <row r="94" spans="1:11" ht="18" customHeight="1">
      <c r="A94" s="142">
        <f t="shared" si="0"/>
        <v>92</v>
      </c>
      <c r="B94" s="156">
        <v>43218</v>
      </c>
      <c r="C94" s="155" t="s">
        <v>1132</v>
      </c>
      <c r="D94" s="157" t="s">
        <v>1236</v>
      </c>
      <c r="E94" s="145">
        <v>24600</v>
      </c>
      <c r="F94" s="145">
        <v>0</v>
      </c>
      <c r="G94" s="155" t="s">
        <v>1047</v>
      </c>
      <c r="H94" s="155" t="s">
        <v>1159</v>
      </c>
      <c r="I94" s="155" t="s">
        <v>1149</v>
      </c>
      <c r="J94" s="155"/>
      <c r="K94" s="157"/>
    </row>
    <row r="95" spans="1:11" ht="18" customHeight="1">
      <c r="A95" s="142">
        <f t="shared" si="0"/>
        <v>93</v>
      </c>
      <c r="B95" s="156">
        <v>43218</v>
      </c>
      <c r="C95" s="155" t="s">
        <v>1122</v>
      </c>
      <c r="D95" s="157" t="s">
        <v>1237</v>
      </c>
      <c r="E95" s="145">
        <v>302750</v>
      </c>
      <c r="F95" s="145">
        <v>0</v>
      </c>
      <c r="G95" s="155" t="s">
        <v>1047</v>
      </c>
      <c r="H95" s="155" t="s">
        <v>1148</v>
      </c>
      <c r="I95" s="155" t="s">
        <v>1149</v>
      </c>
      <c r="J95" s="155"/>
      <c r="K95" s="157"/>
    </row>
    <row r="96" spans="1:11" ht="18" customHeight="1">
      <c r="A96" s="142">
        <f t="shared" si="0"/>
        <v>94</v>
      </c>
      <c r="B96" s="156">
        <v>43218</v>
      </c>
      <c r="C96" s="155" t="s">
        <v>1124</v>
      </c>
      <c r="D96" s="157" t="s">
        <v>1225</v>
      </c>
      <c r="E96" s="145">
        <v>155000</v>
      </c>
      <c r="F96" s="145">
        <v>0</v>
      </c>
      <c r="G96" s="155" t="s">
        <v>1047</v>
      </c>
      <c r="H96" s="155" t="s">
        <v>1148</v>
      </c>
      <c r="I96" s="155" t="s">
        <v>1149</v>
      </c>
      <c r="J96" s="155"/>
      <c r="K96" s="157"/>
    </row>
    <row r="97" spans="1:11" ht="18" customHeight="1">
      <c r="A97" s="142">
        <f t="shared" si="0"/>
        <v>95</v>
      </c>
      <c r="B97" s="156">
        <v>43220</v>
      </c>
      <c r="C97" s="155" t="s">
        <v>1122</v>
      </c>
      <c r="D97" s="157" t="s">
        <v>1238</v>
      </c>
      <c r="E97" s="145">
        <v>601428</v>
      </c>
      <c r="F97" s="145">
        <v>0</v>
      </c>
      <c r="G97" s="155" t="s">
        <v>1047</v>
      </c>
      <c r="H97" s="155" t="s">
        <v>502</v>
      </c>
      <c r="I97" s="155" t="s">
        <v>1149</v>
      </c>
      <c r="J97" s="155"/>
      <c r="K97" s="157" t="s">
        <v>1191</v>
      </c>
    </row>
    <row r="98" spans="1:11" ht="18" customHeight="1">
      <c r="A98" s="142">
        <f t="shared" si="0"/>
        <v>96</v>
      </c>
      <c r="B98" s="156">
        <v>43220</v>
      </c>
      <c r="C98" s="155" t="s">
        <v>1122</v>
      </c>
      <c r="D98" s="157" t="s">
        <v>3</v>
      </c>
      <c r="E98" s="145">
        <v>1500000</v>
      </c>
      <c r="F98" s="145">
        <v>0</v>
      </c>
      <c r="G98" s="155" t="s">
        <v>1047</v>
      </c>
      <c r="H98" s="155" t="s">
        <v>502</v>
      </c>
      <c r="I98" s="155" t="s">
        <v>1149</v>
      </c>
      <c r="J98" s="155"/>
      <c r="K98" s="157" t="s">
        <v>1191</v>
      </c>
    </row>
    <row r="99" spans="1:11" ht="18" customHeight="1">
      <c r="A99" s="142">
        <f t="shared" si="0"/>
        <v>97</v>
      </c>
      <c r="B99" s="156">
        <v>43221</v>
      </c>
      <c r="C99" s="155" t="s">
        <v>1124</v>
      </c>
      <c r="D99" s="157" t="s">
        <v>1239</v>
      </c>
      <c r="E99" s="145">
        <v>270000</v>
      </c>
      <c r="F99" s="145">
        <v>0</v>
      </c>
      <c r="G99" s="155" t="s">
        <v>1047</v>
      </c>
      <c r="H99" s="155" t="s">
        <v>502</v>
      </c>
      <c r="I99" s="155" t="s">
        <v>1149</v>
      </c>
      <c r="J99" s="155"/>
      <c r="K99" s="157" t="s">
        <v>1191</v>
      </c>
    </row>
    <row r="100" spans="1:11" ht="18" customHeight="1">
      <c r="A100" s="142">
        <f t="shared" si="0"/>
        <v>98</v>
      </c>
      <c r="B100" s="156">
        <v>43221</v>
      </c>
      <c r="C100" s="155" t="s">
        <v>1124</v>
      </c>
      <c r="D100" s="157" t="s">
        <v>1240</v>
      </c>
      <c r="E100" s="145">
        <v>146890</v>
      </c>
      <c r="F100" s="145">
        <v>0</v>
      </c>
      <c r="G100" s="155" t="s">
        <v>1074</v>
      </c>
      <c r="H100" s="155" t="s">
        <v>502</v>
      </c>
      <c r="I100" s="155" t="s">
        <v>1149</v>
      </c>
      <c r="J100" s="155" t="s">
        <v>70</v>
      </c>
      <c r="K100" s="157"/>
    </row>
    <row r="101" spans="1:11" ht="18" customHeight="1">
      <c r="A101" s="142">
        <f t="shared" si="0"/>
        <v>99</v>
      </c>
      <c r="B101" s="156">
        <v>43221</v>
      </c>
      <c r="C101" s="155" t="s">
        <v>1124</v>
      </c>
      <c r="D101" s="157" t="s">
        <v>1241</v>
      </c>
      <c r="E101" s="145">
        <v>375000</v>
      </c>
      <c r="F101" s="145">
        <v>0</v>
      </c>
      <c r="G101" s="155" t="s">
        <v>1074</v>
      </c>
      <c r="H101" s="155" t="s">
        <v>502</v>
      </c>
      <c r="I101" s="155" t="s">
        <v>1149</v>
      </c>
      <c r="J101" s="155" t="s">
        <v>70</v>
      </c>
      <c r="K101" s="157"/>
    </row>
    <row r="102" spans="1:11" ht="18" customHeight="1">
      <c r="A102" s="142">
        <f t="shared" si="0"/>
        <v>100</v>
      </c>
      <c r="B102" s="156"/>
      <c r="C102" s="155"/>
      <c r="D102" s="157"/>
      <c r="E102" s="145"/>
      <c r="F102" s="145"/>
      <c r="G102" s="155"/>
      <c r="H102" s="155"/>
      <c r="I102" s="155"/>
      <c r="J102" s="155"/>
      <c r="K102" s="157"/>
    </row>
    <row r="103" spans="1:11" ht="18" customHeight="1">
      <c r="A103" s="142">
        <f t="shared" si="0"/>
        <v>101</v>
      </c>
      <c r="B103" s="156"/>
      <c r="C103" s="155"/>
      <c r="D103" s="157"/>
      <c r="E103" s="145"/>
      <c r="F103" s="145"/>
      <c r="G103" s="155"/>
      <c r="H103" s="155"/>
      <c r="I103" s="155"/>
      <c r="J103" s="155"/>
      <c r="K103" s="157"/>
    </row>
    <row r="104" spans="1:11" ht="18" customHeight="1">
      <c r="A104" s="142">
        <f t="shared" si="0"/>
        <v>102</v>
      </c>
      <c r="B104" s="156"/>
      <c r="C104" s="155"/>
      <c r="D104" s="157"/>
      <c r="E104" s="145"/>
      <c r="F104" s="145"/>
      <c r="G104" s="155"/>
      <c r="H104" s="155"/>
      <c r="I104" s="155"/>
      <c r="J104" s="155"/>
      <c r="K104" s="157"/>
    </row>
    <row r="105" spans="1:11" ht="18" customHeight="1">
      <c r="A105" s="142">
        <f t="shared" si="0"/>
        <v>103</v>
      </c>
      <c r="B105" s="156"/>
      <c r="C105" s="155"/>
      <c r="D105" s="157"/>
      <c r="E105" s="145"/>
      <c r="F105" s="145"/>
      <c r="G105" s="155"/>
      <c r="H105" s="155"/>
      <c r="I105" s="155"/>
      <c r="J105" s="155"/>
      <c r="K105" s="157"/>
    </row>
    <row r="106" spans="1:11" ht="18" customHeight="1">
      <c r="A106" s="142">
        <f t="shared" si="0"/>
        <v>104</v>
      </c>
      <c r="B106" s="156"/>
      <c r="C106" s="155"/>
      <c r="D106" s="157"/>
      <c r="E106" s="145"/>
      <c r="F106" s="145"/>
      <c r="G106" s="155"/>
      <c r="H106" s="155"/>
      <c r="I106" s="155"/>
      <c r="J106" s="155"/>
      <c r="K106" s="157"/>
    </row>
    <row r="107" spans="1:11" ht="18" customHeight="1">
      <c r="A107" s="142">
        <f t="shared" si="0"/>
        <v>105</v>
      </c>
      <c r="B107" s="156"/>
      <c r="C107" s="155"/>
      <c r="D107" s="157"/>
      <c r="E107" s="145"/>
      <c r="F107" s="145"/>
      <c r="G107" s="155"/>
      <c r="H107" s="155"/>
      <c r="I107" s="155"/>
      <c r="J107" s="155"/>
      <c r="K107" s="157"/>
    </row>
    <row r="108" spans="1:11" ht="18" customHeight="1">
      <c r="A108" s="142">
        <f t="shared" si="0"/>
        <v>106</v>
      </c>
      <c r="B108" s="156"/>
      <c r="C108" s="155"/>
      <c r="D108" s="157"/>
      <c r="E108" s="145"/>
      <c r="F108" s="145"/>
      <c r="G108" s="155"/>
      <c r="H108" s="155"/>
      <c r="I108" s="155"/>
      <c r="J108" s="155"/>
      <c r="K108" s="157"/>
    </row>
  </sheetData>
  <autoFilter ref="A2:K108" xr:uid="{00000000-0009-0000-0000-00000F000000}"/>
  <mergeCells count="1">
    <mergeCell ref="A1:K1"/>
  </mergeCells>
  <phoneticPr fontId="5" type="noConversion"/>
  <pageMargins left="0.7" right="0.7" top="0.75" bottom="0.75" header="0.3" footer="0.3"/>
  <pageSetup paperSize="9" orientation="portrait" r:id="rId1"/>
  <headerFooter>
    <oddHeader>&amp;R&amp;"Aptos"&amp;13&amp;K000000 [ RESTRICTED ]&amp;1#_x000D_</oddHeader>
    <oddFooter>&amp;R_x000D_&amp;1#&amp;"Aptos"&amp;5&amp;K000000 [Secure Minds, Secure Finds] 본 문서는 현대건설㈜의 정보자산이므로 무단 전제 및 복제할 수 없으며, 이를 위반할 시에는 당사 사규 및 관련 법규에 의해 제지를 받을 수 있습니다.</oddFooter>
  </headerFooter>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J54"/>
  <sheetViews>
    <sheetView zoomScale="115" zoomScaleNormal="115" workbookViewId="0">
      <pane ySplit="2" topLeftCell="A18" activePane="bottomLeft" state="frozen"/>
      <selection activeCell="E8" sqref="E8"/>
      <selection pane="bottomLeft" activeCell="E8" sqref="E8"/>
    </sheetView>
  </sheetViews>
  <sheetFormatPr defaultColWidth="9" defaultRowHeight="13.5"/>
  <cols>
    <col min="1" max="1" width="5.5" style="4" customWidth="1"/>
    <col min="2" max="2" width="13.75" style="114" customWidth="1"/>
    <col min="3" max="3" width="16.625" style="114" bestFit="1" customWidth="1"/>
    <col min="4" max="4" width="34.375" style="58" bestFit="1" customWidth="1"/>
    <col min="5" max="6" width="12.875" style="115" customWidth="1"/>
    <col min="7" max="7" width="10.375" style="58" bestFit="1" customWidth="1"/>
    <col min="8" max="8" width="21.375" style="58" bestFit="1" customWidth="1"/>
    <col min="9" max="9" width="16.875" style="58" customWidth="1"/>
    <col min="10" max="10" width="28.125" style="117" bestFit="1" customWidth="1"/>
    <col min="11" max="16384" width="9" style="107"/>
  </cols>
  <sheetData>
    <row r="1" spans="1:10" ht="33" customHeight="1">
      <c r="A1" s="522" t="s">
        <v>1242</v>
      </c>
      <c r="B1" s="522"/>
      <c r="C1" s="522"/>
      <c r="D1" s="522"/>
      <c r="E1" s="522"/>
      <c r="F1" s="522"/>
      <c r="G1" s="522"/>
      <c r="H1" s="522"/>
      <c r="I1" s="522"/>
      <c r="J1" s="522"/>
    </row>
    <row r="2" spans="1:10" s="58" customFormat="1" ht="18" customHeight="1">
      <c r="A2" s="142" t="s">
        <v>490</v>
      </c>
      <c r="B2" s="156" t="s">
        <v>1139</v>
      </c>
      <c r="C2" s="159" t="s">
        <v>449</v>
      </c>
      <c r="D2" s="155" t="s">
        <v>1243</v>
      </c>
      <c r="E2" s="160" t="s">
        <v>494</v>
      </c>
      <c r="F2" s="160" t="s">
        <v>1244</v>
      </c>
      <c r="G2" s="155" t="s">
        <v>1245</v>
      </c>
      <c r="H2" s="155" t="s">
        <v>496</v>
      </c>
      <c r="I2" s="155" t="s">
        <v>1144</v>
      </c>
      <c r="J2" s="155" t="s">
        <v>153</v>
      </c>
    </row>
    <row r="3" spans="1:10" s="58" customFormat="1" ht="18" customHeight="1">
      <c r="A3" s="142">
        <f t="shared" ref="A3:A54" si="0">ROW()-2</f>
        <v>1</v>
      </c>
      <c r="B3" s="156">
        <v>43010</v>
      </c>
      <c r="C3" s="155" t="s">
        <v>1070</v>
      </c>
      <c r="D3" s="157" t="s">
        <v>1074</v>
      </c>
      <c r="E3" s="145">
        <v>200000</v>
      </c>
      <c r="F3" s="145">
        <v>0</v>
      </c>
      <c r="G3" s="155" t="s">
        <v>1062</v>
      </c>
      <c r="H3" s="155" t="s">
        <v>1246</v>
      </c>
      <c r="I3" s="155" t="s">
        <v>1149</v>
      </c>
      <c r="J3" s="155"/>
    </row>
    <row r="4" spans="1:10" s="58" customFormat="1" ht="18" customHeight="1">
      <c r="A4" s="142">
        <f t="shared" si="0"/>
        <v>2</v>
      </c>
      <c r="B4" s="156">
        <v>43012</v>
      </c>
      <c r="C4" s="155" t="s">
        <v>1072</v>
      </c>
      <c r="D4" s="157" t="s">
        <v>1168</v>
      </c>
      <c r="E4" s="145">
        <v>2000000</v>
      </c>
      <c r="F4" s="145">
        <v>0</v>
      </c>
      <c r="G4" s="155" t="s">
        <v>1074</v>
      </c>
      <c r="H4" s="155" t="s">
        <v>1246</v>
      </c>
      <c r="I4" s="155" t="s">
        <v>1149</v>
      </c>
      <c r="J4" s="155"/>
    </row>
    <row r="5" spans="1:10" s="58" customFormat="1" ht="18" customHeight="1">
      <c r="A5" s="142">
        <f t="shared" si="0"/>
        <v>3</v>
      </c>
      <c r="B5" s="156">
        <v>43018</v>
      </c>
      <c r="C5" s="155" t="s">
        <v>1072</v>
      </c>
      <c r="D5" s="157" t="s">
        <v>1168</v>
      </c>
      <c r="E5" s="145">
        <v>1000000</v>
      </c>
      <c r="F5" s="145">
        <v>0</v>
      </c>
      <c r="G5" s="155" t="s">
        <v>1062</v>
      </c>
      <c r="H5" s="155" t="s">
        <v>1246</v>
      </c>
      <c r="I5" s="155" t="s">
        <v>1149</v>
      </c>
      <c r="J5" s="155"/>
    </row>
    <row r="6" spans="1:10" s="58" customFormat="1" ht="18" customHeight="1">
      <c r="A6" s="142">
        <f t="shared" si="0"/>
        <v>4</v>
      </c>
      <c r="B6" s="156">
        <v>43024</v>
      </c>
      <c r="C6" s="155" t="s">
        <v>1129</v>
      </c>
      <c r="D6" s="157" t="s">
        <v>1170</v>
      </c>
      <c r="E6" s="145">
        <v>150000</v>
      </c>
      <c r="F6" s="145">
        <v>0</v>
      </c>
      <c r="G6" s="155" t="s">
        <v>1074</v>
      </c>
      <c r="H6" s="155" t="s">
        <v>1246</v>
      </c>
      <c r="I6" s="155" t="s">
        <v>1149</v>
      </c>
      <c r="J6" s="155"/>
    </row>
    <row r="7" spans="1:10" s="58" customFormat="1" ht="18" customHeight="1">
      <c r="A7" s="142">
        <f t="shared" si="0"/>
        <v>5</v>
      </c>
      <c r="B7" s="156">
        <v>43024</v>
      </c>
      <c r="C7" s="155" t="s">
        <v>1079</v>
      </c>
      <c r="D7" s="157" t="s">
        <v>1085</v>
      </c>
      <c r="E7" s="145">
        <v>150000</v>
      </c>
      <c r="F7" s="145">
        <v>0</v>
      </c>
      <c r="G7" s="155" t="s">
        <v>1074</v>
      </c>
      <c r="H7" s="155" t="s">
        <v>1246</v>
      </c>
      <c r="I7" s="155" t="s">
        <v>1149</v>
      </c>
      <c r="J7" s="155"/>
    </row>
    <row r="8" spans="1:10" s="58" customFormat="1" ht="18" customHeight="1">
      <c r="A8" s="142">
        <f t="shared" si="0"/>
        <v>6</v>
      </c>
      <c r="B8" s="156">
        <v>43072</v>
      </c>
      <c r="C8" s="155" t="s">
        <v>1110</v>
      </c>
      <c r="D8" s="157" t="s">
        <v>1111</v>
      </c>
      <c r="E8" s="145">
        <v>300000</v>
      </c>
      <c r="F8" s="145">
        <v>0</v>
      </c>
      <c r="G8" s="155" t="s">
        <v>1074</v>
      </c>
      <c r="H8" s="155" t="s">
        <v>502</v>
      </c>
      <c r="I8" s="155" t="s">
        <v>1149</v>
      </c>
      <c r="J8" s="155"/>
    </row>
    <row r="9" spans="1:10" s="58" customFormat="1" ht="18" customHeight="1">
      <c r="A9" s="142">
        <f t="shared" si="0"/>
        <v>7</v>
      </c>
      <c r="B9" s="156">
        <v>43072</v>
      </c>
      <c r="C9" s="155" t="s">
        <v>1101</v>
      </c>
      <c r="D9" s="157" t="s">
        <v>1102</v>
      </c>
      <c r="E9" s="145">
        <v>300000</v>
      </c>
      <c r="F9" s="145">
        <v>0</v>
      </c>
      <c r="G9" s="155" t="s">
        <v>1074</v>
      </c>
      <c r="H9" s="155" t="s">
        <v>502</v>
      </c>
      <c r="I9" s="155" t="s">
        <v>1149</v>
      </c>
      <c r="J9" s="155"/>
    </row>
    <row r="10" spans="1:10" ht="18" customHeight="1">
      <c r="A10" s="142">
        <f t="shared" si="0"/>
        <v>8</v>
      </c>
      <c r="B10" s="156">
        <v>43074</v>
      </c>
      <c r="C10" s="155" t="s">
        <v>1103</v>
      </c>
      <c r="D10" s="157" t="s">
        <v>1104</v>
      </c>
      <c r="E10" s="145">
        <v>500000</v>
      </c>
      <c r="F10" s="145">
        <v>0</v>
      </c>
      <c r="G10" s="155" t="s">
        <v>1074</v>
      </c>
      <c r="H10" s="155" t="s">
        <v>502</v>
      </c>
      <c r="I10" s="155" t="s">
        <v>1149</v>
      </c>
      <c r="J10" s="157"/>
    </row>
    <row r="11" spans="1:10" ht="18" customHeight="1">
      <c r="A11" s="142">
        <f t="shared" si="0"/>
        <v>9</v>
      </c>
      <c r="B11" s="156">
        <v>43074</v>
      </c>
      <c r="C11" s="155" t="s">
        <v>1103</v>
      </c>
      <c r="D11" s="157" t="s">
        <v>1105</v>
      </c>
      <c r="E11" s="145">
        <v>900000</v>
      </c>
      <c r="F11" s="145">
        <v>0</v>
      </c>
      <c r="G11" s="155" t="s">
        <v>1074</v>
      </c>
      <c r="H11" s="155" t="s">
        <v>502</v>
      </c>
      <c r="I11" s="155" t="s">
        <v>1149</v>
      </c>
      <c r="J11" s="157"/>
    </row>
    <row r="12" spans="1:10" ht="18" customHeight="1">
      <c r="A12" s="142">
        <f t="shared" si="0"/>
        <v>10</v>
      </c>
      <c r="B12" s="156">
        <v>43102</v>
      </c>
      <c r="C12" s="155" t="s">
        <v>1114</v>
      </c>
      <c r="D12" s="157" t="s">
        <v>1111</v>
      </c>
      <c r="E12" s="145">
        <v>50000</v>
      </c>
      <c r="F12" s="145">
        <v>0</v>
      </c>
      <c r="G12" s="155" t="s">
        <v>1062</v>
      </c>
      <c r="H12" s="155" t="s">
        <v>1247</v>
      </c>
      <c r="I12" s="155" t="s">
        <v>1149</v>
      </c>
      <c r="J12" s="157"/>
    </row>
    <row r="13" spans="1:10" ht="18" customHeight="1">
      <c r="A13" s="142">
        <f t="shared" si="0"/>
        <v>11</v>
      </c>
      <c r="B13" s="156">
        <v>43106</v>
      </c>
      <c r="C13" s="155" t="s">
        <v>1101</v>
      </c>
      <c r="D13" s="157" t="s">
        <v>1102</v>
      </c>
      <c r="E13" s="145">
        <v>500000</v>
      </c>
      <c r="F13" s="145">
        <v>0</v>
      </c>
      <c r="G13" s="155" t="s">
        <v>1074</v>
      </c>
      <c r="H13" s="155" t="s">
        <v>1247</v>
      </c>
      <c r="I13" s="155" t="s">
        <v>1149</v>
      </c>
      <c r="J13" s="157"/>
    </row>
    <row r="14" spans="1:10" ht="18" customHeight="1">
      <c r="A14" s="142">
        <f t="shared" si="0"/>
        <v>12</v>
      </c>
      <c r="B14" s="156">
        <v>43106</v>
      </c>
      <c r="C14" s="155" t="s">
        <v>1101</v>
      </c>
      <c r="D14" s="157" t="s">
        <v>1102</v>
      </c>
      <c r="E14" s="145">
        <v>800000</v>
      </c>
      <c r="F14" s="145">
        <v>0</v>
      </c>
      <c r="G14" s="155" t="s">
        <v>1062</v>
      </c>
      <c r="H14" s="155" t="s">
        <v>1247</v>
      </c>
      <c r="I14" s="155" t="s">
        <v>1149</v>
      </c>
      <c r="J14" s="157"/>
    </row>
    <row r="15" spans="1:10" ht="18" customHeight="1">
      <c r="A15" s="142">
        <f t="shared" si="0"/>
        <v>13</v>
      </c>
      <c r="B15" s="156">
        <v>43106</v>
      </c>
      <c r="C15" s="155" t="s">
        <v>1129</v>
      </c>
      <c r="D15" s="157" t="s">
        <v>1248</v>
      </c>
      <c r="E15" s="145">
        <v>1500000</v>
      </c>
      <c r="F15" s="145">
        <v>0</v>
      </c>
      <c r="G15" s="155" t="s">
        <v>1074</v>
      </c>
      <c r="H15" s="155" t="s">
        <v>1247</v>
      </c>
      <c r="I15" s="155" t="s">
        <v>1149</v>
      </c>
      <c r="J15" s="157"/>
    </row>
    <row r="16" spans="1:10" ht="18" customHeight="1">
      <c r="A16" s="142">
        <f t="shared" si="0"/>
        <v>14</v>
      </c>
      <c r="B16" s="156">
        <v>43106</v>
      </c>
      <c r="C16" s="155" t="s">
        <v>1103</v>
      </c>
      <c r="D16" s="157" t="s">
        <v>1104</v>
      </c>
      <c r="E16" s="145">
        <v>7800000</v>
      </c>
      <c r="F16" s="145">
        <v>0</v>
      </c>
      <c r="G16" s="155" t="s">
        <v>1074</v>
      </c>
      <c r="H16" s="155" t="s">
        <v>1247</v>
      </c>
      <c r="I16" s="155" t="s">
        <v>1149</v>
      </c>
      <c r="J16" s="157"/>
    </row>
    <row r="17" spans="1:10" ht="18" customHeight="1">
      <c r="A17" s="142">
        <f t="shared" si="0"/>
        <v>15</v>
      </c>
      <c r="B17" s="156">
        <v>43106</v>
      </c>
      <c r="C17" s="155" t="s">
        <v>1103</v>
      </c>
      <c r="D17" s="157" t="s">
        <v>1105</v>
      </c>
      <c r="E17" s="145">
        <v>1900000</v>
      </c>
      <c r="F17" s="145">
        <v>0</v>
      </c>
      <c r="G17" s="155" t="s">
        <v>1074</v>
      </c>
      <c r="H17" s="155" t="s">
        <v>1247</v>
      </c>
      <c r="I17" s="155" t="s">
        <v>1149</v>
      </c>
      <c r="J17" s="157"/>
    </row>
    <row r="18" spans="1:10" ht="18" customHeight="1">
      <c r="A18" s="142">
        <f t="shared" si="0"/>
        <v>16</v>
      </c>
      <c r="B18" s="156">
        <v>43138</v>
      </c>
      <c r="C18" s="155" t="s">
        <v>1126</v>
      </c>
      <c r="D18" s="157" t="s">
        <v>1127</v>
      </c>
      <c r="E18" s="145">
        <v>139000</v>
      </c>
      <c r="F18" s="145">
        <v>0</v>
      </c>
      <c r="G18" s="155" t="s">
        <v>1062</v>
      </c>
      <c r="H18" s="155" t="s">
        <v>1246</v>
      </c>
      <c r="I18" s="155" t="s">
        <v>1149</v>
      </c>
      <c r="J18" s="157"/>
    </row>
    <row r="19" spans="1:10" ht="18" customHeight="1">
      <c r="A19" s="142">
        <f t="shared" si="0"/>
        <v>17</v>
      </c>
      <c r="B19" s="156">
        <v>43143</v>
      </c>
      <c r="C19" s="155" t="s">
        <v>1066</v>
      </c>
      <c r="D19" s="157" t="s">
        <v>1204</v>
      </c>
      <c r="E19" s="145">
        <v>85000</v>
      </c>
      <c r="F19" s="145">
        <v>0</v>
      </c>
      <c r="G19" s="155" t="s">
        <v>1062</v>
      </c>
      <c r="H19" s="155" t="s">
        <v>1246</v>
      </c>
      <c r="I19" s="155" t="s">
        <v>1149</v>
      </c>
      <c r="J19" s="157"/>
    </row>
    <row r="20" spans="1:10" ht="18" customHeight="1">
      <c r="A20" s="142">
        <f t="shared" si="0"/>
        <v>18</v>
      </c>
      <c r="B20" s="156">
        <v>43150</v>
      </c>
      <c r="C20" s="155" t="s">
        <v>1090</v>
      </c>
      <c r="D20" s="157" t="s">
        <v>1091</v>
      </c>
      <c r="E20" s="145">
        <v>1877400</v>
      </c>
      <c r="F20" s="145">
        <v>0</v>
      </c>
      <c r="G20" s="155" t="s">
        <v>1074</v>
      </c>
      <c r="H20" s="155" t="s">
        <v>1246</v>
      </c>
      <c r="I20" s="155" t="s">
        <v>1149</v>
      </c>
      <c r="J20" s="157"/>
    </row>
    <row r="21" spans="1:10" ht="18" customHeight="1">
      <c r="A21" s="142">
        <f t="shared" si="0"/>
        <v>19</v>
      </c>
      <c r="B21" s="156">
        <v>43151</v>
      </c>
      <c r="C21" s="155" t="s">
        <v>1090</v>
      </c>
      <c r="D21" s="157" t="s">
        <v>1249</v>
      </c>
      <c r="E21" s="145">
        <v>10800</v>
      </c>
      <c r="F21" s="145">
        <v>0</v>
      </c>
      <c r="G21" s="155" t="s">
        <v>1062</v>
      </c>
      <c r="H21" s="155" t="s">
        <v>1246</v>
      </c>
      <c r="I21" s="155" t="s">
        <v>1149</v>
      </c>
      <c r="J21" s="157"/>
    </row>
    <row r="22" spans="1:10" ht="18" customHeight="1">
      <c r="A22" s="142">
        <f t="shared" si="0"/>
        <v>20</v>
      </c>
      <c r="B22" s="156">
        <v>43151</v>
      </c>
      <c r="C22" s="155" t="s">
        <v>1079</v>
      </c>
      <c r="D22" s="157" t="s">
        <v>1080</v>
      </c>
      <c r="E22" s="145">
        <v>85000</v>
      </c>
      <c r="F22" s="145">
        <v>0</v>
      </c>
      <c r="G22" s="155" t="s">
        <v>1062</v>
      </c>
      <c r="H22" s="155" t="s">
        <v>1246</v>
      </c>
      <c r="I22" s="155" t="s">
        <v>1149</v>
      </c>
      <c r="J22" s="157"/>
    </row>
    <row r="23" spans="1:10" ht="18" customHeight="1">
      <c r="A23" s="142">
        <f t="shared" si="0"/>
        <v>21</v>
      </c>
      <c r="B23" s="156">
        <v>43168</v>
      </c>
      <c r="C23" s="155" t="s">
        <v>1117</v>
      </c>
      <c r="D23" s="157" t="s">
        <v>1119</v>
      </c>
      <c r="E23" s="145">
        <v>2700000</v>
      </c>
      <c r="F23" s="145">
        <v>0</v>
      </c>
      <c r="G23" s="155" t="s">
        <v>1062</v>
      </c>
      <c r="H23" s="155" t="s">
        <v>1246</v>
      </c>
      <c r="I23" s="155" t="s">
        <v>1149</v>
      </c>
      <c r="J23" s="157"/>
    </row>
    <row r="24" spans="1:10" ht="18" customHeight="1">
      <c r="A24" s="142">
        <f t="shared" si="0"/>
        <v>22</v>
      </c>
      <c r="B24" s="156">
        <v>43184</v>
      </c>
      <c r="C24" s="155" t="s">
        <v>1122</v>
      </c>
      <c r="D24" s="157" t="s">
        <v>3</v>
      </c>
      <c r="E24" s="145">
        <v>5000000</v>
      </c>
      <c r="F24" s="145">
        <v>0</v>
      </c>
      <c r="G24" s="155" t="s">
        <v>1074</v>
      </c>
      <c r="H24" s="155" t="s">
        <v>1246</v>
      </c>
      <c r="I24" s="155" t="s">
        <v>1149</v>
      </c>
      <c r="J24" s="157"/>
    </row>
    <row r="25" spans="1:10" ht="18" customHeight="1">
      <c r="A25" s="142">
        <f t="shared" si="0"/>
        <v>23</v>
      </c>
      <c r="B25" s="156">
        <v>43185</v>
      </c>
      <c r="C25" s="155" t="s">
        <v>1086</v>
      </c>
      <c r="D25" s="157" t="s">
        <v>1087</v>
      </c>
      <c r="E25" s="145">
        <v>29500</v>
      </c>
      <c r="F25" s="145">
        <v>0</v>
      </c>
      <c r="G25" s="155" t="s">
        <v>1062</v>
      </c>
      <c r="H25" s="155" t="s">
        <v>1246</v>
      </c>
      <c r="I25" s="155" t="s">
        <v>1149</v>
      </c>
      <c r="J25" s="157" t="s">
        <v>1250</v>
      </c>
    </row>
    <row r="26" spans="1:10" ht="18" customHeight="1">
      <c r="A26" s="142">
        <f t="shared" si="0"/>
        <v>24</v>
      </c>
      <c r="B26" s="156">
        <v>43198</v>
      </c>
      <c r="C26" s="155" t="s">
        <v>1066</v>
      </c>
      <c r="D26" s="157" t="s">
        <v>1226</v>
      </c>
      <c r="E26" s="145">
        <v>170000</v>
      </c>
      <c r="F26" s="145">
        <v>595000</v>
      </c>
      <c r="G26" s="155" t="s">
        <v>1062</v>
      </c>
      <c r="H26" s="155" t="s">
        <v>1246</v>
      </c>
      <c r="I26" s="155" t="s">
        <v>1149</v>
      </c>
      <c r="J26" s="157"/>
    </row>
    <row r="27" spans="1:10" ht="18" customHeight="1">
      <c r="A27" s="142">
        <f t="shared" si="0"/>
        <v>25</v>
      </c>
      <c r="B27" s="156">
        <v>43203</v>
      </c>
      <c r="C27" s="155" t="s">
        <v>1116</v>
      </c>
      <c r="D27" s="157" t="s">
        <v>3</v>
      </c>
      <c r="E27" s="145">
        <v>50000000</v>
      </c>
      <c r="F27" s="145">
        <v>0</v>
      </c>
      <c r="G27" s="155" t="s">
        <v>1062</v>
      </c>
      <c r="H27" s="155" t="s">
        <v>1251</v>
      </c>
      <c r="I27" s="155" t="s">
        <v>1149</v>
      </c>
      <c r="J27" s="157"/>
    </row>
    <row r="28" spans="1:10" ht="18" customHeight="1">
      <c r="A28" s="142">
        <f t="shared" si="0"/>
        <v>26</v>
      </c>
      <c r="B28" s="156">
        <v>43204</v>
      </c>
      <c r="C28" s="155" t="s">
        <v>1116</v>
      </c>
      <c r="D28" s="157" t="s">
        <v>3</v>
      </c>
      <c r="E28" s="145">
        <v>20000000</v>
      </c>
      <c r="F28" s="145">
        <v>0</v>
      </c>
      <c r="G28" s="155" t="s">
        <v>1062</v>
      </c>
      <c r="H28" s="155" t="s">
        <v>502</v>
      </c>
      <c r="I28" s="155" t="s">
        <v>1149</v>
      </c>
      <c r="J28" s="157"/>
    </row>
    <row r="29" spans="1:10" ht="18" customHeight="1">
      <c r="A29" s="142">
        <f t="shared" si="0"/>
        <v>27</v>
      </c>
      <c r="B29" s="156">
        <v>43205</v>
      </c>
      <c r="C29" s="155" t="s">
        <v>1088</v>
      </c>
      <c r="D29" s="157" t="s">
        <v>1089</v>
      </c>
      <c r="E29" s="145">
        <v>265000</v>
      </c>
      <c r="F29" s="145">
        <v>0</v>
      </c>
      <c r="G29" s="155" t="s">
        <v>1074</v>
      </c>
      <c r="H29" s="155" t="s">
        <v>502</v>
      </c>
      <c r="I29" s="155" t="s">
        <v>1149</v>
      </c>
      <c r="J29" s="157"/>
    </row>
    <row r="30" spans="1:10" ht="18" customHeight="1">
      <c r="A30" s="142">
        <f t="shared" si="0"/>
        <v>28</v>
      </c>
      <c r="B30" s="156">
        <v>43205</v>
      </c>
      <c r="C30" s="155" t="s">
        <v>1252</v>
      </c>
      <c r="D30" s="157" t="s">
        <v>1098</v>
      </c>
      <c r="E30" s="145">
        <v>440000</v>
      </c>
      <c r="F30" s="145">
        <v>0</v>
      </c>
      <c r="G30" s="155" t="s">
        <v>1074</v>
      </c>
      <c r="H30" s="155" t="s">
        <v>502</v>
      </c>
      <c r="I30" s="155" t="s">
        <v>1149</v>
      </c>
      <c r="J30" s="157"/>
    </row>
    <row r="31" spans="1:10" ht="18" customHeight="1">
      <c r="A31" s="142">
        <f t="shared" si="0"/>
        <v>29</v>
      </c>
      <c r="B31" s="156">
        <v>43205</v>
      </c>
      <c r="C31" s="155" t="s">
        <v>1129</v>
      </c>
      <c r="D31" s="157" t="s">
        <v>1094</v>
      </c>
      <c r="E31" s="145">
        <v>295000</v>
      </c>
      <c r="F31" s="145">
        <v>0</v>
      </c>
      <c r="G31" s="155" t="s">
        <v>1074</v>
      </c>
      <c r="H31" s="155" t="s">
        <v>502</v>
      </c>
      <c r="I31" s="155" t="s">
        <v>1149</v>
      </c>
      <c r="J31" s="157"/>
    </row>
    <row r="32" spans="1:10" ht="18" customHeight="1">
      <c r="A32" s="142">
        <f t="shared" si="0"/>
        <v>30</v>
      </c>
      <c r="B32" s="156">
        <v>43221</v>
      </c>
      <c r="C32" s="155" t="s">
        <v>1124</v>
      </c>
      <c r="D32" s="157" t="s">
        <v>1253</v>
      </c>
      <c r="E32" s="145">
        <v>1000000</v>
      </c>
      <c r="F32" s="145">
        <v>0</v>
      </c>
      <c r="G32" s="155" t="s">
        <v>1075</v>
      </c>
      <c r="H32" s="155" t="s">
        <v>502</v>
      </c>
      <c r="I32" s="155" t="s">
        <v>1149</v>
      </c>
      <c r="J32" s="157"/>
    </row>
    <row r="33" spans="1:10" ht="18" customHeight="1">
      <c r="A33" s="142">
        <f t="shared" si="0"/>
        <v>31</v>
      </c>
      <c r="B33" s="156"/>
      <c r="C33" s="156"/>
      <c r="D33" s="157"/>
      <c r="E33" s="145"/>
      <c r="F33" s="145"/>
      <c r="G33" s="155"/>
      <c r="H33" s="155"/>
      <c r="I33" s="155"/>
      <c r="J33" s="157"/>
    </row>
    <row r="34" spans="1:10" ht="18" customHeight="1">
      <c r="A34" s="142">
        <f t="shared" si="0"/>
        <v>32</v>
      </c>
      <c r="B34" s="156"/>
      <c r="C34" s="156"/>
      <c r="D34" s="157"/>
      <c r="E34" s="145"/>
      <c r="F34" s="145"/>
      <c r="G34" s="155"/>
      <c r="H34" s="155"/>
      <c r="I34" s="155"/>
      <c r="J34" s="157"/>
    </row>
    <row r="35" spans="1:10" ht="18" customHeight="1">
      <c r="A35" s="142">
        <f t="shared" si="0"/>
        <v>33</v>
      </c>
      <c r="B35" s="156"/>
      <c r="C35" s="156"/>
      <c r="D35" s="157"/>
      <c r="E35" s="145"/>
      <c r="F35" s="145"/>
      <c r="G35" s="155"/>
      <c r="H35" s="155"/>
      <c r="I35" s="155"/>
      <c r="J35" s="157"/>
    </row>
    <row r="36" spans="1:10" ht="18" customHeight="1">
      <c r="A36" s="142">
        <f t="shared" si="0"/>
        <v>34</v>
      </c>
      <c r="B36" s="156"/>
      <c r="C36" s="156"/>
      <c r="D36" s="157"/>
      <c r="E36" s="145"/>
      <c r="F36" s="145"/>
      <c r="G36" s="155"/>
      <c r="H36" s="155"/>
      <c r="I36" s="155"/>
      <c r="J36" s="157"/>
    </row>
    <row r="37" spans="1:10" ht="18" customHeight="1">
      <c r="A37" s="142">
        <f t="shared" si="0"/>
        <v>35</v>
      </c>
      <c r="B37" s="156"/>
      <c r="C37" s="156"/>
      <c r="D37" s="157"/>
      <c r="E37" s="145"/>
      <c r="F37" s="145"/>
      <c r="G37" s="155"/>
      <c r="H37" s="155"/>
      <c r="I37" s="155"/>
      <c r="J37" s="157"/>
    </row>
    <row r="38" spans="1:10" ht="18" customHeight="1">
      <c r="A38" s="142">
        <f t="shared" si="0"/>
        <v>36</v>
      </c>
      <c r="B38" s="156"/>
      <c r="C38" s="156"/>
      <c r="D38" s="157"/>
      <c r="E38" s="145"/>
      <c r="F38" s="145"/>
      <c r="G38" s="155"/>
      <c r="H38" s="155"/>
      <c r="I38" s="155"/>
      <c r="J38" s="157"/>
    </row>
    <row r="39" spans="1:10" ht="18" customHeight="1">
      <c r="A39" s="142">
        <f t="shared" si="0"/>
        <v>37</v>
      </c>
      <c r="B39" s="156"/>
      <c r="C39" s="156"/>
      <c r="D39" s="157"/>
      <c r="E39" s="145"/>
      <c r="F39" s="145"/>
      <c r="G39" s="155"/>
      <c r="H39" s="155"/>
      <c r="I39" s="155"/>
      <c r="J39" s="157"/>
    </row>
    <row r="40" spans="1:10" ht="18" customHeight="1">
      <c r="A40" s="142">
        <f t="shared" si="0"/>
        <v>38</v>
      </c>
      <c r="B40" s="156"/>
      <c r="C40" s="156"/>
      <c r="D40" s="157"/>
      <c r="E40" s="145"/>
      <c r="F40" s="145"/>
      <c r="G40" s="155"/>
      <c r="H40" s="155"/>
      <c r="I40" s="155"/>
      <c r="J40" s="157"/>
    </row>
    <row r="41" spans="1:10" ht="18" customHeight="1">
      <c r="A41" s="142">
        <f t="shared" si="0"/>
        <v>39</v>
      </c>
      <c r="B41" s="156"/>
      <c r="C41" s="156"/>
      <c r="D41" s="157"/>
      <c r="E41" s="145"/>
      <c r="F41" s="145"/>
      <c r="G41" s="155"/>
      <c r="H41" s="155"/>
      <c r="I41" s="155"/>
      <c r="J41" s="157"/>
    </row>
    <row r="42" spans="1:10" ht="18" customHeight="1">
      <c r="A42" s="142">
        <f t="shared" si="0"/>
        <v>40</v>
      </c>
      <c r="B42" s="156"/>
      <c r="C42" s="156"/>
      <c r="D42" s="157"/>
      <c r="E42" s="145"/>
      <c r="F42" s="145"/>
      <c r="G42" s="155"/>
      <c r="H42" s="155"/>
      <c r="I42" s="155"/>
      <c r="J42" s="157"/>
    </row>
    <row r="43" spans="1:10" ht="18" customHeight="1">
      <c r="A43" s="142">
        <f t="shared" si="0"/>
        <v>41</v>
      </c>
      <c r="B43" s="156"/>
      <c r="C43" s="156"/>
      <c r="D43" s="157"/>
      <c r="E43" s="145"/>
      <c r="F43" s="145"/>
      <c r="G43" s="155"/>
      <c r="H43" s="155"/>
      <c r="I43" s="155"/>
      <c r="J43" s="157"/>
    </row>
    <row r="44" spans="1:10" ht="18" customHeight="1">
      <c r="A44" s="142">
        <f t="shared" si="0"/>
        <v>42</v>
      </c>
      <c r="B44" s="156"/>
      <c r="C44" s="156"/>
      <c r="D44" s="157"/>
      <c r="E44" s="145"/>
      <c r="F44" s="145"/>
      <c r="G44" s="155"/>
      <c r="H44" s="155"/>
      <c r="I44" s="155"/>
      <c r="J44" s="157"/>
    </row>
    <row r="45" spans="1:10" ht="18" customHeight="1">
      <c r="A45" s="142">
        <f t="shared" si="0"/>
        <v>43</v>
      </c>
      <c r="B45" s="156"/>
      <c r="C45" s="156"/>
      <c r="D45" s="157"/>
      <c r="E45" s="145"/>
      <c r="F45" s="145"/>
      <c r="G45" s="155"/>
      <c r="H45" s="155"/>
      <c r="I45" s="155"/>
      <c r="J45" s="157"/>
    </row>
    <row r="46" spans="1:10" ht="18" customHeight="1">
      <c r="A46" s="142">
        <f t="shared" si="0"/>
        <v>44</v>
      </c>
      <c r="B46" s="156"/>
      <c r="C46" s="156"/>
      <c r="D46" s="157"/>
      <c r="E46" s="145"/>
      <c r="F46" s="145"/>
      <c r="G46" s="155"/>
      <c r="H46" s="155"/>
      <c r="I46" s="155"/>
      <c r="J46" s="157"/>
    </row>
    <row r="47" spans="1:10" ht="18" customHeight="1">
      <c r="A47" s="142">
        <f t="shared" si="0"/>
        <v>45</v>
      </c>
      <c r="B47" s="156"/>
      <c r="C47" s="156"/>
      <c r="D47" s="157"/>
      <c r="E47" s="145"/>
      <c r="F47" s="145"/>
      <c r="G47" s="155"/>
      <c r="H47" s="155"/>
      <c r="I47" s="155"/>
      <c r="J47" s="157"/>
    </row>
    <row r="48" spans="1:10" ht="18" customHeight="1">
      <c r="A48" s="142">
        <f t="shared" si="0"/>
        <v>46</v>
      </c>
      <c r="B48" s="156"/>
      <c r="C48" s="156"/>
      <c r="D48" s="157"/>
      <c r="E48" s="145"/>
      <c r="F48" s="145"/>
      <c r="G48" s="155"/>
      <c r="H48" s="155"/>
      <c r="I48" s="155"/>
      <c r="J48" s="157"/>
    </row>
    <row r="49" spans="1:10" ht="18" customHeight="1">
      <c r="A49" s="142">
        <f t="shared" si="0"/>
        <v>47</v>
      </c>
      <c r="B49" s="156"/>
      <c r="C49" s="156"/>
      <c r="D49" s="157"/>
      <c r="E49" s="145"/>
      <c r="F49" s="145"/>
      <c r="G49" s="155"/>
      <c r="H49" s="155"/>
      <c r="I49" s="155"/>
      <c r="J49" s="157"/>
    </row>
    <row r="50" spans="1:10" ht="18" customHeight="1">
      <c r="A50" s="142">
        <f t="shared" si="0"/>
        <v>48</v>
      </c>
      <c r="B50" s="156"/>
      <c r="C50" s="156"/>
      <c r="D50" s="157"/>
      <c r="E50" s="145"/>
      <c r="F50" s="145"/>
      <c r="G50" s="155"/>
      <c r="H50" s="155"/>
      <c r="I50" s="155"/>
      <c r="J50" s="157"/>
    </row>
    <row r="51" spans="1:10" ht="18" customHeight="1">
      <c r="A51" s="142">
        <f t="shared" si="0"/>
        <v>49</v>
      </c>
      <c r="B51" s="156"/>
      <c r="C51" s="156"/>
      <c r="D51" s="157"/>
      <c r="E51" s="145"/>
      <c r="F51" s="145"/>
      <c r="G51" s="155"/>
      <c r="H51" s="155"/>
      <c r="I51" s="155"/>
      <c r="J51" s="157"/>
    </row>
    <row r="52" spans="1:10" ht="18" customHeight="1">
      <c r="A52" s="142">
        <f t="shared" si="0"/>
        <v>50</v>
      </c>
      <c r="B52" s="156"/>
      <c r="C52" s="156"/>
      <c r="D52" s="157"/>
      <c r="E52" s="145"/>
      <c r="F52" s="145"/>
      <c r="G52" s="155"/>
      <c r="H52" s="155"/>
      <c r="I52" s="155"/>
      <c r="J52" s="157"/>
    </row>
    <row r="53" spans="1:10" ht="18" customHeight="1">
      <c r="A53" s="142">
        <f t="shared" si="0"/>
        <v>51</v>
      </c>
      <c r="B53" s="156"/>
      <c r="C53" s="156"/>
      <c r="D53" s="157"/>
      <c r="E53" s="145"/>
      <c r="F53" s="145"/>
      <c r="G53" s="155"/>
      <c r="H53" s="155"/>
      <c r="I53" s="155"/>
      <c r="J53" s="157"/>
    </row>
    <row r="54" spans="1:10" ht="18" customHeight="1">
      <c r="A54" s="142">
        <f t="shared" si="0"/>
        <v>52</v>
      </c>
      <c r="B54" s="156"/>
      <c r="C54" s="156"/>
      <c r="D54" s="157"/>
      <c r="E54" s="145"/>
      <c r="F54" s="145"/>
      <c r="G54" s="155"/>
      <c r="H54" s="155"/>
      <c r="I54" s="155"/>
      <c r="J54" s="157"/>
    </row>
  </sheetData>
  <autoFilter ref="A2:J54" xr:uid="{00000000-0009-0000-0000-000010000000}">
    <sortState xmlns:xlrd2="http://schemas.microsoft.com/office/spreadsheetml/2017/richdata2" ref="A3:J54">
      <sortCondition ref="B2:B54"/>
    </sortState>
  </autoFilter>
  <mergeCells count="1">
    <mergeCell ref="A1:J1"/>
  </mergeCells>
  <phoneticPr fontId="5" type="noConversion"/>
  <pageMargins left="0.7" right="0.7" top="0.75" bottom="0.75" header="0.3" footer="0.3"/>
  <pageSetup paperSize="9" orientation="portrait" r:id="rId1"/>
  <headerFooter>
    <oddHeader>&amp;R&amp;"Aptos"&amp;13&amp;K000000 [ RESTRICTED ]&amp;1#_x000D_</oddHeader>
    <oddFooter>&amp;R_x000D_&amp;1#&amp;"Aptos"&amp;5&amp;K000000 [Secure Minds, Secure Finds] 본 문서는 현대건설㈜의 정보자산이므로 무단 전제 및 복제할 수 없으며, 이를 위반할 시에는 당사 사규 및 관련 법규에 의해 제지를 받을 수 있습니다.</oddFooter>
  </headerFooter>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L41"/>
  <sheetViews>
    <sheetView topLeftCell="A7" zoomScale="115" zoomScaleNormal="115" workbookViewId="0">
      <selection activeCell="E8" sqref="E8"/>
    </sheetView>
  </sheetViews>
  <sheetFormatPr defaultColWidth="9" defaultRowHeight="13.5"/>
  <cols>
    <col min="1" max="1" width="4.75" style="138" bestFit="1" customWidth="1"/>
    <col min="2" max="2" width="14.75" style="138" customWidth="1"/>
    <col min="3" max="3" width="24.75" style="138" customWidth="1"/>
    <col min="4" max="12" width="11.25" style="138" customWidth="1"/>
    <col min="13" max="16384" width="9" style="138"/>
  </cols>
  <sheetData>
    <row r="1" spans="1:12">
      <c r="A1" s="161" t="s">
        <v>1049</v>
      </c>
      <c r="B1" s="161" t="s">
        <v>449</v>
      </c>
      <c r="C1" s="161" t="s">
        <v>1050</v>
      </c>
      <c r="D1" s="162" t="s">
        <v>1052</v>
      </c>
      <c r="E1" s="163" t="s">
        <v>1057</v>
      </c>
      <c r="F1" s="162" t="s">
        <v>1254</v>
      </c>
      <c r="G1" s="164" t="s">
        <v>1245</v>
      </c>
      <c r="H1" s="164" t="s">
        <v>496</v>
      </c>
      <c r="I1" s="165" t="s">
        <v>494</v>
      </c>
      <c r="J1" s="166" t="s">
        <v>1244</v>
      </c>
      <c r="K1" s="166" t="s">
        <v>1255</v>
      </c>
      <c r="L1" s="167" t="s">
        <v>153</v>
      </c>
    </row>
    <row r="2" spans="1:12">
      <c r="A2" s="40">
        <v>1</v>
      </c>
      <c r="B2" s="168" t="s">
        <v>1072</v>
      </c>
      <c r="C2" s="168" t="s">
        <v>1073</v>
      </c>
      <c r="D2" s="169">
        <v>2000000</v>
      </c>
      <c r="E2" s="170">
        <v>2000000</v>
      </c>
      <c r="F2" s="171">
        <v>43012</v>
      </c>
      <c r="G2" s="172" t="s">
        <v>1074</v>
      </c>
      <c r="H2" s="172" t="s">
        <v>1246</v>
      </c>
      <c r="I2" s="173">
        <v>2000000</v>
      </c>
      <c r="J2" s="174">
        <f t="shared" ref="J2:J9" si="0">E2-I2</f>
        <v>0</v>
      </c>
      <c r="K2" s="174">
        <v>0</v>
      </c>
      <c r="L2" s="175" t="s">
        <v>1069</v>
      </c>
    </row>
    <row r="3" spans="1:12">
      <c r="A3" s="40">
        <v>2</v>
      </c>
      <c r="B3" s="168" t="s">
        <v>1076</v>
      </c>
      <c r="C3" s="168" t="s">
        <v>1073</v>
      </c>
      <c r="D3" s="169">
        <v>5760000</v>
      </c>
      <c r="E3" s="170">
        <v>5760000</v>
      </c>
      <c r="F3" s="171" t="s">
        <v>2</v>
      </c>
      <c r="G3" s="172" t="s">
        <v>2</v>
      </c>
      <c r="H3" s="172" t="s">
        <v>2</v>
      </c>
      <c r="I3" s="173">
        <v>0</v>
      </c>
      <c r="J3" s="174">
        <f t="shared" si="0"/>
        <v>5760000</v>
      </c>
      <c r="K3" s="174">
        <v>5760000</v>
      </c>
      <c r="L3" s="175" t="s">
        <v>1077</v>
      </c>
    </row>
    <row r="4" spans="1:12">
      <c r="A4" s="40">
        <v>3</v>
      </c>
      <c r="B4" s="168" t="s">
        <v>1256</v>
      </c>
      <c r="C4" s="168" t="s">
        <v>1257</v>
      </c>
      <c r="D4" s="169">
        <v>250000</v>
      </c>
      <c r="E4" s="170">
        <v>207025</v>
      </c>
      <c r="F4" s="171">
        <v>43024</v>
      </c>
      <c r="G4" s="172" t="s">
        <v>1074</v>
      </c>
      <c r="H4" s="172" t="s">
        <v>1246</v>
      </c>
      <c r="I4" s="173">
        <v>150000</v>
      </c>
      <c r="J4" s="174">
        <v>57025</v>
      </c>
      <c r="K4" s="174">
        <v>0</v>
      </c>
      <c r="L4" s="175" t="s">
        <v>1069</v>
      </c>
    </row>
    <row r="5" spans="1:12">
      <c r="A5" s="40">
        <v>4</v>
      </c>
      <c r="B5" s="168" t="s">
        <v>1258</v>
      </c>
      <c r="C5" s="168" t="s">
        <v>1085</v>
      </c>
      <c r="D5" s="169">
        <v>9000</v>
      </c>
      <c r="E5" s="170">
        <v>9000</v>
      </c>
      <c r="F5" s="171" t="s">
        <v>2</v>
      </c>
      <c r="G5" s="172" t="s">
        <v>2</v>
      </c>
      <c r="H5" s="172" t="s">
        <v>2</v>
      </c>
      <c r="I5" s="173">
        <v>0</v>
      </c>
      <c r="J5" s="174">
        <v>9000</v>
      </c>
      <c r="K5" s="174">
        <v>0</v>
      </c>
      <c r="L5" s="175" t="s">
        <v>1069</v>
      </c>
    </row>
    <row r="6" spans="1:12">
      <c r="A6" s="40">
        <v>5</v>
      </c>
      <c r="B6" s="168" t="s">
        <v>1259</v>
      </c>
      <c r="C6" s="168" t="s">
        <v>1087</v>
      </c>
      <c r="D6" s="169">
        <v>38500</v>
      </c>
      <c r="E6" s="170">
        <v>0</v>
      </c>
      <c r="F6" s="171" t="s">
        <v>2</v>
      </c>
      <c r="G6" s="172" t="s">
        <v>2</v>
      </c>
      <c r="H6" s="172" t="s">
        <v>2</v>
      </c>
      <c r="I6" s="173">
        <v>0</v>
      </c>
      <c r="J6" s="174">
        <v>38500</v>
      </c>
      <c r="K6" s="174">
        <v>77000</v>
      </c>
      <c r="L6" s="175"/>
    </row>
    <row r="7" spans="1:12">
      <c r="A7" s="40">
        <v>6</v>
      </c>
      <c r="B7" s="168" t="s">
        <v>1088</v>
      </c>
      <c r="C7" s="168" t="s">
        <v>1089</v>
      </c>
      <c r="D7" s="169">
        <v>265000</v>
      </c>
      <c r="E7" s="170">
        <v>265000</v>
      </c>
      <c r="F7" s="171">
        <v>43205</v>
      </c>
      <c r="G7" s="172" t="s">
        <v>1074</v>
      </c>
      <c r="H7" s="172" t="s">
        <v>502</v>
      </c>
      <c r="I7" s="173">
        <v>265000</v>
      </c>
      <c r="J7" s="174">
        <v>0</v>
      </c>
      <c r="K7" s="174">
        <v>0</v>
      </c>
      <c r="L7" s="175" t="s">
        <v>1069</v>
      </c>
    </row>
    <row r="8" spans="1:12">
      <c r="A8" s="40">
        <v>7</v>
      </c>
      <c r="B8" s="168" t="s">
        <v>1090</v>
      </c>
      <c r="C8" s="168" t="s">
        <v>1091</v>
      </c>
      <c r="D8" s="169">
        <v>2000000</v>
      </c>
      <c r="E8" s="170">
        <v>1866600</v>
      </c>
      <c r="F8" s="171">
        <v>43150</v>
      </c>
      <c r="G8" s="172" t="s">
        <v>1074</v>
      </c>
      <c r="H8" s="172" t="s">
        <v>1246</v>
      </c>
      <c r="I8" s="173">
        <v>1877400</v>
      </c>
      <c r="J8" s="174">
        <v>-10800</v>
      </c>
      <c r="K8" s="174">
        <v>0</v>
      </c>
      <c r="L8" s="175" t="s">
        <v>1069</v>
      </c>
    </row>
    <row r="9" spans="1:12">
      <c r="A9" s="40">
        <v>8</v>
      </c>
      <c r="B9" s="168" t="s">
        <v>1260</v>
      </c>
      <c r="C9" s="168" t="s">
        <v>3</v>
      </c>
      <c r="D9" s="169">
        <v>500000</v>
      </c>
      <c r="E9" s="170">
        <v>500000</v>
      </c>
      <c r="F9" s="171" t="s">
        <v>2</v>
      </c>
      <c r="G9" s="172" t="s">
        <v>2</v>
      </c>
      <c r="H9" s="172" t="s">
        <v>2</v>
      </c>
      <c r="I9" s="173">
        <v>0</v>
      </c>
      <c r="J9" s="174">
        <f t="shared" si="0"/>
        <v>500000</v>
      </c>
      <c r="K9" s="174">
        <v>500000</v>
      </c>
      <c r="L9" s="175"/>
    </row>
    <row r="10" spans="1:12">
      <c r="A10" s="705">
        <v>9</v>
      </c>
      <c r="B10" s="798" t="s">
        <v>1129</v>
      </c>
      <c r="C10" s="798" t="s">
        <v>1094</v>
      </c>
      <c r="D10" s="800">
        <v>2044750</v>
      </c>
      <c r="E10" s="802">
        <v>2044750</v>
      </c>
      <c r="F10" s="171">
        <v>43024</v>
      </c>
      <c r="G10" s="172" t="s">
        <v>1074</v>
      </c>
      <c r="H10" s="172" t="s">
        <v>1246</v>
      </c>
      <c r="I10" s="173">
        <v>150000</v>
      </c>
      <c r="J10" s="174">
        <v>0</v>
      </c>
      <c r="K10" s="174">
        <v>0</v>
      </c>
      <c r="L10" s="175"/>
    </row>
    <row r="11" spans="1:12">
      <c r="A11" s="797"/>
      <c r="B11" s="799"/>
      <c r="C11" s="799"/>
      <c r="D11" s="801"/>
      <c r="E11" s="803"/>
      <c r="F11" s="171">
        <v>43106</v>
      </c>
      <c r="G11" s="172" t="s">
        <v>1074</v>
      </c>
      <c r="H11" s="172" t="s">
        <v>1247</v>
      </c>
      <c r="I11" s="173">
        <v>1500000</v>
      </c>
      <c r="J11" s="174">
        <v>0</v>
      </c>
      <c r="K11" s="174">
        <v>0</v>
      </c>
      <c r="L11" s="175"/>
    </row>
    <row r="12" spans="1:12">
      <c r="A12" s="706">
        <f t="shared" ref="A12:A19" si="1">ROW()-1</f>
        <v>11</v>
      </c>
      <c r="B12" s="792"/>
      <c r="C12" s="792"/>
      <c r="D12" s="794"/>
      <c r="E12" s="796"/>
      <c r="F12" s="171">
        <v>43205</v>
      </c>
      <c r="G12" s="172" t="s">
        <v>1074</v>
      </c>
      <c r="H12" s="172" t="s">
        <v>502</v>
      </c>
      <c r="I12" s="173">
        <v>295000</v>
      </c>
      <c r="J12" s="174">
        <v>99750</v>
      </c>
      <c r="K12" s="174">
        <v>779500</v>
      </c>
      <c r="L12" s="175"/>
    </row>
    <row r="13" spans="1:12">
      <c r="A13" s="40">
        <v>10</v>
      </c>
      <c r="B13" s="168" t="s">
        <v>1252</v>
      </c>
      <c r="C13" s="168" t="s">
        <v>1098</v>
      </c>
      <c r="D13" s="169">
        <v>300000</v>
      </c>
      <c r="E13" s="170">
        <v>440000</v>
      </c>
      <c r="F13" s="171">
        <v>43205</v>
      </c>
      <c r="G13" s="172" t="s">
        <v>1074</v>
      </c>
      <c r="H13" s="172" t="s">
        <v>502</v>
      </c>
      <c r="I13" s="173">
        <v>440000</v>
      </c>
      <c r="J13" s="174">
        <v>0</v>
      </c>
      <c r="K13" s="174">
        <v>440000</v>
      </c>
      <c r="L13" s="175"/>
    </row>
    <row r="14" spans="1:12" ht="16.899999999999999" customHeight="1">
      <c r="A14" s="790">
        <v>11</v>
      </c>
      <c r="B14" s="791" t="s">
        <v>1101</v>
      </c>
      <c r="C14" s="791" t="s">
        <v>1102</v>
      </c>
      <c r="D14" s="793">
        <v>1000000</v>
      </c>
      <c r="E14" s="795">
        <v>800000</v>
      </c>
      <c r="F14" s="171">
        <v>43072</v>
      </c>
      <c r="G14" s="172" t="s">
        <v>1074</v>
      </c>
      <c r="H14" s="172" t="s">
        <v>502</v>
      </c>
      <c r="I14" s="173">
        <v>300000</v>
      </c>
      <c r="J14" s="174">
        <v>0</v>
      </c>
      <c r="K14" s="174">
        <v>0</v>
      </c>
      <c r="L14" s="175" t="s">
        <v>1069</v>
      </c>
    </row>
    <row r="15" spans="1:12">
      <c r="A15" s="706">
        <f t="shared" si="1"/>
        <v>14</v>
      </c>
      <c r="B15" s="792"/>
      <c r="C15" s="792"/>
      <c r="D15" s="794"/>
      <c r="E15" s="796"/>
      <c r="F15" s="171">
        <v>43106</v>
      </c>
      <c r="G15" s="172" t="s">
        <v>1074</v>
      </c>
      <c r="H15" s="172" t="s">
        <v>1247</v>
      </c>
      <c r="I15" s="173">
        <v>500000</v>
      </c>
      <c r="J15" s="174">
        <v>0</v>
      </c>
      <c r="K15" s="174">
        <v>0</v>
      </c>
      <c r="L15" s="175" t="s">
        <v>1069</v>
      </c>
    </row>
    <row r="16" spans="1:12">
      <c r="A16" s="790">
        <v>12</v>
      </c>
      <c r="B16" s="791" t="s">
        <v>1103</v>
      </c>
      <c r="C16" s="791" t="s">
        <v>1104</v>
      </c>
      <c r="D16" s="793">
        <v>8000000</v>
      </c>
      <c r="E16" s="795">
        <v>8300000</v>
      </c>
      <c r="F16" s="171">
        <v>43074</v>
      </c>
      <c r="G16" s="172" t="s">
        <v>1074</v>
      </c>
      <c r="H16" s="172" t="s">
        <v>502</v>
      </c>
      <c r="I16" s="173">
        <v>500000</v>
      </c>
      <c r="J16" s="174">
        <v>0</v>
      </c>
      <c r="K16" s="174">
        <v>0</v>
      </c>
      <c r="L16" s="175" t="s">
        <v>1069</v>
      </c>
    </row>
    <row r="17" spans="1:12">
      <c r="A17" s="706">
        <f t="shared" si="1"/>
        <v>16</v>
      </c>
      <c r="B17" s="792"/>
      <c r="C17" s="792"/>
      <c r="D17" s="794"/>
      <c r="E17" s="796"/>
      <c r="F17" s="171">
        <v>43106</v>
      </c>
      <c r="G17" s="172" t="s">
        <v>1074</v>
      </c>
      <c r="H17" s="172" t="s">
        <v>1247</v>
      </c>
      <c r="I17" s="173">
        <v>7800000</v>
      </c>
      <c r="J17" s="174">
        <v>0</v>
      </c>
      <c r="K17" s="174">
        <v>0</v>
      </c>
      <c r="L17" s="175" t="s">
        <v>1069</v>
      </c>
    </row>
    <row r="18" spans="1:12">
      <c r="A18" s="790">
        <v>13</v>
      </c>
      <c r="B18" s="791" t="s">
        <v>1103</v>
      </c>
      <c r="C18" s="791" t="s">
        <v>1105</v>
      </c>
      <c r="D18" s="793">
        <v>3000000</v>
      </c>
      <c r="E18" s="795">
        <v>2800000</v>
      </c>
      <c r="F18" s="171">
        <v>43074</v>
      </c>
      <c r="G18" s="172" t="s">
        <v>1074</v>
      </c>
      <c r="H18" s="172" t="s">
        <v>502</v>
      </c>
      <c r="I18" s="173">
        <v>900000</v>
      </c>
      <c r="J18" s="174">
        <v>0</v>
      </c>
      <c r="K18" s="174">
        <v>0</v>
      </c>
      <c r="L18" s="175" t="s">
        <v>1069</v>
      </c>
    </row>
    <row r="19" spans="1:12">
      <c r="A19" s="706">
        <f t="shared" si="1"/>
        <v>18</v>
      </c>
      <c r="B19" s="792"/>
      <c r="C19" s="792"/>
      <c r="D19" s="794"/>
      <c r="E19" s="796"/>
      <c r="F19" s="171">
        <v>43106</v>
      </c>
      <c r="G19" s="172" t="s">
        <v>1074</v>
      </c>
      <c r="H19" s="172" t="s">
        <v>1247</v>
      </c>
      <c r="I19" s="173">
        <v>1900000</v>
      </c>
      <c r="J19" s="174">
        <v>0</v>
      </c>
      <c r="K19" s="174">
        <v>0</v>
      </c>
      <c r="L19" s="175" t="s">
        <v>1069</v>
      </c>
    </row>
    <row r="20" spans="1:12">
      <c r="A20" s="40">
        <v>14</v>
      </c>
      <c r="B20" s="168" t="s">
        <v>1110</v>
      </c>
      <c r="C20" s="168" t="s">
        <v>1111</v>
      </c>
      <c r="D20" s="169">
        <v>500000</v>
      </c>
      <c r="E20" s="170">
        <v>300000</v>
      </c>
      <c r="F20" s="171">
        <v>43072</v>
      </c>
      <c r="G20" s="172" t="s">
        <v>1074</v>
      </c>
      <c r="H20" s="172" t="s">
        <v>502</v>
      </c>
      <c r="I20" s="173">
        <v>300000</v>
      </c>
      <c r="J20" s="174">
        <f t="shared" ref="J20" si="2">E20-I20</f>
        <v>0</v>
      </c>
      <c r="K20" s="174">
        <v>0</v>
      </c>
      <c r="L20" s="175" t="s">
        <v>1069</v>
      </c>
    </row>
    <row r="21" spans="1:12">
      <c r="A21" s="40">
        <v>16</v>
      </c>
      <c r="B21" s="168" t="s">
        <v>1122</v>
      </c>
      <c r="C21" s="168" t="s">
        <v>1261</v>
      </c>
      <c r="D21" s="169">
        <v>7000000</v>
      </c>
      <c r="E21" s="170">
        <v>7008178</v>
      </c>
      <c r="F21" s="171">
        <v>43184</v>
      </c>
      <c r="G21" s="172" t="s">
        <v>1074</v>
      </c>
      <c r="H21" s="172" t="s">
        <v>1246</v>
      </c>
      <c r="I21" s="173">
        <v>5000000</v>
      </c>
      <c r="J21" s="174">
        <v>2008178</v>
      </c>
      <c r="K21" s="174">
        <v>0</v>
      </c>
      <c r="L21" s="175" t="s">
        <v>1069</v>
      </c>
    </row>
    <row r="22" spans="1:12">
      <c r="A22" s="40">
        <v>17</v>
      </c>
      <c r="B22" s="168" t="s">
        <v>1124</v>
      </c>
      <c r="C22" s="168" t="s">
        <v>1113</v>
      </c>
      <c r="D22" s="169">
        <v>1000000</v>
      </c>
      <c r="E22" s="170">
        <v>425000</v>
      </c>
      <c r="F22" s="171" t="s">
        <v>2</v>
      </c>
      <c r="G22" s="172" t="s">
        <v>2</v>
      </c>
      <c r="H22" s="172" t="s">
        <v>2</v>
      </c>
      <c r="I22" s="173">
        <v>0</v>
      </c>
      <c r="J22" s="174">
        <v>425000</v>
      </c>
      <c r="K22" s="174" t="s">
        <v>1113</v>
      </c>
      <c r="L22" s="175"/>
    </row>
    <row r="23" spans="1:12">
      <c r="A23" s="787" t="s">
        <v>1128</v>
      </c>
      <c r="B23" s="788"/>
      <c r="C23" s="789"/>
      <c r="D23" s="176">
        <f>SUM(D2:D22)</f>
        <v>33667250</v>
      </c>
      <c r="E23" s="177">
        <f>SUM(E2:E22)</f>
        <v>32725553</v>
      </c>
      <c r="F23" s="178" t="s">
        <v>2</v>
      </c>
      <c r="G23" s="179" t="s">
        <v>2</v>
      </c>
      <c r="H23" s="179" t="s">
        <v>2</v>
      </c>
      <c r="I23" s="177">
        <f>SUM(I2:I22)</f>
        <v>23877400</v>
      </c>
      <c r="J23" s="180">
        <f>SUM(J2:J22)</f>
        <v>8886653</v>
      </c>
      <c r="K23" s="180">
        <f>SUM(K2:K22)</f>
        <v>7556500</v>
      </c>
      <c r="L23" s="181"/>
    </row>
    <row r="38" ht="18" customHeight="1"/>
    <row r="39" ht="18" customHeight="1"/>
    <row r="40" ht="18" customHeight="1"/>
    <row r="41" ht="18" customHeight="1"/>
  </sheetData>
  <mergeCells count="21">
    <mergeCell ref="A14:A15"/>
    <mergeCell ref="B14:B15"/>
    <mergeCell ref="C14:C15"/>
    <mergeCell ref="D14:D15"/>
    <mergeCell ref="E14:E15"/>
    <mergeCell ref="A10:A12"/>
    <mergeCell ref="B10:B12"/>
    <mergeCell ref="C10:C12"/>
    <mergeCell ref="D10:D12"/>
    <mergeCell ref="E10:E12"/>
    <mergeCell ref="E16:E17"/>
    <mergeCell ref="A18:A19"/>
    <mergeCell ref="B18:B19"/>
    <mergeCell ref="C18:C19"/>
    <mergeCell ref="D18:D19"/>
    <mergeCell ref="E18:E19"/>
    <mergeCell ref="A23:C23"/>
    <mergeCell ref="A16:A17"/>
    <mergeCell ref="B16:B17"/>
    <mergeCell ref="C16:C17"/>
    <mergeCell ref="D16:D17"/>
  </mergeCells>
  <phoneticPr fontId="5" type="noConversion"/>
  <conditionalFormatting sqref="A2:A11">
    <cfRule type="expression" dxfId="40" priority="31">
      <formula>FIND("지불 완료",L2)</formula>
    </cfRule>
  </conditionalFormatting>
  <conditionalFormatting sqref="A13:A14 A20:A22">
    <cfRule type="expression" dxfId="39" priority="113">
      <formula>FIND("지불 완료",L13)</formula>
    </cfRule>
  </conditionalFormatting>
  <conditionalFormatting sqref="A16">
    <cfRule type="expression" dxfId="38" priority="23">
      <formula>FIND("지불 완료",L16)</formula>
    </cfRule>
  </conditionalFormatting>
  <conditionalFormatting sqref="A18">
    <cfRule type="expression" dxfId="37" priority="39">
      <formula>FIND("지불 완료",L18)</formula>
    </cfRule>
  </conditionalFormatting>
  <conditionalFormatting sqref="B2:B11">
    <cfRule type="expression" dxfId="36" priority="30">
      <formula>FIND("지불 완료",L2)</formula>
    </cfRule>
  </conditionalFormatting>
  <conditionalFormatting sqref="B13:B14 B20:B22">
    <cfRule type="expression" dxfId="35" priority="112">
      <formula>FIND("지불 완료",L13)</formula>
    </cfRule>
  </conditionalFormatting>
  <conditionalFormatting sqref="B16">
    <cfRule type="expression" dxfId="34" priority="22">
      <formula>FIND("지불 완료",L16)</formula>
    </cfRule>
  </conditionalFormatting>
  <conditionalFormatting sqref="B18">
    <cfRule type="expression" dxfId="33" priority="38">
      <formula>FIND("지불 완료",L18)</formula>
    </cfRule>
  </conditionalFormatting>
  <conditionalFormatting sqref="C2:C11">
    <cfRule type="expression" dxfId="32" priority="25">
      <formula>FIND("지불 완료",L2)</formula>
    </cfRule>
  </conditionalFormatting>
  <conditionalFormatting sqref="C13:C14">
    <cfRule type="expression" dxfId="31" priority="61">
      <formula>FIND("지불 완료",L13)</formula>
    </cfRule>
  </conditionalFormatting>
  <conditionalFormatting sqref="C16">
    <cfRule type="expression" dxfId="30" priority="17">
      <formula>FIND("지불 완료",L16)</formula>
    </cfRule>
  </conditionalFormatting>
  <conditionalFormatting sqref="C18">
    <cfRule type="expression" dxfId="29" priority="33">
      <formula>FIND("지불 완료",L18)</formula>
    </cfRule>
  </conditionalFormatting>
  <conditionalFormatting sqref="C20:C22">
    <cfRule type="expression" dxfId="28" priority="50">
      <formula>FIND("지불 완료",L20)</formula>
    </cfRule>
  </conditionalFormatting>
  <conditionalFormatting sqref="D2:D11">
    <cfRule type="expression" dxfId="27" priority="26">
      <formula>FIND("지불 완료",L2)</formula>
    </cfRule>
    <cfRule type="expression" dxfId="26" priority="28">
      <formula>FIND("지불 완료",#REF!)</formula>
    </cfRule>
  </conditionalFormatting>
  <conditionalFormatting sqref="D13:D14 D20:D22">
    <cfRule type="expression" dxfId="25" priority="62">
      <formula>FIND("지불 완료",L13)</formula>
    </cfRule>
  </conditionalFormatting>
  <conditionalFormatting sqref="D16">
    <cfRule type="expression" dxfId="24" priority="18">
      <formula>FIND("지불 완료",L16)</formula>
    </cfRule>
  </conditionalFormatting>
  <conditionalFormatting sqref="D18">
    <cfRule type="expression" dxfId="23" priority="34">
      <formula>FIND("지불 완료",L18)</formula>
    </cfRule>
  </conditionalFormatting>
  <conditionalFormatting sqref="D16:E16">
    <cfRule type="expression" dxfId="22" priority="20">
      <formula>FIND("지불 완료",#REF!)</formula>
    </cfRule>
  </conditionalFormatting>
  <conditionalFormatting sqref="D13:H14">
    <cfRule type="expression" dxfId="21" priority="76">
      <formula>FIND("지불 완료",#REF!)</formula>
    </cfRule>
  </conditionalFormatting>
  <conditionalFormatting sqref="D18:H18">
    <cfRule type="expression" dxfId="20" priority="36">
      <formula>FIND("지불 완료",#REF!)</formula>
    </cfRule>
  </conditionalFormatting>
  <conditionalFormatting sqref="D21:K22">
    <cfRule type="expression" dxfId="19" priority="51">
      <formula>FIND("지불 완료",#REF!)</formula>
    </cfRule>
  </conditionalFormatting>
  <conditionalFormatting sqref="E2:E11">
    <cfRule type="expression" dxfId="18" priority="24">
      <formula>FIND("지불 완료",L2)</formula>
    </cfRule>
  </conditionalFormatting>
  <conditionalFormatting sqref="E10:E11">
    <cfRule type="expression" dxfId="17" priority="29">
      <formula>FIND("지불 완료",#REF!)</formula>
    </cfRule>
  </conditionalFormatting>
  <conditionalFormatting sqref="E13:E14 E20:E22">
    <cfRule type="expression" dxfId="16" priority="48">
      <formula>FIND("지불 완료",L13)</formula>
    </cfRule>
  </conditionalFormatting>
  <conditionalFormatting sqref="E16">
    <cfRule type="expression" dxfId="15" priority="16">
      <formula>FIND("지불 완료",L16)</formula>
    </cfRule>
  </conditionalFormatting>
  <conditionalFormatting sqref="E18">
    <cfRule type="expression" dxfId="14" priority="32">
      <formula>FIND("지불 완료",L18)</formula>
    </cfRule>
  </conditionalFormatting>
  <conditionalFormatting sqref="E2:I9">
    <cfRule type="expression" dxfId="13" priority="93">
      <formula>FIND("지불 완료",#REF!)</formula>
    </cfRule>
  </conditionalFormatting>
  <conditionalFormatting sqref="F2:F22">
    <cfRule type="expression" dxfId="12" priority="4">
      <formula>FIND("지불 완료",L2)</formula>
    </cfRule>
  </conditionalFormatting>
  <conditionalFormatting sqref="F10:H12">
    <cfRule type="expression" dxfId="11" priority="8">
      <formula>FIND("지불 완료",#REF!)</formula>
    </cfRule>
  </conditionalFormatting>
  <conditionalFormatting sqref="F15:H17">
    <cfRule type="expression" dxfId="10" priority="14">
      <formula>FIND("지불 완료",#REF!)</formula>
    </cfRule>
  </conditionalFormatting>
  <conditionalFormatting sqref="F19:H19">
    <cfRule type="expression" dxfId="9" priority="43">
      <formula>FIND("지불 완료",#REF!)</formula>
    </cfRule>
  </conditionalFormatting>
  <conditionalFormatting sqref="F23:H23">
    <cfRule type="expression" dxfId="8" priority="108">
      <formula>FIND("지불 완료",#REF!)</formula>
    </cfRule>
  </conditionalFormatting>
  <conditionalFormatting sqref="G2:G22">
    <cfRule type="expression" dxfId="7" priority="3">
      <formula>FIND("지불 완료",L2)</formula>
    </cfRule>
  </conditionalFormatting>
  <conditionalFormatting sqref="H2:H22">
    <cfRule type="expression" dxfId="6" priority="2">
      <formula>FIND("지불 완료",L2)</formula>
    </cfRule>
  </conditionalFormatting>
  <conditionalFormatting sqref="I2:I22">
    <cfRule type="expression" dxfId="5" priority="5">
      <formula>FIND("지불 완료",L2)</formula>
    </cfRule>
  </conditionalFormatting>
  <conditionalFormatting sqref="I10:I19">
    <cfRule type="expression" dxfId="4" priority="9">
      <formula>FIND("지불 완료",#REF!)</formula>
    </cfRule>
  </conditionalFormatting>
  <conditionalFormatting sqref="J2:J22">
    <cfRule type="expression" dxfId="3" priority="1">
      <formula>FIND("지불 완료",L2)</formula>
    </cfRule>
  </conditionalFormatting>
  <conditionalFormatting sqref="J2:K19">
    <cfRule type="expression" dxfId="2" priority="10">
      <formula>FIND("지불 완료",#REF!)</formula>
    </cfRule>
  </conditionalFormatting>
  <conditionalFormatting sqref="K2:K22">
    <cfRule type="expression" dxfId="1" priority="6">
      <formula>FIND("지불 완료",L2)</formula>
    </cfRule>
  </conditionalFormatting>
  <conditionalFormatting sqref="L2:L22">
    <cfRule type="expression" dxfId="0" priority="7">
      <formula>FIND("지불 완료",L2)</formula>
    </cfRule>
  </conditionalFormatting>
  <pageMargins left="0.7" right="0.7" top="0.75" bottom="0.75" header="0.3" footer="0.3"/>
  <pageSetup paperSize="9" orientation="portrait" r:id="rId1"/>
  <headerFooter>
    <oddHeader>&amp;R&amp;"Aptos"&amp;13&amp;K000000 [ RESTRICTED ]&amp;1#_x000D_</oddHeader>
    <oddFooter>&amp;R_x000D_&amp;1#&amp;"Aptos"&amp;5&amp;K000000 [Secure Minds, Secure Finds] 본 문서는 현대건설㈜의 정보자산이므로 무단 전제 및 복제할 수 없으며, 이를 위반할 시에는 당사 사규 및 관련 법규에 의해 제지를 받을 수 있습니다.</oddFooter>
  </headerFooter>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I10"/>
  <sheetViews>
    <sheetView zoomScale="115" zoomScaleNormal="115" workbookViewId="0">
      <selection activeCell="E8" sqref="E8"/>
    </sheetView>
  </sheetViews>
  <sheetFormatPr defaultColWidth="9" defaultRowHeight="13.5"/>
  <cols>
    <col min="1" max="1" width="5.5" style="4" customWidth="1"/>
    <col min="2" max="2" width="13.75" style="114" customWidth="1"/>
    <col min="3" max="3" width="31.375" style="58" customWidth="1"/>
    <col min="4" max="5" width="12.875" style="115" customWidth="1"/>
    <col min="6" max="6" width="10.375" style="58" bestFit="1" customWidth="1"/>
    <col min="7" max="7" width="21.375" style="58" bestFit="1" customWidth="1"/>
    <col min="8" max="8" width="10.375" style="58" bestFit="1" customWidth="1"/>
    <col min="9" max="9" width="47.375" style="117" customWidth="1"/>
    <col min="10" max="16384" width="9" style="107"/>
  </cols>
  <sheetData>
    <row r="1" spans="1:9" ht="33" customHeight="1">
      <c r="A1" s="522" t="s">
        <v>1262</v>
      </c>
      <c r="B1" s="522"/>
      <c r="C1" s="522"/>
      <c r="D1" s="522"/>
      <c r="E1" s="522"/>
      <c r="F1" s="522"/>
      <c r="G1" s="522"/>
      <c r="H1" s="522"/>
      <c r="I1" s="522"/>
    </row>
    <row r="2" spans="1:9" s="58" customFormat="1" ht="18" customHeight="1">
      <c r="A2" s="40" t="s">
        <v>490</v>
      </c>
      <c r="B2" s="109" t="s">
        <v>1139</v>
      </c>
      <c r="C2" s="109" t="s">
        <v>1050</v>
      </c>
      <c r="D2" s="112" t="s">
        <v>1140</v>
      </c>
      <c r="E2" s="112" t="s">
        <v>1141</v>
      </c>
      <c r="F2" s="109" t="s">
        <v>1142</v>
      </c>
      <c r="G2" s="109" t="s">
        <v>1143</v>
      </c>
      <c r="H2" s="109" t="s">
        <v>1145</v>
      </c>
      <c r="I2" s="109" t="s">
        <v>153</v>
      </c>
    </row>
    <row r="3" spans="1:9" s="58" customFormat="1" ht="18" customHeight="1">
      <c r="A3" s="40">
        <f>ROW()-2</f>
        <v>1</v>
      </c>
      <c r="B3" s="50">
        <v>43187</v>
      </c>
      <c r="C3" s="182" t="s">
        <v>1215</v>
      </c>
      <c r="D3" s="112">
        <v>700000</v>
      </c>
      <c r="E3" s="112">
        <f>7000000-D3</f>
        <v>6300000</v>
      </c>
      <c r="F3" s="109" t="s">
        <v>1047</v>
      </c>
      <c r="G3" s="109" t="s">
        <v>1148</v>
      </c>
      <c r="H3" s="109" t="s">
        <v>1149</v>
      </c>
      <c r="I3" s="182"/>
    </row>
    <row r="4" spans="1:9" s="58" customFormat="1" ht="18" customHeight="1">
      <c r="A4" s="40">
        <f t="shared" ref="A4:A10" si="0">ROW()-2</f>
        <v>2</v>
      </c>
      <c r="B4" s="50">
        <v>43192</v>
      </c>
      <c r="C4" s="182" t="s">
        <v>1263</v>
      </c>
      <c r="D4" s="112">
        <v>329000</v>
      </c>
      <c r="E4" s="112">
        <f>E3-D4</f>
        <v>5971000</v>
      </c>
      <c r="F4" s="109" t="s">
        <v>1264</v>
      </c>
      <c r="G4" s="109" t="s">
        <v>1265</v>
      </c>
      <c r="H4" s="109" t="s">
        <v>1149</v>
      </c>
      <c r="I4" s="109"/>
    </row>
    <row r="5" spans="1:9" s="58" customFormat="1" ht="18" customHeight="1">
      <c r="A5" s="40">
        <f t="shared" si="0"/>
        <v>3</v>
      </c>
      <c r="B5" s="50">
        <v>43192</v>
      </c>
      <c r="C5" s="182" t="s">
        <v>1266</v>
      </c>
      <c r="D5" s="112">
        <v>25000</v>
      </c>
      <c r="E5" s="112">
        <f t="shared" ref="E5:E10" si="1">E4-D5</f>
        <v>5946000</v>
      </c>
      <c r="F5" s="109" t="s">
        <v>1264</v>
      </c>
      <c r="G5" s="109" t="s">
        <v>1267</v>
      </c>
      <c r="H5" s="109" t="s">
        <v>1149</v>
      </c>
      <c r="I5" s="182" t="s">
        <v>1191</v>
      </c>
    </row>
    <row r="6" spans="1:9" s="58" customFormat="1" ht="81">
      <c r="A6" s="40">
        <f t="shared" si="0"/>
        <v>4</v>
      </c>
      <c r="B6" s="50">
        <v>43199</v>
      </c>
      <c r="C6" s="182" t="s">
        <v>1228</v>
      </c>
      <c r="D6" s="112">
        <v>2700000</v>
      </c>
      <c r="E6" s="112">
        <f t="shared" si="1"/>
        <v>3246000</v>
      </c>
      <c r="F6" s="109" t="s">
        <v>1047</v>
      </c>
      <c r="G6" s="109" t="s">
        <v>502</v>
      </c>
      <c r="H6" s="109" t="s">
        <v>1149</v>
      </c>
      <c r="I6" s="183" t="s">
        <v>1229</v>
      </c>
    </row>
    <row r="7" spans="1:9" s="58" customFormat="1" ht="18" customHeight="1">
      <c r="A7" s="40">
        <f t="shared" si="0"/>
        <v>5</v>
      </c>
      <c r="B7" s="50">
        <v>43204</v>
      </c>
      <c r="C7" s="182" t="s">
        <v>1228</v>
      </c>
      <c r="D7" s="112">
        <v>850000</v>
      </c>
      <c r="E7" s="112">
        <f t="shared" si="1"/>
        <v>2396000</v>
      </c>
      <c r="F7" s="109" t="s">
        <v>1047</v>
      </c>
      <c r="G7" s="109" t="s">
        <v>502</v>
      </c>
      <c r="H7" s="109" t="s">
        <v>70</v>
      </c>
      <c r="I7" s="182" t="s">
        <v>1231</v>
      </c>
    </row>
    <row r="8" spans="1:9" s="58" customFormat="1" ht="18" customHeight="1">
      <c r="A8" s="40">
        <f t="shared" si="0"/>
        <v>6</v>
      </c>
      <c r="B8" s="50">
        <v>43218</v>
      </c>
      <c r="C8" s="182" t="s">
        <v>1237</v>
      </c>
      <c r="D8" s="112">
        <v>302750</v>
      </c>
      <c r="E8" s="112">
        <f t="shared" si="1"/>
        <v>2093250</v>
      </c>
      <c r="F8" s="109" t="s">
        <v>1047</v>
      </c>
      <c r="G8" s="109" t="s">
        <v>1148</v>
      </c>
      <c r="H8" s="109"/>
      <c r="I8" s="109"/>
    </row>
    <row r="9" spans="1:9" s="58" customFormat="1" ht="18" customHeight="1">
      <c r="A9" s="40">
        <f t="shared" si="0"/>
        <v>7</v>
      </c>
      <c r="B9" s="50">
        <v>43220</v>
      </c>
      <c r="C9" s="182" t="s">
        <v>1238</v>
      </c>
      <c r="D9" s="112">
        <v>601428</v>
      </c>
      <c r="E9" s="112">
        <f t="shared" si="1"/>
        <v>1491822</v>
      </c>
      <c r="F9" s="109" t="s">
        <v>1047</v>
      </c>
      <c r="G9" s="109" t="s">
        <v>502</v>
      </c>
      <c r="H9" s="109"/>
      <c r="I9" s="182" t="s">
        <v>1191</v>
      </c>
    </row>
    <row r="10" spans="1:9" s="58" customFormat="1" ht="18" customHeight="1">
      <c r="A10" s="40">
        <f t="shared" si="0"/>
        <v>8</v>
      </c>
      <c r="B10" s="50">
        <v>43221</v>
      </c>
      <c r="C10" s="182" t="s">
        <v>502</v>
      </c>
      <c r="D10" s="112">
        <v>1500000</v>
      </c>
      <c r="E10" s="112">
        <f t="shared" si="1"/>
        <v>-8178</v>
      </c>
      <c r="F10" s="109" t="s">
        <v>1047</v>
      </c>
      <c r="G10" s="109" t="s">
        <v>502</v>
      </c>
      <c r="H10" s="109"/>
      <c r="I10" s="182" t="s">
        <v>1191</v>
      </c>
    </row>
  </sheetData>
  <mergeCells count="1">
    <mergeCell ref="A1:I1"/>
  </mergeCells>
  <phoneticPr fontId="5" type="noConversion"/>
  <pageMargins left="0.7" right="0.7" top="0.75" bottom="0.75" header="0.3" footer="0.3"/>
  <pageSetup paperSize="9" orientation="portrait" r:id="rId1"/>
  <headerFooter>
    <oddHeader>&amp;R&amp;"Aptos"&amp;13&amp;K000000 [ RESTRICTED ]&amp;1#_x000D_</oddHeader>
    <oddFooter>&amp;R_x000D_&amp;1#&amp;"Aptos"&amp;5&amp;K000000 [Secure Minds, Secure Finds] 본 문서는 현대건설㈜의 정보자산이므로 무단 전제 및 복제할 수 없으며, 이를 위반할 시에는 당사 사규 및 관련 법규에 의해 제지를 받을 수 있습니다.</oddFooter>
  </headerFooter>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3915B1-8B18-4D3A-817E-362CE319D540}">
  <dimension ref="A1:J53"/>
  <sheetViews>
    <sheetView zoomScale="115" zoomScaleNormal="115" workbookViewId="0">
      <selection activeCell="H8" sqref="H8:H14"/>
    </sheetView>
  </sheetViews>
  <sheetFormatPr defaultColWidth="9" defaultRowHeight="13.5"/>
  <cols>
    <col min="1" max="1" width="5.5" style="4" customWidth="1"/>
    <col min="2" max="2" width="13.75" style="114" customWidth="1"/>
    <col min="3" max="3" width="31.375" style="5" customWidth="1"/>
    <col min="4" max="4" width="21.875" style="58" customWidth="1"/>
    <col min="5" max="6" width="12.875" style="115" customWidth="1"/>
    <col min="7" max="7" width="10.375" style="58" bestFit="1" customWidth="1"/>
    <col min="8" max="8" width="21.375" style="5" bestFit="1" customWidth="1"/>
    <col min="9" max="9" width="10.375" style="5" bestFit="1" customWidth="1"/>
    <col min="10" max="10" width="33.75" style="514" customWidth="1"/>
    <col min="11" max="16384" width="9" style="4"/>
  </cols>
  <sheetData>
    <row r="1" spans="1:10" ht="33" customHeight="1">
      <c r="A1" s="804" t="s">
        <v>3477</v>
      </c>
      <c r="B1" s="804"/>
      <c r="C1" s="804"/>
      <c r="D1" s="804"/>
      <c r="E1" s="804"/>
      <c r="F1" s="804"/>
      <c r="G1" s="804"/>
      <c r="H1" s="804"/>
      <c r="I1" s="804"/>
      <c r="J1" s="804"/>
    </row>
    <row r="2" spans="1:10" s="5" customFormat="1" ht="18" customHeight="1">
      <c r="A2" s="142" t="s">
        <v>490</v>
      </c>
      <c r="B2" s="142" t="s">
        <v>1139</v>
      </c>
      <c r="C2" s="142" t="s">
        <v>3476</v>
      </c>
      <c r="D2" s="155" t="s">
        <v>1050</v>
      </c>
      <c r="E2" s="145" t="s">
        <v>1140</v>
      </c>
      <c r="F2" s="145" t="s">
        <v>1141</v>
      </c>
      <c r="G2" s="155" t="s">
        <v>1142</v>
      </c>
      <c r="H2" s="142" t="s">
        <v>3475</v>
      </c>
      <c r="I2" s="142" t="s">
        <v>3474</v>
      </c>
      <c r="J2" s="142" t="s">
        <v>3473</v>
      </c>
    </row>
    <row r="3" spans="1:10" s="5" customFormat="1" ht="18" customHeight="1">
      <c r="A3" s="142">
        <f t="shared" ref="A3:A34" si="0">ROW()-2</f>
        <v>1</v>
      </c>
      <c r="B3" s="156">
        <v>43141</v>
      </c>
      <c r="C3" s="515" t="s">
        <v>3472</v>
      </c>
      <c r="D3" s="155" t="s">
        <v>3463</v>
      </c>
      <c r="E3" s="145">
        <v>85000</v>
      </c>
      <c r="F3" s="145">
        <f>20000000-E3</f>
        <v>19915000</v>
      </c>
      <c r="G3" s="155" t="s">
        <v>1047</v>
      </c>
      <c r="H3" s="142" t="s">
        <v>3462</v>
      </c>
      <c r="I3" s="142" t="s">
        <v>1149</v>
      </c>
      <c r="J3" s="515" t="s">
        <v>3471</v>
      </c>
    </row>
    <row r="4" spans="1:10" s="5" customFormat="1" ht="18" customHeight="1">
      <c r="A4" s="142">
        <f t="shared" si="0"/>
        <v>2</v>
      </c>
      <c r="B4" s="156">
        <v>43198</v>
      </c>
      <c r="C4" s="515" t="s">
        <v>3470</v>
      </c>
      <c r="D4" s="155" t="s">
        <v>3463</v>
      </c>
      <c r="E4" s="145">
        <v>170000</v>
      </c>
      <c r="F4" s="145">
        <f t="shared" ref="F4:F35" si="1">F3-E4</f>
        <v>19745000</v>
      </c>
      <c r="G4" s="155" t="s">
        <v>1047</v>
      </c>
      <c r="H4" s="142" t="s">
        <v>3462</v>
      </c>
      <c r="I4" s="142"/>
      <c r="J4" s="515" t="s">
        <v>3469</v>
      </c>
    </row>
    <row r="5" spans="1:10" s="5" customFormat="1" ht="18" customHeight="1">
      <c r="A5" s="142">
        <f t="shared" si="0"/>
        <v>3</v>
      </c>
      <c r="B5" s="156">
        <v>43350</v>
      </c>
      <c r="C5" s="515" t="s">
        <v>3468</v>
      </c>
      <c r="D5" s="155" t="s">
        <v>3467</v>
      </c>
      <c r="E5" s="145">
        <v>91140</v>
      </c>
      <c r="F5" s="145">
        <f t="shared" si="1"/>
        <v>19653860</v>
      </c>
      <c r="G5" s="155" t="s">
        <v>1047</v>
      </c>
      <c r="H5" s="142" t="s">
        <v>3466</v>
      </c>
      <c r="I5" s="142"/>
      <c r="J5" s="515"/>
    </row>
    <row r="6" spans="1:10" s="5" customFormat="1" ht="18" customHeight="1">
      <c r="A6" s="142">
        <f t="shared" si="0"/>
        <v>4</v>
      </c>
      <c r="B6" s="156">
        <v>43401</v>
      </c>
      <c r="C6" s="515" t="s">
        <v>3465</v>
      </c>
      <c r="D6" s="155" t="s">
        <v>3463</v>
      </c>
      <c r="E6" s="145">
        <v>2800000</v>
      </c>
      <c r="F6" s="145">
        <f t="shared" si="1"/>
        <v>16853860</v>
      </c>
      <c r="G6" s="155" t="s">
        <v>1047</v>
      </c>
      <c r="H6" s="142" t="s">
        <v>3462</v>
      </c>
      <c r="I6" s="142"/>
      <c r="J6" s="515" t="s">
        <v>3461</v>
      </c>
    </row>
    <row r="7" spans="1:10" s="5" customFormat="1" ht="18" customHeight="1">
      <c r="A7" s="142">
        <f t="shared" si="0"/>
        <v>5</v>
      </c>
      <c r="B7" s="156">
        <v>43401</v>
      </c>
      <c r="C7" s="515" t="s">
        <v>3464</v>
      </c>
      <c r="D7" s="155" t="s">
        <v>3463</v>
      </c>
      <c r="E7" s="145">
        <v>595000</v>
      </c>
      <c r="F7" s="145">
        <f t="shared" si="1"/>
        <v>16258860</v>
      </c>
      <c r="G7" s="155" t="s">
        <v>1047</v>
      </c>
      <c r="H7" s="142" t="s">
        <v>3462</v>
      </c>
      <c r="I7" s="142"/>
      <c r="J7" s="515" t="s">
        <v>3461</v>
      </c>
    </row>
    <row r="8" spans="1:10" s="5" customFormat="1" ht="18" customHeight="1">
      <c r="A8" s="142">
        <f t="shared" si="0"/>
        <v>6</v>
      </c>
      <c r="B8" s="156">
        <v>43438</v>
      </c>
      <c r="C8" s="515" t="s">
        <v>3460</v>
      </c>
      <c r="D8" s="155" t="s">
        <v>3451</v>
      </c>
      <c r="E8" s="145">
        <v>1400000</v>
      </c>
      <c r="F8" s="145">
        <f t="shared" si="1"/>
        <v>14858860</v>
      </c>
      <c r="G8" s="805" t="s">
        <v>1062</v>
      </c>
      <c r="H8" s="790" t="s">
        <v>3459</v>
      </c>
      <c r="I8" s="790"/>
      <c r="J8" s="808" t="s">
        <v>3458</v>
      </c>
    </row>
    <row r="9" spans="1:10" s="5" customFormat="1" ht="18" customHeight="1">
      <c r="A9" s="142">
        <f t="shared" si="0"/>
        <v>7</v>
      </c>
      <c r="B9" s="156">
        <v>43438</v>
      </c>
      <c r="C9" s="515" t="s">
        <v>3457</v>
      </c>
      <c r="D9" s="155" t="s">
        <v>3451</v>
      </c>
      <c r="E9" s="145">
        <v>1100000</v>
      </c>
      <c r="F9" s="145">
        <f t="shared" si="1"/>
        <v>13758860</v>
      </c>
      <c r="G9" s="806"/>
      <c r="H9" s="797"/>
      <c r="I9" s="797"/>
      <c r="J9" s="809"/>
    </row>
    <row r="10" spans="1:10" s="5" customFormat="1" ht="18" customHeight="1">
      <c r="A10" s="142">
        <f t="shared" si="0"/>
        <v>8</v>
      </c>
      <c r="B10" s="156">
        <v>43438</v>
      </c>
      <c r="C10" s="515" t="s">
        <v>3456</v>
      </c>
      <c r="D10" s="155" t="s">
        <v>3451</v>
      </c>
      <c r="E10" s="145">
        <v>1680000</v>
      </c>
      <c r="F10" s="145">
        <f t="shared" si="1"/>
        <v>12078860</v>
      </c>
      <c r="G10" s="806"/>
      <c r="H10" s="797"/>
      <c r="I10" s="797"/>
      <c r="J10" s="809"/>
    </row>
    <row r="11" spans="1:10" ht="18" customHeight="1">
      <c r="A11" s="142">
        <f t="shared" si="0"/>
        <v>9</v>
      </c>
      <c r="B11" s="156">
        <v>43438</v>
      </c>
      <c r="C11" s="515" t="s">
        <v>3455</v>
      </c>
      <c r="D11" s="155" t="s">
        <v>3451</v>
      </c>
      <c r="E11" s="145">
        <v>2060000</v>
      </c>
      <c r="F11" s="145">
        <f t="shared" si="1"/>
        <v>10018860</v>
      </c>
      <c r="G11" s="806"/>
      <c r="H11" s="797"/>
      <c r="I11" s="797"/>
      <c r="J11" s="809"/>
    </row>
    <row r="12" spans="1:10" ht="18" customHeight="1">
      <c r="A12" s="142">
        <f t="shared" si="0"/>
        <v>10</v>
      </c>
      <c r="B12" s="156">
        <v>43438</v>
      </c>
      <c r="C12" s="515" t="s">
        <v>3454</v>
      </c>
      <c r="D12" s="155" t="s">
        <v>3451</v>
      </c>
      <c r="E12" s="145">
        <v>3250000</v>
      </c>
      <c r="F12" s="145">
        <f t="shared" si="1"/>
        <v>6768860</v>
      </c>
      <c r="G12" s="806"/>
      <c r="H12" s="797"/>
      <c r="I12" s="797"/>
      <c r="J12" s="809"/>
    </row>
    <row r="13" spans="1:10" ht="18" customHeight="1">
      <c r="A13" s="142">
        <f t="shared" si="0"/>
        <v>11</v>
      </c>
      <c r="B13" s="156">
        <v>43438</v>
      </c>
      <c r="C13" s="515" t="s">
        <v>3453</v>
      </c>
      <c r="D13" s="155" t="s">
        <v>3451</v>
      </c>
      <c r="E13" s="145">
        <v>910000</v>
      </c>
      <c r="F13" s="145">
        <f t="shared" si="1"/>
        <v>5858860</v>
      </c>
      <c r="G13" s="806"/>
      <c r="H13" s="797"/>
      <c r="I13" s="797"/>
      <c r="J13" s="809"/>
    </row>
    <row r="14" spans="1:10" ht="18" customHeight="1">
      <c r="A14" s="142">
        <f t="shared" si="0"/>
        <v>12</v>
      </c>
      <c r="B14" s="156">
        <v>43438</v>
      </c>
      <c r="C14" s="515" t="s">
        <v>3452</v>
      </c>
      <c r="D14" s="155" t="s">
        <v>3451</v>
      </c>
      <c r="E14" s="145">
        <v>300000</v>
      </c>
      <c r="F14" s="145">
        <f t="shared" si="1"/>
        <v>5558860</v>
      </c>
      <c r="G14" s="807"/>
      <c r="H14" s="706"/>
      <c r="I14" s="706"/>
      <c r="J14" s="810"/>
    </row>
    <row r="15" spans="1:10" ht="18" customHeight="1">
      <c r="A15" s="142">
        <f t="shared" si="0"/>
        <v>13</v>
      </c>
      <c r="B15" s="156">
        <v>43438</v>
      </c>
      <c r="C15" s="515" t="s">
        <v>3450</v>
      </c>
      <c r="D15" s="155" t="s">
        <v>3449</v>
      </c>
      <c r="E15" s="145">
        <v>119000</v>
      </c>
      <c r="F15" s="145">
        <f t="shared" si="1"/>
        <v>5439860</v>
      </c>
      <c r="G15" s="155" t="s">
        <v>1062</v>
      </c>
      <c r="H15" s="142" t="s">
        <v>9</v>
      </c>
      <c r="I15" s="142"/>
      <c r="J15" s="515"/>
    </row>
    <row r="16" spans="1:10" ht="18" customHeight="1">
      <c r="A16" s="142">
        <f t="shared" si="0"/>
        <v>14</v>
      </c>
      <c r="B16" s="156"/>
      <c r="C16" s="515"/>
      <c r="D16" s="155"/>
      <c r="E16" s="145"/>
      <c r="F16" s="145">
        <f t="shared" si="1"/>
        <v>5439860</v>
      </c>
      <c r="G16" s="155"/>
      <c r="H16" s="142"/>
      <c r="I16" s="142"/>
      <c r="J16" s="515"/>
    </row>
    <row r="17" spans="1:10" ht="18" customHeight="1">
      <c r="A17" s="142">
        <f t="shared" si="0"/>
        <v>15</v>
      </c>
      <c r="B17" s="156"/>
      <c r="C17" s="515"/>
      <c r="D17" s="155"/>
      <c r="E17" s="145"/>
      <c r="F17" s="145">
        <f t="shared" si="1"/>
        <v>5439860</v>
      </c>
      <c r="G17" s="155"/>
      <c r="H17" s="142"/>
      <c r="I17" s="142"/>
      <c r="J17" s="515"/>
    </row>
    <row r="18" spans="1:10" ht="18" customHeight="1">
      <c r="A18" s="142">
        <f t="shared" si="0"/>
        <v>16</v>
      </c>
      <c r="B18" s="156"/>
      <c r="C18" s="515"/>
      <c r="D18" s="155"/>
      <c r="E18" s="145"/>
      <c r="F18" s="145">
        <f t="shared" si="1"/>
        <v>5439860</v>
      </c>
      <c r="G18" s="155"/>
      <c r="H18" s="142"/>
      <c r="I18" s="142"/>
      <c r="J18" s="515"/>
    </row>
    <row r="19" spans="1:10" ht="18" customHeight="1">
      <c r="A19" s="142">
        <f t="shared" si="0"/>
        <v>17</v>
      </c>
      <c r="B19" s="156"/>
      <c r="C19" s="515"/>
      <c r="D19" s="155"/>
      <c r="E19" s="145"/>
      <c r="F19" s="145">
        <f t="shared" si="1"/>
        <v>5439860</v>
      </c>
      <c r="G19" s="155"/>
      <c r="H19" s="142"/>
      <c r="I19" s="142"/>
      <c r="J19" s="515"/>
    </row>
    <row r="20" spans="1:10" ht="18" customHeight="1">
      <c r="A20" s="142">
        <f t="shared" si="0"/>
        <v>18</v>
      </c>
      <c r="B20" s="156"/>
      <c r="C20" s="515"/>
      <c r="D20" s="155"/>
      <c r="E20" s="145"/>
      <c r="F20" s="145">
        <f t="shared" si="1"/>
        <v>5439860</v>
      </c>
      <c r="G20" s="155"/>
      <c r="H20" s="142"/>
      <c r="I20" s="142"/>
      <c r="J20" s="515"/>
    </row>
    <row r="21" spans="1:10" ht="18" customHeight="1">
      <c r="A21" s="142">
        <f t="shared" si="0"/>
        <v>19</v>
      </c>
      <c r="B21" s="156"/>
      <c r="C21" s="515"/>
      <c r="D21" s="155"/>
      <c r="E21" s="145"/>
      <c r="F21" s="145">
        <f t="shared" si="1"/>
        <v>5439860</v>
      </c>
      <c r="G21" s="155"/>
      <c r="H21" s="142"/>
      <c r="I21" s="142"/>
      <c r="J21" s="515"/>
    </row>
    <row r="22" spans="1:10" ht="18" customHeight="1">
      <c r="A22" s="142">
        <f t="shared" si="0"/>
        <v>20</v>
      </c>
      <c r="B22" s="156"/>
      <c r="C22" s="515"/>
      <c r="D22" s="155"/>
      <c r="E22" s="145"/>
      <c r="F22" s="145">
        <f t="shared" si="1"/>
        <v>5439860</v>
      </c>
      <c r="G22" s="155"/>
      <c r="H22" s="142"/>
      <c r="I22" s="142"/>
      <c r="J22" s="515"/>
    </row>
    <row r="23" spans="1:10" ht="18" customHeight="1">
      <c r="A23" s="142">
        <f t="shared" si="0"/>
        <v>21</v>
      </c>
      <c r="B23" s="156"/>
      <c r="C23" s="515"/>
      <c r="D23" s="155"/>
      <c r="E23" s="145"/>
      <c r="F23" s="145">
        <f t="shared" si="1"/>
        <v>5439860</v>
      </c>
      <c r="G23" s="155"/>
      <c r="H23" s="142"/>
      <c r="I23" s="142"/>
      <c r="J23" s="515"/>
    </row>
    <row r="24" spans="1:10" ht="18" customHeight="1">
      <c r="A24" s="142">
        <f t="shared" si="0"/>
        <v>22</v>
      </c>
      <c r="B24" s="156"/>
      <c r="C24" s="515"/>
      <c r="D24" s="155"/>
      <c r="E24" s="145"/>
      <c r="F24" s="145">
        <f t="shared" si="1"/>
        <v>5439860</v>
      </c>
      <c r="G24" s="155"/>
      <c r="H24" s="142"/>
      <c r="I24" s="142"/>
      <c r="J24" s="515"/>
    </row>
    <row r="25" spans="1:10" ht="18" customHeight="1">
      <c r="A25" s="142">
        <f t="shared" si="0"/>
        <v>23</v>
      </c>
      <c r="B25" s="156"/>
      <c r="C25" s="515"/>
      <c r="D25" s="155"/>
      <c r="E25" s="145"/>
      <c r="F25" s="145">
        <f t="shared" si="1"/>
        <v>5439860</v>
      </c>
      <c r="G25" s="155"/>
      <c r="H25" s="142"/>
      <c r="I25" s="142"/>
      <c r="J25" s="515"/>
    </row>
    <row r="26" spans="1:10" ht="18" customHeight="1">
      <c r="A26" s="142">
        <f t="shared" si="0"/>
        <v>24</v>
      </c>
      <c r="B26" s="156"/>
      <c r="C26" s="515"/>
      <c r="D26" s="155"/>
      <c r="E26" s="145"/>
      <c r="F26" s="145">
        <f t="shared" si="1"/>
        <v>5439860</v>
      </c>
      <c r="G26" s="155"/>
      <c r="H26" s="142"/>
      <c r="I26" s="142"/>
      <c r="J26" s="515"/>
    </row>
    <row r="27" spans="1:10" ht="18" customHeight="1">
      <c r="A27" s="142">
        <f t="shared" si="0"/>
        <v>25</v>
      </c>
      <c r="B27" s="156"/>
      <c r="C27" s="515"/>
      <c r="D27" s="155"/>
      <c r="E27" s="145"/>
      <c r="F27" s="145">
        <f t="shared" si="1"/>
        <v>5439860</v>
      </c>
      <c r="G27" s="155"/>
      <c r="H27" s="142"/>
      <c r="I27" s="142"/>
      <c r="J27" s="515"/>
    </row>
    <row r="28" spans="1:10" ht="18" customHeight="1">
      <c r="A28" s="142">
        <f t="shared" si="0"/>
        <v>26</v>
      </c>
      <c r="B28" s="156"/>
      <c r="C28" s="515"/>
      <c r="D28" s="155"/>
      <c r="E28" s="145"/>
      <c r="F28" s="145">
        <f t="shared" si="1"/>
        <v>5439860</v>
      </c>
      <c r="G28" s="155"/>
      <c r="H28" s="142"/>
      <c r="I28" s="142"/>
      <c r="J28" s="515"/>
    </row>
    <row r="29" spans="1:10" ht="18" customHeight="1">
      <c r="A29" s="142">
        <f t="shared" si="0"/>
        <v>27</v>
      </c>
      <c r="B29" s="156"/>
      <c r="C29" s="515"/>
      <c r="D29" s="155"/>
      <c r="E29" s="145"/>
      <c r="F29" s="145">
        <f t="shared" si="1"/>
        <v>5439860</v>
      </c>
      <c r="G29" s="155"/>
      <c r="H29" s="142"/>
      <c r="I29" s="142"/>
      <c r="J29" s="515"/>
    </row>
    <row r="30" spans="1:10" ht="18" customHeight="1">
      <c r="A30" s="142">
        <f t="shared" si="0"/>
        <v>28</v>
      </c>
      <c r="B30" s="156"/>
      <c r="C30" s="515"/>
      <c r="D30" s="155"/>
      <c r="E30" s="145"/>
      <c r="F30" s="145">
        <f t="shared" si="1"/>
        <v>5439860</v>
      </c>
      <c r="G30" s="155"/>
      <c r="H30" s="142"/>
      <c r="I30" s="142"/>
      <c r="J30" s="515"/>
    </row>
    <row r="31" spans="1:10" ht="18" customHeight="1">
      <c r="A31" s="142">
        <f t="shared" si="0"/>
        <v>29</v>
      </c>
      <c r="B31" s="156"/>
      <c r="C31" s="515"/>
      <c r="D31" s="155"/>
      <c r="E31" s="145"/>
      <c r="F31" s="145">
        <f t="shared" si="1"/>
        <v>5439860</v>
      </c>
      <c r="G31" s="155"/>
      <c r="H31" s="142"/>
      <c r="I31" s="142"/>
      <c r="J31" s="515"/>
    </row>
    <row r="32" spans="1:10" ht="18" customHeight="1">
      <c r="A32" s="142">
        <f t="shared" si="0"/>
        <v>30</v>
      </c>
      <c r="B32" s="156"/>
      <c r="C32" s="515"/>
      <c r="D32" s="155"/>
      <c r="E32" s="145"/>
      <c r="F32" s="145">
        <f t="shared" si="1"/>
        <v>5439860</v>
      </c>
      <c r="G32" s="155"/>
      <c r="H32" s="142"/>
      <c r="I32" s="142"/>
      <c r="J32" s="515"/>
    </row>
    <row r="33" spans="1:10" ht="18" customHeight="1">
      <c r="A33" s="142">
        <f t="shared" si="0"/>
        <v>31</v>
      </c>
      <c r="B33" s="156"/>
      <c r="C33" s="515"/>
      <c r="D33" s="155"/>
      <c r="E33" s="145"/>
      <c r="F33" s="145">
        <f t="shared" si="1"/>
        <v>5439860</v>
      </c>
      <c r="G33" s="155"/>
      <c r="H33" s="142"/>
      <c r="I33" s="142"/>
      <c r="J33" s="515"/>
    </row>
    <row r="34" spans="1:10" ht="18" customHeight="1">
      <c r="A34" s="142">
        <f t="shared" si="0"/>
        <v>32</v>
      </c>
      <c r="B34" s="156"/>
      <c r="C34" s="515"/>
      <c r="D34" s="155"/>
      <c r="E34" s="145"/>
      <c r="F34" s="145">
        <f t="shared" si="1"/>
        <v>5439860</v>
      </c>
      <c r="G34" s="155"/>
      <c r="H34" s="142"/>
      <c r="I34" s="142"/>
      <c r="J34" s="515"/>
    </row>
    <row r="35" spans="1:10" ht="18" customHeight="1">
      <c r="A35" s="142">
        <f t="shared" ref="A35:A53" si="2">ROW()-2</f>
        <v>33</v>
      </c>
      <c r="B35" s="156"/>
      <c r="C35" s="515"/>
      <c r="D35" s="155"/>
      <c r="E35" s="145"/>
      <c r="F35" s="145">
        <f t="shared" si="1"/>
        <v>5439860</v>
      </c>
      <c r="G35" s="155"/>
      <c r="H35" s="142"/>
      <c r="I35" s="142"/>
      <c r="J35" s="515"/>
    </row>
    <row r="36" spans="1:10" ht="18" customHeight="1">
      <c r="A36" s="142">
        <f t="shared" si="2"/>
        <v>34</v>
      </c>
      <c r="B36" s="156"/>
      <c r="C36" s="515"/>
      <c r="D36" s="155"/>
      <c r="E36" s="145"/>
      <c r="F36" s="145">
        <f t="shared" ref="F36:F53" si="3">F35-E36</f>
        <v>5439860</v>
      </c>
      <c r="G36" s="155"/>
      <c r="H36" s="142"/>
      <c r="I36" s="142"/>
      <c r="J36" s="515"/>
    </row>
    <row r="37" spans="1:10" ht="18" customHeight="1">
      <c r="A37" s="142">
        <f t="shared" si="2"/>
        <v>35</v>
      </c>
      <c r="B37" s="156"/>
      <c r="C37" s="515"/>
      <c r="D37" s="155"/>
      <c r="E37" s="145"/>
      <c r="F37" s="145">
        <f t="shared" si="3"/>
        <v>5439860</v>
      </c>
      <c r="G37" s="155"/>
      <c r="H37" s="142"/>
      <c r="I37" s="142"/>
      <c r="J37" s="515"/>
    </row>
    <row r="38" spans="1:10" ht="18" customHeight="1">
      <c r="A38" s="142">
        <f t="shared" si="2"/>
        <v>36</v>
      </c>
      <c r="B38" s="156"/>
      <c r="C38" s="515"/>
      <c r="D38" s="155"/>
      <c r="E38" s="145"/>
      <c r="F38" s="145">
        <f t="shared" si="3"/>
        <v>5439860</v>
      </c>
      <c r="G38" s="155"/>
      <c r="H38" s="142"/>
      <c r="I38" s="142"/>
      <c r="J38" s="515"/>
    </row>
    <row r="39" spans="1:10" ht="18" customHeight="1">
      <c r="A39" s="142">
        <f t="shared" si="2"/>
        <v>37</v>
      </c>
      <c r="B39" s="156"/>
      <c r="C39" s="515"/>
      <c r="D39" s="155"/>
      <c r="E39" s="145"/>
      <c r="F39" s="145">
        <f t="shared" si="3"/>
        <v>5439860</v>
      </c>
      <c r="G39" s="155"/>
      <c r="H39" s="142"/>
      <c r="I39" s="142"/>
      <c r="J39" s="515"/>
    </row>
    <row r="40" spans="1:10" ht="18" customHeight="1">
      <c r="A40" s="142">
        <f t="shared" si="2"/>
        <v>38</v>
      </c>
      <c r="B40" s="156"/>
      <c r="C40" s="515"/>
      <c r="D40" s="155"/>
      <c r="E40" s="145"/>
      <c r="F40" s="145">
        <f t="shared" si="3"/>
        <v>5439860</v>
      </c>
      <c r="G40" s="155"/>
      <c r="H40" s="142"/>
      <c r="I40" s="142"/>
      <c r="J40" s="515"/>
    </row>
    <row r="41" spans="1:10" ht="18" customHeight="1">
      <c r="A41" s="142">
        <f t="shared" si="2"/>
        <v>39</v>
      </c>
      <c r="B41" s="156"/>
      <c r="C41" s="515"/>
      <c r="D41" s="155"/>
      <c r="E41" s="145"/>
      <c r="F41" s="145">
        <f t="shared" si="3"/>
        <v>5439860</v>
      </c>
      <c r="G41" s="155"/>
      <c r="H41" s="142"/>
      <c r="I41" s="142"/>
      <c r="J41" s="515"/>
    </row>
    <row r="42" spans="1:10" ht="18" customHeight="1">
      <c r="A42" s="142">
        <f t="shared" si="2"/>
        <v>40</v>
      </c>
      <c r="B42" s="156"/>
      <c r="C42" s="515"/>
      <c r="D42" s="155"/>
      <c r="E42" s="145"/>
      <c r="F42" s="145">
        <f t="shared" si="3"/>
        <v>5439860</v>
      </c>
      <c r="G42" s="155"/>
      <c r="H42" s="142"/>
      <c r="I42" s="142"/>
      <c r="J42" s="515"/>
    </row>
    <row r="43" spans="1:10" ht="18" customHeight="1">
      <c r="A43" s="142">
        <f t="shared" si="2"/>
        <v>41</v>
      </c>
      <c r="B43" s="156"/>
      <c r="C43" s="515"/>
      <c r="D43" s="155"/>
      <c r="E43" s="145"/>
      <c r="F43" s="145">
        <f t="shared" si="3"/>
        <v>5439860</v>
      </c>
      <c r="G43" s="155"/>
      <c r="H43" s="142"/>
      <c r="I43" s="142"/>
      <c r="J43" s="515"/>
    </row>
    <row r="44" spans="1:10" ht="18" customHeight="1">
      <c r="A44" s="142">
        <f t="shared" si="2"/>
        <v>42</v>
      </c>
      <c r="B44" s="156"/>
      <c r="C44" s="515"/>
      <c r="D44" s="155"/>
      <c r="E44" s="145"/>
      <c r="F44" s="145">
        <f t="shared" si="3"/>
        <v>5439860</v>
      </c>
      <c r="G44" s="155"/>
      <c r="H44" s="142"/>
      <c r="I44" s="142"/>
      <c r="J44" s="515"/>
    </row>
    <row r="45" spans="1:10" ht="18" customHeight="1">
      <c r="A45" s="142">
        <f t="shared" si="2"/>
        <v>43</v>
      </c>
      <c r="B45" s="156"/>
      <c r="C45" s="515"/>
      <c r="D45" s="155"/>
      <c r="E45" s="145"/>
      <c r="F45" s="145">
        <f t="shared" si="3"/>
        <v>5439860</v>
      </c>
      <c r="G45" s="155"/>
      <c r="H45" s="142"/>
      <c r="I45" s="142"/>
      <c r="J45" s="515"/>
    </row>
    <row r="46" spans="1:10" ht="18" customHeight="1">
      <c r="A46" s="142">
        <f t="shared" si="2"/>
        <v>44</v>
      </c>
      <c r="B46" s="156"/>
      <c r="C46" s="515"/>
      <c r="D46" s="155"/>
      <c r="E46" s="145"/>
      <c r="F46" s="145">
        <f t="shared" si="3"/>
        <v>5439860</v>
      </c>
      <c r="G46" s="155"/>
      <c r="H46" s="142"/>
      <c r="I46" s="142"/>
      <c r="J46" s="515"/>
    </row>
    <row r="47" spans="1:10" ht="18" customHeight="1">
      <c r="A47" s="142">
        <f t="shared" si="2"/>
        <v>45</v>
      </c>
      <c r="B47" s="156"/>
      <c r="C47" s="515"/>
      <c r="D47" s="155"/>
      <c r="E47" s="145"/>
      <c r="F47" s="145">
        <f t="shared" si="3"/>
        <v>5439860</v>
      </c>
      <c r="G47" s="155"/>
      <c r="H47" s="142"/>
      <c r="I47" s="142"/>
      <c r="J47" s="515"/>
    </row>
    <row r="48" spans="1:10" ht="18" customHeight="1">
      <c r="A48" s="142">
        <f t="shared" si="2"/>
        <v>46</v>
      </c>
      <c r="B48" s="156"/>
      <c r="C48" s="515"/>
      <c r="D48" s="155"/>
      <c r="E48" s="145"/>
      <c r="F48" s="145">
        <f t="shared" si="3"/>
        <v>5439860</v>
      </c>
      <c r="G48" s="155"/>
      <c r="H48" s="142"/>
      <c r="I48" s="142"/>
      <c r="J48" s="515"/>
    </row>
    <row r="49" spans="1:10" ht="18" customHeight="1">
      <c r="A49" s="142">
        <f t="shared" si="2"/>
        <v>47</v>
      </c>
      <c r="B49" s="156"/>
      <c r="C49" s="515"/>
      <c r="D49" s="155"/>
      <c r="E49" s="145"/>
      <c r="F49" s="145">
        <f t="shared" si="3"/>
        <v>5439860</v>
      </c>
      <c r="G49" s="155"/>
      <c r="H49" s="142"/>
      <c r="I49" s="142"/>
      <c r="J49" s="515"/>
    </row>
    <row r="50" spans="1:10" ht="18" customHeight="1">
      <c r="A50" s="142">
        <f t="shared" si="2"/>
        <v>48</v>
      </c>
      <c r="B50" s="156"/>
      <c r="C50" s="515"/>
      <c r="D50" s="155"/>
      <c r="E50" s="145"/>
      <c r="F50" s="145">
        <f t="shared" si="3"/>
        <v>5439860</v>
      </c>
      <c r="G50" s="155"/>
      <c r="H50" s="142"/>
      <c r="I50" s="142"/>
      <c r="J50" s="515"/>
    </row>
    <row r="51" spans="1:10" ht="18" customHeight="1">
      <c r="A51" s="142">
        <f t="shared" si="2"/>
        <v>49</v>
      </c>
      <c r="B51" s="156"/>
      <c r="C51" s="515"/>
      <c r="D51" s="155"/>
      <c r="E51" s="145"/>
      <c r="F51" s="145">
        <f t="shared" si="3"/>
        <v>5439860</v>
      </c>
      <c r="G51" s="155"/>
      <c r="H51" s="142"/>
      <c r="I51" s="142"/>
      <c r="J51" s="515"/>
    </row>
    <row r="52" spans="1:10" ht="18" customHeight="1">
      <c r="A52" s="142">
        <f t="shared" si="2"/>
        <v>50</v>
      </c>
      <c r="B52" s="156"/>
      <c r="C52" s="515"/>
      <c r="D52" s="155"/>
      <c r="E52" s="145"/>
      <c r="F52" s="145">
        <f t="shared" si="3"/>
        <v>5439860</v>
      </c>
      <c r="G52" s="155"/>
      <c r="H52" s="142"/>
      <c r="I52" s="142"/>
      <c r="J52" s="515"/>
    </row>
    <row r="53" spans="1:10" ht="18" customHeight="1">
      <c r="A53" s="142">
        <f t="shared" si="2"/>
        <v>51</v>
      </c>
      <c r="B53" s="156"/>
      <c r="C53" s="515"/>
      <c r="D53" s="155"/>
      <c r="E53" s="145"/>
      <c r="F53" s="145">
        <f t="shared" si="3"/>
        <v>5439860</v>
      </c>
      <c r="G53" s="155"/>
      <c r="H53" s="142"/>
      <c r="I53" s="142"/>
      <c r="J53" s="515"/>
    </row>
  </sheetData>
  <autoFilter ref="A2:J53" xr:uid="{00000000-0009-0000-0000-000000000000}"/>
  <mergeCells count="5">
    <mergeCell ref="A1:J1"/>
    <mergeCell ref="G8:G14"/>
    <mergeCell ref="H8:H14"/>
    <mergeCell ref="I8:I14"/>
    <mergeCell ref="J8:J14"/>
  </mergeCells>
  <phoneticPr fontId="5" type="noConversion"/>
  <pageMargins left="0.7" right="0.7" top="0.75" bottom="0.75" header="0.3" footer="0.3"/>
  <pageSetup paperSize="9" orientation="portrait" verticalDpi="0" r:id="rId1"/>
  <headerFooter>
    <oddHeader>&amp;R&amp;"Aptos"&amp;13&amp;K000000 [ RESTRICTED ]&amp;1#_x000D_</oddHeader>
    <oddFooter>&amp;R_x000D_&amp;1#&amp;"Aptos"&amp;5&amp;K000000 [Secure Minds, Secure Finds] 본 문서는 현대건설㈜의 정보자산이므로 무단 전제 및 복제할 수 없으며, 이를 위반할 시에는 당사 사규 및 관련 법규에 의해 제지를 받을 수 있습니다.</oddFooter>
  </headerFooter>
</worksheet>
</file>

<file path=docMetadata/LabelInfo.xml><?xml version="1.0" encoding="utf-8"?>
<clbl:labelList xmlns:clbl="http://schemas.microsoft.com/office/2020/mipLabelMetadata"/>
</file>

<file path=docProps/app.xml><?xml version="1.0" encoding="utf-8"?>
<Properties xmlns="http://schemas.openxmlformats.org/officeDocument/2006/extended-properties" xmlns:vt="http://schemas.openxmlformats.org/officeDocument/2006/docPropsVTypes">
  <DocSecurity>0</DocSecurity>
  <Application>Microsoft Excel</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Windows 사용자</dc:creator>
  <dcterms:modified xsi:type="dcterms:W3CDTF">2026-06-02T06:12:05Z</dcterms:modified>
  <cp:lastPrinted>2025-10-24T07:52:36Z</cp:lastPrinted>
  <cp:lastModifiedBy>강태준(TAEJUN KANG) 플랜트구매품질팀 책임매니저</cp:lastModifiedBy>
  <dcterms:created xsi:type="dcterms:W3CDTF">2018-06-01T02:49:25Z</dcterms:created>
</cp:coreProperties>
</file>